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trlProps/ctrlProp1.xml" ContentType="application/vnd.ms-excel.controlproperties+xml"/>
  <Override PartName="/xl/tables/table5.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tables/table8.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9.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2023\"/>
    </mc:Choice>
  </mc:AlternateContent>
  <xr:revisionPtr revIDLastSave="0" documentId="13_ncr:1_{400BE666-4D4F-44D5-979E-DD51029B3786}" xr6:coauthVersionLast="47" xr6:coauthVersionMax="47" xr10:uidLastSave="{00000000-0000-0000-0000-000000000000}"/>
  <bookViews>
    <workbookView xWindow="16284" yWindow="-108" windowWidth="19416" windowHeight="10560" firstSheet="1" activeTab="3" xr2:uid="{00000000-000D-0000-FFFF-FFFF00000000}"/>
  </bookViews>
  <sheets>
    <sheet name="EstimativaDeAta" sheetId="28" state="hidden" r:id="rId1"/>
    <sheet name="Assinaturas" sheetId="31" r:id="rId2"/>
    <sheet name="RCsGeradas" sheetId="29" r:id="rId3"/>
    <sheet name="Itens" sheetId="19" r:id="rId4"/>
    <sheet name="RC_AF" sheetId="5" r:id="rId5"/>
    <sheet name="ConferirCompra" sheetId="34" r:id="rId6"/>
    <sheet name="Filtros" sheetId="16" r:id="rId7"/>
    <sheet name="Consumo" sheetId="3" r:id="rId8"/>
    <sheet name="Excluir_do_Estoque" sheetId="4" r:id="rId9"/>
    <sheet name="Parâmetros" sheetId="23" r:id="rId10"/>
    <sheet name="VerificarAFs" sheetId="30" r:id="rId11"/>
    <sheet name="VerificarRCsAFs" sheetId="32" r:id="rId12"/>
  </sheets>
  <functionGroups builtInGroupCount="19"/>
  <definedNames>
    <definedName name="_xlnm._FilterDatabase" localSheetId="1" hidden="1">Assinaturas!$B$10:$Z$13</definedName>
    <definedName name="_xlnm._FilterDatabase" localSheetId="7" hidden="1">Consumo!$A$2:$AD$2</definedName>
    <definedName name="_xlnm._FilterDatabase" localSheetId="0" hidden="1">EstimativaDeAta!$B$8:$Y$9</definedName>
    <definedName name="_xlnm._FilterDatabase" localSheetId="3" hidden="1">Itens!$D$1:$F$1</definedName>
    <definedName name="_xlnm._FilterDatabase" localSheetId="4" hidden="1">RC_AF!$A$2:$AK$952</definedName>
    <definedName name="_xlnm.Print_Titles" localSheetId="1">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31" l="1"/>
  <c r="I12" i="31"/>
  <c r="I13" i="31"/>
  <c r="R12" i="31"/>
  <c r="R13" i="31"/>
  <c r="I14" i="31" l="1"/>
  <c r="R11" i="31"/>
  <c r="BF47" i="19"/>
  <c r="AP35" i="19" l="1"/>
  <c r="BG939" i="19" l="1"/>
  <c r="BG581" i="19"/>
  <c r="BG144" i="19"/>
  <c r="BG273" i="19"/>
  <c r="BG134" i="19"/>
  <c r="BG418" i="19"/>
  <c r="BG9" i="19"/>
  <c r="BG429" i="19"/>
  <c r="BG146" i="19"/>
  <c r="BG136" i="19"/>
  <c r="BG426" i="19"/>
  <c r="BG96" i="19"/>
  <c r="BG152" i="19"/>
  <c r="BG667" i="19"/>
  <c r="BG649" i="19"/>
  <c r="BG255" i="19"/>
  <c r="BG650" i="19"/>
  <c r="BG419" i="19"/>
  <c r="BG422" i="19"/>
  <c r="BG423" i="19"/>
  <c r="BG54" i="19"/>
  <c r="BG26" i="19"/>
  <c r="BG358" i="19"/>
  <c r="BG264" i="19"/>
  <c r="BG51" i="19"/>
  <c r="BG47" i="19"/>
  <c r="BG359" i="19"/>
  <c r="BG131" i="19"/>
  <c r="BG8" i="19"/>
  <c r="BG484" i="19"/>
  <c r="BG209" i="19"/>
  <c r="BG910" i="19"/>
  <c r="BG593" i="19"/>
  <c r="BG594" i="19"/>
  <c r="BG595" i="19"/>
  <c r="BG573" i="19"/>
  <c r="BG494" i="19"/>
  <c r="BG469" i="19"/>
  <c r="BG621" i="19"/>
  <c r="BG500" i="19"/>
  <c r="BG173" i="19"/>
  <c r="BG100" i="19"/>
  <c r="BG174" i="19"/>
  <c r="BG596" i="19"/>
  <c r="BG175" i="19"/>
  <c r="BG364" i="19"/>
  <c r="BG176" i="19"/>
  <c r="BG177" i="19"/>
  <c r="BG178" i="19"/>
  <c r="BG232" i="19"/>
  <c r="BG164" i="19"/>
  <c r="BG36" i="19"/>
  <c r="BG754" i="19"/>
  <c r="BG938" i="19"/>
  <c r="BG310" i="19"/>
  <c r="BG311" i="19"/>
  <c r="BG473" i="19"/>
  <c r="BG790" i="19"/>
  <c r="BG179" i="19"/>
  <c r="BG474" i="19"/>
  <c r="BG55" i="19"/>
  <c r="BG430" i="19"/>
  <c r="BG607" i="19"/>
  <c r="BG114" i="19"/>
  <c r="BG180" i="19"/>
  <c r="BG475" i="19"/>
  <c r="BG791" i="19"/>
  <c r="BG476" i="19"/>
  <c r="BG381" i="19"/>
  <c r="BG610" i="19"/>
  <c r="BG314" i="19"/>
  <c r="BG193" i="19"/>
  <c r="BG312" i="19"/>
  <c r="BG101" i="19"/>
  <c r="BG628" i="19"/>
  <c r="BG222" i="19"/>
  <c r="BG223" i="19"/>
  <c r="BG620" i="19"/>
  <c r="BG308" i="19"/>
  <c r="BG696" i="19"/>
  <c r="BG99" i="19"/>
  <c r="BG477" i="19"/>
  <c r="BG198" i="19"/>
  <c r="BG199" i="19"/>
  <c r="BG181" i="19"/>
  <c r="BG182" i="19"/>
  <c r="BG683" i="19"/>
  <c r="BG202" i="19"/>
  <c r="BG504" i="19"/>
  <c r="BG505" i="19"/>
  <c r="BG506" i="19"/>
  <c r="BG407" i="19"/>
  <c r="BG507" i="19"/>
  <c r="BG382" i="19"/>
  <c r="BG635" i="19"/>
  <c r="BG108" i="19"/>
  <c r="BG436" i="19"/>
  <c r="BG338" i="19"/>
  <c r="BG772" i="19"/>
  <c r="BG247" i="19"/>
  <c r="BG829" i="19"/>
  <c r="BG698" i="19"/>
  <c r="BG147" i="19"/>
  <c r="BG6" i="19"/>
  <c r="BG135" i="19"/>
  <c r="BG295" i="19"/>
  <c r="BG246" i="19"/>
  <c r="BG528" i="19"/>
  <c r="BG440" i="19"/>
  <c r="BG233" i="19"/>
  <c r="BG234" i="19"/>
  <c r="BG561" i="19"/>
  <c r="BG293" i="19"/>
  <c r="BG191" i="19"/>
  <c r="BG611" i="19"/>
  <c r="BG315" i="19"/>
  <c r="BG336" i="19"/>
  <c r="BG80" i="19"/>
  <c r="BG165" i="19"/>
  <c r="BG763" i="19"/>
  <c r="BG83" i="19"/>
  <c r="BG221" i="19"/>
  <c r="BG172" i="19"/>
  <c r="BG166" i="19"/>
  <c r="BG167" i="19"/>
  <c r="BG112" i="19"/>
  <c r="BG764" i="19"/>
  <c r="BG168" i="19"/>
  <c r="BG170" i="19"/>
  <c r="BG672" i="19"/>
  <c r="BG765" i="19"/>
  <c r="BG625" i="19"/>
  <c r="BG242" i="19"/>
  <c r="BG531" i="19"/>
  <c r="BG532" i="19"/>
  <c r="BG243" i="19"/>
  <c r="BG244" i="19"/>
  <c r="BG488" i="19"/>
  <c r="BG107" i="19"/>
  <c r="BG393" i="19"/>
  <c r="BG394" i="19"/>
  <c r="BG684" i="19"/>
  <c r="BG464" i="19"/>
  <c r="BG183" i="19"/>
  <c r="BG184" i="19"/>
  <c r="BG4" i="19"/>
  <c r="BG636" i="19"/>
  <c r="BG668" i="19"/>
  <c r="BG427" i="19"/>
  <c r="BG533" i="19"/>
  <c r="BG75" i="19"/>
  <c r="BG76" i="19"/>
  <c r="BG97" i="19"/>
  <c r="BG372" i="19"/>
  <c r="BG373" i="19"/>
  <c r="BG256" i="19"/>
  <c r="BG622" i="19"/>
  <c r="BG478" i="19"/>
  <c r="BG913" i="19"/>
  <c r="BG479" i="19"/>
  <c r="BG480" i="19"/>
  <c r="BG224" i="19"/>
  <c r="BG866" i="19"/>
  <c r="BG830" i="19"/>
  <c r="BG831" i="19"/>
  <c r="BG832" i="19"/>
  <c r="BG833" i="19"/>
  <c r="BG834" i="19"/>
  <c r="BG215" i="19"/>
  <c r="BG564" i="19"/>
  <c r="BG868" i="19"/>
  <c r="BG869" i="19"/>
  <c r="BG565" i="19"/>
  <c r="BG566" i="19"/>
  <c r="BG567" i="19"/>
  <c r="BG568" i="19"/>
  <c r="BG294" i="19"/>
  <c r="BG569" i="19"/>
  <c r="BG570" i="19"/>
  <c r="BG303" i="19"/>
  <c r="BG110" i="19"/>
  <c r="BG892" i="19"/>
  <c r="BG835" i="19"/>
  <c r="BG839" i="19"/>
  <c r="BG840" i="19"/>
  <c r="BG841" i="19"/>
  <c r="BG842" i="19"/>
  <c r="BG843" i="19"/>
  <c r="BG296" i="19"/>
  <c r="BG297" i="19"/>
  <c r="BG694" i="19"/>
  <c r="BG656" i="19"/>
  <c r="BG697" i="19"/>
  <c r="BG824" i="19"/>
  <c r="BG265" i="19"/>
  <c r="BG266" i="19"/>
  <c r="BG300" i="19"/>
  <c r="BG88" i="19"/>
  <c r="BG70" i="19"/>
  <c r="BG52" i="19"/>
  <c r="BG60" i="19"/>
  <c r="BG85" i="19"/>
  <c r="BG115" i="19"/>
  <c r="BG116" i="19"/>
  <c r="BG470" i="19"/>
  <c r="BG893" i="19"/>
  <c r="BG137" i="19"/>
  <c r="BG257" i="19"/>
  <c r="BG61" i="19"/>
  <c r="BG609" i="19"/>
  <c r="BG895" i="19"/>
  <c r="BG836" i="19"/>
  <c r="BG597" i="19"/>
  <c r="BG258" i="19"/>
  <c r="BG612" i="19"/>
  <c r="BG377" i="19"/>
  <c r="BG633" i="19"/>
  <c r="BG210" i="19"/>
  <c r="BG360" i="19"/>
  <c r="BG361" i="19"/>
  <c r="BG141" i="19"/>
  <c r="BG259" i="19"/>
  <c r="BG260" i="19"/>
  <c r="BG261" i="19"/>
  <c r="BG262" i="19"/>
  <c r="BG396" i="19"/>
  <c r="BG339" i="19"/>
  <c r="BG316" i="19"/>
  <c r="BG786" i="19"/>
  <c r="BG787" i="19"/>
  <c r="BG412" i="19"/>
  <c r="BG78" i="19"/>
  <c r="BG598" i="19"/>
  <c r="BG185" i="19"/>
  <c r="BG380" i="19"/>
  <c r="BG186" i="19"/>
  <c r="BG788" i="19"/>
  <c r="BG629" i="19"/>
  <c r="BG437" i="19"/>
  <c r="BG669" i="19"/>
  <c r="BG87" i="19"/>
  <c r="BG65" i="19"/>
  <c r="BG66" i="19"/>
  <c r="BG67" i="19"/>
  <c r="BG68" i="19"/>
  <c r="BG104" i="19"/>
  <c r="BG770" i="19"/>
  <c r="BG755" i="19"/>
  <c r="BG138" i="19"/>
  <c r="BG98" i="19"/>
  <c r="BG71" i="19"/>
  <c r="BG848" i="19"/>
  <c r="BG849" i="19"/>
  <c r="BG850" i="19"/>
  <c r="BG211" i="19"/>
  <c r="BG139" i="19"/>
  <c r="BG317" i="19"/>
  <c r="BG572" i="19"/>
  <c r="BG39" i="19"/>
  <c r="BG77" i="19"/>
  <c r="BG120" i="19"/>
  <c r="BG837" i="19"/>
  <c r="BG900" i="19"/>
  <c r="BG745" i="19"/>
  <c r="BG746" i="19"/>
  <c r="BG200" i="19"/>
  <c r="BG792" i="19"/>
  <c r="BG936" i="19"/>
  <c r="BG151" i="19"/>
  <c r="BG384" i="19"/>
  <c r="BG56" i="19"/>
  <c r="BG793" i="19"/>
  <c r="BG275" i="19"/>
  <c r="BG585" i="19"/>
  <c r="BG203" i="19"/>
  <c r="BG794" i="19"/>
  <c r="BG154" i="19"/>
  <c r="BG733" i="19"/>
  <c r="BG44" i="19"/>
  <c r="BG267" i="19"/>
  <c r="BG909" i="19"/>
  <c r="BG415" i="19"/>
  <c r="BG276" i="19"/>
  <c r="BG875" i="19"/>
  <c r="BG31" i="19"/>
  <c r="BG838" i="19"/>
  <c r="BG341" i="19"/>
  <c r="BG919" i="19"/>
  <c r="BG277" i="19"/>
  <c r="BG449" i="19"/>
  <c r="BG775" i="19"/>
  <c r="BG428" i="19"/>
  <c r="BG562" i="19"/>
  <c r="BG322" i="19"/>
  <c r="BG187" i="19"/>
  <c r="BG586" i="19"/>
  <c r="BG355" i="19"/>
  <c r="BG356" i="19"/>
  <c r="BG378" i="19"/>
  <c r="BG756" i="19"/>
  <c r="BG757" i="19"/>
  <c r="BG626" i="19"/>
  <c r="BG758" i="19"/>
  <c r="BG825" i="19"/>
  <c r="BG826" i="19"/>
  <c r="BG623" i="19"/>
  <c r="BG434" i="19"/>
  <c r="BG204" i="19"/>
  <c r="BG590" i="19"/>
  <c r="BG591" i="19"/>
  <c r="BG5" i="19"/>
  <c r="BG670" i="19"/>
  <c r="BG882" i="19"/>
  <c r="BG278" i="19"/>
  <c r="BG279" i="19"/>
  <c r="BG587" i="19"/>
  <c r="BG250" i="19"/>
  <c r="BG161" i="19"/>
  <c r="BG483" i="19"/>
  <c r="BG508" i="19"/>
  <c r="BG618" i="19"/>
  <c r="BG657" i="19"/>
  <c r="BG599" i="19"/>
  <c r="BG404" i="19"/>
  <c r="BG450" i="19"/>
  <c r="BG451" i="19"/>
  <c r="BG592" i="19"/>
  <c r="BG196" i="19"/>
  <c r="BG365" i="19"/>
  <c r="BG529" i="19"/>
  <c r="BG896" i="19"/>
  <c r="BG458" i="19"/>
  <c r="BG366" i="19"/>
  <c r="BG188" i="19"/>
  <c r="BG192" i="19"/>
  <c r="BG876" i="19"/>
  <c r="BG405" i="19"/>
  <c r="BG490" i="19"/>
  <c r="BG637" i="19"/>
  <c r="BG82" i="19"/>
  <c r="BG353" i="19"/>
  <c r="BG780" i="19"/>
  <c r="BG140" i="19"/>
  <c r="BG304" i="19"/>
  <c r="BG823" i="19"/>
  <c r="BG827" i="19"/>
  <c r="BG452" i="19"/>
  <c r="BG453" i="19"/>
  <c r="BG459" i="19"/>
  <c r="BG460" i="19"/>
  <c r="BG305" i="19"/>
  <c r="BG461" i="19"/>
  <c r="BG201" i="19"/>
  <c r="BG454" i="19"/>
  <c r="BG898" i="19"/>
  <c r="BG795" i="19"/>
  <c r="BG600" i="19"/>
  <c r="BG883" i="19"/>
  <c r="BG601" i="19"/>
  <c r="BG796" i="19"/>
  <c r="BG462" i="19"/>
  <c r="BG912" i="19"/>
  <c r="BG455" i="19"/>
  <c r="BG456" i="19"/>
  <c r="BG318" i="19"/>
  <c r="BG920" i="19"/>
  <c r="BG921" i="19"/>
  <c r="BG195" i="19"/>
  <c r="BG342" i="19"/>
  <c r="BG343" i="19"/>
  <c r="BG385" i="19"/>
  <c r="BG658" i="19"/>
  <c r="BG298" i="19"/>
  <c r="BG268" i="19"/>
  <c r="BG57" i="19"/>
  <c r="BG481" i="19"/>
  <c r="BG901" i="19"/>
  <c r="BG734" i="19"/>
  <c r="BG777" i="19"/>
  <c r="BG284" i="19"/>
  <c r="BG583" i="19"/>
  <c r="BG386" i="19"/>
  <c r="BG387" i="19"/>
  <c r="BG367" i="19"/>
  <c r="BG602" i="19"/>
  <c r="BG354" i="19"/>
  <c r="BG251" i="19"/>
  <c r="BG69" i="19"/>
  <c r="BG519" i="19"/>
  <c r="BG634" i="19"/>
  <c r="BG171" i="19"/>
  <c r="BG189" i="19"/>
  <c r="BG309" i="19"/>
  <c r="BG169" i="19"/>
  <c r="BG388" i="19"/>
  <c r="BG285" i="19"/>
  <c r="BG389" i="19"/>
  <c r="BG281" i="19"/>
  <c r="BG420" i="19"/>
  <c r="BG457" i="19"/>
  <c r="BG847" i="19"/>
  <c r="BG559" i="19"/>
  <c r="BG216" i="19"/>
  <c r="BG884" i="19"/>
  <c r="BG885" i="19"/>
  <c r="BG253" i="19"/>
  <c r="BG701" i="19"/>
  <c r="BG280" i="19"/>
  <c r="BG249" i="19"/>
  <c r="BG855" i="19"/>
  <c r="BG852" i="19"/>
  <c r="BG518" i="19"/>
  <c r="BG58" i="19"/>
  <c r="BG33" i="19"/>
  <c r="BG59" i="19"/>
  <c r="BG686" i="19"/>
  <c r="BG659" i="19"/>
  <c r="BG660" i="19"/>
  <c r="BG362" i="19"/>
  <c r="BG395" i="19"/>
  <c r="BG613" i="19"/>
  <c r="BG163" i="19"/>
  <c r="BG614" i="19"/>
  <c r="BG687" i="19"/>
  <c r="BG41" i="19"/>
  <c r="BG485" i="19"/>
  <c r="BG877" i="19"/>
  <c r="BG871" i="19"/>
  <c r="BG872" i="19"/>
  <c r="BG81" i="19"/>
  <c r="BG302" i="19"/>
  <c r="BG851" i="19"/>
  <c r="BG319" i="19"/>
  <c r="BG320" i="19"/>
  <c r="BG321" i="19"/>
  <c r="BG615" i="19"/>
  <c r="BG616" i="19"/>
  <c r="BG390" i="19"/>
  <c r="BG125" i="19"/>
  <c r="BG409" i="19"/>
  <c r="BG220" i="19"/>
  <c r="BG661" i="19"/>
  <c r="BG274" i="19"/>
  <c r="BG93" i="19"/>
  <c r="BG662" i="19"/>
  <c r="BG908" i="19"/>
  <c r="BG942" i="19"/>
  <c r="BG925" i="19"/>
  <c r="BG699" i="19"/>
  <c r="BG197" i="19"/>
  <c r="BG299" i="19"/>
  <c r="BG142" i="19"/>
  <c r="BG143" i="19"/>
  <c r="BG911" i="19"/>
  <c r="BG327" i="19"/>
  <c r="BG328" i="19"/>
  <c r="BG329" i="19"/>
  <c r="BG105" i="19"/>
  <c r="BG330" i="19"/>
  <c r="BG740" i="19"/>
  <c r="BG94" i="19"/>
  <c r="BG106" i="19"/>
  <c r="BG331" i="19"/>
  <c r="BG332" i="19"/>
  <c r="BG509" i="19"/>
  <c r="BG510" i="19"/>
  <c r="BG511" i="19"/>
  <c r="BG512" i="19"/>
  <c r="BG333" i="19"/>
  <c r="BG482" i="19"/>
  <c r="BG471" i="19"/>
  <c r="BG828" i="19"/>
  <c r="BG194" i="19"/>
  <c r="BG700" i="19"/>
  <c r="BG879" i="19"/>
  <c r="BG813" i="19"/>
  <c r="BG814" i="19"/>
  <c r="BG815" i="19"/>
  <c r="BG685" i="19"/>
  <c r="BG145" i="19"/>
  <c r="BG269" i="19"/>
  <c r="BG270" i="19"/>
  <c r="BG501" i="19"/>
  <c r="BG49" i="19"/>
  <c r="BG50" i="19"/>
  <c r="BG62" i="19"/>
  <c r="BG86" i="19"/>
  <c r="BG102" i="19"/>
  <c r="BG37" i="19"/>
  <c r="BG117" i="19"/>
  <c r="BG263" i="19"/>
  <c r="BG63" i="19"/>
  <c r="BG64" i="19"/>
  <c r="BG118" i="19"/>
  <c r="BG741" i="19"/>
  <c r="BG742" i="19"/>
  <c r="BG743" i="19"/>
  <c r="BG190" i="19"/>
  <c r="BG617" i="19"/>
  <c r="BG773" i="19"/>
  <c r="BG627" i="19"/>
  <c r="BG149" i="19"/>
  <c r="BG150" i="19"/>
  <c r="BG582" i="19"/>
  <c r="BG916" i="19"/>
  <c r="BG347" i="19"/>
  <c r="BG349" i="19"/>
  <c r="BG350" i="19"/>
  <c r="BG781" i="19"/>
  <c r="BG782" i="19"/>
  <c r="BG783" i="19"/>
  <c r="BG530" i="19"/>
  <c r="BG759" i="19"/>
  <c r="BG340" i="19"/>
  <c r="BG915" i="19"/>
  <c r="BG523" i="19"/>
  <c r="BG878" i="19"/>
  <c r="BG205" i="19"/>
  <c r="BG206" i="19"/>
  <c r="BG525" i="19"/>
  <c r="BG521" i="19"/>
  <c r="BG207" i="19"/>
  <c r="BG491" i="19"/>
  <c r="BG351" i="19"/>
  <c r="BG208" i="19"/>
  <c r="BG943" i="19"/>
  <c r="BG619" i="19"/>
  <c r="BG860" i="19"/>
  <c r="BG861" i="19"/>
  <c r="BG862" i="19"/>
  <c r="BG863" i="19"/>
  <c r="BG760" i="19"/>
  <c r="BG334" i="19"/>
  <c r="BG513" i="19"/>
  <c r="BG744" i="19"/>
  <c r="BG589" i="19"/>
  <c r="BG43" i="19"/>
  <c r="BG375" i="19"/>
  <c r="BG245" i="19"/>
  <c r="BG907" i="19"/>
  <c r="BG854" i="19"/>
  <c r="BG747" i="19"/>
  <c r="BG383" i="19"/>
  <c r="BG905" i="19"/>
  <c r="BG870" i="19"/>
  <c r="BG803" i="19"/>
  <c r="BG804" i="19"/>
  <c r="BG805" i="19"/>
  <c r="BG806" i="19"/>
  <c r="BG807" i="19"/>
  <c r="BG731" i="19"/>
  <c r="BG798" i="19"/>
  <c r="BG799" i="19"/>
  <c r="BG800" i="19"/>
  <c r="BG776" i="19"/>
  <c r="BG413" i="19"/>
  <c r="BG703" i="19"/>
  <c r="BG808" i="19"/>
  <c r="BG153" i="19"/>
  <c r="BG357" i="19"/>
  <c r="BG784" i="19"/>
  <c r="BG690" i="19"/>
  <c r="BG691" i="19"/>
  <c r="BG692" i="19"/>
  <c r="BG344" i="19"/>
  <c r="BG345" i="19"/>
  <c r="BG761" i="19"/>
  <c r="BG235" i="19"/>
  <c r="BG157" i="19"/>
  <c r="BG630" i="19"/>
  <c r="BG688" i="19"/>
  <c r="BG704" i="19"/>
  <c r="BG705" i="19"/>
  <c r="BG706" i="19"/>
  <c r="BG707" i="19"/>
  <c r="BG288" i="19"/>
  <c r="BG289" i="19"/>
  <c r="BG290" i="19"/>
  <c r="BG291" i="19"/>
  <c r="BG292" i="19"/>
  <c r="BG368" i="19"/>
  <c r="BG438" i="19"/>
  <c r="BG693" i="19"/>
  <c r="BG439" i="19"/>
  <c r="BG886" i="19"/>
  <c r="BG231" i="19"/>
  <c r="BG749" i="19"/>
  <c r="BG906" i="19"/>
  <c r="BG774" i="19"/>
  <c r="BG584" i="19"/>
  <c r="BG148" i="19"/>
  <c r="BG502" i="19"/>
  <c r="BG123" i="19"/>
  <c r="BG158" i="19"/>
  <c r="BG132" i="19"/>
  <c r="BG762" i="19"/>
  <c r="BG335" i="19"/>
  <c r="BG95" i="19"/>
  <c r="BG735" i="19"/>
  <c r="BG766" i="19"/>
  <c r="BG767" i="19"/>
  <c r="BG225" i="19"/>
  <c r="BG226" i="19"/>
  <c r="BG399" i="19"/>
  <c r="BG313" i="19"/>
  <c r="BG236" i="19"/>
  <c r="BG750" i="19"/>
  <c r="BG403" i="19"/>
  <c r="BG441" i="19"/>
  <c r="BG442" i="19"/>
  <c r="BG443" i="19"/>
  <c r="BG444" i="19"/>
  <c r="BG227" i="19"/>
  <c r="BG228" i="19"/>
  <c r="BG229" i="19"/>
  <c r="BG230" i="19"/>
  <c r="BG768" i="19"/>
  <c r="BG748" i="19"/>
  <c r="BG769" i="19"/>
  <c r="BG379" i="19"/>
  <c r="BG527" i="19"/>
  <c r="BG588" i="19"/>
  <c r="BG489" i="19"/>
  <c r="BG346" i="19"/>
  <c r="BG301" i="19"/>
  <c r="BG752" i="19"/>
  <c r="BG402" i="19"/>
  <c r="BG751" i="19"/>
  <c r="BG326" i="19"/>
  <c r="BG391" i="19"/>
  <c r="BG392" i="19"/>
  <c r="BG856" i="19"/>
  <c r="BG574" i="19"/>
  <c r="BG398" i="19"/>
  <c r="BG922" i="19"/>
  <c r="BG560" i="19"/>
  <c r="BG432" i="19"/>
  <c r="BG406" i="19"/>
  <c r="BG218" i="19"/>
  <c r="BG517" i="19"/>
  <c r="BG212" i="19"/>
  <c r="BG408" i="19"/>
  <c r="BG306" i="19"/>
  <c r="BG307" i="19"/>
  <c r="BG914" i="19"/>
  <c r="BG445" i="19"/>
  <c r="BG753" i="19"/>
  <c r="BG902" i="19"/>
  <c r="BG903" i="19"/>
  <c r="BG904" i="19"/>
  <c r="BG282" i="19"/>
  <c r="BG400" i="19"/>
  <c r="BG401" i="19"/>
  <c r="BG937" i="19"/>
  <c r="BG248" i="19"/>
  <c r="BG446" i="19"/>
  <c r="BG638" i="19"/>
  <c r="BG252" i="19"/>
  <c r="BG129" i="19"/>
  <c r="BG84" i="19"/>
  <c r="BG894" i="19"/>
  <c r="BG624" i="19"/>
  <c r="BG352" i="19"/>
  <c r="BG880" i="19"/>
  <c r="BG214" i="19"/>
  <c r="BG217" i="19"/>
  <c r="BG524" i="19"/>
  <c r="BG498" i="19"/>
  <c r="BG323" i="19"/>
  <c r="BG324" i="19"/>
  <c r="BG325" i="19"/>
  <c r="BG844" i="19"/>
  <c r="BG845" i="19"/>
  <c r="BG736" i="19"/>
  <c r="BG575" i="19"/>
  <c r="BG162" i="19"/>
  <c r="BG789" i="19"/>
  <c r="BG103" i="19"/>
  <c r="BG816" i="19"/>
  <c r="BG603" i="19"/>
  <c r="BG817" i="19"/>
  <c r="BG499" i="19"/>
  <c r="BG520" i="19"/>
  <c r="BG945" i="19"/>
  <c r="BG130" i="19"/>
  <c r="BG219" i="19"/>
  <c r="BG857" i="19"/>
  <c r="BG858" i="19"/>
  <c r="BG899" i="19"/>
  <c r="BG887" i="19"/>
  <c r="BG812" i="19"/>
  <c r="BG809" i="19"/>
  <c r="BG810" i="19"/>
  <c r="BG811" i="19"/>
  <c r="BG337" i="19"/>
  <c r="BG503" i="19"/>
  <c r="BG797" i="19"/>
  <c r="BG472" i="19"/>
  <c r="BG254" i="19"/>
  <c r="BG940" i="19"/>
  <c r="BG888" i="19"/>
  <c r="BG237" i="19"/>
  <c r="BG238" i="19"/>
  <c r="BG240" i="19"/>
  <c r="BG241" i="19"/>
  <c r="BG944" i="19"/>
  <c r="BG576" i="19"/>
  <c r="BG79" i="19"/>
  <c r="BG363" i="19"/>
  <c r="BG239" i="19"/>
  <c r="BG128" i="19"/>
  <c r="BG487" i="19"/>
  <c r="BG941" i="19"/>
  <c r="BG889" i="19"/>
  <c r="BG271" i="19"/>
  <c r="BG695" i="19"/>
  <c r="BG516" i="19"/>
  <c r="BG133" i="19"/>
  <c r="BG853" i="19"/>
  <c r="BG435" i="19"/>
  <c r="BG639" i="19"/>
  <c r="BG640" i="19"/>
  <c r="BG11" i="19"/>
  <c r="BG641" i="19"/>
  <c r="BG12" i="19"/>
  <c r="BG642" i="19"/>
  <c r="BG737" i="19"/>
  <c r="BG397" i="19"/>
  <c r="BG673" i="19"/>
  <c r="BG431" i="19"/>
  <c r="BG109" i="19"/>
  <c r="BG676" i="19"/>
  <c r="BG677" i="19"/>
  <c r="BG272" i="19"/>
  <c r="BG674" i="19"/>
  <c r="BG675" i="19"/>
  <c r="BG873" i="19"/>
  <c r="BG778" i="19"/>
  <c r="BG779" i="19"/>
  <c r="BG38" i="19"/>
  <c r="BG522" i="19"/>
  <c r="BG348" i="19"/>
  <c r="BG651" i="19"/>
  <c r="BG652" i="19"/>
  <c r="BG653" i="19"/>
  <c r="BG40" i="19"/>
  <c r="BG654" i="19"/>
  <c r="BG655" i="19"/>
  <c r="BG917" i="19"/>
  <c r="BG918" i="19"/>
  <c r="BG771" i="19"/>
  <c r="BG708" i="19"/>
  <c r="BG7" i="19"/>
  <c r="BG923" i="19"/>
  <c r="BG924" i="19"/>
  <c r="BG874" i="19"/>
  <c r="BG526" i="19"/>
  <c r="BG846" i="19"/>
  <c r="BG571" i="19"/>
  <c r="BG213" i="19"/>
  <c r="BG663" i="19"/>
  <c r="BG424" i="19"/>
  <c r="BG678" i="19"/>
  <c r="BG679" i="19"/>
  <c r="BG680" i="19"/>
  <c r="BG374" i="19"/>
  <c r="BG72" i="19"/>
  <c r="BG89" i="19"/>
  <c r="BG90" i="19"/>
  <c r="BG53" i="19"/>
  <c r="BG91" i="19"/>
  <c r="BG92" i="19"/>
  <c r="BG119" i="19"/>
  <c r="BG73" i="19"/>
  <c r="BG35" i="19"/>
  <c r="BG127" i="19"/>
  <c r="BG121" i="19"/>
  <c r="BG493" i="19"/>
  <c r="BG492" i="19"/>
  <c r="BG465" i="19"/>
  <c r="BG466" i="19"/>
  <c r="BG467" i="19"/>
  <c r="BG468" i="19"/>
  <c r="BG283" i="19"/>
  <c r="BG864" i="19"/>
  <c r="BG865" i="19"/>
  <c r="BG563" i="19"/>
  <c r="BG818" i="19"/>
  <c r="BG819" i="19"/>
  <c r="BG820" i="19"/>
  <c r="BG821" i="19"/>
  <c r="BG822" i="19"/>
  <c r="BG859" i="19"/>
  <c r="BG631" i="19"/>
  <c r="BG632" i="19"/>
  <c r="BG890" i="19"/>
  <c r="BG867" i="19"/>
  <c r="BG126" i="19"/>
  <c r="BG376" i="19"/>
  <c r="BG286" i="19"/>
  <c r="BG287" i="19"/>
  <c r="BG486" i="19"/>
  <c r="BG13" i="19"/>
  <c r="BG369" i="19"/>
  <c r="BG604" i="19"/>
  <c r="BG605" i="19"/>
  <c r="BG606" i="19"/>
  <c r="BG689" i="19"/>
  <c r="BG370" i="19"/>
  <c r="BG495" i="19"/>
  <c r="BG643" i="19"/>
  <c r="BG416" i="19"/>
  <c r="BG447" i="19"/>
  <c r="BG448" i="19"/>
  <c r="BG414" i="19"/>
  <c r="BG124" i="19"/>
  <c r="BG496" i="19"/>
  <c r="BG410" i="19"/>
  <c r="BG411" i="19"/>
  <c r="BG497" i="19"/>
  <c r="BG785" i="19"/>
  <c r="BG801" i="19"/>
  <c r="BG802" i="19"/>
  <c r="BG709" i="19"/>
  <c r="BG710" i="19"/>
  <c r="BG926" i="19"/>
  <c r="BG927" i="19"/>
  <c r="BG928" i="19"/>
  <c r="BG711" i="19"/>
  <c r="BG712" i="19"/>
  <c r="BG713" i="19"/>
  <c r="BG714" i="19"/>
  <c r="BG715" i="19"/>
  <c r="BG929" i="19"/>
  <c r="BG930" i="19"/>
  <c r="BG931" i="19"/>
  <c r="BG932" i="19"/>
  <c r="BG933" i="19"/>
  <c r="BG934" i="19"/>
  <c r="BG935" i="19"/>
  <c r="BG716" i="19"/>
  <c r="BG717" i="19"/>
  <c r="BG718" i="19"/>
  <c r="BG719" i="19"/>
  <c r="BG720" i="19"/>
  <c r="BG721" i="19"/>
  <c r="BG722" i="19"/>
  <c r="BG723" i="19"/>
  <c r="BG724" i="19"/>
  <c r="BG156" i="19"/>
  <c r="BG463" i="19"/>
  <c r="BG515" i="19"/>
  <c r="BG514" i="19"/>
  <c r="BG433" i="19"/>
  <c r="BG725" i="19"/>
  <c r="BG726" i="19"/>
  <c r="BG727" i="19"/>
  <c r="BG728" i="19"/>
  <c r="BG729" i="19"/>
  <c r="BG371" i="19"/>
  <c r="BG608" i="19"/>
  <c r="BG155" i="19"/>
  <c r="BG644" i="19"/>
  <c r="BG645" i="19"/>
  <c r="BG664" i="19"/>
  <c r="BG18" i="19"/>
  <c r="BG32" i="19"/>
  <c r="BG665" i="19"/>
  <c r="BG666" i="19"/>
  <c r="BG421" i="19"/>
  <c r="BG74" i="19"/>
  <c r="BG14" i="19"/>
  <c r="BG681" i="19"/>
  <c r="BG646" i="19"/>
  <c r="BG647" i="19"/>
  <c r="BG417" i="19"/>
  <c r="BG671" i="19"/>
  <c r="BG159" i="19"/>
  <c r="BG891" i="19"/>
  <c r="BG580" i="19"/>
  <c r="BG577" i="19"/>
  <c r="BG578" i="19"/>
  <c r="BG579" i="19"/>
  <c r="BG15" i="19"/>
  <c r="BG16" i="19"/>
  <c r="BG17" i="19"/>
  <c r="BG648" i="19"/>
  <c r="BG897" i="19"/>
  <c r="BG425" i="19"/>
  <c r="BG113" i="19"/>
  <c r="BG10" i="19"/>
  <c r="BG122" i="19"/>
  <c r="BG534" i="19"/>
  <c r="BG535" i="19"/>
  <c r="BG536" i="19"/>
  <c r="BG45" i="19"/>
  <c r="BG537" i="19"/>
  <c r="BG538" i="19"/>
  <c r="BG539" i="19"/>
  <c r="BG540" i="19"/>
  <c r="BG541" i="19"/>
  <c r="BG542" i="19"/>
  <c r="BG543" i="19"/>
  <c r="BG544" i="19"/>
  <c r="BG545" i="19"/>
  <c r="BG546" i="19"/>
  <c r="BG547" i="19"/>
  <c r="BG548" i="19"/>
  <c r="BG549" i="19"/>
  <c r="BG550" i="19"/>
  <c r="BG551" i="19"/>
  <c r="BG552" i="19"/>
  <c r="BG553" i="19"/>
  <c r="BG554" i="19"/>
  <c r="BG555" i="19"/>
  <c r="BG556" i="19"/>
  <c r="BG738" i="19"/>
  <c r="BG739" i="19"/>
  <c r="BG557" i="19"/>
  <c r="BG558" i="19"/>
  <c r="BG48" i="19"/>
  <c r="BG160" i="19"/>
  <c r="BG46" i="19"/>
  <c r="BG682" i="19"/>
  <c r="BG42" i="19"/>
  <c r="BG27" i="19"/>
  <c r="BG28" i="19"/>
  <c r="BG29" i="19"/>
  <c r="BG111" i="19"/>
  <c r="BG25" i="19"/>
  <c r="BG19" i="19"/>
  <c r="BG20" i="19"/>
  <c r="BG881" i="19"/>
  <c r="BG34" i="19"/>
  <c r="BG30" i="19"/>
  <c r="BG21" i="19"/>
  <c r="BG22" i="19"/>
  <c r="BG23" i="19"/>
  <c r="BG24" i="19"/>
  <c r="BG732" i="19"/>
  <c r="BG730" i="19"/>
  <c r="BG702" i="19"/>
  <c r="AV939" i="19"/>
  <c r="AV581" i="19"/>
  <c r="AV144" i="19"/>
  <c r="AV273" i="19"/>
  <c r="AV134" i="19"/>
  <c r="AV418" i="19"/>
  <c r="AV9" i="19"/>
  <c r="AV429" i="19"/>
  <c r="AV146" i="19"/>
  <c r="AV136" i="19"/>
  <c r="AV426" i="19"/>
  <c r="AV96" i="19"/>
  <c r="AV152" i="19"/>
  <c r="AV667" i="19"/>
  <c r="AV649" i="19"/>
  <c r="AV255" i="19"/>
  <c r="AV650" i="19"/>
  <c r="AV419" i="19"/>
  <c r="AV422" i="19"/>
  <c r="AV423" i="19"/>
  <c r="AV54" i="19"/>
  <c r="AV26" i="19"/>
  <c r="AV358" i="19"/>
  <c r="AV264" i="19"/>
  <c r="AV51" i="19"/>
  <c r="AV47" i="19"/>
  <c r="AV359" i="19"/>
  <c r="AV131" i="19"/>
  <c r="AV8" i="19"/>
  <c r="AV484" i="19"/>
  <c r="AV209" i="19"/>
  <c r="AV910" i="19"/>
  <c r="AV593" i="19"/>
  <c r="AV594" i="19"/>
  <c r="AV595" i="19"/>
  <c r="AV573" i="19"/>
  <c r="AV494" i="19"/>
  <c r="AV469" i="19"/>
  <c r="AV621" i="19"/>
  <c r="AV500" i="19"/>
  <c r="AV173" i="19"/>
  <c r="AV100" i="19"/>
  <c r="AV174" i="19"/>
  <c r="AV596" i="19"/>
  <c r="AV175" i="19"/>
  <c r="AV364" i="19"/>
  <c r="AV176" i="19"/>
  <c r="AV177" i="19"/>
  <c r="AV178" i="19"/>
  <c r="AV232" i="19"/>
  <c r="AV164" i="19"/>
  <c r="AV36" i="19"/>
  <c r="AV754" i="19"/>
  <c r="AV938" i="19"/>
  <c r="AV310" i="19"/>
  <c r="AV311" i="19"/>
  <c r="AV473" i="19"/>
  <c r="AV790" i="19"/>
  <c r="AV179" i="19"/>
  <c r="AV474" i="19"/>
  <c r="AV55" i="19"/>
  <c r="AV430" i="19"/>
  <c r="AV607" i="19"/>
  <c r="AV114" i="19"/>
  <c r="AV180" i="19"/>
  <c r="AV475" i="19"/>
  <c r="AV791" i="19"/>
  <c r="AV476" i="19"/>
  <c r="AV381" i="19"/>
  <c r="AV610" i="19"/>
  <c r="AV314" i="19"/>
  <c r="AV193" i="19"/>
  <c r="AV312" i="19"/>
  <c r="AV101" i="19"/>
  <c r="AV628" i="19"/>
  <c r="AV222" i="19"/>
  <c r="AV223" i="19"/>
  <c r="AV620" i="19"/>
  <c r="AV308" i="19"/>
  <c r="AV696" i="19"/>
  <c r="AV99" i="19"/>
  <c r="AV477" i="19"/>
  <c r="AV198" i="19"/>
  <c r="AV199" i="19"/>
  <c r="AV181" i="19"/>
  <c r="AV182" i="19"/>
  <c r="AV683" i="19"/>
  <c r="AV202" i="19"/>
  <c r="AV504" i="19"/>
  <c r="AV505" i="19"/>
  <c r="AV506" i="19"/>
  <c r="AV407" i="19"/>
  <c r="AV507" i="19"/>
  <c r="AV382" i="19"/>
  <c r="AV635" i="19"/>
  <c r="AV108" i="19"/>
  <c r="AV436" i="19"/>
  <c r="AV338" i="19"/>
  <c r="AV772" i="19"/>
  <c r="AV247" i="19"/>
  <c r="AV829" i="19"/>
  <c r="AV698" i="19"/>
  <c r="AV147" i="19"/>
  <c r="AV6" i="19"/>
  <c r="AV135" i="19"/>
  <c r="AV295" i="19"/>
  <c r="AV246" i="19"/>
  <c r="AV528" i="19"/>
  <c r="AV440" i="19"/>
  <c r="AV233" i="19"/>
  <c r="AV234" i="19"/>
  <c r="AV561" i="19"/>
  <c r="AV293" i="19"/>
  <c r="AV191" i="19"/>
  <c r="AV611" i="19"/>
  <c r="AV315" i="19"/>
  <c r="AV336" i="19"/>
  <c r="AV80" i="19"/>
  <c r="AV165" i="19"/>
  <c r="AV763" i="19"/>
  <c r="AV83" i="19"/>
  <c r="AV221" i="19"/>
  <c r="AV172" i="19"/>
  <c r="AV166" i="19"/>
  <c r="AV167" i="19"/>
  <c r="AV112" i="19"/>
  <c r="AV764" i="19"/>
  <c r="AV168" i="19"/>
  <c r="AV170" i="19"/>
  <c r="AV672" i="19"/>
  <c r="AV765" i="19"/>
  <c r="AV625" i="19"/>
  <c r="AV242" i="19"/>
  <c r="AV531" i="19"/>
  <c r="AV532" i="19"/>
  <c r="AV243" i="19"/>
  <c r="AV244" i="19"/>
  <c r="AV488" i="19"/>
  <c r="AV107" i="19"/>
  <c r="AV393" i="19"/>
  <c r="AV394" i="19"/>
  <c r="AV684" i="19"/>
  <c r="AV464" i="19"/>
  <c r="AV183" i="19"/>
  <c r="AV184" i="19"/>
  <c r="AV4" i="19"/>
  <c r="AV636" i="19"/>
  <c r="AV668" i="19"/>
  <c r="AV427" i="19"/>
  <c r="AV533" i="19"/>
  <c r="AV75" i="19"/>
  <c r="AV76" i="19"/>
  <c r="AV97" i="19"/>
  <c r="AV372" i="19"/>
  <c r="AV373" i="19"/>
  <c r="AV256" i="19"/>
  <c r="AV622" i="19"/>
  <c r="AV478" i="19"/>
  <c r="AV913" i="19"/>
  <c r="AV479" i="19"/>
  <c r="AV480" i="19"/>
  <c r="AV224" i="19"/>
  <c r="AV866" i="19"/>
  <c r="AV830" i="19"/>
  <c r="AV831" i="19"/>
  <c r="AV832" i="19"/>
  <c r="AV833" i="19"/>
  <c r="AV834" i="19"/>
  <c r="AV215" i="19"/>
  <c r="AV564" i="19"/>
  <c r="AV868" i="19"/>
  <c r="AV869" i="19"/>
  <c r="AV565" i="19"/>
  <c r="AV566" i="19"/>
  <c r="AV567" i="19"/>
  <c r="AV568" i="19"/>
  <c r="AV294" i="19"/>
  <c r="AV569" i="19"/>
  <c r="AV570" i="19"/>
  <c r="AV303" i="19"/>
  <c r="AV110" i="19"/>
  <c r="AV892" i="19"/>
  <c r="AV835" i="19"/>
  <c r="AV839" i="19"/>
  <c r="AV840" i="19"/>
  <c r="AV841" i="19"/>
  <c r="AV842" i="19"/>
  <c r="AV843" i="19"/>
  <c r="AV296" i="19"/>
  <c r="AV297" i="19"/>
  <c r="AV694" i="19"/>
  <c r="AV656" i="19"/>
  <c r="AV697" i="19"/>
  <c r="AV824" i="19"/>
  <c r="AV265" i="19"/>
  <c r="AV266" i="19"/>
  <c r="AV300" i="19"/>
  <c r="AV88" i="19"/>
  <c r="AV70" i="19"/>
  <c r="AV52" i="19"/>
  <c r="AV60" i="19"/>
  <c r="AV85" i="19"/>
  <c r="AV115" i="19"/>
  <c r="AV116" i="19"/>
  <c r="AV470" i="19"/>
  <c r="AV893" i="19"/>
  <c r="AV137" i="19"/>
  <c r="AV257" i="19"/>
  <c r="AV61" i="19"/>
  <c r="AV609" i="19"/>
  <c r="AV895" i="19"/>
  <c r="AV836" i="19"/>
  <c r="AV597" i="19"/>
  <c r="AV258" i="19"/>
  <c r="AV612" i="19"/>
  <c r="AV377" i="19"/>
  <c r="AV633" i="19"/>
  <c r="AV210" i="19"/>
  <c r="AV360" i="19"/>
  <c r="AV361" i="19"/>
  <c r="AV141" i="19"/>
  <c r="AV259" i="19"/>
  <c r="AV260" i="19"/>
  <c r="AV261" i="19"/>
  <c r="AV262" i="19"/>
  <c r="AV396" i="19"/>
  <c r="AV339" i="19"/>
  <c r="AV316" i="19"/>
  <c r="AV786" i="19"/>
  <c r="AV787" i="19"/>
  <c r="AV412" i="19"/>
  <c r="AV78" i="19"/>
  <c r="AV598" i="19"/>
  <c r="AV185" i="19"/>
  <c r="AV380" i="19"/>
  <c r="AV186" i="19"/>
  <c r="AV788" i="19"/>
  <c r="AV629" i="19"/>
  <c r="AV437" i="19"/>
  <c r="AV669" i="19"/>
  <c r="AV87" i="19"/>
  <c r="AV65" i="19"/>
  <c r="AV66" i="19"/>
  <c r="AV67" i="19"/>
  <c r="AV68" i="19"/>
  <c r="AV104" i="19"/>
  <c r="AV770" i="19"/>
  <c r="AV755" i="19"/>
  <c r="AV138" i="19"/>
  <c r="AV98" i="19"/>
  <c r="AV71" i="19"/>
  <c r="AV848" i="19"/>
  <c r="AV849" i="19"/>
  <c r="AV850" i="19"/>
  <c r="AV211" i="19"/>
  <c r="AV139" i="19"/>
  <c r="AV317" i="19"/>
  <c r="AV572" i="19"/>
  <c r="AV39" i="19"/>
  <c r="AV77" i="19"/>
  <c r="AV120" i="19"/>
  <c r="AV837" i="19"/>
  <c r="AV900" i="19"/>
  <c r="AV745" i="19"/>
  <c r="AV746" i="19"/>
  <c r="AV200" i="19"/>
  <c r="AV792" i="19"/>
  <c r="AV936" i="19"/>
  <c r="AV151" i="19"/>
  <c r="AV384" i="19"/>
  <c r="AV56" i="19"/>
  <c r="AV793" i="19"/>
  <c r="AV275" i="19"/>
  <c r="AV585" i="19"/>
  <c r="AV203" i="19"/>
  <c r="AV794" i="19"/>
  <c r="AV154" i="19"/>
  <c r="AV733" i="19"/>
  <c r="AV44" i="19"/>
  <c r="AV267" i="19"/>
  <c r="AV909" i="19"/>
  <c r="AV415" i="19"/>
  <c r="AV276" i="19"/>
  <c r="AV875" i="19"/>
  <c r="AV31" i="19"/>
  <c r="AV838" i="19"/>
  <c r="AV341" i="19"/>
  <c r="AV919" i="19"/>
  <c r="AV277" i="19"/>
  <c r="AV449" i="19"/>
  <c r="AV775" i="19"/>
  <c r="AV428" i="19"/>
  <c r="AV562" i="19"/>
  <c r="AV322" i="19"/>
  <c r="AV187" i="19"/>
  <c r="AV586" i="19"/>
  <c r="AV355" i="19"/>
  <c r="AV356" i="19"/>
  <c r="AV378" i="19"/>
  <c r="AV756" i="19"/>
  <c r="AV757" i="19"/>
  <c r="AV626" i="19"/>
  <c r="AV758" i="19"/>
  <c r="AV825" i="19"/>
  <c r="AV826" i="19"/>
  <c r="AV623" i="19"/>
  <c r="AV434" i="19"/>
  <c r="AV204" i="19"/>
  <c r="AV590" i="19"/>
  <c r="AV591" i="19"/>
  <c r="AV5" i="19"/>
  <c r="AV670" i="19"/>
  <c r="AV882" i="19"/>
  <c r="AV278" i="19"/>
  <c r="AV279" i="19"/>
  <c r="AV587" i="19"/>
  <c r="AV250" i="19"/>
  <c r="AV161" i="19"/>
  <c r="AV483" i="19"/>
  <c r="AV508" i="19"/>
  <c r="AV618" i="19"/>
  <c r="AV657" i="19"/>
  <c r="AV599" i="19"/>
  <c r="AV404" i="19"/>
  <c r="AV450" i="19"/>
  <c r="AV451" i="19"/>
  <c r="AV592" i="19"/>
  <c r="AV196" i="19"/>
  <c r="AV365" i="19"/>
  <c r="AV529" i="19"/>
  <c r="AV896" i="19"/>
  <c r="AV458" i="19"/>
  <c r="AV366" i="19"/>
  <c r="AV188" i="19"/>
  <c r="AV192" i="19"/>
  <c r="AV876" i="19"/>
  <c r="AV405" i="19"/>
  <c r="AV490" i="19"/>
  <c r="AV637" i="19"/>
  <c r="AV82" i="19"/>
  <c r="AV353" i="19"/>
  <c r="AV780" i="19"/>
  <c r="AV140" i="19"/>
  <c r="AV304" i="19"/>
  <c r="AV823" i="19"/>
  <c r="AV827" i="19"/>
  <c r="AV452" i="19"/>
  <c r="AV453" i="19"/>
  <c r="AV459" i="19"/>
  <c r="AV460" i="19"/>
  <c r="AV305" i="19"/>
  <c r="AV461" i="19"/>
  <c r="AV201" i="19"/>
  <c r="AV454" i="19"/>
  <c r="AV898" i="19"/>
  <c r="AV795" i="19"/>
  <c r="AV600" i="19"/>
  <c r="AV883" i="19"/>
  <c r="AV601" i="19"/>
  <c r="AV796" i="19"/>
  <c r="AV462" i="19"/>
  <c r="AV912" i="19"/>
  <c r="AV455" i="19"/>
  <c r="AV456" i="19"/>
  <c r="AV318" i="19"/>
  <c r="AV920" i="19"/>
  <c r="AV921" i="19"/>
  <c r="AV195" i="19"/>
  <c r="AV342" i="19"/>
  <c r="AV343" i="19"/>
  <c r="AV385" i="19"/>
  <c r="AV658" i="19"/>
  <c r="AV298" i="19"/>
  <c r="AV268" i="19"/>
  <c r="AV57" i="19"/>
  <c r="AV481" i="19"/>
  <c r="AV901" i="19"/>
  <c r="AV734" i="19"/>
  <c r="AV777" i="19"/>
  <c r="AV284" i="19"/>
  <c r="AV583" i="19"/>
  <c r="AV386" i="19"/>
  <c r="AV387" i="19"/>
  <c r="AV367" i="19"/>
  <c r="AV602" i="19"/>
  <c r="AV354" i="19"/>
  <c r="AV251" i="19"/>
  <c r="AV69" i="19"/>
  <c r="AV519" i="19"/>
  <c r="AV634" i="19"/>
  <c r="AV171" i="19"/>
  <c r="AV189" i="19"/>
  <c r="AV309" i="19"/>
  <c r="AV169" i="19"/>
  <c r="AV388" i="19"/>
  <c r="AV285" i="19"/>
  <c r="AV389" i="19"/>
  <c r="AV281" i="19"/>
  <c r="AV420" i="19"/>
  <c r="AV457" i="19"/>
  <c r="AV847" i="19"/>
  <c r="AV559" i="19"/>
  <c r="AV216" i="19"/>
  <c r="AV884" i="19"/>
  <c r="AV885" i="19"/>
  <c r="AV253" i="19"/>
  <c r="AV701" i="19"/>
  <c r="AV280" i="19"/>
  <c r="AV249" i="19"/>
  <c r="AV855" i="19"/>
  <c r="AV852" i="19"/>
  <c r="AV518" i="19"/>
  <c r="AV58" i="19"/>
  <c r="AV33" i="19"/>
  <c r="AV59" i="19"/>
  <c r="AV686" i="19"/>
  <c r="AV659" i="19"/>
  <c r="AV660" i="19"/>
  <c r="AV362" i="19"/>
  <c r="AV395" i="19"/>
  <c r="AV613" i="19"/>
  <c r="AV163" i="19"/>
  <c r="AV614" i="19"/>
  <c r="AV687" i="19"/>
  <c r="AV41" i="19"/>
  <c r="AV485" i="19"/>
  <c r="AV877" i="19"/>
  <c r="AV871" i="19"/>
  <c r="AV872" i="19"/>
  <c r="AV81" i="19"/>
  <c r="AV302" i="19"/>
  <c r="AV851" i="19"/>
  <c r="AV319" i="19"/>
  <c r="AV320" i="19"/>
  <c r="AV321" i="19"/>
  <c r="AV615" i="19"/>
  <c r="AV616" i="19"/>
  <c r="AV390" i="19"/>
  <c r="AV125" i="19"/>
  <c r="AV409" i="19"/>
  <c r="AV220" i="19"/>
  <c r="AV661" i="19"/>
  <c r="AV274" i="19"/>
  <c r="AV93" i="19"/>
  <c r="AV662" i="19"/>
  <c r="AV908" i="19"/>
  <c r="AV942" i="19"/>
  <c r="AV925" i="19"/>
  <c r="AV699" i="19"/>
  <c r="AV197" i="19"/>
  <c r="AV299" i="19"/>
  <c r="AV142" i="19"/>
  <c r="AV143" i="19"/>
  <c r="AV911" i="19"/>
  <c r="AV327" i="19"/>
  <c r="AV328" i="19"/>
  <c r="AV329" i="19"/>
  <c r="AV105" i="19"/>
  <c r="AV330" i="19"/>
  <c r="AV740" i="19"/>
  <c r="AV94" i="19"/>
  <c r="AV106" i="19"/>
  <c r="AV331" i="19"/>
  <c r="AV332" i="19"/>
  <c r="AV509" i="19"/>
  <c r="AV510" i="19"/>
  <c r="AV511" i="19"/>
  <c r="AV512" i="19"/>
  <c r="AV333" i="19"/>
  <c r="AV482" i="19"/>
  <c r="AV471" i="19"/>
  <c r="AV828" i="19"/>
  <c r="AV194" i="19"/>
  <c r="AV700" i="19"/>
  <c r="AV879" i="19"/>
  <c r="AV813" i="19"/>
  <c r="AV814" i="19"/>
  <c r="AV815" i="19"/>
  <c r="AV685" i="19"/>
  <c r="AV145" i="19"/>
  <c r="AV269" i="19"/>
  <c r="AV270" i="19"/>
  <c r="AV501" i="19"/>
  <c r="AV49" i="19"/>
  <c r="AV50" i="19"/>
  <c r="AV62" i="19"/>
  <c r="AV86" i="19"/>
  <c r="AV102" i="19"/>
  <c r="AV37" i="19"/>
  <c r="AV117" i="19"/>
  <c r="AV263" i="19"/>
  <c r="AV63" i="19"/>
  <c r="AV64" i="19"/>
  <c r="AV118" i="19"/>
  <c r="AV741" i="19"/>
  <c r="AV742" i="19"/>
  <c r="AV743" i="19"/>
  <c r="AV190" i="19"/>
  <c r="AV617" i="19"/>
  <c r="AV773" i="19"/>
  <c r="AV627" i="19"/>
  <c r="AV149" i="19"/>
  <c r="AV150" i="19"/>
  <c r="AV582" i="19"/>
  <c r="AV916" i="19"/>
  <c r="AV347" i="19"/>
  <c r="AV349" i="19"/>
  <c r="AV350" i="19"/>
  <c r="AV781" i="19"/>
  <c r="AV782" i="19"/>
  <c r="AV783" i="19"/>
  <c r="AV530" i="19"/>
  <c r="AV759" i="19"/>
  <c r="AV340" i="19"/>
  <c r="AV915" i="19"/>
  <c r="AV523" i="19"/>
  <c r="AV878" i="19"/>
  <c r="AV205" i="19"/>
  <c r="AV206" i="19"/>
  <c r="AV525" i="19"/>
  <c r="AV521" i="19"/>
  <c r="AV207" i="19"/>
  <c r="AV491" i="19"/>
  <c r="AV351" i="19"/>
  <c r="AV208" i="19"/>
  <c r="AV943" i="19"/>
  <c r="AV619" i="19"/>
  <c r="AV860" i="19"/>
  <c r="AV861" i="19"/>
  <c r="AV862" i="19"/>
  <c r="AV863" i="19"/>
  <c r="AV760" i="19"/>
  <c r="AV334" i="19"/>
  <c r="AV513" i="19"/>
  <c r="AV744" i="19"/>
  <c r="AV589" i="19"/>
  <c r="AV43" i="19"/>
  <c r="AV375" i="19"/>
  <c r="AV245" i="19"/>
  <c r="AV907" i="19"/>
  <c r="AV854" i="19"/>
  <c r="AV747" i="19"/>
  <c r="AV383" i="19"/>
  <c r="AV905" i="19"/>
  <c r="AV870" i="19"/>
  <c r="AV803" i="19"/>
  <c r="AV804" i="19"/>
  <c r="AV805" i="19"/>
  <c r="AV806" i="19"/>
  <c r="AV807" i="19"/>
  <c r="AV731" i="19"/>
  <c r="AV798" i="19"/>
  <c r="AV799" i="19"/>
  <c r="AV800" i="19"/>
  <c r="AV776" i="19"/>
  <c r="AV413" i="19"/>
  <c r="AV703" i="19"/>
  <c r="AV808" i="19"/>
  <c r="AV153" i="19"/>
  <c r="AV357" i="19"/>
  <c r="AV784" i="19"/>
  <c r="AV690" i="19"/>
  <c r="AV691" i="19"/>
  <c r="AV692" i="19"/>
  <c r="AV344" i="19"/>
  <c r="AV345" i="19"/>
  <c r="AV761" i="19"/>
  <c r="AV235" i="19"/>
  <c r="AV157" i="19"/>
  <c r="AV630" i="19"/>
  <c r="AV688" i="19"/>
  <c r="AV704" i="19"/>
  <c r="AV705" i="19"/>
  <c r="AV706" i="19"/>
  <c r="AV707" i="19"/>
  <c r="AV288" i="19"/>
  <c r="AV289" i="19"/>
  <c r="AV290" i="19"/>
  <c r="AV291" i="19"/>
  <c r="AV292" i="19"/>
  <c r="AV368" i="19"/>
  <c r="AV438" i="19"/>
  <c r="AV693" i="19"/>
  <c r="AV439" i="19"/>
  <c r="AV886" i="19"/>
  <c r="AV231" i="19"/>
  <c r="AV749" i="19"/>
  <c r="AV906" i="19"/>
  <c r="AV774" i="19"/>
  <c r="AV584" i="19"/>
  <c r="AV148" i="19"/>
  <c r="AV502" i="19"/>
  <c r="AV123" i="19"/>
  <c r="AV158" i="19"/>
  <c r="AV132" i="19"/>
  <c r="AV762" i="19"/>
  <c r="AV335" i="19"/>
  <c r="AV95" i="19"/>
  <c r="AV735" i="19"/>
  <c r="AV766" i="19"/>
  <c r="AV767" i="19"/>
  <c r="AV225" i="19"/>
  <c r="AV226" i="19"/>
  <c r="AV399" i="19"/>
  <c r="AV313" i="19"/>
  <c r="AV236" i="19"/>
  <c r="AV750" i="19"/>
  <c r="AV403" i="19"/>
  <c r="AV441" i="19"/>
  <c r="AV442" i="19"/>
  <c r="AV443" i="19"/>
  <c r="AV444" i="19"/>
  <c r="AV227" i="19"/>
  <c r="AV228" i="19"/>
  <c r="AV229" i="19"/>
  <c r="AV230" i="19"/>
  <c r="AV768" i="19"/>
  <c r="AV748" i="19"/>
  <c r="AV769" i="19"/>
  <c r="AV379" i="19"/>
  <c r="AV527" i="19"/>
  <c r="AV588" i="19"/>
  <c r="AV489" i="19"/>
  <c r="AV346" i="19"/>
  <c r="AV301" i="19"/>
  <c r="AV752" i="19"/>
  <c r="AV402" i="19"/>
  <c r="AV751" i="19"/>
  <c r="AV326" i="19"/>
  <c r="AV391" i="19"/>
  <c r="AV392" i="19"/>
  <c r="AV856" i="19"/>
  <c r="AV574" i="19"/>
  <c r="AV398" i="19"/>
  <c r="AV922" i="19"/>
  <c r="AV560" i="19"/>
  <c r="AV432" i="19"/>
  <c r="AV406" i="19"/>
  <c r="AV218" i="19"/>
  <c r="AV517" i="19"/>
  <c r="AV212" i="19"/>
  <c r="AV408" i="19"/>
  <c r="AV306" i="19"/>
  <c r="AV307" i="19"/>
  <c r="AV914" i="19"/>
  <c r="AV445" i="19"/>
  <c r="AV753" i="19"/>
  <c r="AV902" i="19"/>
  <c r="AV903" i="19"/>
  <c r="AV904" i="19"/>
  <c r="AV282" i="19"/>
  <c r="AV400" i="19"/>
  <c r="AV401" i="19"/>
  <c r="AV937" i="19"/>
  <c r="AV248" i="19"/>
  <c r="AV446" i="19"/>
  <c r="AV638" i="19"/>
  <c r="AV252" i="19"/>
  <c r="AV129" i="19"/>
  <c r="AV84" i="19"/>
  <c r="AV894" i="19"/>
  <c r="AV624" i="19"/>
  <c r="AV352" i="19"/>
  <c r="AV880" i="19"/>
  <c r="AV214" i="19"/>
  <c r="AV217" i="19"/>
  <c r="AV524" i="19"/>
  <c r="AV498" i="19"/>
  <c r="AV323" i="19"/>
  <c r="AV324" i="19"/>
  <c r="AV325" i="19"/>
  <c r="AV844" i="19"/>
  <c r="AV845" i="19"/>
  <c r="AV736" i="19"/>
  <c r="AV575" i="19"/>
  <c r="AV162" i="19"/>
  <c r="AV789" i="19"/>
  <c r="AV103" i="19"/>
  <c r="AV816" i="19"/>
  <c r="AV603" i="19"/>
  <c r="AV817" i="19"/>
  <c r="AV499" i="19"/>
  <c r="AV520" i="19"/>
  <c r="AV945" i="19"/>
  <c r="AV130" i="19"/>
  <c r="AV219" i="19"/>
  <c r="AV857" i="19"/>
  <c r="AV858" i="19"/>
  <c r="AV899" i="19"/>
  <c r="AV887" i="19"/>
  <c r="AV812" i="19"/>
  <c r="AV809" i="19"/>
  <c r="AV810" i="19"/>
  <c r="AV811" i="19"/>
  <c r="AV337" i="19"/>
  <c r="AV503" i="19"/>
  <c r="AV797" i="19"/>
  <c r="AV472" i="19"/>
  <c r="AV254" i="19"/>
  <c r="AV940" i="19"/>
  <c r="AV888" i="19"/>
  <c r="AV237" i="19"/>
  <c r="AV238" i="19"/>
  <c r="AV240" i="19"/>
  <c r="AV241" i="19"/>
  <c r="AV944" i="19"/>
  <c r="AV576" i="19"/>
  <c r="AV79" i="19"/>
  <c r="AV363" i="19"/>
  <c r="AV239" i="19"/>
  <c r="AV128" i="19"/>
  <c r="AV487" i="19"/>
  <c r="AV941" i="19"/>
  <c r="AV889" i="19"/>
  <c r="AV271" i="19"/>
  <c r="AV695" i="19"/>
  <c r="AV516" i="19"/>
  <c r="AV133" i="19"/>
  <c r="AV853" i="19"/>
  <c r="AV435" i="19"/>
  <c r="AV639" i="19"/>
  <c r="AV640" i="19"/>
  <c r="AV11" i="19"/>
  <c r="AV641" i="19"/>
  <c r="AV12" i="19"/>
  <c r="AV642" i="19"/>
  <c r="AV737" i="19"/>
  <c r="AV397" i="19"/>
  <c r="AV673" i="19"/>
  <c r="AV431" i="19"/>
  <c r="AV109" i="19"/>
  <c r="AV676" i="19"/>
  <c r="AV677" i="19"/>
  <c r="AV272" i="19"/>
  <c r="AV674" i="19"/>
  <c r="AV675" i="19"/>
  <c r="AV873" i="19"/>
  <c r="AV778" i="19"/>
  <c r="AV779" i="19"/>
  <c r="AV38" i="19"/>
  <c r="AV522" i="19"/>
  <c r="AV348" i="19"/>
  <c r="AV651" i="19"/>
  <c r="AV652" i="19"/>
  <c r="AV653" i="19"/>
  <c r="AV40" i="19"/>
  <c r="AV654" i="19"/>
  <c r="AV655" i="19"/>
  <c r="AV917" i="19"/>
  <c r="AV918" i="19"/>
  <c r="AV771" i="19"/>
  <c r="AV708" i="19"/>
  <c r="AV7" i="19"/>
  <c r="AV923" i="19"/>
  <c r="AV924" i="19"/>
  <c r="AV874" i="19"/>
  <c r="AV526" i="19"/>
  <c r="AV846" i="19"/>
  <c r="AV571" i="19"/>
  <c r="AV213" i="19"/>
  <c r="AV663" i="19"/>
  <c r="AV424" i="19"/>
  <c r="AV678" i="19"/>
  <c r="AV679" i="19"/>
  <c r="AV680" i="19"/>
  <c r="AV374" i="19"/>
  <c r="AV72" i="19"/>
  <c r="AV89" i="19"/>
  <c r="AV90" i="19"/>
  <c r="AV53" i="19"/>
  <c r="AV91" i="19"/>
  <c r="AV92" i="19"/>
  <c r="AV119" i="19"/>
  <c r="AV73" i="19"/>
  <c r="AV35" i="19"/>
  <c r="AV127" i="19"/>
  <c r="AV121" i="19"/>
  <c r="AV493" i="19"/>
  <c r="AV492" i="19"/>
  <c r="AV465" i="19"/>
  <c r="AV466" i="19"/>
  <c r="AV467" i="19"/>
  <c r="AV468" i="19"/>
  <c r="AV283" i="19"/>
  <c r="AV864" i="19"/>
  <c r="AV865" i="19"/>
  <c r="AV563" i="19"/>
  <c r="AV818" i="19"/>
  <c r="AV819" i="19"/>
  <c r="AV820" i="19"/>
  <c r="AV821" i="19"/>
  <c r="AV822" i="19"/>
  <c r="AV859" i="19"/>
  <c r="AV631" i="19"/>
  <c r="AV632" i="19"/>
  <c r="AV890" i="19"/>
  <c r="AV867" i="19"/>
  <c r="AV126" i="19"/>
  <c r="AV376" i="19"/>
  <c r="AV286" i="19"/>
  <c r="AV287" i="19"/>
  <c r="AV486" i="19"/>
  <c r="AV13" i="19"/>
  <c r="AV369" i="19"/>
  <c r="AV604" i="19"/>
  <c r="AV605" i="19"/>
  <c r="AV606" i="19"/>
  <c r="AV689" i="19"/>
  <c r="AV370" i="19"/>
  <c r="AV495" i="19"/>
  <c r="AV643" i="19"/>
  <c r="AV416" i="19"/>
  <c r="AV447" i="19"/>
  <c r="AV448" i="19"/>
  <c r="AV414" i="19"/>
  <c r="AV124" i="19"/>
  <c r="AV496" i="19"/>
  <c r="AV410" i="19"/>
  <c r="AV411" i="19"/>
  <c r="AV497" i="19"/>
  <c r="AV785" i="19"/>
  <c r="AV801" i="19"/>
  <c r="AV802" i="19"/>
  <c r="AV709" i="19"/>
  <c r="AV710" i="19"/>
  <c r="AV926" i="19"/>
  <c r="AV927" i="19"/>
  <c r="AV928" i="19"/>
  <c r="AV711" i="19"/>
  <c r="AV712" i="19"/>
  <c r="AV713" i="19"/>
  <c r="AV714" i="19"/>
  <c r="AV715" i="19"/>
  <c r="AV929" i="19"/>
  <c r="AV930" i="19"/>
  <c r="AV931" i="19"/>
  <c r="AV932" i="19"/>
  <c r="AV933" i="19"/>
  <c r="AV934" i="19"/>
  <c r="AV935" i="19"/>
  <c r="AV716" i="19"/>
  <c r="AV717" i="19"/>
  <c r="AV718" i="19"/>
  <c r="AV719" i="19"/>
  <c r="AV720" i="19"/>
  <c r="AV721" i="19"/>
  <c r="AV722" i="19"/>
  <c r="AV723" i="19"/>
  <c r="AV724" i="19"/>
  <c r="AV156" i="19"/>
  <c r="AV463" i="19"/>
  <c r="AV515" i="19"/>
  <c r="AV514" i="19"/>
  <c r="AV433" i="19"/>
  <c r="AV725" i="19"/>
  <c r="AV726" i="19"/>
  <c r="AV727" i="19"/>
  <c r="AV728" i="19"/>
  <c r="AV729" i="19"/>
  <c r="AV371" i="19"/>
  <c r="AV608" i="19"/>
  <c r="AV155" i="19"/>
  <c r="AV644" i="19"/>
  <c r="AV645" i="19"/>
  <c r="AV664" i="19"/>
  <c r="AV18" i="19"/>
  <c r="AV32" i="19"/>
  <c r="AV665" i="19"/>
  <c r="AV666" i="19"/>
  <c r="AV421" i="19"/>
  <c r="AV74" i="19"/>
  <c r="AV14" i="19"/>
  <c r="AV681" i="19"/>
  <c r="AV646" i="19"/>
  <c r="AV647" i="19"/>
  <c r="AV417" i="19"/>
  <c r="AV671" i="19"/>
  <c r="AV159" i="19"/>
  <c r="AV891" i="19"/>
  <c r="AV580" i="19"/>
  <c r="AV577" i="19"/>
  <c r="AV578" i="19"/>
  <c r="AV579" i="19"/>
  <c r="AV15" i="19"/>
  <c r="AV16" i="19"/>
  <c r="AV17" i="19"/>
  <c r="AV648" i="19"/>
  <c r="AV897" i="19"/>
  <c r="AV425" i="19"/>
  <c r="AV113" i="19"/>
  <c r="AV10" i="19"/>
  <c r="AV122" i="19"/>
  <c r="AV534" i="19"/>
  <c r="AV535" i="19"/>
  <c r="AV536" i="19"/>
  <c r="AV45" i="19"/>
  <c r="AV537" i="19"/>
  <c r="AV538" i="19"/>
  <c r="AV539" i="19"/>
  <c r="AV540" i="19"/>
  <c r="AV541" i="19"/>
  <c r="AV542" i="19"/>
  <c r="AV543" i="19"/>
  <c r="AV544" i="19"/>
  <c r="AV545" i="19"/>
  <c r="AV546" i="19"/>
  <c r="AV547" i="19"/>
  <c r="AV548" i="19"/>
  <c r="AV549" i="19"/>
  <c r="AV550" i="19"/>
  <c r="AV551" i="19"/>
  <c r="AV552" i="19"/>
  <c r="AV553" i="19"/>
  <c r="AV554" i="19"/>
  <c r="AV555" i="19"/>
  <c r="AV556" i="19"/>
  <c r="AV738" i="19"/>
  <c r="AV739" i="19"/>
  <c r="AV557" i="19"/>
  <c r="AV558" i="19"/>
  <c r="AV48" i="19"/>
  <c r="AV160" i="19"/>
  <c r="AV46" i="19"/>
  <c r="AV682" i="19"/>
  <c r="AV42" i="19"/>
  <c r="AV27" i="19"/>
  <c r="AV28" i="19"/>
  <c r="AV29" i="19"/>
  <c r="AV111" i="19"/>
  <c r="AV25" i="19"/>
  <c r="AV19" i="19"/>
  <c r="AV20" i="19"/>
  <c r="AV881" i="19"/>
  <c r="AV34" i="19"/>
  <c r="AV30" i="19"/>
  <c r="AV21" i="19"/>
  <c r="AV22" i="19"/>
  <c r="AV23" i="19"/>
  <c r="AV24" i="19"/>
  <c r="AV732" i="19"/>
  <c r="AV730" i="19"/>
  <c r="AV702" i="19"/>
  <c r="AU938" i="19"/>
  <c r="AU202" i="19"/>
  <c r="AU165" i="19"/>
  <c r="AU172" i="19"/>
  <c r="AU533" i="19"/>
  <c r="AU913" i="19"/>
  <c r="AU210" i="19"/>
  <c r="AU360" i="19"/>
  <c r="AU361" i="19"/>
  <c r="AU787" i="19"/>
  <c r="AU770" i="19"/>
  <c r="AU755" i="19"/>
  <c r="AU211" i="19"/>
  <c r="AU745" i="19"/>
  <c r="AU746" i="19"/>
  <c r="AU936" i="19"/>
  <c r="AU151" i="19"/>
  <c r="AU733" i="19"/>
  <c r="AU909" i="19"/>
  <c r="AU341" i="19"/>
  <c r="AU322" i="19"/>
  <c r="AU882" i="19"/>
  <c r="AU898" i="19"/>
  <c r="AU601" i="19"/>
  <c r="AU920" i="19"/>
  <c r="AU921" i="19"/>
  <c r="AU457" i="19"/>
  <c r="AU280" i="19"/>
  <c r="AU319" i="19"/>
  <c r="AU320" i="19"/>
  <c r="AU321" i="19"/>
  <c r="AU616" i="19"/>
  <c r="AU942" i="19"/>
  <c r="AU742" i="19"/>
  <c r="AU916" i="19"/>
  <c r="AU781" i="19"/>
  <c r="AU782" i="19"/>
  <c r="AU783" i="19"/>
  <c r="AU759" i="19"/>
  <c r="AU491" i="19"/>
  <c r="AU760" i="19"/>
  <c r="AU907" i="19"/>
  <c r="AU905" i="19"/>
  <c r="AU807" i="19"/>
  <c r="AU731" i="19"/>
  <c r="AU808" i="19"/>
  <c r="AU153" i="19"/>
  <c r="AU357" i="19"/>
  <c r="AU704" i="19"/>
  <c r="AU707" i="19"/>
  <c r="AU288" i="19"/>
  <c r="AU289" i="19"/>
  <c r="AU292" i="19"/>
  <c r="AU906" i="19"/>
  <c r="AU158" i="19"/>
  <c r="AU346" i="19"/>
  <c r="AU752" i="19"/>
  <c r="AU402" i="19"/>
  <c r="AU398" i="19"/>
  <c r="AU212" i="19"/>
  <c r="AU894" i="19"/>
  <c r="AU323" i="19"/>
  <c r="AU324" i="19"/>
  <c r="AU844" i="19"/>
  <c r="AU845" i="19"/>
  <c r="AU945" i="19"/>
  <c r="AU812" i="19"/>
  <c r="AU809" i="19"/>
  <c r="AU810" i="19"/>
  <c r="AU940" i="19"/>
  <c r="AU888" i="19"/>
  <c r="AU944" i="19"/>
  <c r="AU917" i="19"/>
  <c r="AU918" i="19"/>
  <c r="AU708" i="19"/>
  <c r="AU923" i="19"/>
  <c r="AU924" i="19"/>
  <c r="AU286" i="19"/>
  <c r="AU801" i="19"/>
  <c r="AU802" i="19"/>
  <c r="AU929" i="19"/>
  <c r="AU930" i="19"/>
  <c r="AU931" i="19"/>
  <c r="AU932" i="19"/>
  <c r="AU719" i="19"/>
  <c r="AU720" i="19"/>
  <c r="AU722" i="19"/>
  <c r="AU723" i="19"/>
  <c r="AU728" i="19"/>
  <c r="AU729" i="19"/>
  <c r="AU891" i="19"/>
  <c r="AU738" i="19"/>
  <c r="AT938" i="19"/>
  <c r="AT202" i="19"/>
  <c r="AT165" i="19"/>
  <c r="AT172" i="19"/>
  <c r="AT533" i="19"/>
  <c r="AT913" i="19"/>
  <c r="AT210" i="19"/>
  <c r="AT360" i="19"/>
  <c r="AT361" i="19"/>
  <c r="AT787" i="19"/>
  <c r="AT770" i="19"/>
  <c r="AT755" i="19"/>
  <c r="AT211" i="19"/>
  <c r="AT745" i="19"/>
  <c r="AT746" i="19"/>
  <c r="AT936" i="19"/>
  <c r="AT151" i="19"/>
  <c r="AT733" i="19"/>
  <c r="AT909" i="19"/>
  <c r="AT341" i="19"/>
  <c r="AT322" i="19"/>
  <c r="AT882" i="19"/>
  <c r="AT898" i="19"/>
  <c r="AT601" i="19"/>
  <c r="AT920" i="19"/>
  <c r="AT921" i="19"/>
  <c r="AT457" i="19"/>
  <c r="AT280" i="19"/>
  <c r="AT319" i="19"/>
  <c r="AT320" i="19"/>
  <c r="AT321" i="19"/>
  <c r="AT616" i="19"/>
  <c r="AT942" i="19"/>
  <c r="AT742" i="19"/>
  <c r="AT916" i="19"/>
  <c r="AT781" i="19"/>
  <c r="AT782" i="19"/>
  <c r="AT783" i="19"/>
  <c r="AT759" i="19"/>
  <c r="AT491" i="19"/>
  <c r="AT760" i="19"/>
  <c r="AT907" i="19"/>
  <c r="AT905" i="19"/>
  <c r="AT807" i="19"/>
  <c r="AT731" i="19"/>
  <c r="AT808" i="19"/>
  <c r="AT153" i="19"/>
  <c r="AT357" i="19"/>
  <c r="AT704" i="19"/>
  <c r="AT707" i="19"/>
  <c r="AT288" i="19"/>
  <c r="AT289" i="19"/>
  <c r="AT292" i="19"/>
  <c r="AT906" i="19"/>
  <c r="AT158" i="19"/>
  <c r="AT346" i="19"/>
  <c r="AT752" i="19"/>
  <c r="AT402" i="19"/>
  <c r="AT398" i="19"/>
  <c r="AT212" i="19"/>
  <c r="AT894" i="19"/>
  <c r="AT323" i="19"/>
  <c r="AT324" i="19"/>
  <c r="AT844" i="19"/>
  <c r="AT845" i="19"/>
  <c r="AT945" i="19"/>
  <c r="AT812" i="19"/>
  <c r="AT809" i="19"/>
  <c r="AT810" i="19"/>
  <c r="AT940" i="19"/>
  <c r="AT888" i="19"/>
  <c r="AT944" i="19"/>
  <c r="AT917" i="19"/>
  <c r="AT918" i="19"/>
  <c r="AT708" i="19"/>
  <c r="AT923" i="19"/>
  <c r="AT924" i="19"/>
  <c r="AT286" i="19"/>
  <c r="AT801" i="19"/>
  <c r="AT802" i="19"/>
  <c r="AT929" i="19"/>
  <c r="AT930" i="19"/>
  <c r="AT931" i="19"/>
  <c r="AT932" i="19"/>
  <c r="AT719" i="19"/>
  <c r="AT720" i="19"/>
  <c r="AT722" i="19"/>
  <c r="AT723" i="19"/>
  <c r="AT728" i="19"/>
  <c r="AT729" i="19"/>
  <c r="AT891" i="19"/>
  <c r="AT738" i="19"/>
  <c r="AS939" i="19"/>
  <c r="AS581" i="19"/>
  <c r="AS144" i="19"/>
  <c r="AS273" i="19"/>
  <c r="AS134" i="19"/>
  <c r="AS418" i="19"/>
  <c r="AS9" i="19"/>
  <c r="AS429" i="19"/>
  <c r="AS146" i="19"/>
  <c r="AS136" i="19"/>
  <c r="AS426" i="19"/>
  <c r="AS96" i="19"/>
  <c r="AS152" i="19"/>
  <c r="AS667" i="19"/>
  <c r="AS649" i="19"/>
  <c r="AS255" i="19"/>
  <c r="AS650" i="19"/>
  <c r="AS419" i="19"/>
  <c r="AS422" i="19"/>
  <c r="AS423" i="19"/>
  <c r="AS54" i="19"/>
  <c r="AS26" i="19"/>
  <c r="AS358" i="19"/>
  <c r="AS264" i="19"/>
  <c r="AS51" i="19"/>
  <c r="AS47" i="19"/>
  <c r="AS359" i="19"/>
  <c r="AS131" i="19"/>
  <c r="AS8" i="19"/>
  <c r="AS484" i="19"/>
  <c r="AS209" i="19"/>
  <c r="AS910" i="19"/>
  <c r="AS593" i="19"/>
  <c r="AS594" i="19"/>
  <c r="AS595" i="19"/>
  <c r="AS573" i="19"/>
  <c r="AS494" i="19"/>
  <c r="AS469" i="19"/>
  <c r="AS621" i="19"/>
  <c r="AS500" i="19"/>
  <c r="AS173" i="19"/>
  <c r="AS100" i="19"/>
  <c r="AS174" i="19"/>
  <c r="AS596" i="19"/>
  <c r="AS175" i="19"/>
  <c r="AS364" i="19"/>
  <c r="AS176" i="19"/>
  <c r="AS177" i="19"/>
  <c r="AS178" i="19"/>
  <c r="AS232" i="19"/>
  <c r="AS164" i="19"/>
  <c r="AS36" i="19"/>
  <c r="AS754" i="19"/>
  <c r="AS938" i="19"/>
  <c r="AS310" i="19"/>
  <c r="AS311" i="19"/>
  <c r="AS473" i="19"/>
  <c r="AS790" i="19"/>
  <c r="AS179" i="19"/>
  <c r="AS474" i="19"/>
  <c r="AS55" i="19"/>
  <c r="AS430" i="19"/>
  <c r="AS607" i="19"/>
  <c r="AS114" i="19"/>
  <c r="AS180" i="19"/>
  <c r="AS475" i="19"/>
  <c r="AS791" i="19"/>
  <c r="AS476" i="19"/>
  <c r="AS381" i="19"/>
  <c r="AS610" i="19"/>
  <c r="AS314" i="19"/>
  <c r="AS193" i="19"/>
  <c r="AS312" i="19"/>
  <c r="AS101" i="19"/>
  <c r="AS628" i="19"/>
  <c r="AS222" i="19"/>
  <c r="AS223" i="19"/>
  <c r="AS620" i="19"/>
  <c r="AS308" i="19"/>
  <c r="AS696" i="19"/>
  <c r="AS99" i="19"/>
  <c r="AS477" i="19"/>
  <c r="AS198" i="19"/>
  <c r="AS199" i="19"/>
  <c r="AS181" i="19"/>
  <c r="AS182" i="19"/>
  <c r="AS683" i="19"/>
  <c r="AS202" i="19"/>
  <c r="AS504" i="19"/>
  <c r="AS505" i="19"/>
  <c r="AS506" i="19"/>
  <c r="AS407" i="19"/>
  <c r="AS507" i="19"/>
  <c r="AS382" i="19"/>
  <c r="AS635" i="19"/>
  <c r="AS108" i="19"/>
  <c r="AS436" i="19"/>
  <c r="AS338" i="19"/>
  <c r="AS772" i="19"/>
  <c r="AS247" i="19"/>
  <c r="AS829" i="19"/>
  <c r="AS698" i="19"/>
  <c r="AS147" i="19"/>
  <c r="AS6" i="19"/>
  <c r="AS135" i="19"/>
  <c r="AS295" i="19"/>
  <c r="AS246" i="19"/>
  <c r="AS528" i="19"/>
  <c r="AS440" i="19"/>
  <c r="AS233" i="19"/>
  <c r="AS234" i="19"/>
  <c r="AS561" i="19"/>
  <c r="AS293" i="19"/>
  <c r="AS191" i="19"/>
  <c r="AS611" i="19"/>
  <c r="AS315" i="19"/>
  <c r="AS336" i="19"/>
  <c r="AS80" i="19"/>
  <c r="AS165" i="19"/>
  <c r="AS763" i="19"/>
  <c r="AS83" i="19"/>
  <c r="AS221" i="19"/>
  <c r="AS172" i="19"/>
  <c r="AS166" i="19"/>
  <c r="AS167" i="19"/>
  <c r="AS112" i="19"/>
  <c r="AS764" i="19"/>
  <c r="AS168" i="19"/>
  <c r="AS170" i="19"/>
  <c r="AS672" i="19"/>
  <c r="AS765" i="19"/>
  <c r="AS625" i="19"/>
  <c r="AS242" i="19"/>
  <c r="AS531" i="19"/>
  <c r="AS532" i="19"/>
  <c r="AS243" i="19"/>
  <c r="AS244" i="19"/>
  <c r="AS488" i="19"/>
  <c r="AS107" i="19"/>
  <c r="AS393" i="19"/>
  <c r="AS394" i="19"/>
  <c r="AS684" i="19"/>
  <c r="AS464" i="19"/>
  <c r="AS183" i="19"/>
  <c r="AS184" i="19"/>
  <c r="AS4" i="19"/>
  <c r="AS636" i="19"/>
  <c r="AS668" i="19"/>
  <c r="AS427" i="19"/>
  <c r="AS533" i="19"/>
  <c r="AS75" i="19"/>
  <c r="AS76" i="19"/>
  <c r="AS97" i="19"/>
  <c r="AS372" i="19"/>
  <c r="AS373" i="19"/>
  <c r="AS256" i="19"/>
  <c r="AS622" i="19"/>
  <c r="AS478" i="19"/>
  <c r="AS913" i="19"/>
  <c r="AS479" i="19"/>
  <c r="AS480" i="19"/>
  <c r="AS224" i="19"/>
  <c r="AS866" i="19"/>
  <c r="AS830" i="19"/>
  <c r="AS831" i="19"/>
  <c r="AS832" i="19"/>
  <c r="AS833" i="19"/>
  <c r="AS834" i="19"/>
  <c r="AS215" i="19"/>
  <c r="AS564" i="19"/>
  <c r="AS868" i="19"/>
  <c r="AS869" i="19"/>
  <c r="AS565" i="19"/>
  <c r="AS566" i="19"/>
  <c r="AS567" i="19"/>
  <c r="AS568" i="19"/>
  <c r="AS294" i="19"/>
  <c r="AS569" i="19"/>
  <c r="AS570" i="19"/>
  <c r="AS303" i="19"/>
  <c r="AS110" i="19"/>
  <c r="AS892" i="19"/>
  <c r="AS835" i="19"/>
  <c r="AS839" i="19"/>
  <c r="AS840" i="19"/>
  <c r="AS841" i="19"/>
  <c r="AS842" i="19"/>
  <c r="AS843" i="19"/>
  <c r="AS296" i="19"/>
  <c r="AS297" i="19"/>
  <c r="AS694" i="19"/>
  <c r="AS656" i="19"/>
  <c r="AS697" i="19"/>
  <c r="AS824" i="19"/>
  <c r="AS265" i="19"/>
  <c r="AS266" i="19"/>
  <c r="AS300" i="19"/>
  <c r="AS88" i="19"/>
  <c r="AS70" i="19"/>
  <c r="AS52" i="19"/>
  <c r="AS60" i="19"/>
  <c r="AS85" i="19"/>
  <c r="AS115" i="19"/>
  <c r="AS116" i="19"/>
  <c r="AS470" i="19"/>
  <c r="AS893" i="19"/>
  <c r="AS137" i="19"/>
  <c r="AS257" i="19"/>
  <c r="AS61" i="19"/>
  <c r="AS609" i="19"/>
  <c r="AS895" i="19"/>
  <c r="AS836" i="19"/>
  <c r="AS597" i="19"/>
  <c r="AS258" i="19"/>
  <c r="AS612" i="19"/>
  <c r="AS377" i="19"/>
  <c r="AS633" i="19"/>
  <c r="AS210" i="19"/>
  <c r="AS360" i="19"/>
  <c r="AS361" i="19"/>
  <c r="AS141" i="19"/>
  <c r="AS259" i="19"/>
  <c r="AS260" i="19"/>
  <c r="AS261" i="19"/>
  <c r="AS262" i="19"/>
  <c r="AS396" i="19"/>
  <c r="AS339" i="19"/>
  <c r="AS316" i="19"/>
  <c r="AS786" i="19"/>
  <c r="AS787" i="19"/>
  <c r="AS412" i="19"/>
  <c r="AS78" i="19"/>
  <c r="AS598" i="19"/>
  <c r="AS185" i="19"/>
  <c r="AS380" i="19"/>
  <c r="AS186" i="19"/>
  <c r="AS788" i="19"/>
  <c r="AS629" i="19"/>
  <c r="AS437" i="19"/>
  <c r="AS669" i="19"/>
  <c r="AS87" i="19"/>
  <c r="AS65" i="19"/>
  <c r="AS66" i="19"/>
  <c r="AS67" i="19"/>
  <c r="AS68" i="19"/>
  <c r="AS104" i="19"/>
  <c r="AS770" i="19"/>
  <c r="AS755" i="19"/>
  <c r="AS138" i="19"/>
  <c r="AS98" i="19"/>
  <c r="AS71" i="19"/>
  <c r="AS848" i="19"/>
  <c r="AS849" i="19"/>
  <c r="AS850" i="19"/>
  <c r="AS211" i="19"/>
  <c r="AS139" i="19"/>
  <c r="AS317" i="19"/>
  <c r="AS572" i="19"/>
  <c r="AS39" i="19"/>
  <c r="AS77" i="19"/>
  <c r="AS120" i="19"/>
  <c r="AS837" i="19"/>
  <c r="AS900" i="19"/>
  <c r="AS745" i="19"/>
  <c r="AS746" i="19"/>
  <c r="AS200" i="19"/>
  <c r="AS792" i="19"/>
  <c r="AS936" i="19"/>
  <c r="AS151" i="19"/>
  <c r="AS384" i="19"/>
  <c r="AS56" i="19"/>
  <c r="AS793" i="19"/>
  <c r="AS275" i="19"/>
  <c r="AS585" i="19"/>
  <c r="AS203" i="19"/>
  <c r="AS794" i="19"/>
  <c r="AS154" i="19"/>
  <c r="AS733" i="19"/>
  <c r="AS44" i="19"/>
  <c r="AS267" i="19"/>
  <c r="AS909" i="19"/>
  <c r="AS415" i="19"/>
  <c r="AS276" i="19"/>
  <c r="AS875" i="19"/>
  <c r="AS31" i="19"/>
  <c r="AS838" i="19"/>
  <c r="AS341" i="19"/>
  <c r="AS919" i="19"/>
  <c r="AS277" i="19"/>
  <c r="AS449" i="19"/>
  <c r="AS775" i="19"/>
  <c r="AS428" i="19"/>
  <c r="AS562" i="19"/>
  <c r="AS322" i="19"/>
  <c r="AS187" i="19"/>
  <c r="AS586" i="19"/>
  <c r="AS355" i="19"/>
  <c r="AS356" i="19"/>
  <c r="AS378" i="19"/>
  <c r="AS756" i="19"/>
  <c r="AS757" i="19"/>
  <c r="AS626" i="19"/>
  <c r="AS758" i="19"/>
  <c r="AS825" i="19"/>
  <c r="AS826" i="19"/>
  <c r="AS623" i="19"/>
  <c r="AS434" i="19"/>
  <c r="AS204" i="19"/>
  <c r="AS590" i="19"/>
  <c r="AS591" i="19"/>
  <c r="AS5" i="19"/>
  <c r="AS670" i="19"/>
  <c r="AS882" i="19"/>
  <c r="AS278" i="19"/>
  <c r="AS279" i="19"/>
  <c r="AS587" i="19"/>
  <c r="AS250" i="19"/>
  <c r="AS161" i="19"/>
  <c r="AS483" i="19"/>
  <c r="AS508" i="19"/>
  <c r="AS618" i="19"/>
  <c r="AS657" i="19"/>
  <c r="AS599" i="19"/>
  <c r="AS404" i="19"/>
  <c r="AS450" i="19"/>
  <c r="AS451" i="19"/>
  <c r="AS592" i="19"/>
  <c r="AS196" i="19"/>
  <c r="AS365" i="19"/>
  <c r="AS529" i="19"/>
  <c r="AS896" i="19"/>
  <c r="AS458" i="19"/>
  <c r="AS366" i="19"/>
  <c r="AS188" i="19"/>
  <c r="AS192" i="19"/>
  <c r="AS876" i="19"/>
  <c r="AS405" i="19"/>
  <c r="AS490" i="19"/>
  <c r="AS637" i="19"/>
  <c r="AS82" i="19"/>
  <c r="AS353" i="19"/>
  <c r="AS780" i="19"/>
  <c r="AS140" i="19"/>
  <c r="AS304" i="19"/>
  <c r="AS823" i="19"/>
  <c r="AS827" i="19"/>
  <c r="AS452" i="19"/>
  <c r="AS453" i="19"/>
  <c r="AS459" i="19"/>
  <c r="AS460" i="19"/>
  <c r="AS305" i="19"/>
  <c r="AS461" i="19"/>
  <c r="AS201" i="19"/>
  <c r="AS454" i="19"/>
  <c r="AS898" i="19"/>
  <c r="AS795" i="19"/>
  <c r="AS600" i="19"/>
  <c r="AS883" i="19"/>
  <c r="AS601" i="19"/>
  <c r="AS796" i="19"/>
  <c r="AS462" i="19"/>
  <c r="AS912" i="19"/>
  <c r="AS455" i="19"/>
  <c r="AS456" i="19"/>
  <c r="AS318" i="19"/>
  <c r="AS920" i="19"/>
  <c r="AS921" i="19"/>
  <c r="AS195" i="19"/>
  <c r="AS342" i="19"/>
  <c r="AS343" i="19"/>
  <c r="AS385" i="19"/>
  <c r="AS658" i="19"/>
  <c r="AS298" i="19"/>
  <c r="AS268" i="19"/>
  <c r="AS57" i="19"/>
  <c r="AS481" i="19"/>
  <c r="AS901" i="19"/>
  <c r="AS734" i="19"/>
  <c r="AS777" i="19"/>
  <c r="AS284" i="19"/>
  <c r="AS583" i="19"/>
  <c r="AS386" i="19"/>
  <c r="AS387" i="19"/>
  <c r="AS367" i="19"/>
  <c r="AS602" i="19"/>
  <c r="AS354" i="19"/>
  <c r="AS251" i="19"/>
  <c r="AS69" i="19"/>
  <c r="AS519" i="19"/>
  <c r="AS634" i="19"/>
  <c r="AS171" i="19"/>
  <c r="AS189" i="19"/>
  <c r="AS309" i="19"/>
  <c r="AS169" i="19"/>
  <c r="AS388" i="19"/>
  <c r="AS285" i="19"/>
  <c r="AS389" i="19"/>
  <c r="AS281" i="19"/>
  <c r="AS420" i="19"/>
  <c r="AS457" i="19"/>
  <c r="AS847" i="19"/>
  <c r="AS559" i="19"/>
  <c r="AS216" i="19"/>
  <c r="AS884" i="19"/>
  <c r="AS885" i="19"/>
  <c r="AS253" i="19"/>
  <c r="AS701" i="19"/>
  <c r="AS280" i="19"/>
  <c r="AS249" i="19"/>
  <c r="AS855" i="19"/>
  <c r="AS852" i="19"/>
  <c r="AS518" i="19"/>
  <c r="AS58" i="19"/>
  <c r="AS33" i="19"/>
  <c r="AS59" i="19"/>
  <c r="AS686" i="19"/>
  <c r="AS659" i="19"/>
  <c r="AS660" i="19"/>
  <c r="AS362" i="19"/>
  <c r="AS395" i="19"/>
  <c r="AS613" i="19"/>
  <c r="AS163" i="19"/>
  <c r="AS614" i="19"/>
  <c r="AS687" i="19"/>
  <c r="AS41" i="19"/>
  <c r="AS485" i="19"/>
  <c r="AS877" i="19"/>
  <c r="AS871" i="19"/>
  <c r="AS872" i="19"/>
  <c r="AS81" i="19"/>
  <c r="AS302" i="19"/>
  <c r="AS851" i="19"/>
  <c r="AS319" i="19"/>
  <c r="AS320" i="19"/>
  <c r="AS321" i="19"/>
  <c r="AS615" i="19"/>
  <c r="AS616" i="19"/>
  <c r="AS390" i="19"/>
  <c r="AS125" i="19"/>
  <c r="AS409" i="19"/>
  <c r="AS220" i="19"/>
  <c r="AS661" i="19"/>
  <c r="AS274" i="19"/>
  <c r="AS93" i="19"/>
  <c r="AS662" i="19"/>
  <c r="AS908" i="19"/>
  <c r="AS942" i="19"/>
  <c r="AS925" i="19"/>
  <c r="AS699" i="19"/>
  <c r="AS197" i="19"/>
  <c r="AS299" i="19"/>
  <c r="AS142" i="19"/>
  <c r="AS143" i="19"/>
  <c r="AS911" i="19"/>
  <c r="AS327" i="19"/>
  <c r="AS328" i="19"/>
  <c r="AS329" i="19"/>
  <c r="AS105" i="19"/>
  <c r="AS330" i="19"/>
  <c r="AS740" i="19"/>
  <c r="AS94" i="19"/>
  <c r="AS106" i="19"/>
  <c r="AS331" i="19"/>
  <c r="AS332" i="19"/>
  <c r="AS509" i="19"/>
  <c r="AS510" i="19"/>
  <c r="AS511" i="19"/>
  <c r="AS512" i="19"/>
  <c r="AS333" i="19"/>
  <c r="AS482" i="19"/>
  <c r="AS471" i="19"/>
  <c r="AS828" i="19"/>
  <c r="AS194" i="19"/>
  <c r="AS700" i="19"/>
  <c r="AS879" i="19"/>
  <c r="AS813" i="19"/>
  <c r="AS814" i="19"/>
  <c r="AS815" i="19"/>
  <c r="AS685" i="19"/>
  <c r="AS145" i="19"/>
  <c r="AS269" i="19"/>
  <c r="AS270" i="19"/>
  <c r="AS501" i="19"/>
  <c r="AS49" i="19"/>
  <c r="AS50" i="19"/>
  <c r="AS62" i="19"/>
  <c r="AS86" i="19"/>
  <c r="AS102" i="19"/>
  <c r="AS37" i="19"/>
  <c r="AS117" i="19"/>
  <c r="AS263" i="19"/>
  <c r="AS63" i="19"/>
  <c r="AS64" i="19"/>
  <c r="AS118" i="19"/>
  <c r="AS741" i="19"/>
  <c r="AS742" i="19"/>
  <c r="AS743" i="19"/>
  <c r="AS190" i="19"/>
  <c r="AS617" i="19"/>
  <c r="AS773" i="19"/>
  <c r="AS627" i="19"/>
  <c r="AS149" i="19"/>
  <c r="AS150" i="19"/>
  <c r="AS582" i="19"/>
  <c r="AS916" i="19"/>
  <c r="AS347" i="19"/>
  <c r="AS349" i="19"/>
  <c r="AS350" i="19"/>
  <c r="AS781" i="19"/>
  <c r="AS782" i="19"/>
  <c r="AS783" i="19"/>
  <c r="AS530" i="19"/>
  <c r="AS759" i="19"/>
  <c r="AS340" i="19"/>
  <c r="AS915" i="19"/>
  <c r="AS523" i="19"/>
  <c r="AS878" i="19"/>
  <c r="AS205" i="19"/>
  <c r="AS206" i="19"/>
  <c r="AS525" i="19"/>
  <c r="AS521" i="19"/>
  <c r="AS207" i="19"/>
  <c r="AS491" i="19"/>
  <c r="AS351" i="19"/>
  <c r="AS208" i="19"/>
  <c r="AS943" i="19"/>
  <c r="AS619" i="19"/>
  <c r="AS860" i="19"/>
  <c r="AS861" i="19"/>
  <c r="AS862" i="19"/>
  <c r="AS863" i="19"/>
  <c r="AS760" i="19"/>
  <c r="AS334" i="19"/>
  <c r="AS513" i="19"/>
  <c r="AS744" i="19"/>
  <c r="AS589" i="19"/>
  <c r="AS43" i="19"/>
  <c r="AS375" i="19"/>
  <c r="AS245" i="19"/>
  <c r="AS907" i="19"/>
  <c r="AS854" i="19"/>
  <c r="AS747" i="19"/>
  <c r="AS383" i="19"/>
  <c r="AS905" i="19"/>
  <c r="AS870" i="19"/>
  <c r="AS803" i="19"/>
  <c r="AS804" i="19"/>
  <c r="AS805" i="19"/>
  <c r="AS806" i="19"/>
  <c r="AS807" i="19"/>
  <c r="AS731" i="19"/>
  <c r="AS798" i="19"/>
  <c r="AS799" i="19"/>
  <c r="AS800" i="19"/>
  <c r="AS776" i="19"/>
  <c r="AS413" i="19"/>
  <c r="AS703" i="19"/>
  <c r="AS808" i="19"/>
  <c r="AS153" i="19"/>
  <c r="AS357" i="19"/>
  <c r="AS784" i="19"/>
  <c r="AS690" i="19"/>
  <c r="AS691" i="19"/>
  <c r="AS692" i="19"/>
  <c r="AS344" i="19"/>
  <c r="AS345" i="19"/>
  <c r="AS761" i="19"/>
  <c r="AS235" i="19"/>
  <c r="AS157" i="19"/>
  <c r="AS630" i="19"/>
  <c r="AS688" i="19"/>
  <c r="AS704" i="19"/>
  <c r="AS705" i="19"/>
  <c r="AS706" i="19"/>
  <c r="AS707" i="19"/>
  <c r="AS288" i="19"/>
  <c r="AS289" i="19"/>
  <c r="AS290" i="19"/>
  <c r="AS291" i="19"/>
  <c r="AS292" i="19"/>
  <c r="AS368" i="19"/>
  <c r="AS438" i="19"/>
  <c r="AS693" i="19"/>
  <c r="AS439" i="19"/>
  <c r="AS886" i="19"/>
  <c r="AS231" i="19"/>
  <c r="AS749" i="19"/>
  <c r="AS906" i="19"/>
  <c r="AS774" i="19"/>
  <c r="AS584" i="19"/>
  <c r="AS148" i="19"/>
  <c r="AS502" i="19"/>
  <c r="AS123" i="19"/>
  <c r="AS158" i="19"/>
  <c r="AS132" i="19"/>
  <c r="AS762" i="19"/>
  <c r="AS335" i="19"/>
  <c r="AS95" i="19"/>
  <c r="AS735" i="19"/>
  <c r="AS766" i="19"/>
  <c r="AS767" i="19"/>
  <c r="AS225" i="19"/>
  <c r="AS226" i="19"/>
  <c r="AS399" i="19"/>
  <c r="AS313" i="19"/>
  <c r="AS236" i="19"/>
  <c r="AS750" i="19"/>
  <c r="AS403" i="19"/>
  <c r="AS441" i="19"/>
  <c r="AS442" i="19"/>
  <c r="AS443" i="19"/>
  <c r="AS444" i="19"/>
  <c r="AS227" i="19"/>
  <c r="AS228" i="19"/>
  <c r="AS229" i="19"/>
  <c r="AS230" i="19"/>
  <c r="AS768" i="19"/>
  <c r="AS748" i="19"/>
  <c r="AS769" i="19"/>
  <c r="AS379" i="19"/>
  <c r="AS527" i="19"/>
  <c r="AS588" i="19"/>
  <c r="AS489" i="19"/>
  <c r="AS346" i="19"/>
  <c r="AS301" i="19"/>
  <c r="AS752" i="19"/>
  <c r="AS402" i="19"/>
  <c r="AS751" i="19"/>
  <c r="AS326" i="19"/>
  <c r="AS391" i="19"/>
  <c r="AS392" i="19"/>
  <c r="AS856" i="19"/>
  <c r="AS574" i="19"/>
  <c r="AS398" i="19"/>
  <c r="AS922" i="19"/>
  <c r="AS560" i="19"/>
  <c r="AS432" i="19"/>
  <c r="AS406" i="19"/>
  <c r="AS218" i="19"/>
  <c r="AS517" i="19"/>
  <c r="AS212" i="19"/>
  <c r="AS408" i="19"/>
  <c r="AS306" i="19"/>
  <c r="AS307" i="19"/>
  <c r="AS914" i="19"/>
  <c r="AS445" i="19"/>
  <c r="AS753" i="19"/>
  <c r="AS902" i="19"/>
  <c r="AS903" i="19"/>
  <c r="AS904" i="19"/>
  <c r="AS282" i="19"/>
  <c r="AS400" i="19"/>
  <c r="AS401" i="19"/>
  <c r="AS937" i="19"/>
  <c r="AS248" i="19"/>
  <c r="AS446" i="19"/>
  <c r="AS638" i="19"/>
  <c r="AS252" i="19"/>
  <c r="AS129" i="19"/>
  <c r="AS84" i="19"/>
  <c r="AS894" i="19"/>
  <c r="AS624" i="19"/>
  <c r="AS352" i="19"/>
  <c r="AS880" i="19"/>
  <c r="AS214" i="19"/>
  <c r="AS217" i="19"/>
  <c r="AS524" i="19"/>
  <c r="AS498" i="19"/>
  <c r="AS323" i="19"/>
  <c r="AS324" i="19"/>
  <c r="AS325" i="19"/>
  <c r="AS844" i="19"/>
  <c r="AS845" i="19"/>
  <c r="AS736" i="19"/>
  <c r="AS575" i="19"/>
  <c r="AS162" i="19"/>
  <c r="AS789" i="19"/>
  <c r="AS103" i="19"/>
  <c r="AS816" i="19"/>
  <c r="AS603" i="19"/>
  <c r="AS817" i="19"/>
  <c r="AS499" i="19"/>
  <c r="AS520" i="19"/>
  <c r="AS945" i="19"/>
  <c r="AS130" i="19"/>
  <c r="AS219" i="19"/>
  <c r="AS857" i="19"/>
  <c r="AS858" i="19"/>
  <c r="AS899" i="19"/>
  <c r="AS887" i="19"/>
  <c r="AS812" i="19"/>
  <c r="AS809" i="19"/>
  <c r="AS810" i="19"/>
  <c r="AS811" i="19"/>
  <c r="AS337" i="19"/>
  <c r="AS503" i="19"/>
  <c r="AS797" i="19"/>
  <c r="AS472" i="19"/>
  <c r="AS254" i="19"/>
  <c r="AS940" i="19"/>
  <c r="AS888" i="19"/>
  <c r="AS237" i="19"/>
  <c r="AS238" i="19"/>
  <c r="AS240" i="19"/>
  <c r="AS241" i="19"/>
  <c r="AS944" i="19"/>
  <c r="AS576" i="19"/>
  <c r="AS79" i="19"/>
  <c r="AS363" i="19"/>
  <c r="AS239" i="19"/>
  <c r="AS128" i="19"/>
  <c r="AS487" i="19"/>
  <c r="AS941" i="19"/>
  <c r="AS889" i="19"/>
  <c r="AS271" i="19"/>
  <c r="AS695" i="19"/>
  <c r="AS516" i="19"/>
  <c r="AS133" i="19"/>
  <c r="AS853" i="19"/>
  <c r="AS435" i="19"/>
  <c r="AS639" i="19"/>
  <c r="AS640" i="19"/>
  <c r="AS11" i="19"/>
  <c r="AS641" i="19"/>
  <c r="AS12" i="19"/>
  <c r="AS642" i="19"/>
  <c r="AS737" i="19"/>
  <c r="AS397" i="19"/>
  <c r="AS673" i="19"/>
  <c r="AS431" i="19"/>
  <c r="AS109" i="19"/>
  <c r="AS676" i="19"/>
  <c r="AS677" i="19"/>
  <c r="AS272" i="19"/>
  <c r="AS674" i="19"/>
  <c r="AS675" i="19"/>
  <c r="AS873" i="19"/>
  <c r="AS778" i="19"/>
  <c r="AS779" i="19"/>
  <c r="AS38" i="19"/>
  <c r="AS522" i="19"/>
  <c r="AS348" i="19"/>
  <c r="AS651" i="19"/>
  <c r="AS652" i="19"/>
  <c r="AS653" i="19"/>
  <c r="AS40" i="19"/>
  <c r="AS654" i="19"/>
  <c r="AS655" i="19"/>
  <c r="AS917" i="19"/>
  <c r="AS918" i="19"/>
  <c r="AS771" i="19"/>
  <c r="AS708" i="19"/>
  <c r="AS7" i="19"/>
  <c r="AS923" i="19"/>
  <c r="AS924" i="19"/>
  <c r="AS874" i="19"/>
  <c r="AS526" i="19"/>
  <c r="AS846" i="19"/>
  <c r="AS571" i="19"/>
  <c r="AS213" i="19"/>
  <c r="AS663" i="19"/>
  <c r="AS424" i="19"/>
  <c r="AS678" i="19"/>
  <c r="AS679" i="19"/>
  <c r="AS680" i="19"/>
  <c r="AS374" i="19"/>
  <c r="AS72" i="19"/>
  <c r="AS89" i="19"/>
  <c r="AS90" i="19"/>
  <c r="AS53" i="19"/>
  <c r="AS91" i="19"/>
  <c r="AS92" i="19"/>
  <c r="AS119" i="19"/>
  <c r="AS73" i="19"/>
  <c r="AS35" i="19"/>
  <c r="AS127" i="19"/>
  <c r="AS121" i="19"/>
  <c r="AS493" i="19"/>
  <c r="AS492" i="19"/>
  <c r="AS465" i="19"/>
  <c r="AS466" i="19"/>
  <c r="AS467" i="19"/>
  <c r="AS468" i="19"/>
  <c r="AS283" i="19"/>
  <c r="AS864" i="19"/>
  <c r="AS865" i="19"/>
  <c r="AS563" i="19"/>
  <c r="AS818" i="19"/>
  <c r="AS819" i="19"/>
  <c r="AS820" i="19"/>
  <c r="AS821" i="19"/>
  <c r="AS822" i="19"/>
  <c r="AS859" i="19"/>
  <c r="AS631" i="19"/>
  <c r="AS632" i="19"/>
  <c r="AS890" i="19"/>
  <c r="AS867" i="19"/>
  <c r="AS126" i="19"/>
  <c r="AS376" i="19"/>
  <c r="AS286" i="19"/>
  <c r="AS287" i="19"/>
  <c r="AS486" i="19"/>
  <c r="AS13" i="19"/>
  <c r="AS369" i="19"/>
  <c r="AS604" i="19"/>
  <c r="AS605" i="19"/>
  <c r="AS606" i="19"/>
  <c r="AS689" i="19"/>
  <c r="AS370" i="19"/>
  <c r="AS495" i="19"/>
  <c r="AS643" i="19"/>
  <c r="AS416" i="19"/>
  <c r="AS447" i="19"/>
  <c r="AS448" i="19"/>
  <c r="AS414" i="19"/>
  <c r="AS124" i="19"/>
  <c r="AS496" i="19"/>
  <c r="AS410" i="19"/>
  <c r="AS411" i="19"/>
  <c r="AS497" i="19"/>
  <c r="AS785" i="19"/>
  <c r="AS801" i="19"/>
  <c r="AS802" i="19"/>
  <c r="AS709" i="19"/>
  <c r="AS710" i="19"/>
  <c r="AS926" i="19"/>
  <c r="AS927" i="19"/>
  <c r="AS928" i="19"/>
  <c r="AS711" i="19"/>
  <c r="AS712" i="19"/>
  <c r="AS713" i="19"/>
  <c r="AS714" i="19"/>
  <c r="AS715" i="19"/>
  <c r="AS929" i="19"/>
  <c r="AS930" i="19"/>
  <c r="AS931" i="19"/>
  <c r="AS932" i="19"/>
  <c r="AS933" i="19"/>
  <c r="AS934" i="19"/>
  <c r="AS935" i="19"/>
  <c r="AS716" i="19"/>
  <c r="AS717" i="19"/>
  <c r="AS718" i="19"/>
  <c r="AS719" i="19"/>
  <c r="AS720" i="19"/>
  <c r="AS721" i="19"/>
  <c r="AS722" i="19"/>
  <c r="AS723" i="19"/>
  <c r="AS724" i="19"/>
  <c r="AS156" i="19"/>
  <c r="AS463" i="19"/>
  <c r="AS515" i="19"/>
  <c r="AS514" i="19"/>
  <c r="AS433" i="19"/>
  <c r="AS725" i="19"/>
  <c r="AS726" i="19"/>
  <c r="AS727" i="19"/>
  <c r="AS728" i="19"/>
  <c r="AS729" i="19"/>
  <c r="AS371" i="19"/>
  <c r="AS608" i="19"/>
  <c r="AS155" i="19"/>
  <c r="AS644" i="19"/>
  <c r="AS645" i="19"/>
  <c r="AS664" i="19"/>
  <c r="AS18" i="19"/>
  <c r="AS32" i="19"/>
  <c r="AS665" i="19"/>
  <c r="AS666" i="19"/>
  <c r="AS421" i="19"/>
  <c r="AS74" i="19"/>
  <c r="AS14" i="19"/>
  <c r="AS681" i="19"/>
  <c r="AS646" i="19"/>
  <c r="AS647" i="19"/>
  <c r="AS417" i="19"/>
  <c r="AS671" i="19"/>
  <c r="AS159" i="19"/>
  <c r="AS891" i="19"/>
  <c r="AS580" i="19"/>
  <c r="AS577" i="19"/>
  <c r="AS578" i="19"/>
  <c r="AS579" i="19"/>
  <c r="AS15" i="19"/>
  <c r="AS16" i="19"/>
  <c r="AS17" i="19"/>
  <c r="AS648" i="19"/>
  <c r="AS897" i="19"/>
  <c r="AS425" i="19"/>
  <c r="AS113" i="19"/>
  <c r="AS10" i="19"/>
  <c r="AS122" i="19"/>
  <c r="AS534" i="19"/>
  <c r="AS535" i="19"/>
  <c r="AS536" i="19"/>
  <c r="AS45" i="19"/>
  <c r="AS537" i="19"/>
  <c r="AS538" i="19"/>
  <c r="AS539" i="19"/>
  <c r="AS540" i="19"/>
  <c r="AS541" i="19"/>
  <c r="AS542" i="19"/>
  <c r="AS543" i="19"/>
  <c r="AS544" i="19"/>
  <c r="AS545" i="19"/>
  <c r="AS546" i="19"/>
  <c r="AS547" i="19"/>
  <c r="AS548" i="19"/>
  <c r="AS549" i="19"/>
  <c r="AS550" i="19"/>
  <c r="AS551" i="19"/>
  <c r="AS552" i="19"/>
  <c r="AS553" i="19"/>
  <c r="AS554" i="19"/>
  <c r="AS555" i="19"/>
  <c r="AS556" i="19"/>
  <c r="AS738" i="19"/>
  <c r="AS739" i="19"/>
  <c r="AS557" i="19"/>
  <c r="AS558" i="19"/>
  <c r="AS48" i="19"/>
  <c r="AS160" i="19"/>
  <c r="AS46" i="19"/>
  <c r="AS682" i="19"/>
  <c r="AS42" i="19"/>
  <c r="AS27" i="19"/>
  <c r="AS28" i="19"/>
  <c r="AS29" i="19"/>
  <c r="AS111" i="19"/>
  <c r="AS25" i="19"/>
  <c r="AS19" i="19"/>
  <c r="AS20" i="19"/>
  <c r="AS881" i="19"/>
  <c r="AS34" i="19"/>
  <c r="AS30" i="19"/>
  <c r="AS21" i="19"/>
  <c r="AS22" i="19"/>
  <c r="AS23" i="19"/>
  <c r="AS24" i="19"/>
  <c r="AS732" i="19"/>
  <c r="AS730" i="19"/>
  <c r="AS702" i="19"/>
  <c r="AR939" i="19"/>
  <c r="AR581" i="19"/>
  <c r="AR144" i="19"/>
  <c r="AR273" i="19"/>
  <c r="AR134" i="19"/>
  <c r="AR418" i="19"/>
  <c r="AR9" i="19"/>
  <c r="AR429" i="19"/>
  <c r="AR146" i="19"/>
  <c r="AR136" i="19"/>
  <c r="AR426" i="19"/>
  <c r="AR96" i="19"/>
  <c r="AR152" i="19"/>
  <c r="AR667" i="19"/>
  <c r="AR649" i="19"/>
  <c r="AR255" i="19"/>
  <c r="AR650" i="19"/>
  <c r="AR419" i="19"/>
  <c r="AR422" i="19"/>
  <c r="AR423" i="19"/>
  <c r="AR54" i="19"/>
  <c r="AR26" i="19"/>
  <c r="AR358" i="19"/>
  <c r="AR264" i="19"/>
  <c r="AR51" i="19"/>
  <c r="AR47" i="19"/>
  <c r="AR359" i="19"/>
  <c r="AR131" i="19"/>
  <c r="AR8" i="19"/>
  <c r="AR484" i="19"/>
  <c r="AR209" i="19"/>
  <c r="AR910" i="19"/>
  <c r="AR593" i="19"/>
  <c r="AR594" i="19"/>
  <c r="AR595" i="19"/>
  <c r="AR573" i="19"/>
  <c r="AR494" i="19"/>
  <c r="AR469" i="19"/>
  <c r="AR621" i="19"/>
  <c r="AR500" i="19"/>
  <c r="AR173" i="19"/>
  <c r="AR100" i="19"/>
  <c r="AR174" i="19"/>
  <c r="AR596" i="19"/>
  <c r="AR175" i="19"/>
  <c r="AR364" i="19"/>
  <c r="AR176" i="19"/>
  <c r="AR177" i="19"/>
  <c r="AR178" i="19"/>
  <c r="AR232" i="19"/>
  <c r="AR164" i="19"/>
  <c r="AR36" i="19"/>
  <c r="AR754" i="19"/>
  <c r="AR938" i="19"/>
  <c r="AR310" i="19"/>
  <c r="AR311" i="19"/>
  <c r="AR473" i="19"/>
  <c r="AR790" i="19"/>
  <c r="AR179" i="19"/>
  <c r="AR474" i="19"/>
  <c r="AR55" i="19"/>
  <c r="AR430" i="19"/>
  <c r="AR607" i="19"/>
  <c r="AR114" i="19"/>
  <c r="AR180" i="19"/>
  <c r="AR475" i="19"/>
  <c r="AR791" i="19"/>
  <c r="AR476" i="19"/>
  <c r="AR381" i="19"/>
  <c r="AR610" i="19"/>
  <c r="AR314" i="19"/>
  <c r="AR193" i="19"/>
  <c r="AR312" i="19"/>
  <c r="AR101" i="19"/>
  <c r="AR628" i="19"/>
  <c r="AR222" i="19"/>
  <c r="AR223" i="19"/>
  <c r="AR620" i="19"/>
  <c r="AR308" i="19"/>
  <c r="AR696" i="19"/>
  <c r="AR99" i="19"/>
  <c r="AR477" i="19"/>
  <c r="AR198" i="19"/>
  <c r="AR199" i="19"/>
  <c r="AR181" i="19"/>
  <c r="AR182" i="19"/>
  <c r="AR683" i="19"/>
  <c r="AR202" i="19"/>
  <c r="AR504" i="19"/>
  <c r="AR505" i="19"/>
  <c r="AR506" i="19"/>
  <c r="AR407" i="19"/>
  <c r="AR507" i="19"/>
  <c r="AR382" i="19"/>
  <c r="AR635" i="19"/>
  <c r="AR108" i="19"/>
  <c r="AR436" i="19"/>
  <c r="AR338" i="19"/>
  <c r="AR772" i="19"/>
  <c r="AR247" i="19"/>
  <c r="AR829" i="19"/>
  <c r="AR698" i="19"/>
  <c r="AR147" i="19"/>
  <c r="AR6" i="19"/>
  <c r="AR135" i="19"/>
  <c r="AR295" i="19"/>
  <c r="AR246" i="19"/>
  <c r="AR528" i="19"/>
  <c r="AR440" i="19"/>
  <c r="AR233" i="19"/>
  <c r="AR234" i="19"/>
  <c r="AR561" i="19"/>
  <c r="AR293" i="19"/>
  <c r="AR191" i="19"/>
  <c r="AR611" i="19"/>
  <c r="AR315" i="19"/>
  <c r="AR336" i="19"/>
  <c r="AR80" i="19"/>
  <c r="AR165" i="19"/>
  <c r="AR763" i="19"/>
  <c r="AR83" i="19"/>
  <c r="AR221" i="19"/>
  <c r="AR172" i="19"/>
  <c r="AR166" i="19"/>
  <c r="AR167" i="19"/>
  <c r="AR112" i="19"/>
  <c r="AR764" i="19"/>
  <c r="AR168" i="19"/>
  <c r="AR170" i="19"/>
  <c r="AR672" i="19"/>
  <c r="AR765" i="19"/>
  <c r="AR625" i="19"/>
  <c r="AR242" i="19"/>
  <c r="AR531" i="19"/>
  <c r="AR532" i="19"/>
  <c r="AR243" i="19"/>
  <c r="AR244" i="19"/>
  <c r="AR488" i="19"/>
  <c r="AR107" i="19"/>
  <c r="AR393" i="19"/>
  <c r="AR394" i="19"/>
  <c r="AR684" i="19"/>
  <c r="AR464" i="19"/>
  <c r="AR183" i="19"/>
  <c r="AR184" i="19"/>
  <c r="AR4" i="19"/>
  <c r="AR636" i="19"/>
  <c r="AR668" i="19"/>
  <c r="AR427" i="19"/>
  <c r="AR533" i="19"/>
  <c r="AR75" i="19"/>
  <c r="AR76" i="19"/>
  <c r="AR97" i="19"/>
  <c r="AR372" i="19"/>
  <c r="AR373" i="19"/>
  <c r="AR256" i="19"/>
  <c r="AR622" i="19"/>
  <c r="AR478" i="19"/>
  <c r="AR913" i="19"/>
  <c r="AR479" i="19"/>
  <c r="AR480" i="19"/>
  <c r="AR224" i="19"/>
  <c r="AR866" i="19"/>
  <c r="AR830" i="19"/>
  <c r="AR831" i="19"/>
  <c r="AR832" i="19"/>
  <c r="AR833" i="19"/>
  <c r="AR834" i="19"/>
  <c r="AR215" i="19"/>
  <c r="AR564" i="19"/>
  <c r="AR868" i="19"/>
  <c r="AR869" i="19"/>
  <c r="AR565" i="19"/>
  <c r="AR566" i="19"/>
  <c r="AR567" i="19"/>
  <c r="AR568" i="19"/>
  <c r="AR294" i="19"/>
  <c r="AR569" i="19"/>
  <c r="AR570" i="19"/>
  <c r="AR303" i="19"/>
  <c r="AR110" i="19"/>
  <c r="AR892" i="19"/>
  <c r="AR835" i="19"/>
  <c r="AR839" i="19"/>
  <c r="AR840" i="19"/>
  <c r="AR841" i="19"/>
  <c r="AR842" i="19"/>
  <c r="AR843" i="19"/>
  <c r="AR296" i="19"/>
  <c r="AR297" i="19"/>
  <c r="AR694" i="19"/>
  <c r="AR656" i="19"/>
  <c r="AR697" i="19"/>
  <c r="AR824" i="19"/>
  <c r="AR265" i="19"/>
  <c r="AR266" i="19"/>
  <c r="AR300" i="19"/>
  <c r="AR88" i="19"/>
  <c r="AR70" i="19"/>
  <c r="AR52" i="19"/>
  <c r="AR60" i="19"/>
  <c r="AR85" i="19"/>
  <c r="AR115" i="19"/>
  <c r="AR116" i="19"/>
  <c r="AR470" i="19"/>
  <c r="AR893" i="19"/>
  <c r="AR137" i="19"/>
  <c r="AR257" i="19"/>
  <c r="AR61" i="19"/>
  <c r="AR609" i="19"/>
  <c r="AR895" i="19"/>
  <c r="AR836" i="19"/>
  <c r="AR597" i="19"/>
  <c r="AR258" i="19"/>
  <c r="AR612" i="19"/>
  <c r="AR377" i="19"/>
  <c r="AR633" i="19"/>
  <c r="AR210" i="19"/>
  <c r="AR360" i="19"/>
  <c r="AR361" i="19"/>
  <c r="AR141" i="19"/>
  <c r="AR259" i="19"/>
  <c r="AR260" i="19"/>
  <c r="AR261" i="19"/>
  <c r="AR262" i="19"/>
  <c r="AR396" i="19"/>
  <c r="AR339" i="19"/>
  <c r="AR316" i="19"/>
  <c r="AR786" i="19"/>
  <c r="AR787" i="19"/>
  <c r="AR412" i="19"/>
  <c r="AR78" i="19"/>
  <c r="AR598" i="19"/>
  <c r="AR185" i="19"/>
  <c r="AR380" i="19"/>
  <c r="AR186" i="19"/>
  <c r="AR788" i="19"/>
  <c r="AR629" i="19"/>
  <c r="AR437" i="19"/>
  <c r="AR669" i="19"/>
  <c r="AR87" i="19"/>
  <c r="AR65" i="19"/>
  <c r="AR66" i="19"/>
  <c r="AR67" i="19"/>
  <c r="AR68" i="19"/>
  <c r="AR104" i="19"/>
  <c r="AR770" i="19"/>
  <c r="AR755" i="19"/>
  <c r="AR138" i="19"/>
  <c r="AR98" i="19"/>
  <c r="AR71" i="19"/>
  <c r="AR848" i="19"/>
  <c r="AR849" i="19"/>
  <c r="AR850" i="19"/>
  <c r="AR211" i="19"/>
  <c r="AR139" i="19"/>
  <c r="AR317" i="19"/>
  <c r="AR572" i="19"/>
  <c r="AR39" i="19"/>
  <c r="AR77" i="19"/>
  <c r="AR120" i="19"/>
  <c r="AR837" i="19"/>
  <c r="AR900" i="19"/>
  <c r="AR745" i="19"/>
  <c r="AR746" i="19"/>
  <c r="AR200" i="19"/>
  <c r="AR792" i="19"/>
  <c r="AR936" i="19"/>
  <c r="AR151" i="19"/>
  <c r="AR384" i="19"/>
  <c r="AR56" i="19"/>
  <c r="AR793" i="19"/>
  <c r="AR275" i="19"/>
  <c r="AR585" i="19"/>
  <c r="AR203" i="19"/>
  <c r="AR794" i="19"/>
  <c r="AR154" i="19"/>
  <c r="AR733" i="19"/>
  <c r="AR44" i="19"/>
  <c r="AR267" i="19"/>
  <c r="AR909" i="19"/>
  <c r="AR415" i="19"/>
  <c r="AR276" i="19"/>
  <c r="AR875" i="19"/>
  <c r="AR31" i="19"/>
  <c r="AR838" i="19"/>
  <c r="AR341" i="19"/>
  <c r="AR919" i="19"/>
  <c r="AR277" i="19"/>
  <c r="AR449" i="19"/>
  <c r="AR775" i="19"/>
  <c r="AR428" i="19"/>
  <c r="AR562" i="19"/>
  <c r="AR322" i="19"/>
  <c r="AR187" i="19"/>
  <c r="AR586" i="19"/>
  <c r="AR355" i="19"/>
  <c r="AR356" i="19"/>
  <c r="AR378" i="19"/>
  <c r="AR756" i="19"/>
  <c r="AR757" i="19"/>
  <c r="AR626" i="19"/>
  <c r="AR758" i="19"/>
  <c r="AR825" i="19"/>
  <c r="AR826" i="19"/>
  <c r="AR623" i="19"/>
  <c r="AR434" i="19"/>
  <c r="AR204" i="19"/>
  <c r="AR590" i="19"/>
  <c r="AR591" i="19"/>
  <c r="AR5" i="19"/>
  <c r="AR670" i="19"/>
  <c r="AR882" i="19"/>
  <c r="AR278" i="19"/>
  <c r="AR279" i="19"/>
  <c r="AR587" i="19"/>
  <c r="AR250" i="19"/>
  <c r="AR161" i="19"/>
  <c r="AR483" i="19"/>
  <c r="AR508" i="19"/>
  <c r="AR618" i="19"/>
  <c r="AR657" i="19"/>
  <c r="AR599" i="19"/>
  <c r="AR404" i="19"/>
  <c r="AR450" i="19"/>
  <c r="AR451" i="19"/>
  <c r="AR592" i="19"/>
  <c r="AR196" i="19"/>
  <c r="AR365" i="19"/>
  <c r="AR529" i="19"/>
  <c r="AR896" i="19"/>
  <c r="AR458" i="19"/>
  <c r="AR366" i="19"/>
  <c r="AR188" i="19"/>
  <c r="AR192" i="19"/>
  <c r="AR876" i="19"/>
  <c r="AR405" i="19"/>
  <c r="AR490" i="19"/>
  <c r="AR637" i="19"/>
  <c r="AR82" i="19"/>
  <c r="AR353" i="19"/>
  <c r="AR780" i="19"/>
  <c r="AR140" i="19"/>
  <c r="AR304" i="19"/>
  <c r="AR823" i="19"/>
  <c r="AR827" i="19"/>
  <c r="AR452" i="19"/>
  <c r="AR453" i="19"/>
  <c r="AR459" i="19"/>
  <c r="AR460" i="19"/>
  <c r="AR305" i="19"/>
  <c r="AR461" i="19"/>
  <c r="AR201" i="19"/>
  <c r="AR454" i="19"/>
  <c r="AR898" i="19"/>
  <c r="AR795" i="19"/>
  <c r="AR600" i="19"/>
  <c r="AR883" i="19"/>
  <c r="AR601" i="19"/>
  <c r="AR796" i="19"/>
  <c r="AR462" i="19"/>
  <c r="AR912" i="19"/>
  <c r="AR455" i="19"/>
  <c r="AR456" i="19"/>
  <c r="AR318" i="19"/>
  <c r="AR920" i="19"/>
  <c r="AR921" i="19"/>
  <c r="AR195" i="19"/>
  <c r="AR342" i="19"/>
  <c r="AR343" i="19"/>
  <c r="AR385" i="19"/>
  <c r="AR658" i="19"/>
  <c r="AR298" i="19"/>
  <c r="AR268" i="19"/>
  <c r="AR57" i="19"/>
  <c r="AR481" i="19"/>
  <c r="AR901" i="19"/>
  <c r="AR734" i="19"/>
  <c r="AR777" i="19"/>
  <c r="AR284" i="19"/>
  <c r="AR583" i="19"/>
  <c r="AR386" i="19"/>
  <c r="AR387" i="19"/>
  <c r="AR367" i="19"/>
  <c r="AR602" i="19"/>
  <c r="AR354" i="19"/>
  <c r="AR251" i="19"/>
  <c r="AR69" i="19"/>
  <c r="AR519" i="19"/>
  <c r="AR634" i="19"/>
  <c r="AR171" i="19"/>
  <c r="AR189" i="19"/>
  <c r="AR309" i="19"/>
  <c r="AR169" i="19"/>
  <c r="AR388" i="19"/>
  <c r="AR285" i="19"/>
  <c r="AR389" i="19"/>
  <c r="AR281" i="19"/>
  <c r="AR420" i="19"/>
  <c r="AR457" i="19"/>
  <c r="AR847" i="19"/>
  <c r="AR559" i="19"/>
  <c r="AR216" i="19"/>
  <c r="AR884" i="19"/>
  <c r="AR885" i="19"/>
  <c r="AR253" i="19"/>
  <c r="AR701" i="19"/>
  <c r="AR280" i="19"/>
  <c r="AR249" i="19"/>
  <c r="AR855" i="19"/>
  <c r="AR852" i="19"/>
  <c r="AR518" i="19"/>
  <c r="AR58" i="19"/>
  <c r="AR33" i="19"/>
  <c r="AR59" i="19"/>
  <c r="AR686" i="19"/>
  <c r="AR659" i="19"/>
  <c r="AR660" i="19"/>
  <c r="AR362" i="19"/>
  <c r="AR395" i="19"/>
  <c r="AR613" i="19"/>
  <c r="AR163" i="19"/>
  <c r="AR614" i="19"/>
  <c r="AR687" i="19"/>
  <c r="AR41" i="19"/>
  <c r="AR485" i="19"/>
  <c r="AR877" i="19"/>
  <c r="AR871" i="19"/>
  <c r="AR872" i="19"/>
  <c r="AR81" i="19"/>
  <c r="AR302" i="19"/>
  <c r="AR851" i="19"/>
  <c r="AR319" i="19"/>
  <c r="AR320" i="19"/>
  <c r="AR321" i="19"/>
  <c r="AR615" i="19"/>
  <c r="AR616" i="19"/>
  <c r="AR390" i="19"/>
  <c r="AR125" i="19"/>
  <c r="AR409" i="19"/>
  <c r="AR220" i="19"/>
  <c r="AR661" i="19"/>
  <c r="AR274" i="19"/>
  <c r="AR93" i="19"/>
  <c r="AR662" i="19"/>
  <c r="AR908" i="19"/>
  <c r="AR942" i="19"/>
  <c r="AR925" i="19"/>
  <c r="AR699" i="19"/>
  <c r="AR197" i="19"/>
  <c r="AR299" i="19"/>
  <c r="AR142" i="19"/>
  <c r="AR143" i="19"/>
  <c r="AR911" i="19"/>
  <c r="AR327" i="19"/>
  <c r="AR328" i="19"/>
  <c r="AR329" i="19"/>
  <c r="AR105" i="19"/>
  <c r="AR330" i="19"/>
  <c r="AR740" i="19"/>
  <c r="AR94" i="19"/>
  <c r="AR106" i="19"/>
  <c r="AR331" i="19"/>
  <c r="AR332" i="19"/>
  <c r="AR509" i="19"/>
  <c r="AR510" i="19"/>
  <c r="AR511" i="19"/>
  <c r="AR512" i="19"/>
  <c r="AR333" i="19"/>
  <c r="AR482" i="19"/>
  <c r="AR471" i="19"/>
  <c r="AR828" i="19"/>
  <c r="AR194" i="19"/>
  <c r="AR700" i="19"/>
  <c r="AR879" i="19"/>
  <c r="AR813" i="19"/>
  <c r="AR814" i="19"/>
  <c r="AR815" i="19"/>
  <c r="AR685" i="19"/>
  <c r="AR145" i="19"/>
  <c r="AR269" i="19"/>
  <c r="AR270" i="19"/>
  <c r="AR501" i="19"/>
  <c r="AR49" i="19"/>
  <c r="AR50" i="19"/>
  <c r="AR62" i="19"/>
  <c r="AR86" i="19"/>
  <c r="AR102" i="19"/>
  <c r="AR37" i="19"/>
  <c r="AR117" i="19"/>
  <c r="AR263" i="19"/>
  <c r="AR63" i="19"/>
  <c r="AR64" i="19"/>
  <c r="AR118" i="19"/>
  <c r="AR741" i="19"/>
  <c r="AR742" i="19"/>
  <c r="AR743" i="19"/>
  <c r="AR190" i="19"/>
  <c r="AR617" i="19"/>
  <c r="AR773" i="19"/>
  <c r="AR627" i="19"/>
  <c r="AR149" i="19"/>
  <c r="AR150" i="19"/>
  <c r="AR582" i="19"/>
  <c r="AR916" i="19"/>
  <c r="AR347" i="19"/>
  <c r="AR349" i="19"/>
  <c r="AR350" i="19"/>
  <c r="AR781" i="19"/>
  <c r="AR782" i="19"/>
  <c r="AR783" i="19"/>
  <c r="AR530" i="19"/>
  <c r="AR759" i="19"/>
  <c r="AR340" i="19"/>
  <c r="AR915" i="19"/>
  <c r="AR523" i="19"/>
  <c r="AR878" i="19"/>
  <c r="AR205" i="19"/>
  <c r="AR206" i="19"/>
  <c r="AR525" i="19"/>
  <c r="AR521" i="19"/>
  <c r="AR207" i="19"/>
  <c r="AR491" i="19"/>
  <c r="AR351" i="19"/>
  <c r="AR208" i="19"/>
  <c r="AR943" i="19"/>
  <c r="AR619" i="19"/>
  <c r="AR860" i="19"/>
  <c r="AR861" i="19"/>
  <c r="AR862" i="19"/>
  <c r="AR863" i="19"/>
  <c r="AR760" i="19"/>
  <c r="AR334" i="19"/>
  <c r="AR513" i="19"/>
  <c r="AR744" i="19"/>
  <c r="AR589" i="19"/>
  <c r="AR43" i="19"/>
  <c r="AR375" i="19"/>
  <c r="AR245" i="19"/>
  <c r="AR907" i="19"/>
  <c r="AR854" i="19"/>
  <c r="AR747" i="19"/>
  <c r="AR383" i="19"/>
  <c r="AR905" i="19"/>
  <c r="AR870" i="19"/>
  <c r="AR803" i="19"/>
  <c r="AR804" i="19"/>
  <c r="AR805" i="19"/>
  <c r="AR806" i="19"/>
  <c r="AR807" i="19"/>
  <c r="AR731" i="19"/>
  <c r="AR798" i="19"/>
  <c r="AR799" i="19"/>
  <c r="AR800" i="19"/>
  <c r="AR776" i="19"/>
  <c r="AR413" i="19"/>
  <c r="AR703" i="19"/>
  <c r="AR808" i="19"/>
  <c r="AR153" i="19"/>
  <c r="AR357" i="19"/>
  <c r="AR784" i="19"/>
  <c r="AR690" i="19"/>
  <c r="AR691" i="19"/>
  <c r="AR692" i="19"/>
  <c r="AR344" i="19"/>
  <c r="AR345" i="19"/>
  <c r="AR761" i="19"/>
  <c r="AR235" i="19"/>
  <c r="AR157" i="19"/>
  <c r="AR630" i="19"/>
  <c r="AR688" i="19"/>
  <c r="AR704" i="19"/>
  <c r="AR705" i="19"/>
  <c r="AR706" i="19"/>
  <c r="AR707" i="19"/>
  <c r="AR288" i="19"/>
  <c r="AR289" i="19"/>
  <c r="AR290" i="19"/>
  <c r="AR291" i="19"/>
  <c r="AR292" i="19"/>
  <c r="AR368" i="19"/>
  <c r="AR438" i="19"/>
  <c r="AR693" i="19"/>
  <c r="AR439" i="19"/>
  <c r="AR886" i="19"/>
  <c r="AR231" i="19"/>
  <c r="AR749" i="19"/>
  <c r="AR906" i="19"/>
  <c r="AR774" i="19"/>
  <c r="AR584" i="19"/>
  <c r="AR148" i="19"/>
  <c r="AR502" i="19"/>
  <c r="AR123" i="19"/>
  <c r="AR158" i="19"/>
  <c r="AR132" i="19"/>
  <c r="AR762" i="19"/>
  <c r="AR335" i="19"/>
  <c r="AR95" i="19"/>
  <c r="AR735" i="19"/>
  <c r="AR766" i="19"/>
  <c r="AR767" i="19"/>
  <c r="AR225" i="19"/>
  <c r="AR226" i="19"/>
  <c r="AR399" i="19"/>
  <c r="AR313" i="19"/>
  <c r="AR236" i="19"/>
  <c r="AR750" i="19"/>
  <c r="AR403" i="19"/>
  <c r="AR441" i="19"/>
  <c r="AR442" i="19"/>
  <c r="AR443" i="19"/>
  <c r="AR444" i="19"/>
  <c r="AR227" i="19"/>
  <c r="AR228" i="19"/>
  <c r="AR229" i="19"/>
  <c r="AR230" i="19"/>
  <c r="AR768" i="19"/>
  <c r="AR748" i="19"/>
  <c r="AR769" i="19"/>
  <c r="AR379" i="19"/>
  <c r="AR527" i="19"/>
  <c r="AR588" i="19"/>
  <c r="AR489" i="19"/>
  <c r="AR346" i="19"/>
  <c r="AR301" i="19"/>
  <c r="AR752" i="19"/>
  <c r="AR402" i="19"/>
  <c r="AR751" i="19"/>
  <c r="AR326" i="19"/>
  <c r="AR391" i="19"/>
  <c r="AR392" i="19"/>
  <c r="AR856" i="19"/>
  <c r="AR574" i="19"/>
  <c r="AR398" i="19"/>
  <c r="AR922" i="19"/>
  <c r="AR560" i="19"/>
  <c r="AR432" i="19"/>
  <c r="AR406" i="19"/>
  <c r="AR218" i="19"/>
  <c r="AR517" i="19"/>
  <c r="AR212" i="19"/>
  <c r="AR408" i="19"/>
  <c r="AR306" i="19"/>
  <c r="AR307" i="19"/>
  <c r="AR914" i="19"/>
  <c r="AR445" i="19"/>
  <c r="AR753" i="19"/>
  <c r="AR902" i="19"/>
  <c r="AR903" i="19"/>
  <c r="AR904" i="19"/>
  <c r="AR282" i="19"/>
  <c r="AR400" i="19"/>
  <c r="AR401" i="19"/>
  <c r="AR937" i="19"/>
  <c r="AR248" i="19"/>
  <c r="AR446" i="19"/>
  <c r="AR638" i="19"/>
  <c r="AR252" i="19"/>
  <c r="AR129" i="19"/>
  <c r="AR84" i="19"/>
  <c r="AR894" i="19"/>
  <c r="AR624" i="19"/>
  <c r="AR352" i="19"/>
  <c r="AR880" i="19"/>
  <c r="AR214" i="19"/>
  <c r="AR217" i="19"/>
  <c r="AR524" i="19"/>
  <c r="AR498" i="19"/>
  <c r="AR323" i="19"/>
  <c r="AR324" i="19"/>
  <c r="AR325" i="19"/>
  <c r="AR844" i="19"/>
  <c r="AR845" i="19"/>
  <c r="AR736" i="19"/>
  <c r="AR575" i="19"/>
  <c r="AR162" i="19"/>
  <c r="AR789" i="19"/>
  <c r="AR103" i="19"/>
  <c r="AR816" i="19"/>
  <c r="AR603" i="19"/>
  <c r="AR817" i="19"/>
  <c r="AR499" i="19"/>
  <c r="AR520" i="19"/>
  <c r="AR945" i="19"/>
  <c r="AR130" i="19"/>
  <c r="AR219" i="19"/>
  <c r="AR857" i="19"/>
  <c r="AR858" i="19"/>
  <c r="AR899" i="19"/>
  <c r="AR887" i="19"/>
  <c r="AR812" i="19"/>
  <c r="AR809" i="19"/>
  <c r="AR810" i="19"/>
  <c r="AR811" i="19"/>
  <c r="AR337" i="19"/>
  <c r="AR503" i="19"/>
  <c r="AR797" i="19"/>
  <c r="AR472" i="19"/>
  <c r="AR254" i="19"/>
  <c r="AR940" i="19"/>
  <c r="AR888" i="19"/>
  <c r="AR237" i="19"/>
  <c r="AR238" i="19"/>
  <c r="AR240" i="19"/>
  <c r="AR241" i="19"/>
  <c r="AR944" i="19"/>
  <c r="AR576" i="19"/>
  <c r="AR79" i="19"/>
  <c r="AR363" i="19"/>
  <c r="AR239" i="19"/>
  <c r="AR128" i="19"/>
  <c r="AR487" i="19"/>
  <c r="AR941" i="19"/>
  <c r="AR889" i="19"/>
  <c r="AR271" i="19"/>
  <c r="AR695" i="19"/>
  <c r="AR516" i="19"/>
  <c r="AR133" i="19"/>
  <c r="AR853" i="19"/>
  <c r="AR435" i="19"/>
  <c r="AR639" i="19"/>
  <c r="AR640" i="19"/>
  <c r="AR11" i="19"/>
  <c r="AR641" i="19"/>
  <c r="AR12" i="19"/>
  <c r="AR642" i="19"/>
  <c r="AR737" i="19"/>
  <c r="AR397" i="19"/>
  <c r="AR673" i="19"/>
  <c r="AR431" i="19"/>
  <c r="AR109" i="19"/>
  <c r="AR676" i="19"/>
  <c r="AR677" i="19"/>
  <c r="AR272" i="19"/>
  <c r="AR674" i="19"/>
  <c r="AR675" i="19"/>
  <c r="AR873" i="19"/>
  <c r="AR778" i="19"/>
  <c r="AR779" i="19"/>
  <c r="AR38" i="19"/>
  <c r="AR522" i="19"/>
  <c r="AR348" i="19"/>
  <c r="AR651" i="19"/>
  <c r="AR652" i="19"/>
  <c r="AR653" i="19"/>
  <c r="AR40" i="19"/>
  <c r="AR654" i="19"/>
  <c r="AR655" i="19"/>
  <c r="AR917" i="19"/>
  <c r="AR918" i="19"/>
  <c r="AR771" i="19"/>
  <c r="AR708" i="19"/>
  <c r="AR7" i="19"/>
  <c r="AR923" i="19"/>
  <c r="AR924" i="19"/>
  <c r="AR874" i="19"/>
  <c r="AR526" i="19"/>
  <c r="AR846" i="19"/>
  <c r="AR571" i="19"/>
  <c r="AR213" i="19"/>
  <c r="AR663" i="19"/>
  <c r="AR424" i="19"/>
  <c r="AR678" i="19"/>
  <c r="AR679" i="19"/>
  <c r="AR680" i="19"/>
  <c r="AR374" i="19"/>
  <c r="AR72" i="19"/>
  <c r="AR89" i="19"/>
  <c r="AR90" i="19"/>
  <c r="AR53" i="19"/>
  <c r="AR91" i="19"/>
  <c r="AR92" i="19"/>
  <c r="AR119" i="19"/>
  <c r="AR73" i="19"/>
  <c r="AR35" i="19"/>
  <c r="AR127" i="19"/>
  <c r="AR121" i="19"/>
  <c r="AR493" i="19"/>
  <c r="AR492" i="19"/>
  <c r="AR465" i="19"/>
  <c r="AR466" i="19"/>
  <c r="AR467" i="19"/>
  <c r="AR468" i="19"/>
  <c r="AR283" i="19"/>
  <c r="AR864" i="19"/>
  <c r="AR865" i="19"/>
  <c r="AR563" i="19"/>
  <c r="AR818" i="19"/>
  <c r="AR819" i="19"/>
  <c r="AR820" i="19"/>
  <c r="AR821" i="19"/>
  <c r="AR822" i="19"/>
  <c r="AR859" i="19"/>
  <c r="AR631" i="19"/>
  <c r="AR632" i="19"/>
  <c r="AR890" i="19"/>
  <c r="AR867" i="19"/>
  <c r="AR126" i="19"/>
  <c r="AR376" i="19"/>
  <c r="AR286" i="19"/>
  <c r="AR287" i="19"/>
  <c r="AR486" i="19"/>
  <c r="AR13" i="19"/>
  <c r="AR369" i="19"/>
  <c r="AR604" i="19"/>
  <c r="AR605" i="19"/>
  <c r="AR606" i="19"/>
  <c r="AR689" i="19"/>
  <c r="AR370" i="19"/>
  <c r="AR495" i="19"/>
  <c r="AR643" i="19"/>
  <c r="AR416" i="19"/>
  <c r="AR447" i="19"/>
  <c r="AR448" i="19"/>
  <c r="AR414" i="19"/>
  <c r="AR124" i="19"/>
  <c r="AR496" i="19"/>
  <c r="AR410" i="19"/>
  <c r="AR411" i="19"/>
  <c r="AR497" i="19"/>
  <c r="AR785" i="19"/>
  <c r="AR801" i="19"/>
  <c r="AR802" i="19"/>
  <c r="AR709" i="19"/>
  <c r="AR710" i="19"/>
  <c r="AR926" i="19"/>
  <c r="AR927" i="19"/>
  <c r="AR928" i="19"/>
  <c r="AR711" i="19"/>
  <c r="AR712" i="19"/>
  <c r="AR713" i="19"/>
  <c r="AR714" i="19"/>
  <c r="AR715" i="19"/>
  <c r="AR929" i="19"/>
  <c r="AR930" i="19"/>
  <c r="AR931" i="19"/>
  <c r="AR932" i="19"/>
  <c r="AR933" i="19"/>
  <c r="AR934" i="19"/>
  <c r="AR935" i="19"/>
  <c r="AR716" i="19"/>
  <c r="AR717" i="19"/>
  <c r="AR718" i="19"/>
  <c r="AR719" i="19"/>
  <c r="AR720" i="19"/>
  <c r="AR721" i="19"/>
  <c r="AR722" i="19"/>
  <c r="AR723" i="19"/>
  <c r="AR724" i="19"/>
  <c r="AR156" i="19"/>
  <c r="AR463" i="19"/>
  <c r="AR515" i="19"/>
  <c r="AR514" i="19"/>
  <c r="AR433" i="19"/>
  <c r="AR725" i="19"/>
  <c r="AR726" i="19"/>
  <c r="AR727" i="19"/>
  <c r="AR728" i="19"/>
  <c r="AR729" i="19"/>
  <c r="AR371" i="19"/>
  <c r="AR608" i="19"/>
  <c r="AR155" i="19"/>
  <c r="AR644" i="19"/>
  <c r="AR645" i="19"/>
  <c r="AR664" i="19"/>
  <c r="AR18" i="19"/>
  <c r="AR32" i="19"/>
  <c r="AR665" i="19"/>
  <c r="AR666" i="19"/>
  <c r="AR421" i="19"/>
  <c r="AR74" i="19"/>
  <c r="AR14" i="19"/>
  <c r="AR681" i="19"/>
  <c r="AR646" i="19"/>
  <c r="AR647" i="19"/>
  <c r="AR417" i="19"/>
  <c r="AR671" i="19"/>
  <c r="AR159" i="19"/>
  <c r="AR891" i="19"/>
  <c r="AR580" i="19"/>
  <c r="AR577" i="19"/>
  <c r="AR578" i="19"/>
  <c r="AR579" i="19"/>
  <c r="AR15" i="19"/>
  <c r="AR16" i="19"/>
  <c r="AR17" i="19"/>
  <c r="AR648" i="19"/>
  <c r="AR897" i="19"/>
  <c r="AR425" i="19"/>
  <c r="AR113" i="19"/>
  <c r="AR10" i="19"/>
  <c r="AR122" i="19"/>
  <c r="AR534" i="19"/>
  <c r="AR535" i="19"/>
  <c r="AR536" i="19"/>
  <c r="AR45" i="19"/>
  <c r="AR537" i="19"/>
  <c r="AR538" i="19"/>
  <c r="AR539" i="19"/>
  <c r="AR540" i="19"/>
  <c r="AR541" i="19"/>
  <c r="AR542" i="19"/>
  <c r="AR543" i="19"/>
  <c r="AR544" i="19"/>
  <c r="AR545" i="19"/>
  <c r="AR546" i="19"/>
  <c r="AR547" i="19"/>
  <c r="AR548" i="19"/>
  <c r="AR549" i="19"/>
  <c r="AR550" i="19"/>
  <c r="AR551" i="19"/>
  <c r="AR552" i="19"/>
  <c r="AR553" i="19"/>
  <c r="AR554" i="19"/>
  <c r="AR555" i="19"/>
  <c r="AR556" i="19"/>
  <c r="AR738" i="19"/>
  <c r="AR739" i="19"/>
  <c r="AR557" i="19"/>
  <c r="AR558" i="19"/>
  <c r="AR48" i="19"/>
  <c r="AR160" i="19"/>
  <c r="AR46" i="19"/>
  <c r="AR682" i="19"/>
  <c r="AR42" i="19"/>
  <c r="AR27" i="19"/>
  <c r="AR28" i="19"/>
  <c r="AR29" i="19"/>
  <c r="AR111" i="19"/>
  <c r="AR25" i="19"/>
  <c r="AR19" i="19"/>
  <c r="AR20" i="19"/>
  <c r="AR881" i="19"/>
  <c r="AR34" i="19"/>
  <c r="AR30" i="19"/>
  <c r="AR21" i="19"/>
  <c r="AR22" i="19"/>
  <c r="AR23" i="19"/>
  <c r="AR24" i="19"/>
  <c r="AR732" i="19"/>
  <c r="AR730" i="19"/>
  <c r="AR702" i="19"/>
  <c r="T939" i="19"/>
  <c r="T581" i="19"/>
  <c r="T144" i="19"/>
  <c r="T273" i="19"/>
  <c r="T134" i="19"/>
  <c r="T418" i="19"/>
  <c r="T9" i="19"/>
  <c r="T429" i="19"/>
  <c r="T146" i="19"/>
  <c r="T136" i="19"/>
  <c r="T426" i="19"/>
  <c r="T96" i="19"/>
  <c r="T152" i="19"/>
  <c r="T667" i="19"/>
  <c r="T649" i="19"/>
  <c r="T255" i="19"/>
  <c r="T650" i="19"/>
  <c r="T419" i="19"/>
  <c r="T422" i="19"/>
  <c r="T423" i="19"/>
  <c r="T54" i="19"/>
  <c r="T26" i="19"/>
  <c r="T358" i="19"/>
  <c r="T264" i="19"/>
  <c r="T51" i="19"/>
  <c r="T47" i="19"/>
  <c r="T359" i="19"/>
  <c r="T131" i="19"/>
  <c r="T8" i="19"/>
  <c r="T484" i="19"/>
  <c r="T209" i="19"/>
  <c r="T910" i="19"/>
  <c r="T593" i="19"/>
  <c r="T594" i="19"/>
  <c r="T595" i="19"/>
  <c r="T573" i="19"/>
  <c r="T494" i="19"/>
  <c r="T469" i="19"/>
  <c r="T621" i="19"/>
  <c r="T500" i="19"/>
  <c r="T173" i="19"/>
  <c r="T100" i="19"/>
  <c r="T174" i="19"/>
  <c r="T596" i="19"/>
  <c r="T175" i="19"/>
  <c r="T364" i="19"/>
  <c r="T176" i="19"/>
  <c r="T177" i="19"/>
  <c r="T178" i="19"/>
  <c r="T232" i="19"/>
  <c r="T164" i="19"/>
  <c r="T36" i="19"/>
  <c r="T754" i="19"/>
  <c r="T938" i="19"/>
  <c r="T310" i="19"/>
  <c r="T311" i="19"/>
  <c r="T473" i="19"/>
  <c r="T790" i="19"/>
  <c r="T179" i="19"/>
  <c r="T474" i="19"/>
  <c r="T55" i="19"/>
  <c r="T430" i="19"/>
  <c r="T607" i="19"/>
  <c r="T114" i="19"/>
  <c r="T180" i="19"/>
  <c r="T475" i="19"/>
  <c r="T791" i="19"/>
  <c r="T476" i="19"/>
  <c r="T381" i="19"/>
  <c r="T610" i="19"/>
  <c r="T314" i="19"/>
  <c r="T193" i="19"/>
  <c r="T312" i="19"/>
  <c r="T101" i="19"/>
  <c r="T628" i="19"/>
  <c r="T222" i="19"/>
  <c r="T223" i="19"/>
  <c r="T620" i="19"/>
  <c r="T308" i="19"/>
  <c r="T696" i="19"/>
  <c r="T99" i="19"/>
  <c r="T477" i="19"/>
  <c r="T198" i="19"/>
  <c r="T199" i="19"/>
  <c r="T181" i="19"/>
  <c r="T182" i="19"/>
  <c r="T683" i="19"/>
  <c r="T202" i="19"/>
  <c r="T504" i="19"/>
  <c r="T505" i="19"/>
  <c r="T506" i="19"/>
  <c r="T407" i="19"/>
  <c r="T507" i="19"/>
  <c r="T382" i="19"/>
  <c r="T635" i="19"/>
  <c r="T108" i="19"/>
  <c r="T436" i="19"/>
  <c r="T338" i="19"/>
  <c r="T772" i="19"/>
  <c r="T247" i="19"/>
  <c r="T829" i="19"/>
  <c r="T698" i="19"/>
  <c r="T147" i="19"/>
  <c r="T6" i="19"/>
  <c r="T135" i="19"/>
  <c r="T295" i="19"/>
  <c r="T246" i="19"/>
  <c r="T528" i="19"/>
  <c r="T440" i="19"/>
  <c r="T233" i="19"/>
  <c r="T234" i="19"/>
  <c r="T561" i="19"/>
  <c r="T293" i="19"/>
  <c r="T191" i="19"/>
  <c r="T611" i="19"/>
  <c r="T315" i="19"/>
  <c r="T336" i="19"/>
  <c r="T80" i="19"/>
  <c r="T165" i="19"/>
  <c r="T763" i="19"/>
  <c r="T83" i="19"/>
  <c r="T221" i="19"/>
  <c r="T172" i="19"/>
  <c r="T166" i="19"/>
  <c r="T167" i="19"/>
  <c r="T112" i="19"/>
  <c r="T764" i="19"/>
  <c r="T168" i="19"/>
  <c r="T170" i="19"/>
  <c r="T672" i="19"/>
  <c r="T765" i="19"/>
  <c r="T625" i="19"/>
  <c r="T242" i="19"/>
  <c r="T531" i="19"/>
  <c r="T532" i="19"/>
  <c r="T243" i="19"/>
  <c r="T244" i="19"/>
  <c r="T488" i="19"/>
  <c r="T107" i="19"/>
  <c r="T393" i="19"/>
  <c r="T394" i="19"/>
  <c r="T684" i="19"/>
  <c r="T464" i="19"/>
  <c r="T183" i="19"/>
  <c r="T184" i="19"/>
  <c r="T4" i="19"/>
  <c r="T636" i="19"/>
  <c r="T668" i="19"/>
  <c r="T427" i="19"/>
  <c r="T533" i="19"/>
  <c r="T75" i="19"/>
  <c r="T76" i="19"/>
  <c r="T97" i="19"/>
  <c r="T372" i="19"/>
  <c r="T373" i="19"/>
  <c r="T256" i="19"/>
  <c r="T622" i="19"/>
  <c r="T478" i="19"/>
  <c r="T913" i="19"/>
  <c r="T479" i="19"/>
  <c r="T480" i="19"/>
  <c r="T224" i="19"/>
  <c r="T866" i="19"/>
  <c r="T830" i="19"/>
  <c r="T831" i="19"/>
  <c r="T832" i="19"/>
  <c r="T833" i="19"/>
  <c r="T834" i="19"/>
  <c r="T215" i="19"/>
  <c r="T564" i="19"/>
  <c r="T868" i="19"/>
  <c r="T869" i="19"/>
  <c r="T565" i="19"/>
  <c r="T566" i="19"/>
  <c r="T567" i="19"/>
  <c r="T568" i="19"/>
  <c r="T294" i="19"/>
  <c r="T569" i="19"/>
  <c r="T570" i="19"/>
  <c r="T303" i="19"/>
  <c r="T110" i="19"/>
  <c r="T892" i="19"/>
  <c r="T835" i="19"/>
  <c r="T839" i="19"/>
  <c r="T840" i="19"/>
  <c r="T841" i="19"/>
  <c r="T842" i="19"/>
  <c r="T843" i="19"/>
  <c r="T296" i="19"/>
  <c r="T297" i="19"/>
  <c r="T694" i="19"/>
  <c r="T656" i="19"/>
  <c r="T697" i="19"/>
  <c r="T824" i="19"/>
  <c r="T265" i="19"/>
  <c r="T266" i="19"/>
  <c r="T300" i="19"/>
  <c r="T88" i="19"/>
  <c r="T70" i="19"/>
  <c r="T52" i="19"/>
  <c r="T60" i="19"/>
  <c r="T85" i="19"/>
  <c r="T115" i="19"/>
  <c r="T116" i="19"/>
  <c r="T470" i="19"/>
  <c r="T893" i="19"/>
  <c r="T137" i="19"/>
  <c r="T257" i="19"/>
  <c r="T61" i="19"/>
  <c r="T609" i="19"/>
  <c r="T895" i="19"/>
  <c r="T836" i="19"/>
  <c r="T597" i="19"/>
  <c r="T258" i="19"/>
  <c r="T612" i="19"/>
  <c r="T377" i="19"/>
  <c r="T633" i="19"/>
  <c r="T210" i="19"/>
  <c r="T360" i="19"/>
  <c r="T361" i="19"/>
  <c r="T141" i="19"/>
  <c r="T259" i="19"/>
  <c r="T260" i="19"/>
  <c r="T261" i="19"/>
  <c r="T262" i="19"/>
  <c r="T396" i="19"/>
  <c r="T339" i="19"/>
  <c r="T316" i="19"/>
  <c r="T786" i="19"/>
  <c r="T787" i="19"/>
  <c r="T412" i="19"/>
  <c r="T78" i="19"/>
  <c r="T598" i="19"/>
  <c r="T185" i="19"/>
  <c r="T380" i="19"/>
  <c r="T186" i="19"/>
  <c r="T788" i="19"/>
  <c r="T629" i="19"/>
  <c r="T437" i="19"/>
  <c r="T669" i="19"/>
  <c r="T87" i="19"/>
  <c r="T65" i="19"/>
  <c r="T66" i="19"/>
  <c r="T67" i="19"/>
  <c r="T68" i="19"/>
  <c r="T104" i="19"/>
  <c r="T770" i="19"/>
  <c r="T755" i="19"/>
  <c r="T138" i="19"/>
  <c r="T98" i="19"/>
  <c r="T71" i="19"/>
  <c r="T848" i="19"/>
  <c r="T849" i="19"/>
  <c r="T850" i="19"/>
  <c r="T211" i="19"/>
  <c r="T139" i="19"/>
  <c r="T317" i="19"/>
  <c r="T572" i="19"/>
  <c r="T39" i="19"/>
  <c r="T77" i="19"/>
  <c r="T120" i="19"/>
  <c r="T837" i="19"/>
  <c r="T900" i="19"/>
  <c r="T745" i="19"/>
  <c r="T746" i="19"/>
  <c r="T200" i="19"/>
  <c r="T792" i="19"/>
  <c r="T936" i="19"/>
  <c r="T151" i="19"/>
  <c r="T384" i="19"/>
  <c r="T56" i="19"/>
  <c r="T793" i="19"/>
  <c r="T275" i="19"/>
  <c r="T585" i="19"/>
  <c r="T203" i="19"/>
  <c r="T794" i="19"/>
  <c r="T154" i="19"/>
  <c r="T733" i="19"/>
  <c r="T44" i="19"/>
  <c r="T267" i="19"/>
  <c r="T909" i="19"/>
  <c r="T415" i="19"/>
  <c r="T276" i="19"/>
  <c r="T875" i="19"/>
  <c r="T31" i="19"/>
  <c r="T838" i="19"/>
  <c r="T341" i="19"/>
  <c r="T919" i="19"/>
  <c r="T277" i="19"/>
  <c r="T449" i="19"/>
  <c r="T775" i="19"/>
  <c r="T428" i="19"/>
  <c r="T562" i="19"/>
  <c r="T322" i="19"/>
  <c r="T187" i="19"/>
  <c r="T586" i="19"/>
  <c r="T355" i="19"/>
  <c r="T356" i="19"/>
  <c r="T378" i="19"/>
  <c r="T756" i="19"/>
  <c r="T757" i="19"/>
  <c r="T626" i="19"/>
  <c r="T758" i="19"/>
  <c r="T825" i="19"/>
  <c r="T826" i="19"/>
  <c r="T623" i="19"/>
  <c r="T434" i="19"/>
  <c r="T204" i="19"/>
  <c r="T590" i="19"/>
  <c r="T591" i="19"/>
  <c r="T5" i="19"/>
  <c r="T670" i="19"/>
  <c r="T882" i="19"/>
  <c r="T278" i="19"/>
  <c r="T279" i="19"/>
  <c r="T587" i="19"/>
  <c r="T250" i="19"/>
  <c r="T161" i="19"/>
  <c r="T483" i="19"/>
  <c r="T508" i="19"/>
  <c r="T618" i="19"/>
  <c r="T657" i="19"/>
  <c r="T599" i="19"/>
  <c r="T404" i="19"/>
  <c r="T450" i="19"/>
  <c r="T451" i="19"/>
  <c r="T592" i="19"/>
  <c r="T196" i="19"/>
  <c r="T365" i="19"/>
  <c r="T529" i="19"/>
  <c r="T896" i="19"/>
  <c r="T458" i="19"/>
  <c r="T366" i="19"/>
  <c r="T188" i="19"/>
  <c r="T192" i="19"/>
  <c r="T876" i="19"/>
  <c r="T405" i="19"/>
  <c r="T490" i="19"/>
  <c r="T637" i="19"/>
  <c r="T82" i="19"/>
  <c r="T353" i="19"/>
  <c r="T780" i="19"/>
  <c r="T140" i="19"/>
  <c r="T304" i="19"/>
  <c r="T823" i="19"/>
  <c r="T827" i="19"/>
  <c r="T452" i="19"/>
  <c r="T453" i="19"/>
  <c r="T459" i="19"/>
  <c r="T460" i="19"/>
  <c r="T305" i="19"/>
  <c r="T461" i="19"/>
  <c r="T201" i="19"/>
  <c r="T454" i="19"/>
  <c r="T898" i="19"/>
  <c r="T795" i="19"/>
  <c r="T600" i="19"/>
  <c r="T883" i="19"/>
  <c r="T601" i="19"/>
  <c r="T796" i="19"/>
  <c r="T462" i="19"/>
  <c r="T912" i="19"/>
  <c r="T455" i="19"/>
  <c r="T456" i="19"/>
  <c r="T318" i="19"/>
  <c r="T920" i="19"/>
  <c r="T921" i="19"/>
  <c r="T195" i="19"/>
  <c r="T342" i="19"/>
  <c r="T343" i="19"/>
  <c r="T385" i="19"/>
  <c r="T658" i="19"/>
  <c r="T298" i="19"/>
  <c r="T268" i="19"/>
  <c r="T57" i="19"/>
  <c r="T481" i="19"/>
  <c r="T901" i="19"/>
  <c r="T734" i="19"/>
  <c r="T777" i="19"/>
  <c r="T284" i="19"/>
  <c r="T583" i="19"/>
  <c r="T386" i="19"/>
  <c r="T387" i="19"/>
  <c r="T367" i="19"/>
  <c r="T602" i="19"/>
  <c r="T354" i="19"/>
  <c r="T251" i="19"/>
  <c r="T69" i="19"/>
  <c r="T519" i="19"/>
  <c r="T634" i="19"/>
  <c r="T171" i="19"/>
  <c r="T189" i="19"/>
  <c r="T309" i="19"/>
  <c r="T169" i="19"/>
  <c r="T388" i="19"/>
  <c r="T285" i="19"/>
  <c r="T389" i="19"/>
  <c r="T281" i="19"/>
  <c r="T420" i="19"/>
  <c r="T457" i="19"/>
  <c r="T847" i="19"/>
  <c r="T559" i="19"/>
  <c r="T216" i="19"/>
  <c r="T884" i="19"/>
  <c r="T885" i="19"/>
  <c r="T253" i="19"/>
  <c r="T701" i="19"/>
  <c r="T280" i="19"/>
  <c r="T249" i="19"/>
  <c r="T855" i="19"/>
  <c r="T852" i="19"/>
  <c r="T518" i="19"/>
  <c r="T58" i="19"/>
  <c r="T33" i="19"/>
  <c r="T59" i="19"/>
  <c r="T686" i="19"/>
  <c r="T659" i="19"/>
  <c r="T660" i="19"/>
  <c r="T362" i="19"/>
  <c r="T395" i="19"/>
  <c r="T613" i="19"/>
  <c r="T163" i="19"/>
  <c r="T614" i="19"/>
  <c r="T687" i="19"/>
  <c r="T41" i="19"/>
  <c r="T485" i="19"/>
  <c r="T877" i="19"/>
  <c r="T871" i="19"/>
  <c r="T872" i="19"/>
  <c r="T81" i="19"/>
  <c r="T302" i="19"/>
  <c r="T851" i="19"/>
  <c r="T319" i="19"/>
  <c r="T320" i="19"/>
  <c r="T321" i="19"/>
  <c r="T615" i="19"/>
  <c r="T616" i="19"/>
  <c r="T390" i="19"/>
  <c r="T125" i="19"/>
  <c r="T409" i="19"/>
  <c r="T220" i="19"/>
  <c r="T661" i="19"/>
  <c r="T274" i="19"/>
  <c r="T93" i="19"/>
  <c r="T662" i="19"/>
  <c r="T908" i="19"/>
  <c r="T942" i="19"/>
  <c r="T925" i="19"/>
  <c r="T699" i="19"/>
  <c r="T197" i="19"/>
  <c r="T299" i="19"/>
  <c r="T142" i="19"/>
  <c r="T143" i="19"/>
  <c r="T911" i="19"/>
  <c r="T327" i="19"/>
  <c r="T328" i="19"/>
  <c r="T329" i="19"/>
  <c r="T105" i="19"/>
  <c r="T330" i="19"/>
  <c r="T740" i="19"/>
  <c r="T94" i="19"/>
  <c r="T106" i="19"/>
  <c r="T331" i="19"/>
  <c r="T332" i="19"/>
  <c r="T509" i="19"/>
  <c r="T510" i="19"/>
  <c r="T511" i="19"/>
  <c r="T512" i="19"/>
  <c r="T333" i="19"/>
  <c r="T482" i="19"/>
  <c r="T471" i="19"/>
  <c r="T828" i="19"/>
  <c r="T194" i="19"/>
  <c r="T700" i="19"/>
  <c r="T879" i="19"/>
  <c r="T813" i="19"/>
  <c r="T814" i="19"/>
  <c r="T815" i="19"/>
  <c r="T685" i="19"/>
  <c r="T145" i="19"/>
  <c r="T269" i="19"/>
  <c r="T270" i="19"/>
  <c r="T501" i="19"/>
  <c r="T49" i="19"/>
  <c r="T50" i="19"/>
  <c r="T62" i="19"/>
  <c r="T86" i="19"/>
  <c r="T102" i="19"/>
  <c r="T37" i="19"/>
  <c r="T117" i="19"/>
  <c r="T263" i="19"/>
  <c r="T63" i="19"/>
  <c r="T64" i="19"/>
  <c r="T118" i="19"/>
  <c r="T741" i="19"/>
  <c r="T742" i="19"/>
  <c r="T743" i="19"/>
  <c r="T190" i="19"/>
  <c r="T617" i="19"/>
  <c r="T773" i="19"/>
  <c r="T627" i="19"/>
  <c r="T149" i="19"/>
  <c r="T150" i="19"/>
  <c r="T582" i="19"/>
  <c r="T916" i="19"/>
  <c r="T347" i="19"/>
  <c r="T349" i="19"/>
  <c r="T350" i="19"/>
  <c r="T781" i="19"/>
  <c r="T782" i="19"/>
  <c r="T783" i="19"/>
  <c r="T530" i="19"/>
  <c r="T759" i="19"/>
  <c r="T340" i="19"/>
  <c r="T915" i="19"/>
  <c r="T523" i="19"/>
  <c r="T878" i="19"/>
  <c r="T205" i="19"/>
  <c r="T206" i="19"/>
  <c r="T525" i="19"/>
  <c r="T521" i="19"/>
  <c r="T207" i="19"/>
  <c r="T491" i="19"/>
  <c r="T351" i="19"/>
  <c r="T208" i="19"/>
  <c r="T943" i="19"/>
  <c r="T619" i="19"/>
  <c r="T860" i="19"/>
  <c r="T861" i="19"/>
  <c r="T862" i="19"/>
  <c r="T863" i="19"/>
  <c r="T760" i="19"/>
  <c r="T334" i="19"/>
  <c r="T513" i="19"/>
  <c r="T744" i="19"/>
  <c r="T589" i="19"/>
  <c r="T43" i="19"/>
  <c r="T375" i="19"/>
  <c r="T245" i="19"/>
  <c r="T907" i="19"/>
  <c r="T854" i="19"/>
  <c r="T747" i="19"/>
  <c r="T383" i="19"/>
  <c r="T905" i="19"/>
  <c r="T870" i="19"/>
  <c r="T803" i="19"/>
  <c r="T804" i="19"/>
  <c r="T805" i="19"/>
  <c r="T806" i="19"/>
  <c r="T807" i="19"/>
  <c r="T731" i="19"/>
  <c r="T798" i="19"/>
  <c r="T799" i="19"/>
  <c r="T800" i="19"/>
  <c r="T776" i="19"/>
  <c r="T413" i="19"/>
  <c r="T703" i="19"/>
  <c r="T808" i="19"/>
  <c r="T153" i="19"/>
  <c r="T357" i="19"/>
  <c r="T784" i="19"/>
  <c r="T690" i="19"/>
  <c r="T691" i="19"/>
  <c r="T692" i="19"/>
  <c r="T344" i="19"/>
  <c r="T345" i="19"/>
  <c r="T761" i="19"/>
  <c r="T235" i="19"/>
  <c r="T157" i="19"/>
  <c r="T630" i="19"/>
  <c r="T688" i="19"/>
  <c r="T704" i="19"/>
  <c r="T705" i="19"/>
  <c r="T706" i="19"/>
  <c r="T707" i="19"/>
  <c r="T288" i="19"/>
  <c r="T289" i="19"/>
  <c r="T290" i="19"/>
  <c r="T291" i="19"/>
  <c r="T292" i="19"/>
  <c r="T368" i="19"/>
  <c r="T438" i="19"/>
  <c r="T693" i="19"/>
  <c r="T439" i="19"/>
  <c r="T886" i="19"/>
  <c r="T231" i="19"/>
  <c r="T749" i="19"/>
  <c r="T906" i="19"/>
  <c r="T774" i="19"/>
  <c r="T584" i="19"/>
  <c r="T148" i="19"/>
  <c r="T502" i="19"/>
  <c r="T123" i="19"/>
  <c r="T158" i="19"/>
  <c r="T132" i="19"/>
  <c r="T762" i="19"/>
  <c r="T335" i="19"/>
  <c r="T95" i="19"/>
  <c r="T735" i="19"/>
  <c r="T766" i="19"/>
  <c r="T767" i="19"/>
  <c r="T225" i="19"/>
  <c r="T226" i="19"/>
  <c r="T399" i="19"/>
  <c r="T313" i="19"/>
  <c r="T236" i="19"/>
  <c r="T750" i="19"/>
  <c r="T403" i="19"/>
  <c r="T441" i="19"/>
  <c r="T442" i="19"/>
  <c r="T443" i="19"/>
  <c r="T444" i="19"/>
  <c r="T227" i="19"/>
  <c r="T228" i="19"/>
  <c r="T229" i="19"/>
  <c r="T230" i="19"/>
  <c r="T768" i="19"/>
  <c r="T748" i="19"/>
  <c r="T769" i="19"/>
  <c r="T379" i="19"/>
  <c r="T527" i="19"/>
  <c r="T588" i="19"/>
  <c r="T489" i="19"/>
  <c r="T346" i="19"/>
  <c r="T301" i="19"/>
  <c r="T752" i="19"/>
  <c r="T402" i="19"/>
  <c r="T751" i="19"/>
  <c r="T326" i="19"/>
  <c r="T391" i="19"/>
  <c r="T392" i="19"/>
  <c r="T856" i="19"/>
  <c r="T574" i="19"/>
  <c r="T398" i="19"/>
  <c r="T922" i="19"/>
  <c r="T560" i="19"/>
  <c r="T432" i="19"/>
  <c r="T406" i="19"/>
  <c r="T218" i="19"/>
  <c r="T517" i="19"/>
  <c r="T212" i="19"/>
  <c r="T408" i="19"/>
  <c r="T306" i="19"/>
  <c r="T307" i="19"/>
  <c r="T914" i="19"/>
  <c r="T445" i="19"/>
  <c r="T753" i="19"/>
  <c r="T902" i="19"/>
  <c r="T903" i="19"/>
  <c r="T904" i="19"/>
  <c r="T282" i="19"/>
  <c r="T400" i="19"/>
  <c r="T401" i="19"/>
  <c r="T937" i="19"/>
  <c r="T248" i="19"/>
  <c r="T446" i="19"/>
  <c r="T638" i="19"/>
  <c r="T252" i="19"/>
  <c r="T129" i="19"/>
  <c r="T84" i="19"/>
  <c r="T894" i="19"/>
  <c r="T624" i="19"/>
  <c r="T352" i="19"/>
  <c r="T880" i="19"/>
  <c r="T214" i="19"/>
  <c r="T217" i="19"/>
  <c r="T524" i="19"/>
  <c r="T498" i="19"/>
  <c r="T323" i="19"/>
  <c r="T324" i="19"/>
  <c r="T325" i="19"/>
  <c r="T844" i="19"/>
  <c r="T845" i="19"/>
  <c r="T736" i="19"/>
  <c r="T575" i="19"/>
  <c r="T162" i="19"/>
  <c r="T789" i="19"/>
  <c r="T103" i="19"/>
  <c r="T816" i="19"/>
  <c r="T603" i="19"/>
  <c r="T817" i="19"/>
  <c r="T499" i="19"/>
  <c r="T520" i="19"/>
  <c r="T945" i="19"/>
  <c r="T130" i="19"/>
  <c r="T219" i="19"/>
  <c r="T857" i="19"/>
  <c r="T858" i="19"/>
  <c r="T899" i="19"/>
  <c r="T887" i="19"/>
  <c r="T812" i="19"/>
  <c r="T809" i="19"/>
  <c r="T810" i="19"/>
  <c r="T811" i="19"/>
  <c r="T337" i="19"/>
  <c r="T503" i="19"/>
  <c r="T797" i="19"/>
  <c r="T472" i="19"/>
  <c r="T254" i="19"/>
  <c r="T940" i="19"/>
  <c r="T888" i="19"/>
  <c r="T237" i="19"/>
  <c r="T238" i="19"/>
  <c r="T240" i="19"/>
  <c r="T241" i="19"/>
  <c r="T944" i="19"/>
  <c r="T576" i="19"/>
  <c r="T79" i="19"/>
  <c r="T363" i="19"/>
  <c r="T239" i="19"/>
  <c r="T128" i="19"/>
  <c r="T487" i="19"/>
  <c r="T941" i="19"/>
  <c r="T889" i="19"/>
  <c r="T271" i="19"/>
  <c r="T695" i="19"/>
  <c r="T516" i="19"/>
  <c r="T133" i="19"/>
  <c r="T853" i="19"/>
  <c r="T435" i="19"/>
  <c r="T639" i="19"/>
  <c r="T640" i="19"/>
  <c r="T11" i="19"/>
  <c r="T641" i="19"/>
  <c r="T12" i="19"/>
  <c r="T642" i="19"/>
  <c r="T737" i="19"/>
  <c r="T397" i="19"/>
  <c r="T673" i="19"/>
  <c r="T431" i="19"/>
  <c r="T109" i="19"/>
  <c r="T676" i="19"/>
  <c r="T677" i="19"/>
  <c r="T272" i="19"/>
  <c r="T674" i="19"/>
  <c r="T675" i="19"/>
  <c r="T873" i="19"/>
  <c r="T778" i="19"/>
  <c r="T779" i="19"/>
  <c r="T38" i="19"/>
  <c r="T522" i="19"/>
  <c r="T348" i="19"/>
  <c r="T651" i="19"/>
  <c r="T652" i="19"/>
  <c r="T653" i="19"/>
  <c r="T40" i="19"/>
  <c r="T654" i="19"/>
  <c r="T655" i="19"/>
  <c r="T917" i="19"/>
  <c r="T918" i="19"/>
  <c r="T771" i="19"/>
  <c r="T708" i="19"/>
  <c r="T7" i="19"/>
  <c r="T923" i="19"/>
  <c r="T924" i="19"/>
  <c r="T874" i="19"/>
  <c r="T526" i="19"/>
  <c r="T846" i="19"/>
  <c r="T571" i="19"/>
  <c r="T213" i="19"/>
  <c r="T663" i="19"/>
  <c r="T424" i="19"/>
  <c r="T678" i="19"/>
  <c r="T679" i="19"/>
  <c r="T680" i="19"/>
  <c r="T374" i="19"/>
  <c r="T72" i="19"/>
  <c r="T89" i="19"/>
  <c r="T90" i="19"/>
  <c r="T53" i="19"/>
  <c r="T91" i="19"/>
  <c r="T92" i="19"/>
  <c r="T119" i="19"/>
  <c r="T73" i="19"/>
  <c r="T35" i="19"/>
  <c r="T127" i="19"/>
  <c r="T121" i="19"/>
  <c r="T493" i="19"/>
  <c r="T492" i="19"/>
  <c r="T465" i="19"/>
  <c r="T466" i="19"/>
  <c r="T467" i="19"/>
  <c r="T468" i="19"/>
  <c r="T283" i="19"/>
  <c r="T864" i="19"/>
  <c r="T865" i="19"/>
  <c r="T563" i="19"/>
  <c r="T818" i="19"/>
  <c r="T819" i="19"/>
  <c r="T820" i="19"/>
  <c r="T821" i="19"/>
  <c r="T822" i="19"/>
  <c r="T859" i="19"/>
  <c r="T631" i="19"/>
  <c r="T632" i="19"/>
  <c r="T890" i="19"/>
  <c r="T867" i="19"/>
  <c r="T126" i="19"/>
  <c r="T376" i="19"/>
  <c r="T286" i="19"/>
  <c r="T287" i="19"/>
  <c r="T486" i="19"/>
  <c r="T13" i="19"/>
  <c r="T369" i="19"/>
  <c r="T604" i="19"/>
  <c r="T605" i="19"/>
  <c r="T606" i="19"/>
  <c r="T689" i="19"/>
  <c r="T370" i="19"/>
  <c r="T495" i="19"/>
  <c r="T643" i="19"/>
  <c r="T416" i="19"/>
  <c r="T447" i="19"/>
  <c r="T448" i="19"/>
  <c r="T414" i="19"/>
  <c r="T124" i="19"/>
  <c r="T496" i="19"/>
  <c r="T410" i="19"/>
  <c r="T411" i="19"/>
  <c r="T497" i="19"/>
  <c r="T785" i="19"/>
  <c r="T801" i="19"/>
  <c r="T802" i="19"/>
  <c r="T709" i="19"/>
  <c r="T710" i="19"/>
  <c r="T926" i="19"/>
  <c r="T927" i="19"/>
  <c r="T928" i="19"/>
  <c r="T711" i="19"/>
  <c r="T712" i="19"/>
  <c r="T713" i="19"/>
  <c r="T714" i="19"/>
  <c r="T715" i="19"/>
  <c r="T929" i="19"/>
  <c r="T930" i="19"/>
  <c r="T931" i="19"/>
  <c r="T932" i="19"/>
  <c r="T933" i="19"/>
  <c r="T934" i="19"/>
  <c r="T935" i="19"/>
  <c r="T716" i="19"/>
  <c r="T717" i="19"/>
  <c r="T718" i="19"/>
  <c r="T719" i="19"/>
  <c r="T720" i="19"/>
  <c r="T721" i="19"/>
  <c r="T722" i="19"/>
  <c r="T723" i="19"/>
  <c r="T724" i="19"/>
  <c r="T156" i="19"/>
  <c r="T463" i="19"/>
  <c r="T515" i="19"/>
  <c r="T514" i="19"/>
  <c r="T433" i="19"/>
  <c r="T725" i="19"/>
  <c r="T726" i="19"/>
  <c r="T727" i="19"/>
  <c r="T728" i="19"/>
  <c r="T729" i="19"/>
  <c r="T371" i="19"/>
  <c r="T608" i="19"/>
  <c r="T155" i="19"/>
  <c r="T644" i="19"/>
  <c r="T645" i="19"/>
  <c r="T664" i="19"/>
  <c r="T18" i="19"/>
  <c r="T32" i="19"/>
  <c r="T665" i="19"/>
  <c r="T666" i="19"/>
  <c r="T421" i="19"/>
  <c r="T74" i="19"/>
  <c r="T14" i="19"/>
  <c r="T681" i="19"/>
  <c r="T646" i="19"/>
  <c r="T647" i="19"/>
  <c r="T417" i="19"/>
  <c r="T671" i="19"/>
  <c r="T159" i="19"/>
  <c r="T891" i="19"/>
  <c r="T580" i="19"/>
  <c r="T577" i="19"/>
  <c r="T578" i="19"/>
  <c r="T579" i="19"/>
  <c r="T15" i="19"/>
  <c r="T16" i="19"/>
  <c r="T17" i="19"/>
  <c r="T648" i="19"/>
  <c r="T897" i="19"/>
  <c r="T425" i="19"/>
  <c r="T113" i="19"/>
  <c r="T10" i="19"/>
  <c r="T122" i="19"/>
  <c r="T534" i="19"/>
  <c r="T535" i="19"/>
  <c r="T536" i="19"/>
  <c r="T45" i="19"/>
  <c r="T537" i="19"/>
  <c r="T538" i="19"/>
  <c r="T539" i="19"/>
  <c r="T540" i="19"/>
  <c r="T541" i="19"/>
  <c r="T542" i="19"/>
  <c r="T543" i="19"/>
  <c r="T544" i="19"/>
  <c r="T545" i="19"/>
  <c r="T546" i="19"/>
  <c r="T547" i="19"/>
  <c r="T548" i="19"/>
  <c r="T549" i="19"/>
  <c r="T550" i="19"/>
  <c r="T551" i="19"/>
  <c r="T552" i="19"/>
  <c r="T553" i="19"/>
  <c r="T554" i="19"/>
  <c r="T555" i="19"/>
  <c r="T556" i="19"/>
  <c r="T738" i="19"/>
  <c r="T739" i="19"/>
  <c r="T557" i="19"/>
  <c r="T558" i="19"/>
  <c r="T48" i="19"/>
  <c r="T160" i="19"/>
  <c r="T46" i="19"/>
  <c r="T682" i="19"/>
  <c r="T42" i="19"/>
  <c r="T27" i="19"/>
  <c r="T28" i="19"/>
  <c r="T29" i="19"/>
  <c r="T111" i="19"/>
  <c r="T25" i="19"/>
  <c r="T19" i="19"/>
  <c r="T20" i="19"/>
  <c r="T881" i="19"/>
  <c r="T34" i="19"/>
  <c r="T30" i="19"/>
  <c r="T21" i="19"/>
  <c r="T22" i="19"/>
  <c r="T23" i="19"/>
  <c r="T24" i="19"/>
  <c r="T732" i="19"/>
  <c r="T730" i="19"/>
  <c r="T702" i="19"/>
  <c r="AA3" i="3"/>
  <c r="AU773" i="19" s="1"/>
  <c r="AA4" i="3"/>
  <c r="AU627" i="19" s="1"/>
  <c r="AA5" i="3"/>
  <c r="AU249" i="19" s="1"/>
  <c r="AA6" i="3"/>
  <c r="AU247" i="19" s="1"/>
  <c r="AA7" i="3"/>
  <c r="AU772" i="19" s="1"/>
  <c r="AA8" i="3"/>
  <c r="AU136" i="19" s="1"/>
  <c r="AA9" i="3"/>
  <c r="AU78" i="19" s="1"/>
  <c r="AA10" i="3"/>
  <c r="AU595" i="19" s="1"/>
  <c r="AA11" i="3"/>
  <c r="AU594" i="19" s="1"/>
  <c r="AA12" i="3"/>
  <c r="AU593" i="19" s="1"/>
  <c r="AA13" i="3"/>
  <c r="AU573" i="19" s="1"/>
  <c r="AA14" i="3"/>
  <c r="AU494" i="19" s="1"/>
  <c r="AA15" i="3"/>
  <c r="AU598" i="19" s="1"/>
  <c r="AA16" i="3"/>
  <c r="AU107" i="19" s="1"/>
  <c r="AA17" i="3"/>
  <c r="AU160" i="19" s="1"/>
  <c r="AA18" i="3"/>
  <c r="AU899" i="19" s="1"/>
  <c r="AA19" i="3"/>
  <c r="AU8" i="19" s="1"/>
  <c r="AA20" i="3"/>
  <c r="AU700" i="19" s="1"/>
  <c r="AA21" i="3"/>
  <c r="AU403" i="19" s="1"/>
  <c r="AA22" i="3"/>
  <c r="AU371" i="19" s="1"/>
  <c r="AA23" i="3"/>
  <c r="AU683" i="19" s="1"/>
  <c r="AA24" i="3"/>
  <c r="AU639" i="19" s="1"/>
  <c r="AA25" i="3"/>
  <c r="AU644" i="19" s="1"/>
  <c r="AA26" i="3"/>
  <c r="AU848" i="19" s="1"/>
  <c r="AA27" i="3"/>
  <c r="AU849" i="19" s="1"/>
  <c r="AA28" i="3"/>
  <c r="AU850" i="19" s="1"/>
  <c r="AA29" i="3"/>
  <c r="AU870" i="19" s="1"/>
  <c r="AA30" i="3"/>
  <c r="AU35" i="19" s="1"/>
  <c r="AA31" i="3"/>
  <c r="AU828" i="19" s="1"/>
  <c r="AA32" i="3"/>
  <c r="AU827" i="19" s="1"/>
  <c r="AA33" i="3"/>
  <c r="AU826" i="19" s="1"/>
  <c r="AA34" i="3"/>
  <c r="AU825" i="19" s="1"/>
  <c r="AA35" i="3"/>
  <c r="AA36" i="3"/>
  <c r="AU702" i="19" s="1"/>
  <c r="AA37" i="3"/>
  <c r="AU727" i="19" s="1"/>
  <c r="AA38" i="3"/>
  <c r="AU780" i="19" s="1"/>
  <c r="AA39" i="3"/>
  <c r="AU670" i="19" s="1"/>
  <c r="AA40" i="3"/>
  <c r="AU162" i="19" s="1"/>
  <c r="AA41" i="3"/>
  <c r="AU194" i="19" s="1"/>
  <c r="AA42" i="3"/>
  <c r="AU450" i="19" s="1"/>
  <c r="AA43" i="3"/>
  <c r="AU451" i="19" s="1"/>
  <c r="AA44" i="3"/>
  <c r="AU452" i="19" s="1"/>
  <c r="AA45" i="3"/>
  <c r="AU453" i="19" s="1"/>
  <c r="AA46" i="3"/>
  <c r="AU395" i="19" s="1"/>
  <c r="AA47" i="3"/>
  <c r="AU139" i="19" s="1"/>
  <c r="AA48" i="3"/>
  <c r="AU137" i="19" s="1"/>
  <c r="AA49" i="3"/>
  <c r="AU138" i="19" s="1"/>
  <c r="AA50" i="3"/>
  <c r="AU658" i="19" s="1"/>
  <c r="AA51" i="3"/>
  <c r="AU657" i="19" s="1"/>
  <c r="AA52" i="3"/>
  <c r="AU559" i="19" s="1"/>
  <c r="AA53" i="3"/>
  <c r="AU645" i="19" s="1"/>
  <c r="AA54" i="3"/>
  <c r="AU933" i="19" s="1"/>
  <c r="AA55" i="3"/>
  <c r="AU934" i="19" s="1"/>
  <c r="AA56" i="3"/>
  <c r="AU935" i="19" s="1"/>
  <c r="AA57" i="3"/>
  <c r="AU926" i="19" s="1"/>
  <c r="AA58" i="3"/>
  <c r="AU927" i="19" s="1"/>
  <c r="AA59" i="3"/>
  <c r="AU928" i="19" s="1"/>
  <c r="AA60" i="3"/>
  <c r="AU711" i="19" s="1"/>
  <c r="AA61" i="3"/>
  <c r="AU712" i="19" s="1"/>
  <c r="AA62" i="3"/>
  <c r="AU713" i="19" s="1"/>
  <c r="AA63" i="3"/>
  <c r="AU714" i="19" s="1"/>
  <c r="AA64" i="3"/>
  <c r="AU715" i="19" s="1"/>
  <c r="AA65" i="3"/>
  <c r="AU565" i="19" s="1"/>
  <c r="AA66" i="3"/>
  <c r="AU110" i="19" s="1"/>
  <c r="AA67" i="3"/>
  <c r="AU566" i="19" s="1"/>
  <c r="AA68" i="3"/>
  <c r="AU567" i="19" s="1"/>
  <c r="AA69" i="3"/>
  <c r="AU568" i="19" s="1"/>
  <c r="AA70" i="3"/>
  <c r="AU294" i="19" s="1"/>
  <c r="AA71" i="3"/>
  <c r="AU569" i="19" s="1"/>
  <c r="AA72" i="3"/>
  <c r="AU570" i="19" s="1"/>
  <c r="AA73" i="3"/>
  <c r="AU564" i="19" s="1"/>
  <c r="AA74" i="3"/>
  <c r="AU868" i="19" s="1"/>
  <c r="AA75" i="3"/>
  <c r="AU869" i="19" s="1"/>
  <c r="AA76" i="3"/>
  <c r="AU910" i="19" s="1"/>
  <c r="AA77" i="3"/>
  <c r="AU101" i="19" s="1"/>
  <c r="AA78" i="3"/>
  <c r="AU629" i="19" s="1"/>
  <c r="AA79" i="3"/>
  <c r="AU628" i="19" s="1"/>
  <c r="AA80" i="3"/>
  <c r="AU632" i="19" s="1"/>
  <c r="AA81" i="3"/>
  <c r="AU631" i="19" s="1"/>
  <c r="AA82" i="3"/>
  <c r="AU125" i="19" s="1"/>
  <c r="AA83" i="3"/>
  <c r="AU368" i="19" s="1"/>
  <c r="AA84" i="3"/>
  <c r="AU846" i="19" s="1"/>
  <c r="AA85" i="3"/>
  <c r="AA86" i="3"/>
  <c r="AU735" i="19" s="1"/>
  <c r="AA87" i="3"/>
  <c r="AU736" i="19" s="1"/>
  <c r="AA88" i="3"/>
  <c r="AU574" i="19" s="1"/>
  <c r="AA89" i="3"/>
  <c r="AU576" i="19" s="1"/>
  <c r="AA90" i="3"/>
  <c r="AU737" i="19" s="1"/>
  <c r="AA91" i="3"/>
  <c r="AU575" i="19" s="1"/>
  <c r="AA92" i="3"/>
  <c r="AU543" i="19" s="1"/>
  <c r="AA93" i="3"/>
  <c r="AU542" i="19" s="1"/>
  <c r="AA94" i="3"/>
  <c r="AU544" i="19" s="1"/>
  <c r="AA95" i="3"/>
  <c r="AU541" i="19" s="1"/>
  <c r="AA96" i="3"/>
  <c r="AU555" i="19" s="1"/>
  <c r="AA97" i="3"/>
  <c r="AU122" i="19" s="1"/>
  <c r="AA98" i="3"/>
  <c r="AU539" i="19" s="1"/>
  <c r="AA99" i="3"/>
  <c r="AU540" i="19" s="1"/>
  <c r="AA100" i="3"/>
  <c r="AU545" i="19" s="1"/>
  <c r="AA101" i="3"/>
  <c r="AU535" i="19" s="1"/>
  <c r="AA102" i="3"/>
  <c r="AU534" i="19" s="1"/>
  <c r="AA103" i="3"/>
  <c r="AU558" i="19" s="1"/>
  <c r="AA104" i="3"/>
  <c r="AU546" i="19" s="1"/>
  <c r="AA105" i="3"/>
  <c r="AU547" i="19" s="1"/>
  <c r="AA106" i="3"/>
  <c r="AU550" i="19" s="1"/>
  <c r="AA107" i="3"/>
  <c r="AU549" i="19" s="1"/>
  <c r="AA108" i="3"/>
  <c r="AU548" i="19" s="1"/>
  <c r="AA109" i="3"/>
  <c r="AU536" i="19" s="1"/>
  <c r="AA110" i="3"/>
  <c r="AU45" i="19" s="1"/>
  <c r="AA111" i="3"/>
  <c r="AU551" i="19" s="1"/>
  <c r="AA112" i="3"/>
  <c r="AU739" i="19" s="1"/>
  <c r="AA113" i="3"/>
  <c r="AU537" i="19" s="1"/>
  <c r="AA114" i="3"/>
  <c r="AU538" i="19" s="1"/>
  <c r="AA115" i="3"/>
  <c r="AU552" i="19" s="1"/>
  <c r="AA116" i="3"/>
  <c r="AU553" i="19" s="1"/>
  <c r="AA117" i="3"/>
  <c r="AU554" i="19" s="1"/>
  <c r="AA118" i="3"/>
  <c r="AU557" i="19" s="1"/>
  <c r="AA119" i="3"/>
  <c r="AU556" i="19" s="1"/>
  <c r="AA120" i="3"/>
  <c r="AU785" i="19" s="1"/>
  <c r="AA121" i="3"/>
  <c r="AU222" i="19" s="1"/>
  <c r="AA122" i="3"/>
  <c r="AU224" i="19" s="1"/>
  <c r="AA123" i="3"/>
  <c r="AU223" i="19" s="1"/>
  <c r="AA124" i="3"/>
  <c r="AU664" i="19" s="1"/>
  <c r="AA125" i="3"/>
  <c r="AU18" i="19" s="1"/>
  <c r="AA126" i="3"/>
  <c r="AU32" i="19" s="1"/>
  <c r="AA127" i="3"/>
  <c r="AU666" i="19" s="1"/>
  <c r="AA128" i="3"/>
  <c r="AU665" i="19" s="1"/>
  <c r="AA129" i="3"/>
  <c r="AU146" i="19" s="1"/>
  <c r="AA130" i="3"/>
  <c r="AU375" i="19" s="1"/>
  <c r="AA131" i="3"/>
  <c r="AU373" i="19" s="1"/>
  <c r="AA132" i="3"/>
  <c r="AU527" i="19" s="1"/>
  <c r="AA133" i="3"/>
  <c r="AU232" i="19" s="1"/>
  <c r="AA134" i="3"/>
  <c r="AU108" i="19" s="1"/>
  <c r="AA135" i="3"/>
  <c r="AU753" i="19" s="1"/>
  <c r="AA136" i="3"/>
  <c r="AU607" i="19" s="1"/>
  <c r="AA137" i="3"/>
  <c r="AU372" i="19" s="1"/>
  <c r="AA138" i="3"/>
  <c r="AU209" i="19" s="1"/>
  <c r="AA139" i="3"/>
  <c r="AU803" i="19" s="1"/>
  <c r="AA140" i="3"/>
  <c r="AU804" i="19" s="1"/>
  <c r="AA141" i="3"/>
  <c r="AU805" i="19" s="1"/>
  <c r="AA142" i="3"/>
  <c r="AU290" i="19" s="1"/>
  <c r="AA143" i="3"/>
  <c r="AU291" i="19" s="1"/>
  <c r="AA144" i="3"/>
  <c r="AU806" i="19" s="1"/>
  <c r="AA145" i="3"/>
  <c r="AU811" i="19" s="1"/>
  <c r="AA146" i="3"/>
  <c r="AU287" i="19" s="1"/>
  <c r="AA147" i="3"/>
  <c r="AU798" i="19" s="1"/>
  <c r="AA148" i="3"/>
  <c r="AU705" i="19" s="1"/>
  <c r="AA149" i="3"/>
  <c r="AU799" i="19" s="1"/>
  <c r="AA150" i="3"/>
  <c r="AU706" i="19" s="1"/>
  <c r="AA151" i="3"/>
  <c r="AU800" i="19" s="1"/>
  <c r="AA152" i="3"/>
  <c r="AU421" i="19" s="1"/>
  <c r="AA153" i="3"/>
  <c r="AU74" i="19" s="1"/>
  <c r="AA154" i="3"/>
  <c r="AU651" i="19" s="1"/>
  <c r="AA155" i="3"/>
  <c r="AU652" i="19" s="1"/>
  <c r="AA156" i="3"/>
  <c r="AU14" i="19" s="1"/>
  <c r="AA157" i="3"/>
  <c r="AU653" i="19" s="1"/>
  <c r="AA158" i="3"/>
  <c r="AU418" i="19" s="1"/>
  <c r="AA159" i="3"/>
  <c r="AU649" i="19" s="1"/>
  <c r="AA160" i="3"/>
  <c r="AU650" i="19" s="1"/>
  <c r="AA161" i="3"/>
  <c r="AU57" i="19" s="1"/>
  <c r="AA162" i="3"/>
  <c r="AU609" i="19" s="1"/>
  <c r="AA163" i="3"/>
  <c r="AU459" i="19" s="1"/>
  <c r="AA164" i="3"/>
  <c r="AU460" i="19" s="1"/>
  <c r="AA165" i="3"/>
  <c r="AU508" i="19" s="1"/>
  <c r="AA166" i="3"/>
  <c r="AU458" i="19" s="1"/>
  <c r="AA167" i="3"/>
  <c r="AU408" i="19" s="1"/>
  <c r="AA168" i="3"/>
  <c r="AU572" i="19" s="1"/>
  <c r="AA169" i="3"/>
  <c r="AU797" i="19" s="1"/>
  <c r="AA170" i="3"/>
  <c r="AU309" i="19" s="1"/>
  <c r="AA171" i="3"/>
  <c r="AU189" i="19" s="1"/>
  <c r="AA172" i="3"/>
  <c r="AU724" i="19" s="1"/>
  <c r="AA173" i="3"/>
  <c r="AU660" i="19" s="1"/>
  <c r="AA174" i="3"/>
  <c r="AU659" i="19" s="1"/>
  <c r="AA175" i="3"/>
  <c r="AU721" i="19" s="1"/>
  <c r="AA176" i="3"/>
  <c r="AU893" i="19" s="1"/>
  <c r="AA177" i="3"/>
  <c r="AU51" i="19" s="1"/>
  <c r="AA178" i="3"/>
  <c r="AU265" i="19" s="1"/>
  <c r="AA179" i="3"/>
  <c r="AU264" i="19" s="1"/>
  <c r="AA180" i="3"/>
  <c r="AU266" i="19" s="1"/>
  <c r="AA181" i="3"/>
  <c r="AU267" i="19" s="1"/>
  <c r="AA182" i="3"/>
  <c r="AU72" i="19" s="1"/>
  <c r="AA183" i="3"/>
  <c r="AU89" i="19" s="1"/>
  <c r="AA184" i="3"/>
  <c r="AU90" i="19" s="1"/>
  <c r="AA185" i="3"/>
  <c r="AU53" i="19" s="1"/>
  <c r="AA186" i="3"/>
  <c r="AU91" i="19" s="1"/>
  <c r="AA187" i="3"/>
  <c r="AU92" i="19" s="1"/>
  <c r="AA188" i="3"/>
  <c r="AU119" i="19" s="1"/>
  <c r="AA189" i="3"/>
  <c r="AU73" i="19" s="1"/>
  <c r="AA190" i="3"/>
  <c r="AU436" i="19" s="1"/>
  <c r="AA191" i="3"/>
  <c r="AU503" i="19" s="1"/>
  <c r="AA192" i="3"/>
  <c r="AU305" i="19" s="1"/>
  <c r="AA193" i="3"/>
  <c r="AU303" i="19" s="1"/>
  <c r="AA194" i="3"/>
  <c r="AU123" i="19" s="1"/>
  <c r="AA195" i="3"/>
  <c r="AU633" i="19" s="1"/>
  <c r="AA196" i="3"/>
  <c r="AU634" i="19" s="1"/>
  <c r="AA197" i="3"/>
  <c r="AU393" i="19" s="1"/>
  <c r="AA198" i="3"/>
  <c r="AU394" i="19" s="1"/>
  <c r="AA199" i="3"/>
  <c r="AU84" i="19" s="1"/>
  <c r="AA200" i="3"/>
  <c r="AU252" i="19" s="1"/>
  <c r="AA201" i="3"/>
  <c r="AU251" i="19" s="1"/>
  <c r="AA202" i="3"/>
  <c r="AU914" i="19" s="1"/>
  <c r="AA203" i="3"/>
  <c r="AU218" i="19" s="1"/>
  <c r="AA204" i="3"/>
  <c r="AU354" i="19" s="1"/>
  <c r="AA205" i="3"/>
  <c r="AU219" i="19" s="1"/>
  <c r="AA206" i="3"/>
  <c r="AU439" i="19" s="1"/>
  <c r="AA207" i="3"/>
  <c r="AU630" i="19" s="1"/>
  <c r="AA208" i="3"/>
  <c r="AU157" i="19" s="1"/>
  <c r="AA209" i="3"/>
  <c r="AU449" i="19" s="1"/>
  <c r="AA210" i="3"/>
  <c r="AU340" i="19" s="1"/>
  <c r="AA211" i="3"/>
  <c r="AU135" i="19" s="1"/>
  <c r="AA212" i="3"/>
  <c r="AU96" i="19" s="1"/>
  <c r="AA213" i="3"/>
  <c r="AU128" i="19" s="1"/>
  <c r="AA214" i="3"/>
  <c r="AU40" i="19" s="1"/>
  <c r="AA215" i="3"/>
  <c r="AU124" i="19" s="1"/>
  <c r="AA216" i="3"/>
  <c r="AU353" i="19" s="1"/>
  <c r="AA217" i="3"/>
  <c r="AA218" i="3"/>
  <c r="AU620" i="19" s="1"/>
  <c r="AA219" i="3"/>
  <c r="AU310" i="19" s="1"/>
  <c r="AA220" i="3"/>
  <c r="AA221" i="3"/>
  <c r="AU235" i="19" s="1"/>
  <c r="AA222" i="3"/>
  <c r="AU761" i="19" s="1"/>
  <c r="AA223" i="3"/>
  <c r="AU241" i="19" s="1"/>
  <c r="AA224" i="3"/>
  <c r="AU240" i="19" s="1"/>
  <c r="AA225" i="3"/>
  <c r="AU784" i="19" s="1"/>
  <c r="AA226" i="3"/>
  <c r="AU520" i="19" s="1"/>
  <c r="AA227" i="3"/>
  <c r="AU80" i="19" s="1"/>
  <c r="AA228" i="3"/>
  <c r="AU169" i="19" s="1"/>
  <c r="AA229" i="3"/>
  <c r="AU763" i="19" s="1"/>
  <c r="AA230" i="3"/>
  <c r="AU166" i="19" s="1"/>
  <c r="AA231" i="3"/>
  <c r="AU167" i="19" s="1"/>
  <c r="AA232" i="3"/>
  <c r="AU764" i="19" s="1"/>
  <c r="AA233" i="3"/>
  <c r="AU168" i="19" s="1"/>
  <c r="AA234" i="3"/>
  <c r="AU112" i="19" s="1"/>
  <c r="AA235" i="3"/>
  <c r="AU170" i="19" s="1"/>
  <c r="AA236" i="3"/>
  <c r="AU613" i="19" s="1"/>
  <c r="AA237" i="3"/>
  <c r="AU20" i="19" s="1"/>
  <c r="AA238" i="3"/>
  <c r="AU824" i="19" s="1"/>
  <c r="AA239" i="3"/>
  <c r="AU732" i="19" s="1"/>
  <c r="AA240" i="3"/>
  <c r="AU693" i="19" s="1"/>
  <c r="AA241" i="3"/>
  <c r="AU359" i="19" s="1"/>
  <c r="AA242" i="3"/>
  <c r="AU47" i="19" s="1"/>
  <c r="AA243" i="3"/>
  <c r="AU872" i="19" s="1"/>
  <c r="AA244" i="3"/>
  <c r="AU873" i="19" s="1"/>
  <c r="AA245" i="3"/>
  <c r="AU871" i="19" s="1"/>
  <c r="AA246" i="3"/>
  <c r="AU884" i="19" s="1"/>
  <c r="AA247" i="3"/>
  <c r="AU890" i="19" s="1"/>
  <c r="AA248" i="3"/>
  <c r="AU255" i="19" s="1"/>
  <c r="AA249" i="3"/>
  <c r="AU605" i="19" s="1"/>
  <c r="AA250" i="3"/>
  <c r="AU597" i="19" s="1"/>
  <c r="AA251" i="3"/>
  <c r="AU369" i="19" s="1"/>
  <c r="AA252" i="3"/>
  <c r="AU604" i="19" s="1"/>
  <c r="AA253" i="3"/>
  <c r="AU590" i="19" s="1"/>
  <c r="AA254" i="3"/>
  <c r="AU405" i="19" s="1"/>
  <c r="AA255" i="3"/>
  <c r="AU606" i="19" s="1"/>
  <c r="AA256" i="3"/>
  <c r="AU591" i="19" s="1"/>
  <c r="AA257" i="3"/>
  <c r="AU173" i="19" s="1"/>
  <c r="AA258" i="3"/>
  <c r="AU100" i="19" s="1"/>
  <c r="AA259" i="3"/>
  <c r="AU792" i="19" s="1"/>
  <c r="AA260" i="3"/>
  <c r="AU596" i="19" s="1"/>
  <c r="AA261" i="3"/>
  <c r="AU175" i="19" s="1"/>
  <c r="AA262" i="3"/>
  <c r="AU174" i="19" s="1"/>
  <c r="AA263" i="3"/>
  <c r="AU343" i="19" s="1"/>
  <c r="AA264" i="3"/>
  <c r="AU342" i="19" s="1"/>
  <c r="AA265" i="3"/>
  <c r="AU922" i="19" s="1"/>
  <c r="AA266" i="3"/>
  <c r="AU528" i="19" s="1"/>
  <c r="AA267" i="3"/>
  <c r="AA268" i="3"/>
  <c r="AU43" i="19" s="1"/>
  <c r="AA269" i="3"/>
  <c r="AU562" i="19" s="1"/>
  <c r="AA270" i="3"/>
  <c r="AU159" i="19" s="1"/>
  <c r="AA271" i="3"/>
  <c r="AU217" i="19" s="1"/>
  <c r="AA272" i="3"/>
  <c r="AU524" i="19" s="1"/>
  <c r="AA273" i="3"/>
  <c r="AU81" i="19" s="1"/>
  <c r="AA274" i="3"/>
  <c r="AU163" i="19" s="1"/>
  <c r="AA275" i="3"/>
  <c r="AU908" i="19" s="1"/>
  <c r="AA276" i="3"/>
  <c r="AU897" i="19" s="1"/>
  <c r="AA277" i="3"/>
  <c r="AU622" i="19" s="1"/>
  <c r="AA278" i="3"/>
  <c r="AU56" i="19" s="1"/>
  <c r="AA279" i="3"/>
  <c r="AU911" i="19" s="1"/>
  <c r="AA280" i="3"/>
  <c r="AU335" i="19" s="1"/>
  <c r="AA281" i="3"/>
  <c r="AU327" i="19" s="1"/>
  <c r="AA282" i="3"/>
  <c r="AU328" i="19" s="1"/>
  <c r="AA283" i="3"/>
  <c r="AU329" i="19" s="1"/>
  <c r="AA284" i="3"/>
  <c r="AU105" i="19" s="1"/>
  <c r="AA285" i="3"/>
  <c r="AU330" i="19" s="1"/>
  <c r="AA286" i="3"/>
  <c r="AU509" i="19" s="1"/>
  <c r="AA287" i="3"/>
  <c r="AU740" i="19" s="1"/>
  <c r="AA288" i="3"/>
  <c r="AU512" i="19" s="1"/>
  <c r="AA289" i="3"/>
  <c r="AU333" i="19" s="1"/>
  <c r="AA290" i="3"/>
  <c r="AU94" i="19" s="1"/>
  <c r="AA291" i="3"/>
  <c r="AU106" i="19" s="1"/>
  <c r="AA292" i="3"/>
  <c r="AU331" i="19" s="1"/>
  <c r="AA293" i="3"/>
  <c r="AU332" i="19" s="1"/>
  <c r="AA294" i="3"/>
  <c r="AU510" i="19" s="1"/>
  <c r="AA295" i="3"/>
  <c r="AU511" i="19" s="1"/>
  <c r="AA296" i="3"/>
  <c r="AU513" i="19" s="1"/>
  <c r="AA297" i="3"/>
  <c r="AU334" i="19" s="1"/>
  <c r="AA298" i="3"/>
  <c r="AU95" i="19" s="1"/>
  <c r="AA299" i="3"/>
  <c r="AU363" i="19" s="1"/>
  <c r="AA300" i="3"/>
  <c r="AU79" i="19" s="1"/>
  <c r="AA301" i="3"/>
  <c r="AU525" i="19" s="1"/>
  <c r="AA302" i="3"/>
  <c r="AU696" i="19" s="1"/>
  <c r="AA303" i="3"/>
  <c r="AU99" i="19" s="1"/>
  <c r="AA304" i="3"/>
  <c r="AU496" i="19" s="1"/>
  <c r="AA305" i="3"/>
  <c r="AU497" i="19" s="1"/>
  <c r="AA306" i="3"/>
  <c r="AU636" i="19" s="1"/>
  <c r="AA307" i="3"/>
  <c r="AU584" i="19" s="1"/>
  <c r="AA308" i="3"/>
  <c r="AU862" i="19" s="1"/>
  <c r="AA309" i="3"/>
  <c r="AU860" i="19" s="1"/>
  <c r="AA310" i="3"/>
  <c r="AU571" i="19" s="1"/>
  <c r="AA311" i="3"/>
  <c r="AU239" i="19" s="1"/>
  <c r="AA312" i="3"/>
  <c r="AU624" i="19" s="1"/>
  <c r="AA313" i="3"/>
  <c r="AU530" i="19" s="1"/>
  <c r="AA314" i="3"/>
  <c r="AU529" i="19" s="1"/>
  <c r="AA315" i="3"/>
  <c r="AU233" i="19" s="1"/>
  <c r="AA316" i="3"/>
  <c r="AU234" i="19" s="1"/>
  <c r="AA317" i="3"/>
  <c r="AU754" i="19" s="1"/>
  <c r="AA318" i="3"/>
  <c r="AU762" i="19" s="1"/>
  <c r="AA319" i="3"/>
  <c r="AU861" i="19" s="1"/>
  <c r="AA320" i="3"/>
  <c r="AU608" i="19" s="1"/>
  <c r="AA321" i="3"/>
  <c r="AA322" i="3"/>
  <c r="AU656" i="19" s="1"/>
  <c r="AA323" i="3"/>
  <c r="AU662" i="19" s="1"/>
  <c r="AA324" i="3"/>
  <c r="AU422" i="19" s="1"/>
  <c r="AA325" i="3"/>
  <c r="AU54" i="19" s="1"/>
  <c r="AA326" i="3"/>
  <c r="AU26" i="19" s="1"/>
  <c r="AA327" i="3"/>
  <c r="AA328" i="3"/>
  <c r="AA329" i="3"/>
  <c r="AU777" i="19" s="1"/>
  <c r="AA330" i="3"/>
  <c r="AU779" i="19" s="1"/>
  <c r="AA331" i="3"/>
  <c r="AU778" i="19" s="1"/>
  <c r="AA332" i="3"/>
  <c r="AU6" i="19" s="1"/>
  <c r="AA333" i="3"/>
  <c r="AU374" i="19" s="1"/>
  <c r="AA334" i="3"/>
  <c r="AU678" i="19" s="1"/>
  <c r="AA335" i="3"/>
  <c r="AU679" i="19" s="1"/>
  <c r="AA336" i="3"/>
  <c r="AU44" i="19" s="1"/>
  <c r="AA337" i="3"/>
  <c r="AU682" i="19" s="1"/>
  <c r="AA338" i="3"/>
  <c r="AU437" i="19" s="1"/>
  <c r="AA339" i="3"/>
  <c r="AU430" i="19" s="1"/>
  <c r="AA340" i="3"/>
  <c r="AU426" i="19" s="1"/>
  <c r="AA341" i="3"/>
  <c r="AU221" i="19" s="1"/>
  <c r="AA342" i="3"/>
  <c r="AU410" i="19" s="1"/>
  <c r="AA343" i="3"/>
  <c r="AU411" i="19" s="1"/>
  <c r="AA344" i="3"/>
  <c r="AU38" i="19" s="1"/>
  <c r="AA345" i="3"/>
  <c r="AU461" i="19" s="1"/>
  <c r="AA346" i="3"/>
  <c r="AU201" i="19" s="1"/>
  <c r="AA347" i="3"/>
  <c r="AU396" i="19" s="1"/>
  <c r="AA348" i="3"/>
  <c r="AU455" i="19" s="1"/>
  <c r="AA349" i="3"/>
  <c r="AU197" i="19" s="1"/>
  <c r="AA350" i="3"/>
  <c r="AU456" i="19" s="1"/>
  <c r="AA351" i="3"/>
  <c r="AU454" i="19" s="1"/>
  <c r="AA352" i="3"/>
  <c r="AU196" i="19" s="1"/>
  <c r="AA353" i="3"/>
  <c r="AU462" i="19" s="1"/>
  <c r="AA354" i="3"/>
  <c r="AU355" i="19" s="1"/>
  <c r="AA355" i="3"/>
  <c r="AU356" i="19" s="1"/>
  <c r="AA356" i="3"/>
  <c r="AU397" i="19" s="1"/>
  <c r="AA357" i="3"/>
  <c r="AU560" i="19" s="1"/>
  <c r="AA358" i="3"/>
  <c r="AU689" i="19" s="1"/>
  <c r="AA359" i="3"/>
  <c r="AU915" i="19" s="1"/>
  <c r="AA360" i="3"/>
  <c r="AU674" i="19" s="1"/>
  <c r="AA361" i="3"/>
  <c r="AU675" i="19" s="1"/>
  <c r="AA362" i="3"/>
  <c r="AU673" i="19" s="1"/>
  <c r="AA363" i="3"/>
  <c r="AU429" i="19" s="1"/>
  <c r="AA364" i="3"/>
  <c r="AU641" i="19" s="1"/>
  <c r="AA365" i="3"/>
  <c r="AU431" i="19" s="1"/>
  <c r="AA366" i="3"/>
  <c r="AU109" i="19" s="1"/>
  <c r="AA367" i="3"/>
  <c r="AU283" i="19" s="1"/>
  <c r="AA368" i="3"/>
  <c r="AU889" i="19" s="1"/>
  <c r="AA369" i="3"/>
  <c r="AU582" i="19" s="1"/>
  <c r="AA370" i="3"/>
  <c r="AU311" i="19" s="1"/>
  <c r="AA371" i="3"/>
  <c r="AU246" i="19" s="1"/>
  <c r="AA372" i="3"/>
  <c r="AU561" i="19" s="1"/>
  <c r="AA373" i="3"/>
  <c r="AU771" i="19" s="1"/>
  <c r="AA374" i="3"/>
  <c r="AU501" i="19" s="1"/>
  <c r="AA375" i="3"/>
  <c r="AU275" i="19" s="1"/>
  <c r="AA376" i="3"/>
  <c r="AU277" i="19" s="1"/>
  <c r="AA377" i="3"/>
  <c r="AU276" i="19" s="1"/>
  <c r="AA378" i="3"/>
  <c r="AU278" i="19" s="1"/>
  <c r="AA379" i="3"/>
  <c r="AU279" i="19" s="1"/>
  <c r="AA380" i="3"/>
  <c r="AU347" i="19" s="1"/>
  <c r="AA381" i="3"/>
  <c r="AA382" i="3"/>
  <c r="AU42" i="19" s="1"/>
  <c r="AA383" i="3"/>
  <c r="AU863" i="19" s="1"/>
  <c r="AA384" i="3"/>
  <c r="AA385" i="3"/>
  <c r="AU879" i="19" s="1"/>
  <c r="AA386" i="3"/>
  <c r="AU339" i="19" s="1"/>
  <c r="AA387" i="3"/>
  <c r="AU681" i="19" s="1"/>
  <c r="AA388" i="3"/>
  <c r="AU684" i="19" s="1"/>
  <c r="AA389" i="3"/>
  <c r="AU676" i="19" s="1"/>
  <c r="AA390" i="3"/>
  <c r="AU409" i="19" s="1"/>
  <c r="AA391" i="3"/>
  <c r="AU220" i="19" s="1"/>
  <c r="AA392" i="3"/>
  <c r="AU428" i="19" s="1"/>
  <c r="AA393" i="3"/>
  <c r="AU152" i="19" s="1"/>
  <c r="AA394" i="3"/>
  <c r="AU668" i="19" s="1"/>
  <c r="AA395" i="3"/>
  <c r="AU427" i="19" s="1"/>
  <c r="AA396" i="3"/>
  <c r="AU619" i="19" s="1"/>
  <c r="AA397" i="3"/>
  <c r="AU703" i="19" s="1"/>
  <c r="AA398" i="3"/>
  <c r="AU4" i="19" s="1"/>
  <c r="AA399" i="3"/>
  <c r="AU385" i="19" s="1"/>
  <c r="AA400" i="3"/>
  <c r="AU464" i="19" s="1"/>
  <c r="AA401" i="3"/>
  <c r="AU231" i="19" s="1"/>
  <c r="AA402" i="3"/>
  <c r="AU741" i="19" s="1"/>
  <c r="AA403" i="3"/>
  <c r="AU743" i="19" s="1"/>
  <c r="AA404" i="3"/>
  <c r="AU227" i="19" s="1"/>
  <c r="AA405" i="3"/>
  <c r="AU228" i="19" s="1"/>
  <c r="AA406" i="3"/>
  <c r="AU225" i="19" s="1"/>
  <c r="AA407" i="3"/>
  <c r="AU164" i="19" s="1"/>
  <c r="AA408" i="3"/>
  <c r="AU226" i="19" s="1"/>
  <c r="AA409" i="3"/>
  <c r="AU83" i="19" s="1"/>
  <c r="AA410" i="3"/>
  <c r="AU36" i="19" s="1"/>
  <c r="AA411" i="3"/>
  <c r="AU248" i="19" s="1"/>
  <c r="AA412" i="3"/>
  <c r="AU516" i="19" s="1"/>
  <c r="AA413" i="3"/>
  <c r="AU190" i="19" s="1"/>
  <c r="AA414" i="3"/>
  <c r="AU623" i="19" s="1"/>
  <c r="AA415" i="3"/>
  <c r="AU757" i="19" s="1"/>
  <c r="AA416" i="3"/>
  <c r="AU756" i="19" s="1"/>
  <c r="AA417" i="3"/>
  <c r="AU747" i="19" s="1"/>
  <c r="AA418" i="3"/>
  <c r="AU748" i="19" s="1"/>
  <c r="AA419" i="3"/>
  <c r="AU484" i="19" s="1"/>
  <c r="AA420" i="3"/>
  <c r="AU563" i="19" s="1"/>
  <c r="AA421" i="3"/>
  <c r="AU463" i="19" s="1"/>
  <c r="AA422" i="3"/>
  <c r="AU515" i="19" s="1"/>
  <c r="AA423" i="3"/>
  <c r="AU121" i="19" s="1"/>
  <c r="AA424" i="3"/>
  <c r="AU486" i="19" s="1"/>
  <c r="AA425" i="3"/>
  <c r="AU677" i="19" s="1"/>
  <c r="AA426" i="3"/>
  <c r="AU13" i="19" s="1"/>
  <c r="AA427" i="3"/>
  <c r="AU646" i="19" s="1"/>
  <c r="AA428" i="3"/>
  <c r="AU647" i="19" s="1"/>
  <c r="AA429" i="3"/>
  <c r="AU11" i="19" s="1"/>
  <c r="AA430" i="3"/>
  <c r="AU640" i="19" s="1"/>
  <c r="AA431" i="3"/>
  <c r="AU48" i="19" s="1"/>
  <c r="AA432" i="3"/>
  <c r="AU348" i="19" s="1"/>
  <c r="AA433" i="3"/>
  <c r="AU134" i="19" s="1"/>
  <c r="AA434" i="3"/>
  <c r="AU581" i="19" s="1"/>
  <c r="AA435" i="3"/>
  <c r="AU939" i="19" s="1"/>
  <c r="AA436" i="3"/>
  <c r="AU424" i="19" s="1"/>
  <c r="AA437" i="3"/>
  <c r="AU663" i="19" s="1"/>
  <c r="AA438" i="3"/>
  <c r="AU423" i="19" s="1"/>
  <c r="AA439" i="3"/>
  <c r="AU896" i="19" s="1"/>
  <c r="AA440" i="3"/>
  <c r="AU895" i="19" s="1"/>
  <c r="AA441" i="3"/>
  <c r="AU477" i="19" s="1"/>
  <c r="AA442" i="3"/>
  <c r="AU478" i="19" s="1"/>
  <c r="AA443" i="3"/>
  <c r="AU473" i="19" s="1"/>
  <c r="AA444" i="3"/>
  <c r="AU474" i="19" s="1"/>
  <c r="AA445" i="3"/>
  <c r="AU55" i="19" s="1"/>
  <c r="AA446" i="3"/>
  <c r="AU120" i="19" s="1"/>
  <c r="AA447" i="3"/>
  <c r="AU77" i="19" s="1"/>
  <c r="AA448" i="3"/>
  <c r="AU39" i="19" s="1"/>
  <c r="AA449" i="3"/>
  <c r="AU480" i="19" s="1"/>
  <c r="AA450" i="3"/>
  <c r="AU479" i="19" s="1"/>
  <c r="AA451" i="3"/>
  <c r="AU475" i="19" s="1"/>
  <c r="AA452" i="3"/>
  <c r="AU476" i="19" s="1"/>
  <c r="AA453" i="3"/>
  <c r="AU482" i="19" s="1"/>
  <c r="AA454" i="3"/>
  <c r="AU481" i="19" s="1"/>
  <c r="AA455" i="3"/>
  <c r="AU892" i="19" s="1"/>
  <c r="AA456" i="3"/>
  <c r="AU514" i="19" s="1"/>
  <c r="AA457" i="3"/>
  <c r="AU775" i="19" s="1"/>
  <c r="AA458" i="3"/>
  <c r="AU336" i="19" s="1"/>
  <c r="AA459" i="3"/>
  <c r="AU46" i="19" s="1"/>
  <c r="AA460" i="3"/>
  <c r="AU579" i="19" s="1"/>
  <c r="AA461" i="3"/>
  <c r="AU577" i="19" s="1"/>
  <c r="AA462" i="3"/>
  <c r="AU578" i="19" s="1"/>
  <c r="AA463" i="3"/>
  <c r="AU774" i="19" s="1"/>
  <c r="AA464" i="3"/>
  <c r="AU150" i="19" s="1"/>
  <c r="AA465" i="3"/>
  <c r="AU149" i="19" s="1"/>
  <c r="AA466" i="3"/>
  <c r="AU93" i="19" s="1"/>
  <c r="AA467" i="3"/>
  <c r="AU274" i="19" s="1"/>
  <c r="AA468" i="3"/>
  <c r="AU710" i="19" s="1"/>
  <c r="AA469" i="3"/>
  <c r="AU177" i="19" s="1"/>
  <c r="AA470" i="3"/>
  <c r="AU793" i="19" s="1"/>
  <c r="AA471" i="3"/>
  <c r="AU176" i="19" s="1"/>
  <c r="AA472" i="3"/>
  <c r="AU178" i="19" s="1"/>
  <c r="AA473" i="3"/>
  <c r="AU188" i="19" s="1"/>
  <c r="AA474" i="3"/>
  <c r="AU404" i="19" s="1"/>
  <c r="AA475" i="3"/>
  <c r="AU718" i="19" s="1"/>
  <c r="AA476" i="3"/>
  <c r="AU603" i="19" s="1"/>
  <c r="AA477" i="3"/>
  <c r="AU187" i="19" s="1"/>
  <c r="AA478" i="3"/>
  <c r="AU795" i="19" s="1"/>
  <c r="AA479" i="3"/>
  <c r="AU600" i="19" s="1"/>
  <c r="AA480" i="3"/>
  <c r="AU794" i="19" s="1"/>
  <c r="AA481" i="3"/>
  <c r="AU364" i="19" s="1"/>
  <c r="AA482" i="3"/>
  <c r="AU487" i="19" s="1"/>
  <c r="AA483" i="3"/>
  <c r="AU156" i="19" s="1"/>
  <c r="AA484" i="3"/>
  <c r="AU730" i="19" s="1"/>
  <c r="AA485" i="3"/>
  <c r="AU602" i="19" s="1"/>
  <c r="AA486" i="3"/>
  <c r="AU367" i="19" s="1"/>
  <c r="AA487" i="3"/>
  <c r="AU716" i="19" s="1"/>
  <c r="AA488" i="3"/>
  <c r="AU31" i="19" s="1"/>
  <c r="AA489" i="3"/>
  <c r="AU789" i="19" s="1"/>
  <c r="AA490" i="3"/>
  <c r="AU337" i="19" s="1"/>
  <c r="AA491" i="3"/>
  <c r="AU654" i="19" s="1"/>
  <c r="AA492" i="3"/>
  <c r="AU655" i="19" s="1"/>
  <c r="AA493" i="3"/>
  <c r="AU9" i="19" s="1"/>
  <c r="AA494" i="3"/>
  <c r="AU694" i="19" s="1"/>
  <c r="AA495" i="3"/>
  <c r="AU338" i="19" s="1"/>
  <c r="AA496" i="3"/>
  <c r="AU490" i="19" s="1"/>
  <c r="AA497" i="3"/>
  <c r="AU695" i="19" s="1"/>
  <c r="AA498" i="3"/>
  <c r="AU302" i="19" s="1"/>
  <c r="AA499" i="3"/>
  <c r="AU643" i="19" s="1"/>
  <c r="AA500" i="3"/>
  <c r="AU370" i="19" s="1"/>
  <c r="AA501" i="3"/>
  <c r="AU717" i="19" s="1"/>
  <c r="AA502" i="3"/>
  <c r="AU876" i="19" s="1"/>
  <c r="AA503" i="3"/>
  <c r="AU941" i="19" s="1"/>
  <c r="AA504" i="3"/>
  <c r="AU880" i="19" s="1"/>
  <c r="AA505" i="3"/>
  <c r="AU435" i="19" s="1"/>
  <c r="AA506" i="3"/>
  <c r="AU485" i="19" s="1"/>
  <c r="AA507" i="3"/>
  <c r="AU7" i="19" s="1"/>
  <c r="AA508" i="3"/>
  <c r="AA509" i="3"/>
  <c r="AU131" i="19" s="1"/>
  <c r="AA510" i="3"/>
  <c r="AU776" i="19" s="1"/>
  <c r="AA511" i="3"/>
  <c r="AU672" i="19" s="1"/>
  <c r="AA512" i="3"/>
  <c r="AU68" i="19" s="1"/>
  <c r="AA513" i="3"/>
  <c r="AU103" i="19" s="1"/>
  <c r="AA514" i="3"/>
  <c r="AU87" i="19" s="1"/>
  <c r="AA515" i="3"/>
  <c r="AU67" i="19" s="1"/>
  <c r="AA516" i="3"/>
  <c r="AU65" i="19" s="1"/>
  <c r="AA517" i="3"/>
  <c r="AU66" i="19" s="1"/>
  <c r="AA518" i="3"/>
  <c r="AU69" i="19" s="1"/>
  <c r="AA519" i="3"/>
  <c r="AU88" i="19" s="1"/>
  <c r="AA520" i="3"/>
  <c r="AU104" i="19" s="1"/>
  <c r="AA521" i="3"/>
  <c r="AU52" i="19" s="1"/>
  <c r="AA522" i="3"/>
  <c r="AU71" i="19" s="1"/>
  <c r="AA523" i="3"/>
  <c r="AU70" i="19" s="1"/>
  <c r="AA524" i="3"/>
  <c r="AU75" i="19" s="1"/>
  <c r="AA525" i="3"/>
  <c r="AU98" i="19" s="1"/>
  <c r="AA526" i="3"/>
  <c r="AU76" i="19" s="1"/>
  <c r="AA527" i="3"/>
  <c r="AU97" i="19" s="1"/>
  <c r="AA528" i="3"/>
  <c r="AU60" i="19" s="1"/>
  <c r="AA529" i="3"/>
  <c r="AU257" i="19" s="1"/>
  <c r="AA530" i="3"/>
  <c r="AU85" i="19" s="1"/>
  <c r="AA531" i="3"/>
  <c r="AU115" i="19" s="1"/>
  <c r="AA532" i="3"/>
  <c r="AU61" i="19" s="1"/>
  <c r="AA533" i="3"/>
  <c r="AU116" i="19" s="1"/>
  <c r="AA534" i="3"/>
  <c r="AU271" i="19" s="1"/>
  <c r="AA535" i="3"/>
  <c r="AU49" i="19" s="1"/>
  <c r="AA536" i="3"/>
  <c r="AU50" i="19" s="1"/>
  <c r="AA537" i="3"/>
  <c r="AU62" i="19" s="1"/>
  <c r="AA538" i="3"/>
  <c r="AU86" i="19" s="1"/>
  <c r="AA539" i="3"/>
  <c r="AU102" i="19" s="1"/>
  <c r="AA540" i="3"/>
  <c r="AU37" i="19" s="1"/>
  <c r="AA541" i="3"/>
  <c r="AU256" i="19" s="1"/>
  <c r="AA542" i="3"/>
  <c r="AU117" i="19" s="1"/>
  <c r="AA543" i="3"/>
  <c r="AU263" i="19" s="1"/>
  <c r="AA544" i="3"/>
  <c r="AU63" i="19" s="1"/>
  <c r="AA545" i="3"/>
  <c r="AU64" i="19" s="1"/>
  <c r="AA546" i="3"/>
  <c r="AU118" i="19" s="1"/>
  <c r="AA547" i="3"/>
  <c r="AU129" i="19" s="1"/>
  <c r="AA548" i="3"/>
  <c r="AU130" i="19" s="1"/>
  <c r="AA549" i="3"/>
  <c r="AU433" i="19" s="1"/>
  <c r="AA550" i="3"/>
  <c r="AU82" i="19" s="1"/>
  <c r="AA551" i="3"/>
  <c r="AU260" i="19" s="1"/>
  <c r="AA552" i="3"/>
  <c r="AU258" i="19" s="1"/>
  <c r="AA553" i="3"/>
  <c r="AU262" i="19" s="1"/>
  <c r="AA554" i="3"/>
  <c r="AU259" i="19" s="1"/>
  <c r="AA555" i="3"/>
  <c r="AU261" i="19" s="1"/>
  <c r="AA556" i="3"/>
  <c r="AU358" i="19" s="1"/>
  <c r="AA557" i="3"/>
  <c r="AU273" i="19" s="1"/>
  <c r="AA558" i="3"/>
  <c r="AU272" i="19" s="1"/>
  <c r="AA559" i="3"/>
  <c r="AU637" i="19" s="1"/>
  <c r="AA560" i="3"/>
  <c r="AU270" i="19" s="1"/>
  <c r="AA561" i="3"/>
  <c r="AU269" i="19" s="1"/>
  <c r="AA562" i="3"/>
  <c r="AA563" i="3"/>
  <c r="AU268" i="19" s="1"/>
  <c r="AA564" i="3"/>
  <c r="AU815" i="19" s="1"/>
  <c r="AA565" i="3"/>
  <c r="AU853" i="19" s="1"/>
  <c r="AA566" i="3"/>
  <c r="AU856" i="19" s="1"/>
  <c r="AA567" i="3"/>
  <c r="AU200" i="19" s="1"/>
  <c r="AA568" i="3"/>
  <c r="AU857" i="19" s="1"/>
  <c r="AA569" i="3"/>
  <c r="AU858" i="19" s="1"/>
  <c r="AA570" i="3"/>
  <c r="AU851" i="19" s="1"/>
  <c r="AA571" i="3"/>
  <c r="AU818" i="19" s="1"/>
  <c r="AA572" i="3"/>
  <c r="AU819" i="19" s="1"/>
  <c r="AA573" i="3"/>
  <c r="AU820" i="19" s="1"/>
  <c r="AA574" i="3"/>
  <c r="AU821" i="19" s="1"/>
  <c r="AA575" i="3"/>
  <c r="AU822" i="19" s="1"/>
  <c r="AA576" i="3"/>
  <c r="AU854" i="19" s="1"/>
  <c r="AA577" i="3"/>
  <c r="AU859" i="19" s="1"/>
  <c r="AA578" i="3"/>
  <c r="AU855" i="19" s="1"/>
  <c r="AA579" i="3"/>
  <c r="AU198" i="19" s="1"/>
  <c r="AA580" i="3"/>
  <c r="AU199" i="19" s="1"/>
  <c r="AA581" i="3"/>
  <c r="AU852" i="19" s="1"/>
  <c r="AA582" i="3"/>
  <c r="AU816" i="19" s="1"/>
  <c r="AA583" i="3"/>
  <c r="AU813" i="19" s="1"/>
  <c r="AA584" i="3"/>
  <c r="AU814" i="19" s="1"/>
  <c r="AA585" i="3"/>
  <c r="AU817" i="19" s="1"/>
  <c r="AA586" i="3"/>
  <c r="AU635" i="19" s="1"/>
  <c r="AA587" i="3"/>
  <c r="AU12" i="19" s="1"/>
  <c r="AA588" i="3"/>
  <c r="AU415" i="19" s="1"/>
  <c r="AA589" i="3"/>
  <c r="AU253" i="19" s="1"/>
  <c r="AA590" i="3"/>
  <c r="AU417" i="19" s="1"/>
  <c r="AA591" i="3"/>
  <c r="AU425" i="19" s="1"/>
  <c r="AA592" i="3"/>
  <c r="AU492" i="19" s="1"/>
  <c r="AA593" i="3"/>
  <c r="AU465" i="19" s="1"/>
  <c r="AA594" i="3"/>
  <c r="AU466" i="19" s="1"/>
  <c r="AA595" i="3"/>
  <c r="AU467" i="19" s="1"/>
  <c r="AA596" i="3"/>
  <c r="AU468" i="19" s="1"/>
  <c r="AA597" i="3"/>
  <c r="AU925" i="19" s="1"/>
  <c r="AA598" i="3"/>
  <c r="AU887" i="19" s="1"/>
  <c r="AA599" i="3"/>
  <c r="AU127" i="19" s="1"/>
  <c r="AA600" i="3"/>
  <c r="AU307" i="19" s="1"/>
  <c r="AA601" i="3"/>
  <c r="AU349" i="19" s="1"/>
  <c r="AA602" i="3"/>
  <c r="AU325" i="19" s="1"/>
  <c r="AA603" i="3"/>
  <c r="AU306" i="19" s="1"/>
  <c r="AA604" i="3"/>
  <c r="AU350" i="19" s="1"/>
  <c r="AA605" i="3"/>
  <c r="AU171" i="19" s="1"/>
  <c r="AA606" i="3"/>
  <c r="AU667" i="19" s="1"/>
  <c r="AA607" i="3"/>
  <c r="AU701" i="19" s="1"/>
  <c r="AA608" i="3"/>
  <c r="AU734" i="19" s="1"/>
  <c r="AA609" i="3"/>
  <c r="AU419" i="19" s="1"/>
  <c r="AA610" i="3"/>
  <c r="AU420" i="19" s="1"/>
  <c r="AA611" i="3"/>
  <c r="AU642" i="19" s="1"/>
  <c r="AA612" i="3"/>
  <c r="AU15" i="19" s="1"/>
  <c r="AA613" i="3"/>
  <c r="AU16" i="19" s="1"/>
  <c r="AA614" i="3"/>
  <c r="AU17" i="19" s="1"/>
  <c r="AA615" i="3"/>
  <c r="AU648" i="19" s="1"/>
  <c r="AA616" i="3"/>
  <c r="AU315" i="19" s="1"/>
  <c r="AA617" i="3"/>
  <c r="AU382" i="19" s="1"/>
  <c r="AA618" i="3"/>
  <c r="AU499" i="19" s="1"/>
  <c r="AA619" i="3"/>
  <c r="AU498" i="19" s="1"/>
  <c r="AA620" i="3"/>
  <c r="AU521" i="19" s="1"/>
  <c r="AA621" i="3"/>
  <c r="AU400" i="19" s="1"/>
  <c r="AA622" i="3"/>
  <c r="AU401" i="19" s="1"/>
  <c r="AA623" i="3"/>
  <c r="AU432" i="19" s="1"/>
  <c r="AA624" i="3"/>
  <c r="AU685" i="19" s="1"/>
  <c r="AA625" i="3"/>
  <c r="AU875" i="19" s="1"/>
  <c r="AA626" i="3"/>
  <c r="AU184" i="19" s="1"/>
  <c r="AA627" i="3"/>
  <c r="AU183" i="19" s="1"/>
  <c r="AA628" i="3"/>
  <c r="AU230" i="19" s="1"/>
  <c r="AA629" i="3"/>
  <c r="AU229" i="19" s="1"/>
  <c r="AA630" i="3"/>
  <c r="AU483" i="19" s="1"/>
  <c r="AA631" i="3"/>
  <c r="AU867" i="19" s="1"/>
  <c r="AA632" i="3"/>
  <c r="AU864" i="19" s="1"/>
  <c r="AA633" i="3"/>
  <c r="AU865" i="19" s="1"/>
  <c r="AA634" i="3"/>
  <c r="AU823" i="19" s="1"/>
  <c r="AA635" i="3"/>
  <c r="AU113" i="19" s="1"/>
  <c r="AA636" i="3"/>
  <c r="AU10" i="19" s="1"/>
  <c r="AA637" i="3"/>
  <c r="AU698" i="19" s="1"/>
  <c r="AA638" i="3"/>
  <c r="AU699" i="19" s="1"/>
  <c r="AA639" i="3"/>
  <c r="AU589" i="19" s="1"/>
  <c r="AA640" i="3"/>
  <c r="AU836" i="19" s="1"/>
  <c r="AA641" i="3"/>
  <c r="AU830" i="19" s="1"/>
  <c r="AA642" i="3"/>
  <c r="AU831" i="19" s="1"/>
  <c r="AA643" i="3"/>
  <c r="AU832" i="19" s="1"/>
  <c r="AA644" i="3"/>
  <c r="AU833" i="19" s="1"/>
  <c r="AA645" i="3"/>
  <c r="AU834" i="19" s="1"/>
  <c r="AA646" i="3"/>
  <c r="AU829" i="19" s="1"/>
  <c r="AA647" i="3"/>
  <c r="AU835" i="19" s="1"/>
  <c r="AA648" i="3"/>
  <c r="AU838" i="19" s="1"/>
  <c r="AA649" i="3"/>
  <c r="AU837" i="19" s="1"/>
  <c r="AA650" i="3"/>
  <c r="AU580" i="19" s="1"/>
  <c r="AA651" i="3"/>
  <c r="AU726" i="19" s="1"/>
  <c r="AA652" i="3"/>
  <c r="AU725" i="19" s="1"/>
  <c r="AA653" i="3"/>
  <c r="AU215" i="19" s="1"/>
  <c r="AA654" i="3"/>
  <c r="AU301" i="19" s="1"/>
  <c r="AA655" i="3"/>
  <c r="AU413" i="19" s="1"/>
  <c r="AA656" i="3"/>
  <c r="AU414" i="19" s="1"/>
  <c r="AA657" i="3"/>
  <c r="AU749" i="19" s="1"/>
  <c r="AA658" i="3"/>
  <c r="AU750" i="19" s="1"/>
  <c r="AA659" i="3"/>
  <c r="AU751" i="19" s="1"/>
  <c r="AA660" i="3"/>
  <c r="AA661" i="3"/>
  <c r="AU191" i="19" s="1"/>
  <c r="AA662" i="3"/>
  <c r="AU839" i="19" s="1"/>
  <c r="AA663" i="3"/>
  <c r="AU840" i="19" s="1"/>
  <c r="AA664" i="3"/>
  <c r="AU841" i="19" s="1"/>
  <c r="AA665" i="3"/>
  <c r="AU842" i="19" s="1"/>
  <c r="AA666" i="3"/>
  <c r="AU843" i="19" s="1"/>
  <c r="AA667" i="3"/>
  <c r="AU143" i="19" s="1"/>
  <c r="AA668" i="3"/>
  <c r="AU142" i="19" s="1"/>
  <c r="AA669" i="3"/>
  <c r="AU317" i="19" s="1"/>
  <c r="AA670" i="3"/>
  <c r="AU377" i="19" s="1"/>
  <c r="AA671" i="3"/>
  <c r="AU316" i="19" s="1"/>
  <c r="AA672" i="3"/>
  <c r="AU612" i="19" s="1"/>
  <c r="AA673" i="3"/>
  <c r="AU314" i="19" s="1"/>
  <c r="AA674" i="3"/>
  <c r="AU610" i="19" s="1"/>
  <c r="AA675" i="3"/>
  <c r="AU381" i="19" s="1"/>
  <c r="AA676" i="3"/>
  <c r="AU379" i="19" s="1"/>
  <c r="AA677" i="3"/>
  <c r="AU416" i="19" s="1"/>
  <c r="AA678" i="3"/>
  <c r="AU588" i="19" s="1"/>
  <c r="AA679" i="3"/>
  <c r="AU586" i="19" s="1"/>
  <c r="AA680" i="3"/>
  <c r="AU587" i="19" s="1"/>
  <c r="AA681" i="3"/>
  <c r="AU438" i="19" s="1"/>
  <c r="AA682" i="3"/>
  <c r="AU692" i="19" s="1"/>
  <c r="AA683" i="3"/>
  <c r="AU690" i="19" s="1"/>
  <c r="AA684" i="3"/>
  <c r="AU691" i="19" s="1"/>
  <c r="AA685" i="3"/>
  <c r="AU318" i="19" s="1"/>
  <c r="AA686" i="3"/>
  <c r="AU611" i="19" s="1"/>
  <c r="AA687" i="3"/>
  <c r="AU378" i="19" s="1"/>
  <c r="AA688" i="3"/>
  <c r="AU406" i="19" s="1"/>
  <c r="AA689" i="3"/>
  <c r="AU615" i="19" s="1"/>
  <c r="AA690" i="3"/>
  <c r="AU709" i="19" s="1"/>
  <c r="AA691" i="3"/>
  <c r="AU493" i="19" s="1"/>
  <c r="AA692" i="3"/>
  <c r="AU847" i="19" s="1"/>
  <c r="AA693" i="3"/>
  <c r="AA694" i="3"/>
  <c r="AU216" i="19" s="1"/>
  <c r="AA695" i="3"/>
  <c r="AU901" i="19" s="1"/>
  <c r="AA696" i="3"/>
  <c r="AU900" i="19" s="1"/>
  <c r="AA697" i="3"/>
  <c r="AU904" i="19" s="1"/>
  <c r="AA698" i="3"/>
  <c r="AU902" i="19" s="1"/>
  <c r="AA699" i="3"/>
  <c r="AU903" i="19" s="1"/>
  <c r="AA700" i="3"/>
  <c r="AU161" i="19" s="1"/>
  <c r="AA701" i="3"/>
  <c r="AU469" i="19" s="1"/>
  <c r="AA702" i="3"/>
  <c r="AU470" i="19" s="1"/>
  <c r="AA703" i="3"/>
  <c r="AU25" i="19" s="1"/>
  <c r="AA704" i="3"/>
  <c r="AU155" i="19" s="1"/>
  <c r="AA705" i="3"/>
  <c r="AU145" i="19" s="1"/>
  <c r="AA706" i="3"/>
  <c r="AU132" i="19" s="1"/>
  <c r="AA707" i="3"/>
  <c r="AU661" i="19" s="1"/>
  <c r="AA708" i="3"/>
  <c r="AU144" i="19" s="1"/>
  <c r="AA709" i="3"/>
  <c r="AU874" i="19" s="1"/>
  <c r="AA710" i="3"/>
  <c r="AU147" i="19" s="1"/>
  <c r="AA711" i="3"/>
  <c r="AU148" i="19" s="1"/>
  <c r="AA712" i="3"/>
  <c r="AU877" i="19" s="1"/>
  <c r="AA713" i="3"/>
  <c r="AU878" i="19" s="1"/>
  <c r="AA714" i="3"/>
  <c r="AU626" i="19" s="1"/>
  <c r="AA715" i="3"/>
  <c r="AU886" i="19" s="1"/>
  <c r="AA716" i="3"/>
  <c r="AU883" i="19" s="1"/>
  <c r="AA717" i="3"/>
  <c r="AU214" i="19" s="1"/>
  <c r="AA718" i="3"/>
  <c r="AU281" i="19" s="1"/>
  <c r="AA719" i="3"/>
  <c r="AU471" i="19" s="1"/>
  <c r="AA720" i="3"/>
  <c r="AU254" i="19" s="1"/>
  <c r="AA721" i="3"/>
  <c r="AU192" i="19" s="1"/>
  <c r="AA722" i="3"/>
  <c r="AU523" i="19" s="1"/>
  <c r="AA723" i="3"/>
  <c r="AU300" i="19" s="1"/>
  <c r="AA724" i="3"/>
  <c r="AU440" i="19" s="1"/>
  <c r="AA725" i="3"/>
  <c r="AU526" i="19" s="1"/>
  <c r="AA726" i="3"/>
  <c r="AU885" i="19" s="1"/>
  <c r="AA727" i="3"/>
  <c r="AU282" i="19" s="1"/>
  <c r="AA728" i="3"/>
  <c r="AU236" i="19" s="1"/>
  <c r="AA729" i="3"/>
  <c r="AU238" i="19" s="1"/>
  <c r="AA730" i="3"/>
  <c r="AU237" i="19" s="1"/>
  <c r="AA731" i="3"/>
  <c r="AU293" i="19" s="1"/>
  <c r="AA732" i="3"/>
  <c r="AU943" i="19" s="1"/>
  <c r="AA733" i="3"/>
  <c r="AU518" i="19" s="1"/>
  <c r="AA734" i="3"/>
  <c r="AU697" i="19" s="1"/>
  <c r="AA735" i="3"/>
  <c r="AU114" i="19" s="1"/>
  <c r="AA736" i="3"/>
  <c r="AU181" i="19" s="1"/>
  <c r="AA737" i="3"/>
  <c r="AU182" i="19" s="1"/>
  <c r="AA738" i="3"/>
  <c r="AU180" i="19" s="1"/>
  <c r="AA739" i="3"/>
  <c r="AU791" i="19" s="1"/>
  <c r="AA740" i="3"/>
  <c r="AU618" i="19" s="1"/>
  <c r="AA741" i="3"/>
  <c r="AU790" i="19" s="1"/>
  <c r="AA742" i="3"/>
  <c r="AU796" i="19" s="1"/>
  <c r="AA743" i="3"/>
  <c r="AU179" i="19" s="1"/>
  <c r="AA744" i="3"/>
  <c r="AU366" i="19" s="1"/>
  <c r="AA745" i="3"/>
  <c r="AU140" i="19" s="1"/>
  <c r="AA746" i="3"/>
  <c r="AU5" i="19" s="1"/>
  <c r="AA747" i="3"/>
  <c r="AU213" i="19" s="1"/>
  <c r="AA748" i="3"/>
  <c r="AU362" i="19" s="1"/>
  <c r="AA749" i="3"/>
  <c r="AU919" i="19" s="1"/>
  <c r="AA750" i="3"/>
  <c r="AU384" i="19" s="1"/>
  <c r="AA751" i="3"/>
  <c r="AU489" i="19" s="1"/>
  <c r="AA752" i="3"/>
  <c r="AU519" i="19" s="1"/>
  <c r="AA753" i="3"/>
  <c r="AU344" i="19" s="1"/>
  <c r="AA754" i="3"/>
  <c r="AU345" i="19" s="1"/>
  <c r="AA755" i="3"/>
  <c r="AU768" i="19" s="1"/>
  <c r="AA756" i="3"/>
  <c r="AU769" i="19" s="1"/>
  <c r="AA757" i="3"/>
  <c r="AU766" i="19" s="1"/>
  <c r="AA758" i="3"/>
  <c r="AU767" i="19" s="1"/>
  <c r="AA759" i="3"/>
  <c r="AU245" i="19" s="1"/>
  <c r="AA760" i="3"/>
  <c r="AU765" i="19" s="1"/>
  <c r="AA761" i="3"/>
  <c r="AU625" i="19" s="1"/>
  <c r="AA762" i="3"/>
  <c r="AU243" i="19" s="1"/>
  <c r="AA763" i="3"/>
  <c r="AU242" i="19" s="1"/>
  <c r="AA764" i="3"/>
  <c r="AU531" i="19" s="1"/>
  <c r="AA765" i="3"/>
  <c r="AU532" i="19" s="1"/>
  <c r="AA766" i="3"/>
  <c r="AU244" i="19" s="1"/>
  <c r="AA767" i="3"/>
  <c r="AU669" i="19" s="1"/>
  <c r="AA768" i="3"/>
  <c r="AU671" i="19" s="1"/>
  <c r="AA769" i="3"/>
  <c r="AU502" i="19" s="1"/>
  <c r="AA770" i="3"/>
  <c r="AU472" i="19" s="1"/>
  <c r="AA771" i="3"/>
  <c r="AU488" i="19" s="1"/>
  <c r="AA772" i="3"/>
  <c r="AU638" i="19" s="1"/>
  <c r="AA773" i="3"/>
  <c r="AU295" i="19" s="1"/>
  <c r="AA774" i="3"/>
  <c r="AU299" i="19" s="1"/>
  <c r="AA775" i="3"/>
  <c r="AU298" i="19" s="1"/>
  <c r="AA776" i="3"/>
  <c r="AU296" i="19" s="1"/>
  <c r="AA777" i="3"/>
  <c r="AU297" i="19" s="1"/>
  <c r="AA778" i="3"/>
  <c r="AU881" i="19" s="1"/>
  <c r="AA779" i="3"/>
  <c r="AU250" i="19" s="1"/>
  <c r="AA780" i="3"/>
  <c r="AU30" i="19" s="1"/>
  <c r="AA781" i="3"/>
  <c r="AU21" i="19" s="1"/>
  <c r="AA782" i="3"/>
  <c r="AU29" i="19" s="1"/>
  <c r="AA783" i="3"/>
  <c r="AU22" i="19" s="1"/>
  <c r="AA784" i="3"/>
  <c r="AU27" i="19" s="1"/>
  <c r="AA785" i="3"/>
  <c r="AU28" i="19" s="1"/>
  <c r="AA786" i="3"/>
  <c r="AU688" i="19" s="1"/>
  <c r="AA787" i="3"/>
  <c r="AU58" i="19" s="1"/>
  <c r="AA788" i="3"/>
  <c r="AU33" i="19" s="1"/>
  <c r="AA789" i="3"/>
  <c r="AU59" i="19" s="1"/>
  <c r="AA790" i="3"/>
  <c r="AU686" i="19" s="1"/>
  <c r="AA791" i="3"/>
  <c r="AU41" i="19" s="1"/>
  <c r="AA792" i="3"/>
  <c r="AU687" i="19" s="1"/>
  <c r="AA793" i="3"/>
  <c r="AU23" i="19" s="1"/>
  <c r="AA794" i="3"/>
  <c r="AU24" i="19" s="1"/>
  <c r="AA795" i="3"/>
  <c r="AU34" i="19" s="1"/>
  <c r="AA796" i="3"/>
  <c r="AU500" i="19" s="1"/>
  <c r="AA797" i="3"/>
  <c r="AU912" i="19" s="1"/>
  <c r="AA798" i="3"/>
  <c r="AU133" i="19" s="1"/>
  <c r="AA799" i="3"/>
  <c r="AU442" i="19" s="1"/>
  <c r="AA800" i="3"/>
  <c r="AU446" i="19" s="1"/>
  <c r="AA801" i="3"/>
  <c r="AU443" i="19" s="1"/>
  <c r="AA802" i="3"/>
  <c r="AU447" i="19" s="1"/>
  <c r="AA803" i="3"/>
  <c r="AU448" i="19" s="1"/>
  <c r="AA804" i="3"/>
  <c r="AU937" i="19" s="1"/>
  <c r="AA805" i="3"/>
  <c r="AU445" i="19" s="1"/>
  <c r="AA806" i="3"/>
  <c r="AU441" i="19" s="1"/>
  <c r="AA807" i="3"/>
  <c r="AU444" i="19" s="1"/>
  <c r="AA808" i="3"/>
  <c r="AU126" i="19" s="1"/>
  <c r="AA809" i="3"/>
  <c r="AU376" i="19" s="1"/>
  <c r="AA810" i="3"/>
  <c r="AU495" i="19" s="1"/>
  <c r="AA811" i="3"/>
  <c r="AU193" i="19" s="1"/>
  <c r="AA812" i="3"/>
  <c r="AU312" i="19" s="1"/>
  <c r="AA813" i="3"/>
  <c r="AU19" i="19" s="1"/>
  <c r="AA814" i="3"/>
  <c r="AU313" i="19" s="1"/>
  <c r="AA815" i="3"/>
  <c r="AU141" i="19" s="1"/>
  <c r="AA816" i="3"/>
  <c r="AU680" i="19" s="1"/>
  <c r="AA817" i="3"/>
  <c r="AU412" i="19" s="1"/>
  <c r="AA818" i="3"/>
  <c r="AU744" i="19" s="1"/>
  <c r="AA819" i="3"/>
  <c r="AA820" i="3"/>
  <c r="AU621" i="19" s="1"/>
  <c r="AA821" i="3"/>
  <c r="AU207" i="19" s="1"/>
  <c r="AA822" i="3"/>
  <c r="AU208" i="19" s="1"/>
  <c r="AA823" i="3"/>
  <c r="AU351" i="19" s="1"/>
  <c r="AA824" i="3"/>
  <c r="AU205" i="19" s="1"/>
  <c r="AA825" i="3"/>
  <c r="AU352" i="19" s="1"/>
  <c r="AA826" i="3"/>
  <c r="AU206" i="19" s="1"/>
  <c r="AA827" i="3"/>
  <c r="AU434" i="19" s="1"/>
  <c r="AA828" i="3"/>
  <c r="AU204" i="19" s="1"/>
  <c r="AA829" i="3"/>
  <c r="AU203" i="19" s="1"/>
  <c r="AA830" i="3"/>
  <c r="AU788" i="19" s="1"/>
  <c r="AA831" i="3"/>
  <c r="AU599" i="19" s="1"/>
  <c r="AA832" i="3"/>
  <c r="AU786" i="19" s="1"/>
  <c r="AA833" i="3"/>
  <c r="AU505" i="19" s="1"/>
  <c r="AA834" i="3"/>
  <c r="AU507" i="19" s="1"/>
  <c r="AA835" i="3"/>
  <c r="AU506" i="19" s="1"/>
  <c r="AA836" i="3"/>
  <c r="AU407" i="19" s="1"/>
  <c r="AA837" i="3"/>
  <c r="AU504" i="19" s="1"/>
  <c r="AA838" i="3"/>
  <c r="AU326" i="19" s="1"/>
  <c r="AA839" i="3"/>
  <c r="AU592" i="19" s="1"/>
  <c r="AA840" i="3"/>
  <c r="AU304" i="19" s="1"/>
  <c r="AA841" i="3"/>
  <c r="AU399" i="19" s="1"/>
  <c r="AA842" i="3"/>
  <c r="AU195" i="19" s="1"/>
  <c r="AA843" i="3"/>
  <c r="AU154" i="19" s="1"/>
  <c r="AA844" i="3"/>
  <c r="AU365" i="19" s="1"/>
  <c r="AA845" i="3"/>
  <c r="AU186" i="19" s="1"/>
  <c r="AA846" i="3"/>
  <c r="AU185" i="19" s="1"/>
  <c r="AA847" i="3"/>
  <c r="AU380" i="19" s="1"/>
  <c r="AA848" i="3"/>
  <c r="AU614" i="19" s="1"/>
  <c r="AA849" i="3"/>
  <c r="AU383" i="19" s="1"/>
  <c r="AA850" i="3"/>
  <c r="AU617" i="19" s="1"/>
  <c r="AA851" i="3"/>
  <c r="AU522" i="19" s="1"/>
  <c r="AA852" i="3"/>
  <c r="AU308" i="19" s="1"/>
  <c r="AA853" i="3"/>
  <c r="AA854" i="3"/>
  <c r="AA855" i="3"/>
  <c r="AU585" i="19" s="1"/>
  <c r="AA856" i="3"/>
  <c r="AU758" i="19" s="1"/>
  <c r="AA857" i="3"/>
  <c r="AU111" i="19" s="1"/>
  <c r="AA858" i="3"/>
  <c r="AU583" i="19" s="1"/>
  <c r="AA859" i="3"/>
  <c r="AU285" i="19" s="1"/>
  <c r="AA860" i="3"/>
  <c r="AU284" i="19" s="1"/>
  <c r="AA861" i="3"/>
  <c r="AU389" i="19" s="1"/>
  <c r="AA862" i="3"/>
  <c r="AU386" i="19" s="1"/>
  <c r="AA863" i="3"/>
  <c r="AU388" i="19" s="1"/>
  <c r="AA864" i="3"/>
  <c r="AU387" i="19" s="1"/>
  <c r="AA865" i="3"/>
  <c r="AU390" i="19" s="1"/>
  <c r="AA866" i="3"/>
  <c r="AU391" i="19" s="1"/>
  <c r="AA867" i="3"/>
  <c r="AU392" i="19" s="1"/>
  <c r="AA868" i="3"/>
  <c r="AU517" i="19" s="1"/>
  <c r="AA869" i="3"/>
  <c r="AU866" i="19" s="1"/>
  <c r="Z3" i="3"/>
  <c r="AT773" i="19" s="1"/>
  <c r="Z4" i="3"/>
  <c r="AT627" i="19" s="1"/>
  <c r="Z5" i="3"/>
  <c r="AT249" i="19" s="1"/>
  <c r="Z6" i="3"/>
  <c r="AT247" i="19" s="1"/>
  <c r="Z7" i="3"/>
  <c r="AT772" i="19" s="1"/>
  <c r="Z8" i="3"/>
  <c r="AT136" i="19" s="1"/>
  <c r="Z9" i="3"/>
  <c r="AT78" i="19" s="1"/>
  <c r="Z10" i="3"/>
  <c r="AT595" i="19" s="1"/>
  <c r="Z11" i="3"/>
  <c r="AT594" i="19" s="1"/>
  <c r="Z12" i="3"/>
  <c r="AT593" i="19" s="1"/>
  <c r="Z13" i="3"/>
  <c r="AT573" i="19" s="1"/>
  <c r="Z14" i="3"/>
  <c r="AT494" i="19" s="1"/>
  <c r="Z15" i="3"/>
  <c r="AT598" i="19" s="1"/>
  <c r="Z16" i="3"/>
  <c r="AT107" i="19" s="1"/>
  <c r="Z17" i="3"/>
  <c r="AT160" i="19" s="1"/>
  <c r="Z18" i="3"/>
  <c r="AT899" i="19" s="1"/>
  <c r="Z19" i="3"/>
  <c r="AT8" i="19" s="1"/>
  <c r="Z20" i="3"/>
  <c r="AT700" i="19" s="1"/>
  <c r="Z21" i="3"/>
  <c r="AT403" i="19" s="1"/>
  <c r="Z22" i="3"/>
  <c r="AT371" i="19" s="1"/>
  <c r="Z23" i="3"/>
  <c r="AT683" i="19" s="1"/>
  <c r="Z24" i="3"/>
  <c r="AT639" i="19" s="1"/>
  <c r="Z25" i="3"/>
  <c r="AT644" i="19" s="1"/>
  <c r="Z26" i="3"/>
  <c r="AT848" i="19" s="1"/>
  <c r="Z27" i="3"/>
  <c r="AT849" i="19" s="1"/>
  <c r="Z28" i="3"/>
  <c r="AT850" i="19" s="1"/>
  <c r="Z29" i="3"/>
  <c r="AT870" i="19" s="1"/>
  <c r="Z30" i="3"/>
  <c r="AT35" i="19" s="1"/>
  <c r="Z31" i="3"/>
  <c r="AT828" i="19" s="1"/>
  <c r="Z32" i="3"/>
  <c r="AT827" i="19" s="1"/>
  <c r="Z33" i="3"/>
  <c r="AT826" i="19" s="1"/>
  <c r="Z34" i="3"/>
  <c r="AT825" i="19" s="1"/>
  <c r="Z35" i="3"/>
  <c r="Z36" i="3"/>
  <c r="AT702" i="19" s="1"/>
  <c r="Z37" i="3"/>
  <c r="AT727" i="19" s="1"/>
  <c r="Z38" i="3"/>
  <c r="AT780" i="19" s="1"/>
  <c r="Z39" i="3"/>
  <c r="AT670" i="19" s="1"/>
  <c r="Z40" i="3"/>
  <c r="AT162" i="19" s="1"/>
  <c r="Z41" i="3"/>
  <c r="AT194" i="19" s="1"/>
  <c r="Z42" i="3"/>
  <c r="AT450" i="19" s="1"/>
  <c r="Z43" i="3"/>
  <c r="AT451" i="19" s="1"/>
  <c r="Z44" i="3"/>
  <c r="AT452" i="19" s="1"/>
  <c r="Z45" i="3"/>
  <c r="AT453" i="19" s="1"/>
  <c r="Z46" i="3"/>
  <c r="AT395" i="19" s="1"/>
  <c r="Z47" i="3"/>
  <c r="AT139" i="19" s="1"/>
  <c r="Z48" i="3"/>
  <c r="AT137" i="19" s="1"/>
  <c r="Z49" i="3"/>
  <c r="AT138" i="19" s="1"/>
  <c r="Z50" i="3"/>
  <c r="AT658" i="19" s="1"/>
  <c r="Z51" i="3"/>
  <c r="AT657" i="19" s="1"/>
  <c r="Z52" i="3"/>
  <c r="AT559" i="19" s="1"/>
  <c r="Z53" i="3"/>
  <c r="AT645" i="19" s="1"/>
  <c r="Z54" i="3"/>
  <c r="AT933" i="19" s="1"/>
  <c r="Z55" i="3"/>
  <c r="AT934" i="19" s="1"/>
  <c r="Z56" i="3"/>
  <c r="AT935" i="19" s="1"/>
  <c r="Z57" i="3"/>
  <c r="AT926" i="19" s="1"/>
  <c r="Z58" i="3"/>
  <c r="AT927" i="19" s="1"/>
  <c r="Z59" i="3"/>
  <c r="AT928" i="19" s="1"/>
  <c r="Z60" i="3"/>
  <c r="AT711" i="19" s="1"/>
  <c r="Z61" i="3"/>
  <c r="AT712" i="19" s="1"/>
  <c r="Z62" i="3"/>
  <c r="AT713" i="19" s="1"/>
  <c r="Z63" i="3"/>
  <c r="AT714" i="19" s="1"/>
  <c r="Z64" i="3"/>
  <c r="AT715" i="19" s="1"/>
  <c r="Z65" i="3"/>
  <c r="AT565" i="19" s="1"/>
  <c r="Z66" i="3"/>
  <c r="AT110" i="19" s="1"/>
  <c r="Z67" i="3"/>
  <c r="AT566" i="19" s="1"/>
  <c r="Z68" i="3"/>
  <c r="AT567" i="19" s="1"/>
  <c r="Z69" i="3"/>
  <c r="AT568" i="19" s="1"/>
  <c r="Z70" i="3"/>
  <c r="AT294" i="19" s="1"/>
  <c r="Z71" i="3"/>
  <c r="AT569" i="19" s="1"/>
  <c r="Z72" i="3"/>
  <c r="AT570" i="19" s="1"/>
  <c r="Z73" i="3"/>
  <c r="AT564" i="19" s="1"/>
  <c r="Z74" i="3"/>
  <c r="AT868" i="19" s="1"/>
  <c r="Z75" i="3"/>
  <c r="AT869" i="19" s="1"/>
  <c r="Z76" i="3"/>
  <c r="AT910" i="19" s="1"/>
  <c r="Z77" i="3"/>
  <c r="AT101" i="19" s="1"/>
  <c r="Z78" i="3"/>
  <c r="AT629" i="19" s="1"/>
  <c r="Z79" i="3"/>
  <c r="AT628" i="19" s="1"/>
  <c r="Z80" i="3"/>
  <c r="AT632" i="19" s="1"/>
  <c r="Z81" i="3"/>
  <c r="AT631" i="19" s="1"/>
  <c r="Z82" i="3"/>
  <c r="AT125" i="19" s="1"/>
  <c r="Z83" i="3"/>
  <c r="AT368" i="19" s="1"/>
  <c r="Z84" i="3"/>
  <c r="AT846" i="19" s="1"/>
  <c r="Z85" i="3"/>
  <c r="Z86" i="3"/>
  <c r="AT735" i="19" s="1"/>
  <c r="Z87" i="3"/>
  <c r="AT736" i="19" s="1"/>
  <c r="Z88" i="3"/>
  <c r="AT574" i="19" s="1"/>
  <c r="Z89" i="3"/>
  <c r="AT576" i="19" s="1"/>
  <c r="Z90" i="3"/>
  <c r="AT737" i="19" s="1"/>
  <c r="Z91" i="3"/>
  <c r="AT575" i="19" s="1"/>
  <c r="Z92" i="3"/>
  <c r="AT543" i="19" s="1"/>
  <c r="Z93" i="3"/>
  <c r="AT542" i="19" s="1"/>
  <c r="Z94" i="3"/>
  <c r="AT544" i="19" s="1"/>
  <c r="Z95" i="3"/>
  <c r="AT541" i="19" s="1"/>
  <c r="Z96" i="3"/>
  <c r="AT555" i="19" s="1"/>
  <c r="Z97" i="3"/>
  <c r="AT122" i="19" s="1"/>
  <c r="Z98" i="3"/>
  <c r="AT539" i="19" s="1"/>
  <c r="Z99" i="3"/>
  <c r="AT540" i="19" s="1"/>
  <c r="Z100" i="3"/>
  <c r="AT545" i="19" s="1"/>
  <c r="Z101" i="3"/>
  <c r="AT535" i="19" s="1"/>
  <c r="Z102" i="3"/>
  <c r="AT534" i="19" s="1"/>
  <c r="Z103" i="3"/>
  <c r="AT558" i="19" s="1"/>
  <c r="Z104" i="3"/>
  <c r="AT546" i="19" s="1"/>
  <c r="Z105" i="3"/>
  <c r="AT547" i="19" s="1"/>
  <c r="Z106" i="3"/>
  <c r="AT550" i="19" s="1"/>
  <c r="Z107" i="3"/>
  <c r="AT549" i="19" s="1"/>
  <c r="Z108" i="3"/>
  <c r="AT548" i="19" s="1"/>
  <c r="Z109" i="3"/>
  <c r="AT536" i="19" s="1"/>
  <c r="Z110" i="3"/>
  <c r="AT45" i="19" s="1"/>
  <c r="Z111" i="3"/>
  <c r="AT551" i="19" s="1"/>
  <c r="Z112" i="3"/>
  <c r="AT739" i="19" s="1"/>
  <c r="Z113" i="3"/>
  <c r="AT537" i="19" s="1"/>
  <c r="Z114" i="3"/>
  <c r="AT538" i="19" s="1"/>
  <c r="Z115" i="3"/>
  <c r="AT552" i="19" s="1"/>
  <c r="Z116" i="3"/>
  <c r="AT553" i="19" s="1"/>
  <c r="Z117" i="3"/>
  <c r="AT554" i="19" s="1"/>
  <c r="Z118" i="3"/>
  <c r="AT557" i="19" s="1"/>
  <c r="Z119" i="3"/>
  <c r="AT556" i="19" s="1"/>
  <c r="Z120" i="3"/>
  <c r="AT785" i="19" s="1"/>
  <c r="Z121" i="3"/>
  <c r="AT222" i="19" s="1"/>
  <c r="Z122" i="3"/>
  <c r="AT224" i="19" s="1"/>
  <c r="Z123" i="3"/>
  <c r="AT223" i="19" s="1"/>
  <c r="Z124" i="3"/>
  <c r="AT664" i="19" s="1"/>
  <c r="Z125" i="3"/>
  <c r="AT18" i="19" s="1"/>
  <c r="Z126" i="3"/>
  <c r="AT32" i="19" s="1"/>
  <c r="Z127" i="3"/>
  <c r="AT666" i="19" s="1"/>
  <c r="Z128" i="3"/>
  <c r="AT665" i="19" s="1"/>
  <c r="Z129" i="3"/>
  <c r="AT146" i="19" s="1"/>
  <c r="Z130" i="3"/>
  <c r="AT375" i="19" s="1"/>
  <c r="Z131" i="3"/>
  <c r="AT373" i="19" s="1"/>
  <c r="Z132" i="3"/>
  <c r="AT527" i="19" s="1"/>
  <c r="Z133" i="3"/>
  <c r="AT232" i="19" s="1"/>
  <c r="Z134" i="3"/>
  <c r="AT108" i="19" s="1"/>
  <c r="Z135" i="3"/>
  <c r="AT753" i="19" s="1"/>
  <c r="Z136" i="3"/>
  <c r="AT607" i="19" s="1"/>
  <c r="Z137" i="3"/>
  <c r="AT372" i="19" s="1"/>
  <c r="Z138" i="3"/>
  <c r="AT209" i="19" s="1"/>
  <c r="Z139" i="3"/>
  <c r="AT803" i="19" s="1"/>
  <c r="Z140" i="3"/>
  <c r="AT804" i="19" s="1"/>
  <c r="Z141" i="3"/>
  <c r="AT805" i="19" s="1"/>
  <c r="Z142" i="3"/>
  <c r="AT290" i="19" s="1"/>
  <c r="Z143" i="3"/>
  <c r="AT291" i="19" s="1"/>
  <c r="Z144" i="3"/>
  <c r="AT806" i="19" s="1"/>
  <c r="Z145" i="3"/>
  <c r="AT811" i="19" s="1"/>
  <c r="Z146" i="3"/>
  <c r="AT287" i="19" s="1"/>
  <c r="Z147" i="3"/>
  <c r="AT798" i="19" s="1"/>
  <c r="Z148" i="3"/>
  <c r="AT705" i="19" s="1"/>
  <c r="Z149" i="3"/>
  <c r="AT799" i="19" s="1"/>
  <c r="Z150" i="3"/>
  <c r="AT706" i="19" s="1"/>
  <c r="Z151" i="3"/>
  <c r="AT800" i="19" s="1"/>
  <c r="Z152" i="3"/>
  <c r="AT421" i="19" s="1"/>
  <c r="Z153" i="3"/>
  <c r="AT74" i="19" s="1"/>
  <c r="Z154" i="3"/>
  <c r="AT651" i="19" s="1"/>
  <c r="Z155" i="3"/>
  <c r="AT652" i="19" s="1"/>
  <c r="Z156" i="3"/>
  <c r="AT14" i="19" s="1"/>
  <c r="Z157" i="3"/>
  <c r="AT653" i="19" s="1"/>
  <c r="Z158" i="3"/>
  <c r="AT418" i="19" s="1"/>
  <c r="Z159" i="3"/>
  <c r="AT649" i="19" s="1"/>
  <c r="Z160" i="3"/>
  <c r="AT650" i="19" s="1"/>
  <c r="Z161" i="3"/>
  <c r="AT57" i="19" s="1"/>
  <c r="Z162" i="3"/>
  <c r="AT609" i="19" s="1"/>
  <c r="Z163" i="3"/>
  <c r="AT459" i="19" s="1"/>
  <c r="Z164" i="3"/>
  <c r="AT460" i="19" s="1"/>
  <c r="Z165" i="3"/>
  <c r="AT508" i="19" s="1"/>
  <c r="Z166" i="3"/>
  <c r="AT458" i="19" s="1"/>
  <c r="Z167" i="3"/>
  <c r="AT408" i="19" s="1"/>
  <c r="Z168" i="3"/>
  <c r="AT572" i="19" s="1"/>
  <c r="Z169" i="3"/>
  <c r="AT797" i="19" s="1"/>
  <c r="Z170" i="3"/>
  <c r="AT309" i="19" s="1"/>
  <c r="Z171" i="3"/>
  <c r="AT189" i="19" s="1"/>
  <c r="Z172" i="3"/>
  <c r="AT724" i="19" s="1"/>
  <c r="Z173" i="3"/>
  <c r="AT660" i="19" s="1"/>
  <c r="Z174" i="3"/>
  <c r="AT659" i="19" s="1"/>
  <c r="Z175" i="3"/>
  <c r="AT721" i="19" s="1"/>
  <c r="Z176" i="3"/>
  <c r="AT893" i="19" s="1"/>
  <c r="Z177" i="3"/>
  <c r="AT51" i="19" s="1"/>
  <c r="Z178" i="3"/>
  <c r="AT265" i="19" s="1"/>
  <c r="Z179" i="3"/>
  <c r="AT264" i="19" s="1"/>
  <c r="Z180" i="3"/>
  <c r="AT266" i="19" s="1"/>
  <c r="Z181" i="3"/>
  <c r="AT267" i="19" s="1"/>
  <c r="Z182" i="3"/>
  <c r="AT72" i="19" s="1"/>
  <c r="Z183" i="3"/>
  <c r="AT89" i="19" s="1"/>
  <c r="Z184" i="3"/>
  <c r="AT90" i="19" s="1"/>
  <c r="Z185" i="3"/>
  <c r="AT53" i="19" s="1"/>
  <c r="Z186" i="3"/>
  <c r="AT91" i="19" s="1"/>
  <c r="Z187" i="3"/>
  <c r="AT92" i="19" s="1"/>
  <c r="Z188" i="3"/>
  <c r="AT119" i="19" s="1"/>
  <c r="Z189" i="3"/>
  <c r="AT73" i="19" s="1"/>
  <c r="Z190" i="3"/>
  <c r="AT436" i="19" s="1"/>
  <c r="Z191" i="3"/>
  <c r="AT503" i="19" s="1"/>
  <c r="Z192" i="3"/>
  <c r="AT305" i="19" s="1"/>
  <c r="Z193" i="3"/>
  <c r="AT303" i="19" s="1"/>
  <c r="Z194" i="3"/>
  <c r="AT123" i="19" s="1"/>
  <c r="Z195" i="3"/>
  <c r="AT633" i="19" s="1"/>
  <c r="Z196" i="3"/>
  <c r="AT634" i="19" s="1"/>
  <c r="Z197" i="3"/>
  <c r="AT393" i="19" s="1"/>
  <c r="Z198" i="3"/>
  <c r="AT394" i="19" s="1"/>
  <c r="Z199" i="3"/>
  <c r="AT84" i="19" s="1"/>
  <c r="Z200" i="3"/>
  <c r="AT252" i="19" s="1"/>
  <c r="Z201" i="3"/>
  <c r="AT251" i="19" s="1"/>
  <c r="Z202" i="3"/>
  <c r="AT914" i="19" s="1"/>
  <c r="Z203" i="3"/>
  <c r="AT218" i="19" s="1"/>
  <c r="Z204" i="3"/>
  <c r="AT354" i="19" s="1"/>
  <c r="Z205" i="3"/>
  <c r="AT219" i="19" s="1"/>
  <c r="Z206" i="3"/>
  <c r="AT439" i="19" s="1"/>
  <c r="Z207" i="3"/>
  <c r="AT630" i="19" s="1"/>
  <c r="Z208" i="3"/>
  <c r="AT157" i="19" s="1"/>
  <c r="Z209" i="3"/>
  <c r="AT449" i="19" s="1"/>
  <c r="Z210" i="3"/>
  <c r="AT340" i="19" s="1"/>
  <c r="Z211" i="3"/>
  <c r="AT135" i="19" s="1"/>
  <c r="Z212" i="3"/>
  <c r="AT96" i="19" s="1"/>
  <c r="Z213" i="3"/>
  <c r="AT128" i="19" s="1"/>
  <c r="Z214" i="3"/>
  <c r="AT40" i="19" s="1"/>
  <c r="Z215" i="3"/>
  <c r="AT124" i="19" s="1"/>
  <c r="Z216" i="3"/>
  <c r="AT353" i="19" s="1"/>
  <c r="Z217" i="3"/>
  <c r="Z218" i="3"/>
  <c r="AT620" i="19" s="1"/>
  <c r="Z219" i="3"/>
  <c r="AT310" i="19" s="1"/>
  <c r="Z220" i="3"/>
  <c r="Z221" i="3"/>
  <c r="AT235" i="19" s="1"/>
  <c r="Z222" i="3"/>
  <c r="AT761" i="19" s="1"/>
  <c r="Z223" i="3"/>
  <c r="AT241" i="19" s="1"/>
  <c r="Z224" i="3"/>
  <c r="AT240" i="19" s="1"/>
  <c r="Z225" i="3"/>
  <c r="AT784" i="19" s="1"/>
  <c r="Z226" i="3"/>
  <c r="AT520" i="19" s="1"/>
  <c r="Z227" i="3"/>
  <c r="AT80" i="19" s="1"/>
  <c r="Z228" i="3"/>
  <c r="AT169" i="19" s="1"/>
  <c r="Z229" i="3"/>
  <c r="AT763" i="19" s="1"/>
  <c r="Z230" i="3"/>
  <c r="AT166" i="19" s="1"/>
  <c r="Z231" i="3"/>
  <c r="AT167" i="19" s="1"/>
  <c r="Z232" i="3"/>
  <c r="AT764" i="19" s="1"/>
  <c r="Z233" i="3"/>
  <c r="AT168" i="19" s="1"/>
  <c r="Z234" i="3"/>
  <c r="AT112" i="19" s="1"/>
  <c r="Z235" i="3"/>
  <c r="AT170" i="19" s="1"/>
  <c r="Z236" i="3"/>
  <c r="AT613" i="19" s="1"/>
  <c r="Z237" i="3"/>
  <c r="AT20" i="19" s="1"/>
  <c r="Z238" i="3"/>
  <c r="AT824" i="19" s="1"/>
  <c r="Z239" i="3"/>
  <c r="AT732" i="19" s="1"/>
  <c r="Z240" i="3"/>
  <c r="AT693" i="19" s="1"/>
  <c r="Z241" i="3"/>
  <c r="AT359" i="19" s="1"/>
  <c r="Z242" i="3"/>
  <c r="AT47" i="19" s="1"/>
  <c r="Z243" i="3"/>
  <c r="AT872" i="19" s="1"/>
  <c r="Z244" i="3"/>
  <c r="AT873" i="19" s="1"/>
  <c r="Z245" i="3"/>
  <c r="AT871" i="19" s="1"/>
  <c r="Z246" i="3"/>
  <c r="AT884" i="19" s="1"/>
  <c r="Z247" i="3"/>
  <c r="AT890" i="19" s="1"/>
  <c r="Z248" i="3"/>
  <c r="AT255" i="19" s="1"/>
  <c r="Z249" i="3"/>
  <c r="AT605" i="19" s="1"/>
  <c r="Z250" i="3"/>
  <c r="AT597" i="19" s="1"/>
  <c r="Z251" i="3"/>
  <c r="AT369" i="19" s="1"/>
  <c r="Z252" i="3"/>
  <c r="AT604" i="19" s="1"/>
  <c r="Z253" i="3"/>
  <c r="AT590" i="19" s="1"/>
  <c r="Z254" i="3"/>
  <c r="AT405" i="19" s="1"/>
  <c r="Z255" i="3"/>
  <c r="AT606" i="19" s="1"/>
  <c r="Z256" i="3"/>
  <c r="AT591" i="19" s="1"/>
  <c r="Z257" i="3"/>
  <c r="AT173" i="19" s="1"/>
  <c r="Z258" i="3"/>
  <c r="AT100" i="19" s="1"/>
  <c r="Z259" i="3"/>
  <c r="AT792" i="19" s="1"/>
  <c r="Z260" i="3"/>
  <c r="AT596" i="19" s="1"/>
  <c r="Z261" i="3"/>
  <c r="AT175" i="19" s="1"/>
  <c r="Z262" i="3"/>
  <c r="AT174" i="19" s="1"/>
  <c r="Z263" i="3"/>
  <c r="AT343" i="19" s="1"/>
  <c r="Z264" i="3"/>
  <c r="AT342" i="19" s="1"/>
  <c r="Z265" i="3"/>
  <c r="AT922" i="19" s="1"/>
  <c r="Z266" i="3"/>
  <c r="AT528" i="19" s="1"/>
  <c r="Z267" i="3"/>
  <c r="Z268" i="3"/>
  <c r="AT43" i="19" s="1"/>
  <c r="Z269" i="3"/>
  <c r="AT562" i="19" s="1"/>
  <c r="Z270" i="3"/>
  <c r="AT159" i="19" s="1"/>
  <c r="Z271" i="3"/>
  <c r="AT217" i="19" s="1"/>
  <c r="Z272" i="3"/>
  <c r="AT524" i="19" s="1"/>
  <c r="Z273" i="3"/>
  <c r="AT81" i="19" s="1"/>
  <c r="Z274" i="3"/>
  <c r="AT163" i="19" s="1"/>
  <c r="Z275" i="3"/>
  <c r="AT908" i="19" s="1"/>
  <c r="Z276" i="3"/>
  <c r="AT897" i="19" s="1"/>
  <c r="Z277" i="3"/>
  <c r="AT622" i="19" s="1"/>
  <c r="Z278" i="3"/>
  <c r="AT56" i="19" s="1"/>
  <c r="Z279" i="3"/>
  <c r="AT911" i="19" s="1"/>
  <c r="Z280" i="3"/>
  <c r="AT335" i="19" s="1"/>
  <c r="Z281" i="3"/>
  <c r="AT327" i="19" s="1"/>
  <c r="Z282" i="3"/>
  <c r="AT328" i="19" s="1"/>
  <c r="Z283" i="3"/>
  <c r="AT329" i="19" s="1"/>
  <c r="Z284" i="3"/>
  <c r="AT105" i="19" s="1"/>
  <c r="Z285" i="3"/>
  <c r="AT330" i="19" s="1"/>
  <c r="Z286" i="3"/>
  <c r="AT509" i="19" s="1"/>
  <c r="Z287" i="3"/>
  <c r="AT740" i="19" s="1"/>
  <c r="Z288" i="3"/>
  <c r="AT512" i="19" s="1"/>
  <c r="Z289" i="3"/>
  <c r="AT333" i="19" s="1"/>
  <c r="Z290" i="3"/>
  <c r="AT94" i="19" s="1"/>
  <c r="Z291" i="3"/>
  <c r="AT106" i="19" s="1"/>
  <c r="Z292" i="3"/>
  <c r="AT331" i="19" s="1"/>
  <c r="Z293" i="3"/>
  <c r="AT332" i="19" s="1"/>
  <c r="Z294" i="3"/>
  <c r="AT510" i="19" s="1"/>
  <c r="Z295" i="3"/>
  <c r="AT511" i="19" s="1"/>
  <c r="Z296" i="3"/>
  <c r="AT513" i="19" s="1"/>
  <c r="Z297" i="3"/>
  <c r="AT334" i="19" s="1"/>
  <c r="Z298" i="3"/>
  <c r="AT95" i="19" s="1"/>
  <c r="Z299" i="3"/>
  <c r="AT363" i="19" s="1"/>
  <c r="Z300" i="3"/>
  <c r="AT79" i="19" s="1"/>
  <c r="Z301" i="3"/>
  <c r="AT525" i="19" s="1"/>
  <c r="Z302" i="3"/>
  <c r="AT696" i="19" s="1"/>
  <c r="Z303" i="3"/>
  <c r="AT99" i="19" s="1"/>
  <c r="Z304" i="3"/>
  <c r="AT496" i="19" s="1"/>
  <c r="Z305" i="3"/>
  <c r="AT497" i="19" s="1"/>
  <c r="Z306" i="3"/>
  <c r="AT636" i="19" s="1"/>
  <c r="Z307" i="3"/>
  <c r="AT584" i="19" s="1"/>
  <c r="Z308" i="3"/>
  <c r="AT862" i="19" s="1"/>
  <c r="Z309" i="3"/>
  <c r="AT860" i="19" s="1"/>
  <c r="Z310" i="3"/>
  <c r="AT571" i="19" s="1"/>
  <c r="Z311" i="3"/>
  <c r="AT239" i="19" s="1"/>
  <c r="Z312" i="3"/>
  <c r="AT624" i="19" s="1"/>
  <c r="Z313" i="3"/>
  <c r="AT530" i="19" s="1"/>
  <c r="Z314" i="3"/>
  <c r="AT529" i="19" s="1"/>
  <c r="Z315" i="3"/>
  <c r="AT233" i="19" s="1"/>
  <c r="Z316" i="3"/>
  <c r="AT234" i="19" s="1"/>
  <c r="Z317" i="3"/>
  <c r="AT754" i="19" s="1"/>
  <c r="Z318" i="3"/>
  <c r="AT762" i="19" s="1"/>
  <c r="Z319" i="3"/>
  <c r="AT861" i="19" s="1"/>
  <c r="Z320" i="3"/>
  <c r="AT608" i="19" s="1"/>
  <c r="Z321" i="3"/>
  <c r="Z322" i="3"/>
  <c r="AT656" i="19" s="1"/>
  <c r="Z323" i="3"/>
  <c r="AT662" i="19" s="1"/>
  <c r="Z324" i="3"/>
  <c r="AT422" i="19" s="1"/>
  <c r="Z325" i="3"/>
  <c r="AT54" i="19" s="1"/>
  <c r="Z326" i="3"/>
  <c r="AT26" i="19" s="1"/>
  <c r="Z327" i="3"/>
  <c r="Z328" i="3"/>
  <c r="Z329" i="3"/>
  <c r="AT777" i="19" s="1"/>
  <c r="Z330" i="3"/>
  <c r="AT779" i="19" s="1"/>
  <c r="Z331" i="3"/>
  <c r="AT778" i="19" s="1"/>
  <c r="Z332" i="3"/>
  <c r="AT6" i="19" s="1"/>
  <c r="Z333" i="3"/>
  <c r="AT374" i="19" s="1"/>
  <c r="Z334" i="3"/>
  <c r="AT678" i="19" s="1"/>
  <c r="Z335" i="3"/>
  <c r="AT679" i="19" s="1"/>
  <c r="Z336" i="3"/>
  <c r="AT44" i="19" s="1"/>
  <c r="Z337" i="3"/>
  <c r="AT682" i="19" s="1"/>
  <c r="Z338" i="3"/>
  <c r="AT437" i="19" s="1"/>
  <c r="Z339" i="3"/>
  <c r="AT430" i="19" s="1"/>
  <c r="Z340" i="3"/>
  <c r="AT426" i="19" s="1"/>
  <c r="Z341" i="3"/>
  <c r="AT221" i="19" s="1"/>
  <c r="Z342" i="3"/>
  <c r="AT410" i="19" s="1"/>
  <c r="Z343" i="3"/>
  <c r="AT411" i="19" s="1"/>
  <c r="Z344" i="3"/>
  <c r="AT38" i="19" s="1"/>
  <c r="Z345" i="3"/>
  <c r="AT461" i="19" s="1"/>
  <c r="Z346" i="3"/>
  <c r="AT201" i="19" s="1"/>
  <c r="Z347" i="3"/>
  <c r="AT396" i="19" s="1"/>
  <c r="Z348" i="3"/>
  <c r="AT455" i="19" s="1"/>
  <c r="Z349" i="3"/>
  <c r="AT197" i="19" s="1"/>
  <c r="Z350" i="3"/>
  <c r="AT456" i="19" s="1"/>
  <c r="Z351" i="3"/>
  <c r="AT454" i="19" s="1"/>
  <c r="Z352" i="3"/>
  <c r="AT196" i="19" s="1"/>
  <c r="Z353" i="3"/>
  <c r="AT462" i="19" s="1"/>
  <c r="Z354" i="3"/>
  <c r="AT355" i="19" s="1"/>
  <c r="Z355" i="3"/>
  <c r="AT356" i="19" s="1"/>
  <c r="Z356" i="3"/>
  <c r="AT397" i="19" s="1"/>
  <c r="Z357" i="3"/>
  <c r="AT560" i="19" s="1"/>
  <c r="Z358" i="3"/>
  <c r="AT689" i="19" s="1"/>
  <c r="Z359" i="3"/>
  <c r="AT915" i="19" s="1"/>
  <c r="Z360" i="3"/>
  <c r="AT674" i="19" s="1"/>
  <c r="Z361" i="3"/>
  <c r="AT675" i="19" s="1"/>
  <c r="Z362" i="3"/>
  <c r="AT673" i="19" s="1"/>
  <c r="Z363" i="3"/>
  <c r="AT429" i="19" s="1"/>
  <c r="Z364" i="3"/>
  <c r="AT641" i="19" s="1"/>
  <c r="Z365" i="3"/>
  <c r="AT431" i="19" s="1"/>
  <c r="Z366" i="3"/>
  <c r="AT109" i="19" s="1"/>
  <c r="Z367" i="3"/>
  <c r="AT283" i="19" s="1"/>
  <c r="Z368" i="3"/>
  <c r="AT889" i="19" s="1"/>
  <c r="Z369" i="3"/>
  <c r="AT582" i="19" s="1"/>
  <c r="Z370" i="3"/>
  <c r="AT311" i="19" s="1"/>
  <c r="Z371" i="3"/>
  <c r="AT246" i="19" s="1"/>
  <c r="Z372" i="3"/>
  <c r="AT561" i="19" s="1"/>
  <c r="Z373" i="3"/>
  <c r="AT771" i="19" s="1"/>
  <c r="Z374" i="3"/>
  <c r="AT501" i="19" s="1"/>
  <c r="Z375" i="3"/>
  <c r="AT275" i="19" s="1"/>
  <c r="Z376" i="3"/>
  <c r="AT277" i="19" s="1"/>
  <c r="Z377" i="3"/>
  <c r="AT276" i="19" s="1"/>
  <c r="Z378" i="3"/>
  <c r="AT278" i="19" s="1"/>
  <c r="Z379" i="3"/>
  <c r="AT279" i="19" s="1"/>
  <c r="Z380" i="3"/>
  <c r="AT347" i="19" s="1"/>
  <c r="Z381" i="3"/>
  <c r="Z382" i="3"/>
  <c r="AT42" i="19" s="1"/>
  <c r="Z383" i="3"/>
  <c r="AT863" i="19" s="1"/>
  <c r="Z384" i="3"/>
  <c r="Z385" i="3"/>
  <c r="AT879" i="19" s="1"/>
  <c r="Z386" i="3"/>
  <c r="AT339" i="19" s="1"/>
  <c r="Z387" i="3"/>
  <c r="AT681" i="19" s="1"/>
  <c r="Z388" i="3"/>
  <c r="AT684" i="19" s="1"/>
  <c r="Z389" i="3"/>
  <c r="AT676" i="19" s="1"/>
  <c r="Z390" i="3"/>
  <c r="AT409" i="19" s="1"/>
  <c r="Z391" i="3"/>
  <c r="AT220" i="19" s="1"/>
  <c r="Z392" i="3"/>
  <c r="AT428" i="19" s="1"/>
  <c r="Z393" i="3"/>
  <c r="AT152" i="19" s="1"/>
  <c r="Z394" i="3"/>
  <c r="AT668" i="19" s="1"/>
  <c r="Z395" i="3"/>
  <c r="AT427" i="19" s="1"/>
  <c r="Z396" i="3"/>
  <c r="AT619" i="19" s="1"/>
  <c r="Z397" i="3"/>
  <c r="AT703" i="19" s="1"/>
  <c r="Z398" i="3"/>
  <c r="AT4" i="19" s="1"/>
  <c r="Z399" i="3"/>
  <c r="AT385" i="19" s="1"/>
  <c r="Z400" i="3"/>
  <c r="AT464" i="19" s="1"/>
  <c r="Z401" i="3"/>
  <c r="AT231" i="19" s="1"/>
  <c r="Z402" i="3"/>
  <c r="AT741" i="19" s="1"/>
  <c r="Z403" i="3"/>
  <c r="AT743" i="19" s="1"/>
  <c r="Z404" i="3"/>
  <c r="AT227" i="19" s="1"/>
  <c r="Z405" i="3"/>
  <c r="AT228" i="19" s="1"/>
  <c r="Z406" i="3"/>
  <c r="AT225" i="19" s="1"/>
  <c r="Z407" i="3"/>
  <c r="AT164" i="19" s="1"/>
  <c r="Z408" i="3"/>
  <c r="AT226" i="19" s="1"/>
  <c r="Z409" i="3"/>
  <c r="AT83" i="19" s="1"/>
  <c r="Z410" i="3"/>
  <c r="AT36" i="19" s="1"/>
  <c r="Z411" i="3"/>
  <c r="AT248" i="19" s="1"/>
  <c r="Z412" i="3"/>
  <c r="AT516" i="19" s="1"/>
  <c r="Z413" i="3"/>
  <c r="AT190" i="19" s="1"/>
  <c r="Z414" i="3"/>
  <c r="AT623" i="19" s="1"/>
  <c r="Z415" i="3"/>
  <c r="AT757" i="19" s="1"/>
  <c r="Z416" i="3"/>
  <c r="AT756" i="19" s="1"/>
  <c r="Z417" i="3"/>
  <c r="AT747" i="19" s="1"/>
  <c r="Z418" i="3"/>
  <c r="AT748" i="19" s="1"/>
  <c r="Z419" i="3"/>
  <c r="AT484" i="19" s="1"/>
  <c r="Z420" i="3"/>
  <c r="AT563" i="19" s="1"/>
  <c r="Z421" i="3"/>
  <c r="AT463" i="19" s="1"/>
  <c r="Z422" i="3"/>
  <c r="AT515" i="19" s="1"/>
  <c r="Z423" i="3"/>
  <c r="AT121" i="19" s="1"/>
  <c r="Z424" i="3"/>
  <c r="AT486" i="19" s="1"/>
  <c r="Z425" i="3"/>
  <c r="AT677" i="19" s="1"/>
  <c r="Z426" i="3"/>
  <c r="AT13" i="19" s="1"/>
  <c r="Z427" i="3"/>
  <c r="AT646" i="19" s="1"/>
  <c r="Z428" i="3"/>
  <c r="AT647" i="19" s="1"/>
  <c r="Z429" i="3"/>
  <c r="AT11" i="19" s="1"/>
  <c r="Z430" i="3"/>
  <c r="AT640" i="19" s="1"/>
  <c r="Z431" i="3"/>
  <c r="AT48" i="19" s="1"/>
  <c r="Z432" i="3"/>
  <c r="AT348" i="19" s="1"/>
  <c r="Z433" i="3"/>
  <c r="AT134" i="19" s="1"/>
  <c r="Z434" i="3"/>
  <c r="AT581" i="19" s="1"/>
  <c r="Z435" i="3"/>
  <c r="AT939" i="19" s="1"/>
  <c r="Z436" i="3"/>
  <c r="AT424" i="19" s="1"/>
  <c r="Z437" i="3"/>
  <c r="AT663" i="19" s="1"/>
  <c r="Z438" i="3"/>
  <c r="AT423" i="19" s="1"/>
  <c r="Z439" i="3"/>
  <c r="AT896" i="19" s="1"/>
  <c r="Z440" i="3"/>
  <c r="AT895" i="19" s="1"/>
  <c r="Z441" i="3"/>
  <c r="AT477" i="19" s="1"/>
  <c r="Z442" i="3"/>
  <c r="AT478" i="19" s="1"/>
  <c r="Z443" i="3"/>
  <c r="AT473" i="19" s="1"/>
  <c r="Z444" i="3"/>
  <c r="AT474" i="19" s="1"/>
  <c r="Z445" i="3"/>
  <c r="AT55" i="19" s="1"/>
  <c r="Z446" i="3"/>
  <c r="AT120" i="19" s="1"/>
  <c r="Z447" i="3"/>
  <c r="AT77" i="19" s="1"/>
  <c r="Z448" i="3"/>
  <c r="AT39" i="19" s="1"/>
  <c r="Z449" i="3"/>
  <c r="AT480" i="19" s="1"/>
  <c r="Z450" i="3"/>
  <c r="AT479" i="19" s="1"/>
  <c r="Z451" i="3"/>
  <c r="AT475" i="19" s="1"/>
  <c r="Z452" i="3"/>
  <c r="AT476" i="19" s="1"/>
  <c r="Z453" i="3"/>
  <c r="AT482" i="19" s="1"/>
  <c r="Z454" i="3"/>
  <c r="AT481" i="19" s="1"/>
  <c r="Z455" i="3"/>
  <c r="AT892" i="19" s="1"/>
  <c r="Z456" i="3"/>
  <c r="AT514" i="19" s="1"/>
  <c r="Z457" i="3"/>
  <c r="AT775" i="19" s="1"/>
  <c r="Z458" i="3"/>
  <c r="AT336" i="19" s="1"/>
  <c r="Z459" i="3"/>
  <c r="AT46" i="19" s="1"/>
  <c r="Z460" i="3"/>
  <c r="AT579" i="19" s="1"/>
  <c r="Z461" i="3"/>
  <c r="AT577" i="19" s="1"/>
  <c r="Z462" i="3"/>
  <c r="AT578" i="19" s="1"/>
  <c r="Z463" i="3"/>
  <c r="AT774" i="19" s="1"/>
  <c r="Z464" i="3"/>
  <c r="AT150" i="19" s="1"/>
  <c r="Z465" i="3"/>
  <c r="AT149" i="19" s="1"/>
  <c r="Z466" i="3"/>
  <c r="AT93" i="19" s="1"/>
  <c r="Z467" i="3"/>
  <c r="AT274" i="19" s="1"/>
  <c r="Z468" i="3"/>
  <c r="AT710" i="19" s="1"/>
  <c r="Z469" i="3"/>
  <c r="AT177" i="19" s="1"/>
  <c r="Z470" i="3"/>
  <c r="AT793" i="19" s="1"/>
  <c r="Z471" i="3"/>
  <c r="AT176" i="19" s="1"/>
  <c r="Z472" i="3"/>
  <c r="AT178" i="19" s="1"/>
  <c r="Z473" i="3"/>
  <c r="AT188" i="19" s="1"/>
  <c r="Z474" i="3"/>
  <c r="AT404" i="19" s="1"/>
  <c r="Z475" i="3"/>
  <c r="AT718" i="19" s="1"/>
  <c r="Z476" i="3"/>
  <c r="AT603" i="19" s="1"/>
  <c r="Z477" i="3"/>
  <c r="AT187" i="19" s="1"/>
  <c r="Z478" i="3"/>
  <c r="AT795" i="19" s="1"/>
  <c r="Z479" i="3"/>
  <c r="AT600" i="19" s="1"/>
  <c r="Z480" i="3"/>
  <c r="AT794" i="19" s="1"/>
  <c r="Z481" i="3"/>
  <c r="AT364" i="19" s="1"/>
  <c r="Z482" i="3"/>
  <c r="AT487" i="19" s="1"/>
  <c r="Z483" i="3"/>
  <c r="AT156" i="19" s="1"/>
  <c r="Z484" i="3"/>
  <c r="AT730" i="19" s="1"/>
  <c r="Z485" i="3"/>
  <c r="AT602" i="19" s="1"/>
  <c r="Z486" i="3"/>
  <c r="AT367" i="19" s="1"/>
  <c r="Z487" i="3"/>
  <c r="AT716" i="19" s="1"/>
  <c r="Z488" i="3"/>
  <c r="AT31" i="19" s="1"/>
  <c r="Z489" i="3"/>
  <c r="AT789" i="19" s="1"/>
  <c r="Z490" i="3"/>
  <c r="AT337" i="19" s="1"/>
  <c r="Z491" i="3"/>
  <c r="AT654" i="19" s="1"/>
  <c r="Z492" i="3"/>
  <c r="AT655" i="19" s="1"/>
  <c r="Z493" i="3"/>
  <c r="AT9" i="19" s="1"/>
  <c r="Z494" i="3"/>
  <c r="AT694" i="19" s="1"/>
  <c r="Z495" i="3"/>
  <c r="AT338" i="19" s="1"/>
  <c r="Z496" i="3"/>
  <c r="AT490" i="19" s="1"/>
  <c r="Z497" i="3"/>
  <c r="AT695" i="19" s="1"/>
  <c r="Z498" i="3"/>
  <c r="AT302" i="19" s="1"/>
  <c r="Z499" i="3"/>
  <c r="AT643" i="19" s="1"/>
  <c r="Z500" i="3"/>
  <c r="AT370" i="19" s="1"/>
  <c r="Z501" i="3"/>
  <c r="AT717" i="19" s="1"/>
  <c r="Z502" i="3"/>
  <c r="AT876" i="19" s="1"/>
  <c r="Z503" i="3"/>
  <c r="AT941" i="19" s="1"/>
  <c r="Z504" i="3"/>
  <c r="AT880" i="19" s="1"/>
  <c r="Z505" i="3"/>
  <c r="AT435" i="19" s="1"/>
  <c r="Z506" i="3"/>
  <c r="AT485" i="19" s="1"/>
  <c r="Z507" i="3"/>
  <c r="AT7" i="19" s="1"/>
  <c r="Z508" i="3"/>
  <c r="Z509" i="3"/>
  <c r="AT131" i="19" s="1"/>
  <c r="Z510" i="3"/>
  <c r="AT776" i="19" s="1"/>
  <c r="Z511" i="3"/>
  <c r="AT672" i="19" s="1"/>
  <c r="Z512" i="3"/>
  <c r="AT68" i="19" s="1"/>
  <c r="Z513" i="3"/>
  <c r="AT103" i="19" s="1"/>
  <c r="Z514" i="3"/>
  <c r="AT87" i="19" s="1"/>
  <c r="Z515" i="3"/>
  <c r="AT67" i="19" s="1"/>
  <c r="Z516" i="3"/>
  <c r="AT65" i="19" s="1"/>
  <c r="Z517" i="3"/>
  <c r="AT66" i="19" s="1"/>
  <c r="Z518" i="3"/>
  <c r="AT69" i="19" s="1"/>
  <c r="Z519" i="3"/>
  <c r="AT88" i="19" s="1"/>
  <c r="Z520" i="3"/>
  <c r="AT104" i="19" s="1"/>
  <c r="Z521" i="3"/>
  <c r="AT52" i="19" s="1"/>
  <c r="Z522" i="3"/>
  <c r="AT71" i="19" s="1"/>
  <c r="Z523" i="3"/>
  <c r="AT70" i="19" s="1"/>
  <c r="Z524" i="3"/>
  <c r="AT75" i="19" s="1"/>
  <c r="Z525" i="3"/>
  <c r="AT98" i="19" s="1"/>
  <c r="Z526" i="3"/>
  <c r="AT76" i="19" s="1"/>
  <c r="Z527" i="3"/>
  <c r="AT97" i="19" s="1"/>
  <c r="Z528" i="3"/>
  <c r="AT60" i="19" s="1"/>
  <c r="Z529" i="3"/>
  <c r="AT257" i="19" s="1"/>
  <c r="Z530" i="3"/>
  <c r="AT85" i="19" s="1"/>
  <c r="Z531" i="3"/>
  <c r="AT115" i="19" s="1"/>
  <c r="Z532" i="3"/>
  <c r="AT61" i="19" s="1"/>
  <c r="Z533" i="3"/>
  <c r="AT116" i="19" s="1"/>
  <c r="Z534" i="3"/>
  <c r="AT271" i="19" s="1"/>
  <c r="Z535" i="3"/>
  <c r="AT49" i="19" s="1"/>
  <c r="Z536" i="3"/>
  <c r="AT50" i="19" s="1"/>
  <c r="Z537" i="3"/>
  <c r="AT62" i="19" s="1"/>
  <c r="Z538" i="3"/>
  <c r="AT86" i="19" s="1"/>
  <c r="Z539" i="3"/>
  <c r="AT102" i="19" s="1"/>
  <c r="Z540" i="3"/>
  <c r="AT37" i="19" s="1"/>
  <c r="Z541" i="3"/>
  <c r="AT256" i="19" s="1"/>
  <c r="Z542" i="3"/>
  <c r="AT117" i="19" s="1"/>
  <c r="Z543" i="3"/>
  <c r="AT263" i="19" s="1"/>
  <c r="Z544" i="3"/>
  <c r="AT63" i="19" s="1"/>
  <c r="Z545" i="3"/>
  <c r="AT64" i="19" s="1"/>
  <c r="Z546" i="3"/>
  <c r="AT118" i="19" s="1"/>
  <c r="Z547" i="3"/>
  <c r="AT129" i="19" s="1"/>
  <c r="Z548" i="3"/>
  <c r="AT130" i="19" s="1"/>
  <c r="Z549" i="3"/>
  <c r="AT433" i="19" s="1"/>
  <c r="Z550" i="3"/>
  <c r="AT82" i="19" s="1"/>
  <c r="Z551" i="3"/>
  <c r="AT260" i="19" s="1"/>
  <c r="Z552" i="3"/>
  <c r="AT258" i="19" s="1"/>
  <c r="Z553" i="3"/>
  <c r="AT262" i="19" s="1"/>
  <c r="Z554" i="3"/>
  <c r="AT259" i="19" s="1"/>
  <c r="Z555" i="3"/>
  <c r="AT261" i="19" s="1"/>
  <c r="Z556" i="3"/>
  <c r="AT358" i="19" s="1"/>
  <c r="Z557" i="3"/>
  <c r="AT273" i="19" s="1"/>
  <c r="Z558" i="3"/>
  <c r="AT272" i="19" s="1"/>
  <c r="Z559" i="3"/>
  <c r="AT637" i="19" s="1"/>
  <c r="Z560" i="3"/>
  <c r="AT270" i="19" s="1"/>
  <c r="Z561" i="3"/>
  <c r="AT269" i="19" s="1"/>
  <c r="Z562" i="3"/>
  <c r="Z563" i="3"/>
  <c r="AT268" i="19" s="1"/>
  <c r="Z564" i="3"/>
  <c r="AT815" i="19" s="1"/>
  <c r="Z565" i="3"/>
  <c r="AT853" i="19" s="1"/>
  <c r="Z566" i="3"/>
  <c r="AT856" i="19" s="1"/>
  <c r="Z567" i="3"/>
  <c r="AT200" i="19" s="1"/>
  <c r="Z568" i="3"/>
  <c r="AT857" i="19" s="1"/>
  <c r="Z569" i="3"/>
  <c r="AT858" i="19" s="1"/>
  <c r="Z570" i="3"/>
  <c r="AT851" i="19" s="1"/>
  <c r="Z571" i="3"/>
  <c r="AT818" i="19" s="1"/>
  <c r="Z572" i="3"/>
  <c r="AT819" i="19" s="1"/>
  <c r="Z573" i="3"/>
  <c r="AT820" i="19" s="1"/>
  <c r="Z574" i="3"/>
  <c r="AT821" i="19" s="1"/>
  <c r="Z575" i="3"/>
  <c r="AT822" i="19" s="1"/>
  <c r="Z576" i="3"/>
  <c r="AT854" i="19" s="1"/>
  <c r="Z577" i="3"/>
  <c r="AT859" i="19" s="1"/>
  <c r="Z578" i="3"/>
  <c r="AT855" i="19" s="1"/>
  <c r="Z579" i="3"/>
  <c r="AT198" i="19" s="1"/>
  <c r="Z580" i="3"/>
  <c r="AT199" i="19" s="1"/>
  <c r="Z581" i="3"/>
  <c r="AT852" i="19" s="1"/>
  <c r="Z582" i="3"/>
  <c r="AT816" i="19" s="1"/>
  <c r="Z583" i="3"/>
  <c r="AT813" i="19" s="1"/>
  <c r="Z584" i="3"/>
  <c r="AT814" i="19" s="1"/>
  <c r="Z585" i="3"/>
  <c r="AT817" i="19" s="1"/>
  <c r="Z586" i="3"/>
  <c r="AT635" i="19" s="1"/>
  <c r="Z587" i="3"/>
  <c r="AT12" i="19" s="1"/>
  <c r="Z588" i="3"/>
  <c r="AT415" i="19" s="1"/>
  <c r="Z589" i="3"/>
  <c r="AT253" i="19" s="1"/>
  <c r="Z590" i="3"/>
  <c r="AT417" i="19" s="1"/>
  <c r="Z591" i="3"/>
  <c r="AT425" i="19" s="1"/>
  <c r="Z592" i="3"/>
  <c r="AT492" i="19" s="1"/>
  <c r="Z593" i="3"/>
  <c r="AT465" i="19" s="1"/>
  <c r="Z594" i="3"/>
  <c r="AT466" i="19" s="1"/>
  <c r="Z595" i="3"/>
  <c r="AT467" i="19" s="1"/>
  <c r="Z596" i="3"/>
  <c r="AT468" i="19" s="1"/>
  <c r="Z597" i="3"/>
  <c r="AT925" i="19" s="1"/>
  <c r="Z598" i="3"/>
  <c r="AT887" i="19" s="1"/>
  <c r="Z599" i="3"/>
  <c r="AT127" i="19" s="1"/>
  <c r="Z600" i="3"/>
  <c r="AT307" i="19" s="1"/>
  <c r="Z601" i="3"/>
  <c r="AT349" i="19" s="1"/>
  <c r="Z602" i="3"/>
  <c r="AT325" i="19" s="1"/>
  <c r="Z603" i="3"/>
  <c r="AT306" i="19" s="1"/>
  <c r="Z604" i="3"/>
  <c r="AT350" i="19" s="1"/>
  <c r="Z605" i="3"/>
  <c r="AT171" i="19" s="1"/>
  <c r="Z606" i="3"/>
  <c r="AT667" i="19" s="1"/>
  <c r="Z607" i="3"/>
  <c r="AT701" i="19" s="1"/>
  <c r="Z608" i="3"/>
  <c r="AT734" i="19" s="1"/>
  <c r="Z609" i="3"/>
  <c r="AT419" i="19" s="1"/>
  <c r="Z610" i="3"/>
  <c r="AT420" i="19" s="1"/>
  <c r="Z611" i="3"/>
  <c r="AT642" i="19" s="1"/>
  <c r="Z612" i="3"/>
  <c r="AT15" i="19" s="1"/>
  <c r="Z613" i="3"/>
  <c r="AT16" i="19" s="1"/>
  <c r="Z614" i="3"/>
  <c r="AT17" i="19" s="1"/>
  <c r="Z615" i="3"/>
  <c r="AT648" i="19" s="1"/>
  <c r="Z616" i="3"/>
  <c r="AT315" i="19" s="1"/>
  <c r="Z617" i="3"/>
  <c r="AT382" i="19" s="1"/>
  <c r="Z618" i="3"/>
  <c r="AT499" i="19" s="1"/>
  <c r="Z619" i="3"/>
  <c r="AT498" i="19" s="1"/>
  <c r="Z620" i="3"/>
  <c r="AT521" i="19" s="1"/>
  <c r="Z621" i="3"/>
  <c r="AT400" i="19" s="1"/>
  <c r="Z622" i="3"/>
  <c r="AT401" i="19" s="1"/>
  <c r="Z623" i="3"/>
  <c r="AT432" i="19" s="1"/>
  <c r="Z624" i="3"/>
  <c r="AT685" i="19" s="1"/>
  <c r="Z625" i="3"/>
  <c r="AT875" i="19" s="1"/>
  <c r="Z626" i="3"/>
  <c r="AT184" i="19" s="1"/>
  <c r="Z627" i="3"/>
  <c r="AT183" i="19" s="1"/>
  <c r="Z628" i="3"/>
  <c r="AT230" i="19" s="1"/>
  <c r="Z629" i="3"/>
  <c r="AT229" i="19" s="1"/>
  <c r="Z630" i="3"/>
  <c r="AT483" i="19" s="1"/>
  <c r="Z631" i="3"/>
  <c r="AT867" i="19" s="1"/>
  <c r="Z632" i="3"/>
  <c r="AT864" i="19" s="1"/>
  <c r="Z633" i="3"/>
  <c r="AT865" i="19" s="1"/>
  <c r="Z634" i="3"/>
  <c r="AT823" i="19" s="1"/>
  <c r="Z635" i="3"/>
  <c r="AT113" i="19" s="1"/>
  <c r="Z636" i="3"/>
  <c r="AT10" i="19" s="1"/>
  <c r="Z637" i="3"/>
  <c r="AT698" i="19" s="1"/>
  <c r="Z638" i="3"/>
  <c r="AT699" i="19" s="1"/>
  <c r="Z639" i="3"/>
  <c r="AT589" i="19" s="1"/>
  <c r="Z640" i="3"/>
  <c r="AT836" i="19" s="1"/>
  <c r="Z641" i="3"/>
  <c r="AT830" i="19" s="1"/>
  <c r="Z642" i="3"/>
  <c r="AT831" i="19" s="1"/>
  <c r="Z643" i="3"/>
  <c r="AT832" i="19" s="1"/>
  <c r="Z644" i="3"/>
  <c r="AT833" i="19" s="1"/>
  <c r="Z645" i="3"/>
  <c r="AT834" i="19" s="1"/>
  <c r="Z646" i="3"/>
  <c r="AT829" i="19" s="1"/>
  <c r="Z647" i="3"/>
  <c r="AT835" i="19" s="1"/>
  <c r="Z648" i="3"/>
  <c r="AT838" i="19" s="1"/>
  <c r="Z649" i="3"/>
  <c r="AT837" i="19" s="1"/>
  <c r="Z650" i="3"/>
  <c r="AT580" i="19" s="1"/>
  <c r="Z651" i="3"/>
  <c r="AT726" i="19" s="1"/>
  <c r="Z652" i="3"/>
  <c r="AT725" i="19" s="1"/>
  <c r="Z653" i="3"/>
  <c r="AT215" i="19" s="1"/>
  <c r="Z654" i="3"/>
  <c r="AT301" i="19" s="1"/>
  <c r="Z655" i="3"/>
  <c r="AT413" i="19" s="1"/>
  <c r="Z656" i="3"/>
  <c r="AT414" i="19" s="1"/>
  <c r="Z657" i="3"/>
  <c r="AT749" i="19" s="1"/>
  <c r="Z658" i="3"/>
  <c r="AT750" i="19" s="1"/>
  <c r="Z659" i="3"/>
  <c r="AT751" i="19" s="1"/>
  <c r="Z660" i="3"/>
  <c r="Z661" i="3"/>
  <c r="AT191" i="19" s="1"/>
  <c r="Z662" i="3"/>
  <c r="AT839" i="19" s="1"/>
  <c r="Z663" i="3"/>
  <c r="AT840" i="19" s="1"/>
  <c r="Z664" i="3"/>
  <c r="AT841" i="19" s="1"/>
  <c r="Z665" i="3"/>
  <c r="AT842" i="19" s="1"/>
  <c r="Z666" i="3"/>
  <c r="AT843" i="19" s="1"/>
  <c r="Z667" i="3"/>
  <c r="AT143" i="19" s="1"/>
  <c r="Z668" i="3"/>
  <c r="AT142" i="19" s="1"/>
  <c r="Z669" i="3"/>
  <c r="AT317" i="19" s="1"/>
  <c r="Z670" i="3"/>
  <c r="AT377" i="19" s="1"/>
  <c r="Z671" i="3"/>
  <c r="AT316" i="19" s="1"/>
  <c r="Z672" i="3"/>
  <c r="AT612" i="19" s="1"/>
  <c r="Z673" i="3"/>
  <c r="AT314" i="19" s="1"/>
  <c r="Z674" i="3"/>
  <c r="AT610" i="19" s="1"/>
  <c r="Z675" i="3"/>
  <c r="AT381" i="19" s="1"/>
  <c r="Z676" i="3"/>
  <c r="AT379" i="19" s="1"/>
  <c r="Z677" i="3"/>
  <c r="AT416" i="19" s="1"/>
  <c r="Z678" i="3"/>
  <c r="AT588" i="19" s="1"/>
  <c r="Z679" i="3"/>
  <c r="AT586" i="19" s="1"/>
  <c r="Z680" i="3"/>
  <c r="AT587" i="19" s="1"/>
  <c r="Z681" i="3"/>
  <c r="AT438" i="19" s="1"/>
  <c r="Z682" i="3"/>
  <c r="AT692" i="19" s="1"/>
  <c r="Z683" i="3"/>
  <c r="AT690" i="19" s="1"/>
  <c r="Z684" i="3"/>
  <c r="AT691" i="19" s="1"/>
  <c r="Z685" i="3"/>
  <c r="AT318" i="19" s="1"/>
  <c r="Z686" i="3"/>
  <c r="AT611" i="19" s="1"/>
  <c r="Z687" i="3"/>
  <c r="AT378" i="19" s="1"/>
  <c r="Z688" i="3"/>
  <c r="AT406" i="19" s="1"/>
  <c r="Z689" i="3"/>
  <c r="AT615" i="19" s="1"/>
  <c r="Z690" i="3"/>
  <c r="AT709" i="19" s="1"/>
  <c r="Z691" i="3"/>
  <c r="AT493" i="19" s="1"/>
  <c r="Z692" i="3"/>
  <c r="AT847" i="19" s="1"/>
  <c r="Z693" i="3"/>
  <c r="Z694" i="3"/>
  <c r="AT216" i="19" s="1"/>
  <c r="Z695" i="3"/>
  <c r="AT901" i="19" s="1"/>
  <c r="Z696" i="3"/>
  <c r="AT900" i="19" s="1"/>
  <c r="Z697" i="3"/>
  <c r="AT904" i="19" s="1"/>
  <c r="Z698" i="3"/>
  <c r="AT902" i="19" s="1"/>
  <c r="Z699" i="3"/>
  <c r="AT903" i="19" s="1"/>
  <c r="Z700" i="3"/>
  <c r="AT161" i="19" s="1"/>
  <c r="Z701" i="3"/>
  <c r="AT469" i="19" s="1"/>
  <c r="Z702" i="3"/>
  <c r="AT470" i="19" s="1"/>
  <c r="Z703" i="3"/>
  <c r="AT25" i="19" s="1"/>
  <c r="Z704" i="3"/>
  <c r="AT155" i="19" s="1"/>
  <c r="Z705" i="3"/>
  <c r="AT145" i="19" s="1"/>
  <c r="Z706" i="3"/>
  <c r="AT132" i="19" s="1"/>
  <c r="Z707" i="3"/>
  <c r="AT661" i="19" s="1"/>
  <c r="Z708" i="3"/>
  <c r="AT144" i="19" s="1"/>
  <c r="Z709" i="3"/>
  <c r="AT874" i="19" s="1"/>
  <c r="Z710" i="3"/>
  <c r="AT147" i="19" s="1"/>
  <c r="Z711" i="3"/>
  <c r="AT148" i="19" s="1"/>
  <c r="Z712" i="3"/>
  <c r="AT877" i="19" s="1"/>
  <c r="Z713" i="3"/>
  <c r="AT878" i="19" s="1"/>
  <c r="Z714" i="3"/>
  <c r="AT626" i="19" s="1"/>
  <c r="Z715" i="3"/>
  <c r="AT886" i="19" s="1"/>
  <c r="Z716" i="3"/>
  <c r="AT883" i="19" s="1"/>
  <c r="Z717" i="3"/>
  <c r="AT214" i="19" s="1"/>
  <c r="Z718" i="3"/>
  <c r="AT281" i="19" s="1"/>
  <c r="Z719" i="3"/>
  <c r="AT471" i="19" s="1"/>
  <c r="Z720" i="3"/>
  <c r="AT254" i="19" s="1"/>
  <c r="Z721" i="3"/>
  <c r="AT192" i="19" s="1"/>
  <c r="Z722" i="3"/>
  <c r="AT523" i="19" s="1"/>
  <c r="Z723" i="3"/>
  <c r="AT300" i="19" s="1"/>
  <c r="Z724" i="3"/>
  <c r="AT440" i="19" s="1"/>
  <c r="Z725" i="3"/>
  <c r="AT526" i="19" s="1"/>
  <c r="Z726" i="3"/>
  <c r="AT885" i="19" s="1"/>
  <c r="Z727" i="3"/>
  <c r="AT282" i="19" s="1"/>
  <c r="Z728" i="3"/>
  <c r="AT236" i="19" s="1"/>
  <c r="Z729" i="3"/>
  <c r="AT238" i="19" s="1"/>
  <c r="Z730" i="3"/>
  <c r="AT237" i="19" s="1"/>
  <c r="Z731" i="3"/>
  <c r="AT293" i="19" s="1"/>
  <c r="Z732" i="3"/>
  <c r="AT943" i="19" s="1"/>
  <c r="Z733" i="3"/>
  <c r="AT518" i="19" s="1"/>
  <c r="Z734" i="3"/>
  <c r="AT697" i="19" s="1"/>
  <c r="Z735" i="3"/>
  <c r="AT114" i="19" s="1"/>
  <c r="Z736" i="3"/>
  <c r="AT181" i="19" s="1"/>
  <c r="Z737" i="3"/>
  <c r="AT182" i="19" s="1"/>
  <c r="Z738" i="3"/>
  <c r="AT180" i="19" s="1"/>
  <c r="Z739" i="3"/>
  <c r="AT791" i="19" s="1"/>
  <c r="Z740" i="3"/>
  <c r="AT618" i="19" s="1"/>
  <c r="Z741" i="3"/>
  <c r="AT790" i="19" s="1"/>
  <c r="Z742" i="3"/>
  <c r="AT796" i="19" s="1"/>
  <c r="Z743" i="3"/>
  <c r="AT179" i="19" s="1"/>
  <c r="Z744" i="3"/>
  <c r="AT366" i="19" s="1"/>
  <c r="Z745" i="3"/>
  <c r="AT140" i="19" s="1"/>
  <c r="Z746" i="3"/>
  <c r="AT5" i="19" s="1"/>
  <c r="Z747" i="3"/>
  <c r="AT213" i="19" s="1"/>
  <c r="Z748" i="3"/>
  <c r="AT362" i="19" s="1"/>
  <c r="Z749" i="3"/>
  <c r="AT919" i="19" s="1"/>
  <c r="Z750" i="3"/>
  <c r="AT384" i="19" s="1"/>
  <c r="Z751" i="3"/>
  <c r="AT489" i="19" s="1"/>
  <c r="Z752" i="3"/>
  <c r="AT519" i="19" s="1"/>
  <c r="Z753" i="3"/>
  <c r="AT344" i="19" s="1"/>
  <c r="Z754" i="3"/>
  <c r="AT345" i="19" s="1"/>
  <c r="Z755" i="3"/>
  <c r="AT768" i="19" s="1"/>
  <c r="Z756" i="3"/>
  <c r="AT769" i="19" s="1"/>
  <c r="Z757" i="3"/>
  <c r="AT766" i="19" s="1"/>
  <c r="Z758" i="3"/>
  <c r="AT767" i="19" s="1"/>
  <c r="Z759" i="3"/>
  <c r="AT245" i="19" s="1"/>
  <c r="Z760" i="3"/>
  <c r="AT765" i="19" s="1"/>
  <c r="Z761" i="3"/>
  <c r="AT625" i="19" s="1"/>
  <c r="Z762" i="3"/>
  <c r="AT243" i="19" s="1"/>
  <c r="Z763" i="3"/>
  <c r="AT242" i="19" s="1"/>
  <c r="Z764" i="3"/>
  <c r="AT531" i="19" s="1"/>
  <c r="Z765" i="3"/>
  <c r="AT532" i="19" s="1"/>
  <c r="Z766" i="3"/>
  <c r="AT244" i="19" s="1"/>
  <c r="Z767" i="3"/>
  <c r="AT669" i="19" s="1"/>
  <c r="Z768" i="3"/>
  <c r="AT671" i="19" s="1"/>
  <c r="Z769" i="3"/>
  <c r="AT502" i="19" s="1"/>
  <c r="Z770" i="3"/>
  <c r="AT472" i="19" s="1"/>
  <c r="Z771" i="3"/>
  <c r="AT488" i="19" s="1"/>
  <c r="Z772" i="3"/>
  <c r="AT638" i="19" s="1"/>
  <c r="Z773" i="3"/>
  <c r="AT295" i="19" s="1"/>
  <c r="Z774" i="3"/>
  <c r="AT299" i="19" s="1"/>
  <c r="Z775" i="3"/>
  <c r="AT298" i="19" s="1"/>
  <c r="Z776" i="3"/>
  <c r="AT296" i="19" s="1"/>
  <c r="Z777" i="3"/>
  <c r="AT297" i="19" s="1"/>
  <c r="Z778" i="3"/>
  <c r="AT881" i="19" s="1"/>
  <c r="Z779" i="3"/>
  <c r="AT250" i="19" s="1"/>
  <c r="Z780" i="3"/>
  <c r="AT30" i="19" s="1"/>
  <c r="Z781" i="3"/>
  <c r="AT21" i="19" s="1"/>
  <c r="Z782" i="3"/>
  <c r="AT29" i="19" s="1"/>
  <c r="Z783" i="3"/>
  <c r="AT22" i="19" s="1"/>
  <c r="Z784" i="3"/>
  <c r="AT27" i="19" s="1"/>
  <c r="Z785" i="3"/>
  <c r="AT28" i="19" s="1"/>
  <c r="Z786" i="3"/>
  <c r="AT688" i="19" s="1"/>
  <c r="Z787" i="3"/>
  <c r="AT58" i="19" s="1"/>
  <c r="Z788" i="3"/>
  <c r="AT33" i="19" s="1"/>
  <c r="Z789" i="3"/>
  <c r="AT59" i="19" s="1"/>
  <c r="Z790" i="3"/>
  <c r="AT686" i="19" s="1"/>
  <c r="Z791" i="3"/>
  <c r="AT41" i="19" s="1"/>
  <c r="Z792" i="3"/>
  <c r="AT687" i="19" s="1"/>
  <c r="Z793" i="3"/>
  <c r="AT23" i="19" s="1"/>
  <c r="Z794" i="3"/>
  <c r="AT24" i="19" s="1"/>
  <c r="Z795" i="3"/>
  <c r="AT34" i="19" s="1"/>
  <c r="Z796" i="3"/>
  <c r="AT500" i="19" s="1"/>
  <c r="Z797" i="3"/>
  <c r="AT912" i="19" s="1"/>
  <c r="Z798" i="3"/>
  <c r="AT133" i="19" s="1"/>
  <c r="Z799" i="3"/>
  <c r="AT442" i="19" s="1"/>
  <c r="Z800" i="3"/>
  <c r="AT446" i="19" s="1"/>
  <c r="Z801" i="3"/>
  <c r="AT443" i="19" s="1"/>
  <c r="Z802" i="3"/>
  <c r="AT447" i="19" s="1"/>
  <c r="Z803" i="3"/>
  <c r="AT448" i="19" s="1"/>
  <c r="Z804" i="3"/>
  <c r="AT937" i="19" s="1"/>
  <c r="Z805" i="3"/>
  <c r="AT445" i="19" s="1"/>
  <c r="Z806" i="3"/>
  <c r="AT441" i="19" s="1"/>
  <c r="Z807" i="3"/>
  <c r="AT444" i="19" s="1"/>
  <c r="Z808" i="3"/>
  <c r="AT126" i="19" s="1"/>
  <c r="Z809" i="3"/>
  <c r="AT376" i="19" s="1"/>
  <c r="Z810" i="3"/>
  <c r="AT495" i="19" s="1"/>
  <c r="Z811" i="3"/>
  <c r="AT193" i="19" s="1"/>
  <c r="Z812" i="3"/>
  <c r="AT312" i="19" s="1"/>
  <c r="Z813" i="3"/>
  <c r="AT19" i="19" s="1"/>
  <c r="Z814" i="3"/>
  <c r="AT313" i="19" s="1"/>
  <c r="Z815" i="3"/>
  <c r="AT141" i="19" s="1"/>
  <c r="Z816" i="3"/>
  <c r="AT680" i="19" s="1"/>
  <c r="Z817" i="3"/>
  <c r="AT412" i="19" s="1"/>
  <c r="Z818" i="3"/>
  <c r="AT744" i="19" s="1"/>
  <c r="Z819" i="3"/>
  <c r="Z820" i="3"/>
  <c r="AT621" i="19" s="1"/>
  <c r="Z821" i="3"/>
  <c r="AT207" i="19" s="1"/>
  <c r="Z822" i="3"/>
  <c r="AT208" i="19" s="1"/>
  <c r="Z823" i="3"/>
  <c r="AT351" i="19" s="1"/>
  <c r="Z824" i="3"/>
  <c r="AT205" i="19" s="1"/>
  <c r="Z825" i="3"/>
  <c r="AT352" i="19" s="1"/>
  <c r="Z826" i="3"/>
  <c r="AT206" i="19" s="1"/>
  <c r="Z827" i="3"/>
  <c r="AT434" i="19" s="1"/>
  <c r="Z828" i="3"/>
  <c r="AT204" i="19" s="1"/>
  <c r="Z829" i="3"/>
  <c r="AT203" i="19" s="1"/>
  <c r="Z830" i="3"/>
  <c r="AT788" i="19" s="1"/>
  <c r="Z831" i="3"/>
  <c r="AT599" i="19" s="1"/>
  <c r="Z832" i="3"/>
  <c r="AT786" i="19" s="1"/>
  <c r="Z833" i="3"/>
  <c r="AT505" i="19" s="1"/>
  <c r="Z834" i="3"/>
  <c r="AT507" i="19" s="1"/>
  <c r="Z835" i="3"/>
  <c r="AT506" i="19" s="1"/>
  <c r="Z836" i="3"/>
  <c r="AT407" i="19" s="1"/>
  <c r="Z837" i="3"/>
  <c r="AT504" i="19" s="1"/>
  <c r="Z838" i="3"/>
  <c r="AT326" i="19" s="1"/>
  <c r="Z839" i="3"/>
  <c r="AT592" i="19" s="1"/>
  <c r="Z840" i="3"/>
  <c r="AT304" i="19" s="1"/>
  <c r="Z841" i="3"/>
  <c r="AT399" i="19" s="1"/>
  <c r="Z842" i="3"/>
  <c r="AT195" i="19" s="1"/>
  <c r="Z843" i="3"/>
  <c r="AT154" i="19" s="1"/>
  <c r="Z844" i="3"/>
  <c r="AT365" i="19" s="1"/>
  <c r="Z845" i="3"/>
  <c r="AT186" i="19" s="1"/>
  <c r="Z846" i="3"/>
  <c r="AT185" i="19" s="1"/>
  <c r="Z847" i="3"/>
  <c r="AT380" i="19" s="1"/>
  <c r="Z848" i="3"/>
  <c r="AT614" i="19" s="1"/>
  <c r="Z849" i="3"/>
  <c r="AT383" i="19" s="1"/>
  <c r="Z850" i="3"/>
  <c r="AT617" i="19" s="1"/>
  <c r="Z851" i="3"/>
  <c r="AT522" i="19" s="1"/>
  <c r="Z852" i="3"/>
  <c r="AT308" i="19" s="1"/>
  <c r="Z853" i="3"/>
  <c r="Z854" i="3"/>
  <c r="Z855" i="3"/>
  <c r="AT585" i="19" s="1"/>
  <c r="Z856" i="3"/>
  <c r="AT758" i="19" s="1"/>
  <c r="Z857" i="3"/>
  <c r="AT111" i="19" s="1"/>
  <c r="Z858" i="3"/>
  <c r="AT583" i="19" s="1"/>
  <c r="Z859" i="3"/>
  <c r="AT285" i="19" s="1"/>
  <c r="Z860" i="3"/>
  <c r="AT284" i="19" s="1"/>
  <c r="Z861" i="3"/>
  <c r="AT389" i="19" s="1"/>
  <c r="Z862" i="3"/>
  <c r="AT386" i="19" s="1"/>
  <c r="Z863" i="3"/>
  <c r="AT388" i="19" s="1"/>
  <c r="Z864" i="3"/>
  <c r="AT387" i="19" s="1"/>
  <c r="Z865" i="3"/>
  <c r="AT390" i="19" s="1"/>
  <c r="Z866" i="3"/>
  <c r="AT391" i="19" s="1"/>
  <c r="Z867" i="3"/>
  <c r="AT392" i="19" s="1"/>
  <c r="Z868" i="3"/>
  <c r="AT517" i="19" s="1"/>
  <c r="Z869" i="3"/>
  <c r="AT8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T3" i="3"/>
  <c r="T4" i="3"/>
  <c r="T5" i="3"/>
  <c r="T11" i="3"/>
  <c r="T13" i="3"/>
  <c r="T15" i="3"/>
  <c r="T17" i="3"/>
  <c r="T18" i="3"/>
  <c r="T20" i="3"/>
  <c r="T21" i="3"/>
  <c r="T22" i="3"/>
  <c r="T24" i="3"/>
  <c r="T25" i="3"/>
  <c r="T29" i="3"/>
  <c r="T30" i="3"/>
  <c r="T31" i="3"/>
  <c r="T33" i="3"/>
  <c r="T36" i="3"/>
  <c r="T37" i="3"/>
  <c r="T39" i="3"/>
  <c r="T40" i="3"/>
  <c r="T41" i="3"/>
  <c r="T46" i="3"/>
  <c r="T52" i="3"/>
  <c r="T53" i="3"/>
  <c r="T54" i="3"/>
  <c r="T55" i="3"/>
  <c r="T56" i="3"/>
  <c r="T57" i="3"/>
  <c r="T58" i="3"/>
  <c r="T59" i="3"/>
  <c r="T60" i="3"/>
  <c r="T61" i="3"/>
  <c r="T62" i="3"/>
  <c r="T63" i="3"/>
  <c r="T64" i="3"/>
  <c r="T71" i="3"/>
  <c r="T73" i="3"/>
  <c r="T75" i="3"/>
  <c r="T79" i="3"/>
  <c r="T80" i="3"/>
  <c r="T81" i="3"/>
  <c r="T82" i="3"/>
  <c r="T83" i="3"/>
  <c r="T84"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4" i="3"/>
  <c r="T125" i="3"/>
  <c r="T126" i="3"/>
  <c r="T127" i="3"/>
  <c r="T128" i="3"/>
  <c r="T130" i="3"/>
  <c r="T132" i="3"/>
  <c r="T135" i="3"/>
  <c r="T137" i="3"/>
  <c r="T139" i="3"/>
  <c r="T140" i="3"/>
  <c r="T141" i="3"/>
  <c r="T142" i="3"/>
  <c r="T143" i="3"/>
  <c r="T144" i="3"/>
  <c r="T145" i="3"/>
  <c r="T146" i="3"/>
  <c r="T147" i="3"/>
  <c r="T148" i="3"/>
  <c r="T149" i="3"/>
  <c r="T150" i="3"/>
  <c r="T151" i="3"/>
  <c r="T152" i="3"/>
  <c r="T153" i="3"/>
  <c r="T154" i="3"/>
  <c r="T155" i="3"/>
  <c r="T156" i="3"/>
  <c r="T157" i="3"/>
  <c r="T164" i="3"/>
  <c r="T167" i="3"/>
  <c r="T169" i="3"/>
  <c r="T170" i="3"/>
  <c r="T171" i="3"/>
  <c r="T172" i="3"/>
  <c r="T173" i="3"/>
  <c r="T174" i="3"/>
  <c r="T175" i="3"/>
  <c r="T177" i="3"/>
  <c r="T182" i="3"/>
  <c r="T183" i="3"/>
  <c r="T184" i="3"/>
  <c r="T185" i="3"/>
  <c r="T186" i="3"/>
  <c r="T187" i="3"/>
  <c r="T188" i="3"/>
  <c r="T189" i="3"/>
  <c r="T191" i="3"/>
  <c r="T194" i="3"/>
  <c r="T195" i="3"/>
  <c r="T196" i="3"/>
  <c r="T197" i="3"/>
  <c r="T199" i="3"/>
  <c r="T200" i="3"/>
  <c r="T201" i="3"/>
  <c r="T202" i="3"/>
  <c r="T203" i="3"/>
  <c r="T204" i="3"/>
  <c r="T205" i="3"/>
  <c r="T206" i="3"/>
  <c r="T207" i="3"/>
  <c r="T208" i="3"/>
  <c r="T210" i="3"/>
  <c r="T212" i="3"/>
  <c r="T213" i="3"/>
  <c r="T214" i="3"/>
  <c r="T215" i="3"/>
  <c r="T219" i="3"/>
  <c r="T221" i="3"/>
  <c r="T222" i="3"/>
  <c r="T223" i="3"/>
  <c r="T224" i="3"/>
  <c r="T225" i="3"/>
  <c r="T226" i="3"/>
  <c r="T228" i="3"/>
  <c r="T229" i="3"/>
  <c r="T236" i="3"/>
  <c r="T237" i="3"/>
  <c r="T239" i="3"/>
  <c r="T240" i="3"/>
  <c r="T243" i="3"/>
  <c r="T244" i="3"/>
  <c r="T245" i="3"/>
  <c r="T246" i="3"/>
  <c r="T247" i="3"/>
  <c r="T249" i="3"/>
  <c r="T251" i="3"/>
  <c r="T252" i="3"/>
  <c r="T255" i="3"/>
  <c r="T263" i="3"/>
  <c r="T265" i="3"/>
  <c r="T268" i="3"/>
  <c r="T270" i="3"/>
  <c r="T271" i="3"/>
  <c r="T272" i="3"/>
  <c r="T273" i="3"/>
  <c r="T274" i="3"/>
  <c r="T275" i="3"/>
  <c r="T276" i="3"/>
  <c r="W276" i="3" s="1"/>
  <c r="T279" i="3"/>
  <c r="T280" i="3"/>
  <c r="T281" i="3"/>
  <c r="T282" i="3"/>
  <c r="T283" i="3"/>
  <c r="T284" i="3"/>
  <c r="T285" i="3"/>
  <c r="T286" i="3"/>
  <c r="T287" i="3"/>
  <c r="T288" i="3"/>
  <c r="T289" i="3"/>
  <c r="T290" i="3"/>
  <c r="T291" i="3"/>
  <c r="T292" i="3"/>
  <c r="T293" i="3"/>
  <c r="T294" i="3"/>
  <c r="T295" i="3"/>
  <c r="T296" i="3"/>
  <c r="T297" i="3"/>
  <c r="T298" i="3"/>
  <c r="T299" i="3"/>
  <c r="T300" i="3"/>
  <c r="T301" i="3"/>
  <c r="T304" i="3"/>
  <c r="T305" i="3"/>
  <c r="T307" i="3"/>
  <c r="T308" i="3"/>
  <c r="T309" i="3"/>
  <c r="T310" i="3"/>
  <c r="T311" i="3"/>
  <c r="T312" i="3"/>
  <c r="T313" i="3"/>
  <c r="T316" i="3"/>
  <c r="T318" i="3"/>
  <c r="T319" i="3"/>
  <c r="T320" i="3"/>
  <c r="T323" i="3"/>
  <c r="T324" i="3"/>
  <c r="T328" i="3"/>
  <c r="T330" i="3"/>
  <c r="T331" i="3"/>
  <c r="T332" i="3"/>
  <c r="T333" i="3"/>
  <c r="T334" i="3"/>
  <c r="T335" i="3"/>
  <c r="T336" i="3"/>
  <c r="T337" i="3"/>
  <c r="T341" i="3"/>
  <c r="T342" i="3"/>
  <c r="T343" i="3"/>
  <c r="T344" i="3"/>
  <c r="T345" i="3"/>
  <c r="T349" i="3"/>
  <c r="T356" i="3"/>
  <c r="T357" i="3"/>
  <c r="T358" i="3"/>
  <c r="T359" i="3"/>
  <c r="T360" i="3"/>
  <c r="T361" i="3"/>
  <c r="T362" i="3"/>
  <c r="T364" i="3"/>
  <c r="T365" i="3"/>
  <c r="T366" i="3"/>
  <c r="T367" i="3"/>
  <c r="T368" i="3"/>
  <c r="T369" i="3"/>
  <c r="T371" i="3"/>
  <c r="T373" i="3"/>
  <c r="T374" i="3"/>
  <c r="T377" i="3"/>
  <c r="T380" i="3"/>
  <c r="T382" i="3"/>
  <c r="T383" i="3"/>
  <c r="T384" i="3"/>
  <c r="T385" i="3"/>
  <c r="W385" i="3" s="1"/>
  <c r="T387" i="3"/>
  <c r="T389" i="3"/>
  <c r="T390" i="3"/>
  <c r="T391" i="3"/>
  <c r="T393" i="3"/>
  <c r="T396" i="3"/>
  <c r="T397" i="3"/>
  <c r="T399" i="3"/>
  <c r="T401" i="3"/>
  <c r="T402" i="3"/>
  <c r="T403" i="3"/>
  <c r="T404" i="3"/>
  <c r="T405" i="3"/>
  <c r="T406" i="3"/>
  <c r="T408" i="3"/>
  <c r="T409" i="3"/>
  <c r="T411" i="3"/>
  <c r="T412" i="3"/>
  <c r="T413" i="3"/>
  <c r="T415" i="3"/>
  <c r="T417" i="3"/>
  <c r="T418" i="3"/>
  <c r="T419" i="3"/>
  <c r="T420" i="3"/>
  <c r="T421" i="3"/>
  <c r="T422" i="3"/>
  <c r="T423" i="3"/>
  <c r="T424" i="3"/>
  <c r="T425" i="3"/>
  <c r="T426" i="3"/>
  <c r="T427" i="3"/>
  <c r="T428" i="3"/>
  <c r="T429" i="3"/>
  <c r="T430" i="3"/>
  <c r="T431" i="3"/>
  <c r="T432" i="3"/>
  <c r="T436" i="3"/>
  <c r="T437" i="3"/>
  <c r="T441" i="3"/>
  <c r="T452" i="3"/>
  <c r="T453" i="3"/>
  <c r="T455" i="3"/>
  <c r="T456" i="3"/>
  <c r="T459" i="3"/>
  <c r="T460" i="3"/>
  <c r="T461" i="3"/>
  <c r="T462" i="3"/>
  <c r="T463" i="3"/>
  <c r="T464" i="3"/>
  <c r="T465" i="3"/>
  <c r="T466" i="3"/>
  <c r="T467" i="3"/>
  <c r="T468" i="3"/>
  <c r="T475" i="3"/>
  <c r="T476" i="3"/>
  <c r="T482" i="3"/>
  <c r="T483" i="3"/>
  <c r="T484" i="3"/>
  <c r="T485" i="3"/>
  <c r="T486" i="3"/>
  <c r="T487" i="3"/>
  <c r="T489" i="3"/>
  <c r="T490" i="3"/>
  <c r="T491" i="3"/>
  <c r="T492" i="3"/>
  <c r="T493" i="3"/>
  <c r="T497" i="3"/>
  <c r="T498" i="3"/>
  <c r="T499" i="3"/>
  <c r="T500" i="3"/>
  <c r="T501" i="3"/>
  <c r="T503" i="3"/>
  <c r="T504" i="3"/>
  <c r="T505" i="3"/>
  <c r="T506" i="3"/>
  <c r="T507" i="3"/>
  <c r="T508" i="3"/>
  <c r="T510" i="3"/>
  <c r="T511" i="3"/>
  <c r="T512" i="3"/>
  <c r="T513" i="3"/>
  <c r="T516" i="3"/>
  <c r="T517" i="3"/>
  <c r="T518" i="3"/>
  <c r="T523" i="3"/>
  <c r="T525" i="3"/>
  <c r="T527" i="3"/>
  <c r="T531" i="3"/>
  <c r="T534" i="3"/>
  <c r="U534" i="3" s="1"/>
  <c r="T535" i="3"/>
  <c r="T536" i="3"/>
  <c r="T537" i="3"/>
  <c r="T538" i="3"/>
  <c r="T539" i="3"/>
  <c r="T540" i="3"/>
  <c r="T542" i="3"/>
  <c r="U542" i="3" s="1"/>
  <c r="T543" i="3"/>
  <c r="T544" i="3"/>
  <c r="T545" i="3"/>
  <c r="T546" i="3"/>
  <c r="T547" i="3"/>
  <c r="T548" i="3"/>
  <c r="U548" i="3" s="1"/>
  <c r="T549" i="3"/>
  <c r="T552" i="3"/>
  <c r="T553" i="3"/>
  <c r="T557" i="3"/>
  <c r="T558" i="3"/>
  <c r="U558" i="3" s="1"/>
  <c r="T559" i="3"/>
  <c r="T560" i="3"/>
  <c r="T561" i="3"/>
  <c r="T564" i="3"/>
  <c r="T565" i="3"/>
  <c r="T566" i="3"/>
  <c r="T567" i="3"/>
  <c r="T568" i="3"/>
  <c r="T569" i="3"/>
  <c r="T570" i="3"/>
  <c r="U570" i="3" s="1"/>
  <c r="T571" i="3"/>
  <c r="U571" i="3" s="1"/>
  <c r="T572" i="3"/>
  <c r="U572" i="3" s="1"/>
  <c r="T573" i="3"/>
  <c r="T574" i="3"/>
  <c r="T575" i="3"/>
  <c r="T576" i="3"/>
  <c r="T577" i="3"/>
  <c r="U577" i="3" s="1"/>
  <c r="T578" i="3"/>
  <c r="T579" i="3"/>
  <c r="T581" i="3"/>
  <c r="T582" i="3"/>
  <c r="T583" i="3"/>
  <c r="T584" i="3"/>
  <c r="T585" i="3"/>
  <c r="T587" i="3"/>
  <c r="T588" i="3"/>
  <c r="T589" i="3"/>
  <c r="T590" i="3"/>
  <c r="T591" i="3"/>
  <c r="T592" i="3"/>
  <c r="U592" i="3" s="1"/>
  <c r="T593" i="3"/>
  <c r="T594" i="3"/>
  <c r="U594" i="3" s="1"/>
  <c r="T595" i="3"/>
  <c r="T596" i="3"/>
  <c r="T597" i="3"/>
  <c r="T598" i="3"/>
  <c r="T599" i="3"/>
  <c r="T600" i="3"/>
  <c r="U600" i="3" s="1"/>
  <c r="T601" i="3"/>
  <c r="U601" i="3" s="1"/>
  <c r="T602" i="3"/>
  <c r="T603" i="3"/>
  <c r="T604" i="3"/>
  <c r="T605" i="3"/>
  <c r="T607" i="3"/>
  <c r="T610" i="3"/>
  <c r="T611" i="3"/>
  <c r="T612" i="3"/>
  <c r="T613" i="3"/>
  <c r="U613" i="3" s="1"/>
  <c r="T614" i="3"/>
  <c r="U614" i="3" s="1"/>
  <c r="T615" i="3"/>
  <c r="T616" i="3"/>
  <c r="T617" i="3"/>
  <c r="T618" i="3"/>
  <c r="T619" i="3"/>
  <c r="T620" i="3"/>
  <c r="U620" i="3" s="1"/>
  <c r="T621" i="3"/>
  <c r="T622" i="3"/>
  <c r="T623" i="3"/>
  <c r="T624" i="3"/>
  <c r="T628" i="3"/>
  <c r="T629" i="3"/>
  <c r="T631" i="3"/>
  <c r="T632" i="3"/>
  <c r="T633" i="3"/>
  <c r="T635" i="3"/>
  <c r="T636" i="3"/>
  <c r="T638" i="3"/>
  <c r="T639" i="3"/>
  <c r="T640" i="3"/>
  <c r="T641" i="3"/>
  <c r="T644" i="3"/>
  <c r="U644" i="3" s="1"/>
  <c r="T645" i="3"/>
  <c r="T649" i="3"/>
  <c r="U649" i="3" s="1"/>
  <c r="T650" i="3"/>
  <c r="T651" i="3"/>
  <c r="T652" i="3"/>
  <c r="T654" i="3"/>
  <c r="T655" i="3"/>
  <c r="T656" i="3"/>
  <c r="T657" i="3"/>
  <c r="T658" i="3"/>
  <c r="T659" i="3"/>
  <c r="T661" i="3"/>
  <c r="T667" i="3"/>
  <c r="T668" i="3"/>
  <c r="T672" i="3"/>
  <c r="T676" i="3"/>
  <c r="T677" i="3"/>
  <c r="T678" i="3"/>
  <c r="U678" i="3" s="1"/>
  <c r="T679" i="3"/>
  <c r="T681" i="3"/>
  <c r="T682" i="3"/>
  <c r="T683" i="3"/>
  <c r="T684" i="3"/>
  <c r="T685" i="3"/>
  <c r="U685" i="3" s="1"/>
  <c r="T687" i="3"/>
  <c r="T688" i="3"/>
  <c r="U688" i="3" s="1"/>
  <c r="T689" i="3"/>
  <c r="T690" i="3"/>
  <c r="T691" i="3"/>
  <c r="U691" i="3" s="1"/>
  <c r="T692" i="3"/>
  <c r="T694" i="3"/>
  <c r="T697" i="3"/>
  <c r="U697" i="3" s="1"/>
  <c r="T698" i="3"/>
  <c r="T699" i="3"/>
  <c r="T700" i="3"/>
  <c r="T703" i="3"/>
  <c r="T704" i="3"/>
  <c r="U704" i="3" s="1"/>
  <c r="T705" i="3"/>
  <c r="T706" i="3"/>
  <c r="U706" i="3" s="1"/>
  <c r="T707" i="3"/>
  <c r="T708" i="3"/>
  <c r="T709" i="3"/>
  <c r="U709" i="3" s="1"/>
  <c r="T711" i="3"/>
  <c r="T712" i="3"/>
  <c r="T713" i="3"/>
  <c r="T715" i="3"/>
  <c r="T717" i="3"/>
  <c r="T718" i="3"/>
  <c r="T719" i="3"/>
  <c r="T720" i="3"/>
  <c r="U720" i="3" s="1"/>
  <c r="T721" i="3"/>
  <c r="T722" i="3"/>
  <c r="U722" i="3" s="1"/>
  <c r="T723" i="3"/>
  <c r="T725" i="3"/>
  <c r="T726" i="3"/>
  <c r="T727" i="3"/>
  <c r="T728" i="3"/>
  <c r="U728" i="3" s="1"/>
  <c r="T729" i="3"/>
  <c r="T730" i="3"/>
  <c r="U730" i="3" s="1"/>
  <c r="T732" i="3"/>
  <c r="T733" i="3"/>
  <c r="T735" i="3"/>
  <c r="T739" i="3"/>
  <c r="T747" i="3"/>
  <c r="T748" i="3"/>
  <c r="T749" i="3"/>
  <c r="T751" i="3"/>
  <c r="T752" i="3"/>
  <c r="T753" i="3"/>
  <c r="T754" i="3"/>
  <c r="T755" i="3"/>
  <c r="T756" i="3"/>
  <c r="U756" i="3" s="1"/>
  <c r="T757" i="3"/>
  <c r="U757" i="3" s="1"/>
  <c r="T758" i="3"/>
  <c r="T759" i="3"/>
  <c r="T760" i="3"/>
  <c r="T761" i="3"/>
  <c r="T762" i="3"/>
  <c r="T764" i="3"/>
  <c r="U764" i="3" s="1"/>
  <c r="T765" i="3"/>
  <c r="T766" i="3"/>
  <c r="U766" i="3" s="1"/>
  <c r="T768" i="3"/>
  <c r="T769" i="3"/>
  <c r="T770" i="3"/>
  <c r="T772" i="3"/>
  <c r="T773" i="3"/>
  <c r="T774" i="3"/>
  <c r="T778" i="3"/>
  <c r="T780" i="3"/>
  <c r="U780" i="3" s="1"/>
  <c r="T781" i="3"/>
  <c r="U781" i="3" s="1"/>
  <c r="T782" i="3"/>
  <c r="T783" i="3"/>
  <c r="T784" i="3"/>
  <c r="U784" i="3" s="1"/>
  <c r="T785" i="3"/>
  <c r="T786" i="3"/>
  <c r="T787" i="3"/>
  <c r="T788" i="3"/>
  <c r="U788" i="3" s="1"/>
  <c r="T789" i="3"/>
  <c r="T790" i="3"/>
  <c r="T791" i="3"/>
  <c r="T792" i="3"/>
  <c r="U792" i="3" s="1"/>
  <c r="T793" i="3"/>
  <c r="T794" i="3"/>
  <c r="T795" i="3"/>
  <c r="T796" i="3"/>
  <c r="T798" i="3"/>
  <c r="T799" i="3"/>
  <c r="U799" i="3" s="1"/>
  <c r="T800" i="3"/>
  <c r="U800" i="3" s="1"/>
  <c r="T801" i="3"/>
  <c r="T802" i="3"/>
  <c r="T803" i="3"/>
  <c r="T804" i="3"/>
  <c r="T805" i="3"/>
  <c r="T806" i="3"/>
  <c r="U806" i="3" s="1"/>
  <c r="T807" i="3"/>
  <c r="U807" i="3" s="1"/>
  <c r="T808" i="3"/>
  <c r="U808" i="3" s="1"/>
  <c r="T809" i="3"/>
  <c r="T810" i="3"/>
  <c r="T812" i="3"/>
  <c r="T813" i="3"/>
  <c r="T814" i="3"/>
  <c r="T816" i="3"/>
  <c r="T818" i="3"/>
  <c r="T820" i="3"/>
  <c r="T821" i="3"/>
  <c r="T822" i="3"/>
  <c r="T823" i="3"/>
  <c r="U823" i="3" s="1"/>
  <c r="T824" i="3"/>
  <c r="T825" i="3"/>
  <c r="T826" i="3"/>
  <c r="T838" i="3"/>
  <c r="T840" i="3"/>
  <c r="T841" i="3"/>
  <c r="U841" i="3" s="1"/>
  <c r="T844" i="3"/>
  <c r="U844" i="3" s="1"/>
  <c r="T845" i="3"/>
  <c r="T848" i="3"/>
  <c r="T849" i="3"/>
  <c r="T850" i="3"/>
  <c r="U850" i="3" s="1"/>
  <c r="T851" i="3"/>
  <c r="T852" i="3"/>
  <c r="T853" i="3"/>
  <c r="T856" i="3"/>
  <c r="T857" i="3"/>
  <c r="T858" i="3"/>
  <c r="T859" i="3"/>
  <c r="T860" i="3"/>
  <c r="T861" i="3"/>
  <c r="T862" i="3"/>
  <c r="T863" i="3"/>
  <c r="T864" i="3"/>
  <c r="T865" i="3"/>
  <c r="T866" i="3"/>
  <c r="U866" i="3" s="1"/>
  <c r="T867" i="3"/>
  <c r="T868" i="3"/>
  <c r="T869" i="3"/>
  <c r="S6" i="3"/>
  <c r="T6" i="3" s="1"/>
  <c r="S7" i="3"/>
  <c r="T7" i="3" s="1"/>
  <c r="S8" i="3"/>
  <c r="T8" i="3" s="1"/>
  <c r="S9" i="3"/>
  <c r="T9" i="3" s="1"/>
  <c r="S10" i="3"/>
  <c r="T10" i="3" s="1"/>
  <c r="S11" i="3"/>
  <c r="S12" i="3"/>
  <c r="T12" i="3" s="1"/>
  <c r="S13" i="3"/>
  <c r="S14" i="3"/>
  <c r="T14" i="3" s="1"/>
  <c r="S15" i="3"/>
  <c r="S16" i="3"/>
  <c r="T16" i="3" s="1"/>
  <c r="S19" i="3"/>
  <c r="T19" i="3" s="1"/>
  <c r="S23" i="3"/>
  <c r="T23" i="3" s="1"/>
  <c r="S26" i="3"/>
  <c r="T26" i="3" s="1"/>
  <c r="S27" i="3"/>
  <c r="T27" i="3" s="1"/>
  <c r="S28" i="3"/>
  <c r="T28" i="3" s="1"/>
  <c r="S32" i="3"/>
  <c r="T32" i="3" s="1"/>
  <c r="S33" i="3"/>
  <c r="S34" i="3"/>
  <c r="T34" i="3" s="1"/>
  <c r="S35" i="3"/>
  <c r="T35" i="3" s="1"/>
  <c r="S38" i="3"/>
  <c r="T38" i="3" s="1"/>
  <c r="S39" i="3"/>
  <c r="S42" i="3"/>
  <c r="T42" i="3" s="1"/>
  <c r="S43" i="3"/>
  <c r="T43" i="3" s="1"/>
  <c r="S44" i="3"/>
  <c r="T44" i="3" s="1"/>
  <c r="S45" i="3"/>
  <c r="T45" i="3" s="1"/>
  <c r="S47" i="3"/>
  <c r="T47" i="3" s="1"/>
  <c r="S48" i="3"/>
  <c r="T48" i="3" s="1"/>
  <c r="S49" i="3"/>
  <c r="T49" i="3" s="1"/>
  <c r="S50" i="3"/>
  <c r="T50" i="3" s="1"/>
  <c r="S51" i="3"/>
  <c r="T51" i="3" s="1"/>
  <c r="S65" i="3"/>
  <c r="T65" i="3" s="1"/>
  <c r="S66" i="3"/>
  <c r="T66" i="3" s="1"/>
  <c r="S67" i="3"/>
  <c r="T67" i="3" s="1"/>
  <c r="S68" i="3"/>
  <c r="T68" i="3" s="1"/>
  <c r="S69" i="3"/>
  <c r="T69" i="3" s="1"/>
  <c r="S70" i="3"/>
  <c r="T70" i="3" s="1"/>
  <c r="S71" i="3"/>
  <c r="S72" i="3"/>
  <c r="T72" i="3" s="1"/>
  <c r="S73" i="3"/>
  <c r="S74" i="3"/>
  <c r="T74" i="3" s="1"/>
  <c r="S75" i="3"/>
  <c r="S76" i="3"/>
  <c r="T76" i="3" s="1"/>
  <c r="S77" i="3"/>
  <c r="T77" i="3" s="1"/>
  <c r="S78" i="3"/>
  <c r="T78" i="3" s="1"/>
  <c r="S79" i="3"/>
  <c r="S85" i="3"/>
  <c r="T85" i="3" s="1"/>
  <c r="S121" i="3"/>
  <c r="T121" i="3" s="1"/>
  <c r="S122" i="3"/>
  <c r="T122" i="3" s="1"/>
  <c r="S123" i="3"/>
  <c r="T123" i="3" s="1"/>
  <c r="S129" i="3"/>
  <c r="T129" i="3" s="1"/>
  <c r="S131" i="3"/>
  <c r="T131" i="3" s="1"/>
  <c r="S133" i="3"/>
  <c r="T133" i="3" s="1"/>
  <c r="S134" i="3"/>
  <c r="T134" i="3" s="1"/>
  <c r="S136" i="3"/>
  <c r="T136" i="3" s="1"/>
  <c r="S137" i="3"/>
  <c r="S138" i="3"/>
  <c r="T138" i="3" s="1"/>
  <c r="S158" i="3"/>
  <c r="T158" i="3" s="1"/>
  <c r="S159" i="3"/>
  <c r="T159" i="3" s="1"/>
  <c r="S160" i="3"/>
  <c r="T160" i="3" s="1"/>
  <c r="S161" i="3"/>
  <c r="T161" i="3" s="1"/>
  <c r="S162" i="3"/>
  <c r="T162" i="3" s="1"/>
  <c r="S163" i="3"/>
  <c r="T163" i="3" s="1"/>
  <c r="S164" i="3"/>
  <c r="S165" i="3"/>
  <c r="T165" i="3" s="1"/>
  <c r="S166" i="3"/>
  <c r="T166" i="3" s="1"/>
  <c r="S168" i="3"/>
  <c r="T168" i="3" s="1"/>
  <c r="S176" i="3"/>
  <c r="T176" i="3" s="1"/>
  <c r="S177" i="3"/>
  <c r="S178" i="3"/>
  <c r="T178" i="3" s="1"/>
  <c r="S179" i="3"/>
  <c r="T179" i="3" s="1"/>
  <c r="S180" i="3"/>
  <c r="T180" i="3" s="1"/>
  <c r="S181" i="3"/>
  <c r="T181" i="3" s="1"/>
  <c r="S190" i="3"/>
  <c r="T190" i="3" s="1"/>
  <c r="S192" i="3"/>
  <c r="T192" i="3" s="1"/>
  <c r="S193" i="3"/>
  <c r="T193" i="3" s="1"/>
  <c r="S195" i="3"/>
  <c r="S197" i="3"/>
  <c r="S198" i="3"/>
  <c r="T198" i="3" s="1"/>
  <c r="S209" i="3"/>
  <c r="T209" i="3" s="1"/>
  <c r="S211" i="3"/>
  <c r="T211" i="3" s="1"/>
  <c r="S212" i="3"/>
  <c r="S216" i="3"/>
  <c r="T216" i="3" s="1"/>
  <c r="S217" i="3"/>
  <c r="T217" i="3" s="1"/>
  <c r="S218" i="3"/>
  <c r="T218" i="3" s="1"/>
  <c r="S219" i="3"/>
  <c r="S220" i="3"/>
  <c r="T220" i="3" s="1"/>
  <c r="S227" i="3"/>
  <c r="T227" i="3" s="1"/>
  <c r="S229" i="3"/>
  <c r="S230" i="3"/>
  <c r="T230" i="3" s="1"/>
  <c r="S231" i="3"/>
  <c r="T231" i="3" s="1"/>
  <c r="S232" i="3"/>
  <c r="T232" i="3" s="1"/>
  <c r="S233" i="3"/>
  <c r="T233" i="3" s="1"/>
  <c r="S234" i="3"/>
  <c r="T234" i="3" s="1"/>
  <c r="S235" i="3"/>
  <c r="T235" i="3" s="1"/>
  <c r="S238" i="3"/>
  <c r="T238" i="3" s="1"/>
  <c r="S241" i="3"/>
  <c r="T241" i="3" s="1"/>
  <c r="S242" i="3"/>
  <c r="T242" i="3" s="1"/>
  <c r="S248" i="3"/>
  <c r="T248" i="3" s="1"/>
  <c r="S250" i="3"/>
  <c r="T250" i="3" s="1"/>
  <c r="S253" i="3"/>
  <c r="T253" i="3" s="1"/>
  <c r="S254" i="3"/>
  <c r="T254" i="3" s="1"/>
  <c r="S256" i="3"/>
  <c r="T256" i="3" s="1"/>
  <c r="S257" i="3"/>
  <c r="T257" i="3" s="1"/>
  <c r="S258" i="3"/>
  <c r="T258" i="3" s="1"/>
  <c r="S259" i="3"/>
  <c r="T259" i="3" s="1"/>
  <c r="S260" i="3"/>
  <c r="T260" i="3" s="1"/>
  <c r="S261" i="3"/>
  <c r="T261" i="3" s="1"/>
  <c r="S262" i="3"/>
  <c r="T262" i="3" s="1"/>
  <c r="S263" i="3"/>
  <c r="S264" i="3"/>
  <c r="T264" i="3" s="1"/>
  <c r="S266" i="3"/>
  <c r="T266" i="3" s="1"/>
  <c r="S267" i="3"/>
  <c r="T267" i="3" s="1"/>
  <c r="S269" i="3"/>
  <c r="T269" i="3" s="1"/>
  <c r="S277" i="3"/>
  <c r="T277" i="3" s="1"/>
  <c r="S278" i="3"/>
  <c r="T278" i="3" s="1"/>
  <c r="S302" i="3"/>
  <c r="T302" i="3" s="1"/>
  <c r="S303" i="3"/>
  <c r="T303" i="3" s="1"/>
  <c r="S306" i="3"/>
  <c r="T306" i="3" s="1"/>
  <c r="S314" i="3"/>
  <c r="T314" i="3" s="1"/>
  <c r="S315" i="3"/>
  <c r="T315" i="3" s="1"/>
  <c r="S316" i="3"/>
  <c r="S317" i="3"/>
  <c r="T317" i="3" s="1"/>
  <c r="S321" i="3"/>
  <c r="T321" i="3" s="1"/>
  <c r="S322" i="3"/>
  <c r="T322" i="3" s="1"/>
  <c r="S324" i="3"/>
  <c r="S325" i="3"/>
  <c r="T325" i="3" s="1"/>
  <c r="S326" i="3"/>
  <c r="T326" i="3" s="1"/>
  <c r="S327" i="3"/>
  <c r="T327" i="3" s="1"/>
  <c r="S328" i="3"/>
  <c r="S329" i="3"/>
  <c r="T329" i="3" s="1"/>
  <c r="S332" i="3"/>
  <c r="S336" i="3"/>
  <c r="S338" i="3"/>
  <c r="T338" i="3" s="1"/>
  <c r="S339" i="3"/>
  <c r="T339" i="3" s="1"/>
  <c r="S340" i="3"/>
  <c r="T340" i="3" s="1"/>
  <c r="S341" i="3"/>
  <c r="S345" i="3"/>
  <c r="S346" i="3"/>
  <c r="T346" i="3" s="1"/>
  <c r="S347" i="3"/>
  <c r="T347" i="3" s="1"/>
  <c r="S348" i="3"/>
  <c r="T348" i="3" s="1"/>
  <c r="S350" i="3"/>
  <c r="T350" i="3" s="1"/>
  <c r="S351" i="3"/>
  <c r="T351" i="3" s="1"/>
  <c r="S352" i="3"/>
  <c r="T352" i="3" s="1"/>
  <c r="S353" i="3"/>
  <c r="T353" i="3" s="1"/>
  <c r="S354" i="3"/>
  <c r="T354" i="3" s="1"/>
  <c r="S355" i="3"/>
  <c r="T355" i="3" s="1"/>
  <c r="S363" i="3"/>
  <c r="T363" i="3" s="1"/>
  <c r="S370" i="3"/>
  <c r="T370" i="3" s="1"/>
  <c r="S371" i="3"/>
  <c r="S372" i="3"/>
  <c r="T372" i="3" s="1"/>
  <c r="S375" i="3"/>
  <c r="T375" i="3" s="1"/>
  <c r="S376" i="3"/>
  <c r="T376" i="3" s="1"/>
  <c r="S377" i="3"/>
  <c r="S378" i="3"/>
  <c r="T378" i="3" s="1"/>
  <c r="S379" i="3"/>
  <c r="T379" i="3" s="1"/>
  <c r="S381" i="3"/>
  <c r="T381" i="3" s="1"/>
  <c r="S384" i="3"/>
  <c r="S386" i="3"/>
  <c r="T386" i="3" s="1"/>
  <c r="S388" i="3"/>
  <c r="T388" i="3" s="1"/>
  <c r="S392" i="3"/>
  <c r="T392" i="3" s="1"/>
  <c r="S393" i="3"/>
  <c r="S394" i="3"/>
  <c r="T394" i="3" s="1"/>
  <c r="S395" i="3"/>
  <c r="T395" i="3" s="1"/>
  <c r="S398" i="3"/>
  <c r="T398" i="3" s="1"/>
  <c r="S399" i="3"/>
  <c r="S400" i="3"/>
  <c r="T400" i="3" s="1"/>
  <c r="S407" i="3"/>
  <c r="T407" i="3" s="1"/>
  <c r="S409" i="3"/>
  <c r="S410" i="3"/>
  <c r="T410" i="3" s="1"/>
  <c r="S414" i="3"/>
  <c r="T414" i="3" s="1"/>
  <c r="S415" i="3"/>
  <c r="S416" i="3"/>
  <c r="T416" i="3" s="1"/>
  <c r="S419" i="3"/>
  <c r="S433" i="3"/>
  <c r="T433" i="3" s="1"/>
  <c r="S434" i="3"/>
  <c r="T434" i="3" s="1"/>
  <c r="S435" i="3"/>
  <c r="T435" i="3" s="1"/>
  <c r="S438" i="3"/>
  <c r="T438" i="3" s="1"/>
  <c r="S439" i="3"/>
  <c r="T439" i="3" s="1"/>
  <c r="S440" i="3"/>
  <c r="T440" i="3" s="1"/>
  <c r="S441" i="3"/>
  <c r="S442" i="3"/>
  <c r="T442" i="3" s="1"/>
  <c r="S443" i="3"/>
  <c r="T443" i="3" s="1"/>
  <c r="S444" i="3"/>
  <c r="T444" i="3" s="1"/>
  <c r="S445" i="3"/>
  <c r="T445" i="3" s="1"/>
  <c r="S446" i="3"/>
  <c r="T446" i="3" s="1"/>
  <c r="S447" i="3"/>
  <c r="T447" i="3" s="1"/>
  <c r="S448" i="3"/>
  <c r="T448" i="3" s="1"/>
  <c r="S449" i="3"/>
  <c r="T449" i="3" s="1"/>
  <c r="S450" i="3"/>
  <c r="T450" i="3" s="1"/>
  <c r="S451" i="3"/>
  <c r="T451" i="3" s="1"/>
  <c r="S452" i="3"/>
  <c r="S454" i="3"/>
  <c r="T454" i="3" s="1"/>
  <c r="S455" i="3"/>
  <c r="S457" i="3"/>
  <c r="T457" i="3" s="1"/>
  <c r="S458" i="3"/>
  <c r="T458" i="3" s="1"/>
  <c r="S469" i="3"/>
  <c r="T469" i="3" s="1"/>
  <c r="S470" i="3"/>
  <c r="T470" i="3" s="1"/>
  <c r="S471" i="3"/>
  <c r="T471" i="3" s="1"/>
  <c r="S472" i="3"/>
  <c r="T472" i="3" s="1"/>
  <c r="S473" i="3"/>
  <c r="T473" i="3" s="1"/>
  <c r="S474" i="3"/>
  <c r="T474" i="3" s="1"/>
  <c r="S477" i="3"/>
  <c r="T477" i="3" s="1"/>
  <c r="S478" i="3"/>
  <c r="T478" i="3" s="1"/>
  <c r="S479" i="3"/>
  <c r="T479" i="3" s="1"/>
  <c r="S480" i="3"/>
  <c r="T480" i="3" s="1"/>
  <c r="S481" i="3"/>
  <c r="T481" i="3" s="1"/>
  <c r="S488" i="3"/>
  <c r="T488" i="3" s="1"/>
  <c r="S493" i="3"/>
  <c r="S494" i="3"/>
  <c r="T494" i="3" s="1"/>
  <c r="S495" i="3"/>
  <c r="T495" i="3" s="1"/>
  <c r="S496" i="3"/>
  <c r="T496" i="3" s="1"/>
  <c r="S502" i="3"/>
  <c r="T502" i="3" s="1"/>
  <c r="S508" i="3"/>
  <c r="S509" i="3"/>
  <c r="T509" i="3" s="1"/>
  <c r="S511" i="3"/>
  <c r="S512" i="3"/>
  <c r="S514" i="3"/>
  <c r="T514" i="3" s="1"/>
  <c r="S515" i="3"/>
  <c r="T515" i="3" s="1"/>
  <c r="S516" i="3"/>
  <c r="S517" i="3"/>
  <c r="S519" i="3"/>
  <c r="T519" i="3" s="1"/>
  <c r="S520" i="3"/>
  <c r="T520" i="3" s="1"/>
  <c r="U520" i="3" s="1"/>
  <c r="S521" i="3"/>
  <c r="T521" i="3" s="1"/>
  <c r="S522" i="3"/>
  <c r="T522" i="3" s="1"/>
  <c r="U522" i="3" s="1"/>
  <c r="S523" i="3"/>
  <c r="S524" i="3"/>
  <c r="T524" i="3" s="1"/>
  <c r="S525" i="3"/>
  <c r="S526" i="3"/>
  <c r="T526" i="3" s="1"/>
  <c r="S527" i="3"/>
  <c r="S528" i="3"/>
  <c r="T528" i="3" s="1"/>
  <c r="U528" i="3" s="1"/>
  <c r="S529" i="3"/>
  <c r="T529" i="3" s="1"/>
  <c r="U529" i="3" s="1"/>
  <c r="S530" i="3"/>
  <c r="T530" i="3" s="1"/>
  <c r="S531" i="3"/>
  <c r="S532" i="3"/>
  <c r="T532" i="3" s="1"/>
  <c r="S533" i="3"/>
  <c r="T533" i="3" s="1"/>
  <c r="S541" i="3"/>
  <c r="T541" i="3" s="1"/>
  <c r="U541" i="3" s="1"/>
  <c r="S550" i="3"/>
  <c r="T550" i="3" s="1"/>
  <c r="S551" i="3"/>
  <c r="T551" i="3" s="1"/>
  <c r="S552" i="3"/>
  <c r="S553" i="3"/>
  <c r="S554" i="3"/>
  <c r="T554" i="3" s="1"/>
  <c r="S555" i="3"/>
  <c r="T555" i="3" s="1"/>
  <c r="S556" i="3"/>
  <c r="T556" i="3" s="1"/>
  <c r="S557" i="3"/>
  <c r="S559" i="3"/>
  <c r="S562" i="3"/>
  <c r="T562" i="3" s="1"/>
  <c r="S563" i="3"/>
  <c r="T563" i="3" s="1"/>
  <c r="S567" i="3"/>
  <c r="S579" i="3"/>
  <c r="S580" i="3"/>
  <c r="T580" i="3" s="1"/>
  <c r="S586" i="3"/>
  <c r="T586" i="3" s="1"/>
  <c r="S588" i="3"/>
  <c r="S606" i="3"/>
  <c r="T606" i="3" s="1"/>
  <c r="U606" i="3" s="1"/>
  <c r="S608" i="3"/>
  <c r="T608" i="3" s="1"/>
  <c r="S609" i="3"/>
  <c r="T609" i="3" s="1"/>
  <c r="S616" i="3"/>
  <c r="S617" i="3"/>
  <c r="S625" i="3"/>
  <c r="T625" i="3" s="1"/>
  <c r="S626" i="3"/>
  <c r="T626" i="3" s="1"/>
  <c r="S627" i="3"/>
  <c r="T627" i="3" s="1"/>
  <c r="S630" i="3"/>
  <c r="T630" i="3" s="1"/>
  <c r="U630" i="3" s="1"/>
  <c r="S634" i="3"/>
  <c r="T634" i="3" s="1"/>
  <c r="S637" i="3"/>
  <c r="T637" i="3" s="1"/>
  <c r="S640" i="3"/>
  <c r="S641" i="3"/>
  <c r="S642" i="3"/>
  <c r="T642" i="3" s="1"/>
  <c r="U642" i="3" s="1"/>
  <c r="S643" i="3"/>
  <c r="T643" i="3" s="1"/>
  <c r="U643" i="3" s="1"/>
  <c r="S644" i="3"/>
  <c r="S645" i="3"/>
  <c r="S646" i="3"/>
  <c r="T646" i="3" s="1"/>
  <c r="S647" i="3"/>
  <c r="T647" i="3" s="1"/>
  <c r="S648" i="3"/>
  <c r="T648" i="3" s="1"/>
  <c r="S649" i="3"/>
  <c r="S653" i="3"/>
  <c r="T653" i="3" s="1"/>
  <c r="S660" i="3"/>
  <c r="T660" i="3" s="1"/>
  <c r="S661" i="3"/>
  <c r="S662" i="3"/>
  <c r="T662" i="3" s="1"/>
  <c r="S663" i="3"/>
  <c r="T663" i="3" s="1"/>
  <c r="S664" i="3"/>
  <c r="T664" i="3" s="1"/>
  <c r="U664" i="3" s="1"/>
  <c r="S665" i="3"/>
  <c r="T665" i="3" s="1"/>
  <c r="S666" i="3"/>
  <c r="T666" i="3" s="1"/>
  <c r="U666" i="3" s="1"/>
  <c r="S669" i="3"/>
  <c r="T669" i="3" s="1"/>
  <c r="S670" i="3"/>
  <c r="T670" i="3" s="1"/>
  <c r="S671" i="3"/>
  <c r="T671" i="3" s="1"/>
  <c r="S672" i="3"/>
  <c r="S673" i="3"/>
  <c r="T673" i="3" s="1"/>
  <c r="S674" i="3"/>
  <c r="T674" i="3" s="1"/>
  <c r="S675" i="3"/>
  <c r="T675" i="3" s="1"/>
  <c r="S679" i="3"/>
  <c r="S680" i="3"/>
  <c r="T680" i="3" s="1"/>
  <c r="S685" i="3"/>
  <c r="S686" i="3"/>
  <c r="T686" i="3" s="1"/>
  <c r="U686" i="3" s="1"/>
  <c r="S687" i="3"/>
  <c r="S693" i="3"/>
  <c r="T693" i="3" s="1"/>
  <c r="S695" i="3"/>
  <c r="T695" i="3" s="1"/>
  <c r="S696" i="3"/>
  <c r="T696" i="3" s="1"/>
  <c r="S700" i="3"/>
  <c r="S701" i="3"/>
  <c r="T701" i="3" s="1"/>
  <c r="S702" i="3"/>
  <c r="T702" i="3" s="1"/>
  <c r="U702" i="3" s="1"/>
  <c r="S708" i="3"/>
  <c r="S710" i="3"/>
  <c r="T710" i="3" s="1"/>
  <c r="S714" i="3"/>
  <c r="T714" i="3" s="1"/>
  <c r="S716" i="3"/>
  <c r="T716" i="3" s="1"/>
  <c r="S721" i="3"/>
  <c r="S723" i="3"/>
  <c r="S724" i="3"/>
  <c r="T724" i="3" s="1"/>
  <c r="S731" i="3"/>
  <c r="T731" i="3" s="1"/>
  <c r="S734" i="3"/>
  <c r="T734" i="3" s="1"/>
  <c r="S735" i="3"/>
  <c r="S736" i="3"/>
  <c r="T736" i="3" s="1"/>
  <c r="S737" i="3"/>
  <c r="T737" i="3" s="1"/>
  <c r="S738" i="3"/>
  <c r="T738" i="3" s="1"/>
  <c r="S739" i="3"/>
  <c r="S740" i="3"/>
  <c r="T740" i="3" s="1"/>
  <c r="U740" i="3" s="1"/>
  <c r="S741" i="3"/>
  <c r="T741" i="3" s="1"/>
  <c r="S742" i="3"/>
  <c r="T742" i="3" s="1"/>
  <c r="S743" i="3"/>
  <c r="T743" i="3" s="1"/>
  <c r="S744" i="3"/>
  <c r="T744" i="3" s="1"/>
  <c r="U744" i="3" s="1"/>
  <c r="S745" i="3"/>
  <c r="T745" i="3" s="1"/>
  <c r="U745" i="3" s="1"/>
  <c r="S746" i="3"/>
  <c r="T746" i="3" s="1"/>
  <c r="S749" i="3"/>
  <c r="S750" i="3"/>
  <c r="T750" i="3" s="1"/>
  <c r="S760" i="3"/>
  <c r="S761" i="3"/>
  <c r="S762" i="3"/>
  <c r="S763" i="3"/>
  <c r="T763" i="3" s="1"/>
  <c r="U763" i="3" s="1"/>
  <c r="S764" i="3"/>
  <c r="S765" i="3"/>
  <c r="S766" i="3"/>
  <c r="S767" i="3"/>
  <c r="T767" i="3" s="1"/>
  <c r="S771" i="3"/>
  <c r="T771" i="3" s="1"/>
  <c r="S773" i="3"/>
  <c r="S775" i="3"/>
  <c r="T775" i="3" s="1"/>
  <c r="S776" i="3"/>
  <c r="T776" i="3" s="1"/>
  <c r="S777" i="3"/>
  <c r="T777" i="3" s="1"/>
  <c r="S779" i="3"/>
  <c r="T779" i="3" s="1"/>
  <c r="S796" i="3"/>
  <c r="S797" i="3"/>
  <c r="T797" i="3" s="1"/>
  <c r="S811" i="3"/>
  <c r="T811" i="3" s="1"/>
  <c r="U811" i="3" s="1"/>
  <c r="S812" i="3"/>
  <c r="S815" i="3"/>
  <c r="T815" i="3" s="1"/>
  <c r="S817" i="3"/>
  <c r="T817" i="3" s="1"/>
  <c r="S819" i="3"/>
  <c r="T819" i="3" s="1"/>
  <c r="S820" i="3"/>
  <c r="S827" i="3"/>
  <c r="T827" i="3" s="1"/>
  <c r="S828" i="3"/>
  <c r="T828" i="3" s="1"/>
  <c r="S829" i="3"/>
  <c r="T829" i="3" s="1"/>
  <c r="S830" i="3"/>
  <c r="T830" i="3" s="1"/>
  <c r="U830" i="3" s="1"/>
  <c r="S831" i="3"/>
  <c r="T831" i="3" s="1"/>
  <c r="S832" i="3"/>
  <c r="T832" i="3" s="1"/>
  <c r="S833" i="3"/>
  <c r="T833" i="3" s="1"/>
  <c r="S834" i="3"/>
  <c r="T834" i="3" s="1"/>
  <c r="S835" i="3"/>
  <c r="T835" i="3" s="1"/>
  <c r="S836" i="3"/>
  <c r="T836" i="3" s="1"/>
  <c r="U836" i="3" s="1"/>
  <c r="S837" i="3"/>
  <c r="T837" i="3" s="1"/>
  <c r="U837" i="3" s="1"/>
  <c r="S839" i="3"/>
  <c r="T839" i="3" s="1"/>
  <c r="S840" i="3"/>
  <c r="S842" i="3"/>
  <c r="T842" i="3" s="1"/>
  <c r="U842" i="3" s="1"/>
  <c r="S843" i="3"/>
  <c r="T843" i="3" s="1"/>
  <c r="U843" i="3" s="1"/>
  <c r="S844" i="3"/>
  <c r="S845" i="3"/>
  <c r="S846" i="3"/>
  <c r="T846" i="3" s="1"/>
  <c r="S847" i="3"/>
  <c r="T847" i="3" s="1"/>
  <c r="S852" i="3"/>
  <c r="S853" i="3"/>
  <c r="S854" i="3"/>
  <c r="T854" i="3" s="1"/>
  <c r="S855" i="3"/>
  <c r="T855" i="3" s="1"/>
  <c r="S856" i="3"/>
  <c r="S869" i="3"/>
  <c r="BH702" i="19" l="1"/>
  <c r="BH21" i="19"/>
  <c r="BH25" i="19"/>
  <c r="BH682" i="19"/>
  <c r="BH739" i="19"/>
  <c r="BH552" i="19"/>
  <c r="BH546" i="19"/>
  <c r="BH540" i="19"/>
  <c r="BH535" i="19"/>
  <c r="BH897" i="19"/>
  <c r="BH578" i="19"/>
  <c r="BH417" i="19"/>
  <c r="BH421" i="19"/>
  <c r="BH645" i="19"/>
  <c r="BH728" i="19"/>
  <c r="BH515" i="19"/>
  <c r="BH721" i="19"/>
  <c r="BH935" i="19"/>
  <c r="BH929" i="19"/>
  <c r="BH928" i="19"/>
  <c r="BH801" i="19"/>
  <c r="BH124" i="19"/>
  <c r="BH495" i="19"/>
  <c r="BH369" i="19"/>
  <c r="BH126" i="19"/>
  <c r="BH822" i="19"/>
  <c r="BH865" i="19"/>
  <c r="BH730" i="19"/>
  <c r="BH30" i="19"/>
  <c r="BH111" i="19"/>
  <c r="BH46" i="19"/>
  <c r="BH738" i="19"/>
  <c r="BH551" i="19"/>
  <c r="BH545" i="19"/>
  <c r="BH539" i="19"/>
  <c r="BH534" i="19"/>
  <c r="BH648" i="19"/>
  <c r="BH577" i="19"/>
  <c r="BH647" i="19"/>
  <c r="BH666" i="19"/>
  <c r="BH644" i="19"/>
  <c r="BH727" i="19"/>
  <c r="BH463" i="19"/>
  <c r="BH720" i="19"/>
  <c r="BH934" i="19"/>
  <c r="BH715" i="19"/>
  <c r="BH927" i="19"/>
  <c r="BH785" i="19"/>
  <c r="BH414" i="19"/>
  <c r="BH370" i="19"/>
  <c r="BH13" i="19"/>
  <c r="BH867" i="19"/>
  <c r="BH821" i="19"/>
  <c r="BH864" i="19"/>
  <c r="BH492" i="19"/>
  <c r="BH119" i="19"/>
  <c r="BH732" i="19"/>
  <c r="BH34" i="19"/>
  <c r="BH29" i="19"/>
  <c r="BH160" i="19"/>
  <c r="BH556" i="19"/>
  <c r="BH550" i="19"/>
  <c r="BH544" i="19"/>
  <c r="BH538" i="19"/>
  <c r="BH122" i="19"/>
  <c r="BH17" i="19"/>
  <c r="BH580" i="19"/>
  <c r="BH646" i="19"/>
  <c r="BH665" i="19"/>
  <c r="BH155" i="19"/>
  <c r="BH726" i="19"/>
  <c r="BH156" i="19"/>
  <c r="BH719" i="19"/>
  <c r="BH933" i="19"/>
  <c r="BH714" i="19"/>
  <c r="BH926" i="19"/>
  <c r="BH497" i="19"/>
  <c r="BH448" i="19"/>
  <c r="BH689" i="19"/>
  <c r="BH486" i="19"/>
  <c r="BH890" i="19"/>
  <c r="BH820" i="19"/>
  <c r="BH283" i="19"/>
  <c r="BH493" i="19"/>
  <c r="BH24" i="19"/>
  <c r="BH881" i="19"/>
  <c r="BH28" i="19"/>
  <c r="BH48" i="19"/>
  <c r="BH555" i="19"/>
  <c r="BH549" i="19"/>
  <c r="BH543" i="19"/>
  <c r="BH537" i="19"/>
  <c r="BH10" i="19"/>
  <c r="BH16" i="19"/>
  <c r="BH891" i="19"/>
  <c r="BH681" i="19"/>
  <c r="BH32" i="19"/>
  <c r="BH608" i="19"/>
  <c r="BH725" i="19"/>
  <c r="BH724" i="19"/>
  <c r="BH718" i="19"/>
  <c r="BH932" i="19"/>
  <c r="BH713" i="19"/>
  <c r="BH710" i="19"/>
  <c r="BH411" i="19"/>
  <c r="BH447" i="19"/>
  <c r="BH606" i="19"/>
  <c r="BH287" i="19"/>
  <c r="BH632" i="19"/>
  <c r="BH819" i="19"/>
  <c r="BH468" i="19"/>
  <c r="BH121" i="19"/>
  <c r="BH91" i="19"/>
  <c r="BH680" i="19"/>
  <c r="BH23" i="19"/>
  <c r="BH20" i="19"/>
  <c r="BH27" i="19"/>
  <c r="BH558" i="19"/>
  <c r="BH554" i="19"/>
  <c r="BH548" i="19"/>
  <c r="BH542" i="19"/>
  <c r="BH45" i="19"/>
  <c r="BH113" i="19"/>
  <c r="BH15" i="19"/>
  <c r="BH159" i="19"/>
  <c r="BH14" i="19"/>
  <c r="BH18" i="19"/>
  <c r="BH371" i="19"/>
  <c r="BH433" i="19"/>
  <c r="BH723" i="19"/>
  <c r="BH717" i="19"/>
  <c r="BH931" i="19"/>
  <c r="BH712" i="19"/>
  <c r="BH709" i="19"/>
  <c r="BH410" i="19"/>
  <c r="BH416" i="19"/>
  <c r="BH605" i="19"/>
  <c r="BH286" i="19"/>
  <c r="BH631" i="19"/>
  <c r="BH818" i="19"/>
  <c r="BH467" i="19"/>
  <c r="BH127" i="19"/>
  <c r="BH22" i="19"/>
  <c r="BH19" i="19"/>
  <c r="BH42" i="19"/>
  <c r="BH557" i="19"/>
  <c r="BH553" i="19"/>
  <c r="BH547" i="19"/>
  <c r="BH541" i="19"/>
  <c r="BH536" i="19"/>
  <c r="BH425" i="19"/>
  <c r="BH579" i="19"/>
  <c r="BH671" i="19"/>
  <c r="BH74" i="19"/>
  <c r="BH664" i="19"/>
  <c r="BH729" i="19"/>
  <c r="BH514" i="19"/>
  <c r="BH722" i="19"/>
  <c r="BH716" i="19"/>
  <c r="BH930" i="19"/>
  <c r="BH711" i="19"/>
  <c r="BH802" i="19"/>
  <c r="BH496" i="19"/>
  <c r="BH643" i="19"/>
  <c r="BH604" i="19"/>
  <c r="BH376" i="19"/>
  <c r="BH859" i="19"/>
  <c r="BH563" i="19"/>
  <c r="BH466" i="19"/>
  <c r="BH35" i="19"/>
  <c r="BH465" i="19"/>
  <c r="BH73" i="19"/>
  <c r="BH89" i="19"/>
  <c r="BH424" i="19"/>
  <c r="BH874" i="19"/>
  <c r="BH918" i="19"/>
  <c r="BH652" i="19"/>
  <c r="BH778" i="19"/>
  <c r="BH676" i="19"/>
  <c r="BH642" i="19"/>
  <c r="BH435" i="19"/>
  <c r="BH889" i="19"/>
  <c r="BH79" i="19"/>
  <c r="BH237" i="19"/>
  <c r="BH503" i="19"/>
  <c r="BH887" i="19"/>
  <c r="BH945" i="19"/>
  <c r="BH103" i="19"/>
  <c r="BH844" i="19"/>
  <c r="BH217" i="19"/>
  <c r="BH84" i="19"/>
  <c r="BH937" i="19"/>
  <c r="BH902" i="19"/>
  <c r="BH408" i="19"/>
  <c r="BH560" i="19"/>
  <c r="BH391" i="19"/>
  <c r="BH346" i="19"/>
  <c r="BH748" i="19"/>
  <c r="BH444" i="19"/>
  <c r="BH236" i="19"/>
  <c r="BH766" i="19"/>
  <c r="BH158" i="19"/>
  <c r="BH906" i="19"/>
  <c r="BH438" i="19"/>
  <c r="BH288" i="19"/>
  <c r="BH630" i="19"/>
  <c r="BH692" i="19"/>
  <c r="BH808" i="19"/>
  <c r="BH798" i="19"/>
  <c r="BH803" i="19"/>
  <c r="BH907" i="19"/>
  <c r="BH513" i="19"/>
  <c r="BH860" i="19"/>
  <c r="BH207" i="19"/>
  <c r="BH523" i="19"/>
  <c r="BH782" i="19"/>
  <c r="BH582" i="19"/>
  <c r="BH190" i="19"/>
  <c r="BH63" i="19"/>
  <c r="BH62" i="19"/>
  <c r="BH145" i="19"/>
  <c r="BH700" i="19"/>
  <c r="BH512" i="19"/>
  <c r="BH106" i="19"/>
  <c r="BH328" i="19"/>
  <c r="BH197" i="19"/>
  <c r="BH93" i="19"/>
  <c r="BH390" i="19"/>
  <c r="BH851" i="19"/>
  <c r="BH485" i="19"/>
  <c r="BH395" i="19"/>
  <c r="BH33" i="19"/>
  <c r="BH280" i="19"/>
  <c r="BH559" i="19"/>
  <c r="BH285" i="19"/>
  <c r="BH634" i="19"/>
  <c r="BH367" i="19"/>
  <c r="BH734" i="19"/>
  <c r="BH658" i="19"/>
  <c r="BH920" i="19"/>
  <c r="BH796" i="19"/>
  <c r="BH454" i="19"/>
  <c r="BH453" i="19"/>
  <c r="BH780" i="19"/>
  <c r="BH876" i="19"/>
  <c r="BH529" i="19"/>
  <c r="BH404" i="19"/>
  <c r="BH161" i="19"/>
  <c r="BH670" i="19"/>
  <c r="BH623" i="19"/>
  <c r="BH756" i="19"/>
  <c r="BH322" i="19"/>
  <c r="BH919" i="19"/>
  <c r="BH415" i="19"/>
  <c r="BH72" i="19"/>
  <c r="BH663" i="19"/>
  <c r="BH924" i="19"/>
  <c r="BH917" i="19"/>
  <c r="BH651" i="19"/>
  <c r="BH873" i="19"/>
  <c r="BH109" i="19"/>
  <c r="BH12" i="19"/>
  <c r="BH853" i="19"/>
  <c r="BH941" i="19"/>
  <c r="BH576" i="19"/>
  <c r="BH888" i="19"/>
  <c r="BH337" i="19"/>
  <c r="BH899" i="19"/>
  <c r="BH520" i="19"/>
  <c r="BH789" i="19"/>
  <c r="BH325" i="19"/>
  <c r="BH214" i="19"/>
  <c r="BH129" i="19"/>
  <c r="BH401" i="19"/>
  <c r="BH753" i="19"/>
  <c r="BH212" i="19"/>
  <c r="BH922" i="19"/>
  <c r="BH326" i="19"/>
  <c r="BH489" i="19"/>
  <c r="BH768" i="19"/>
  <c r="BH443" i="19"/>
  <c r="BH313" i="19"/>
  <c r="BH735" i="19"/>
  <c r="BH123" i="19"/>
  <c r="BH749" i="19"/>
  <c r="BH368" i="19"/>
  <c r="BH707" i="19"/>
  <c r="BH157" i="19"/>
  <c r="BH691" i="19"/>
  <c r="BH703" i="19"/>
  <c r="BH731" i="19"/>
  <c r="BH870" i="19"/>
  <c r="BH245" i="19"/>
  <c r="BH334" i="19"/>
  <c r="BH619" i="19"/>
  <c r="BH521" i="19"/>
  <c r="BH915" i="19"/>
  <c r="BH781" i="19"/>
  <c r="BH150" i="19"/>
  <c r="BH743" i="19"/>
  <c r="BH263" i="19"/>
  <c r="BH50" i="19"/>
  <c r="BH685" i="19"/>
  <c r="BH194" i="19"/>
  <c r="BH511" i="19"/>
  <c r="BH94" i="19"/>
  <c r="BH327" i="19"/>
  <c r="BH699" i="19"/>
  <c r="BH274" i="19"/>
  <c r="BH616" i="19"/>
  <c r="BH302" i="19"/>
  <c r="BH41" i="19"/>
  <c r="BH362" i="19"/>
  <c r="BH58" i="19"/>
  <c r="BH701" i="19"/>
  <c r="BH847" i="19"/>
  <c r="BH388" i="19"/>
  <c r="BH519" i="19"/>
  <c r="BH387" i="19"/>
  <c r="BH901" i="19"/>
  <c r="BH385" i="19"/>
  <c r="BH318" i="19"/>
  <c r="BH601" i="19"/>
  <c r="BH201" i="19"/>
  <c r="BH452" i="19"/>
  <c r="BH353" i="19"/>
  <c r="BH192" i="19"/>
  <c r="BH365" i="19"/>
  <c r="BH599" i="19"/>
  <c r="BH250" i="19"/>
  <c r="BH5" i="19"/>
  <c r="BH826" i="19"/>
  <c r="BH378" i="19"/>
  <c r="BH562" i="19"/>
  <c r="BH341" i="19"/>
  <c r="BH909" i="19"/>
  <c r="BH203" i="19"/>
  <c r="BH151" i="19"/>
  <c r="BH92" i="19"/>
  <c r="BH374" i="19"/>
  <c r="BH213" i="19"/>
  <c r="BH923" i="19"/>
  <c r="BH655" i="19"/>
  <c r="BH348" i="19"/>
  <c r="BH675" i="19"/>
  <c r="BH431" i="19"/>
  <c r="BH641" i="19"/>
  <c r="BH133" i="19"/>
  <c r="BH487" i="19"/>
  <c r="BH944" i="19"/>
  <c r="BH940" i="19"/>
  <c r="BH811" i="19"/>
  <c r="BH858" i="19"/>
  <c r="BH499" i="19"/>
  <c r="BH162" i="19"/>
  <c r="BH324" i="19"/>
  <c r="BH880" i="19"/>
  <c r="BH252" i="19"/>
  <c r="BH400" i="19"/>
  <c r="BH445" i="19"/>
  <c r="BH517" i="19"/>
  <c r="BH398" i="19"/>
  <c r="BH751" i="19"/>
  <c r="BH588" i="19"/>
  <c r="BH230" i="19"/>
  <c r="BH442" i="19"/>
  <c r="BH399" i="19"/>
  <c r="BH95" i="19"/>
  <c r="BH502" i="19"/>
  <c r="BH231" i="19"/>
  <c r="BH292" i="19"/>
  <c r="BH706" i="19"/>
  <c r="BH235" i="19"/>
  <c r="BH690" i="19"/>
  <c r="BH413" i="19"/>
  <c r="BH807" i="19"/>
  <c r="BH905" i="19"/>
  <c r="BH375" i="19"/>
  <c r="BH760" i="19"/>
  <c r="BH943" i="19"/>
  <c r="BH525" i="19"/>
  <c r="BH340" i="19"/>
  <c r="BH350" i="19"/>
  <c r="BH149" i="19"/>
  <c r="BH742" i="19"/>
  <c r="BH117" i="19"/>
  <c r="BH49" i="19"/>
  <c r="BH815" i="19"/>
  <c r="BH828" i="19"/>
  <c r="BH510" i="19"/>
  <c r="BH740" i="19"/>
  <c r="BH911" i="19"/>
  <c r="BH925" i="19"/>
  <c r="BH661" i="19"/>
  <c r="BH615" i="19"/>
  <c r="BH81" i="19"/>
  <c r="BH687" i="19"/>
  <c r="BH660" i="19"/>
  <c r="BH518" i="19"/>
  <c r="BH253" i="19"/>
  <c r="BH457" i="19"/>
  <c r="BH169" i="19"/>
  <c r="BH69" i="19"/>
  <c r="BH386" i="19"/>
  <c r="BH481" i="19"/>
  <c r="BH343" i="19"/>
  <c r="BH456" i="19"/>
  <c r="BH883" i="19"/>
  <c r="BH461" i="19"/>
  <c r="BH827" i="19"/>
  <c r="BH82" i="19"/>
  <c r="BH188" i="19"/>
  <c r="BH196" i="19"/>
  <c r="BH657" i="19"/>
  <c r="BH587" i="19"/>
  <c r="BH591" i="19"/>
  <c r="BH825" i="19"/>
  <c r="BH356" i="19"/>
  <c r="BH428" i="19"/>
  <c r="BH838" i="19"/>
  <c r="BH267" i="19"/>
  <c r="BH585" i="19"/>
  <c r="BH936" i="19"/>
  <c r="BH571" i="19"/>
  <c r="BH7" i="19"/>
  <c r="BH654" i="19"/>
  <c r="BH522" i="19"/>
  <c r="BH674" i="19"/>
  <c r="BH673" i="19"/>
  <c r="BH11" i="19"/>
  <c r="BH516" i="19"/>
  <c r="BH128" i="19"/>
  <c r="BH241" i="19"/>
  <c r="BH254" i="19"/>
  <c r="BH810" i="19"/>
  <c r="BH857" i="19"/>
  <c r="BH817" i="19"/>
  <c r="BH575" i="19"/>
  <c r="BH323" i="19"/>
  <c r="BH352" i="19"/>
  <c r="BH638" i="19"/>
  <c r="BH282" i="19"/>
  <c r="BH914" i="19"/>
  <c r="BH218" i="19"/>
  <c r="BH574" i="19"/>
  <c r="BH402" i="19"/>
  <c r="BH527" i="19"/>
  <c r="BH229" i="19"/>
  <c r="BH441" i="19"/>
  <c r="BH226" i="19"/>
  <c r="BH335" i="19"/>
  <c r="BH148" i="19"/>
  <c r="BH886" i="19"/>
  <c r="BH291" i="19"/>
  <c r="BH705" i="19"/>
  <c r="BH761" i="19"/>
  <c r="BH784" i="19"/>
  <c r="BH776" i="19"/>
  <c r="BH806" i="19"/>
  <c r="BH383" i="19"/>
  <c r="BH43" i="19"/>
  <c r="BH863" i="19"/>
  <c r="BH208" i="19"/>
  <c r="BH206" i="19"/>
  <c r="BH759" i="19"/>
  <c r="BH349" i="19"/>
  <c r="BH627" i="19"/>
  <c r="BH741" i="19"/>
  <c r="BH37" i="19"/>
  <c r="BH501" i="19"/>
  <c r="BH814" i="19"/>
  <c r="BH471" i="19"/>
  <c r="BH509" i="19"/>
  <c r="BH330" i="19"/>
  <c r="BH143" i="19"/>
  <c r="BH942" i="19"/>
  <c r="BH220" i="19"/>
  <c r="BH321" i="19"/>
  <c r="BH872" i="19"/>
  <c r="BH614" i="19"/>
  <c r="BH659" i="19"/>
  <c r="BH852" i="19"/>
  <c r="BH885" i="19"/>
  <c r="BH420" i="19"/>
  <c r="BH309" i="19"/>
  <c r="BH251" i="19"/>
  <c r="BH583" i="19"/>
  <c r="BH57" i="19"/>
  <c r="BH342" i="19"/>
  <c r="BH455" i="19"/>
  <c r="BH600" i="19"/>
  <c r="BH305" i="19"/>
  <c r="BH823" i="19"/>
  <c r="BH637" i="19"/>
  <c r="BH366" i="19"/>
  <c r="BH592" i="19"/>
  <c r="BH618" i="19"/>
  <c r="BH279" i="19"/>
  <c r="BH590" i="19"/>
  <c r="BH758" i="19"/>
  <c r="BH355" i="19"/>
  <c r="BH775" i="19"/>
  <c r="BH31" i="19"/>
  <c r="BH44" i="19"/>
  <c r="BH275" i="19"/>
  <c r="BH53" i="19"/>
  <c r="BH679" i="19"/>
  <c r="BH846" i="19"/>
  <c r="BH708" i="19"/>
  <c r="BH40" i="19"/>
  <c r="BH38" i="19"/>
  <c r="BH272" i="19"/>
  <c r="BH397" i="19"/>
  <c r="BH640" i="19"/>
  <c r="BH695" i="19"/>
  <c r="BH239" i="19"/>
  <c r="BH240" i="19"/>
  <c r="BH472" i="19"/>
  <c r="BH809" i="19"/>
  <c r="BH219" i="19"/>
  <c r="BH603" i="19"/>
  <c r="BH736" i="19"/>
  <c r="BH498" i="19"/>
  <c r="BH624" i="19"/>
  <c r="BH446" i="19"/>
  <c r="BH904" i="19"/>
  <c r="BH307" i="19"/>
  <c r="BH406" i="19"/>
  <c r="BH856" i="19"/>
  <c r="BH752" i="19"/>
  <c r="BH379" i="19"/>
  <c r="BH228" i="19"/>
  <c r="BH403" i="19"/>
  <c r="BH225" i="19"/>
  <c r="BH762" i="19"/>
  <c r="BH584" i="19"/>
  <c r="BH439" i="19"/>
  <c r="BH290" i="19"/>
  <c r="BH704" i="19"/>
  <c r="BH345" i="19"/>
  <c r="BH357" i="19"/>
  <c r="BH800" i="19"/>
  <c r="BH805" i="19"/>
  <c r="BH747" i="19"/>
  <c r="BH589" i="19"/>
  <c r="BH862" i="19"/>
  <c r="BH351" i="19"/>
  <c r="BH205" i="19"/>
  <c r="BH530" i="19"/>
  <c r="BH347" i="19"/>
  <c r="BH773" i="19"/>
  <c r="BH118" i="19"/>
  <c r="BH102" i="19"/>
  <c r="BH270" i="19"/>
  <c r="BH813" i="19"/>
  <c r="BH482" i="19"/>
  <c r="BH332" i="19"/>
  <c r="BH105" i="19"/>
  <c r="BH142" i="19"/>
  <c r="BH908" i="19"/>
  <c r="BH409" i="19"/>
  <c r="BH320" i="19"/>
  <c r="BH871" i="19"/>
  <c r="BH163" i="19"/>
  <c r="BH686" i="19"/>
  <c r="BH855" i="19"/>
  <c r="BH884" i="19"/>
  <c r="BH281" i="19"/>
  <c r="BH189" i="19"/>
  <c r="BH354" i="19"/>
  <c r="BH284" i="19"/>
  <c r="BH268" i="19"/>
  <c r="BH195" i="19"/>
  <c r="BH912" i="19"/>
  <c r="BH795" i="19"/>
  <c r="BH460" i="19"/>
  <c r="BH304" i="19"/>
  <c r="BH490" i="19"/>
  <c r="BH458" i="19"/>
  <c r="BH451" i="19"/>
  <c r="BH508" i="19"/>
  <c r="BH278" i="19"/>
  <c r="BH204" i="19"/>
  <c r="BH626" i="19"/>
  <c r="BH586" i="19"/>
  <c r="BH449" i="19"/>
  <c r="BH875" i="19"/>
  <c r="BH733" i="19"/>
  <c r="BH793" i="19"/>
  <c r="BH90" i="19"/>
  <c r="BH678" i="19"/>
  <c r="BH526" i="19"/>
  <c r="BH771" i="19"/>
  <c r="BH653" i="19"/>
  <c r="BH779" i="19"/>
  <c r="BH677" i="19"/>
  <c r="BH737" i="19"/>
  <c r="BH639" i="19"/>
  <c r="BH271" i="19"/>
  <c r="BH363" i="19"/>
  <c r="BH238" i="19"/>
  <c r="BH797" i="19"/>
  <c r="BH812" i="19"/>
  <c r="BH130" i="19"/>
  <c r="BH816" i="19"/>
  <c r="BH845" i="19"/>
  <c r="BH524" i="19"/>
  <c r="BH894" i="19"/>
  <c r="BH248" i="19"/>
  <c r="BH903" i="19"/>
  <c r="BH306" i="19"/>
  <c r="BH432" i="19"/>
  <c r="BH392" i="19"/>
  <c r="BH301" i="19"/>
  <c r="BH769" i="19"/>
  <c r="BH227" i="19"/>
  <c r="BH750" i="19"/>
  <c r="BH767" i="19"/>
  <c r="BH132" i="19"/>
  <c r="BH774" i="19"/>
  <c r="BH693" i="19"/>
  <c r="BH289" i="19"/>
  <c r="BH688" i="19"/>
  <c r="BH344" i="19"/>
  <c r="BH153" i="19"/>
  <c r="BH799" i="19"/>
  <c r="BH804" i="19"/>
  <c r="BH854" i="19"/>
  <c r="BH744" i="19"/>
  <c r="BH861" i="19"/>
  <c r="BH491" i="19"/>
  <c r="BH878" i="19"/>
  <c r="BH783" i="19"/>
  <c r="BH916" i="19"/>
  <c r="BH617" i="19"/>
  <c r="BH64" i="19"/>
  <c r="BH86" i="19"/>
  <c r="BH269" i="19"/>
  <c r="BH879" i="19"/>
  <c r="BH333" i="19"/>
  <c r="BH331" i="19"/>
  <c r="BH329" i="19"/>
  <c r="BH299" i="19"/>
  <c r="BH662" i="19"/>
  <c r="BH125" i="19"/>
  <c r="BH319" i="19"/>
  <c r="BH877" i="19"/>
  <c r="BH613" i="19"/>
  <c r="BH59" i="19"/>
  <c r="BH249" i="19"/>
  <c r="BH216" i="19"/>
  <c r="BH389" i="19"/>
  <c r="BH171" i="19"/>
  <c r="BH602" i="19"/>
  <c r="BH777" i="19"/>
  <c r="BH298" i="19"/>
  <c r="BH921" i="19"/>
  <c r="BH462" i="19"/>
  <c r="BH898" i="19"/>
  <c r="BH459" i="19"/>
  <c r="BH140" i="19"/>
  <c r="BH405" i="19"/>
  <c r="BH896" i="19"/>
  <c r="BH450" i="19"/>
  <c r="BH483" i="19"/>
  <c r="BH882" i="19"/>
  <c r="BH434" i="19"/>
  <c r="BH757" i="19"/>
  <c r="BH187" i="19"/>
  <c r="BH277" i="19"/>
  <c r="BH276" i="19"/>
  <c r="BH154" i="19"/>
  <c r="BH794" i="19"/>
  <c r="BH384" i="19"/>
  <c r="BH745" i="19"/>
  <c r="BH572" i="19"/>
  <c r="BH848" i="19"/>
  <c r="BH104" i="19"/>
  <c r="BH669" i="19"/>
  <c r="BH185" i="19"/>
  <c r="BH316" i="19"/>
  <c r="BH259" i="19"/>
  <c r="BH377" i="19"/>
  <c r="BH609" i="19"/>
  <c r="BH116" i="19"/>
  <c r="BH88" i="19"/>
  <c r="BH656" i="19"/>
  <c r="BH841" i="19"/>
  <c r="BH303" i="19"/>
  <c r="BH566" i="19"/>
  <c r="BH834" i="19"/>
  <c r="BH224" i="19"/>
  <c r="BH256" i="19"/>
  <c r="BH533" i="19"/>
  <c r="BH183" i="19"/>
  <c r="BH488" i="19"/>
  <c r="BH625" i="19"/>
  <c r="BH112" i="19"/>
  <c r="BH763" i="19"/>
  <c r="BH191" i="19"/>
  <c r="BH528" i="19"/>
  <c r="BH698" i="19"/>
  <c r="BH108" i="19"/>
  <c r="BH505" i="19"/>
  <c r="BH199" i="19"/>
  <c r="BH620" i="19"/>
  <c r="BH193" i="19"/>
  <c r="BH475" i="19"/>
  <c r="BH474" i="19"/>
  <c r="BH938" i="19"/>
  <c r="BH177" i="19"/>
  <c r="BH100" i="19"/>
  <c r="BH573" i="19"/>
  <c r="BH484" i="19"/>
  <c r="BH264" i="19"/>
  <c r="BH419" i="19"/>
  <c r="BH96" i="19"/>
  <c r="BH418" i="19"/>
  <c r="BH900" i="19"/>
  <c r="BH317" i="19"/>
  <c r="BH71" i="19"/>
  <c r="BH68" i="19"/>
  <c r="BH437" i="19"/>
  <c r="BH598" i="19"/>
  <c r="BH339" i="19"/>
  <c r="BH141" i="19"/>
  <c r="BH612" i="19"/>
  <c r="BH61" i="19"/>
  <c r="BH115" i="19"/>
  <c r="BH300" i="19"/>
  <c r="BH694" i="19"/>
  <c r="BH840" i="19"/>
  <c r="BH570" i="19"/>
  <c r="BH565" i="19"/>
  <c r="BH833" i="19"/>
  <c r="BH480" i="19"/>
  <c r="BH373" i="19"/>
  <c r="BH427" i="19"/>
  <c r="BH464" i="19"/>
  <c r="BH244" i="19"/>
  <c r="BH765" i="19"/>
  <c r="BH167" i="19"/>
  <c r="BH165" i="19"/>
  <c r="BH293" i="19"/>
  <c r="BH246" i="19"/>
  <c r="BH829" i="19"/>
  <c r="BH635" i="19"/>
  <c r="BH504" i="19"/>
  <c r="BH198" i="19"/>
  <c r="BH223" i="19"/>
  <c r="BH314" i="19"/>
  <c r="BH180" i="19"/>
  <c r="BH179" i="19"/>
  <c r="BH754" i="19"/>
  <c r="BH176" i="19"/>
  <c r="BH173" i="19"/>
  <c r="BH595" i="19"/>
  <c r="BH8" i="19"/>
  <c r="BH358" i="19"/>
  <c r="BH650" i="19"/>
  <c r="BH426" i="19"/>
  <c r="BH134" i="19"/>
  <c r="BH837" i="19"/>
  <c r="BH139" i="19"/>
  <c r="BH98" i="19"/>
  <c r="BH67" i="19"/>
  <c r="BH629" i="19"/>
  <c r="BH78" i="19"/>
  <c r="BH396" i="19"/>
  <c r="BH361" i="19"/>
  <c r="BH258" i="19"/>
  <c r="BH257" i="19"/>
  <c r="BH85" i="19"/>
  <c r="BH266" i="19"/>
  <c r="BH297" i="19"/>
  <c r="BH839" i="19"/>
  <c r="BH569" i="19"/>
  <c r="BH869" i="19"/>
  <c r="BH832" i="19"/>
  <c r="BH479" i="19"/>
  <c r="BH372" i="19"/>
  <c r="BH668" i="19"/>
  <c r="BH684" i="19"/>
  <c r="BH243" i="19"/>
  <c r="BH672" i="19"/>
  <c r="BH166" i="19"/>
  <c r="BH80" i="19"/>
  <c r="BH561" i="19"/>
  <c r="BH295" i="19"/>
  <c r="BH247" i="19"/>
  <c r="BH382" i="19"/>
  <c r="BH202" i="19"/>
  <c r="BH477" i="19"/>
  <c r="BH222" i="19"/>
  <c r="BH610" i="19"/>
  <c r="BH114" i="19"/>
  <c r="BH790" i="19"/>
  <c r="BH36" i="19"/>
  <c r="BH364" i="19"/>
  <c r="BH500" i="19"/>
  <c r="BH594" i="19"/>
  <c r="BH131" i="19"/>
  <c r="BH26" i="19"/>
  <c r="BH255" i="19"/>
  <c r="BH136" i="19"/>
  <c r="BH273" i="19"/>
  <c r="BH792" i="19"/>
  <c r="BH120" i="19"/>
  <c r="BH211" i="19"/>
  <c r="BH138" i="19"/>
  <c r="BH66" i="19"/>
  <c r="BH788" i="19"/>
  <c r="BH412" i="19"/>
  <c r="BH262" i="19"/>
  <c r="BH360" i="19"/>
  <c r="BH597" i="19"/>
  <c r="BH137" i="19"/>
  <c r="BH60" i="19"/>
  <c r="BH265" i="19"/>
  <c r="BH296" i="19"/>
  <c r="BH835" i="19"/>
  <c r="BH294" i="19"/>
  <c r="BH868" i="19"/>
  <c r="BH831" i="19"/>
  <c r="BH913" i="19"/>
  <c r="BH97" i="19"/>
  <c r="BH636" i="19"/>
  <c r="BH394" i="19"/>
  <c r="BH532" i="19"/>
  <c r="BH170" i="19"/>
  <c r="BH172" i="19"/>
  <c r="BH336" i="19"/>
  <c r="BH234" i="19"/>
  <c r="BH135" i="19"/>
  <c r="BH772" i="19"/>
  <c r="BH507" i="19"/>
  <c r="BH683" i="19"/>
  <c r="BH99" i="19"/>
  <c r="BH628" i="19"/>
  <c r="BH381" i="19"/>
  <c r="BH607" i="19"/>
  <c r="BH473" i="19"/>
  <c r="BH164" i="19"/>
  <c r="BH175" i="19"/>
  <c r="BH621" i="19"/>
  <c r="BH593" i="19"/>
  <c r="BH359" i="19"/>
  <c r="BH54" i="19"/>
  <c r="BH649" i="19"/>
  <c r="BH146" i="19"/>
  <c r="BH144" i="19"/>
  <c r="BH200" i="19"/>
  <c r="BH77" i="19"/>
  <c r="BH850" i="19"/>
  <c r="BH755" i="19"/>
  <c r="BH65" i="19"/>
  <c r="BH186" i="19"/>
  <c r="BH787" i="19"/>
  <c r="BH261" i="19"/>
  <c r="BH210" i="19"/>
  <c r="BH836" i="19"/>
  <c r="BH893" i="19"/>
  <c r="BH52" i="19"/>
  <c r="BH824" i="19"/>
  <c r="BH843" i="19"/>
  <c r="BH892" i="19"/>
  <c r="BH568" i="19"/>
  <c r="BH564" i="19"/>
  <c r="BH830" i="19"/>
  <c r="BH478" i="19"/>
  <c r="BH76" i="19"/>
  <c r="BH4" i="19"/>
  <c r="BH393" i="19"/>
  <c r="BH531" i="19"/>
  <c r="BH168" i="19"/>
  <c r="BH221" i="19"/>
  <c r="BH315" i="19"/>
  <c r="BH233" i="19"/>
  <c r="BH6" i="19"/>
  <c r="BH338" i="19"/>
  <c r="BH407" i="19"/>
  <c r="BH182" i="19"/>
  <c r="BH696" i="19"/>
  <c r="BH101" i="19"/>
  <c r="BH476" i="19"/>
  <c r="BH430" i="19"/>
  <c r="BH311" i="19"/>
  <c r="BH232" i="19"/>
  <c r="BH596" i="19"/>
  <c r="BH469" i="19"/>
  <c r="BH910" i="19"/>
  <c r="BH47" i="19"/>
  <c r="BH423" i="19"/>
  <c r="BH667" i="19"/>
  <c r="BH429" i="19"/>
  <c r="BH581" i="19"/>
  <c r="BH56" i="19"/>
  <c r="BH746" i="19"/>
  <c r="BH39" i="19"/>
  <c r="BH849" i="19"/>
  <c r="BH770" i="19"/>
  <c r="BH87" i="19"/>
  <c r="BH380" i="19"/>
  <c r="BH786" i="19"/>
  <c r="BH260" i="19"/>
  <c r="BH633" i="19"/>
  <c r="BH895" i="19"/>
  <c r="BH470" i="19"/>
  <c r="BH70" i="19"/>
  <c r="BH697" i="19"/>
  <c r="BH842" i="19"/>
  <c r="BH110" i="19"/>
  <c r="BH567" i="19"/>
  <c r="BH215" i="19"/>
  <c r="BH866" i="19"/>
  <c r="BH622" i="19"/>
  <c r="BH75" i="19"/>
  <c r="BH184" i="19"/>
  <c r="BH107" i="19"/>
  <c r="BH242" i="19"/>
  <c r="BH764" i="19"/>
  <c r="BH83" i="19"/>
  <c r="BH611" i="19"/>
  <c r="BH440" i="19"/>
  <c r="BH147" i="19"/>
  <c r="BH436" i="19"/>
  <c r="BH506" i="19"/>
  <c r="BH181" i="19"/>
  <c r="BH308" i="19"/>
  <c r="BH312" i="19"/>
  <c r="BH791" i="19"/>
  <c r="BH55" i="19"/>
  <c r="BH310" i="19"/>
  <c r="BH178" i="19"/>
  <c r="BH174" i="19"/>
  <c r="BH494" i="19"/>
  <c r="BH209" i="19"/>
  <c r="BH51" i="19"/>
  <c r="BH422" i="19"/>
  <c r="BH152" i="19"/>
  <c r="BH9" i="19"/>
  <c r="BH939" i="19"/>
  <c r="V859" i="3"/>
  <c r="W859" i="3"/>
  <c r="U859" i="3"/>
  <c r="V865" i="3"/>
  <c r="W865" i="3"/>
  <c r="U865" i="3"/>
  <c r="V847" i="3"/>
  <c r="W847" i="3"/>
  <c r="U847" i="3"/>
  <c r="W853" i="3"/>
  <c r="V853" i="3"/>
  <c r="U853" i="3"/>
  <c r="V835" i="3"/>
  <c r="W835" i="3"/>
  <c r="V805" i="3"/>
  <c r="W805" i="3"/>
  <c r="V775" i="3"/>
  <c r="W775" i="3"/>
  <c r="U775" i="3"/>
  <c r="V751" i="3"/>
  <c r="W751" i="3"/>
  <c r="V721" i="3"/>
  <c r="W721" i="3"/>
  <c r="W667" i="3"/>
  <c r="V667" i="3"/>
  <c r="U667" i="3"/>
  <c r="W858" i="3"/>
  <c r="V858" i="3"/>
  <c r="U858" i="3"/>
  <c r="W846" i="3"/>
  <c r="V846" i="3"/>
  <c r="U846" i="3"/>
  <c r="W834" i="3"/>
  <c r="V834" i="3"/>
  <c r="U834" i="3"/>
  <c r="W822" i="3"/>
  <c r="V822" i="3"/>
  <c r="U822" i="3"/>
  <c r="W810" i="3"/>
  <c r="V810" i="3"/>
  <c r="U810" i="3"/>
  <c r="W798" i="3"/>
  <c r="V798" i="3"/>
  <c r="W786" i="3"/>
  <c r="V786" i="3"/>
  <c r="W774" i="3"/>
  <c r="V774" i="3"/>
  <c r="W762" i="3"/>
  <c r="V762" i="3"/>
  <c r="W750" i="3"/>
  <c r="V750" i="3"/>
  <c r="W738" i="3"/>
  <c r="V738" i="3"/>
  <c r="W726" i="3"/>
  <c r="V726" i="3"/>
  <c r="W714" i="3"/>
  <c r="V714" i="3"/>
  <c r="W708" i="3"/>
  <c r="V708" i="3"/>
  <c r="W696" i="3"/>
  <c r="V696" i="3"/>
  <c r="U696" i="3"/>
  <c r="W684" i="3"/>
  <c r="V684" i="3"/>
  <c r="W672" i="3"/>
  <c r="V672" i="3"/>
  <c r="W660" i="3"/>
  <c r="V660" i="3"/>
  <c r="U660" i="3"/>
  <c r="W648" i="3"/>
  <c r="V648" i="3"/>
  <c r="U648" i="3"/>
  <c r="W636" i="3"/>
  <c r="V636" i="3"/>
  <c r="W624" i="3"/>
  <c r="V624" i="3"/>
  <c r="U624" i="3"/>
  <c r="W588" i="3"/>
  <c r="V588" i="3"/>
  <c r="U588" i="3"/>
  <c r="W869" i="3"/>
  <c r="V869" i="3"/>
  <c r="W863" i="3"/>
  <c r="V863" i="3"/>
  <c r="W857" i="3"/>
  <c r="V857" i="3"/>
  <c r="W851" i="3"/>
  <c r="V851" i="3"/>
  <c r="W845" i="3"/>
  <c r="V845" i="3"/>
  <c r="W839" i="3"/>
  <c r="V839" i="3"/>
  <c r="W833" i="3"/>
  <c r="V833" i="3"/>
  <c r="W827" i="3"/>
  <c r="V827" i="3"/>
  <c r="W821" i="3"/>
  <c r="V821" i="3"/>
  <c r="W815" i="3"/>
  <c r="V815" i="3"/>
  <c r="W809" i="3"/>
  <c r="V809" i="3"/>
  <c r="W803" i="3"/>
  <c r="V803" i="3"/>
  <c r="W797" i="3"/>
  <c r="V797" i="3"/>
  <c r="U797" i="3"/>
  <c r="W791" i="3"/>
  <c r="V791" i="3"/>
  <c r="W785" i="3"/>
  <c r="V785" i="3"/>
  <c r="W779" i="3"/>
  <c r="V779" i="3"/>
  <c r="W773" i="3"/>
  <c r="V773" i="3"/>
  <c r="W767" i="3"/>
  <c r="V767" i="3"/>
  <c r="W761" i="3"/>
  <c r="V761" i="3"/>
  <c r="U761" i="3"/>
  <c r="W755" i="3"/>
  <c r="V755" i="3"/>
  <c r="W749" i="3"/>
  <c r="V749" i="3"/>
  <c r="W743" i="3"/>
  <c r="V743" i="3"/>
  <c r="W737" i="3"/>
  <c r="V737" i="3"/>
  <c r="W731" i="3"/>
  <c r="V731" i="3"/>
  <c r="W725" i="3"/>
  <c r="V725" i="3"/>
  <c r="U725" i="3"/>
  <c r="W719" i="3"/>
  <c r="V719" i="3"/>
  <c r="W713" i="3"/>
  <c r="V713" i="3"/>
  <c r="W707" i="3"/>
  <c r="V707" i="3"/>
  <c r="W701" i="3"/>
  <c r="V701" i="3"/>
  <c r="W695" i="3"/>
  <c r="V695" i="3"/>
  <c r="W689" i="3"/>
  <c r="V689" i="3"/>
  <c r="U689" i="3"/>
  <c r="W683" i="3"/>
  <c r="V683" i="3"/>
  <c r="U683" i="3"/>
  <c r="W677" i="3"/>
  <c r="V677" i="3"/>
  <c r="U677" i="3"/>
  <c r="W671" i="3"/>
  <c r="V671" i="3"/>
  <c r="W665" i="3"/>
  <c r="V665" i="3"/>
  <c r="W659" i="3"/>
  <c r="V659" i="3"/>
  <c r="W653" i="3"/>
  <c r="V653" i="3"/>
  <c r="U653" i="3"/>
  <c r="W647" i="3"/>
  <c r="V647" i="3"/>
  <c r="U647" i="3"/>
  <c r="W641" i="3"/>
  <c r="V641" i="3"/>
  <c r="U641" i="3"/>
  <c r="W635" i="3"/>
  <c r="V635" i="3"/>
  <c r="W629" i="3"/>
  <c r="V629" i="3"/>
  <c r="W623" i="3"/>
  <c r="V623" i="3"/>
  <c r="W617" i="3"/>
  <c r="V617" i="3"/>
  <c r="U617" i="3"/>
  <c r="W611" i="3"/>
  <c r="V611" i="3"/>
  <c r="U611" i="3"/>
  <c r="W605" i="3"/>
  <c r="V605" i="3"/>
  <c r="U605" i="3"/>
  <c r="W599" i="3"/>
  <c r="V599" i="3"/>
  <c r="W593" i="3"/>
  <c r="V593" i="3"/>
  <c r="W587" i="3"/>
  <c r="V587" i="3"/>
  <c r="W581" i="3"/>
  <c r="V581" i="3"/>
  <c r="U581" i="3"/>
  <c r="W575" i="3"/>
  <c r="V575" i="3"/>
  <c r="U575" i="3"/>
  <c r="W569" i="3"/>
  <c r="V569" i="3"/>
  <c r="U569" i="3"/>
  <c r="W563" i="3"/>
  <c r="V563" i="3"/>
  <c r="W557" i="3"/>
  <c r="V557" i="3"/>
  <c r="W551" i="3"/>
  <c r="V551" i="3"/>
  <c r="W545" i="3"/>
  <c r="V545" i="3"/>
  <c r="U545" i="3"/>
  <c r="W539" i="3"/>
  <c r="V539" i="3"/>
  <c r="U539" i="3"/>
  <c r="W533" i="3"/>
  <c r="V533" i="3"/>
  <c r="U533" i="3"/>
  <c r="W527" i="3"/>
  <c r="V527" i="3"/>
  <c r="W521" i="3"/>
  <c r="V521" i="3"/>
  <c r="W515" i="3"/>
  <c r="V515" i="3"/>
  <c r="W509" i="3"/>
  <c r="V509" i="3"/>
  <c r="U509" i="3"/>
  <c r="W503" i="3"/>
  <c r="V503" i="3"/>
  <c r="U503" i="3"/>
  <c r="W497" i="3"/>
  <c r="V497" i="3"/>
  <c r="U497" i="3"/>
  <c r="W491" i="3"/>
  <c r="V491" i="3"/>
  <c r="U491" i="3"/>
  <c r="W485" i="3"/>
  <c r="V485" i="3"/>
  <c r="U485" i="3"/>
  <c r="W479" i="3"/>
  <c r="V479" i="3"/>
  <c r="U479" i="3"/>
  <c r="W473" i="3"/>
  <c r="V473" i="3"/>
  <c r="U473" i="3"/>
  <c r="W467" i="3"/>
  <c r="V467" i="3"/>
  <c r="U467" i="3"/>
  <c r="W461" i="3"/>
  <c r="V461" i="3"/>
  <c r="U461" i="3"/>
  <c r="W455" i="3"/>
  <c r="V455" i="3"/>
  <c r="U455" i="3"/>
  <c r="W449" i="3"/>
  <c r="V449" i="3"/>
  <c r="U449" i="3"/>
  <c r="W443" i="3"/>
  <c r="V443" i="3"/>
  <c r="U443" i="3"/>
  <c r="W437" i="3"/>
  <c r="V437" i="3"/>
  <c r="U437" i="3"/>
  <c r="W431" i="3"/>
  <c r="V431" i="3"/>
  <c r="U431" i="3"/>
  <c r="W425" i="3"/>
  <c r="V425" i="3"/>
  <c r="U425" i="3"/>
  <c r="W419" i="3"/>
  <c r="V419" i="3"/>
  <c r="U419" i="3"/>
  <c r="W413" i="3"/>
  <c r="V413" i="3"/>
  <c r="U413" i="3"/>
  <c r="W407" i="3"/>
  <c r="V407" i="3"/>
  <c r="U407" i="3"/>
  <c r="W401" i="3"/>
  <c r="V401" i="3"/>
  <c r="U401" i="3"/>
  <c r="W395" i="3"/>
  <c r="V395" i="3"/>
  <c r="U395" i="3"/>
  <c r="W389" i="3"/>
  <c r="V389" i="3"/>
  <c r="U389" i="3"/>
  <c r="W383" i="3"/>
  <c r="V383" i="3"/>
  <c r="U383" i="3"/>
  <c r="W377" i="3"/>
  <c r="V377" i="3"/>
  <c r="U377" i="3"/>
  <c r="W371" i="3"/>
  <c r="V371" i="3"/>
  <c r="U371" i="3"/>
  <c r="W365" i="3"/>
  <c r="V365" i="3"/>
  <c r="U365" i="3"/>
  <c r="W359" i="3"/>
  <c r="V359" i="3"/>
  <c r="U359" i="3"/>
  <c r="W353" i="3"/>
  <c r="V353" i="3"/>
  <c r="U353" i="3"/>
  <c r="W347" i="3"/>
  <c r="V347" i="3"/>
  <c r="U347" i="3"/>
  <c r="W341" i="3"/>
  <c r="V341" i="3"/>
  <c r="U341" i="3"/>
  <c r="W335" i="3"/>
  <c r="V335" i="3"/>
  <c r="U335" i="3"/>
  <c r="W329" i="3"/>
  <c r="V329" i="3"/>
  <c r="U329" i="3"/>
  <c r="W323" i="3"/>
  <c r="V323" i="3"/>
  <c r="U323" i="3"/>
  <c r="W317" i="3"/>
  <c r="V317" i="3"/>
  <c r="U317" i="3"/>
  <c r="W311" i="3"/>
  <c r="V311" i="3"/>
  <c r="U311" i="3"/>
  <c r="W305" i="3"/>
  <c r="V305" i="3"/>
  <c r="U305" i="3"/>
  <c r="W299" i="3"/>
  <c r="V299" i="3"/>
  <c r="U299" i="3"/>
  <c r="W293" i="3"/>
  <c r="V293" i="3"/>
  <c r="U293" i="3"/>
  <c r="W287" i="3"/>
  <c r="V287" i="3"/>
  <c r="U287" i="3"/>
  <c r="W281" i="3"/>
  <c r="V281" i="3"/>
  <c r="U281" i="3"/>
  <c r="W275" i="3"/>
  <c r="V275" i="3"/>
  <c r="U275" i="3"/>
  <c r="W269" i="3"/>
  <c r="V269" i="3"/>
  <c r="U269" i="3"/>
  <c r="W263" i="3"/>
  <c r="V263" i="3"/>
  <c r="U263" i="3"/>
  <c r="W257" i="3"/>
  <c r="V257" i="3"/>
  <c r="U257" i="3"/>
  <c r="W251" i="3"/>
  <c r="V251" i="3"/>
  <c r="U251" i="3"/>
  <c r="W245" i="3"/>
  <c r="V245" i="3"/>
  <c r="U245" i="3"/>
  <c r="W239" i="3"/>
  <c r="V239" i="3"/>
  <c r="U239" i="3"/>
  <c r="W233" i="3"/>
  <c r="V233" i="3"/>
  <c r="U233" i="3"/>
  <c r="W227" i="3"/>
  <c r="V227" i="3"/>
  <c r="U227" i="3"/>
  <c r="W221" i="3"/>
  <c r="V221" i="3"/>
  <c r="U221" i="3"/>
  <c r="W215" i="3"/>
  <c r="V215" i="3"/>
  <c r="U215" i="3"/>
  <c r="W209" i="3"/>
  <c r="V209" i="3"/>
  <c r="U209" i="3"/>
  <c r="W203" i="3"/>
  <c r="V203" i="3"/>
  <c r="U203" i="3"/>
  <c r="W197" i="3"/>
  <c r="V197" i="3"/>
  <c r="U197" i="3"/>
  <c r="W191" i="3"/>
  <c r="V191" i="3"/>
  <c r="U191" i="3"/>
  <c r="W185" i="3"/>
  <c r="V185" i="3"/>
  <c r="U185" i="3"/>
  <c r="W179" i="3"/>
  <c r="V179" i="3"/>
  <c r="U179" i="3"/>
  <c r="W173" i="3"/>
  <c r="V173" i="3"/>
  <c r="U173" i="3"/>
  <c r="W167" i="3"/>
  <c r="V167" i="3"/>
  <c r="U167" i="3"/>
  <c r="W161" i="3"/>
  <c r="V161" i="3"/>
  <c r="U161" i="3"/>
  <c r="W155" i="3"/>
  <c r="V155" i="3"/>
  <c r="U155" i="3"/>
  <c r="W149" i="3"/>
  <c r="V149" i="3"/>
  <c r="U149" i="3"/>
  <c r="W143" i="3"/>
  <c r="V143" i="3"/>
  <c r="U143" i="3"/>
  <c r="W137" i="3"/>
  <c r="V137" i="3"/>
  <c r="U137" i="3"/>
  <c r="W131" i="3"/>
  <c r="V131" i="3"/>
  <c r="U131" i="3"/>
  <c r="W125" i="3"/>
  <c r="V125" i="3"/>
  <c r="U125" i="3"/>
  <c r="W119" i="3"/>
  <c r="V119" i="3"/>
  <c r="U119" i="3"/>
  <c r="W113" i="3"/>
  <c r="V113" i="3"/>
  <c r="U113" i="3"/>
  <c r="W107" i="3"/>
  <c r="V107" i="3"/>
  <c r="U107" i="3"/>
  <c r="W101" i="3"/>
  <c r="V101" i="3"/>
  <c r="U101" i="3"/>
  <c r="W95" i="3"/>
  <c r="V95" i="3"/>
  <c r="U95" i="3"/>
  <c r="W89" i="3"/>
  <c r="V89" i="3"/>
  <c r="U89" i="3"/>
  <c r="W83" i="3"/>
  <c r="V83" i="3"/>
  <c r="U83" i="3"/>
  <c r="W77" i="3"/>
  <c r="V77" i="3"/>
  <c r="U77" i="3"/>
  <c r="W71" i="3"/>
  <c r="V71" i="3"/>
  <c r="U71" i="3"/>
  <c r="W65" i="3"/>
  <c r="V65" i="3"/>
  <c r="U65" i="3"/>
  <c r="W59" i="3"/>
  <c r="V59" i="3"/>
  <c r="U59" i="3"/>
  <c r="W53" i="3"/>
  <c r="V53" i="3"/>
  <c r="U53" i="3"/>
  <c r="W47" i="3"/>
  <c r="V47" i="3"/>
  <c r="U47" i="3"/>
  <c r="W41" i="3"/>
  <c r="V41" i="3"/>
  <c r="U41" i="3"/>
  <c r="W35" i="3"/>
  <c r="V35" i="3"/>
  <c r="U35" i="3"/>
  <c r="W29" i="3"/>
  <c r="V29" i="3"/>
  <c r="U29" i="3"/>
  <c r="W23" i="3"/>
  <c r="V23" i="3"/>
  <c r="U23" i="3"/>
  <c r="W17" i="3"/>
  <c r="V17" i="3"/>
  <c r="U17" i="3"/>
  <c r="W11" i="3"/>
  <c r="V11" i="3"/>
  <c r="U11" i="3"/>
  <c r="W5" i="3"/>
  <c r="V5" i="3"/>
  <c r="U5" i="3"/>
  <c r="U851" i="3"/>
  <c r="U815" i="3"/>
  <c r="U774" i="3"/>
  <c r="U749" i="3"/>
  <c r="U731" i="3"/>
  <c r="U714" i="3"/>
  <c r="U635" i="3"/>
  <c r="U563" i="3"/>
  <c r="V829" i="3"/>
  <c r="W829" i="3"/>
  <c r="V793" i="3"/>
  <c r="W793" i="3"/>
  <c r="V727" i="3"/>
  <c r="W727" i="3"/>
  <c r="W673" i="3"/>
  <c r="V673" i="3"/>
  <c r="W868" i="3"/>
  <c r="V868" i="3"/>
  <c r="W856" i="3"/>
  <c r="V856" i="3"/>
  <c r="W838" i="3"/>
  <c r="V838" i="3"/>
  <c r="W826" i="3"/>
  <c r="V826" i="3"/>
  <c r="W814" i="3"/>
  <c r="V814" i="3"/>
  <c r="W802" i="3"/>
  <c r="V802" i="3"/>
  <c r="W790" i="3"/>
  <c r="V790" i="3"/>
  <c r="U790" i="3"/>
  <c r="W772" i="3"/>
  <c r="V772" i="3"/>
  <c r="W760" i="3"/>
  <c r="V760" i="3"/>
  <c r="W748" i="3"/>
  <c r="V748" i="3"/>
  <c r="W736" i="3"/>
  <c r="V736" i="3"/>
  <c r="W724" i="3"/>
  <c r="V724" i="3"/>
  <c r="W718" i="3"/>
  <c r="V718" i="3"/>
  <c r="U718" i="3"/>
  <c r="W712" i="3"/>
  <c r="V712" i="3"/>
  <c r="W700" i="3"/>
  <c r="V700" i="3"/>
  <c r="W694" i="3"/>
  <c r="V694" i="3"/>
  <c r="W688" i="3"/>
  <c r="V688" i="3"/>
  <c r="W682" i="3"/>
  <c r="V682" i="3"/>
  <c r="U682" i="3"/>
  <c r="W676" i="3"/>
  <c r="V676" i="3"/>
  <c r="U676" i="3"/>
  <c r="W670" i="3"/>
  <c r="V670" i="3"/>
  <c r="U670" i="3"/>
  <c r="W664" i="3"/>
  <c r="V664" i="3"/>
  <c r="W658" i="3"/>
  <c r="V658" i="3"/>
  <c r="W652" i="3"/>
  <c r="V652" i="3"/>
  <c r="W646" i="3"/>
  <c r="V646" i="3"/>
  <c r="U646" i="3"/>
  <c r="W640" i="3"/>
  <c r="V640" i="3"/>
  <c r="U640" i="3"/>
  <c r="W634" i="3"/>
  <c r="V634" i="3"/>
  <c r="U634" i="3"/>
  <c r="W628" i="3"/>
  <c r="V628" i="3"/>
  <c r="W622" i="3"/>
  <c r="V622" i="3"/>
  <c r="W616" i="3"/>
  <c r="V616" i="3"/>
  <c r="W610" i="3"/>
  <c r="V610" i="3"/>
  <c r="U610" i="3"/>
  <c r="W604" i="3"/>
  <c r="V604" i="3"/>
  <c r="U604" i="3"/>
  <c r="W598" i="3"/>
  <c r="V598" i="3"/>
  <c r="U598" i="3"/>
  <c r="W592" i="3"/>
  <c r="V592" i="3"/>
  <c r="W586" i="3"/>
  <c r="V586" i="3"/>
  <c r="W580" i="3"/>
  <c r="V580" i="3"/>
  <c r="W574" i="3"/>
  <c r="V574" i="3"/>
  <c r="U574" i="3"/>
  <c r="W568" i="3"/>
  <c r="V568" i="3"/>
  <c r="U568" i="3"/>
  <c r="W562" i="3"/>
  <c r="V562" i="3"/>
  <c r="U562" i="3"/>
  <c r="W556" i="3"/>
  <c r="V556" i="3"/>
  <c r="W550" i="3"/>
  <c r="V550" i="3"/>
  <c r="W544" i="3"/>
  <c r="V544" i="3"/>
  <c r="W538" i="3"/>
  <c r="V538" i="3"/>
  <c r="U538" i="3"/>
  <c r="W532" i="3"/>
  <c r="V532" i="3"/>
  <c r="U532" i="3"/>
  <c r="W526" i="3"/>
  <c r="V526" i="3"/>
  <c r="U526" i="3"/>
  <c r="W520" i="3"/>
  <c r="V520" i="3"/>
  <c r="W514" i="3"/>
  <c r="V514" i="3"/>
  <c r="W508" i="3"/>
  <c r="V508" i="3"/>
  <c r="U508" i="3"/>
  <c r="W502" i="3"/>
  <c r="V502" i="3"/>
  <c r="U502" i="3"/>
  <c r="W496" i="3"/>
  <c r="V496" i="3"/>
  <c r="U496" i="3"/>
  <c r="W490" i="3"/>
  <c r="V490" i="3"/>
  <c r="U490" i="3"/>
  <c r="W484" i="3"/>
  <c r="V484" i="3"/>
  <c r="U484" i="3"/>
  <c r="W478" i="3"/>
  <c r="V478" i="3"/>
  <c r="U478" i="3"/>
  <c r="W472" i="3"/>
  <c r="V472" i="3"/>
  <c r="U472" i="3"/>
  <c r="W466" i="3"/>
  <c r="V466" i="3"/>
  <c r="U466" i="3"/>
  <c r="W460" i="3"/>
  <c r="V460" i="3"/>
  <c r="U460" i="3"/>
  <c r="W454" i="3"/>
  <c r="V454" i="3"/>
  <c r="U454" i="3"/>
  <c r="W448" i="3"/>
  <c r="V448" i="3"/>
  <c r="U448" i="3"/>
  <c r="W442" i="3"/>
  <c r="V442" i="3"/>
  <c r="U442" i="3"/>
  <c r="W436" i="3"/>
  <c r="V436" i="3"/>
  <c r="U436" i="3"/>
  <c r="W430" i="3"/>
  <c r="V430" i="3"/>
  <c r="U430" i="3"/>
  <c r="W424" i="3"/>
  <c r="V424" i="3"/>
  <c r="U424" i="3"/>
  <c r="W418" i="3"/>
  <c r="V418" i="3"/>
  <c r="U418" i="3"/>
  <c r="W412" i="3"/>
  <c r="V412" i="3"/>
  <c r="U412" i="3"/>
  <c r="W406" i="3"/>
  <c r="V406" i="3"/>
  <c r="U406" i="3"/>
  <c r="W400" i="3"/>
  <c r="V400" i="3"/>
  <c r="U400" i="3"/>
  <c r="W394" i="3"/>
  <c r="V394" i="3"/>
  <c r="U394" i="3"/>
  <c r="W388" i="3"/>
  <c r="V388" i="3"/>
  <c r="U388" i="3"/>
  <c r="W382" i="3"/>
  <c r="V382" i="3"/>
  <c r="U382" i="3"/>
  <c r="W376" i="3"/>
  <c r="V376" i="3"/>
  <c r="U376" i="3"/>
  <c r="W370" i="3"/>
  <c r="V370" i="3"/>
  <c r="U370" i="3"/>
  <c r="W364" i="3"/>
  <c r="V364" i="3"/>
  <c r="U364" i="3"/>
  <c r="W358" i="3"/>
  <c r="V358" i="3"/>
  <c r="U358" i="3"/>
  <c r="W352" i="3"/>
  <c r="V352" i="3"/>
  <c r="U352" i="3"/>
  <c r="W346" i="3"/>
  <c r="V346" i="3"/>
  <c r="U346" i="3"/>
  <c r="W340" i="3"/>
  <c r="V340" i="3"/>
  <c r="U340" i="3"/>
  <c r="W334" i="3"/>
  <c r="V334" i="3"/>
  <c r="U334" i="3"/>
  <c r="W328" i="3"/>
  <c r="V328" i="3"/>
  <c r="U328" i="3"/>
  <c r="W322" i="3"/>
  <c r="V322" i="3"/>
  <c r="U322" i="3"/>
  <c r="W316" i="3"/>
  <c r="V316" i="3"/>
  <c r="U316" i="3"/>
  <c r="W310" i="3"/>
  <c r="V310" i="3"/>
  <c r="U310" i="3"/>
  <c r="W304" i="3"/>
  <c r="V304" i="3"/>
  <c r="U304" i="3"/>
  <c r="W298" i="3"/>
  <c r="V298" i="3"/>
  <c r="U298" i="3"/>
  <c r="W292" i="3"/>
  <c r="V292" i="3"/>
  <c r="U292" i="3"/>
  <c r="W286" i="3"/>
  <c r="V286" i="3"/>
  <c r="U286" i="3"/>
  <c r="W280" i="3"/>
  <c r="V280" i="3"/>
  <c r="U280" i="3"/>
  <c r="W274" i="3"/>
  <c r="V274" i="3"/>
  <c r="U274" i="3"/>
  <c r="W268" i="3"/>
  <c r="V268" i="3"/>
  <c r="U268" i="3"/>
  <c r="W262" i="3"/>
  <c r="V262" i="3"/>
  <c r="U262" i="3"/>
  <c r="W256" i="3"/>
  <c r="V256" i="3"/>
  <c r="U256" i="3"/>
  <c r="W250" i="3"/>
  <c r="V250" i="3"/>
  <c r="U250" i="3"/>
  <c r="W244" i="3"/>
  <c r="V244" i="3"/>
  <c r="U244" i="3"/>
  <c r="W238" i="3"/>
  <c r="V238" i="3"/>
  <c r="U238" i="3"/>
  <c r="W232" i="3"/>
  <c r="V232" i="3"/>
  <c r="U232" i="3"/>
  <c r="W226" i="3"/>
  <c r="V226" i="3"/>
  <c r="U226" i="3"/>
  <c r="W220" i="3"/>
  <c r="V220" i="3"/>
  <c r="U220" i="3"/>
  <c r="W214" i="3"/>
  <c r="V214" i="3"/>
  <c r="U214" i="3"/>
  <c r="W208" i="3"/>
  <c r="V208" i="3"/>
  <c r="U208" i="3"/>
  <c r="W202" i="3"/>
  <c r="V202" i="3"/>
  <c r="U202" i="3"/>
  <c r="W196" i="3"/>
  <c r="V196" i="3"/>
  <c r="U196" i="3"/>
  <c r="W190" i="3"/>
  <c r="V190" i="3"/>
  <c r="U190" i="3"/>
  <c r="W184" i="3"/>
  <c r="V184" i="3"/>
  <c r="U184" i="3"/>
  <c r="W178" i="3"/>
  <c r="V178" i="3"/>
  <c r="U178" i="3"/>
  <c r="W172" i="3"/>
  <c r="V172" i="3"/>
  <c r="U172" i="3"/>
  <c r="V166" i="3"/>
  <c r="W166" i="3"/>
  <c r="U166" i="3"/>
  <c r="W160" i="3"/>
  <c r="V160" i="3"/>
  <c r="U160" i="3"/>
  <c r="W154" i="3"/>
  <c r="V154" i="3"/>
  <c r="U154" i="3"/>
  <c r="W148" i="3"/>
  <c r="V148" i="3"/>
  <c r="U148" i="3"/>
  <c r="W142" i="3"/>
  <c r="V142" i="3"/>
  <c r="U142" i="3"/>
  <c r="W136" i="3"/>
  <c r="V136" i="3"/>
  <c r="U136" i="3"/>
  <c r="V130" i="3"/>
  <c r="W130" i="3"/>
  <c r="U130" i="3"/>
  <c r="W124" i="3"/>
  <c r="V124" i="3"/>
  <c r="U124" i="3"/>
  <c r="V118" i="3"/>
  <c r="W118" i="3"/>
  <c r="U118" i="3"/>
  <c r="V112" i="3"/>
  <c r="W112" i="3"/>
  <c r="U112" i="3"/>
  <c r="W106" i="3"/>
  <c r="V106" i="3"/>
  <c r="U106" i="3"/>
  <c r="W100" i="3"/>
  <c r="V100" i="3"/>
  <c r="U100" i="3"/>
  <c r="W94" i="3"/>
  <c r="V94" i="3"/>
  <c r="U94" i="3"/>
  <c r="W88" i="3"/>
  <c r="V88" i="3"/>
  <c r="U88" i="3"/>
  <c r="W82" i="3"/>
  <c r="V82" i="3"/>
  <c r="U82" i="3"/>
  <c r="W76" i="3"/>
  <c r="V76" i="3"/>
  <c r="U76" i="3"/>
  <c r="W70" i="3"/>
  <c r="V70" i="3"/>
  <c r="U70" i="3"/>
  <c r="W64" i="3"/>
  <c r="V64" i="3"/>
  <c r="U64" i="3"/>
  <c r="V58" i="3"/>
  <c r="W58" i="3"/>
  <c r="U58" i="3"/>
  <c r="W52" i="3"/>
  <c r="V52" i="3"/>
  <c r="U52" i="3"/>
  <c r="W46" i="3"/>
  <c r="V46" i="3"/>
  <c r="U46" i="3"/>
  <c r="W40" i="3"/>
  <c r="V40" i="3"/>
  <c r="U40" i="3"/>
  <c r="W34" i="3"/>
  <c r="V34" i="3"/>
  <c r="U34" i="3"/>
  <c r="W28" i="3"/>
  <c r="V28" i="3"/>
  <c r="U28" i="3"/>
  <c r="V22" i="3"/>
  <c r="W22" i="3"/>
  <c r="U22" i="3"/>
  <c r="W16" i="3"/>
  <c r="V16" i="3"/>
  <c r="U16" i="3"/>
  <c r="U10" i="3"/>
  <c r="V10" i="3"/>
  <c r="W10" i="3"/>
  <c r="U4" i="3"/>
  <c r="W4" i="3"/>
  <c r="V4" i="3"/>
  <c r="U857" i="3"/>
  <c r="U829" i="3"/>
  <c r="U821" i="3"/>
  <c r="U814" i="3"/>
  <c r="U791" i="3"/>
  <c r="U773" i="3"/>
  <c r="U748" i="3"/>
  <c r="U738" i="3"/>
  <c r="U721" i="3"/>
  <c r="U713" i="3"/>
  <c r="U695" i="3"/>
  <c r="U673" i="3"/>
  <c r="U659" i="3"/>
  <c r="U616" i="3"/>
  <c r="U587" i="3"/>
  <c r="U544" i="3"/>
  <c r="U515" i="3"/>
  <c r="V715" i="3"/>
  <c r="W715" i="3"/>
  <c r="V679" i="3"/>
  <c r="W679" i="3"/>
  <c r="W862" i="3"/>
  <c r="V862" i="3"/>
  <c r="W850" i="3"/>
  <c r="V850" i="3"/>
  <c r="W844" i="3"/>
  <c r="V844" i="3"/>
  <c r="W832" i="3"/>
  <c r="V832" i="3"/>
  <c r="W820" i="3"/>
  <c r="V820" i="3"/>
  <c r="W808" i="3"/>
  <c r="V808" i="3"/>
  <c r="W796" i="3"/>
  <c r="V796" i="3"/>
  <c r="W784" i="3"/>
  <c r="V784" i="3"/>
  <c r="W778" i="3"/>
  <c r="V778" i="3"/>
  <c r="W766" i="3"/>
  <c r="V766" i="3"/>
  <c r="W754" i="3"/>
  <c r="V754" i="3"/>
  <c r="U754" i="3"/>
  <c r="W742" i="3"/>
  <c r="V742" i="3"/>
  <c r="W730" i="3"/>
  <c r="V730" i="3"/>
  <c r="W706" i="3"/>
  <c r="V706" i="3"/>
  <c r="W867" i="3"/>
  <c r="V867" i="3"/>
  <c r="W861" i="3"/>
  <c r="V861" i="3"/>
  <c r="W855" i="3"/>
  <c r="V855" i="3"/>
  <c r="W849" i="3"/>
  <c r="V849" i="3"/>
  <c r="W843" i="3"/>
  <c r="V843" i="3"/>
  <c r="W837" i="3"/>
  <c r="V837" i="3"/>
  <c r="W831" i="3"/>
  <c r="V831" i="3"/>
  <c r="W825" i="3"/>
  <c r="V825" i="3"/>
  <c r="W819" i="3"/>
  <c r="V819" i="3"/>
  <c r="W813" i="3"/>
  <c r="V813" i="3"/>
  <c r="W807" i="3"/>
  <c r="V807" i="3"/>
  <c r="W801" i="3"/>
  <c r="V801" i="3"/>
  <c r="U801" i="3"/>
  <c r="W795" i="3"/>
  <c r="V795" i="3"/>
  <c r="U795" i="3"/>
  <c r="W789" i="3"/>
  <c r="V789" i="3"/>
  <c r="U789" i="3"/>
  <c r="W783" i="3"/>
  <c r="V783" i="3"/>
  <c r="U783" i="3"/>
  <c r="W777" i="3"/>
  <c r="V777" i="3"/>
  <c r="U777" i="3"/>
  <c r="W771" i="3"/>
  <c r="V771" i="3"/>
  <c r="U771" i="3"/>
  <c r="W765" i="3"/>
  <c r="V765" i="3"/>
  <c r="U765" i="3"/>
  <c r="W759" i="3"/>
  <c r="V759" i="3"/>
  <c r="U759" i="3"/>
  <c r="W753" i="3"/>
  <c r="V753" i="3"/>
  <c r="U753" i="3"/>
  <c r="W747" i="3"/>
  <c r="V747" i="3"/>
  <c r="U747" i="3"/>
  <c r="W741" i="3"/>
  <c r="V741" i="3"/>
  <c r="U741" i="3"/>
  <c r="W735" i="3"/>
  <c r="V735" i="3"/>
  <c r="U735" i="3"/>
  <c r="W729" i="3"/>
  <c r="V729" i="3"/>
  <c r="U729" i="3"/>
  <c r="W723" i="3"/>
  <c r="V723" i="3"/>
  <c r="U723" i="3"/>
  <c r="W717" i="3"/>
  <c r="V717" i="3"/>
  <c r="U717" i="3"/>
  <c r="W711" i="3"/>
  <c r="V711" i="3"/>
  <c r="U711" i="3"/>
  <c r="W705" i="3"/>
  <c r="V705" i="3"/>
  <c r="U705" i="3"/>
  <c r="W699" i="3"/>
  <c r="V699" i="3"/>
  <c r="U699" i="3"/>
  <c r="W693" i="3"/>
  <c r="V693" i="3"/>
  <c r="U693" i="3"/>
  <c r="W687" i="3"/>
  <c r="V687" i="3"/>
  <c r="U687" i="3"/>
  <c r="W681" i="3"/>
  <c r="V681" i="3"/>
  <c r="U681" i="3"/>
  <c r="W675" i="3"/>
  <c r="V675" i="3"/>
  <c r="U675" i="3"/>
  <c r="W669" i="3"/>
  <c r="V669" i="3"/>
  <c r="U669" i="3"/>
  <c r="W663" i="3"/>
  <c r="V663" i="3"/>
  <c r="U663" i="3"/>
  <c r="W657" i="3"/>
  <c r="V657" i="3"/>
  <c r="U657" i="3"/>
  <c r="W651" i="3"/>
  <c r="V651" i="3"/>
  <c r="U651" i="3"/>
  <c r="W645" i="3"/>
  <c r="V645" i="3"/>
  <c r="U645" i="3"/>
  <c r="W639" i="3"/>
  <c r="V639" i="3"/>
  <c r="U639" i="3"/>
  <c r="W633" i="3"/>
  <c r="V633" i="3"/>
  <c r="U633" i="3"/>
  <c r="W627" i="3"/>
  <c r="V627" i="3"/>
  <c r="U627" i="3"/>
  <c r="W621" i="3"/>
  <c r="V621" i="3"/>
  <c r="U621" i="3"/>
  <c r="W615" i="3"/>
  <c r="V615" i="3"/>
  <c r="U615" i="3"/>
  <c r="W609" i="3"/>
  <c r="V609" i="3"/>
  <c r="U609" i="3"/>
  <c r="W603" i="3"/>
  <c r="V603" i="3"/>
  <c r="U603" i="3"/>
  <c r="W597" i="3"/>
  <c r="V597" i="3"/>
  <c r="U597" i="3"/>
  <c r="W591" i="3"/>
  <c r="V591" i="3"/>
  <c r="U591" i="3"/>
  <c r="W585" i="3"/>
  <c r="V585" i="3"/>
  <c r="U585" i="3"/>
  <c r="W579" i="3"/>
  <c r="V579" i="3"/>
  <c r="U579" i="3"/>
  <c r="W573" i="3"/>
  <c r="V573" i="3"/>
  <c r="U573" i="3"/>
  <c r="W567" i="3"/>
  <c r="V567" i="3"/>
  <c r="U567" i="3"/>
  <c r="W561" i="3"/>
  <c r="V561" i="3"/>
  <c r="U561" i="3"/>
  <c r="W555" i="3"/>
  <c r="V555" i="3"/>
  <c r="U555" i="3"/>
  <c r="W549" i="3"/>
  <c r="V549" i="3"/>
  <c r="U549" i="3"/>
  <c r="W543" i="3"/>
  <c r="V543" i="3"/>
  <c r="U543" i="3"/>
  <c r="W537" i="3"/>
  <c r="V537" i="3"/>
  <c r="U537" i="3"/>
  <c r="W531" i="3"/>
  <c r="V531" i="3"/>
  <c r="U531" i="3"/>
  <c r="W525" i="3"/>
  <c r="V525" i="3"/>
  <c r="U525" i="3"/>
  <c r="W519" i="3"/>
  <c r="V519" i="3"/>
  <c r="U519" i="3"/>
  <c r="W513" i="3"/>
  <c r="V513" i="3"/>
  <c r="U513" i="3"/>
  <c r="W507" i="3"/>
  <c r="V507" i="3"/>
  <c r="U507" i="3"/>
  <c r="W501" i="3"/>
  <c r="V501" i="3"/>
  <c r="U501" i="3"/>
  <c r="W495" i="3"/>
  <c r="V495" i="3"/>
  <c r="U495" i="3"/>
  <c r="W489" i="3"/>
  <c r="V489" i="3"/>
  <c r="U489" i="3"/>
  <c r="W483" i="3"/>
  <c r="V483" i="3"/>
  <c r="U483" i="3"/>
  <c r="W477" i="3"/>
  <c r="V477" i="3"/>
  <c r="U477" i="3"/>
  <c r="W471" i="3"/>
  <c r="V471" i="3"/>
  <c r="U471" i="3"/>
  <c r="W465" i="3"/>
  <c r="V465" i="3"/>
  <c r="U465" i="3"/>
  <c r="W459" i="3"/>
  <c r="V459" i="3"/>
  <c r="U459" i="3"/>
  <c r="W453" i="3"/>
  <c r="V453" i="3"/>
  <c r="U453" i="3"/>
  <c r="W447" i="3"/>
  <c r="V447" i="3"/>
  <c r="U447" i="3"/>
  <c r="W441" i="3"/>
  <c r="V441" i="3"/>
  <c r="U441" i="3"/>
  <c r="W435" i="3"/>
  <c r="V435" i="3"/>
  <c r="U435" i="3"/>
  <c r="W429" i="3"/>
  <c r="V429" i="3"/>
  <c r="U429" i="3"/>
  <c r="W423" i="3"/>
  <c r="V423" i="3"/>
  <c r="U423" i="3"/>
  <c r="W417" i="3"/>
  <c r="V417" i="3"/>
  <c r="U417" i="3"/>
  <c r="W411" i="3"/>
  <c r="V411" i="3"/>
  <c r="U411" i="3"/>
  <c r="W405" i="3"/>
  <c r="V405" i="3"/>
  <c r="U405" i="3"/>
  <c r="W399" i="3"/>
  <c r="V399" i="3"/>
  <c r="U399" i="3"/>
  <c r="W393" i="3"/>
  <c r="V393" i="3"/>
  <c r="U393" i="3"/>
  <c r="W387" i="3"/>
  <c r="V387" i="3"/>
  <c r="U387" i="3"/>
  <c r="W381" i="3"/>
  <c r="V381" i="3"/>
  <c r="U381" i="3"/>
  <c r="W375" i="3"/>
  <c r="V375" i="3"/>
  <c r="U375" i="3"/>
  <c r="W369" i="3"/>
  <c r="V369" i="3"/>
  <c r="U369" i="3"/>
  <c r="W363" i="3"/>
  <c r="V363" i="3"/>
  <c r="U363" i="3"/>
  <c r="W357" i="3"/>
  <c r="V357" i="3"/>
  <c r="U357" i="3"/>
  <c r="W351" i="3"/>
  <c r="V351" i="3"/>
  <c r="U351" i="3"/>
  <c r="W345" i="3"/>
  <c r="V345" i="3"/>
  <c r="U345" i="3"/>
  <c r="W339" i="3"/>
  <c r="V339" i="3"/>
  <c r="U339" i="3"/>
  <c r="W333" i="3"/>
  <c r="V333" i="3"/>
  <c r="U333" i="3"/>
  <c r="W327" i="3"/>
  <c r="V327" i="3"/>
  <c r="U327" i="3"/>
  <c r="W321" i="3"/>
  <c r="V321" i="3"/>
  <c r="U321" i="3"/>
  <c r="W315" i="3"/>
  <c r="V315" i="3"/>
  <c r="U315" i="3"/>
  <c r="W309" i="3"/>
  <c r="V309" i="3"/>
  <c r="U309" i="3"/>
  <c r="W303" i="3"/>
  <c r="U303" i="3"/>
  <c r="V303" i="3"/>
  <c r="W297" i="3"/>
  <c r="V297" i="3"/>
  <c r="U297" i="3"/>
  <c r="W291" i="3"/>
  <c r="U291" i="3"/>
  <c r="V291" i="3"/>
  <c r="W285" i="3"/>
  <c r="U285" i="3"/>
  <c r="V285" i="3"/>
  <c r="W279" i="3"/>
  <c r="U279" i="3"/>
  <c r="V279" i="3"/>
  <c r="W273" i="3"/>
  <c r="V273" i="3"/>
  <c r="U273" i="3"/>
  <c r="W267" i="3"/>
  <c r="V267" i="3"/>
  <c r="U267" i="3"/>
  <c r="W261" i="3"/>
  <c r="V261" i="3"/>
  <c r="U261" i="3"/>
  <c r="W255" i="3"/>
  <c r="V255" i="3"/>
  <c r="U255" i="3"/>
  <c r="W249" i="3"/>
  <c r="V249" i="3"/>
  <c r="U249" i="3"/>
  <c r="W243" i="3"/>
  <c r="V243" i="3"/>
  <c r="U243" i="3"/>
  <c r="W237" i="3"/>
  <c r="V237" i="3"/>
  <c r="U237" i="3"/>
  <c r="V231" i="3"/>
  <c r="W231" i="3"/>
  <c r="U231" i="3"/>
  <c r="W225" i="3"/>
  <c r="V225" i="3"/>
  <c r="U225" i="3"/>
  <c r="W219" i="3"/>
  <c r="V219" i="3"/>
  <c r="U219" i="3"/>
  <c r="W213" i="3"/>
  <c r="V213" i="3"/>
  <c r="U213" i="3"/>
  <c r="W207" i="3"/>
  <c r="V207" i="3"/>
  <c r="U207" i="3"/>
  <c r="W201" i="3"/>
  <c r="V201" i="3"/>
  <c r="U201" i="3"/>
  <c r="W195" i="3"/>
  <c r="V195" i="3"/>
  <c r="U195" i="3"/>
  <c r="W189" i="3"/>
  <c r="V189" i="3"/>
  <c r="U189" i="3"/>
  <c r="W183" i="3"/>
  <c r="V183" i="3"/>
  <c r="U183" i="3"/>
  <c r="W177" i="3"/>
  <c r="V177" i="3"/>
  <c r="U177" i="3"/>
  <c r="W171" i="3"/>
  <c r="V171" i="3"/>
  <c r="U171" i="3"/>
  <c r="W165" i="3"/>
  <c r="V165" i="3"/>
  <c r="U165" i="3"/>
  <c r="W159" i="3"/>
  <c r="V159" i="3"/>
  <c r="U159" i="3"/>
  <c r="V153" i="3"/>
  <c r="W153" i="3"/>
  <c r="U153" i="3"/>
  <c r="W147" i="3"/>
  <c r="V147" i="3"/>
  <c r="U147" i="3"/>
  <c r="W141" i="3"/>
  <c r="V141" i="3"/>
  <c r="U141" i="3"/>
  <c r="W135" i="3"/>
  <c r="V135" i="3"/>
  <c r="U135" i="3"/>
  <c r="W129" i="3"/>
  <c r="V129" i="3"/>
  <c r="U129" i="3"/>
  <c r="V123" i="3"/>
  <c r="W123" i="3"/>
  <c r="U123" i="3"/>
  <c r="W117" i="3"/>
  <c r="V117" i="3"/>
  <c r="U117" i="3"/>
  <c r="W111" i="3"/>
  <c r="V111" i="3"/>
  <c r="U111" i="3"/>
  <c r="W105" i="3"/>
  <c r="V105" i="3"/>
  <c r="U105" i="3"/>
  <c r="U863" i="3"/>
  <c r="U856" i="3"/>
  <c r="U849" i="3"/>
  <c r="U835" i="3"/>
  <c r="U827" i="3"/>
  <c r="U820" i="3"/>
  <c r="U813" i="3"/>
  <c r="U798" i="3"/>
  <c r="U772" i="3"/>
  <c r="U755" i="3"/>
  <c r="U737" i="3"/>
  <c r="U712" i="3"/>
  <c r="U694" i="3"/>
  <c r="U672" i="3"/>
  <c r="U658" i="3"/>
  <c r="U629" i="3"/>
  <c r="U586" i="3"/>
  <c r="U557" i="3"/>
  <c r="U514" i="3"/>
  <c r="W817" i="3"/>
  <c r="V817" i="3"/>
  <c r="V787" i="3"/>
  <c r="W787" i="3"/>
  <c r="V769" i="3"/>
  <c r="W769" i="3"/>
  <c r="W745" i="3"/>
  <c r="V745" i="3"/>
  <c r="V661" i="3"/>
  <c r="W661" i="3"/>
  <c r="U661" i="3"/>
  <c r="W866" i="3"/>
  <c r="V866" i="3"/>
  <c r="W860" i="3"/>
  <c r="V860" i="3"/>
  <c r="W854" i="3"/>
  <c r="V854" i="3"/>
  <c r="W848" i="3"/>
  <c r="V848" i="3"/>
  <c r="W842" i="3"/>
  <c r="V842" i="3"/>
  <c r="W836" i="3"/>
  <c r="V836" i="3"/>
  <c r="W830" i="3"/>
  <c r="V830" i="3"/>
  <c r="W824" i="3"/>
  <c r="V824" i="3"/>
  <c r="W818" i="3"/>
  <c r="V818" i="3"/>
  <c r="W812" i="3"/>
  <c r="V812" i="3"/>
  <c r="W806" i="3"/>
  <c r="V806" i="3"/>
  <c r="W800" i="3"/>
  <c r="V800" i="3"/>
  <c r="W794" i="3"/>
  <c r="V794" i="3"/>
  <c r="W788" i="3"/>
  <c r="V788" i="3"/>
  <c r="W782" i="3"/>
  <c r="V782" i="3"/>
  <c r="U782" i="3"/>
  <c r="W776" i="3"/>
  <c r="V776" i="3"/>
  <c r="W770" i="3"/>
  <c r="V770" i="3"/>
  <c r="W764" i="3"/>
  <c r="V764" i="3"/>
  <c r="W758" i="3"/>
  <c r="V758" i="3"/>
  <c r="W752" i="3"/>
  <c r="V752" i="3"/>
  <c r="W746" i="3"/>
  <c r="V746" i="3"/>
  <c r="U746" i="3"/>
  <c r="W740" i="3"/>
  <c r="V740" i="3"/>
  <c r="W734" i="3"/>
  <c r="V734" i="3"/>
  <c r="W728" i="3"/>
  <c r="V728" i="3"/>
  <c r="W722" i="3"/>
  <c r="V722" i="3"/>
  <c r="W716" i="3"/>
  <c r="V716" i="3"/>
  <c r="W710" i="3"/>
  <c r="V710" i="3"/>
  <c r="U710" i="3"/>
  <c r="W704" i="3"/>
  <c r="V704" i="3"/>
  <c r="W698" i="3"/>
  <c r="V698" i="3"/>
  <c r="W692" i="3"/>
  <c r="V692" i="3"/>
  <c r="W686" i="3"/>
  <c r="V686" i="3"/>
  <c r="W680" i="3"/>
  <c r="V680" i="3"/>
  <c r="W674" i="3"/>
  <c r="V674" i="3"/>
  <c r="U674" i="3"/>
  <c r="W668" i="3"/>
  <c r="V668" i="3"/>
  <c r="U668" i="3"/>
  <c r="W662" i="3"/>
  <c r="V662" i="3"/>
  <c r="U662" i="3"/>
  <c r="W656" i="3"/>
  <c r="V656" i="3"/>
  <c r="W650" i="3"/>
  <c r="V650" i="3"/>
  <c r="W644" i="3"/>
  <c r="V644" i="3"/>
  <c r="W638" i="3"/>
  <c r="V638" i="3"/>
  <c r="U638" i="3"/>
  <c r="W632" i="3"/>
  <c r="V632" i="3"/>
  <c r="U632" i="3"/>
  <c r="W626" i="3"/>
  <c r="V626" i="3"/>
  <c r="U626" i="3"/>
  <c r="W620" i="3"/>
  <c r="V620" i="3"/>
  <c r="W614" i="3"/>
  <c r="V614" i="3"/>
  <c r="W608" i="3"/>
  <c r="V608" i="3"/>
  <c r="W602" i="3"/>
  <c r="V602" i="3"/>
  <c r="U602" i="3"/>
  <c r="W596" i="3"/>
  <c r="V596" i="3"/>
  <c r="U596" i="3"/>
  <c r="W590" i="3"/>
  <c r="V590" i="3"/>
  <c r="U590" i="3"/>
  <c r="W584" i="3"/>
  <c r="V584" i="3"/>
  <c r="W578" i="3"/>
  <c r="V578" i="3"/>
  <c r="W572" i="3"/>
  <c r="V572" i="3"/>
  <c r="W566" i="3"/>
  <c r="V566" i="3"/>
  <c r="U566" i="3"/>
  <c r="W560" i="3"/>
  <c r="V560" i="3"/>
  <c r="U560" i="3"/>
  <c r="W554" i="3"/>
  <c r="V554" i="3"/>
  <c r="U554" i="3"/>
  <c r="W548" i="3"/>
  <c r="V548" i="3"/>
  <c r="W542" i="3"/>
  <c r="V542" i="3"/>
  <c r="W536" i="3"/>
  <c r="V536" i="3"/>
  <c r="W530" i="3"/>
  <c r="V530" i="3"/>
  <c r="U530" i="3"/>
  <c r="W524" i="3"/>
  <c r="V524" i="3"/>
  <c r="U524" i="3"/>
  <c r="W518" i="3"/>
  <c r="V518" i="3"/>
  <c r="U518" i="3"/>
  <c r="W512" i="3"/>
  <c r="V512" i="3"/>
  <c r="U512" i="3"/>
  <c r="W506" i="3"/>
  <c r="V506" i="3"/>
  <c r="U506" i="3"/>
  <c r="W500" i="3"/>
  <c r="V500" i="3"/>
  <c r="U500" i="3"/>
  <c r="W494" i="3"/>
  <c r="V494" i="3"/>
  <c r="U494" i="3"/>
  <c r="W488" i="3"/>
  <c r="V488" i="3"/>
  <c r="U488" i="3"/>
  <c r="W482" i="3"/>
  <c r="V482" i="3"/>
  <c r="U482" i="3"/>
  <c r="W476" i="3"/>
  <c r="V476" i="3"/>
  <c r="U476" i="3"/>
  <c r="W470" i="3"/>
  <c r="V470" i="3"/>
  <c r="U470" i="3"/>
  <c r="W464" i="3"/>
  <c r="V464" i="3"/>
  <c r="U464" i="3"/>
  <c r="W458" i="3"/>
  <c r="V458" i="3"/>
  <c r="U458" i="3"/>
  <c r="W452" i="3"/>
  <c r="V452" i="3"/>
  <c r="U452" i="3"/>
  <c r="W446" i="3"/>
  <c r="V446" i="3"/>
  <c r="U446" i="3"/>
  <c r="W440" i="3"/>
  <c r="V440" i="3"/>
  <c r="U440" i="3"/>
  <c r="W434" i="3"/>
  <c r="V434" i="3"/>
  <c r="U434" i="3"/>
  <c r="W428" i="3"/>
  <c r="V428" i="3"/>
  <c r="U428" i="3"/>
  <c r="W422" i="3"/>
  <c r="V422" i="3"/>
  <c r="U422" i="3"/>
  <c r="W416" i="3"/>
  <c r="V416" i="3"/>
  <c r="U416" i="3"/>
  <c r="W410" i="3"/>
  <c r="V410" i="3"/>
  <c r="U410" i="3"/>
  <c r="W404" i="3"/>
  <c r="V404" i="3"/>
  <c r="U404" i="3"/>
  <c r="W398" i="3"/>
  <c r="V398" i="3"/>
  <c r="U398" i="3"/>
  <c r="W392" i="3"/>
  <c r="V392" i="3"/>
  <c r="U392" i="3"/>
  <c r="W386" i="3"/>
  <c r="V386" i="3"/>
  <c r="U386" i="3"/>
  <c r="W380" i="3"/>
  <c r="V380" i="3"/>
  <c r="U380" i="3"/>
  <c r="W374" i="3"/>
  <c r="V374" i="3"/>
  <c r="U374" i="3"/>
  <c r="W368" i="3"/>
  <c r="V368" i="3"/>
  <c r="U368" i="3"/>
  <c r="W362" i="3"/>
  <c r="V362" i="3"/>
  <c r="U362" i="3"/>
  <c r="W356" i="3"/>
  <c r="V356" i="3"/>
  <c r="U356" i="3"/>
  <c r="W350" i="3"/>
  <c r="V350" i="3"/>
  <c r="U350" i="3"/>
  <c r="W344" i="3"/>
  <c r="V344" i="3"/>
  <c r="U344" i="3"/>
  <c r="W338" i="3"/>
  <c r="V338" i="3"/>
  <c r="U338" i="3"/>
  <c r="W332" i="3"/>
  <c r="V332" i="3"/>
  <c r="U332" i="3"/>
  <c r="W326" i="3"/>
  <c r="V326" i="3"/>
  <c r="U326" i="3"/>
  <c r="W320" i="3"/>
  <c r="V320" i="3"/>
  <c r="U320" i="3"/>
  <c r="W314" i="3"/>
  <c r="V314" i="3"/>
  <c r="U314" i="3"/>
  <c r="W308" i="3"/>
  <c r="V308" i="3"/>
  <c r="U308" i="3"/>
  <c r="W302" i="3"/>
  <c r="V302" i="3"/>
  <c r="U302" i="3"/>
  <c r="W296" i="3"/>
  <c r="V296" i="3"/>
  <c r="U296" i="3"/>
  <c r="W290" i="3"/>
  <c r="V290" i="3"/>
  <c r="U290" i="3"/>
  <c r="W284" i="3"/>
  <c r="V284" i="3"/>
  <c r="U284" i="3"/>
  <c r="W278" i="3"/>
  <c r="V278" i="3"/>
  <c r="U278" i="3"/>
  <c r="W272" i="3"/>
  <c r="U272" i="3"/>
  <c r="V272" i="3"/>
  <c r="W266" i="3"/>
  <c r="U266" i="3"/>
  <c r="V266" i="3"/>
  <c r="W260" i="3"/>
  <c r="V260" i="3"/>
  <c r="U260" i="3"/>
  <c r="W254" i="3"/>
  <c r="U254" i="3"/>
  <c r="V254" i="3"/>
  <c r="W248" i="3"/>
  <c r="U248" i="3"/>
  <c r="V248" i="3"/>
  <c r="W242" i="3"/>
  <c r="U242" i="3"/>
  <c r="V242" i="3"/>
  <c r="W236" i="3"/>
  <c r="U236" i="3"/>
  <c r="V236" i="3"/>
  <c r="W230" i="3"/>
  <c r="U230" i="3"/>
  <c r="V230" i="3"/>
  <c r="V224" i="3"/>
  <c r="W224" i="3"/>
  <c r="U224" i="3"/>
  <c r="W218" i="3"/>
  <c r="U218" i="3"/>
  <c r="V218" i="3"/>
  <c r="W212" i="3"/>
  <c r="V212" i="3"/>
  <c r="U212" i="3"/>
  <c r="W206" i="3"/>
  <c r="U206" i="3"/>
  <c r="V206" i="3"/>
  <c r="W200" i="3"/>
  <c r="U200" i="3"/>
  <c r="V200" i="3"/>
  <c r="W194" i="3"/>
  <c r="V194" i="3"/>
  <c r="U194" i="3"/>
  <c r="V188" i="3"/>
  <c r="W188" i="3"/>
  <c r="U188" i="3"/>
  <c r="W182" i="3"/>
  <c r="U182" i="3"/>
  <c r="V182" i="3"/>
  <c r="W176" i="3"/>
  <c r="U176" i="3"/>
  <c r="V176" i="3"/>
  <c r="V170" i="3"/>
  <c r="W170" i="3"/>
  <c r="U170" i="3"/>
  <c r="W164" i="3"/>
  <c r="U164" i="3"/>
  <c r="V164" i="3"/>
  <c r="W158" i="3"/>
  <c r="U158" i="3"/>
  <c r="V158" i="3"/>
  <c r="W152" i="3"/>
  <c r="V152" i="3"/>
  <c r="U152" i="3"/>
  <c r="W146" i="3"/>
  <c r="U146" i="3"/>
  <c r="V146" i="3"/>
  <c r="W140" i="3"/>
  <c r="U140" i="3"/>
  <c r="V140" i="3"/>
  <c r="W134" i="3"/>
  <c r="V134" i="3"/>
  <c r="U134" i="3"/>
  <c r="W128" i="3"/>
  <c r="U128" i="3"/>
  <c r="V128" i="3"/>
  <c r="W122" i="3"/>
  <c r="U122" i="3"/>
  <c r="V122" i="3"/>
  <c r="W116" i="3"/>
  <c r="V116" i="3"/>
  <c r="U116" i="3"/>
  <c r="W110" i="3"/>
  <c r="V110" i="3"/>
  <c r="U110" i="3"/>
  <c r="W104" i="3"/>
  <c r="V104" i="3"/>
  <c r="U104" i="3"/>
  <c r="W98" i="3"/>
  <c r="V98" i="3"/>
  <c r="U98" i="3"/>
  <c r="W92" i="3"/>
  <c r="V92" i="3"/>
  <c r="U92" i="3"/>
  <c r="W86" i="3"/>
  <c r="V86" i="3"/>
  <c r="U86" i="3"/>
  <c r="V80" i="3"/>
  <c r="W80" i="3"/>
  <c r="U80" i="3"/>
  <c r="W74" i="3"/>
  <c r="V74" i="3"/>
  <c r="U74" i="3"/>
  <c r="V68" i="3"/>
  <c r="W68" i="3"/>
  <c r="U68" i="3"/>
  <c r="W62" i="3"/>
  <c r="V62" i="3"/>
  <c r="U62" i="3"/>
  <c r="W56" i="3"/>
  <c r="V56" i="3"/>
  <c r="U56" i="3"/>
  <c r="W50" i="3"/>
  <c r="V50" i="3"/>
  <c r="U50" i="3"/>
  <c r="V44" i="3"/>
  <c r="W44" i="3"/>
  <c r="U44" i="3"/>
  <c r="W38" i="3"/>
  <c r="V38" i="3"/>
  <c r="U38" i="3"/>
  <c r="V32" i="3"/>
  <c r="W32" i="3"/>
  <c r="U32" i="3"/>
  <c r="V26" i="3"/>
  <c r="W26" i="3"/>
  <c r="U26" i="3"/>
  <c r="W20" i="3"/>
  <c r="V20" i="3"/>
  <c r="U20" i="3"/>
  <c r="W14" i="3"/>
  <c r="V14" i="3"/>
  <c r="U14" i="3"/>
  <c r="W8" i="3"/>
  <c r="V8" i="3"/>
  <c r="U8" i="3"/>
  <c r="U869" i="3"/>
  <c r="U862" i="3"/>
  <c r="U855" i="3"/>
  <c r="U848" i="3"/>
  <c r="U833" i="3"/>
  <c r="U826" i="3"/>
  <c r="U819" i="3"/>
  <c r="U812" i="3"/>
  <c r="U805" i="3"/>
  <c r="U796" i="3"/>
  <c r="U787" i="3"/>
  <c r="U779" i="3"/>
  <c r="U770" i="3"/>
  <c r="U762" i="3"/>
  <c r="U752" i="3"/>
  <c r="U736" i="3"/>
  <c r="U727" i="3"/>
  <c r="U719" i="3"/>
  <c r="U701" i="3"/>
  <c r="U692" i="3"/>
  <c r="U684" i="3"/>
  <c r="U671" i="3"/>
  <c r="U656" i="3"/>
  <c r="U628" i="3"/>
  <c r="U599" i="3"/>
  <c r="U584" i="3"/>
  <c r="U556" i="3"/>
  <c r="U527" i="3"/>
  <c r="V823" i="3"/>
  <c r="W823" i="3"/>
  <c r="V799" i="3"/>
  <c r="W799" i="3"/>
  <c r="V763" i="3"/>
  <c r="W763" i="3"/>
  <c r="V739" i="3"/>
  <c r="W739" i="3"/>
  <c r="U739" i="3"/>
  <c r="W709" i="3"/>
  <c r="V709" i="3"/>
  <c r="W703" i="3"/>
  <c r="V703" i="3"/>
  <c r="U703" i="3"/>
  <c r="V697" i="3"/>
  <c r="W697" i="3"/>
  <c r="V685" i="3"/>
  <c r="W685" i="3"/>
  <c r="V655" i="3"/>
  <c r="W655" i="3"/>
  <c r="U655" i="3"/>
  <c r="V649" i="3"/>
  <c r="W649" i="3"/>
  <c r="V643" i="3"/>
  <c r="W643" i="3"/>
  <c r="W637" i="3"/>
  <c r="V637" i="3"/>
  <c r="W631" i="3"/>
  <c r="V631" i="3"/>
  <c r="U631" i="3"/>
  <c r="V625" i="3"/>
  <c r="W625" i="3"/>
  <c r="U625" i="3"/>
  <c r="V619" i="3"/>
  <c r="W619" i="3"/>
  <c r="U619" i="3"/>
  <c r="V613" i="3"/>
  <c r="W613" i="3"/>
  <c r="V607" i="3"/>
  <c r="W607" i="3"/>
  <c r="W601" i="3"/>
  <c r="V601" i="3"/>
  <c r="W595" i="3"/>
  <c r="V595" i="3"/>
  <c r="U595" i="3"/>
  <c r="V589" i="3"/>
  <c r="W589" i="3"/>
  <c r="U589" i="3"/>
  <c r="V583" i="3"/>
  <c r="W583" i="3"/>
  <c r="U583" i="3"/>
  <c r="V577" i="3"/>
  <c r="W577" i="3"/>
  <c r="V571" i="3"/>
  <c r="W571" i="3"/>
  <c r="W565" i="3"/>
  <c r="V565" i="3"/>
  <c r="W559" i="3"/>
  <c r="V559" i="3"/>
  <c r="U559" i="3"/>
  <c r="V553" i="3"/>
  <c r="W553" i="3"/>
  <c r="U553" i="3"/>
  <c r="V547" i="3"/>
  <c r="W547" i="3"/>
  <c r="U547" i="3"/>
  <c r="V541" i="3"/>
  <c r="W541" i="3"/>
  <c r="V535" i="3"/>
  <c r="W535" i="3"/>
  <c r="W529" i="3"/>
  <c r="V529" i="3"/>
  <c r="W523" i="3"/>
  <c r="V523" i="3"/>
  <c r="U523" i="3"/>
  <c r="V517" i="3"/>
  <c r="W517" i="3"/>
  <c r="U517" i="3"/>
  <c r="W511" i="3"/>
  <c r="V511" i="3"/>
  <c r="U511" i="3"/>
  <c r="W505" i="3"/>
  <c r="V505" i="3"/>
  <c r="U505" i="3"/>
  <c r="W499" i="3"/>
  <c r="V499" i="3"/>
  <c r="U499" i="3"/>
  <c r="W493" i="3"/>
  <c r="V493" i="3"/>
  <c r="U493" i="3"/>
  <c r="W487" i="3"/>
  <c r="V487" i="3"/>
  <c r="U487" i="3"/>
  <c r="W481" i="3"/>
  <c r="V481" i="3"/>
  <c r="U481" i="3"/>
  <c r="W475" i="3"/>
  <c r="V475" i="3"/>
  <c r="U475" i="3"/>
  <c r="W469" i="3"/>
  <c r="V469" i="3"/>
  <c r="U469" i="3"/>
  <c r="W463" i="3"/>
  <c r="V463" i="3"/>
  <c r="U463" i="3"/>
  <c r="W457" i="3"/>
  <c r="V457" i="3"/>
  <c r="U457" i="3"/>
  <c r="W451" i="3"/>
  <c r="V451" i="3"/>
  <c r="U451" i="3"/>
  <c r="W445" i="3"/>
  <c r="V445" i="3"/>
  <c r="U445" i="3"/>
  <c r="W439" i="3"/>
  <c r="V439" i="3"/>
  <c r="U439" i="3"/>
  <c r="W433" i="3"/>
  <c r="V433" i="3"/>
  <c r="U433" i="3"/>
  <c r="W427" i="3"/>
  <c r="V427" i="3"/>
  <c r="U427" i="3"/>
  <c r="W421" i="3"/>
  <c r="V421" i="3"/>
  <c r="U421" i="3"/>
  <c r="W415" i="3"/>
  <c r="V415" i="3"/>
  <c r="U415" i="3"/>
  <c r="W409" i="3"/>
  <c r="V409" i="3"/>
  <c r="U409" i="3"/>
  <c r="W403" i="3"/>
  <c r="V403" i="3"/>
  <c r="U403" i="3"/>
  <c r="W397" i="3"/>
  <c r="V397" i="3"/>
  <c r="U397" i="3"/>
  <c r="W391" i="3"/>
  <c r="V391" i="3"/>
  <c r="U391" i="3"/>
  <c r="W379" i="3"/>
  <c r="V379" i="3"/>
  <c r="U379" i="3"/>
  <c r="W373" i="3"/>
  <c r="V373" i="3"/>
  <c r="U373" i="3"/>
  <c r="W367" i="3"/>
  <c r="V367" i="3"/>
  <c r="U367" i="3"/>
  <c r="W361" i="3"/>
  <c r="V361" i="3"/>
  <c r="U361" i="3"/>
  <c r="W355" i="3"/>
  <c r="V355" i="3"/>
  <c r="U355" i="3"/>
  <c r="W349" i="3"/>
  <c r="V349" i="3"/>
  <c r="U349" i="3"/>
  <c r="W343" i="3"/>
  <c r="V343" i="3"/>
  <c r="U343" i="3"/>
  <c r="W337" i="3"/>
  <c r="V337" i="3"/>
  <c r="U337" i="3"/>
  <c r="W331" i="3"/>
  <c r="V331" i="3"/>
  <c r="U331" i="3"/>
  <c r="W325" i="3"/>
  <c r="V325" i="3"/>
  <c r="U325" i="3"/>
  <c r="W319" i="3"/>
  <c r="V319" i="3"/>
  <c r="U319" i="3"/>
  <c r="W313" i="3"/>
  <c r="V313" i="3"/>
  <c r="U313" i="3"/>
  <c r="W307" i="3"/>
  <c r="V307" i="3"/>
  <c r="U307" i="3"/>
  <c r="W301" i="3"/>
  <c r="V301" i="3"/>
  <c r="U301" i="3"/>
  <c r="W295" i="3"/>
  <c r="V295" i="3"/>
  <c r="U295" i="3"/>
  <c r="W289" i="3"/>
  <c r="V289" i="3"/>
  <c r="U289" i="3"/>
  <c r="W283" i="3"/>
  <c r="V283" i="3"/>
  <c r="U283" i="3"/>
  <c r="W277" i="3"/>
  <c r="V277" i="3"/>
  <c r="U277" i="3"/>
  <c r="W271" i="3"/>
  <c r="V271" i="3"/>
  <c r="U271" i="3"/>
  <c r="W265" i="3"/>
  <c r="V265" i="3"/>
  <c r="U265" i="3"/>
  <c r="W259" i="3"/>
  <c r="V259" i="3"/>
  <c r="U259" i="3"/>
  <c r="W253" i="3"/>
  <c r="V253" i="3"/>
  <c r="U253" i="3"/>
  <c r="W247" i="3"/>
  <c r="V247" i="3"/>
  <c r="U247" i="3"/>
  <c r="W241" i="3"/>
  <c r="V241" i="3"/>
  <c r="U241" i="3"/>
  <c r="W235" i="3"/>
  <c r="V235" i="3"/>
  <c r="U235" i="3"/>
  <c r="W229" i="3"/>
  <c r="V229" i="3"/>
  <c r="U229" i="3"/>
  <c r="W223" i="3"/>
  <c r="V223" i="3"/>
  <c r="U223" i="3"/>
  <c r="V217" i="3"/>
  <c r="W217" i="3"/>
  <c r="U217" i="3"/>
  <c r="W211" i="3"/>
  <c r="V211" i="3"/>
  <c r="U211" i="3"/>
  <c r="W205" i="3"/>
  <c r="V205" i="3"/>
  <c r="U205" i="3"/>
  <c r="W199" i="3"/>
  <c r="V199" i="3"/>
  <c r="U199" i="3"/>
  <c r="W193" i="3"/>
  <c r="V193" i="3"/>
  <c r="U193" i="3"/>
  <c r="W187" i="3"/>
  <c r="V187" i="3"/>
  <c r="U187" i="3"/>
  <c r="V181" i="3"/>
  <c r="W181" i="3"/>
  <c r="U181" i="3"/>
  <c r="W175" i="3"/>
  <c r="V175" i="3"/>
  <c r="U175" i="3"/>
  <c r="W169" i="3"/>
  <c r="V169" i="3"/>
  <c r="U169" i="3"/>
  <c r="W163" i="3"/>
  <c r="V163" i="3"/>
  <c r="U163" i="3"/>
  <c r="W157" i="3"/>
  <c r="V157" i="3"/>
  <c r="U157" i="3"/>
  <c r="W151" i="3"/>
  <c r="V151" i="3"/>
  <c r="U151" i="3"/>
  <c r="V145" i="3"/>
  <c r="W145" i="3"/>
  <c r="U145" i="3"/>
  <c r="W139" i="3"/>
  <c r="V139" i="3"/>
  <c r="U139" i="3"/>
  <c r="W133" i="3"/>
  <c r="V133" i="3"/>
  <c r="U133" i="3"/>
  <c r="V127" i="3"/>
  <c r="W127" i="3"/>
  <c r="U127" i="3"/>
  <c r="W121" i="3"/>
  <c r="V121" i="3"/>
  <c r="U121" i="3"/>
  <c r="W115" i="3"/>
  <c r="V115" i="3"/>
  <c r="U115" i="3"/>
  <c r="V109" i="3"/>
  <c r="W109" i="3"/>
  <c r="U109" i="3"/>
  <c r="W103" i="3"/>
  <c r="V103" i="3"/>
  <c r="U103" i="3"/>
  <c r="V97" i="3"/>
  <c r="W97" i="3"/>
  <c r="U97" i="3"/>
  <c r="W91" i="3"/>
  <c r="V91" i="3"/>
  <c r="U91" i="3"/>
  <c r="W85" i="3"/>
  <c r="V85" i="3"/>
  <c r="U85" i="3"/>
  <c r="W79" i="3"/>
  <c r="V79" i="3"/>
  <c r="U79" i="3"/>
  <c r="W73" i="3"/>
  <c r="V73" i="3"/>
  <c r="U73" i="3"/>
  <c r="W67" i="3"/>
  <c r="V67" i="3"/>
  <c r="U67" i="3"/>
  <c r="W61" i="3"/>
  <c r="V61" i="3"/>
  <c r="U61" i="3"/>
  <c r="W55" i="3"/>
  <c r="V55" i="3"/>
  <c r="U55" i="3"/>
  <c r="W49" i="3"/>
  <c r="V49" i="3"/>
  <c r="U49" i="3"/>
  <c r="W43" i="3"/>
  <c r="V43" i="3"/>
  <c r="U43" i="3"/>
  <c r="V37" i="3"/>
  <c r="W37" i="3"/>
  <c r="U37" i="3"/>
  <c r="W31" i="3"/>
  <c r="V31" i="3"/>
  <c r="U31" i="3"/>
  <c r="V25" i="3"/>
  <c r="W25" i="3"/>
  <c r="U25" i="3"/>
  <c r="W19" i="3"/>
  <c r="V19" i="3"/>
  <c r="U19" i="3"/>
  <c r="W13" i="3"/>
  <c r="V13" i="3"/>
  <c r="U13" i="3"/>
  <c r="W7" i="3"/>
  <c r="V7" i="3"/>
  <c r="U7" i="3"/>
  <c r="U868" i="3"/>
  <c r="U861" i="3"/>
  <c r="U854" i="3"/>
  <c r="U839" i="3"/>
  <c r="U832" i="3"/>
  <c r="U825" i="3"/>
  <c r="U818" i="3"/>
  <c r="U803" i="3"/>
  <c r="U794" i="3"/>
  <c r="U786" i="3"/>
  <c r="U778" i="3"/>
  <c r="U769" i="3"/>
  <c r="U760" i="3"/>
  <c r="U751" i="3"/>
  <c r="U743" i="3"/>
  <c r="U734" i="3"/>
  <c r="U726" i="3"/>
  <c r="U716" i="3"/>
  <c r="U708" i="3"/>
  <c r="U700" i="3"/>
  <c r="U680" i="3"/>
  <c r="U652" i="3"/>
  <c r="U637" i="3"/>
  <c r="U623" i="3"/>
  <c r="U608" i="3"/>
  <c r="U580" i="3"/>
  <c r="U565" i="3"/>
  <c r="U551" i="3"/>
  <c r="U536" i="3"/>
  <c r="V841" i="3"/>
  <c r="W841" i="3"/>
  <c r="V811" i="3"/>
  <c r="W811" i="3"/>
  <c r="W781" i="3"/>
  <c r="V781" i="3"/>
  <c r="V757" i="3"/>
  <c r="W757" i="3"/>
  <c r="V733" i="3"/>
  <c r="W733" i="3"/>
  <c r="V691" i="3"/>
  <c r="W691" i="3"/>
  <c r="W864" i="3"/>
  <c r="V864" i="3"/>
  <c r="U864" i="3"/>
  <c r="W852" i="3"/>
  <c r="V852" i="3"/>
  <c r="U852" i="3"/>
  <c r="W840" i="3"/>
  <c r="V840" i="3"/>
  <c r="U840" i="3"/>
  <c r="W828" i="3"/>
  <c r="V828" i="3"/>
  <c r="U828" i="3"/>
  <c r="W816" i="3"/>
  <c r="V816" i="3"/>
  <c r="U816" i="3"/>
  <c r="W804" i="3"/>
  <c r="V804" i="3"/>
  <c r="U804" i="3"/>
  <c r="W792" i="3"/>
  <c r="V792" i="3"/>
  <c r="W780" i="3"/>
  <c r="V780" i="3"/>
  <c r="W768" i="3"/>
  <c r="V768" i="3"/>
  <c r="U768" i="3"/>
  <c r="W756" i="3"/>
  <c r="V756" i="3"/>
  <c r="W744" i="3"/>
  <c r="V744" i="3"/>
  <c r="W732" i="3"/>
  <c r="V732" i="3"/>
  <c r="U732" i="3"/>
  <c r="W720" i="3"/>
  <c r="V720" i="3"/>
  <c r="W702" i="3"/>
  <c r="V702" i="3"/>
  <c r="W690" i="3"/>
  <c r="V690" i="3"/>
  <c r="W678" i="3"/>
  <c r="V678" i="3"/>
  <c r="W666" i="3"/>
  <c r="V666" i="3"/>
  <c r="W654" i="3"/>
  <c r="V654" i="3"/>
  <c r="U654" i="3"/>
  <c r="W642" i="3"/>
  <c r="V642" i="3"/>
  <c r="W630" i="3"/>
  <c r="V630" i="3"/>
  <c r="W618" i="3"/>
  <c r="V618" i="3"/>
  <c r="U618" i="3"/>
  <c r="W612" i="3"/>
  <c r="V612" i="3"/>
  <c r="U612" i="3"/>
  <c r="W606" i="3"/>
  <c r="V606" i="3"/>
  <c r="W600" i="3"/>
  <c r="V600" i="3"/>
  <c r="W594" i="3"/>
  <c r="V594" i="3"/>
  <c r="W582" i="3"/>
  <c r="V582" i="3"/>
  <c r="U582" i="3"/>
  <c r="W576" i="3"/>
  <c r="V576" i="3"/>
  <c r="U576" i="3"/>
  <c r="W570" i="3"/>
  <c r="V570" i="3"/>
  <c r="W564" i="3"/>
  <c r="V564" i="3"/>
  <c r="W558" i="3"/>
  <c r="V558" i="3"/>
  <c r="W552" i="3"/>
  <c r="V552" i="3"/>
  <c r="U552" i="3"/>
  <c r="W546" i="3"/>
  <c r="V546" i="3"/>
  <c r="U546" i="3"/>
  <c r="W540" i="3"/>
  <c r="V540" i="3"/>
  <c r="U540" i="3"/>
  <c r="W534" i="3"/>
  <c r="V534" i="3"/>
  <c r="W528" i="3"/>
  <c r="V528" i="3"/>
  <c r="W522" i="3"/>
  <c r="V522" i="3"/>
  <c r="W516" i="3"/>
  <c r="V516" i="3"/>
  <c r="U516" i="3"/>
  <c r="W510" i="3"/>
  <c r="V510" i="3"/>
  <c r="U510" i="3"/>
  <c r="W504" i="3"/>
  <c r="V504" i="3"/>
  <c r="U504" i="3"/>
  <c r="W498" i="3"/>
  <c r="V498" i="3"/>
  <c r="U498" i="3"/>
  <c r="W492" i="3"/>
  <c r="V492" i="3"/>
  <c r="U492" i="3"/>
  <c r="W486" i="3"/>
  <c r="V486" i="3"/>
  <c r="U486" i="3"/>
  <c r="W480" i="3"/>
  <c r="V480" i="3"/>
  <c r="U480" i="3"/>
  <c r="W474" i="3"/>
  <c r="V474" i="3"/>
  <c r="U474" i="3"/>
  <c r="W468" i="3"/>
  <c r="V468" i="3"/>
  <c r="U468" i="3"/>
  <c r="W462" i="3"/>
  <c r="V462" i="3"/>
  <c r="U462" i="3"/>
  <c r="W456" i="3"/>
  <c r="V456" i="3"/>
  <c r="U456" i="3"/>
  <c r="W450" i="3"/>
  <c r="V450" i="3"/>
  <c r="U450" i="3"/>
  <c r="W444" i="3"/>
  <c r="V444" i="3"/>
  <c r="U444" i="3"/>
  <c r="W438" i="3"/>
  <c r="V438" i="3"/>
  <c r="U438" i="3"/>
  <c r="W432" i="3"/>
  <c r="V432" i="3"/>
  <c r="U432" i="3"/>
  <c r="W426" i="3"/>
  <c r="V426" i="3"/>
  <c r="U426" i="3"/>
  <c r="W420" i="3"/>
  <c r="V420" i="3"/>
  <c r="U420" i="3"/>
  <c r="W414" i="3"/>
  <c r="V414" i="3"/>
  <c r="U414" i="3"/>
  <c r="W408" i="3"/>
  <c r="V408" i="3"/>
  <c r="U408" i="3"/>
  <c r="W402" i="3"/>
  <c r="V402" i="3"/>
  <c r="U402" i="3"/>
  <c r="W396" i="3"/>
  <c r="V396" i="3"/>
  <c r="U396" i="3"/>
  <c r="W390" i="3"/>
  <c r="V390" i="3"/>
  <c r="U390" i="3"/>
  <c r="W384" i="3"/>
  <c r="V384" i="3"/>
  <c r="U384" i="3"/>
  <c r="W378" i="3"/>
  <c r="V378" i="3"/>
  <c r="U378" i="3"/>
  <c r="W372" i="3"/>
  <c r="V372" i="3"/>
  <c r="U372" i="3"/>
  <c r="W366" i="3"/>
  <c r="V366" i="3"/>
  <c r="U366" i="3"/>
  <c r="W360" i="3"/>
  <c r="V360" i="3"/>
  <c r="U360" i="3"/>
  <c r="W354" i="3"/>
  <c r="V354" i="3"/>
  <c r="U354" i="3"/>
  <c r="W348" i="3"/>
  <c r="V348" i="3"/>
  <c r="U348" i="3"/>
  <c r="W342" i="3"/>
  <c r="V342" i="3"/>
  <c r="U342" i="3"/>
  <c r="W336" i="3"/>
  <c r="V336" i="3"/>
  <c r="U336" i="3"/>
  <c r="W330" i="3"/>
  <c r="V330" i="3"/>
  <c r="U330" i="3"/>
  <c r="W324" i="3"/>
  <c r="V324" i="3"/>
  <c r="U324" i="3"/>
  <c r="W318" i="3"/>
  <c r="V318" i="3"/>
  <c r="U318" i="3"/>
  <c r="W312" i="3"/>
  <c r="V312" i="3"/>
  <c r="U312" i="3"/>
  <c r="W306" i="3"/>
  <c r="V306" i="3"/>
  <c r="U306" i="3"/>
  <c r="W300" i="3"/>
  <c r="V300" i="3"/>
  <c r="U300" i="3"/>
  <c r="W294" i="3"/>
  <c r="V294" i="3"/>
  <c r="U294" i="3"/>
  <c r="W288" i="3"/>
  <c r="V288" i="3"/>
  <c r="U288" i="3"/>
  <c r="W282" i="3"/>
  <c r="V282" i="3"/>
  <c r="U282" i="3"/>
  <c r="W270" i="3"/>
  <c r="V270" i="3"/>
  <c r="U270" i="3"/>
  <c r="W264" i="3"/>
  <c r="V264" i="3"/>
  <c r="U264" i="3"/>
  <c r="W258" i="3"/>
  <c r="V258" i="3"/>
  <c r="U258" i="3"/>
  <c r="W252" i="3"/>
  <c r="V252" i="3"/>
  <c r="U252" i="3"/>
  <c r="W246" i="3"/>
  <c r="V246" i="3"/>
  <c r="U246" i="3"/>
  <c r="W240" i="3"/>
  <c r="V240" i="3"/>
  <c r="U240" i="3"/>
  <c r="W234" i="3"/>
  <c r="V234" i="3"/>
  <c r="U234" i="3"/>
  <c r="W228" i="3"/>
  <c r="V228" i="3"/>
  <c r="U228" i="3"/>
  <c r="W222" i="3"/>
  <c r="V222" i="3"/>
  <c r="U222" i="3"/>
  <c r="W216" i="3"/>
  <c r="V216" i="3"/>
  <c r="U216" i="3"/>
  <c r="V210" i="3"/>
  <c r="W210" i="3"/>
  <c r="U210" i="3"/>
  <c r="W204" i="3"/>
  <c r="V204" i="3"/>
  <c r="U204" i="3"/>
  <c r="W198" i="3"/>
  <c r="V198" i="3"/>
  <c r="U198" i="3"/>
  <c r="W192" i="3"/>
  <c r="V192" i="3"/>
  <c r="U192" i="3"/>
  <c r="W186" i="3"/>
  <c r="V186" i="3"/>
  <c r="U186" i="3"/>
  <c r="W180" i="3"/>
  <c r="V180" i="3"/>
  <c r="U180" i="3"/>
  <c r="V174" i="3"/>
  <c r="W174" i="3"/>
  <c r="U174" i="3"/>
  <c r="W168" i="3"/>
  <c r="V168" i="3"/>
  <c r="U168" i="3"/>
  <c r="V162" i="3"/>
  <c r="W162" i="3"/>
  <c r="U162" i="3"/>
  <c r="W156" i="3"/>
  <c r="V156" i="3"/>
  <c r="U156" i="3"/>
  <c r="W150" i="3"/>
  <c r="V150" i="3"/>
  <c r="U150" i="3"/>
  <c r="W144" i="3"/>
  <c r="V144" i="3"/>
  <c r="U144" i="3"/>
  <c r="W138" i="3"/>
  <c r="V138" i="3"/>
  <c r="U138" i="3"/>
  <c r="W132" i="3"/>
  <c r="V132" i="3"/>
  <c r="U132" i="3"/>
  <c r="W126" i="3"/>
  <c r="V126" i="3"/>
  <c r="U126" i="3"/>
  <c r="W120" i="3"/>
  <c r="V120" i="3"/>
  <c r="U120" i="3"/>
  <c r="W114" i="3"/>
  <c r="V114" i="3"/>
  <c r="U114" i="3"/>
  <c r="W108" i="3"/>
  <c r="V108" i="3"/>
  <c r="U108" i="3"/>
  <c r="V102" i="3"/>
  <c r="W102" i="3"/>
  <c r="U102" i="3"/>
  <c r="W96" i="3"/>
  <c r="V96" i="3"/>
  <c r="U96" i="3"/>
  <c r="W90" i="3"/>
  <c r="V90" i="3"/>
  <c r="U90" i="3"/>
  <c r="W84" i="3"/>
  <c r="V84" i="3"/>
  <c r="U84" i="3"/>
  <c r="W78" i="3"/>
  <c r="V78" i="3"/>
  <c r="U78" i="3"/>
  <c r="W72" i="3"/>
  <c r="V72" i="3"/>
  <c r="U72" i="3"/>
  <c r="V66" i="3"/>
  <c r="W66" i="3"/>
  <c r="U66" i="3"/>
  <c r="W60" i="3"/>
  <c r="V60" i="3"/>
  <c r="U60" i="3"/>
  <c r="V54" i="3"/>
  <c r="W54" i="3"/>
  <c r="U54" i="3"/>
  <c r="W48" i="3"/>
  <c r="V48" i="3"/>
  <c r="U48" i="3"/>
  <c r="W42" i="3"/>
  <c r="V42" i="3"/>
  <c r="U42" i="3"/>
  <c r="W36" i="3"/>
  <c r="V36" i="3"/>
  <c r="U36" i="3"/>
  <c r="W30" i="3"/>
  <c r="V30" i="3"/>
  <c r="U30" i="3"/>
  <c r="W24" i="3"/>
  <c r="V24" i="3"/>
  <c r="U24" i="3"/>
  <c r="W18" i="3"/>
  <c r="V18" i="3"/>
  <c r="U18" i="3"/>
  <c r="W12" i="3"/>
  <c r="V12" i="3"/>
  <c r="U12" i="3"/>
  <c r="W6" i="3"/>
  <c r="V6" i="3"/>
  <c r="U6" i="3"/>
  <c r="U867" i="3"/>
  <c r="U860" i="3"/>
  <c r="U845" i="3"/>
  <c r="U838" i="3"/>
  <c r="U831" i="3"/>
  <c r="U824" i="3"/>
  <c r="U817" i="3"/>
  <c r="U809" i="3"/>
  <c r="U802" i="3"/>
  <c r="U793" i="3"/>
  <c r="U785" i="3"/>
  <c r="U776" i="3"/>
  <c r="U767" i="3"/>
  <c r="U758" i="3"/>
  <c r="U750" i="3"/>
  <c r="U742" i="3"/>
  <c r="U733" i="3"/>
  <c r="U724" i="3"/>
  <c r="U715" i="3"/>
  <c r="U707" i="3"/>
  <c r="U698" i="3"/>
  <c r="U690" i="3"/>
  <c r="U679" i="3"/>
  <c r="U665" i="3"/>
  <c r="U650" i="3"/>
  <c r="U636" i="3"/>
  <c r="U622" i="3"/>
  <c r="U607" i="3"/>
  <c r="U593" i="3"/>
  <c r="U578" i="3"/>
  <c r="U564" i="3"/>
  <c r="U550" i="3"/>
  <c r="U535" i="3"/>
  <c r="U521" i="3"/>
  <c r="W99" i="3"/>
  <c r="V99" i="3"/>
  <c r="U99" i="3"/>
  <c r="W93" i="3"/>
  <c r="V93" i="3"/>
  <c r="V87" i="3"/>
  <c r="W87" i="3"/>
  <c r="W81" i="3"/>
  <c r="V81" i="3"/>
  <c r="V75" i="3"/>
  <c r="W75" i="3"/>
  <c r="V69" i="3"/>
  <c r="W69" i="3"/>
  <c r="W63" i="3"/>
  <c r="V63" i="3"/>
  <c r="U63" i="3"/>
  <c r="W57" i="3"/>
  <c r="V57" i="3"/>
  <c r="W51" i="3"/>
  <c r="V51" i="3"/>
  <c r="W45" i="3"/>
  <c r="V45" i="3"/>
  <c r="W39" i="3"/>
  <c r="V39" i="3"/>
  <c r="W33" i="3"/>
  <c r="V33" i="3"/>
  <c r="W27" i="3"/>
  <c r="V27" i="3"/>
  <c r="U27" i="3"/>
  <c r="W21" i="3"/>
  <c r="V21" i="3"/>
  <c r="V15" i="3"/>
  <c r="W15" i="3"/>
  <c r="U15" i="3"/>
  <c r="W9" i="3"/>
  <c r="V9" i="3"/>
  <c r="U9" i="3"/>
  <c r="W3" i="3"/>
  <c r="V3" i="3"/>
  <c r="U3" i="3"/>
  <c r="U81" i="3"/>
  <c r="U21" i="3"/>
  <c r="U45" i="3"/>
  <c r="U87" i="3"/>
  <c r="U69" i="3"/>
  <c r="U51" i="3"/>
  <c r="U33" i="3"/>
  <c r="U93" i="3"/>
  <c r="U75" i="3"/>
  <c r="U57" i="3"/>
  <c r="U39" i="3"/>
  <c r="U385" i="3"/>
  <c r="V385" i="3"/>
  <c r="V276" i="3"/>
  <c r="U276" i="3"/>
  <c r="BB939" i="19"/>
  <c r="BB581" i="19"/>
  <c r="BB144" i="19"/>
  <c r="BB273" i="19"/>
  <c r="BB134" i="19"/>
  <c r="BB418" i="19"/>
  <c r="BB9" i="19"/>
  <c r="BB429" i="19"/>
  <c r="BB146" i="19"/>
  <c r="BB136" i="19"/>
  <c r="BB426" i="19"/>
  <c r="BB96" i="19"/>
  <c r="BB152" i="19"/>
  <c r="BB667" i="19"/>
  <c r="BB649" i="19"/>
  <c r="BB255" i="19"/>
  <c r="BB650" i="19"/>
  <c r="BB419" i="19"/>
  <c r="BB422" i="19"/>
  <c r="BB423" i="19"/>
  <c r="BB54" i="19"/>
  <c r="BB26" i="19"/>
  <c r="BB358" i="19"/>
  <c r="BB264" i="19"/>
  <c r="BB51" i="19"/>
  <c r="BB47" i="19"/>
  <c r="BB359" i="19"/>
  <c r="BB131" i="19"/>
  <c r="BB8" i="19"/>
  <c r="BB484" i="19"/>
  <c r="BB209" i="19"/>
  <c r="BB910" i="19"/>
  <c r="BB593" i="19"/>
  <c r="BB594" i="19"/>
  <c r="BB595" i="19"/>
  <c r="BB573" i="19"/>
  <c r="BB494" i="19"/>
  <c r="BB469" i="19"/>
  <c r="BB621" i="19"/>
  <c r="BB500" i="19"/>
  <c r="BB173" i="19"/>
  <c r="BB100" i="19"/>
  <c r="BB174" i="19"/>
  <c r="BB596" i="19"/>
  <c r="BB175" i="19"/>
  <c r="BB364" i="19"/>
  <c r="BB176" i="19"/>
  <c r="BB177" i="19"/>
  <c r="BB178" i="19"/>
  <c r="BB232" i="19"/>
  <c r="BB164" i="19"/>
  <c r="BB36" i="19"/>
  <c r="BB754" i="19"/>
  <c r="BB938" i="19"/>
  <c r="BB310" i="19"/>
  <c r="BB311" i="19"/>
  <c r="BB473" i="19"/>
  <c r="BB790" i="19"/>
  <c r="BB179" i="19"/>
  <c r="BB474" i="19"/>
  <c r="BB55" i="19"/>
  <c r="BB430" i="19"/>
  <c r="BB607" i="19"/>
  <c r="BB114" i="19"/>
  <c r="BB180" i="19"/>
  <c r="BB475" i="19"/>
  <c r="BB791" i="19"/>
  <c r="BB476" i="19"/>
  <c r="BB381" i="19"/>
  <c r="BB610" i="19"/>
  <c r="BB314" i="19"/>
  <c r="BB193" i="19"/>
  <c r="BB312" i="19"/>
  <c r="BB101" i="19"/>
  <c r="BB628" i="19"/>
  <c r="BB222" i="19"/>
  <c r="BB223" i="19"/>
  <c r="BB620" i="19"/>
  <c r="BB308" i="19"/>
  <c r="BB696" i="19"/>
  <c r="BB99" i="19"/>
  <c r="BB477" i="19"/>
  <c r="BB198" i="19"/>
  <c r="BB199" i="19"/>
  <c r="BB181" i="19"/>
  <c r="BB182" i="19"/>
  <c r="BB683" i="19"/>
  <c r="BB202" i="19"/>
  <c r="BB504" i="19"/>
  <c r="BB505" i="19"/>
  <c r="BB506" i="19"/>
  <c r="BB407" i="19"/>
  <c r="BB507" i="19"/>
  <c r="BB382" i="19"/>
  <c r="BB635" i="19"/>
  <c r="BB108" i="19"/>
  <c r="BB436" i="19"/>
  <c r="BB338" i="19"/>
  <c r="BB772" i="19"/>
  <c r="BB247" i="19"/>
  <c r="BB829" i="19"/>
  <c r="BB698" i="19"/>
  <c r="BB147" i="19"/>
  <c r="BB6" i="19"/>
  <c r="BB135" i="19"/>
  <c r="BB295" i="19"/>
  <c r="BB246" i="19"/>
  <c r="BB528" i="19"/>
  <c r="BB440" i="19"/>
  <c r="BB233" i="19"/>
  <c r="BB234" i="19"/>
  <c r="BB561" i="19"/>
  <c r="BB293" i="19"/>
  <c r="BB191" i="19"/>
  <c r="BB611" i="19"/>
  <c r="BB315" i="19"/>
  <c r="BB336" i="19"/>
  <c r="BB80" i="19"/>
  <c r="BB165" i="19"/>
  <c r="BB763" i="19"/>
  <c r="BB83" i="19"/>
  <c r="BB221" i="19"/>
  <c r="BB172" i="19"/>
  <c r="BB166" i="19"/>
  <c r="BB167" i="19"/>
  <c r="BB112" i="19"/>
  <c r="BB764" i="19"/>
  <c r="BB168" i="19"/>
  <c r="BB170" i="19"/>
  <c r="BB672" i="19"/>
  <c r="BB765" i="19"/>
  <c r="BB625" i="19"/>
  <c r="BB242" i="19"/>
  <c r="BB531" i="19"/>
  <c r="BB532" i="19"/>
  <c r="BB243" i="19"/>
  <c r="BB244" i="19"/>
  <c r="BB488" i="19"/>
  <c r="BB107" i="19"/>
  <c r="BB393" i="19"/>
  <c r="BB394" i="19"/>
  <c r="BB684" i="19"/>
  <c r="BB464" i="19"/>
  <c r="BB183" i="19"/>
  <c r="BB184" i="19"/>
  <c r="BB4" i="19"/>
  <c r="BB636" i="19"/>
  <c r="BB668" i="19"/>
  <c r="BB427" i="19"/>
  <c r="BB533" i="19"/>
  <c r="BB75" i="19"/>
  <c r="BB76" i="19"/>
  <c r="BB97" i="19"/>
  <c r="BB372" i="19"/>
  <c r="BB373" i="19"/>
  <c r="BB256" i="19"/>
  <c r="BB622" i="19"/>
  <c r="BB478" i="19"/>
  <c r="BB913" i="19"/>
  <c r="BB479" i="19"/>
  <c r="BB480" i="19"/>
  <c r="BB224" i="19"/>
  <c r="BB866" i="19"/>
  <c r="BB830" i="19"/>
  <c r="BB831" i="19"/>
  <c r="BB832" i="19"/>
  <c r="BB833" i="19"/>
  <c r="BB834" i="19"/>
  <c r="BB215" i="19"/>
  <c r="BB564" i="19"/>
  <c r="BB868" i="19"/>
  <c r="BB869" i="19"/>
  <c r="BB565" i="19"/>
  <c r="BB566" i="19"/>
  <c r="BB567" i="19"/>
  <c r="BB568" i="19"/>
  <c r="BB294" i="19"/>
  <c r="BB569" i="19"/>
  <c r="BB570" i="19"/>
  <c r="BB303" i="19"/>
  <c r="BB110" i="19"/>
  <c r="BB892" i="19"/>
  <c r="BB835" i="19"/>
  <c r="BB839" i="19"/>
  <c r="BB840" i="19"/>
  <c r="BB841" i="19"/>
  <c r="BB842" i="19"/>
  <c r="BB843" i="19"/>
  <c r="BB296" i="19"/>
  <c r="BB297" i="19"/>
  <c r="BB694" i="19"/>
  <c r="BB656" i="19"/>
  <c r="BB697" i="19"/>
  <c r="BB824" i="19"/>
  <c r="BB265" i="19"/>
  <c r="BB266" i="19"/>
  <c r="BB300" i="19"/>
  <c r="BB88" i="19"/>
  <c r="BB70" i="19"/>
  <c r="BB52" i="19"/>
  <c r="BB60" i="19"/>
  <c r="BB85" i="19"/>
  <c r="BB115" i="19"/>
  <c r="BB116" i="19"/>
  <c r="BB470" i="19"/>
  <c r="BB893" i="19"/>
  <c r="BB137" i="19"/>
  <c r="BB257" i="19"/>
  <c r="BB61" i="19"/>
  <c r="BB609" i="19"/>
  <c r="BB895" i="19"/>
  <c r="BB836" i="19"/>
  <c r="BB597" i="19"/>
  <c r="BB258" i="19"/>
  <c r="BB612" i="19"/>
  <c r="BB377" i="19"/>
  <c r="BB633" i="19"/>
  <c r="BB210" i="19"/>
  <c r="BB360" i="19"/>
  <c r="BB361" i="19"/>
  <c r="BB141" i="19"/>
  <c r="BB259" i="19"/>
  <c r="BB260" i="19"/>
  <c r="BB261" i="19"/>
  <c r="BB262" i="19"/>
  <c r="BB396" i="19"/>
  <c r="BB339" i="19"/>
  <c r="BB316" i="19"/>
  <c r="BB786" i="19"/>
  <c r="BB787" i="19"/>
  <c r="BB412" i="19"/>
  <c r="BB78" i="19"/>
  <c r="BB598" i="19"/>
  <c r="BB185" i="19"/>
  <c r="BB380" i="19"/>
  <c r="BB186" i="19"/>
  <c r="BB788" i="19"/>
  <c r="BB629" i="19"/>
  <c r="BB437" i="19"/>
  <c r="BB669" i="19"/>
  <c r="BB87" i="19"/>
  <c r="BB65" i="19"/>
  <c r="BB66" i="19"/>
  <c r="BB67" i="19"/>
  <c r="BB68" i="19"/>
  <c r="BB104" i="19"/>
  <c r="BB770" i="19"/>
  <c r="BB755" i="19"/>
  <c r="BB138" i="19"/>
  <c r="BB98" i="19"/>
  <c r="BB71" i="19"/>
  <c r="BB848" i="19"/>
  <c r="BB849" i="19"/>
  <c r="BB850" i="19"/>
  <c r="BB211" i="19"/>
  <c r="BB139" i="19"/>
  <c r="BB317" i="19"/>
  <c r="BB572" i="19"/>
  <c r="BB39" i="19"/>
  <c r="BB77" i="19"/>
  <c r="BB120" i="19"/>
  <c r="BB837" i="19"/>
  <c r="BB900" i="19"/>
  <c r="BB745" i="19"/>
  <c r="BB746" i="19"/>
  <c r="BB200" i="19"/>
  <c r="BB792" i="19"/>
  <c r="BB936" i="19"/>
  <c r="BB151" i="19"/>
  <c r="BB384" i="19"/>
  <c r="BB56" i="19"/>
  <c r="BB793" i="19"/>
  <c r="BB275" i="19"/>
  <c r="BB585" i="19"/>
  <c r="BB203" i="19"/>
  <c r="BB794" i="19"/>
  <c r="BB154" i="19"/>
  <c r="BB733" i="19"/>
  <c r="BB44" i="19"/>
  <c r="BB267" i="19"/>
  <c r="BB909" i="19"/>
  <c r="BB415" i="19"/>
  <c r="BB276" i="19"/>
  <c r="BB875" i="19"/>
  <c r="BB31" i="19"/>
  <c r="BB838" i="19"/>
  <c r="BB341" i="19"/>
  <c r="BB919" i="19"/>
  <c r="BB277" i="19"/>
  <c r="BB449" i="19"/>
  <c r="BB775" i="19"/>
  <c r="BB428" i="19"/>
  <c r="BB562" i="19"/>
  <c r="BB322" i="19"/>
  <c r="BB187" i="19"/>
  <c r="BB586" i="19"/>
  <c r="BB355" i="19"/>
  <c r="BB356" i="19"/>
  <c r="BB378" i="19"/>
  <c r="BB756" i="19"/>
  <c r="BB757" i="19"/>
  <c r="BB626" i="19"/>
  <c r="BB758" i="19"/>
  <c r="BB825" i="19"/>
  <c r="BB826" i="19"/>
  <c r="BB623" i="19"/>
  <c r="BB434" i="19"/>
  <c r="BB204" i="19"/>
  <c r="BB590" i="19"/>
  <c r="BB591" i="19"/>
  <c r="BB5" i="19"/>
  <c r="BB670" i="19"/>
  <c r="BB882" i="19"/>
  <c r="BB278" i="19"/>
  <c r="BB279" i="19"/>
  <c r="BB587" i="19"/>
  <c r="BB250" i="19"/>
  <c r="BB161" i="19"/>
  <c r="BB483" i="19"/>
  <c r="BB508" i="19"/>
  <c r="BB618" i="19"/>
  <c r="BB657" i="19"/>
  <c r="BB599" i="19"/>
  <c r="BB404" i="19"/>
  <c r="BB450" i="19"/>
  <c r="BB451" i="19"/>
  <c r="BB592" i="19"/>
  <c r="BB196" i="19"/>
  <c r="BB365" i="19"/>
  <c r="BB529" i="19"/>
  <c r="BB896" i="19"/>
  <c r="BB458" i="19"/>
  <c r="BB366" i="19"/>
  <c r="BB188" i="19"/>
  <c r="BB192" i="19"/>
  <c r="BB876" i="19"/>
  <c r="BB405" i="19"/>
  <c r="BB490" i="19"/>
  <c r="BB637" i="19"/>
  <c r="BB82" i="19"/>
  <c r="BB353" i="19"/>
  <c r="BB780" i="19"/>
  <c r="BB140" i="19"/>
  <c r="BB304" i="19"/>
  <c r="BB823" i="19"/>
  <c r="BB827" i="19"/>
  <c r="BB452" i="19"/>
  <c r="BB453" i="19"/>
  <c r="BB459" i="19"/>
  <c r="BB460" i="19"/>
  <c r="BB305" i="19"/>
  <c r="BB461" i="19"/>
  <c r="BB201" i="19"/>
  <c r="BB454" i="19"/>
  <c r="BB898" i="19"/>
  <c r="BB795" i="19"/>
  <c r="BB600" i="19"/>
  <c r="BB883" i="19"/>
  <c r="BB601" i="19"/>
  <c r="BB796" i="19"/>
  <c r="BB462" i="19"/>
  <c r="BB912" i="19"/>
  <c r="BB455" i="19"/>
  <c r="BB456" i="19"/>
  <c r="BB318" i="19"/>
  <c r="BB920" i="19"/>
  <c r="BB921" i="19"/>
  <c r="BB195" i="19"/>
  <c r="BB342" i="19"/>
  <c r="BB343" i="19"/>
  <c r="BB385" i="19"/>
  <c r="BB658" i="19"/>
  <c r="BB298" i="19"/>
  <c r="BB268" i="19"/>
  <c r="BB57" i="19"/>
  <c r="BB481" i="19"/>
  <c r="BB901" i="19"/>
  <c r="BB734" i="19"/>
  <c r="BB777" i="19"/>
  <c r="BB284" i="19"/>
  <c r="BB583" i="19"/>
  <c r="BB386" i="19"/>
  <c r="BB387" i="19"/>
  <c r="BB367" i="19"/>
  <c r="BB602" i="19"/>
  <c r="BB354" i="19"/>
  <c r="BB251" i="19"/>
  <c r="BB69" i="19"/>
  <c r="BB519" i="19"/>
  <c r="BB634" i="19"/>
  <c r="BB171" i="19"/>
  <c r="BB189" i="19"/>
  <c r="BB309" i="19"/>
  <c r="BB169" i="19"/>
  <c r="BB388" i="19"/>
  <c r="BB285" i="19"/>
  <c r="BB389" i="19"/>
  <c r="BB281" i="19"/>
  <c r="BB420" i="19"/>
  <c r="BB457" i="19"/>
  <c r="BB847" i="19"/>
  <c r="BB559" i="19"/>
  <c r="BB216" i="19"/>
  <c r="BB884" i="19"/>
  <c r="BB885" i="19"/>
  <c r="BB253" i="19"/>
  <c r="BB701" i="19"/>
  <c r="BB280" i="19"/>
  <c r="BB249" i="19"/>
  <c r="BB855" i="19"/>
  <c r="BB852" i="19"/>
  <c r="BB518" i="19"/>
  <c r="BB58" i="19"/>
  <c r="BB33" i="19"/>
  <c r="BB59" i="19"/>
  <c r="BB686" i="19"/>
  <c r="BB659" i="19"/>
  <c r="BB660" i="19"/>
  <c r="BB362" i="19"/>
  <c r="BB395" i="19"/>
  <c r="BB613" i="19"/>
  <c r="BB163" i="19"/>
  <c r="BB614" i="19"/>
  <c r="BB687" i="19"/>
  <c r="BB41" i="19"/>
  <c r="BB485" i="19"/>
  <c r="BB877" i="19"/>
  <c r="BB871" i="19"/>
  <c r="BB872" i="19"/>
  <c r="BB81" i="19"/>
  <c r="BB302" i="19"/>
  <c r="BB851" i="19"/>
  <c r="BB319" i="19"/>
  <c r="BB320" i="19"/>
  <c r="BB321" i="19"/>
  <c r="BB615" i="19"/>
  <c r="BB616" i="19"/>
  <c r="BB390" i="19"/>
  <c r="BB125" i="19"/>
  <c r="BB409" i="19"/>
  <c r="BB220" i="19"/>
  <c r="BB661" i="19"/>
  <c r="BB274" i="19"/>
  <c r="BB93" i="19"/>
  <c r="BB662" i="19"/>
  <c r="BB908" i="19"/>
  <c r="BB942" i="19"/>
  <c r="BB925" i="19"/>
  <c r="BB699" i="19"/>
  <c r="BB197" i="19"/>
  <c r="BB299" i="19"/>
  <c r="BB142" i="19"/>
  <c r="BB143" i="19"/>
  <c r="BB911" i="19"/>
  <c r="BB327" i="19"/>
  <c r="BB328" i="19"/>
  <c r="BB329" i="19"/>
  <c r="BB105" i="19"/>
  <c r="BB330" i="19"/>
  <c r="BB740" i="19"/>
  <c r="BB94" i="19"/>
  <c r="BB106" i="19"/>
  <c r="BB331" i="19"/>
  <c r="BB332" i="19"/>
  <c r="BB509" i="19"/>
  <c r="BB510" i="19"/>
  <c r="BB511" i="19"/>
  <c r="BB512" i="19"/>
  <c r="BB333" i="19"/>
  <c r="BB482" i="19"/>
  <c r="BB471" i="19"/>
  <c r="BB828" i="19"/>
  <c r="BB194" i="19"/>
  <c r="BB700" i="19"/>
  <c r="BB879" i="19"/>
  <c r="BB813" i="19"/>
  <c r="BB814" i="19"/>
  <c r="BB815" i="19"/>
  <c r="BB685" i="19"/>
  <c r="BB145" i="19"/>
  <c r="BB269" i="19"/>
  <c r="BB270" i="19"/>
  <c r="BB501" i="19"/>
  <c r="BB49" i="19"/>
  <c r="BB50" i="19"/>
  <c r="BB62" i="19"/>
  <c r="BB86" i="19"/>
  <c r="BB102" i="19"/>
  <c r="BB37" i="19"/>
  <c r="BB117" i="19"/>
  <c r="BB263" i="19"/>
  <c r="BB63" i="19"/>
  <c r="BB64" i="19"/>
  <c r="BB118" i="19"/>
  <c r="BB741" i="19"/>
  <c r="BB742" i="19"/>
  <c r="BB743" i="19"/>
  <c r="BB190" i="19"/>
  <c r="BB617" i="19"/>
  <c r="BB773" i="19"/>
  <c r="BB627" i="19"/>
  <c r="BB149" i="19"/>
  <c r="BB150" i="19"/>
  <c r="BB582" i="19"/>
  <c r="BB916" i="19"/>
  <c r="BB347" i="19"/>
  <c r="BB349" i="19"/>
  <c r="BB350" i="19"/>
  <c r="BB781" i="19"/>
  <c r="BB782" i="19"/>
  <c r="BB783" i="19"/>
  <c r="BB530" i="19"/>
  <c r="BB759" i="19"/>
  <c r="BB340" i="19"/>
  <c r="BB915" i="19"/>
  <c r="BB523" i="19"/>
  <c r="BB878" i="19"/>
  <c r="BB205" i="19"/>
  <c r="BB206" i="19"/>
  <c r="BB525" i="19"/>
  <c r="BB521" i="19"/>
  <c r="BB207" i="19"/>
  <c r="BB491" i="19"/>
  <c r="BB351" i="19"/>
  <c r="BB208" i="19"/>
  <c r="BB943" i="19"/>
  <c r="BB619" i="19"/>
  <c r="BB860" i="19"/>
  <c r="BB861" i="19"/>
  <c r="BB862" i="19"/>
  <c r="BB863" i="19"/>
  <c r="BB760" i="19"/>
  <c r="BB334" i="19"/>
  <c r="BB513" i="19"/>
  <c r="BB744" i="19"/>
  <c r="BB589" i="19"/>
  <c r="BB43" i="19"/>
  <c r="BB375" i="19"/>
  <c r="BB245" i="19"/>
  <c r="BB907" i="19"/>
  <c r="BB854" i="19"/>
  <c r="BB747" i="19"/>
  <c r="BB383" i="19"/>
  <c r="BB905" i="19"/>
  <c r="BB870" i="19"/>
  <c r="BB803" i="19"/>
  <c r="BB804" i="19"/>
  <c r="BB805" i="19"/>
  <c r="BB806" i="19"/>
  <c r="BB807" i="19"/>
  <c r="BB731" i="19"/>
  <c r="BB798" i="19"/>
  <c r="BB799" i="19"/>
  <c r="BB800" i="19"/>
  <c r="BB776" i="19"/>
  <c r="BB413" i="19"/>
  <c r="BB703" i="19"/>
  <c r="BB808" i="19"/>
  <c r="BB153" i="19"/>
  <c r="BB357" i="19"/>
  <c r="BB784" i="19"/>
  <c r="BB690" i="19"/>
  <c r="BB691" i="19"/>
  <c r="BB692" i="19"/>
  <c r="BB344" i="19"/>
  <c r="BB345" i="19"/>
  <c r="BB761" i="19"/>
  <c r="BB235" i="19"/>
  <c r="BB157" i="19"/>
  <c r="BB630" i="19"/>
  <c r="BB688" i="19"/>
  <c r="BB704" i="19"/>
  <c r="BB705" i="19"/>
  <c r="BB706" i="19"/>
  <c r="BB707" i="19"/>
  <c r="BB288" i="19"/>
  <c r="BB289" i="19"/>
  <c r="BB290" i="19"/>
  <c r="BB291" i="19"/>
  <c r="BB292" i="19"/>
  <c r="BB368" i="19"/>
  <c r="BB438" i="19"/>
  <c r="BB693" i="19"/>
  <c r="BB439" i="19"/>
  <c r="BB886" i="19"/>
  <c r="BB231" i="19"/>
  <c r="BB749" i="19"/>
  <c r="BB906" i="19"/>
  <c r="BB774" i="19"/>
  <c r="BB584" i="19"/>
  <c r="BB148" i="19"/>
  <c r="BB502" i="19"/>
  <c r="BB123" i="19"/>
  <c r="BB158" i="19"/>
  <c r="BB132" i="19"/>
  <c r="BB762" i="19"/>
  <c r="BB335" i="19"/>
  <c r="BB95" i="19"/>
  <c r="BB735" i="19"/>
  <c r="BB766" i="19"/>
  <c r="BB767" i="19"/>
  <c r="BB225" i="19"/>
  <c r="BB226" i="19"/>
  <c r="BB399" i="19"/>
  <c r="BB313" i="19"/>
  <c r="BB236" i="19"/>
  <c r="BB750" i="19"/>
  <c r="BB403" i="19"/>
  <c r="BB441" i="19"/>
  <c r="BB442" i="19"/>
  <c r="BB443" i="19"/>
  <c r="BB444" i="19"/>
  <c r="BB227" i="19"/>
  <c r="BB228" i="19"/>
  <c r="BB229" i="19"/>
  <c r="BB230" i="19"/>
  <c r="BB768" i="19"/>
  <c r="BB748" i="19"/>
  <c r="BB769" i="19"/>
  <c r="BB379" i="19"/>
  <c r="BB527" i="19"/>
  <c r="BB588" i="19"/>
  <c r="BB489" i="19"/>
  <c r="BB346" i="19"/>
  <c r="BB301" i="19"/>
  <c r="BB752" i="19"/>
  <c r="BB402" i="19"/>
  <c r="BB751" i="19"/>
  <c r="BB326" i="19"/>
  <c r="BB391" i="19"/>
  <c r="BB392" i="19"/>
  <c r="BB856" i="19"/>
  <c r="BB574" i="19"/>
  <c r="BB398" i="19"/>
  <c r="BB922" i="19"/>
  <c r="BB560" i="19"/>
  <c r="BB432" i="19"/>
  <c r="BB406" i="19"/>
  <c r="BB218" i="19"/>
  <c r="BB517" i="19"/>
  <c r="BB212" i="19"/>
  <c r="BB408" i="19"/>
  <c r="BB306" i="19"/>
  <c r="BB307" i="19"/>
  <c r="BB914" i="19"/>
  <c r="BB445" i="19"/>
  <c r="BB753" i="19"/>
  <c r="BB902" i="19"/>
  <c r="BB903" i="19"/>
  <c r="BB904" i="19"/>
  <c r="BB282" i="19"/>
  <c r="BB400" i="19"/>
  <c r="BB401" i="19"/>
  <c r="BB937" i="19"/>
  <c r="BB248" i="19"/>
  <c r="BB446" i="19"/>
  <c r="BB638" i="19"/>
  <c r="BB252" i="19"/>
  <c r="BB129" i="19"/>
  <c r="BB84" i="19"/>
  <c r="BB894" i="19"/>
  <c r="BB624" i="19"/>
  <c r="BB352" i="19"/>
  <c r="BB880" i="19"/>
  <c r="BB214" i="19"/>
  <c r="BB217" i="19"/>
  <c r="BB524" i="19"/>
  <c r="BB498" i="19"/>
  <c r="BB323" i="19"/>
  <c r="BB324" i="19"/>
  <c r="BB325" i="19"/>
  <c r="BB844" i="19"/>
  <c r="BB845" i="19"/>
  <c r="BB736" i="19"/>
  <c r="BB575" i="19"/>
  <c r="BB162" i="19"/>
  <c r="BB789" i="19"/>
  <c r="BB103" i="19"/>
  <c r="BB816" i="19"/>
  <c r="BB603" i="19"/>
  <c r="BB817" i="19"/>
  <c r="BB499" i="19"/>
  <c r="BB520" i="19"/>
  <c r="BB945" i="19"/>
  <c r="BB130" i="19"/>
  <c r="BB219" i="19"/>
  <c r="BB857" i="19"/>
  <c r="BB858" i="19"/>
  <c r="BB899" i="19"/>
  <c r="BB887" i="19"/>
  <c r="BB812" i="19"/>
  <c r="BB809" i="19"/>
  <c r="BB810" i="19"/>
  <c r="BB811" i="19"/>
  <c r="BB337" i="19"/>
  <c r="BB503" i="19"/>
  <c r="BB797" i="19"/>
  <c r="BB472" i="19"/>
  <c r="BB254" i="19"/>
  <c r="BB940" i="19"/>
  <c r="BB888" i="19"/>
  <c r="BB237" i="19"/>
  <c r="BB238" i="19"/>
  <c r="BB240" i="19"/>
  <c r="BB241" i="19"/>
  <c r="BB944" i="19"/>
  <c r="BB576" i="19"/>
  <c r="BB79" i="19"/>
  <c r="BB363" i="19"/>
  <c r="BB239" i="19"/>
  <c r="BB128" i="19"/>
  <c r="BB487" i="19"/>
  <c r="BB941" i="19"/>
  <c r="BB889" i="19"/>
  <c r="BB271" i="19"/>
  <c r="BB695" i="19"/>
  <c r="BB516" i="19"/>
  <c r="BB133" i="19"/>
  <c r="BB853" i="19"/>
  <c r="BB435" i="19"/>
  <c r="BB639" i="19"/>
  <c r="BB640" i="19"/>
  <c r="BB11" i="19"/>
  <c r="BB641" i="19"/>
  <c r="BB12" i="19"/>
  <c r="BB642" i="19"/>
  <c r="BB737" i="19"/>
  <c r="BB397" i="19"/>
  <c r="BB673" i="19"/>
  <c r="BB431" i="19"/>
  <c r="BB109" i="19"/>
  <c r="BB676" i="19"/>
  <c r="BB677" i="19"/>
  <c r="BB272" i="19"/>
  <c r="BB674" i="19"/>
  <c r="BB675" i="19"/>
  <c r="BB873" i="19"/>
  <c r="BB778" i="19"/>
  <c r="BB779" i="19"/>
  <c r="BB38" i="19"/>
  <c r="BB522" i="19"/>
  <c r="BB348" i="19"/>
  <c r="BB651" i="19"/>
  <c r="BB652" i="19"/>
  <c r="BB653" i="19"/>
  <c r="BB40" i="19"/>
  <c r="BB654" i="19"/>
  <c r="BB655" i="19"/>
  <c r="BB917" i="19"/>
  <c r="BB918" i="19"/>
  <c r="BB771" i="19"/>
  <c r="BB708" i="19"/>
  <c r="BB7" i="19"/>
  <c r="BB923" i="19"/>
  <c r="BB924" i="19"/>
  <c r="BB874" i="19"/>
  <c r="BB526" i="19"/>
  <c r="BB846" i="19"/>
  <c r="BB571" i="19"/>
  <c r="BB213" i="19"/>
  <c r="BB663" i="19"/>
  <c r="BB424" i="19"/>
  <c r="BB678" i="19"/>
  <c r="BB679" i="19"/>
  <c r="BB680" i="19"/>
  <c r="BB374" i="19"/>
  <c r="BB72" i="19"/>
  <c r="BB89" i="19"/>
  <c r="BB90" i="19"/>
  <c r="BB53" i="19"/>
  <c r="BB91" i="19"/>
  <c r="BB92" i="19"/>
  <c r="BB119" i="19"/>
  <c r="BB73" i="19"/>
  <c r="BB35" i="19"/>
  <c r="BB127" i="19"/>
  <c r="BB121" i="19"/>
  <c r="BB493" i="19"/>
  <c r="BB492" i="19"/>
  <c r="BB465" i="19"/>
  <c r="BB466" i="19"/>
  <c r="BB467" i="19"/>
  <c r="BB468" i="19"/>
  <c r="BB283" i="19"/>
  <c r="BB864" i="19"/>
  <c r="BB865" i="19"/>
  <c r="BB563" i="19"/>
  <c r="BB818" i="19"/>
  <c r="BB819" i="19"/>
  <c r="BB820" i="19"/>
  <c r="BB821" i="19"/>
  <c r="BB822" i="19"/>
  <c r="BB859" i="19"/>
  <c r="BB631" i="19"/>
  <c r="BB632" i="19"/>
  <c r="BB890" i="19"/>
  <c r="BB867" i="19"/>
  <c r="BB126" i="19"/>
  <c r="BB376" i="19"/>
  <c r="BB286" i="19"/>
  <c r="BB287" i="19"/>
  <c r="BB486" i="19"/>
  <c r="BB13" i="19"/>
  <c r="BB369" i="19"/>
  <c r="BB604" i="19"/>
  <c r="BB605" i="19"/>
  <c r="BB606" i="19"/>
  <c r="BB689" i="19"/>
  <c r="BB370" i="19"/>
  <c r="BB495" i="19"/>
  <c r="BB643" i="19"/>
  <c r="BB416" i="19"/>
  <c r="BB447" i="19"/>
  <c r="BB448" i="19"/>
  <c r="BB414" i="19"/>
  <c r="BB124" i="19"/>
  <c r="BB496" i="19"/>
  <c r="BB410" i="19"/>
  <c r="BB411" i="19"/>
  <c r="BB497" i="19"/>
  <c r="BB785" i="19"/>
  <c r="BB801" i="19"/>
  <c r="BB802" i="19"/>
  <c r="BB709" i="19"/>
  <c r="BB710" i="19"/>
  <c r="BB926" i="19"/>
  <c r="BB927" i="19"/>
  <c r="BB928" i="19"/>
  <c r="BB711" i="19"/>
  <c r="BB712" i="19"/>
  <c r="BB713" i="19"/>
  <c r="BB714" i="19"/>
  <c r="BB715" i="19"/>
  <c r="BB929" i="19"/>
  <c r="BB930" i="19"/>
  <c r="BB931" i="19"/>
  <c r="BB932" i="19"/>
  <c r="BB933" i="19"/>
  <c r="BB934" i="19"/>
  <c r="BB935" i="19"/>
  <c r="BB716" i="19"/>
  <c r="BB717" i="19"/>
  <c r="BB718" i="19"/>
  <c r="BB719" i="19"/>
  <c r="BB720" i="19"/>
  <c r="BB721" i="19"/>
  <c r="BB722" i="19"/>
  <c r="BB723" i="19"/>
  <c r="BB724" i="19"/>
  <c r="BB156" i="19"/>
  <c r="BB463" i="19"/>
  <c r="BB515" i="19"/>
  <c r="BB514" i="19"/>
  <c r="BB433" i="19"/>
  <c r="BB725" i="19"/>
  <c r="BB726" i="19"/>
  <c r="BB727" i="19"/>
  <c r="BB728" i="19"/>
  <c r="BB729" i="19"/>
  <c r="BB371" i="19"/>
  <c r="BB608" i="19"/>
  <c r="BB155" i="19"/>
  <c r="BB644" i="19"/>
  <c r="BB645" i="19"/>
  <c r="BB664" i="19"/>
  <c r="BB18" i="19"/>
  <c r="BB32" i="19"/>
  <c r="BB665" i="19"/>
  <c r="BB666" i="19"/>
  <c r="BB421" i="19"/>
  <c r="BB74" i="19"/>
  <c r="BB14" i="19"/>
  <c r="BB681" i="19"/>
  <c r="BB646" i="19"/>
  <c r="BB647" i="19"/>
  <c r="BB417" i="19"/>
  <c r="BB671" i="19"/>
  <c r="BB159" i="19"/>
  <c r="BB891" i="19"/>
  <c r="BB580" i="19"/>
  <c r="BB577" i="19"/>
  <c r="BB578" i="19"/>
  <c r="BB579" i="19"/>
  <c r="BB15" i="19"/>
  <c r="BB16" i="19"/>
  <c r="BB17" i="19"/>
  <c r="BB648" i="19"/>
  <c r="BB897" i="19"/>
  <c r="BB425" i="19"/>
  <c r="BB113" i="19"/>
  <c r="BB10" i="19"/>
  <c r="BB122" i="19"/>
  <c r="BB534" i="19"/>
  <c r="BB535" i="19"/>
  <c r="BB536" i="19"/>
  <c r="BB45" i="19"/>
  <c r="BB537" i="19"/>
  <c r="BB538" i="19"/>
  <c r="BB539" i="19"/>
  <c r="BB540" i="19"/>
  <c r="BB541" i="19"/>
  <c r="BB542" i="19"/>
  <c r="BB543" i="19"/>
  <c r="BB544" i="19"/>
  <c r="BB545" i="19"/>
  <c r="BB546" i="19"/>
  <c r="BB547" i="19"/>
  <c r="BB548" i="19"/>
  <c r="BB549" i="19"/>
  <c r="BB550" i="19"/>
  <c r="BB551" i="19"/>
  <c r="BB552" i="19"/>
  <c r="BB553" i="19"/>
  <c r="BB554" i="19"/>
  <c r="BB555" i="19"/>
  <c r="BB556" i="19"/>
  <c r="BB738" i="19"/>
  <c r="BB739" i="19"/>
  <c r="BB557" i="19"/>
  <c r="BB558" i="19"/>
  <c r="BB48" i="19"/>
  <c r="BB160" i="19"/>
  <c r="BB46" i="19"/>
  <c r="BB682" i="19"/>
  <c r="BB42" i="19"/>
  <c r="BB27" i="19"/>
  <c r="BB28" i="19"/>
  <c r="BB29" i="19"/>
  <c r="BB111" i="19"/>
  <c r="BB25" i="19"/>
  <c r="BB19" i="19"/>
  <c r="BB20" i="19"/>
  <c r="BB881" i="19"/>
  <c r="BB34" i="19"/>
  <c r="BB30" i="19"/>
  <c r="BB21" i="19"/>
  <c r="BB22" i="19"/>
  <c r="BB23" i="19"/>
  <c r="BB24" i="19"/>
  <c r="BB732" i="19"/>
  <c r="BB730" i="19"/>
  <c r="BB702" i="19"/>
  <c r="AZ939" i="19"/>
  <c r="AZ581" i="19"/>
  <c r="AZ144" i="19"/>
  <c r="AZ273" i="19"/>
  <c r="AZ134" i="19"/>
  <c r="AZ418" i="19"/>
  <c r="AZ9" i="19"/>
  <c r="AZ429" i="19"/>
  <c r="AZ146" i="19"/>
  <c r="AZ136" i="19"/>
  <c r="AZ426" i="19"/>
  <c r="AZ96" i="19"/>
  <c r="AZ152" i="19"/>
  <c r="AZ667" i="19"/>
  <c r="AZ649" i="19"/>
  <c r="AZ255" i="19"/>
  <c r="AZ650" i="19"/>
  <c r="AZ419" i="19"/>
  <c r="AZ422" i="19"/>
  <c r="AZ423" i="19"/>
  <c r="AZ54" i="19"/>
  <c r="AZ26" i="19"/>
  <c r="AZ358" i="19"/>
  <c r="AZ264" i="19"/>
  <c r="AZ51" i="19"/>
  <c r="AZ47" i="19"/>
  <c r="AZ359" i="19"/>
  <c r="AZ131" i="19"/>
  <c r="AZ8" i="19"/>
  <c r="AZ484" i="19"/>
  <c r="AZ209" i="19"/>
  <c r="AZ910" i="19"/>
  <c r="AZ593" i="19"/>
  <c r="AZ594" i="19"/>
  <c r="AZ595" i="19"/>
  <c r="AZ573" i="19"/>
  <c r="AZ494" i="19"/>
  <c r="AZ469" i="19"/>
  <c r="AZ621" i="19"/>
  <c r="AZ500" i="19"/>
  <c r="AZ173" i="19"/>
  <c r="AZ100" i="19"/>
  <c r="AZ174" i="19"/>
  <c r="AZ596" i="19"/>
  <c r="AZ175" i="19"/>
  <c r="AZ364" i="19"/>
  <c r="AZ176" i="19"/>
  <c r="AZ177" i="19"/>
  <c r="AZ178" i="19"/>
  <c r="AZ232" i="19"/>
  <c r="AZ164" i="19"/>
  <c r="AZ36" i="19"/>
  <c r="AZ754" i="19"/>
  <c r="AZ938" i="19"/>
  <c r="AZ310" i="19"/>
  <c r="AZ311" i="19"/>
  <c r="AZ473" i="19"/>
  <c r="AZ790" i="19"/>
  <c r="AZ179" i="19"/>
  <c r="AZ474" i="19"/>
  <c r="AZ55" i="19"/>
  <c r="AZ430" i="19"/>
  <c r="AZ607" i="19"/>
  <c r="AZ114" i="19"/>
  <c r="AZ180" i="19"/>
  <c r="AZ475" i="19"/>
  <c r="AZ791" i="19"/>
  <c r="AZ476" i="19"/>
  <c r="AZ381" i="19"/>
  <c r="AZ610" i="19"/>
  <c r="AZ314" i="19"/>
  <c r="AZ193" i="19"/>
  <c r="AZ312" i="19"/>
  <c r="AZ101" i="19"/>
  <c r="AZ628" i="19"/>
  <c r="AZ222" i="19"/>
  <c r="AZ223" i="19"/>
  <c r="AZ620" i="19"/>
  <c r="AZ308" i="19"/>
  <c r="AZ696" i="19"/>
  <c r="AZ99" i="19"/>
  <c r="AZ477" i="19"/>
  <c r="AZ198" i="19"/>
  <c r="AZ199" i="19"/>
  <c r="AZ181" i="19"/>
  <c r="AZ182" i="19"/>
  <c r="AZ683" i="19"/>
  <c r="AZ202" i="19"/>
  <c r="AZ504" i="19"/>
  <c r="AZ505" i="19"/>
  <c r="AZ506" i="19"/>
  <c r="AZ407" i="19"/>
  <c r="AZ507" i="19"/>
  <c r="AZ382" i="19"/>
  <c r="AZ635" i="19"/>
  <c r="AZ108" i="19"/>
  <c r="AZ436" i="19"/>
  <c r="AZ338" i="19"/>
  <c r="AZ772" i="19"/>
  <c r="AZ247" i="19"/>
  <c r="AZ829" i="19"/>
  <c r="AZ698" i="19"/>
  <c r="AZ147" i="19"/>
  <c r="AZ6" i="19"/>
  <c r="AZ135" i="19"/>
  <c r="AZ295" i="19"/>
  <c r="AZ246" i="19"/>
  <c r="AZ528" i="19"/>
  <c r="AZ440" i="19"/>
  <c r="AZ233" i="19"/>
  <c r="AZ234" i="19"/>
  <c r="AZ561" i="19"/>
  <c r="AZ293" i="19"/>
  <c r="AZ191" i="19"/>
  <c r="AZ611" i="19"/>
  <c r="AZ315" i="19"/>
  <c r="AZ336" i="19"/>
  <c r="AZ80" i="19"/>
  <c r="AZ165" i="19"/>
  <c r="AZ763" i="19"/>
  <c r="AZ83" i="19"/>
  <c r="AZ221" i="19"/>
  <c r="AZ172" i="19"/>
  <c r="AZ166" i="19"/>
  <c r="AZ167" i="19"/>
  <c r="AZ112" i="19"/>
  <c r="AZ764" i="19"/>
  <c r="AZ168" i="19"/>
  <c r="AZ170" i="19"/>
  <c r="AZ672" i="19"/>
  <c r="AZ765" i="19"/>
  <c r="AZ625" i="19"/>
  <c r="AZ242" i="19"/>
  <c r="AZ531" i="19"/>
  <c r="AZ532" i="19"/>
  <c r="AZ243" i="19"/>
  <c r="AZ244" i="19"/>
  <c r="AZ488" i="19"/>
  <c r="AZ107" i="19"/>
  <c r="AZ393" i="19"/>
  <c r="AZ394" i="19"/>
  <c r="AZ684" i="19"/>
  <c r="AZ464" i="19"/>
  <c r="AZ183" i="19"/>
  <c r="AZ184" i="19"/>
  <c r="AZ4" i="19"/>
  <c r="AZ636" i="19"/>
  <c r="AZ668" i="19"/>
  <c r="AZ427" i="19"/>
  <c r="AZ533" i="19"/>
  <c r="AZ75" i="19"/>
  <c r="AZ76" i="19"/>
  <c r="AZ97" i="19"/>
  <c r="AZ372" i="19"/>
  <c r="AZ373" i="19"/>
  <c r="AZ256" i="19"/>
  <c r="AZ622" i="19"/>
  <c r="AZ478" i="19"/>
  <c r="AZ913" i="19"/>
  <c r="AZ479" i="19"/>
  <c r="AZ480" i="19"/>
  <c r="AZ224" i="19"/>
  <c r="AZ866" i="19"/>
  <c r="AZ830" i="19"/>
  <c r="AZ831" i="19"/>
  <c r="AZ832" i="19"/>
  <c r="AZ833" i="19"/>
  <c r="AZ834" i="19"/>
  <c r="AZ215" i="19"/>
  <c r="AZ564" i="19"/>
  <c r="AZ868" i="19"/>
  <c r="AZ869" i="19"/>
  <c r="AZ565" i="19"/>
  <c r="AZ566" i="19"/>
  <c r="AZ567" i="19"/>
  <c r="AZ568" i="19"/>
  <c r="AZ294" i="19"/>
  <c r="AZ569" i="19"/>
  <c r="AZ570" i="19"/>
  <c r="AZ303" i="19"/>
  <c r="AZ110" i="19"/>
  <c r="AZ892" i="19"/>
  <c r="AZ835" i="19"/>
  <c r="AZ839" i="19"/>
  <c r="AZ840" i="19"/>
  <c r="AZ841" i="19"/>
  <c r="AZ842" i="19"/>
  <c r="AZ843" i="19"/>
  <c r="AZ296" i="19"/>
  <c r="AZ297" i="19"/>
  <c r="AZ694" i="19"/>
  <c r="AZ656" i="19"/>
  <c r="AZ697" i="19"/>
  <c r="AZ824" i="19"/>
  <c r="AZ265" i="19"/>
  <c r="AZ266" i="19"/>
  <c r="AZ300" i="19"/>
  <c r="AZ88" i="19"/>
  <c r="AZ70" i="19"/>
  <c r="AZ52" i="19"/>
  <c r="AZ60" i="19"/>
  <c r="AZ85" i="19"/>
  <c r="AZ115" i="19"/>
  <c r="AZ116" i="19"/>
  <c r="AZ470" i="19"/>
  <c r="AZ893" i="19"/>
  <c r="AZ137" i="19"/>
  <c r="AZ257" i="19"/>
  <c r="AZ61" i="19"/>
  <c r="AZ609" i="19"/>
  <c r="AZ895" i="19"/>
  <c r="AZ836" i="19"/>
  <c r="AZ597" i="19"/>
  <c r="AZ258" i="19"/>
  <c r="AZ612" i="19"/>
  <c r="AZ377" i="19"/>
  <c r="AZ633" i="19"/>
  <c r="AZ210" i="19"/>
  <c r="AZ360" i="19"/>
  <c r="AZ361" i="19"/>
  <c r="AZ141" i="19"/>
  <c r="AZ259" i="19"/>
  <c r="AZ260" i="19"/>
  <c r="AZ261" i="19"/>
  <c r="AZ262" i="19"/>
  <c r="AZ396" i="19"/>
  <c r="AZ339" i="19"/>
  <c r="AZ316" i="19"/>
  <c r="AZ786" i="19"/>
  <c r="AZ787" i="19"/>
  <c r="AZ412" i="19"/>
  <c r="AZ78" i="19"/>
  <c r="AZ598" i="19"/>
  <c r="AZ185" i="19"/>
  <c r="AZ380" i="19"/>
  <c r="AZ186" i="19"/>
  <c r="AZ788" i="19"/>
  <c r="AZ629" i="19"/>
  <c r="AZ437" i="19"/>
  <c r="AZ669" i="19"/>
  <c r="AZ87" i="19"/>
  <c r="AZ65" i="19"/>
  <c r="AZ66" i="19"/>
  <c r="AZ67" i="19"/>
  <c r="AZ68" i="19"/>
  <c r="AZ104" i="19"/>
  <c r="AZ770" i="19"/>
  <c r="AZ755" i="19"/>
  <c r="AZ138" i="19"/>
  <c r="AZ98" i="19"/>
  <c r="AZ71" i="19"/>
  <c r="AZ848" i="19"/>
  <c r="AZ849" i="19"/>
  <c r="AZ850" i="19"/>
  <c r="AZ211" i="19"/>
  <c r="AZ139" i="19"/>
  <c r="AZ317" i="19"/>
  <c r="AZ572" i="19"/>
  <c r="AZ39" i="19"/>
  <c r="AZ77" i="19"/>
  <c r="AZ120" i="19"/>
  <c r="AZ837" i="19"/>
  <c r="AZ900" i="19"/>
  <c r="AZ745" i="19"/>
  <c r="AZ746" i="19"/>
  <c r="AZ200" i="19"/>
  <c r="AZ792" i="19"/>
  <c r="AZ936" i="19"/>
  <c r="AZ151" i="19"/>
  <c r="AZ384" i="19"/>
  <c r="AZ56" i="19"/>
  <c r="AZ793" i="19"/>
  <c r="AZ275" i="19"/>
  <c r="AZ585" i="19"/>
  <c r="AZ203" i="19"/>
  <c r="AZ794" i="19"/>
  <c r="AZ154" i="19"/>
  <c r="AZ733" i="19"/>
  <c r="AZ44" i="19"/>
  <c r="AZ267" i="19"/>
  <c r="AZ909" i="19"/>
  <c r="AZ415" i="19"/>
  <c r="AZ276" i="19"/>
  <c r="AZ875" i="19"/>
  <c r="AZ31" i="19"/>
  <c r="AZ838" i="19"/>
  <c r="AZ341" i="19"/>
  <c r="AZ919" i="19"/>
  <c r="AZ277" i="19"/>
  <c r="AZ449" i="19"/>
  <c r="AZ775" i="19"/>
  <c r="AZ428" i="19"/>
  <c r="AZ562" i="19"/>
  <c r="AZ322" i="19"/>
  <c r="AZ187" i="19"/>
  <c r="AZ586" i="19"/>
  <c r="AZ355" i="19"/>
  <c r="AZ356" i="19"/>
  <c r="AZ378" i="19"/>
  <c r="AZ756" i="19"/>
  <c r="AZ757" i="19"/>
  <c r="AZ626" i="19"/>
  <c r="AZ758" i="19"/>
  <c r="AZ825" i="19"/>
  <c r="AZ826" i="19"/>
  <c r="AZ623" i="19"/>
  <c r="AZ434" i="19"/>
  <c r="AZ204" i="19"/>
  <c r="AZ590" i="19"/>
  <c r="AZ591" i="19"/>
  <c r="AZ5" i="19"/>
  <c r="AZ670" i="19"/>
  <c r="AZ882" i="19"/>
  <c r="AZ278" i="19"/>
  <c r="AZ279" i="19"/>
  <c r="AZ587" i="19"/>
  <c r="AZ250" i="19"/>
  <c r="AZ161" i="19"/>
  <c r="AZ483" i="19"/>
  <c r="AZ508" i="19"/>
  <c r="AZ618" i="19"/>
  <c r="AZ657" i="19"/>
  <c r="AZ599" i="19"/>
  <c r="AZ404" i="19"/>
  <c r="AZ450" i="19"/>
  <c r="AZ451" i="19"/>
  <c r="AZ592" i="19"/>
  <c r="AZ196" i="19"/>
  <c r="AZ365" i="19"/>
  <c r="AZ529" i="19"/>
  <c r="AZ896" i="19"/>
  <c r="AZ458" i="19"/>
  <c r="AZ366" i="19"/>
  <c r="AZ188" i="19"/>
  <c r="AZ192" i="19"/>
  <c r="AZ876" i="19"/>
  <c r="AZ405" i="19"/>
  <c r="AZ490" i="19"/>
  <c r="AZ637" i="19"/>
  <c r="AZ82" i="19"/>
  <c r="AZ353" i="19"/>
  <c r="AZ780" i="19"/>
  <c r="AZ140" i="19"/>
  <c r="AZ304" i="19"/>
  <c r="AZ823" i="19"/>
  <c r="AZ827" i="19"/>
  <c r="AZ452" i="19"/>
  <c r="AZ453" i="19"/>
  <c r="AZ459" i="19"/>
  <c r="AZ460" i="19"/>
  <c r="AZ305" i="19"/>
  <c r="AZ461" i="19"/>
  <c r="AZ201" i="19"/>
  <c r="AZ454" i="19"/>
  <c r="AZ898" i="19"/>
  <c r="AZ795" i="19"/>
  <c r="AZ600" i="19"/>
  <c r="AZ883" i="19"/>
  <c r="AZ601" i="19"/>
  <c r="AZ796" i="19"/>
  <c r="AZ462" i="19"/>
  <c r="AZ912" i="19"/>
  <c r="AZ455" i="19"/>
  <c r="AZ456" i="19"/>
  <c r="AZ318" i="19"/>
  <c r="AZ920" i="19"/>
  <c r="AZ921" i="19"/>
  <c r="AZ195" i="19"/>
  <c r="AZ342" i="19"/>
  <c r="AZ343" i="19"/>
  <c r="AZ385" i="19"/>
  <c r="AZ658" i="19"/>
  <c r="AZ298" i="19"/>
  <c r="AZ268" i="19"/>
  <c r="AZ57" i="19"/>
  <c r="AZ481" i="19"/>
  <c r="AZ901" i="19"/>
  <c r="AZ734" i="19"/>
  <c r="AZ777" i="19"/>
  <c r="AZ284" i="19"/>
  <c r="AZ583" i="19"/>
  <c r="AZ386" i="19"/>
  <c r="AZ387" i="19"/>
  <c r="AZ367" i="19"/>
  <c r="AZ602" i="19"/>
  <c r="AZ354" i="19"/>
  <c r="AZ251" i="19"/>
  <c r="AZ69" i="19"/>
  <c r="AZ519" i="19"/>
  <c r="AZ634" i="19"/>
  <c r="AZ171" i="19"/>
  <c r="AZ189" i="19"/>
  <c r="AZ309" i="19"/>
  <c r="AZ169" i="19"/>
  <c r="AZ388" i="19"/>
  <c r="AZ285" i="19"/>
  <c r="AZ389" i="19"/>
  <c r="AZ281" i="19"/>
  <c r="AZ420" i="19"/>
  <c r="AZ457" i="19"/>
  <c r="AZ847" i="19"/>
  <c r="AZ559" i="19"/>
  <c r="AZ216" i="19"/>
  <c r="AZ884" i="19"/>
  <c r="AZ885" i="19"/>
  <c r="AZ253" i="19"/>
  <c r="AZ701" i="19"/>
  <c r="AZ280" i="19"/>
  <c r="AZ249" i="19"/>
  <c r="AZ855" i="19"/>
  <c r="AZ852" i="19"/>
  <c r="AZ518" i="19"/>
  <c r="AZ58" i="19"/>
  <c r="AZ33" i="19"/>
  <c r="AZ59" i="19"/>
  <c r="AZ686" i="19"/>
  <c r="AZ659" i="19"/>
  <c r="AZ660" i="19"/>
  <c r="AZ362" i="19"/>
  <c r="AZ395" i="19"/>
  <c r="AZ613" i="19"/>
  <c r="AZ163" i="19"/>
  <c r="AZ614" i="19"/>
  <c r="AZ687" i="19"/>
  <c r="AZ41" i="19"/>
  <c r="AZ485" i="19"/>
  <c r="AZ877" i="19"/>
  <c r="AZ871" i="19"/>
  <c r="AZ872" i="19"/>
  <c r="AZ81" i="19"/>
  <c r="AZ302" i="19"/>
  <c r="AZ851" i="19"/>
  <c r="AZ319" i="19"/>
  <c r="AZ320" i="19"/>
  <c r="AZ321" i="19"/>
  <c r="AZ615" i="19"/>
  <c r="AZ616" i="19"/>
  <c r="AZ390" i="19"/>
  <c r="AZ125" i="19"/>
  <c r="AZ409" i="19"/>
  <c r="AZ220" i="19"/>
  <c r="AZ661" i="19"/>
  <c r="AZ274" i="19"/>
  <c r="AZ93" i="19"/>
  <c r="AZ662" i="19"/>
  <c r="AZ908" i="19"/>
  <c r="AZ942" i="19"/>
  <c r="AZ925" i="19"/>
  <c r="AZ699" i="19"/>
  <c r="AZ197" i="19"/>
  <c r="AZ299" i="19"/>
  <c r="AZ142" i="19"/>
  <c r="AZ143" i="19"/>
  <c r="AZ911" i="19"/>
  <c r="AZ327" i="19"/>
  <c r="AZ328" i="19"/>
  <c r="AZ329" i="19"/>
  <c r="AZ105" i="19"/>
  <c r="AZ330" i="19"/>
  <c r="AZ740" i="19"/>
  <c r="AZ94" i="19"/>
  <c r="AZ106" i="19"/>
  <c r="AZ331" i="19"/>
  <c r="AZ332" i="19"/>
  <c r="AZ509" i="19"/>
  <c r="AZ510" i="19"/>
  <c r="AZ511" i="19"/>
  <c r="AZ512" i="19"/>
  <c r="AZ333" i="19"/>
  <c r="AZ482" i="19"/>
  <c r="AZ471" i="19"/>
  <c r="AZ828" i="19"/>
  <c r="AZ194" i="19"/>
  <c r="AZ700" i="19"/>
  <c r="AZ879" i="19"/>
  <c r="AZ813" i="19"/>
  <c r="AZ814" i="19"/>
  <c r="AZ815" i="19"/>
  <c r="AZ685" i="19"/>
  <c r="AZ145" i="19"/>
  <c r="AZ269" i="19"/>
  <c r="AZ270" i="19"/>
  <c r="AZ501" i="19"/>
  <c r="AZ49" i="19"/>
  <c r="AZ50" i="19"/>
  <c r="AZ62" i="19"/>
  <c r="AZ86" i="19"/>
  <c r="AZ102" i="19"/>
  <c r="AZ37" i="19"/>
  <c r="AZ117" i="19"/>
  <c r="AZ263" i="19"/>
  <c r="AZ63" i="19"/>
  <c r="AZ64" i="19"/>
  <c r="AZ118" i="19"/>
  <c r="AZ741" i="19"/>
  <c r="AZ742" i="19"/>
  <c r="AZ743" i="19"/>
  <c r="AZ190" i="19"/>
  <c r="AZ617" i="19"/>
  <c r="AZ773" i="19"/>
  <c r="AZ627" i="19"/>
  <c r="AZ149" i="19"/>
  <c r="AZ150" i="19"/>
  <c r="AZ582" i="19"/>
  <c r="AZ916" i="19"/>
  <c r="AZ347" i="19"/>
  <c r="AZ349" i="19"/>
  <c r="AZ350" i="19"/>
  <c r="AZ781" i="19"/>
  <c r="AZ782" i="19"/>
  <c r="AZ783" i="19"/>
  <c r="AZ530" i="19"/>
  <c r="AZ759" i="19"/>
  <c r="AZ340" i="19"/>
  <c r="AZ915" i="19"/>
  <c r="AZ523" i="19"/>
  <c r="AZ878" i="19"/>
  <c r="AZ205" i="19"/>
  <c r="AZ206" i="19"/>
  <c r="AZ525" i="19"/>
  <c r="AZ521" i="19"/>
  <c r="AZ207" i="19"/>
  <c r="AZ491" i="19"/>
  <c r="AZ351" i="19"/>
  <c r="AZ208" i="19"/>
  <c r="AZ943" i="19"/>
  <c r="AZ619" i="19"/>
  <c r="AZ860" i="19"/>
  <c r="AZ861" i="19"/>
  <c r="AZ862" i="19"/>
  <c r="AZ863" i="19"/>
  <c r="AZ760" i="19"/>
  <c r="AZ334" i="19"/>
  <c r="AZ513" i="19"/>
  <c r="AZ744" i="19"/>
  <c r="AZ589" i="19"/>
  <c r="AZ43" i="19"/>
  <c r="AZ375" i="19"/>
  <c r="AZ245" i="19"/>
  <c r="AZ907" i="19"/>
  <c r="AZ854" i="19"/>
  <c r="AZ747" i="19"/>
  <c r="AZ383" i="19"/>
  <c r="AZ905" i="19"/>
  <c r="AZ870" i="19"/>
  <c r="AZ803" i="19"/>
  <c r="AZ804" i="19"/>
  <c r="AZ805" i="19"/>
  <c r="AZ806" i="19"/>
  <c r="AZ807" i="19"/>
  <c r="AZ731" i="19"/>
  <c r="AZ798" i="19"/>
  <c r="AZ799" i="19"/>
  <c r="AZ800" i="19"/>
  <c r="AZ776" i="19"/>
  <c r="AZ413" i="19"/>
  <c r="AZ703" i="19"/>
  <c r="AZ808" i="19"/>
  <c r="AZ153" i="19"/>
  <c r="AZ357" i="19"/>
  <c r="AZ784" i="19"/>
  <c r="AZ690" i="19"/>
  <c r="AZ691" i="19"/>
  <c r="AZ692" i="19"/>
  <c r="AZ344" i="19"/>
  <c r="AZ345" i="19"/>
  <c r="AZ761" i="19"/>
  <c r="AZ235" i="19"/>
  <c r="AZ157" i="19"/>
  <c r="AZ630" i="19"/>
  <c r="AZ688" i="19"/>
  <c r="AZ704" i="19"/>
  <c r="AZ705" i="19"/>
  <c r="AZ706" i="19"/>
  <c r="AZ707" i="19"/>
  <c r="AZ288" i="19"/>
  <c r="AZ289" i="19"/>
  <c r="AZ290" i="19"/>
  <c r="AZ291" i="19"/>
  <c r="AZ292" i="19"/>
  <c r="AZ368" i="19"/>
  <c r="AZ438" i="19"/>
  <c r="AZ693" i="19"/>
  <c r="AZ439" i="19"/>
  <c r="AZ886" i="19"/>
  <c r="AZ231" i="19"/>
  <c r="AZ749" i="19"/>
  <c r="AZ906" i="19"/>
  <c r="AZ774" i="19"/>
  <c r="AZ584" i="19"/>
  <c r="AZ148" i="19"/>
  <c r="AZ502" i="19"/>
  <c r="AZ123" i="19"/>
  <c r="AZ158" i="19"/>
  <c r="AZ132" i="19"/>
  <c r="AZ762" i="19"/>
  <c r="AZ335" i="19"/>
  <c r="AZ95" i="19"/>
  <c r="AZ735" i="19"/>
  <c r="AZ766" i="19"/>
  <c r="AZ767" i="19"/>
  <c r="AZ225" i="19"/>
  <c r="AZ226" i="19"/>
  <c r="AZ399" i="19"/>
  <c r="AZ313" i="19"/>
  <c r="AZ236" i="19"/>
  <c r="AZ750" i="19"/>
  <c r="AZ403" i="19"/>
  <c r="AZ441" i="19"/>
  <c r="AZ442" i="19"/>
  <c r="AZ443" i="19"/>
  <c r="AZ444" i="19"/>
  <c r="AZ227" i="19"/>
  <c r="AZ228" i="19"/>
  <c r="AZ229" i="19"/>
  <c r="AZ230" i="19"/>
  <c r="AZ768" i="19"/>
  <c r="AZ748" i="19"/>
  <c r="AZ769" i="19"/>
  <c r="AZ379" i="19"/>
  <c r="AZ527" i="19"/>
  <c r="AZ588" i="19"/>
  <c r="AZ489" i="19"/>
  <c r="AZ346" i="19"/>
  <c r="AZ301" i="19"/>
  <c r="AZ752" i="19"/>
  <c r="AZ402" i="19"/>
  <c r="AZ751" i="19"/>
  <c r="AZ326" i="19"/>
  <c r="AZ391" i="19"/>
  <c r="AZ392" i="19"/>
  <c r="AZ856" i="19"/>
  <c r="AZ574" i="19"/>
  <c r="AZ398" i="19"/>
  <c r="AZ922" i="19"/>
  <c r="AZ560" i="19"/>
  <c r="AZ432" i="19"/>
  <c r="AZ406" i="19"/>
  <c r="AZ218" i="19"/>
  <c r="AZ517" i="19"/>
  <c r="AZ212" i="19"/>
  <c r="AZ408" i="19"/>
  <c r="AZ306" i="19"/>
  <c r="AZ307" i="19"/>
  <c r="AZ914" i="19"/>
  <c r="AZ445" i="19"/>
  <c r="AZ753" i="19"/>
  <c r="AZ902" i="19"/>
  <c r="AZ903" i="19"/>
  <c r="AZ904" i="19"/>
  <c r="AZ282" i="19"/>
  <c r="AZ400" i="19"/>
  <c r="AZ401" i="19"/>
  <c r="AZ937" i="19"/>
  <c r="AZ248" i="19"/>
  <c r="AZ446" i="19"/>
  <c r="AZ638" i="19"/>
  <c r="AZ252" i="19"/>
  <c r="AZ129" i="19"/>
  <c r="AZ84" i="19"/>
  <c r="AZ894" i="19"/>
  <c r="AZ624" i="19"/>
  <c r="AZ352" i="19"/>
  <c r="AZ880" i="19"/>
  <c r="AZ214" i="19"/>
  <c r="AZ217" i="19"/>
  <c r="AZ524" i="19"/>
  <c r="AZ498" i="19"/>
  <c r="AZ323" i="19"/>
  <c r="AZ324" i="19"/>
  <c r="AZ325" i="19"/>
  <c r="AZ844" i="19"/>
  <c r="AZ845" i="19"/>
  <c r="AZ736" i="19"/>
  <c r="AZ575" i="19"/>
  <c r="AZ162" i="19"/>
  <c r="AZ789" i="19"/>
  <c r="AZ103" i="19"/>
  <c r="AZ816" i="19"/>
  <c r="AZ603" i="19"/>
  <c r="AZ817" i="19"/>
  <c r="AZ499" i="19"/>
  <c r="AZ520" i="19"/>
  <c r="AZ945" i="19"/>
  <c r="AZ130" i="19"/>
  <c r="AZ219" i="19"/>
  <c r="AZ857" i="19"/>
  <c r="AZ858" i="19"/>
  <c r="AZ899" i="19"/>
  <c r="AZ887" i="19"/>
  <c r="AZ812" i="19"/>
  <c r="AZ809" i="19"/>
  <c r="AZ810" i="19"/>
  <c r="AZ811" i="19"/>
  <c r="AZ337" i="19"/>
  <c r="AZ503" i="19"/>
  <c r="AZ797" i="19"/>
  <c r="AZ472" i="19"/>
  <c r="AZ254" i="19"/>
  <c r="AZ940" i="19"/>
  <c r="AZ888" i="19"/>
  <c r="AZ237" i="19"/>
  <c r="AZ238" i="19"/>
  <c r="AZ240" i="19"/>
  <c r="AZ241" i="19"/>
  <c r="AZ944" i="19"/>
  <c r="AZ576" i="19"/>
  <c r="AZ79" i="19"/>
  <c r="AZ363" i="19"/>
  <c r="AZ239" i="19"/>
  <c r="AZ128" i="19"/>
  <c r="AZ487" i="19"/>
  <c r="AZ941" i="19"/>
  <c r="AZ889" i="19"/>
  <c r="AZ271" i="19"/>
  <c r="AZ695" i="19"/>
  <c r="AZ516" i="19"/>
  <c r="AZ133" i="19"/>
  <c r="AZ853" i="19"/>
  <c r="AZ435" i="19"/>
  <c r="AZ639" i="19"/>
  <c r="AZ640" i="19"/>
  <c r="AZ11" i="19"/>
  <c r="AZ641" i="19"/>
  <c r="AZ12" i="19"/>
  <c r="AZ642" i="19"/>
  <c r="AZ737" i="19"/>
  <c r="AZ397" i="19"/>
  <c r="AZ673" i="19"/>
  <c r="AZ431" i="19"/>
  <c r="AZ109" i="19"/>
  <c r="AZ676" i="19"/>
  <c r="AZ677" i="19"/>
  <c r="AZ272" i="19"/>
  <c r="AZ674" i="19"/>
  <c r="AZ675" i="19"/>
  <c r="AZ873" i="19"/>
  <c r="AZ778" i="19"/>
  <c r="AZ779" i="19"/>
  <c r="AZ38" i="19"/>
  <c r="AZ522" i="19"/>
  <c r="AZ348" i="19"/>
  <c r="AZ651" i="19"/>
  <c r="AZ652" i="19"/>
  <c r="AZ653" i="19"/>
  <c r="AZ40" i="19"/>
  <c r="AZ654" i="19"/>
  <c r="AZ655" i="19"/>
  <c r="AZ917" i="19"/>
  <c r="AZ918" i="19"/>
  <c r="AZ771" i="19"/>
  <c r="AZ708" i="19"/>
  <c r="AZ7" i="19"/>
  <c r="AZ923" i="19"/>
  <c r="AZ924" i="19"/>
  <c r="AZ874" i="19"/>
  <c r="AZ526" i="19"/>
  <c r="AZ846" i="19"/>
  <c r="AZ571" i="19"/>
  <c r="AZ213" i="19"/>
  <c r="AZ663" i="19"/>
  <c r="AZ424" i="19"/>
  <c r="AZ678" i="19"/>
  <c r="AZ679" i="19"/>
  <c r="AZ680" i="19"/>
  <c r="AZ374" i="19"/>
  <c r="AZ72" i="19"/>
  <c r="AZ89" i="19"/>
  <c r="AZ90" i="19"/>
  <c r="AZ53" i="19"/>
  <c r="AZ91" i="19"/>
  <c r="AZ92" i="19"/>
  <c r="AZ119" i="19"/>
  <c r="AZ73" i="19"/>
  <c r="AZ35" i="19"/>
  <c r="AZ127" i="19"/>
  <c r="AZ121" i="19"/>
  <c r="AZ493" i="19"/>
  <c r="AZ492" i="19"/>
  <c r="AZ465" i="19"/>
  <c r="AZ466" i="19"/>
  <c r="AZ467" i="19"/>
  <c r="AZ468" i="19"/>
  <c r="AZ283" i="19"/>
  <c r="AZ864" i="19"/>
  <c r="AZ865" i="19"/>
  <c r="AZ563" i="19"/>
  <c r="AZ818" i="19"/>
  <c r="AZ819" i="19"/>
  <c r="AZ820" i="19"/>
  <c r="AZ821" i="19"/>
  <c r="AZ822" i="19"/>
  <c r="AZ859" i="19"/>
  <c r="AZ631" i="19"/>
  <c r="AZ632" i="19"/>
  <c r="AZ890" i="19"/>
  <c r="AZ867" i="19"/>
  <c r="AZ126" i="19"/>
  <c r="AZ376" i="19"/>
  <c r="AZ286" i="19"/>
  <c r="AZ287" i="19"/>
  <c r="AZ486" i="19"/>
  <c r="AZ13" i="19"/>
  <c r="AZ369" i="19"/>
  <c r="AZ604" i="19"/>
  <c r="AZ605" i="19"/>
  <c r="AZ606" i="19"/>
  <c r="AZ689" i="19"/>
  <c r="AZ370" i="19"/>
  <c r="AZ495" i="19"/>
  <c r="AZ643" i="19"/>
  <c r="AZ416" i="19"/>
  <c r="AZ447" i="19"/>
  <c r="AZ448" i="19"/>
  <c r="AZ414" i="19"/>
  <c r="AZ124" i="19"/>
  <c r="AZ496" i="19"/>
  <c r="AZ410" i="19"/>
  <c r="AZ411" i="19"/>
  <c r="AZ497" i="19"/>
  <c r="AZ785" i="19"/>
  <c r="AZ801" i="19"/>
  <c r="AZ802" i="19"/>
  <c r="AZ709" i="19"/>
  <c r="AZ710" i="19"/>
  <c r="AZ926" i="19"/>
  <c r="AZ927" i="19"/>
  <c r="AZ928" i="19"/>
  <c r="AZ711" i="19"/>
  <c r="AZ712" i="19"/>
  <c r="AZ713" i="19"/>
  <c r="AZ714" i="19"/>
  <c r="AZ715" i="19"/>
  <c r="AZ929" i="19"/>
  <c r="AZ930" i="19"/>
  <c r="AZ931" i="19"/>
  <c r="AZ932" i="19"/>
  <c r="AZ933" i="19"/>
  <c r="AZ934" i="19"/>
  <c r="AZ935" i="19"/>
  <c r="AZ716" i="19"/>
  <c r="AZ717" i="19"/>
  <c r="AZ718" i="19"/>
  <c r="AZ719" i="19"/>
  <c r="AZ720" i="19"/>
  <c r="AZ721" i="19"/>
  <c r="AZ722" i="19"/>
  <c r="AZ723" i="19"/>
  <c r="AZ724" i="19"/>
  <c r="AZ156" i="19"/>
  <c r="AZ463" i="19"/>
  <c r="AZ515" i="19"/>
  <c r="AZ514" i="19"/>
  <c r="AZ433" i="19"/>
  <c r="AZ725" i="19"/>
  <c r="AZ726" i="19"/>
  <c r="AZ727" i="19"/>
  <c r="AZ728" i="19"/>
  <c r="AZ729" i="19"/>
  <c r="AZ371" i="19"/>
  <c r="AZ608" i="19"/>
  <c r="AZ155" i="19"/>
  <c r="AZ644" i="19"/>
  <c r="AZ645" i="19"/>
  <c r="AZ664" i="19"/>
  <c r="AZ18" i="19"/>
  <c r="AZ32" i="19"/>
  <c r="AZ665" i="19"/>
  <c r="AZ666" i="19"/>
  <c r="AZ421" i="19"/>
  <c r="AZ74" i="19"/>
  <c r="AZ14" i="19"/>
  <c r="AZ681" i="19"/>
  <c r="AZ646" i="19"/>
  <c r="AZ647" i="19"/>
  <c r="AZ417" i="19"/>
  <c r="AZ671" i="19"/>
  <c r="AZ159" i="19"/>
  <c r="AZ891" i="19"/>
  <c r="AZ580" i="19"/>
  <c r="AZ577" i="19"/>
  <c r="AZ578" i="19"/>
  <c r="AZ579" i="19"/>
  <c r="AZ15" i="19"/>
  <c r="AZ16" i="19"/>
  <c r="AZ17" i="19"/>
  <c r="AZ648" i="19"/>
  <c r="AZ897" i="19"/>
  <c r="AZ425" i="19"/>
  <c r="AZ113" i="19"/>
  <c r="AZ10" i="19"/>
  <c r="AZ122" i="19"/>
  <c r="AZ534" i="19"/>
  <c r="AZ535" i="19"/>
  <c r="AZ536" i="19"/>
  <c r="AZ45" i="19"/>
  <c r="AZ537" i="19"/>
  <c r="AZ538" i="19"/>
  <c r="AZ539" i="19"/>
  <c r="AZ540" i="19"/>
  <c r="AZ541" i="19"/>
  <c r="AZ542" i="19"/>
  <c r="AZ543" i="19"/>
  <c r="AZ544" i="19"/>
  <c r="AZ545" i="19"/>
  <c r="AZ546" i="19"/>
  <c r="AZ547" i="19"/>
  <c r="AZ548" i="19"/>
  <c r="AZ549" i="19"/>
  <c r="AZ550" i="19"/>
  <c r="AZ551" i="19"/>
  <c r="AZ552" i="19"/>
  <c r="AZ553" i="19"/>
  <c r="AZ554" i="19"/>
  <c r="AZ555" i="19"/>
  <c r="AZ556" i="19"/>
  <c r="AZ738" i="19"/>
  <c r="AZ739" i="19"/>
  <c r="AZ557" i="19"/>
  <c r="AZ558" i="19"/>
  <c r="AZ48" i="19"/>
  <c r="AZ160" i="19"/>
  <c r="AZ46" i="19"/>
  <c r="AZ682" i="19"/>
  <c r="AZ42" i="19"/>
  <c r="AZ27" i="19"/>
  <c r="AZ28" i="19"/>
  <c r="AZ29" i="19"/>
  <c r="AZ111" i="19"/>
  <c r="AZ25" i="19"/>
  <c r="AZ19" i="19"/>
  <c r="AZ20" i="19"/>
  <c r="AZ881" i="19"/>
  <c r="AZ34" i="19"/>
  <c r="AZ30" i="19"/>
  <c r="AZ21" i="19"/>
  <c r="AZ22" i="19"/>
  <c r="AZ23" i="19"/>
  <c r="AZ24" i="19"/>
  <c r="AZ732" i="19"/>
  <c r="AZ730" i="19"/>
  <c r="AZ702" i="19"/>
  <c r="AW939" i="19"/>
  <c r="AW581" i="19"/>
  <c r="AW144" i="19"/>
  <c r="AW273" i="19"/>
  <c r="AW134" i="19"/>
  <c r="AW418" i="19"/>
  <c r="AW9" i="19"/>
  <c r="AW429" i="19"/>
  <c r="AW146" i="19"/>
  <c r="AW136" i="19"/>
  <c r="AW426" i="19"/>
  <c r="AW96" i="19"/>
  <c r="AW152" i="19"/>
  <c r="AW667" i="19"/>
  <c r="AW649" i="19"/>
  <c r="AW255" i="19"/>
  <c r="AW650" i="19"/>
  <c r="AW419" i="19"/>
  <c r="AW422" i="19"/>
  <c r="AW423" i="19"/>
  <c r="AW54" i="19"/>
  <c r="AW26" i="19"/>
  <c r="AW358" i="19"/>
  <c r="AW264" i="19"/>
  <c r="AW51" i="19"/>
  <c r="AW47" i="19"/>
  <c r="AW359" i="19"/>
  <c r="AW131" i="19"/>
  <c r="AW8" i="19"/>
  <c r="AW484" i="19"/>
  <c r="AW209" i="19"/>
  <c r="AW910" i="19"/>
  <c r="AW593" i="19"/>
  <c r="AW594" i="19"/>
  <c r="AW595" i="19"/>
  <c r="AW573" i="19"/>
  <c r="AW494" i="19"/>
  <c r="AW469" i="19"/>
  <c r="AW621" i="19"/>
  <c r="AW500" i="19"/>
  <c r="AW173" i="19"/>
  <c r="AW100" i="19"/>
  <c r="AW174" i="19"/>
  <c r="AW596" i="19"/>
  <c r="AW175" i="19"/>
  <c r="AW364" i="19"/>
  <c r="AW176" i="19"/>
  <c r="AW177" i="19"/>
  <c r="AW178" i="19"/>
  <c r="AW232" i="19"/>
  <c r="AW164" i="19"/>
  <c r="AW36" i="19"/>
  <c r="AW754" i="19"/>
  <c r="AW938" i="19"/>
  <c r="AW310" i="19"/>
  <c r="AW311" i="19"/>
  <c r="AW473" i="19"/>
  <c r="AW790" i="19"/>
  <c r="AW179" i="19"/>
  <c r="AW474" i="19"/>
  <c r="AW55" i="19"/>
  <c r="AW430" i="19"/>
  <c r="AW607" i="19"/>
  <c r="AW114" i="19"/>
  <c r="AW180" i="19"/>
  <c r="AW475" i="19"/>
  <c r="AW791" i="19"/>
  <c r="AW476" i="19"/>
  <c r="AW381" i="19"/>
  <c r="AW610" i="19"/>
  <c r="AW314" i="19"/>
  <c r="AW193" i="19"/>
  <c r="AW312" i="19"/>
  <c r="AW101" i="19"/>
  <c r="AW628" i="19"/>
  <c r="AW222" i="19"/>
  <c r="AW223" i="19"/>
  <c r="AW620" i="19"/>
  <c r="AW308" i="19"/>
  <c r="AW696" i="19"/>
  <c r="AW99" i="19"/>
  <c r="AW477" i="19"/>
  <c r="AW198" i="19"/>
  <c r="AW199" i="19"/>
  <c r="AW181" i="19"/>
  <c r="AW182" i="19"/>
  <c r="AW683" i="19"/>
  <c r="AW202" i="19"/>
  <c r="AW504" i="19"/>
  <c r="AW505" i="19"/>
  <c r="AW506" i="19"/>
  <c r="AW407" i="19"/>
  <c r="AW507" i="19"/>
  <c r="AW382" i="19"/>
  <c r="AW635" i="19"/>
  <c r="AW108" i="19"/>
  <c r="AW436" i="19"/>
  <c r="AW338" i="19"/>
  <c r="AW772" i="19"/>
  <c r="AW247" i="19"/>
  <c r="AW829" i="19"/>
  <c r="AW698" i="19"/>
  <c r="AW147" i="19"/>
  <c r="AW6" i="19"/>
  <c r="AW135" i="19"/>
  <c r="AW295" i="19"/>
  <c r="AW246" i="19"/>
  <c r="AW528" i="19"/>
  <c r="AW440" i="19"/>
  <c r="AW233" i="19"/>
  <c r="AW234" i="19"/>
  <c r="AW561" i="19"/>
  <c r="AW293" i="19"/>
  <c r="AW191" i="19"/>
  <c r="AW611" i="19"/>
  <c r="AW315" i="19"/>
  <c r="AW336" i="19"/>
  <c r="AW80" i="19"/>
  <c r="AW165" i="19"/>
  <c r="AW763" i="19"/>
  <c r="AW83" i="19"/>
  <c r="AW221" i="19"/>
  <c r="AW172" i="19"/>
  <c r="AW166" i="19"/>
  <c r="AW167" i="19"/>
  <c r="AW112" i="19"/>
  <c r="AW764" i="19"/>
  <c r="AW168" i="19"/>
  <c r="AW170" i="19"/>
  <c r="AW672" i="19"/>
  <c r="AW765" i="19"/>
  <c r="AW625" i="19"/>
  <c r="AW242" i="19"/>
  <c r="AW531" i="19"/>
  <c r="AW532" i="19"/>
  <c r="AW243" i="19"/>
  <c r="AW244" i="19"/>
  <c r="AW488" i="19"/>
  <c r="AW107" i="19"/>
  <c r="AW393" i="19"/>
  <c r="AW394" i="19"/>
  <c r="AW684" i="19"/>
  <c r="AW464" i="19"/>
  <c r="AW183" i="19"/>
  <c r="AW184" i="19"/>
  <c r="AW4" i="19"/>
  <c r="AW636" i="19"/>
  <c r="AW668" i="19"/>
  <c r="AW427" i="19"/>
  <c r="AW533" i="19"/>
  <c r="AW75" i="19"/>
  <c r="AW76" i="19"/>
  <c r="AW97" i="19"/>
  <c r="AW372" i="19"/>
  <c r="AW373" i="19"/>
  <c r="AW256" i="19"/>
  <c r="AW622" i="19"/>
  <c r="AW478" i="19"/>
  <c r="AW913" i="19"/>
  <c r="AW479" i="19"/>
  <c r="AW480" i="19"/>
  <c r="AW224" i="19"/>
  <c r="AW866" i="19"/>
  <c r="AW830" i="19"/>
  <c r="AW831" i="19"/>
  <c r="AW832" i="19"/>
  <c r="AW833" i="19"/>
  <c r="AW834" i="19"/>
  <c r="AW215" i="19"/>
  <c r="AW564" i="19"/>
  <c r="AW868" i="19"/>
  <c r="AW869" i="19"/>
  <c r="AW565" i="19"/>
  <c r="AW566" i="19"/>
  <c r="AW567" i="19"/>
  <c r="AW568" i="19"/>
  <c r="AW294" i="19"/>
  <c r="AW569" i="19"/>
  <c r="AW570" i="19"/>
  <c r="AW303" i="19"/>
  <c r="AW110" i="19"/>
  <c r="AW892" i="19"/>
  <c r="AW835" i="19"/>
  <c r="AW839" i="19"/>
  <c r="AW840" i="19"/>
  <c r="AW841" i="19"/>
  <c r="AW842" i="19"/>
  <c r="AW843" i="19"/>
  <c r="AW296" i="19"/>
  <c r="AW297" i="19"/>
  <c r="AW694" i="19"/>
  <c r="AW656" i="19"/>
  <c r="AW697" i="19"/>
  <c r="AW824" i="19"/>
  <c r="AW265" i="19"/>
  <c r="AW266" i="19"/>
  <c r="AW300" i="19"/>
  <c r="AW88" i="19"/>
  <c r="AW70" i="19"/>
  <c r="AW52" i="19"/>
  <c r="AW60" i="19"/>
  <c r="AW85" i="19"/>
  <c r="AW115" i="19"/>
  <c r="AW116" i="19"/>
  <c r="AW470" i="19"/>
  <c r="AW893" i="19"/>
  <c r="AW137" i="19"/>
  <c r="AW257" i="19"/>
  <c r="AW61" i="19"/>
  <c r="AW609" i="19"/>
  <c r="AW895" i="19"/>
  <c r="AW836" i="19"/>
  <c r="AW597" i="19"/>
  <c r="AW258" i="19"/>
  <c r="AW612" i="19"/>
  <c r="AW377" i="19"/>
  <c r="AW633" i="19"/>
  <c r="AW210" i="19"/>
  <c r="AW360" i="19"/>
  <c r="AW361" i="19"/>
  <c r="AW141" i="19"/>
  <c r="AW259" i="19"/>
  <c r="AW260" i="19"/>
  <c r="AW261" i="19"/>
  <c r="AW262" i="19"/>
  <c r="AW396" i="19"/>
  <c r="AW339" i="19"/>
  <c r="AW316" i="19"/>
  <c r="AW786" i="19"/>
  <c r="AW787" i="19"/>
  <c r="AW412" i="19"/>
  <c r="AW78" i="19"/>
  <c r="AW598" i="19"/>
  <c r="AW185" i="19"/>
  <c r="AW380" i="19"/>
  <c r="AW186" i="19"/>
  <c r="AW788" i="19"/>
  <c r="AW629" i="19"/>
  <c r="AW437" i="19"/>
  <c r="AW669" i="19"/>
  <c r="AW87" i="19"/>
  <c r="AW65" i="19"/>
  <c r="AW66" i="19"/>
  <c r="AW67" i="19"/>
  <c r="AW68" i="19"/>
  <c r="AW104" i="19"/>
  <c r="AW770" i="19"/>
  <c r="AW755" i="19"/>
  <c r="AW138" i="19"/>
  <c r="AW98" i="19"/>
  <c r="AW71" i="19"/>
  <c r="AW848" i="19"/>
  <c r="AW849" i="19"/>
  <c r="AW850" i="19"/>
  <c r="AW211" i="19"/>
  <c r="AW139" i="19"/>
  <c r="AW317" i="19"/>
  <c r="AW572" i="19"/>
  <c r="AW39" i="19"/>
  <c r="AW77" i="19"/>
  <c r="AW120" i="19"/>
  <c r="AW837" i="19"/>
  <c r="AW900" i="19"/>
  <c r="AW745" i="19"/>
  <c r="AW746" i="19"/>
  <c r="AW200" i="19"/>
  <c r="AW792" i="19"/>
  <c r="AW936" i="19"/>
  <c r="AW151" i="19"/>
  <c r="AW384" i="19"/>
  <c r="AW56" i="19"/>
  <c r="AW793" i="19"/>
  <c r="AW275" i="19"/>
  <c r="AW585" i="19"/>
  <c r="AW203" i="19"/>
  <c r="AW794" i="19"/>
  <c r="AW154" i="19"/>
  <c r="AW733" i="19"/>
  <c r="AW44" i="19"/>
  <c r="AW267" i="19"/>
  <c r="AW909" i="19"/>
  <c r="AW415" i="19"/>
  <c r="AW276" i="19"/>
  <c r="AW875" i="19"/>
  <c r="AW31" i="19"/>
  <c r="AW838" i="19"/>
  <c r="AW341" i="19"/>
  <c r="AW919" i="19"/>
  <c r="AW277" i="19"/>
  <c r="AW449" i="19"/>
  <c r="AW775" i="19"/>
  <c r="AW428" i="19"/>
  <c r="AW562" i="19"/>
  <c r="AW322" i="19"/>
  <c r="AW187" i="19"/>
  <c r="AW586" i="19"/>
  <c r="AW355" i="19"/>
  <c r="AW356" i="19"/>
  <c r="AW378" i="19"/>
  <c r="AW756" i="19"/>
  <c r="AW757" i="19"/>
  <c r="AW626" i="19"/>
  <c r="AW758" i="19"/>
  <c r="AW825" i="19"/>
  <c r="AW826" i="19"/>
  <c r="AW623" i="19"/>
  <c r="AW434" i="19"/>
  <c r="AW204" i="19"/>
  <c r="AW590" i="19"/>
  <c r="AW591" i="19"/>
  <c r="AW5" i="19"/>
  <c r="AW670" i="19"/>
  <c r="AW882" i="19"/>
  <c r="AW278" i="19"/>
  <c r="AW279" i="19"/>
  <c r="AW587" i="19"/>
  <c r="AW250" i="19"/>
  <c r="AW161" i="19"/>
  <c r="AW483" i="19"/>
  <c r="AW508" i="19"/>
  <c r="AW618" i="19"/>
  <c r="AW657" i="19"/>
  <c r="AW599" i="19"/>
  <c r="AW404" i="19"/>
  <c r="AW450" i="19"/>
  <c r="AW451" i="19"/>
  <c r="AW592" i="19"/>
  <c r="AW196" i="19"/>
  <c r="AW365" i="19"/>
  <c r="AW529" i="19"/>
  <c r="AW896" i="19"/>
  <c r="AW458" i="19"/>
  <c r="AW366" i="19"/>
  <c r="AW188" i="19"/>
  <c r="AW192" i="19"/>
  <c r="AW876" i="19"/>
  <c r="AW405" i="19"/>
  <c r="AW490" i="19"/>
  <c r="AW637" i="19"/>
  <c r="AW82" i="19"/>
  <c r="AW353" i="19"/>
  <c r="AW780" i="19"/>
  <c r="AW140" i="19"/>
  <c r="AW304" i="19"/>
  <c r="AW823" i="19"/>
  <c r="AW827" i="19"/>
  <c r="AW452" i="19"/>
  <c r="AW453" i="19"/>
  <c r="AW459" i="19"/>
  <c r="AW460" i="19"/>
  <c r="AW305" i="19"/>
  <c r="AW461" i="19"/>
  <c r="AW201" i="19"/>
  <c r="AW454" i="19"/>
  <c r="AW898" i="19"/>
  <c r="AW795" i="19"/>
  <c r="AW600" i="19"/>
  <c r="AW883" i="19"/>
  <c r="AW601" i="19"/>
  <c r="AW796" i="19"/>
  <c r="AW462" i="19"/>
  <c r="AW912" i="19"/>
  <c r="AW455" i="19"/>
  <c r="AW456" i="19"/>
  <c r="AW318" i="19"/>
  <c r="AW920" i="19"/>
  <c r="AW921" i="19"/>
  <c r="AW195" i="19"/>
  <c r="AW342" i="19"/>
  <c r="AW343" i="19"/>
  <c r="AW385" i="19"/>
  <c r="AW658" i="19"/>
  <c r="AW298" i="19"/>
  <c r="AW268" i="19"/>
  <c r="AW57" i="19"/>
  <c r="AW481" i="19"/>
  <c r="AW901" i="19"/>
  <c r="AW734" i="19"/>
  <c r="AW777" i="19"/>
  <c r="AW284" i="19"/>
  <c r="AW583" i="19"/>
  <c r="AW386" i="19"/>
  <c r="AW387" i="19"/>
  <c r="AW367" i="19"/>
  <c r="AW602" i="19"/>
  <c r="AW354" i="19"/>
  <c r="AW251" i="19"/>
  <c r="AW69" i="19"/>
  <c r="AW519" i="19"/>
  <c r="AW634" i="19"/>
  <c r="AW171" i="19"/>
  <c r="AW189" i="19"/>
  <c r="AW309" i="19"/>
  <c r="AW169" i="19"/>
  <c r="AW388" i="19"/>
  <c r="AW285" i="19"/>
  <c r="AW389" i="19"/>
  <c r="AW281" i="19"/>
  <c r="AW420" i="19"/>
  <c r="AW457" i="19"/>
  <c r="AW847" i="19"/>
  <c r="AW559" i="19"/>
  <c r="AW216" i="19"/>
  <c r="AW884" i="19"/>
  <c r="AW885" i="19"/>
  <c r="AW253" i="19"/>
  <c r="AW701" i="19"/>
  <c r="AW280" i="19"/>
  <c r="AW249" i="19"/>
  <c r="AW855" i="19"/>
  <c r="AW852" i="19"/>
  <c r="AW518" i="19"/>
  <c r="AW58" i="19"/>
  <c r="AW33" i="19"/>
  <c r="AW59" i="19"/>
  <c r="AW686" i="19"/>
  <c r="AW659" i="19"/>
  <c r="AW660" i="19"/>
  <c r="AW362" i="19"/>
  <c r="AW395" i="19"/>
  <c r="AW613" i="19"/>
  <c r="AW163" i="19"/>
  <c r="AW614" i="19"/>
  <c r="AW687" i="19"/>
  <c r="AW41" i="19"/>
  <c r="AW485" i="19"/>
  <c r="AW877" i="19"/>
  <c r="AW871" i="19"/>
  <c r="AW872" i="19"/>
  <c r="AW81" i="19"/>
  <c r="AW302" i="19"/>
  <c r="AW851" i="19"/>
  <c r="AW319" i="19"/>
  <c r="AW320" i="19"/>
  <c r="AW321" i="19"/>
  <c r="AW615" i="19"/>
  <c r="AW616" i="19"/>
  <c r="AW390" i="19"/>
  <c r="AW125" i="19"/>
  <c r="AW409" i="19"/>
  <c r="AW220" i="19"/>
  <c r="AW661" i="19"/>
  <c r="AW274" i="19"/>
  <c r="AW93" i="19"/>
  <c r="AW662" i="19"/>
  <c r="AW908" i="19"/>
  <c r="AW942" i="19"/>
  <c r="AW925" i="19"/>
  <c r="AW699" i="19"/>
  <c r="AW197" i="19"/>
  <c r="AW299" i="19"/>
  <c r="AW142" i="19"/>
  <c r="AW143" i="19"/>
  <c r="AW911" i="19"/>
  <c r="AW327" i="19"/>
  <c r="AW328" i="19"/>
  <c r="AW329" i="19"/>
  <c r="AW105" i="19"/>
  <c r="AW330" i="19"/>
  <c r="AW740" i="19"/>
  <c r="AW94" i="19"/>
  <c r="AW106" i="19"/>
  <c r="AW331" i="19"/>
  <c r="AW332" i="19"/>
  <c r="AW509" i="19"/>
  <c r="AW510" i="19"/>
  <c r="AW511" i="19"/>
  <c r="AW512" i="19"/>
  <c r="AW333" i="19"/>
  <c r="AW482" i="19"/>
  <c r="AW471" i="19"/>
  <c r="AW828" i="19"/>
  <c r="AW194" i="19"/>
  <c r="AW700" i="19"/>
  <c r="AW879" i="19"/>
  <c r="AW813" i="19"/>
  <c r="AW814" i="19"/>
  <c r="AW815" i="19"/>
  <c r="AW685" i="19"/>
  <c r="AW145" i="19"/>
  <c r="AW269" i="19"/>
  <c r="AW270" i="19"/>
  <c r="AW501" i="19"/>
  <c r="AW49" i="19"/>
  <c r="AW50" i="19"/>
  <c r="AW62" i="19"/>
  <c r="AW86" i="19"/>
  <c r="AW102" i="19"/>
  <c r="AW37" i="19"/>
  <c r="AW117" i="19"/>
  <c r="AW263" i="19"/>
  <c r="AW63" i="19"/>
  <c r="AW64" i="19"/>
  <c r="AW118" i="19"/>
  <c r="AW741" i="19"/>
  <c r="AW742" i="19"/>
  <c r="AW743" i="19"/>
  <c r="AW190" i="19"/>
  <c r="AW617" i="19"/>
  <c r="AW773" i="19"/>
  <c r="AW627" i="19"/>
  <c r="AW149" i="19"/>
  <c r="AW150" i="19"/>
  <c r="AW582" i="19"/>
  <c r="AW916" i="19"/>
  <c r="AW347" i="19"/>
  <c r="AW349" i="19"/>
  <c r="AW350" i="19"/>
  <c r="AW781" i="19"/>
  <c r="AW782" i="19"/>
  <c r="AW783" i="19"/>
  <c r="AW530" i="19"/>
  <c r="AW759" i="19"/>
  <c r="AW340" i="19"/>
  <c r="AW915" i="19"/>
  <c r="AW523" i="19"/>
  <c r="AW878" i="19"/>
  <c r="AW205" i="19"/>
  <c r="AW206" i="19"/>
  <c r="AW525" i="19"/>
  <c r="AW521" i="19"/>
  <c r="AW207" i="19"/>
  <c r="AW491" i="19"/>
  <c r="AW351" i="19"/>
  <c r="AW208" i="19"/>
  <c r="AW943" i="19"/>
  <c r="AW619" i="19"/>
  <c r="AW860" i="19"/>
  <c r="AW861" i="19"/>
  <c r="AW862" i="19"/>
  <c r="AW863" i="19"/>
  <c r="AW760" i="19"/>
  <c r="AW334" i="19"/>
  <c r="AW513" i="19"/>
  <c r="AW744" i="19"/>
  <c r="AW589" i="19"/>
  <c r="AW43" i="19"/>
  <c r="AW375" i="19"/>
  <c r="AW245" i="19"/>
  <c r="AW907" i="19"/>
  <c r="AW854" i="19"/>
  <c r="AW747" i="19"/>
  <c r="AW383" i="19"/>
  <c r="AW905" i="19"/>
  <c r="AW870" i="19"/>
  <c r="AW803" i="19"/>
  <c r="AW804" i="19"/>
  <c r="AW805" i="19"/>
  <c r="AW806" i="19"/>
  <c r="AW807" i="19"/>
  <c r="AW731" i="19"/>
  <c r="AW798" i="19"/>
  <c r="AW799" i="19"/>
  <c r="AW800" i="19"/>
  <c r="AW776" i="19"/>
  <c r="AW413" i="19"/>
  <c r="AW703" i="19"/>
  <c r="AW808" i="19"/>
  <c r="AW153" i="19"/>
  <c r="AW357" i="19"/>
  <c r="AW784" i="19"/>
  <c r="AW690" i="19"/>
  <c r="AW691" i="19"/>
  <c r="AW692" i="19"/>
  <c r="AW344" i="19"/>
  <c r="AW345" i="19"/>
  <c r="AW761" i="19"/>
  <c r="AW235" i="19"/>
  <c r="AW157" i="19"/>
  <c r="AW630" i="19"/>
  <c r="AW688" i="19"/>
  <c r="AW704" i="19"/>
  <c r="AW705" i="19"/>
  <c r="AW706" i="19"/>
  <c r="AW707" i="19"/>
  <c r="AW288" i="19"/>
  <c r="AW289" i="19"/>
  <c r="AW290" i="19"/>
  <c r="AW291" i="19"/>
  <c r="AW292" i="19"/>
  <c r="AW368" i="19"/>
  <c r="AW438" i="19"/>
  <c r="AW693" i="19"/>
  <c r="AW439" i="19"/>
  <c r="AW886" i="19"/>
  <c r="AW231" i="19"/>
  <c r="AW749" i="19"/>
  <c r="AW906" i="19"/>
  <c r="AW774" i="19"/>
  <c r="AW584" i="19"/>
  <c r="AW148" i="19"/>
  <c r="AW502" i="19"/>
  <c r="AW123" i="19"/>
  <c r="AW158" i="19"/>
  <c r="AW132" i="19"/>
  <c r="AW762" i="19"/>
  <c r="AW335" i="19"/>
  <c r="AW95" i="19"/>
  <c r="AW735" i="19"/>
  <c r="AW766" i="19"/>
  <c r="AW767" i="19"/>
  <c r="AW225" i="19"/>
  <c r="AW226" i="19"/>
  <c r="AW399" i="19"/>
  <c r="AW313" i="19"/>
  <c r="AW236" i="19"/>
  <c r="AW750" i="19"/>
  <c r="AW403" i="19"/>
  <c r="AW441" i="19"/>
  <c r="AW442" i="19"/>
  <c r="AW443" i="19"/>
  <c r="AW444" i="19"/>
  <c r="AW227" i="19"/>
  <c r="AW228" i="19"/>
  <c r="AW229" i="19"/>
  <c r="AW230" i="19"/>
  <c r="AW768" i="19"/>
  <c r="AW748" i="19"/>
  <c r="AW769" i="19"/>
  <c r="AW379" i="19"/>
  <c r="AW527" i="19"/>
  <c r="AW588" i="19"/>
  <c r="AW489" i="19"/>
  <c r="AW346" i="19"/>
  <c r="AW301" i="19"/>
  <c r="AW752" i="19"/>
  <c r="AW402" i="19"/>
  <c r="AW751" i="19"/>
  <c r="AW326" i="19"/>
  <c r="AW391" i="19"/>
  <c r="AW392" i="19"/>
  <c r="AW856" i="19"/>
  <c r="AW574" i="19"/>
  <c r="AW398" i="19"/>
  <c r="AW922" i="19"/>
  <c r="AW560" i="19"/>
  <c r="AW432" i="19"/>
  <c r="AW406" i="19"/>
  <c r="AW218" i="19"/>
  <c r="AW517" i="19"/>
  <c r="AW212" i="19"/>
  <c r="AW408" i="19"/>
  <c r="AW306" i="19"/>
  <c r="AW307" i="19"/>
  <c r="AW914" i="19"/>
  <c r="AW445" i="19"/>
  <c r="AW753" i="19"/>
  <c r="AW902" i="19"/>
  <c r="AW903" i="19"/>
  <c r="AW904" i="19"/>
  <c r="AW282" i="19"/>
  <c r="AW400" i="19"/>
  <c r="AW401" i="19"/>
  <c r="AW937" i="19"/>
  <c r="AW248" i="19"/>
  <c r="AW446" i="19"/>
  <c r="AW638" i="19"/>
  <c r="AW252" i="19"/>
  <c r="AW129" i="19"/>
  <c r="AW84" i="19"/>
  <c r="AW894" i="19"/>
  <c r="AW624" i="19"/>
  <c r="AW352" i="19"/>
  <c r="AW880" i="19"/>
  <c r="AW214" i="19"/>
  <c r="AW217" i="19"/>
  <c r="AW524" i="19"/>
  <c r="AW498" i="19"/>
  <c r="AW323" i="19"/>
  <c r="AW324" i="19"/>
  <c r="AW325" i="19"/>
  <c r="AW844" i="19"/>
  <c r="AW845" i="19"/>
  <c r="AW736" i="19"/>
  <c r="AW575" i="19"/>
  <c r="AW162" i="19"/>
  <c r="AW789" i="19"/>
  <c r="AW103" i="19"/>
  <c r="AW816" i="19"/>
  <c r="AW603" i="19"/>
  <c r="AW817" i="19"/>
  <c r="AW499" i="19"/>
  <c r="AW520" i="19"/>
  <c r="AW945" i="19"/>
  <c r="AW130" i="19"/>
  <c r="AW219" i="19"/>
  <c r="AW857" i="19"/>
  <c r="AW858" i="19"/>
  <c r="AW899" i="19"/>
  <c r="AW887" i="19"/>
  <c r="AW812" i="19"/>
  <c r="AW809" i="19"/>
  <c r="AW810" i="19"/>
  <c r="AW811" i="19"/>
  <c r="AW337" i="19"/>
  <c r="AW503" i="19"/>
  <c r="AW797" i="19"/>
  <c r="AW472" i="19"/>
  <c r="AW254" i="19"/>
  <c r="AW940" i="19"/>
  <c r="AW888" i="19"/>
  <c r="AW237" i="19"/>
  <c r="AW238" i="19"/>
  <c r="AW240" i="19"/>
  <c r="AW241" i="19"/>
  <c r="AW944" i="19"/>
  <c r="AW576" i="19"/>
  <c r="AW79" i="19"/>
  <c r="AW363" i="19"/>
  <c r="AW239" i="19"/>
  <c r="AW128" i="19"/>
  <c r="AW487" i="19"/>
  <c r="AW941" i="19"/>
  <c r="AW889" i="19"/>
  <c r="AW271" i="19"/>
  <c r="AW695" i="19"/>
  <c r="AW516" i="19"/>
  <c r="AW133" i="19"/>
  <c r="AW853" i="19"/>
  <c r="AW435" i="19"/>
  <c r="AW639" i="19"/>
  <c r="AW640" i="19"/>
  <c r="AW11" i="19"/>
  <c r="AW641" i="19"/>
  <c r="AW12" i="19"/>
  <c r="AW642" i="19"/>
  <c r="AW737" i="19"/>
  <c r="AW397" i="19"/>
  <c r="AW673" i="19"/>
  <c r="AW431" i="19"/>
  <c r="AW109" i="19"/>
  <c r="AW676" i="19"/>
  <c r="AW677" i="19"/>
  <c r="AW272" i="19"/>
  <c r="AW674" i="19"/>
  <c r="AW675" i="19"/>
  <c r="AW873" i="19"/>
  <c r="AW778" i="19"/>
  <c r="AW779" i="19"/>
  <c r="AW38" i="19"/>
  <c r="AW522" i="19"/>
  <c r="AW348" i="19"/>
  <c r="AW651" i="19"/>
  <c r="AW652" i="19"/>
  <c r="AW653" i="19"/>
  <c r="AW40" i="19"/>
  <c r="AW654" i="19"/>
  <c r="AW655" i="19"/>
  <c r="AW917" i="19"/>
  <c r="AW918" i="19"/>
  <c r="AW771" i="19"/>
  <c r="AW708" i="19"/>
  <c r="AW7" i="19"/>
  <c r="AW923" i="19"/>
  <c r="AW924" i="19"/>
  <c r="AW874" i="19"/>
  <c r="AW526" i="19"/>
  <c r="AW846" i="19"/>
  <c r="AW571" i="19"/>
  <c r="AW213" i="19"/>
  <c r="AW663" i="19"/>
  <c r="AW424" i="19"/>
  <c r="AW678" i="19"/>
  <c r="AW679" i="19"/>
  <c r="AW680" i="19"/>
  <c r="AW374" i="19"/>
  <c r="AW72" i="19"/>
  <c r="AW89" i="19"/>
  <c r="AW90" i="19"/>
  <c r="AW53" i="19"/>
  <c r="AW91" i="19"/>
  <c r="AW92" i="19"/>
  <c r="AW119" i="19"/>
  <c r="AW73" i="19"/>
  <c r="AW35" i="19"/>
  <c r="AW127" i="19"/>
  <c r="AW121" i="19"/>
  <c r="AW493" i="19"/>
  <c r="AW492" i="19"/>
  <c r="AW465" i="19"/>
  <c r="AW466" i="19"/>
  <c r="AW467" i="19"/>
  <c r="AW468" i="19"/>
  <c r="AW283" i="19"/>
  <c r="AW864" i="19"/>
  <c r="AW865" i="19"/>
  <c r="AW563" i="19"/>
  <c r="AW818" i="19"/>
  <c r="AW819" i="19"/>
  <c r="AW820" i="19"/>
  <c r="AW821" i="19"/>
  <c r="AW822" i="19"/>
  <c r="AW859" i="19"/>
  <c r="AW631" i="19"/>
  <c r="AW632" i="19"/>
  <c r="AW890" i="19"/>
  <c r="AW867" i="19"/>
  <c r="AW126" i="19"/>
  <c r="AW376" i="19"/>
  <c r="AW286" i="19"/>
  <c r="AW287" i="19"/>
  <c r="AW486" i="19"/>
  <c r="AW13" i="19"/>
  <c r="AW369" i="19"/>
  <c r="AW604" i="19"/>
  <c r="AW605" i="19"/>
  <c r="AW606" i="19"/>
  <c r="AW689" i="19"/>
  <c r="AW370" i="19"/>
  <c r="AW495" i="19"/>
  <c r="AW643" i="19"/>
  <c r="AW416" i="19"/>
  <c r="AW447" i="19"/>
  <c r="AW448" i="19"/>
  <c r="AW414" i="19"/>
  <c r="AW124" i="19"/>
  <c r="AW496" i="19"/>
  <c r="AW410" i="19"/>
  <c r="AW411" i="19"/>
  <c r="AW497" i="19"/>
  <c r="AW785" i="19"/>
  <c r="AW801" i="19"/>
  <c r="AW802" i="19"/>
  <c r="AW709" i="19"/>
  <c r="AW710" i="19"/>
  <c r="AW926" i="19"/>
  <c r="AW927" i="19"/>
  <c r="AW928" i="19"/>
  <c r="AW711" i="19"/>
  <c r="AW712" i="19"/>
  <c r="AW713" i="19"/>
  <c r="AW714" i="19"/>
  <c r="AW715" i="19"/>
  <c r="AW929" i="19"/>
  <c r="AW930" i="19"/>
  <c r="AW931" i="19"/>
  <c r="AW932" i="19"/>
  <c r="AW933" i="19"/>
  <c r="AW934" i="19"/>
  <c r="AW935" i="19"/>
  <c r="AW716" i="19"/>
  <c r="AW717" i="19"/>
  <c r="AW718" i="19"/>
  <c r="AW719" i="19"/>
  <c r="AW720" i="19"/>
  <c r="AW721" i="19"/>
  <c r="AW722" i="19"/>
  <c r="AW723" i="19"/>
  <c r="AW724" i="19"/>
  <c r="AW156" i="19"/>
  <c r="AW463" i="19"/>
  <c r="AW515" i="19"/>
  <c r="AW514" i="19"/>
  <c r="AW433" i="19"/>
  <c r="AW725" i="19"/>
  <c r="AW726" i="19"/>
  <c r="AW727" i="19"/>
  <c r="AW728" i="19"/>
  <c r="AW729" i="19"/>
  <c r="AW371" i="19"/>
  <c r="AW608" i="19"/>
  <c r="AW155" i="19"/>
  <c r="AW644" i="19"/>
  <c r="AW645" i="19"/>
  <c r="AW664" i="19"/>
  <c r="AW18" i="19"/>
  <c r="AW32" i="19"/>
  <c r="AW665" i="19"/>
  <c r="AW666" i="19"/>
  <c r="AW421" i="19"/>
  <c r="AW74" i="19"/>
  <c r="AW14" i="19"/>
  <c r="AW681" i="19"/>
  <c r="AW646" i="19"/>
  <c r="AW647" i="19"/>
  <c r="AW417" i="19"/>
  <c r="AW671" i="19"/>
  <c r="AW159" i="19"/>
  <c r="AW891" i="19"/>
  <c r="AW580" i="19"/>
  <c r="AW577" i="19"/>
  <c r="AW578" i="19"/>
  <c r="AW579" i="19"/>
  <c r="AW15" i="19"/>
  <c r="AW16" i="19"/>
  <c r="AW17" i="19"/>
  <c r="AW648" i="19"/>
  <c r="AW897" i="19"/>
  <c r="AW425" i="19"/>
  <c r="AW113" i="19"/>
  <c r="AW10" i="19"/>
  <c r="AW122" i="19"/>
  <c r="AW534" i="19"/>
  <c r="AW535" i="19"/>
  <c r="AW536" i="19"/>
  <c r="AW45" i="19"/>
  <c r="AW537" i="19"/>
  <c r="AW538" i="19"/>
  <c r="AW539" i="19"/>
  <c r="AW540" i="19"/>
  <c r="AW541" i="19"/>
  <c r="AW542" i="19"/>
  <c r="AW543" i="19"/>
  <c r="AW544" i="19"/>
  <c r="AW545" i="19"/>
  <c r="AW546" i="19"/>
  <c r="AW547" i="19"/>
  <c r="AW548" i="19"/>
  <c r="AW549" i="19"/>
  <c r="AW550" i="19"/>
  <c r="AW551" i="19"/>
  <c r="AW552" i="19"/>
  <c r="AW553" i="19"/>
  <c r="AW554" i="19"/>
  <c r="AW555" i="19"/>
  <c r="AW556" i="19"/>
  <c r="AW738" i="19"/>
  <c r="AW739" i="19"/>
  <c r="AW557" i="19"/>
  <c r="AW558" i="19"/>
  <c r="AW48" i="19"/>
  <c r="AW160" i="19"/>
  <c r="AW46" i="19"/>
  <c r="AW682" i="19"/>
  <c r="AW42" i="19"/>
  <c r="AW27" i="19"/>
  <c r="AW28" i="19"/>
  <c r="AW29" i="19"/>
  <c r="AW111" i="19"/>
  <c r="AW25" i="19"/>
  <c r="AW19" i="19"/>
  <c r="AW20" i="19"/>
  <c r="AW881" i="19"/>
  <c r="AW34" i="19"/>
  <c r="AW30" i="19"/>
  <c r="AW21" i="19"/>
  <c r="AW22" i="19"/>
  <c r="AW23" i="19"/>
  <c r="AW24" i="19"/>
  <c r="AW732" i="19"/>
  <c r="AW730" i="19"/>
  <c r="AW702" i="19"/>
  <c r="L939" i="19"/>
  <c r="L581" i="19"/>
  <c r="L134" i="19"/>
  <c r="L418" i="19"/>
  <c r="L9" i="19"/>
  <c r="L429" i="19"/>
  <c r="L426" i="19"/>
  <c r="L96" i="19"/>
  <c r="L152" i="19"/>
  <c r="L667" i="19"/>
  <c r="L650" i="19"/>
  <c r="L419" i="19"/>
  <c r="L422" i="19"/>
  <c r="L423" i="19"/>
  <c r="L358" i="19"/>
  <c r="L264" i="19"/>
  <c r="L51" i="19"/>
  <c r="L47" i="19"/>
  <c r="L8" i="19"/>
  <c r="L484" i="19"/>
  <c r="L209" i="19"/>
  <c r="L910" i="19"/>
  <c r="L595" i="19"/>
  <c r="L573" i="19"/>
  <c r="L494" i="19"/>
  <c r="L469" i="19"/>
  <c r="L173" i="19"/>
  <c r="L100" i="19"/>
  <c r="L174" i="19"/>
  <c r="L596" i="19"/>
  <c r="L176" i="19"/>
  <c r="L177" i="19"/>
  <c r="L178" i="19"/>
  <c r="L232" i="19"/>
  <c r="L754" i="19"/>
  <c r="L938" i="19"/>
  <c r="L310" i="19"/>
  <c r="L311" i="19"/>
  <c r="L179" i="19"/>
  <c r="L474" i="19"/>
  <c r="L55" i="19"/>
  <c r="L430" i="19"/>
  <c r="L180" i="19"/>
  <c r="L475" i="19"/>
  <c r="L791" i="19"/>
  <c r="L476" i="19"/>
  <c r="L610" i="19"/>
  <c r="L314" i="19"/>
  <c r="L193" i="19"/>
  <c r="L312" i="19"/>
  <c r="L101" i="19"/>
  <c r="L223" i="19"/>
  <c r="L620" i="19"/>
  <c r="L308" i="19"/>
  <c r="L696" i="19"/>
  <c r="L198" i="19"/>
  <c r="L199" i="19"/>
  <c r="L181" i="19"/>
  <c r="L182" i="19"/>
  <c r="L202" i="19"/>
  <c r="L504" i="19"/>
  <c r="L505" i="19"/>
  <c r="L506" i="19"/>
  <c r="L407" i="19"/>
  <c r="L635" i="19"/>
  <c r="L108" i="19"/>
  <c r="L436" i="19"/>
  <c r="L338" i="19"/>
  <c r="L829" i="19"/>
  <c r="L698" i="19"/>
  <c r="L147" i="19"/>
  <c r="L6" i="19"/>
  <c r="L295" i="19"/>
  <c r="L246" i="19"/>
  <c r="L528" i="19"/>
  <c r="L440" i="19"/>
  <c r="L233" i="19"/>
  <c r="L293" i="19"/>
  <c r="L191" i="19"/>
  <c r="L611" i="19"/>
  <c r="L315" i="19"/>
  <c r="L165" i="19"/>
  <c r="L763" i="19"/>
  <c r="L83" i="19"/>
  <c r="L221" i="19"/>
  <c r="L166" i="19"/>
  <c r="L167" i="19"/>
  <c r="L112" i="19"/>
  <c r="L764" i="19"/>
  <c r="L168" i="19"/>
  <c r="L765" i="19"/>
  <c r="L625" i="19"/>
  <c r="L242" i="19"/>
  <c r="L531" i="19"/>
  <c r="L244" i="19"/>
  <c r="L488" i="19"/>
  <c r="L107" i="19"/>
  <c r="L393" i="19"/>
  <c r="L684" i="19"/>
  <c r="L464" i="19"/>
  <c r="L183" i="19"/>
  <c r="L184" i="19"/>
  <c r="L4" i="19"/>
  <c r="L668" i="19"/>
  <c r="L427" i="19"/>
  <c r="L533" i="19"/>
  <c r="L75" i="19"/>
  <c r="L76" i="19"/>
  <c r="L373" i="19"/>
  <c r="L256" i="19"/>
  <c r="L622" i="19"/>
  <c r="L478" i="19"/>
  <c r="L479" i="19"/>
  <c r="L480" i="19"/>
  <c r="L224" i="19"/>
  <c r="L866" i="19"/>
  <c r="L830" i="19"/>
  <c r="L832" i="19"/>
  <c r="L833" i="19"/>
  <c r="L834" i="19"/>
  <c r="L215" i="19"/>
  <c r="L564" i="19"/>
  <c r="L565" i="19"/>
  <c r="L566" i="19"/>
  <c r="L567" i="19"/>
  <c r="L568" i="19"/>
  <c r="L569" i="19"/>
  <c r="L570" i="19"/>
  <c r="L303" i="19"/>
  <c r="L110" i="19"/>
  <c r="L892" i="19"/>
  <c r="L839" i="19"/>
  <c r="L840" i="19"/>
  <c r="L841" i="19"/>
  <c r="L842" i="19"/>
  <c r="L843" i="19"/>
  <c r="L694" i="19"/>
  <c r="L656" i="19"/>
  <c r="L697" i="19"/>
  <c r="L824" i="19"/>
  <c r="L266" i="19"/>
  <c r="L300" i="19"/>
  <c r="L88" i="19"/>
  <c r="L70" i="19"/>
  <c r="L52" i="19"/>
  <c r="L85" i="19"/>
  <c r="L115" i="19"/>
  <c r="L116" i="19"/>
  <c r="L470" i="19"/>
  <c r="L893" i="19"/>
  <c r="L61" i="19"/>
  <c r="L609" i="19"/>
  <c r="L895" i="19"/>
  <c r="L836" i="19"/>
  <c r="L258" i="19"/>
  <c r="L612" i="19"/>
  <c r="L377" i="19"/>
  <c r="L633" i="19"/>
  <c r="L210" i="19"/>
  <c r="L361" i="19"/>
  <c r="L141" i="19"/>
  <c r="L259" i="19"/>
  <c r="L260" i="19"/>
  <c r="L261" i="19"/>
  <c r="L339" i="19"/>
  <c r="L316" i="19"/>
  <c r="L786" i="19"/>
  <c r="L787" i="19"/>
  <c r="L78" i="19"/>
  <c r="L598" i="19"/>
  <c r="L185" i="19"/>
  <c r="L380" i="19"/>
  <c r="L186" i="19"/>
  <c r="L629" i="19"/>
  <c r="L437" i="19"/>
  <c r="L669" i="19"/>
  <c r="L87" i="19"/>
  <c r="L65" i="19"/>
  <c r="L67" i="19"/>
  <c r="L68" i="19"/>
  <c r="L104" i="19"/>
  <c r="L770" i="19"/>
  <c r="L755" i="19"/>
  <c r="L98" i="19"/>
  <c r="L71" i="19"/>
  <c r="L848" i="19"/>
  <c r="L849" i="19"/>
  <c r="L850" i="19"/>
  <c r="L139" i="19"/>
  <c r="L317" i="19"/>
  <c r="L572" i="19"/>
  <c r="L39" i="19"/>
  <c r="L77" i="19"/>
  <c r="L837" i="19"/>
  <c r="L900" i="19"/>
  <c r="L745" i="19"/>
  <c r="L746" i="19"/>
  <c r="L200" i="19"/>
  <c r="L792" i="19"/>
  <c r="L151" i="19"/>
  <c r="L384" i="19"/>
  <c r="L56" i="19"/>
  <c r="L793" i="19"/>
  <c r="L585" i="19"/>
  <c r="L203" i="19"/>
  <c r="L794" i="19"/>
  <c r="L154" i="19"/>
  <c r="L733" i="19"/>
  <c r="L267" i="19"/>
  <c r="L909" i="19"/>
  <c r="L415" i="19"/>
  <c r="L276" i="19"/>
  <c r="L875" i="19"/>
  <c r="L31" i="19"/>
  <c r="L838" i="19"/>
  <c r="L341" i="19"/>
  <c r="L919" i="19"/>
  <c r="L277" i="19"/>
  <c r="L449" i="19"/>
  <c r="L428" i="19"/>
  <c r="L562" i="19"/>
  <c r="L322" i="19"/>
  <c r="L187" i="19"/>
  <c r="L586" i="19"/>
  <c r="L356" i="19"/>
  <c r="L378" i="19"/>
  <c r="L756" i="19"/>
  <c r="L757" i="19"/>
  <c r="L626" i="19"/>
  <c r="L825" i="19"/>
  <c r="L826" i="19"/>
  <c r="L623" i="19"/>
  <c r="L434" i="19"/>
  <c r="L204" i="19"/>
  <c r="L591" i="19"/>
  <c r="L5" i="19"/>
  <c r="L670" i="19"/>
  <c r="L882" i="19"/>
  <c r="L278" i="19"/>
  <c r="L587" i="19"/>
  <c r="L250" i="19"/>
  <c r="L161" i="19"/>
  <c r="L483" i="19"/>
  <c r="L508" i="19"/>
  <c r="L618" i="19"/>
  <c r="L657" i="19"/>
  <c r="L599" i="19"/>
  <c r="L404" i="19"/>
  <c r="L450" i="19"/>
  <c r="L451" i="19"/>
  <c r="L196" i="19"/>
  <c r="L365" i="19"/>
  <c r="L529" i="19"/>
  <c r="L896" i="19"/>
  <c r="L458" i="19"/>
  <c r="L188" i="19"/>
  <c r="L192" i="19"/>
  <c r="L876" i="19"/>
  <c r="L405" i="19"/>
  <c r="L490" i="19"/>
  <c r="L82" i="19"/>
  <c r="L353" i="19"/>
  <c r="L780" i="19"/>
  <c r="L140" i="19"/>
  <c r="L304" i="19"/>
  <c r="L827" i="19"/>
  <c r="L452" i="19"/>
  <c r="L453" i="19"/>
  <c r="L459" i="19"/>
  <c r="L460" i="19"/>
  <c r="L201" i="19"/>
  <c r="L454" i="19"/>
  <c r="L898" i="19"/>
  <c r="L795" i="19"/>
  <c r="L600" i="19"/>
  <c r="L883" i="19"/>
  <c r="L601" i="19"/>
  <c r="L796" i="19"/>
  <c r="L462" i="19"/>
  <c r="L912" i="19"/>
  <c r="L456" i="19"/>
  <c r="L318" i="19"/>
  <c r="L920" i="19"/>
  <c r="L921" i="19"/>
  <c r="L195" i="19"/>
  <c r="L343" i="19"/>
  <c r="L385" i="19"/>
  <c r="L658" i="19"/>
  <c r="L298" i="19"/>
  <c r="L268" i="19"/>
  <c r="L57" i="19"/>
  <c r="L481" i="19"/>
  <c r="L901" i="19"/>
  <c r="L734" i="19"/>
  <c r="L777" i="19"/>
  <c r="L284" i="19"/>
  <c r="L583" i="19"/>
  <c r="L386" i="19"/>
  <c r="L387" i="19"/>
  <c r="L367" i="19"/>
  <c r="L602" i="19"/>
  <c r="L354" i="19"/>
  <c r="L251" i="19"/>
  <c r="L69" i="19"/>
  <c r="L519" i="19"/>
  <c r="L634" i="19"/>
  <c r="L171" i="19"/>
  <c r="L189" i="19"/>
  <c r="L309" i="19"/>
  <c r="L169" i="19"/>
  <c r="L388" i="19"/>
  <c r="L285" i="19"/>
  <c r="L389" i="19"/>
  <c r="L281" i="19"/>
  <c r="L457" i="19"/>
  <c r="L847" i="19"/>
  <c r="L559" i="19"/>
  <c r="L216" i="19"/>
  <c r="L884" i="19"/>
  <c r="L253" i="19"/>
  <c r="L701" i="19"/>
  <c r="L280" i="19"/>
  <c r="L249" i="19"/>
  <c r="L855" i="19"/>
  <c r="L852" i="19"/>
  <c r="L518" i="19"/>
  <c r="L58" i="19"/>
  <c r="L33" i="19"/>
  <c r="L59" i="19"/>
  <c r="L686" i="19"/>
  <c r="L659" i="19"/>
  <c r="L660" i="19"/>
  <c r="L362" i="19"/>
  <c r="L395" i="19"/>
  <c r="L613" i="19"/>
  <c r="L163" i="19"/>
  <c r="L614" i="19"/>
  <c r="L41" i="19"/>
  <c r="L485" i="19"/>
  <c r="L877" i="19"/>
  <c r="L871" i="19"/>
  <c r="L872" i="19"/>
  <c r="L81" i="19"/>
  <c r="L302" i="19"/>
  <c r="L851" i="19"/>
  <c r="L319" i="19"/>
  <c r="L320" i="19"/>
  <c r="L615" i="19"/>
  <c r="L616" i="19"/>
  <c r="L390" i="19"/>
  <c r="L125" i="19"/>
  <c r="L409" i="19"/>
  <c r="L661" i="19"/>
  <c r="L274" i="19"/>
  <c r="L93" i="19"/>
  <c r="L662" i="19"/>
  <c r="L908" i="19"/>
  <c r="L942" i="19"/>
  <c r="L925" i="19"/>
  <c r="L699" i="19"/>
  <c r="L197" i="19"/>
  <c r="L299" i="19"/>
  <c r="L142" i="19"/>
  <c r="L143" i="19"/>
  <c r="L911" i="19"/>
  <c r="L327" i="19"/>
  <c r="L328" i="19"/>
  <c r="L329" i="19"/>
  <c r="L105" i="19"/>
  <c r="L330" i="19"/>
  <c r="L740" i="19"/>
  <c r="L94" i="19"/>
  <c r="L106" i="19"/>
  <c r="L331" i="19"/>
  <c r="L332" i="19"/>
  <c r="L509" i="19"/>
  <c r="L510" i="19"/>
  <c r="L511" i="19"/>
  <c r="L512" i="19"/>
  <c r="L333" i="19"/>
  <c r="L482" i="19"/>
  <c r="L828" i="19"/>
  <c r="L194" i="19"/>
  <c r="L700" i="19"/>
  <c r="L879" i="19"/>
  <c r="L813" i="19"/>
  <c r="L814" i="19"/>
  <c r="L815" i="19"/>
  <c r="L685" i="19"/>
  <c r="L145" i="19"/>
  <c r="L269" i="19"/>
  <c r="L270" i="19"/>
  <c r="L501" i="19"/>
  <c r="L49" i="19"/>
  <c r="L50" i="19"/>
  <c r="L62" i="19"/>
  <c r="L86" i="19"/>
  <c r="L102" i="19"/>
  <c r="L37" i="19"/>
  <c r="L117" i="19"/>
  <c r="L263" i="19"/>
  <c r="L63" i="19"/>
  <c r="L64" i="19"/>
  <c r="L118" i="19"/>
  <c r="L741" i="19"/>
  <c r="L742" i="19"/>
  <c r="L743" i="19"/>
  <c r="L190" i="19"/>
  <c r="L617" i="19"/>
  <c r="L773" i="19"/>
  <c r="L627" i="19"/>
  <c r="L149" i="19"/>
  <c r="L150" i="19"/>
  <c r="L582" i="19"/>
  <c r="L916" i="19"/>
  <c r="L347" i="19"/>
  <c r="L350" i="19"/>
  <c r="L781" i="19"/>
  <c r="L782" i="19"/>
  <c r="L783" i="19"/>
  <c r="L530" i="19"/>
  <c r="L759" i="19"/>
  <c r="L340" i="19"/>
  <c r="L915" i="19"/>
  <c r="L523" i="19"/>
  <c r="L878" i="19"/>
  <c r="L205" i="19"/>
  <c r="L206" i="19"/>
  <c r="L525" i="19"/>
  <c r="L521" i="19"/>
  <c r="L207" i="19"/>
  <c r="L491" i="19"/>
  <c r="L351" i="19"/>
  <c r="L208" i="19"/>
  <c r="L943" i="19"/>
  <c r="L619" i="19"/>
  <c r="L860" i="19"/>
  <c r="L861" i="19"/>
  <c r="L862" i="19"/>
  <c r="L863" i="19"/>
  <c r="L760" i="19"/>
  <c r="L334" i="19"/>
  <c r="L513" i="19"/>
  <c r="L744" i="19"/>
  <c r="L589" i="19"/>
  <c r="L43" i="19"/>
  <c r="L375" i="19"/>
  <c r="L245" i="19"/>
  <c r="L907" i="19"/>
  <c r="L854" i="19"/>
  <c r="L747" i="19"/>
  <c r="L383" i="19"/>
  <c r="L905" i="19"/>
  <c r="L870" i="19"/>
  <c r="L803" i="19"/>
  <c r="L804" i="19"/>
  <c r="L805" i="19"/>
  <c r="L806" i="19"/>
  <c r="L807" i="19"/>
  <c r="L731" i="19"/>
  <c r="L798" i="19"/>
  <c r="L799" i="19"/>
  <c r="L800" i="19"/>
  <c r="L776" i="19"/>
  <c r="L413" i="19"/>
  <c r="L703" i="19"/>
  <c r="L808" i="19"/>
  <c r="L153" i="19"/>
  <c r="L357" i="19"/>
  <c r="L784" i="19"/>
  <c r="L690" i="19"/>
  <c r="L691" i="19"/>
  <c r="L692" i="19"/>
  <c r="L344" i="19"/>
  <c r="L345" i="19"/>
  <c r="L761" i="19"/>
  <c r="L235" i="19"/>
  <c r="L157" i="19"/>
  <c r="L630" i="19"/>
  <c r="L688" i="19"/>
  <c r="L704" i="19"/>
  <c r="L705" i="19"/>
  <c r="L706" i="19"/>
  <c r="L707" i="19"/>
  <c r="L288" i="19"/>
  <c r="L289" i="19"/>
  <c r="L290" i="19"/>
  <c r="L291" i="19"/>
  <c r="L292" i="19"/>
  <c r="L368" i="19"/>
  <c r="L438" i="19"/>
  <c r="L693" i="19"/>
  <c r="L439" i="19"/>
  <c r="L886" i="19"/>
  <c r="L231" i="19"/>
  <c r="L749" i="19"/>
  <c r="L906" i="19"/>
  <c r="L774" i="19"/>
  <c r="L584" i="19"/>
  <c r="L148" i="19"/>
  <c r="L502" i="19"/>
  <c r="L123" i="19"/>
  <c r="L158" i="19"/>
  <c r="L132" i="19"/>
  <c r="L762" i="19"/>
  <c r="L335" i="19"/>
  <c r="L95" i="19"/>
  <c r="L735" i="19"/>
  <c r="L766" i="19"/>
  <c r="L767" i="19"/>
  <c r="L225" i="19"/>
  <c r="L226" i="19"/>
  <c r="L399" i="19"/>
  <c r="L313" i="19"/>
  <c r="L236" i="19"/>
  <c r="L750" i="19"/>
  <c r="L403" i="19"/>
  <c r="L441" i="19"/>
  <c r="L442" i="19"/>
  <c r="L443" i="19"/>
  <c r="L444" i="19"/>
  <c r="L227" i="19"/>
  <c r="L228" i="19"/>
  <c r="L230" i="19"/>
  <c r="L768" i="19"/>
  <c r="L748" i="19"/>
  <c r="L769" i="19"/>
  <c r="L379" i="19"/>
  <c r="L527" i="19"/>
  <c r="L588" i="19"/>
  <c r="L489" i="19"/>
  <c r="L346" i="19"/>
  <c r="L301" i="19"/>
  <c r="L752" i="19"/>
  <c r="L402" i="19"/>
  <c r="L751" i="19"/>
  <c r="L326" i="19"/>
  <c r="L391" i="19"/>
  <c r="L392" i="19"/>
  <c r="L856" i="19"/>
  <c r="L574" i="19"/>
  <c r="L398" i="19"/>
  <c r="L922" i="19"/>
  <c r="L560" i="19"/>
  <c r="L432" i="19"/>
  <c r="L406" i="19"/>
  <c r="L218" i="19"/>
  <c r="L517" i="19"/>
  <c r="L212" i="19"/>
  <c r="L408" i="19"/>
  <c r="L306" i="19"/>
  <c r="L307" i="19"/>
  <c r="L914" i="19"/>
  <c r="L445" i="19"/>
  <c r="L753" i="19"/>
  <c r="L902" i="19"/>
  <c r="L903" i="19"/>
  <c r="L904" i="19"/>
  <c r="L400" i="19"/>
  <c r="L401" i="19"/>
  <c r="L937" i="19"/>
  <c r="L248" i="19"/>
  <c r="L446" i="19"/>
  <c r="L638" i="19"/>
  <c r="L252" i="19"/>
  <c r="L129" i="19"/>
  <c r="L84" i="19"/>
  <c r="L894" i="19"/>
  <c r="L624" i="19"/>
  <c r="L352" i="19"/>
  <c r="L880" i="19"/>
  <c r="L214" i="19"/>
  <c r="L217" i="19"/>
  <c r="L524" i="19"/>
  <c r="L498" i="19"/>
  <c r="L323" i="19"/>
  <c r="L324" i="19"/>
  <c r="L325" i="19"/>
  <c r="L844" i="19"/>
  <c r="L845" i="19"/>
  <c r="L736" i="19"/>
  <c r="L575" i="19"/>
  <c r="L162" i="19"/>
  <c r="L789" i="19"/>
  <c r="L103" i="19"/>
  <c r="L816" i="19"/>
  <c r="L603" i="19"/>
  <c r="L817" i="19"/>
  <c r="L499" i="19"/>
  <c r="L520" i="19"/>
  <c r="L945" i="19"/>
  <c r="L130" i="19"/>
  <c r="L219" i="19"/>
  <c r="L857" i="19"/>
  <c r="L858" i="19"/>
  <c r="L899" i="19"/>
  <c r="L887" i="19"/>
  <c r="L812" i="19"/>
  <c r="L809" i="19"/>
  <c r="L810" i="19"/>
  <c r="L811" i="19"/>
  <c r="L337" i="19"/>
  <c r="L503" i="19"/>
  <c r="L797" i="19"/>
  <c r="L472" i="19"/>
  <c r="L254" i="19"/>
  <c r="L940" i="19"/>
  <c r="L888" i="19"/>
  <c r="L237" i="19"/>
  <c r="L238" i="19"/>
  <c r="L240" i="19"/>
  <c r="L241" i="19"/>
  <c r="L944" i="19"/>
  <c r="L576" i="19"/>
  <c r="L79" i="19"/>
  <c r="L363" i="19"/>
  <c r="L239" i="19"/>
  <c r="L128" i="19"/>
  <c r="L487" i="19"/>
  <c r="L941" i="19"/>
  <c r="L889" i="19"/>
  <c r="L271" i="19"/>
  <c r="L695" i="19"/>
  <c r="L516" i="19"/>
  <c r="L133" i="19"/>
  <c r="L853" i="19"/>
  <c r="L435" i="19"/>
  <c r="L639" i="19"/>
  <c r="L640" i="19"/>
  <c r="L11" i="19"/>
  <c r="L641" i="19"/>
  <c r="L12" i="19"/>
  <c r="L642" i="19"/>
  <c r="L737" i="19"/>
  <c r="L397" i="19"/>
  <c r="L673" i="19"/>
  <c r="L431" i="19"/>
  <c r="L109" i="19"/>
  <c r="L676" i="19"/>
  <c r="L677" i="19"/>
  <c r="L272" i="19"/>
  <c r="L674" i="19"/>
  <c r="L675" i="19"/>
  <c r="L873" i="19"/>
  <c r="L778" i="19"/>
  <c r="L779" i="19"/>
  <c r="L38" i="19"/>
  <c r="L348" i="19"/>
  <c r="L651" i="19"/>
  <c r="L652" i="19"/>
  <c r="L653" i="19"/>
  <c r="L40" i="19"/>
  <c r="L654" i="19"/>
  <c r="L655" i="19"/>
  <c r="L917" i="19"/>
  <c r="L918" i="19"/>
  <c r="L771" i="19"/>
  <c r="L708" i="19"/>
  <c r="L7" i="19"/>
  <c r="L923" i="19"/>
  <c r="L924" i="19"/>
  <c r="L874" i="19"/>
  <c r="L526" i="19"/>
  <c r="L846" i="19"/>
  <c r="L571" i="19"/>
  <c r="L213" i="19"/>
  <c r="L663" i="19"/>
  <c r="L424" i="19"/>
  <c r="L678" i="19"/>
  <c r="L679" i="19"/>
  <c r="L680" i="19"/>
  <c r="L374" i="19"/>
  <c r="L72" i="19"/>
  <c r="L89" i="19"/>
  <c r="L90" i="19"/>
  <c r="L53" i="19"/>
  <c r="L91" i="19"/>
  <c r="L92" i="19"/>
  <c r="L119" i="19"/>
  <c r="L73" i="19"/>
  <c r="L35" i="19"/>
  <c r="L127" i="19"/>
  <c r="L121" i="19"/>
  <c r="L493" i="19"/>
  <c r="L492" i="19"/>
  <c r="L465" i="19"/>
  <c r="L466" i="19"/>
  <c r="L467" i="19"/>
  <c r="L468" i="19"/>
  <c r="L283" i="19"/>
  <c r="L864" i="19"/>
  <c r="L865" i="19"/>
  <c r="L563" i="19"/>
  <c r="L818" i="19"/>
  <c r="L819" i="19"/>
  <c r="L820" i="19"/>
  <c r="L821" i="19"/>
  <c r="L822" i="19"/>
  <c r="L859" i="19"/>
  <c r="L631" i="19"/>
  <c r="L632" i="19"/>
  <c r="L890" i="19"/>
  <c r="L867" i="19"/>
  <c r="L126" i="19"/>
  <c r="L376" i="19"/>
  <c r="L286" i="19"/>
  <c r="L287" i="19"/>
  <c r="L486" i="19"/>
  <c r="L13" i="19"/>
  <c r="L369" i="19"/>
  <c r="L604" i="19"/>
  <c r="L605" i="19"/>
  <c r="L606" i="19"/>
  <c r="L689" i="19"/>
  <c r="L370" i="19"/>
  <c r="L495" i="19"/>
  <c r="L643" i="19"/>
  <c r="L416" i="19"/>
  <c r="L447" i="19"/>
  <c r="L448" i="19"/>
  <c r="L414" i="19"/>
  <c r="L124" i="19"/>
  <c r="L496" i="19"/>
  <c r="L410" i="19"/>
  <c r="L411" i="19"/>
  <c r="L497" i="19"/>
  <c r="L785" i="19"/>
  <c r="L801" i="19"/>
  <c r="L802" i="19"/>
  <c r="L709" i="19"/>
  <c r="L710" i="19"/>
  <c r="L926" i="19"/>
  <c r="L927" i="19"/>
  <c r="L928" i="19"/>
  <c r="L711" i="19"/>
  <c r="L712" i="19"/>
  <c r="L713" i="19"/>
  <c r="L714" i="19"/>
  <c r="L715" i="19"/>
  <c r="L929" i="19"/>
  <c r="L930" i="19"/>
  <c r="L931" i="19"/>
  <c r="L932" i="19"/>
  <c r="L933" i="19"/>
  <c r="L934" i="19"/>
  <c r="L935" i="19"/>
  <c r="L716" i="19"/>
  <c r="L717" i="19"/>
  <c r="L718" i="19"/>
  <c r="L719" i="19"/>
  <c r="L720" i="19"/>
  <c r="L721" i="19"/>
  <c r="L722" i="19"/>
  <c r="L723" i="19"/>
  <c r="L724" i="19"/>
  <c r="L156" i="19"/>
  <c r="L463" i="19"/>
  <c r="L515" i="19"/>
  <c r="L514" i="19"/>
  <c r="L433" i="19"/>
  <c r="L725" i="19"/>
  <c r="L726" i="19"/>
  <c r="L727" i="19"/>
  <c r="L728" i="19"/>
  <c r="L729" i="19"/>
  <c r="L371" i="19"/>
  <c r="L608" i="19"/>
  <c r="L155" i="19"/>
  <c r="L644" i="19"/>
  <c r="L645" i="19"/>
  <c r="L664" i="19"/>
  <c r="L18" i="19"/>
  <c r="L32" i="19"/>
  <c r="L665" i="19"/>
  <c r="L666" i="19"/>
  <c r="L421" i="19"/>
  <c r="L74" i="19"/>
  <c r="L14" i="19"/>
  <c r="L681" i="19"/>
  <c r="L646" i="19"/>
  <c r="L647" i="19"/>
  <c r="L417" i="19"/>
  <c r="L671" i="19"/>
  <c r="L159" i="19"/>
  <c r="L891" i="19"/>
  <c r="L580" i="19"/>
  <c r="L577" i="19"/>
  <c r="L578" i="19"/>
  <c r="L579" i="19"/>
  <c r="L15" i="19"/>
  <c r="L16" i="19"/>
  <c r="L17" i="19"/>
  <c r="L648" i="19"/>
  <c r="L897" i="19"/>
  <c r="L425" i="19"/>
  <c r="L113" i="19"/>
  <c r="L10" i="19"/>
  <c r="L122" i="19"/>
  <c r="L534" i="19"/>
  <c r="L535" i="19"/>
  <c r="L536" i="19"/>
  <c r="L45" i="19"/>
  <c r="L537" i="19"/>
  <c r="L538" i="19"/>
  <c r="L539" i="19"/>
  <c r="L540" i="19"/>
  <c r="L541" i="19"/>
  <c r="L542" i="19"/>
  <c r="L543" i="19"/>
  <c r="L544" i="19"/>
  <c r="L545" i="19"/>
  <c r="L546" i="19"/>
  <c r="L547" i="19"/>
  <c r="L548" i="19"/>
  <c r="L549" i="19"/>
  <c r="L550" i="19"/>
  <c r="L551" i="19"/>
  <c r="L552" i="19"/>
  <c r="L553" i="19"/>
  <c r="L554" i="19"/>
  <c r="L555" i="19"/>
  <c r="L556" i="19"/>
  <c r="L738" i="19"/>
  <c r="L739" i="19"/>
  <c r="L557" i="19"/>
  <c r="L558" i="19"/>
  <c r="L48" i="19"/>
  <c r="L160" i="19"/>
  <c r="L46" i="19"/>
  <c r="L682" i="19"/>
  <c r="L42" i="19"/>
  <c r="L27" i="19"/>
  <c r="L28" i="19"/>
  <c r="L29" i="19"/>
  <c r="L111" i="19"/>
  <c r="L25" i="19"/>
  <c r="L19" i="19"/>
  <c r="L20" i="19"/>
  <c r="L881" i="19"/>
  <c r="L34" i="19"/>
  <c r="L30" i="19"/>
  <c r="L21" i="19"/>
  <c r="L23" i="19"/>
  <c r="L24" i="19"/>
  <c r="L732" i="19"/>
  <c r="L730" i="19"/>
  <c r="L702" i="19"/>
  <c r="AP702" i="19"/>
  <c r="AP730" i="19"/>
  <c r="AP732" i="19"/>
  <c r="AP24" i="19"/>
  <c r="AP23" i="19"/>
  <c r="AP22" i="19"/>
  <c r="AP21" i="19"/>
  <c r="AP30" i="19"/>
  <c r="AP34" i="19"/>
  <c r="AP881" i="19"/>
  <c r="AP20" i="19"/>
  <c r="AP19" i="19"/>
  <c r="AP25" i="19"/>
  <c r="AP111" i="19"/>
  <c r="AP29" i="19"/>
  <c r="AP28" i="19"/>
  <c r="AP27" i="19"/>
  <c r="AP42" i="19"/>
  <c r="AP682" i="19"/>
  <c r="AP46" i="19"/>
  <c r="AP160" i="19"/>
  <c r="AP48" i="19"/>
  <c r="AP558" i="19"/>
  <c r="AP557" i="19"/>
  <c r="AP739" i="19"/>
  <c r="AP738" i="19"/>
  <c r="AP556" i="19"/>
  <c r="AP555" i="19"/>
  <c r="AP554" i="19"/>
  <c r="AP553" i="19"/>
  <c r="AP552" i="19"/>
  <c r="AP551" i="19"/>
  <c r="AP550" i="19"/>
  <c r="AP549" i="19"/>
  <c r="AP548" i="19"/>
  <c r="AP547" i="19"/>
  <c r="AP546" i="19"/>
  <c r="AP545" i="19"/>
  <c r="AP544" i="19"/>
  <c r="AP543" i="19"/>
  <c r="AP542" i="19"/>
  <c r="AP541" i="19"/>
  <c r="AP540" i="19"/>
  <c r="AP539" i="19"/>
  <c r="AP538" i="19"/>
  <c r="AP537" i="19"/>
  <c r="AP45" i="19"/>
  <c r="AP536" i="19"/>
  <c r="AP535" i="19"/>
  <c r="AP534" i="19"/>
  <c r="AP122" i="19"/>
  <c r="AP10" i="19"/>
  <c r="AP113" i="19"/>
  <c r="AP425" i="19"/>
  <c r="AP897" i="19"/>
  <c r="AP648" i="19"/>
  <c r="AP17" i="19"/>
  <c r="AP16" i="19"/>
  <c r="AP15" i="19"/>
  <c r="AP579" i="19"/>
  <c r="AP578" i="19"/>
  <c r="AP577" i="19"/>
  <c r="AP580" i="19"/>
  <c r="AP891" i="19"/>
  <c r="AP159" i="19"/>
  <c r="AP671" i="19"/>
  <c r="AP417" i="19"/>
  <c r="AP647" i="19"/>
  <c r="AP646" i="19"/>
  <c r="AP681" i="19"/>
  <c r="AP14" i="19"/>
  <c r="AP74" i="19"/>
  <c r="AP421" i="19"/>
  <c r="AP666" i="19"/>
  <c r="AP665" i="19"/>
  <c r="AP32" i="19"/>
  <c r="AP18" i="19"/>
  <c r="AP664" i="19"/>
  <c r="AP645" i="19"/>
  <c r="AP644" i="19"/>
  <c r="AP155" i="19"/>
  <c r="AP608" i="19"/>
  <c r="AP371" i="19"/>
  <c r="AP729" i="19"/>
  <c r="AP728" i="19"/>
  <c r="AP727" i="19"/>
  <c r="AP726" i="19"/>
  <c r="AP725" i="19"/>
  <c r="AP433" i="19"/>
  <c r="AP514" i="19"/>
  <c r="AP515" i="19"/>
  <c r="AP463" i="19"/>
  <c r="AP156" i="19"/>
  <c r="AP724" i="19"/>
  <c r="AP723" i="19"/>
  <c r="AP722" i="19"/>
  <c r="AP721" i="19"/>
  <c r="AP720" i="19"/>
  <c r="AP719" i="19"/>
  <c r="AP718" i="19"/>
  <c r="AP717" i="19"/>
  <c r="AP716" i="19"/>
  <c r="AP935" i="19"/>
  <c r="AP934" i="19"/>
  <c r="AP933" i="19"/>
  <c r="AP932" i="19"/>
  <c r="AP931" i="19"/>
  <c r="AP930" i="19"/>
  <c r="AP929" i="19"/>
  <c r="AP715" i="19"/>
  <c r="AP714" i="19"/>
  <c r="AP713" i="19"/>
  <c r="AP712" i="19"/>
  <c r="AP711" i="19"/>
  <c r="AP928" i="19"/>
  <c r="AP927" i="19"/>
  <c r="AP926" i="19"/>
  <c r="AP710" i="19"/>
  <c r="AP709" i="19"/>
  <c r="AP802" i="19"/>
  <c r="AP801" i="19"/>
  <c r="AP785" i="19"/>
  <c r="AP497" i="19"/>
  <c r="AP411" i="19"/>
  <c r="AP410" i="19"/>
  <c r="AP496" i="19"/>
  <c r="AP124" i="19"/>
  <c r="AP414" i="19"/>
  <c r="AP448" i="19"/>
  <c r="AP447" i="19"/>
  <c r="AP416" i="19"/>
  <c r="AP643" i="19"/>
  <c r="AP495" i="19"/>
  <c r="AP370" i="19"/>
  <c r="AP689" i="19"/>
  <c r="AP606" i="19"/>
  <c r="AP605" i="19"/>
  <c r="AP604" i="19"/>
  <c r="AP369" i="19"/>
  <c r="AP13" i="19"/>
  <c r="AP486" i="19"/>
  <c r="AP287" i="19"/>
  <c r="AP286" i="19"/>
  <c r="AP376" i="19"/>
  <c r="AP126" i="19"/>
  <c r="AP867" i="19"/>
  <c r="AP890" i="19"/>
  <c r="AP632" i="19"/>
  <c r="AP631" i="19"/>
  <c r="AP859" i="19"/>
  <c r="AP822" i="19"/>
  <c r="AP821" i="19"/>
  <c r="AP820" i="19"/>
  <c r="AP819" i="19"/>
  <c r="AP818" i="19"/>
  <c r="AP563" i="19"/>
  <c r="AP865" i="19"/>
  <c r="AP864" i="19"/>
  <c r="AP283" i="19"/>
  <c r="AP468" i="19"/>
  <c r="AP467" i="19"/>
  <c r="AP466" i="19"/>
  <c r="AP465" i="19"/>
  <c r="AP492" i="19"/>
  <c r="AP493" i="19"/>
  <c r="AP121" i="19"/>
  <c r="AP127" i="19"/>
  <c r="BF35" i="19"/>
  <c r="AP73" i="19"/>
  <c r="AP119" i="19"/>
  <c r="AP92" i="19"/>
  <c r="AP91" i="19"/>
  <c r="AP53" i="19"/>
  <c r="AP90" i="19"/>
  <c r="AP89" i="19"/>
  <c r="AP72" i="19"/>
  <c r="AP374" i="19"/>
  <c r="AP680" i="19"/>
  <c r="AP679" i="19"/>
  <c r="AP678" i="19"/>
  <c r="AP424" i="19"/>
  <c r="AP663" i="19"/>
  <c r="AP213" i="19"/>
  <c r="AP571" i="19"/>
  <c r="AP846" i="19"/>
  <c r="AP526" i="19"/>
  <c r="AP874" i="19"/>
  <c r="AP924" i="19"/>
  <c r="AP923" i="19"/>
  <c r="AP7" i="19"/>
  <c r="AP708" i="19"/>
  <c r="AP771" i="19"/>
  <c r="AP918" i="19"/>
  <c r="AP917" i="19"/>
  <c r="AP655" i="19"/>
  <c r="AP654" i="19"/>
  <c r="AP40" i="19"/>
  <c r="AP653" i="19"/>
  <c r="AP652" i="19"/>
  <c r="AP651" i="19"/>
  <c r="AP348" i="19"/>
  <c r="AP522" i="19"/>
  <c r="AP38" i="19"/>
  <c r="AP779" i="19"/>
  <c r="AP778" i="19"/>
  <c r="AP873" i="19"/>
  <c r="AP675" i="19"/>
  <c r="AP674" i="19"/>
  <c r="AP272" i="19"/>
  <c r="AP677" i="19"/>
  <c r="AP676" i="19"/>
  <c r="AP109" i="19"/>
  <c r="AP431" i="19"/>
  <c r="AP673" i="19"/>
  <c r="AP397" i="19"/>
  <c r="AP737" i="19"/>
  <c r="AP642" i="19"/>
  <c r="AP12" i="19"/>
  <c r="AP641" i="19"/>
  <c r="AP11" i="19"/>
  <c r="AP640" i="19"/>
  <c r="AP639" i="19"/>
  <c r="AP435" i="19"/>
  <c r="AP853" i="19"/>
  <c r="AP133" i="19"/>
  <c r="AP516" i="19"/>
  <c r="AP695" i="19"/>
  <c r="AP271" i="19"/>
  <c r="AP889" i="19"/>
  <c r="AP941" i="19"/>
  <c r="AP487" i="19"/>
  <c r="AP128" i="19"/>
  <c r="AP239" i="19"/>
  <c r="AP363" i="19"/>
  <c r="AP79" i="19"/>
  <c r="AP576" i="19"/>
  <c r="AP944" i="19"/>
  <c r="AP241" i="19"/>
  <c r="AP240" i="19"/>
  <c r="AP238" i="19"/>
  <c r="AP237" i="19"/>
  <c r="AP888" i="19"/>
  <c r="AP940" i="19"/>
  <c r="AP254" i="19"/>
  <c r="AP472" i="19"/>
  <c r="AP797" i="19"/>
  <c r="AP503" i="19"/>
  <c r="AP337" i="19"/>
  <c r="AP811" i="19"/>
  <c r="AP810" i="19"/>
  <c r="AP809" i="19"/>
  <c r="AP812" i="19"/>
  <c r="AP887" i="19"/>
  <c r="AP899" i="19"/>
  <c r="AP858" i="19"/>
  <c r="AP857" i="19"/>
  <c r="AP219" i="19"/>
  <c r="AP130" i="19"/>
  <c r="AP945" i="19"/>
  <c r="AP520" i="19"/>
  <c r="AP499" i="19"/>
  <c r="AP817" i="19"/>
  <c r="AP603" i="19"/>
  <c r="AP816" i="19"/>
  <c r="AP103" i="19"/>
  <c r="AP789" i="19"/>
  <c r="AP162" i="19"/>
  <c r="AP575" i="19"/>
  <c r="AP736" i="19"/>
  <c r="AP845" i="19"/>
  <c r="AP844" i="19"/>
  <c r="AP325" i="19"/>
  <c r="AP324" i="19"/>
  <c r="AP323" i="19"/>
  <c r="AP498" i="19"/>
  <c r="AP524" i="19"/>
  <c r="AP217" i="19"/>
  <c r="AP214" i="19"/>
  <c r="AP880" i="19"/>
  <c r="AP352" i="19"/>
  <c r="AP624" i="19"/>
  <c r="AP894" i="19"/>
  <c r="AP84" i="19"/>
  <c r="AP129" i="19"/>
  <c r="AP252" i="19"/>
  <c r="AP638" i="19"/>
  <c r="AP446" i="19"/>
  <c r="AP248" i="19"/>
  <c r="AP937" i="19"/>
  <c r="AP401" i="19"/>
  <c r="AP400" i="19"/>
  <c r="AP282" i="19"/>
  <c r="AP904" i="19"/>
  <c r="AP903" i="19"/>
  <c r="AP902" i="19"/>
  <c r="AP753" i="19"/>
  <c r="AP445" i="19"/>
  <c r="AP914" i="19"/>
  <c r="AP307" i="19"/>
  <c r="AP306" i="19"/>
  <c r="AP408" i="19"/>
  <c r="AP212" i="19"/>
  <c r="AP517" i="19"/>
  <c r="AP218" i="19"/>
  <c r="AP406" i="19"/>
  <c r="AP432" i="19"/>
  <c r="AP560" i="19"/>
  <c r="AP922" i="19"/>
  <c r="AP398" i="19"/>
  <c r="AP574" i="19"/>
  <c r="AP856" i="19"/>
  <c r="AP392" i="19"/>
  <c r="AP391" i="19"/>
  <c r="AP326" i="19"/>
  <c r="AP751" i="19"/>
  <c r="AP402" i="19"/>
  <c r="AP752" i="19"/>
  <c r="AP301" i="19"/>
  <c r="AP346" i="19"/>
  <c r="AP489" i="19"/>
  <c r="AP588" i="19"/>
  <c r="AP527" i="19"/>
  <c r="AP379" i="19"/>
  <c r="AP769" i="19"/>
  <c r="AP748" i="19"/>
  <c r="AP768" i="19"/>
  <c r="AP230" i="19"/>
  <c r="AP229" i="19"/>
  <c r="AP228" i="19"/>
  <c r="AP227" i="19"/>
  <c r="AP444" i="19"/>
  <c r="AP443" i="19"/>
  <c r="AP442" i="19"/>
  <c r="AP441" i="19"/>
  <c r="AP403" i="19"/>
  <c r="AP750" i="19"/>
  <c r="AP236" i="19"/>
  <c r="AP313" i="19"/>
  <c r="AP399" i="19"/>
  <c r="AP226" i="19"/>
  <c r="AP225" i="19"/>
  <c r="AP767" i="19"/>
  <c r="AP766" i="19"/>
  <c r="AP735" i="19"/>
  <c r="AP95" i="19"/>
  <c r="AP335" i="19"/>
  <c r="AP762" i="19"/>
  <c r="AP132" i="19"/>
  <c r="AP158" i="19"/>
  <c r="AP123" i="19"/>
  <c r="AP502" i="19"/>
  <c r="AP148" i="19"/>
  <c r="AP584" i="19"/>
  <c r="AP774" i="19"/>
  <c r="AP906" i="19"/>
  <c r="AP749" i="19"/>
  <c r="AP231" i="19"/>
  <c r="AP886" i="19"/>
  <c r="AP439" i="19"/>
  <c r="AP693" i="19"/>
  <c r="AP438" i="19"/>
  <c r="AP368" i="19"/>
  <c r="AP292" i="19"/>
  <c r="AP291" i="19"/>
  <c r="AP290" i="19"/>
  <c r="AP289" i="19"/>
  <c r="AP288" i="19"/>
  <c r="AP707" i="19"/>
  <c r="AP706" i="19"/>
  <c r="AP705" i="19"/>
  <c r="AP704" i="19"/>
  <c r="AP688" i="19"/>
  <c r="AP630" i="19"/>
  <c r="AP157" i="19"/>
  <c r="AP235" i="19"/>
  <c r="AP761" i="19"/>
  <c r="AP345" i="19"/>
  <c r="AP344" i="19"/>
  <c r="AP692" i="19"/>
  <c r="AP691" i="19"/>
  <c r="AP690" i="19"/>
  <c r="AP784" i="19"/>
  <c r="AP357" i="19"/>
  <c r="AP153" i="19"/>
  <c r="AP808" i="19"/>
  <c r="AP703" i="19"/>
  <c r="AP413" i="19"/>
  <c r="AP776" i="19"/>
  <c r="AP800" i="19"/>
  <c r="AP799" i="19"/>
  <c r="AP798" i="19"/>
  <c r="AP731" i="19"/>
  <c r="AP807" i="19"/>
  <c r="AP806" i="19"/>
  <c r="AP805" i="19"/>
  <c r="AP804" i="19"/>
  <c r="AP803" i="19"/>
  <c r="AP870" i="19"/>
  <c r="AP905" i="19"/>
  <c r="AP383" i="19"/>
  <c r="AP747" i="19"/>
  <c r="AP854" i="19"/>
  <c r="AP907" i="19"/>
  <c r="AP245" i="19"/>
  <c r="AP375" i="19"/>
  <c r="AP43" i="19"/>
  <c r="AP589" i="19"/>
  <c r="AP744" i="19"/>
  <c r="AP513" i="19"/>
  <c r="AP334" i="19"/>
  <c r="AP760" i="19"/>
  <c r="AP863" i="19"/>
  <c r="AP862" i="19"/>
  <c r="AP861" i="19"/>
  <c r="AP860" i="19"/>
  <c r="AP619" i="19"/>
  <c r="AP943" i="19"/>
  <c r="AP208" i="19"/>
  <c r="AP351" i="19"/>
  <c r="AP491" i="19"/>
  <c r="AP207" i="19"/>
  <c r="AP521" i="19"/>
  <c r="AP525" i="19"/>
  <c r="AP206" i="19"/>
  <c r="AP205" i="19"/>
  <c r="AP878" i="19"/>
  <c r="AP523" i="19"/>
  <c r="AP915" i="19"/>
  <c r="AP340" i="19"/>
  <c r="AP759" i="19"/>
  <c r="AP530" i="19"/>
  <c r="AP783" i="19"/>
  <c r="AP782" i="19"/>
  <c r="AP781" i="19"/>
  <c r="AP350" i="19"/>
  <c r="AP349" i="19"/>
  <c r="AP347" i="19"/>
  <c r="AP916" i="19"/>
  <c r="AP582" i="19"/>
  <c r="AP150" i="19"/>
  <c r="AP149" i="19"/>
  <c r="AP627" i="19"/>
  <c r="AP773" i="19"/>
  <c r="AP617" i="19"/>
  <c r="AP190" i="19"/>
  <c r="AP743" i="19"/>
  <c r="AP742" i="19"/>
  <c r="AP741" i="19"/>
  <c r="AP118" i="19"/>
  <c r="AP64" i="19"/>
  <c r="AP63" i="19"/>
  <c r="AP263" i="19"/>
  <c r="AP117" i="19"/>
  <c r="AP37" i="19"/>
  <c r="AP102" i="19"/>
  <c r="AP86" i="19"/>
  <c r="AP62" i="19"/>
  <c r="AP50" i="19"/>
  <c r="AP49" i="19"/>
  <c r="AP501" i="19"/>
  <c r="AP270" i="19"/>
  <c r="AP269" i="19"/>
  <c r="AP145" i="19"/>
  <c r="AP685" i="19"/>
  <c r="AP815" i="19"/>
  <c r="AP814" i="19"/>
  <c r="AP813" i="19"/>
  <c r="AP879" i="19"/>
  <c r="AP700" i="19"/>
  <c r="AP194" i="19"/>
  <c r="AP828" i="19"/>
  <c r="AP471" i="19"/>
  <c r="AP482" i="19"/>
  <c r="AP333" i="19"/>
  <c r="AP512" i="19"/>
  <c r="AP511" i="19"/>
  <c r="AP510" i="19"/>
  <c r="AP509" i="19"/>
  <c r="AP332" i="19"/>
  <c r="AP331" i="19"/>
  <c r="AP106" i="19"/>
  <c r="AP94" i="19"/>
  <c r="AP740" i="19"/>
  <c r="AP330" i="19"/>
  <c r="AP105" i="19"/>
  <c r="AP329" i="19"/>
  <c r="AP328" i="19"/>
  <c r="AP327" i="19"/>
  <c r="AP911" i="19"/>
  <c r="AP143" i="19"/>
  <c r="AP142" i="19"/>
  <c r="AP299" i="19"/>
  <c r="AP197" i="19"/>
  <c r="AP699" i="19"/>
  <c r="AP925" i="19"/>
  <c r="AP942" i="19"/>
  <c r="AP908" i="19"/>
  <c r="AP662" i="19"/>
  <c r="AP93" i="19"/>
  <c r="AP274" i="19"/>
  <c r="AP661" i="19"/>
  <c r="AP220" i="19"/>
  <c r="AP409" i="19"/>
  <c r="AP125" i="19"/>
  <c r="AP390" i="19"/>
  <c r="AP616" i="19"/>
  <c r="AP615" i="19"/>
  <c r="AP321" i="19"/>
  <c r="AP320" i="19"/>
  <c r="AP319" i="19"/>
  <c r="AP851" i="19"/>
  <c r="AP302" i="19"/>
  <c r="AP81" i="19"/>
  <c r="AP872" i="19"/>
  <c r="AP871" i="19"/>
  <c r="AP877" i="19"/>
  <c r="AP485" i="19"/>
  <c r="AP41" i="19"/>
  <c r="AP687" i="19"/>
  <c r="AP614" i="19"/>
  <c r="AP163" i="19"/>
  <c r="AP613" i="19"/>
  <c r="AP395" i="19"/>
  <c r="AP362" i="19"/>
  <c r="AP660" i="19"/>
  <c r="AP659" i="19"/>
  <c r="AP686" i="19"/>
  <c r="AP59" i="19"/>
  <c r="AP33" i="19"/>
  <c r="AP58" i="19"/>
  <c r="AP518" i="19"/>
  <c r="AP852" i="19"/>
  <c r="AP855" i="19"/>
  <c r="AP249" i="19"/>
  <c r="AP280" i="19"/>
  <c r="AP701" i="19"/>
  <c r="AP253" i="19"/>
  <c r="AP885" i="19"/>
  <c r="AP884" i="19"/>
  <c r="AP216" i="19"/>
  <c r="AP559" i="19"/>
  <c r="AP847" i="19"/>
  <c r="AP457" i="19"/>
  <c r="AP420" i="19"/>
  <c r="AP281" i="19"/>
  <c r="AP389" i="19"/>
  <c r="AP285" i="19"/>
  <c r="AP388" i="19"/>
  <c r="AP169" i="19"/>
  <c r="AP309" i="19"/>
  <c r="AP189" i="19"/>
  <c r="AP171" i="19"/>
  <c r="AP634" i="19"/>
  <c r="AP519" i="19"/>
  <c r="AP69" i="19"/>
  <c r="AP251" i="19"/>
  <c r="AP354" i="19"/>
  <c r="AP602" i="19"/>
  <c r="AP367" i="19"/>
  <c r="AP387" i="19"/>
  <c r="AP386" i="19"/>
  <c r="AP583" i="19"/>
  <c r="AP284" i="19"/>
  <c r="AP777" i="19"/>
  <c r="AP734" i="19"/>
  <c r="AP901" i="19"/>
  <c r="AP481" i="19"/>
  <c r="AP57" i="19"/>
  <c r="AP268" i="19"/>
  <c r="AP298" i="19"/>
  <c r="AP658" i="19"/>
  <c r="AP385" i="19"/>
  <c r="AP343" i="19"/>
  <c r="AP342" i="19"/>
  <c r="AP195" i="19"/>
  <c r="AP921" i="19"/>
  <c r="AP920" i="19"/>
  <c r="AP318" i="19"/>
  <c r="AP456" i="19"/>
  <c r="AP455" i="19"/>
  <c r="AP912" i="19"/>
  <c r="AP462" i="19"/>
  <c r="AP796" i="19"/>
  <c r="AP601" i="19"/>
  <c r="AP883" i="19"/>
  <c r="AP600" i="19"/>
  <c r="AP795" i="19"/>
  <c r="AP898" i="19"/>
  <c r="AP454" i="19"/>
  <c r="AP201" i="19"/>
  <c r="AP461" i="19"/>
  <c r="AP305" i="19"/>
  <c r="AP460" i="19"/>
  <c r="AP459" i="19"/>
  <c r="AP453" i="19"/>
  <c r="AP452" i="19"/>
  <c r="AP827" i="19"/>
  <c r="AP823" i="19"/>
  <c r="AP304" i="19"/>
  <c r="AP140" i="19"/>
  <c r="AP780" i="19"/>
  <c r="AP353" i="19"/>
  <c r="AP82" i="19"/>
  <c r="AP637" i="19"/>
  <c r="AP490" i="19"/>
  <c r="AP405" i="19"/>
  <c r="AP876" i="19"/>
  <c r="AP192" i="19"/>
  <c r="AP188" i="19"/>
  <c r="AP366" i="19"/>
  <c r="AP458" i="19"/>
  <c r="AP896" i="19"/>
  <c r="AP529" i="19"/>
  <c r="AP365" i="19"/>
  <c r="AP196" i="19"/>
  <c r="AP592" i="19"/>
  <c r="AP451" i="19"/>
  <c r="AP450" i="19"/>
  <c r="AP404" i="19"/>
  <c r="AP599" i="19"/>
  <c r="AP657" i="19"/>
  <c r="AP618" i="19"/>
  <c r="AP508" i="19"/>
  <c r="AP483" i="19"/>
  <c r="AP161" i="19"/>
  <c r="AP250" i="19"/>
  <c r="AP587" i="19"/>
  <c r="AP279" i="19"/>
  <c r="AP278" i="19"/>
  <c r="AP882" i="19"/>
  <c r="AP670" i="19"/>
  <c r="AP5" i="19"/>
  <c r="AP591" i="19"/>
  <c r="AP590" i="19"/>
  <c r="AP204" i="19"/>
  <c r="AP434" i="19"/>
  <c r="AP623" i="19"/>
  <c r="AP826" i="19"/>
  <c r="AP825" i="19"/>
  <c r="AP758" i="19"/>
  <c r="AP626" i="19"/>
  <c r="AP757" i="19"/>
  <c r="AP756" i="19"/>
  <c r="AP378" i="19"/>
  <c r="AP356" i="19"/>
  <c r="AP355" i="19"/>
  <c r="AP586" i="19"/>
  <c r="AP187" i="19"/>
  <c r="AP322" i="19"/>
  <c r="AP562" i="19"/>
  <c r="AP428" i="19"/>
  <c r="AP775" i="19"/>
  <c r="AP449" i="19"/>
  <c r="AP277" i="19"/>
  <c r="AP919" i="19"/>
  <c r="AP341" i="19"/>
  <c r="AP838" i="19"/>
  <c r="AP31" i="19"/>
  <c r="AP875" i="19"/>
  <c r="AP276" i="19"/>
  <c r="AP415" i="19"/>
  <c r="AP909" i="19"/>
  <c r="AP267" i="19"/>
  <c r="AP44" i="19"/>
  <c r="AP733" i="19"/>
  <c r="AP154" i="19"/>
  <c r="AP794" i="19"/>
  <c r="AP203" i="19"/>
  <c r="AP585" i="19"/>
  <c r="AP275" i="19"/>
  <c r="AP793" i="19"/>
  <c r="AP56" i="19"/>
  <c r="AP384" i="19"/>
  <c r="AP151" i="19"/>
  <c r="AP936" i="19"/>
  <c r="AP792" i="19"/>
  <c r="AP200" i="19"/>
  <c r="AP746" i="19"/>
  <c r="AP745" i="19"/>
  <c r="AP900" i="19"/>
  <c r="AP837" i="19"/>
  <c r="AP120" i="19"/>
  <c r="AP77" i="19"/>
  <c r="AP39" i="19"/>
  <c r="AP572" i="19"/>
  <c r="AP317" i="19"/>
  <c r="AP139" i="19"/>
  <c r="AP211" i="19"/>
  <c r="AP850" i="19"/>
  <c r="AP849" i="19"/>
  <c r="AP848" i="19"/>
  <c r="AP71" i="19"/>
  <c r="AP98" i="19"/>
  <c r="AP138" i="19"/>
  <c r="AP755" i="19"/>
  <c r="AP770" i="19"/>
  <c r="AP104" i="19"/>
  <c r="AP68" i="19"/>
  <c r="AP67" i="19"/>
  <c r="AP66" i="19"/>
  <c r="AP65" i="19"/>
  <c r="AP87" i="19"/>
  <c r="AP669" i="19"/>
  <c r="AP437" i="19"/>
  <c r="AP629" i="19"/>
  <c r="AP788" i="19"/>
  <c r="AP186" i="19"/>
  <c r="AP380" i="19"/>
  <c r="AP185" i="19"/>
  <c r="AP598" i="19"/>
  <c r="AP78" i="19"/>
  <c r="AP412" i="19"/>
  <c r="AP787" i="19"/>
  <c r="AP786" i="19"/>
  <c r="AP316" i="19"/>
  <c r="AP339" i="19"/>
  <c r="AP396" i="19"/>
  <c r="AP262" i="19"/>
  <c r="AP261" i="19"/>
  <c r="AP260" i="19"/>
  <c r="AP259" i="19"/>
  <c r="AP141" i="19"/>
  <c r="AP361" i="19"/>
  <c r="AP360" i="19"/>
  <c r="AP210" i="19"/>
  <c r="AP633" i="19"/>
  <c r="AP377" i="19"/>
  <c r="AP612" i="19"/>
  <c r="AP258" i="19"/>
  <c r="AP597" i="19"/>
  <c r="AP836" i="19"/>
  <c r="AP895" i="19"/>
  <c r="AP609" i="19"/>
  <c r="AP61" i="19"/>
  <c r="AP257" i="19"/>
  <c r="AP137" i="19"/>
  <c r="AP893" i="19"/>
  <c r="AP470" i="19"/>
  <c r="AP116" i="19"/>
  <c r="AP115" i="19"/>
  <c r="AP85" i="19"/>
  <c r="AP60" i="19"/>
  <c r="AP52" i="19"/>
  <c r="AP70" i="19"/>
  <c r="AP88" i="19"/>
  <c r="AP300" i="19"/>
  <c r="AP266" i="19"/>
  <c r="AP265" i="19"/>
  <c r="AP824" i="19"/>
  <c r="AP697" i="19"/>
  <c r="AP656" i="19"/>
  <c r="AP694" i="19"/>
  <c r="AP297" i="19"/>
  <c r="AP296" i="19"/>
  <c r="AP843" i="19"/>
  <c r="AP842" i="19"/>
  <c r="AP841" i="19"/>
  <c r="AP840" i="19"/>
  <c r="AP839" i="19"/>
  <c r="AP835" i="19"/>
  <c r="AP892" i="19"/>
  <c r="AP110" i="19"/>
  <c r="AP303" i="19"/>
  <c r="AP570" i="19"/>
  <c r="AP569" i="19"/>
  <c r="AP294" i="19"/>
  <c r="AP568" i="19"/>
  <c r="AP567" i="19"/>
  <c r="AP566" i="19"/>
  <c r="AP565" i="19"/>
  <c r="AP869" i="19"/>
  <c r="AP868" i="19"/>
  <c r="AP564" i="19"/>
  <c r="AP215" i="19"/>
  <c r="AP834" i="19"/>
  <c r="AP833" i="19"/>
  <c r="AP832" i="19"/>
  <c r="AP831" i="19"/>
  <c r="AP830" i="19"/>
  <c r="AP866" i="19"/>
  <c r="AP224" i="19"/>
  <c r="AP480" i="19"/>
  <c r="AP479" i="19"/>
  <c r="AP913" i="19"/>
  <c r="AP478" i="19"/>
  <c r="AP622" i="19"/>
  <c r="AP256" i="19"/>
  <c r="AP373" i="19"/>
  <c r="AP372" i="19"/>
  <c r="AP97" i="19"/>
  <c r="AP76" i="19"/>
  <c r="AP75" i="19"/>
  <c r="AP533" i="19"/>
  <c r="AP427" i="19"/>
  <c r="AP668" i="19"/>
  <c r="AP636" i="19"/>
  <c r="AP4" i="19"/>
  <c r="AP184" i="19"/>
  <c r="AP183" i="19"/>
  <c r="AP464" i="19"/>
  <c r="AP684" i="19"/>
  <c r="AP394" i="19"/>
  <c r="AP393" i="19"/>
  <c r="AP107" i="19"/>
  <c r="AP488" i="19"/>
  <c r="AP244" i="19"/>
  <c r="AP243" i="19"/>
  <c r="AP532" i="19"/>
  <c r="AP531" i="19"/>
  <c r="AP242" i="19"/>
  <c r="AP625" i="19"/>
  <c r="AP765" i="19"/>
  <c r="AP672" i="19"/>
  <c r="AP170" i="19"/>
  <c r="AP168" i="19"/>
  <c r="AP764" i="19"/>
  <c r="AP112" i="19"/>
  <c r="AP167" i="19"/>
  <c r="AP166" i="19"/>
  <c r="AP172" i="19"/>
  <c r="AP221" i="19"/>
  <c r="AP83" i="19"/>
  <c r="AP763" i="19"/>
  <c r="AP165" i="19"/>
  <c r="AP80" i="19"/>
  <c r="AP336" i="19"/>
  <c r="AP315" i="19"/>
  <c r="AP611" i="19"/>
  <c r="AP191" i="19"/>
  <c r="AP293" i="19"/>
  <c r="AP561" i="19"/>
  <c r="AP234" i="19"/>
  <c r="AP233" i="19"/>
  <c r="AP440" i="19"/>
  <c r="AP528" i="19"/>
  <c r="AP246" i="19"/>
  <c r="AP295" i="19"/>
  <c r="AP135" i="19"/>
  <c r="AP6" i="19"/>
  <c r="AP147" i="19"/>
  <c r="AP698" i="19"/>
  <c r="AP829" i="19"/>
  <c r="AP247" i="19"/>
  <c r="AP772" i="19"/>
  <c r="AP338" i="19"/>
  <c r="AP436" i="19"/>
  <c r="AP108" i="19"/>
  <c r="AP635" i="19"/>
  <c r="AP382" i="19"/>
  <c r="AP507" i="19"/>
  <c r="AP407" i="19"/>
  <c r="AP506" i="19"/>
  <c r="AP505" i="19"/>
  <c r="AP504" i="19"/>
  <c r="AP202" i="19"/>
  <c r="AP683" i="19"/>
  <c r="AP182" i="19"/>
  <c r="AP181" i="19"/>
  <c r="AP199" i="19"/>
  <c r="AP198" i="19"/>
  <c r="AP477" i="19"/>
  <c r="AP99" i="19"/>
  <c r="AP696" i="19"/>
  <c r="AP308" i="19"/>
  <c r="AP620" i="19"/>
  <c r="AP223" i="19"/>
  <c r="AP222" i="19"/>
  <c r="AP628" i="19"/>
  <c r="AP101" i="19"/>
  <c r="AP312" i="19"/>
  <c r="AP193" i="19"/>
  <c r="AP314" i="19"/>
  <c r="AP610" i="19"/>
  <c r="AP381" i="19"/>
  <c r="AP476" i="19"/>
  <c r="AP791" i="19"/>
  <c r="AP475" i="19"/>
  <c r="AP180" i="19"/>
  <c r="AP114" i="19"/>
  <c r="AP607" i="19"/>
  <c r="AP430" i="19"/>
  <c r="AP55" i="19"/>
  <c r="AP474" i="19"/>
  <c r="AP179" i="19"/>
  <c r="AP790" i="19"/>
  <c r="AP473" i="19"/>
  <c r="AP311" i="19"/>
  <c r="AP310" i="19"/>
  <c r="AP938" i="19"/>
  <c r="AP754" i="19"/>
  <c r="AP36" i="19"/>
  <c r="AP164" i="19"/>
  <c r="AP232" i="19"/>
  <c r="AP178" i="19"/>
  <c r="AP177" i="19"/>
  <c r="AP176" i="19"/>
  <c r="AP364" i="19"/>
  <c r="AP175" i="19"/>
  <c r="AP596" i="19"/>
  <c r="AP174" i="19"/>
  <c r="AP100" i="19"/>
  <c r="AP173" i="19"/>
  <c r="AP500" i="19"/>
  <c r="AP621" i="19"/>
  <c r="AP469" i="19"/>
  <c r="AP494" i="19"/>
  <c r="AP573" i="19"/>
  <c r="AP595" i="19"/>
  <c r="AP594" i="19"/>
  <c r="AP593" i="19"/>
  <c r="AP910" i="19"/>
  <c r="AP209" i="19"/>
  <c r="AP484" i="19"/>
  <c r="AP8" i="19"/>
  <c r="AP131" i="19"/>
  <c r="AP359" i="19"/>
  <c r="AP47" i="19"/>
  <c r="AP51" i="19"/>
  <c r="AP264" i="19"/>
  <c r="AP358" i="19"/>
  <c r="AP26" i="19"/>
  <c r="AP54" i="19"/>
  <c r="AP423" i="19"/>
  <c r="AP422" i="19"/>
  <c r="AP419" i="19"/>
  <c r="AP650" i="19"/>
  <c r="AP255" i="19"/>
  <c r="AP649" i="19"/>
  <c r="AP667" i="19"/>
  <c r="AP152" i="19"/>
  <c r="AP96" i="19"/>
  <c r="AP426" i="19"/>
  <c r="AP136" i="19"/>
  <c r="AP146" i="19"/>
  <c r="AP429" i="19"/>
  <c r="AP9" i="19"/>
  <c r="AP418" i="19"/>
  <c r="AP134" i="19"/>
  <c r="AP273" i="19"/>
  <c r="AP144" i="19"/>
  <c r="AP581" i="19"/>
  <c r="AP939" i="19"/>
  <c r="AO702" i="19"/>
  <c r="AO730" i="19"/>
  <c r="AO732" i="19"/>
  <c r="AO24" i="19"/>
  <c r="AO23" i="19"/>
  <c r="AO22" i="19"/>
  <c r="AO21" i="19"/>
  <c r="AO30" i="19"/>
  <c r="AO34" i="19"/>
  <c r="AO881" i="19"/>
  <c r="AO20" i="19"/>
  <c r="AO19" i="19"/>
  <c r="AO25" i="19"/>
  <c r="AO111" i="19"/>
  <c r="AO29" i="19"/>
  <c r="AO28" i="19"/>
  <c r="AO27" i="19"/>
  <c r="AO42" i="19"/>
  <c r="AO682" i="19"/>
  <c r="AO46" i="19"/>
  <c r="AO160" i="19"/>
  <c r="AO48" i="19"/>
  <c r="AO558" i="19"/>
  <c r="AO557" i="19"/>
  <c r="AO739" i="19"/>
  <c r="AO738" i="19"/>
  <c r="AO556" i="19"/>
  <c r="AO555" i="19"/>
  <c r="AO554" i="19"/>
  <c r="AO553" i="19"/>
  <c r="AO552" i="19"/>
  <c r="AO551" i="19"/>
  <c r="AO550" i="19"/>
  <c r="AO549" i="19"/>
  <c r="AO548" i="19"/>
  <c r="AO547" i="19"/>
  <c r="AO546" i="19"/>
  <c r="AO545" i="19"/>
  <c r="AO544" i="19"/>
  <c r="AO543" i="19"/>
  <c r="AO542" i="19"/>
  <c r="AO541" i="19"/>
  <c r="AO540" i="19"/>
  <c r="AO539" i="19"/>
  <c r="AO538" i="19"/>
  <c r="AO537" i="19"/>
  <c r="AO45" i="19"/>
  <c r="AO536" i="19"/>
  <c r="AO535" i="19"/>
  <c r="AO534" i="19"/>
  <c r="AO122" i="19"/>
  <c r="AO10" i="19"/>
  <c r="AO113" i="19"/>
  <c r="AO425" i="19"/>
  <c r="AO897" i="19"/>
  <c r="AO648" i="19"/>
  <c r="AO17" i="19"/>
  <c r="AO16" i="19"/>
  <c r="AO15" i="19"/>
  <c r="AO579" i="19"/>
  <c r="AO578" i="19"/>
  <c r="AO577" i="19"/>
  <c r="AO580" i="19"/>
  <c r="AO891" i="19"/>
  <c r="AO159" i="19"/>
  <c r="AO671" i="19"/>
  <c r="AO417" i="19"/>
  <c r="AO647" i="19"/>
  <c r="AO646" i="19"/>
  <c r="AO681" i="19"/>
  <c r="AO14" i="19"/>
  <c r="AO74" i="19"/>
  <c r="AO421" i="19"/>
  <c r="AO666" i="19"/>
  <c r="AO665" i="19"/>
  <c r="AO32" i="19"/>
  <c r="AO18" i="19"/>
  <c r="AO664" i="19"/>
  <c r="AO645" i="19"/>
  <c r="AO644" i="19"/>
  <c r="AO155" i="19"/>
  <c r="AO608" i="19"/>
  <c r="AO371" i="19"/>
  <c r="AO729" i="19"/>
  <c r="AO728" i="19"/>
  <c r="AO727" i="19"/>
  <c r="AO726" i="19"/>
  <c r="AO725" i="19"/>
  <c r="AO433" i="19"/>
  <c r="AO514" i="19"/>
  <c r="AO515" i="19"/>
  <c r="AO463" i="19"/>
  <c r="AO156" i="19"/>
  <c r="AO724" i="19"/>
  <c r="AO723" i="19"/>
  <c r="AO722" i="19"/>
  <c r="AO721" i="19"/>
  <c r="AO720" i="19"/>
  <c r="AO719" i="19"/>
  <c r="AO718" i="19"/>
  <c r="AO717" i="19"/>
  <c r="AO716" i="19"/>
  <c r="AO935" i="19"/>
  <c r="AO934" i="19"/>
  <c r="AO933" i="19"/>
  <c r="AO932" i="19"/>
  <c r="AO931" i="19"/>
  <c r="AO930" i="19"/>
  <c r="AO929" i="19"/>
  <c r="AO715" i="19"/>
  <c r="AO714" i="19"/>
  <c r="AO713" i="19"/>
  <c r="AO712" i="19"/>
  <c r="AO711" i="19"/>
  <c r="AO928" i="19"/>
  <c r="AO927" i="19"/>
  <c r="AO926" i="19"/>
  <c r="AO710" i="19"/>
  <c r="AO709" i="19"/>
  <c r="AO802" i="19"/>
  <c r="AO801" i="19"/>
  <c r="AO785" i="19"/>
  <c r="AO497" i="19"/>
  <c r="AO411" i="19"/>
  <c r="AO410" i="19"/>
  <c r="AO496" i="19"/>
  <c r="AO124" i="19"/>
  <c r="AO414" i="19"/>
  <c r="AO448" i="19"/>
  <c r="AO447" i="19"/>
  <c r="AO416" i="19"/>
  <c r="AO643" i="19"/>
  <c r="AO495" i="19"/>
  <c r="AO370" i="19"/>
  <c r="AO689" i="19"/>
  <c r="AO606" i="19"/>
  <c r="AO605" i="19"/>
  <c r="AO604" i="19"/>
  <c r="AO369" i="19"/>
  <c r="AO13" i="19"/>
  <c r="AO486" i="19"/>
  <c r="AO287" i="19"/>
  <c r="AO286" i="19"/>
  <c r="AO376" i="19"/>
  <c r="AO126" i="19"/>
  <c r="AO867" i="19"/>
  <c r="AO890" i="19"/>
  <c r="AO632" i="19"/>
  <c r="AO631" i="19"/>
  <c r="AO859" i="19"/>
  <c r="AO822" i="19"/>
  <c r="AO821" i="19"/>
  <c r="AO820" i="19"/>
  <c r="AO819" i="19"/>
  <c r="AO818" i="19"/>
  <c r="AO563" i="19"/>
  <c r="AO865" i="19"/>
  <c r="AO864" i="19"/>
  <c r="AO283" i="19"/>
  <c r="AO468" i="19"/>
  <c r="AO467" i="19"/>
  <c r="AO466" i="19"/>
  <c r="AO465" i="19"/>
  <c r="AO492" i="19"/>
  <c r="AO493" i="19"/>
  <c r="AO121" i="19"/>
  <c r="AO127" i="19"/>
  <c r="AO35" i="19"/>
  <c r="AO73" i="19"/>
  <c r="AO119" i="19"/>
  <c r="AO92" i="19"/>
  <c r="AO91" i="19"/>
  <c r="AO53" i="19"/>
  <c r="AO90" i="19"/>
  <c r="AO89" i="19"/>
  <c r="AO72" i="19"/>
  <c r="AO374" i="19"/>
  <c r="AO680" i="19"/>
  <c r="AO679" i="19"/>
  <c r="AO678" i="19"/>
  <c r="AO424" i="19"/>
  <c r="AO663" i="19"/>
  <c r="AO213" i="19"/>
  <c r="AO571" i="19"/>
  <c r="AO846" i="19"/>
  <c r="AO526" i="19"/>
  <c r="AO874" i="19"/>
  <c r="AO924" i="19"/>
  <c r="AO923" i="19"/>
  <c r="AO7" i="19"/>
  <c r="AO708" i="19"/>
  <c r="AO771" i="19"/>
  <c r="AO918" i="19"/>
  <c r="AO917" i="19"/>
  <c r="AO655" i="19"/>
  <c r="AO654" i="19"/>
  <c r="AO40" i="19"/>
  <c r="AO653" i="19"/>
  <c r="AO652" i="19"/>
  <c r="AO651" i="19"/>
  <c r="AO348" i="19"/>
  <c r="AO522" i="19"/>
  <c r="AO38" i="19"/>
  <c r="AO779" i="19"/>
  <c r="AO778" i="19"/>
  <c r="AO873" i="19"/>
  <c r="AO675" i="19"/>
  <c r="AO674" i="19"/>
  <c r="AO272" i="19"/>
  <c r="AO677" i="19"/>
  <c r="AO676" i="19"/>
  <c r="AO109" i="19"/>
  <c r="AO431" i="19"/>
  <c r="AO673" i="19"/>
  <c r="AO397" i="19"/>
  <c r="AO737" i="19"/>
  <c r="AO642" i="19"/>
  <c r="AO12" i="19"/>
  <c r="AO641" i="19"/>
  <c r="AO11" i="19"/>
  <c r="AO640" i="19"/>
  <c r="AO639" i="19"/>
  <c r="AO435" i="19"/>
  <c r="AO853" i="19"/>
  <c r="AO133" i="19"/>
  <c r="AO516" i="19"/>
  <c r="AO695" i="19"/>
  <c r="AO271" i="19"/>
  <c r="AO889" i="19"/>
  <c r="AO941" i="19"/>
  <c r="AO487" i="19"/>
  <c r="AO128" i="19"/>
  <c r="AO239" i="19"/>
  <c r="AO363" i="19"/>
  <c r="AO79" i="19"/>
  <c r="AO576" i="19"/>
  <c r="AO944" i="19"/>
  <c r="AO241" i="19"/>
  <c r="AO240" i="19"/>
  <c r="AO238" i="19"/>
  <c r="AO237" i="19"/>
  <c r="AO888" i="19"/>
  <c r="AO940" i="19"/>
  <c r="AO254" i="19"/>
  <c r="AO472" i="19"/>
  <c r="AO797" i="19"/>
  <c r="AO503" i="19"/>
  <c r="AO337" i="19"/>
  <c r="AO811" i="19"/>
  <c r="AO810" i="19"/>
  <c r="AO809" i="19"/>
  <c r="AO812" i="19"/>
  <c r="AO887" i="19"/>
  <c r="AO899" i="19"/>
  <c r="AO858" i="19"/>
  <c r="AO857" i="19"/>
  <c r="AO219" i="19"/>
  <c r="AO130" i="19"/>
  <c r="AO945" i="19"/>
  <c r="AO520" i="19"/>
  <c r="AO499" i="19"/>
  <c r="AO817" i="19"/>
  <c r="AO603" i="19"/>
  <c r="AO816" i="19"/>
  <c r="AO103" i="19"/>
  <c r="AO789" i="19"/>
  <c r="AO162" i="19"/>
  <c r="AO575" i="19"/>
  <c r="AO736" i="19"/>
  <c r="AO845" i="19"/>
  <c r="AO844" i="19"/>
  <c r="AO325" i="19"/>
  <c r="AO324" i="19"/>
  <c r="AO323" i="19"/>
  <c r="AO498" i="19"/>
  <c r="AO524" i="19"/>
  <c r="AO217" i="19"/>
  <c r="AO214" i="19"/>
  <c r="AO880" i="19"/>
  <c r="AO352" i="19"/>
  <c r="AO624" i="19"/>
  <c r="AO894" i="19"/>
  <c r="AO84" i="19"/>
  <c r="AO129" i="19"/>
  <c r="AO252" i="19"/>
  <c r="AO638" i="19"/>
  <c r="AO446" i="19"/>
  <c r="AO248" i="19"/>
  <c r="AO937" i="19"/>
  <c r="AO401" i="19"/>
  <c r="AO400" i="19"/>
  <c r="AO282" i="19"/>
  <c r="AO904" i="19"/>
  <c r="AO903" i="19"/>
  <c r="AO902" i="19"/>
  <c r="AO753" i="19"/>
  <c r="AO445" i="19"/>
  <c r="AO914" i="19"/>
  <c r="AO307" i="19"/>
  <c r="AO306" i="19"/>
  <c r="AO408" i="19"/>
  <c r="AO212" i="19"/>
  <c r="AO517" i="19"/>
  <c r="AO218" i="19"/>
  <c r="AO406" i="19"/>
  <c r="AO432" i="19"/>
  <c r="AO560" i="19"/>
  <c r="AO922" i="19"/>
  <c r="AO398" i="19"/>
  <c r="AO574" i="19"/>
  <c r="AO856" i="19"/>
  <c r="AO392" i="19"/>
  <c r="AO391" i="19"/>
  <c r="AO326" i="19"/>
  <c r="AO751" i="19"/>
  <c r="AO402" i="19"/>
  <c r="AO752" i="19"/>
  <c r="AO301" i="19"/>
  <c r="AO346" i="19"/>
  <c r="AO489" i="19"/>
  <c r="AO588" i="19"/>
  <c r="AO527" i="19"/>
  <c r="AO379" i="19"/>
  <c r="AO769" i="19"/>
  <c r="AO748" i="19"/>
  <c r="AO768" i="19"/>
  <c r="AO230" i="19"/>
  <c r="AO229" i="19"/>
  <c r="AO228" i="19"/>
  <c r="AO227" i="19"/>
  <c r="AO444" i="19"/>
  <c r="AO443" i="19"/>
  <c r="AO442" i="19"/>
  <c r="AO441" i="19"/>
  <c r="AO403" i="19"/>
  <c r="AO750" i="19"/>
  <c r="AO236" i="19"/>
  <c r="AO313" i="19"/>
  <c r="AO399" i="19"/>
  <c r="AO226" i="19"/>
  <c r="AO225" i="19"/>
  <c r="AO767" i="19"/>
  <c r="AO766" i="19"/>
  <c r="AO735" i="19"/>
  <c r="AO95" i="19"/>
  <c r="AO335" i="19"/>
  <c r="AO762" i="19"/>
  <c r="AO132" i="19"/>
  <c r="AO158" i="19"/>
  <c r="AO123" i="19"/>
  <c r="AO502" i="19"/>
  <c r="AO148" i="19"/>
  <c r="AO584" i="19"/>
  <c r="AO774" i="19"/>
  <c r="AO906" i="19"/>
  <c r="AO749" i="19"/>
  <c r="AO231" i="19"/>
  <c r="AO886" i="19"/>
  <c r="AO439" i="19"/>
  <c r="AO693" i="19"/>
  <c r="AO438" i="19"/>
  <c r="AO368" i="19"/>
  <c r="AO292" i="19"/>
  <c r="AO291" i="19"/>
  <c r="AO290" i="19"/>
  <c r="AO289" i="19"/>
  <c r="AO288" i="19"/>
  <c r="AO707" i="19"/>
  <c r="AO706" i="19"/>
  <c r="AO705" i="19"/>
  <c r="AO704" i="19"/>
  <c r="AO688" i="19"/>
  <c r="AO630" i="19"/>
  <c r="AO157" i="19"/>
  <c r="AO235" i="19"/>
  <c r="AO761" i="19"/>
  <c r="AO345" i="19"/>
  <c r="AO344" i="19"/>
  <c r="AO692" i="19"/>
  <c r="AO691" i="19"/>
  <c r="AO690" i="19"/>
  <c r="AO784" i="19"/>
  <c r="AO357" i="19"/>
  <c r="AO153" i="19"/>
  <c r="AO808" i="19"/>
  <c r="AO703" i="19"/>
  <c r="AO413" i="19"/>
  <c r="AO776" i="19"/>
  <c r="AO800" i="19"/>
  <c r="AO799" i="19"/>
  <c r="AO798" i="19"/>
  <c r="AO731" i="19"/>
  <c r="AO807" i="19"/>
  <c r="AO806" i="19"/>
  <c r="AO805" i="19"/>
  <c r="AO804" i="19"/>
  <c r="AO803" i="19"/>
  <c r="AO870" i="19"/>
  <c r="AO905" i="19"/>
  <c r="AO383" i="19"/>
  <c r="AO747" i="19"/>
  <c r="AO854" i="19"/>
  <c r="AO907" i="19"/>
  <c r="AO245" i="19"/>
  <c r="AO375" i="19"/>
  <c r="AO43" i="19"/>
  <c r="AO589" i="19"/>
  <c r="AO744" i="19"/>
  <c r="AO513" i="19"/>
  <c r="AO334" i="19"/>
  <c r="AO760" i="19"/>
  <c r="AO863" i="19"/>
  <c r="AO862" i="19"/>
  <c r="AO861" i="19"/>
  <c r="AO860" i="19"/>
  <c r="AO619" i="19"/>
  <c r="AO943" i="19"/>
  <c r="AO208" i="19"/>
  <c r="AO351" i="19"/>
  <c r="AO491" i="19"/>
  <c r="AO207" i="19"/>
  <c r="AO521" i="19"/>
  <c r="AO525" i="19"/>
  <c r="AO206" i="19"/>
  <c r="AO205" i="19"/>
  <c r="AO878" i="19"/>
  <c r="AO523" i="19"/>
  <c r="AO915" i="19"/>
  <c r="AO340" i="19"/>
  <c r="AO759" i="19"/>
  <c r="AO530" i="19"/>
  <c r="AO783" i="19"/>
  <c r="AO782" i="19"/>
  <c r="AO781" i="19"/>
  <c r="AO350" i="19"/>
  <c r="AO349" i="19"/>
  <c r="AO347" i="19"/>
  <c r="AO916" i="19"/>
  <c r="AO582" i="19"/>
  <c r="AO150" i="19"/>
  <c r="AO149" i="19"/>
  <c r="AO627" i="19"/>
  <c r="AO773" i="19"/>
  <c r="AO617" i="19"/>
  <c r="AO190" i="19"/>
  <c r="AO743" i="19"/>
  <c r="AO742" i="19"/>
  <c r="AO741" i="19"/>
  <c r="AO118" i="19"/>
  <c r="AO64" i="19"/>
  <c r="AO63" i="19"/>
  <c r="AO263" i="19"/>
  <c r="AO117" i="19"/>
  <c r="AO37" i="19"/>
  <c r="AO102" i="19"/>
  <c r="AO86" i="19"/>
  <c r="AO62" i="19"/>
  <c r="AO50" i="19"/>
  <c r="AO49" i="19"/>
  <c r="AO501" i="19"/>
  <c r="AO270" i="19"/>
  <c r="AO269" i="19"/>
  <c r="AO145" i="19"/>
  <c r="AO685" i="19"/>
  <c r="AO815" i="19"/>
  <c r="AO814" i="19"/>
  <c r="AO813" i="19"/>
  <c r="AO879" i="19"/>
  <c r="AO700" i="19"/>
  <c r="AO194" i="19"/>
  <c r="AO828" i="19"/>
  <c r="AO471" i="19"/>
  <c r="AO482" i="19"/>
  <c r="AO333" i="19"/>
  <c r="AO512" i="19"/>
  <c r="AO511" i="19"/>
  <c r="AO510" i="19"/>
  <c r="AO509" i="19"/>
  <c r="AO332" i="19"/>
  <c r="AO331" i="19"/>
  <c r="AO106" i="19"/>
  <c r="AO94" i="19"/>
  <c r="AO740" i="19"/>
  <c r="AO330" i="19"/>
  <c r="AO105" i="19"/>
  <c r="AO329" i="19"/>
  <c r="AO328" i="19"/>
  <c r="AO327" i="19"/>
  <c r="AO911" i="19"/>
  <c r="AO143" i="19"/>
  <c r="AO142" i="19"/>
  <c r="AO299" i="19"/>
  <c r="AO197" i="19"/>
  <c r="AO699" i="19"/>
  <c r="AO925" i="19"/>
  <c r="AO942" i="19"/>
  <c r="AO908" i="19"/>
  <c r="AO662" i="19"/>
  <c r="AO93" i="19"/>
  <c r="AO274" i="19"/>
  <c r="AO661" i="19"/>
  <c r="AO220" i="19"/>
  <c r="AO409" i="19"/>
  <c r="AO125" i="19"/>
  <c r="AO390" i="19"/>
  <c r="AO616" i="19"/>
  <c r="AO615" i="19"/>
  <c r="AO321" i="19"/>
  <c r="AO320" i="19"/>
  <c r="AO319" i="19"/>
  <c r="AO851" i="19"/>
  <c r="AO302" i="19"/>
  <c r="AO81" i="19"/>
  <c r="AO872" i="19"/>
  <c r="AO871" i="19"/>
  <c r="AO877" i="19"/>
  <c r="AO485" i="19"/>
  <c r="AO41" i="19"/>
  <c r="AO687" i="19"/>
  <c r="AO614" i="19"/>
  <c r="AO163" i="19"/>
  <c r="AO613" i="19"/>
  <c r="AO395" i="19"/>
  <c r="AO362" i="19"/>
  <c r="AO660" i="19"/>
  <c r="AO659" i="19"/>
  <c r="AO686" i="19"/>
  <c r="AO59" i="19"/>
  <c r="AO33" i="19"/>
  <c r="AO58" i="19"/>
  <c r="AO518" i="19"/>
  <c r="AO852" i="19"/>
  <c r="AO855" i="19"/>
  <c r="AO249" i="19"/>
  <c r="AO280" i="19"/>
  <c r="AO701" i="19"/>
  <c r="AO253" i="19"/>
  <c r="AO885" i="19"/>
  <c r="AO884" i="19"/>
  <c r="AO216" i="19"/>
  <c r="AO559" i="19"/>
  <c r="AO847" i="19"/>
  <c r="AO457" i="19"/>
  <c r="AO420" i="19"/>
  <c r="AO281" i="19"/>
  <c r="AO389" i="19"/>
  <c r="AO285" i="19"/>
  <c r="AO388" i="19"/>
  <c r="AO169" i="19"/>
  <c r="AO309" i="19"/>
  <c r="AO189" i="19"/>
  <c r="AO171" i="19"/>
  <c r="AO634" i="19"/>
  <c r="AO519" i="19"/>
  <c r="AO69" i="19"/>
  <c r="AO251" i="19"/>
  <c r="AO354" i="19"/>
  <c r="AO602" i="19"/>
  <c r="AO367" i="19"/>
  <c r="AO387" i="19"/>
  <c r="AO386" i="19"/>
  <c r="AO583" i="19"/>
  <c r="AO284" i="19"/>
  <c r="AO777" i="19"/>
  <c r="AO734" i="19"/>
  <c r="AO901" i="19"/>
  <c r="AO481" i="19"/>
  <c r="AO57" i="19"/>
  <c r="AO268" i="19"/>
  <c r="AO298" i="19"/>
  <c r="AO658" i="19"/>
  <c r="AO385" i="19"/>
  <c r="AO343" i="19"/>
  <c r="AO342" i="19"/>
  <c r="AO195" i="19"/>
  <c r="AO921" i="19"/>
  <c r="AO920" i="19"/>
  <c r="AO318" i="19"/>
  <c r="AO456" i="19"/>
  <c r="AO455" i="19"/>
  <c r="AO912" i="19"/>
  <c r="AO462" i="19"/>
  <c r="AO796" i="19"/>
  <c r="AO601" i="19"/>
  <c r="AO883" i="19"/>
  <c r="AO600" i="19"/>
  <c r="AO795" i="19"/>
  <c r="AO898" i="19"/>
  <c r="AO454" i="19"/>
  <c r="AO201" i="19"/>
  <c r="AO461" i="19"/>
  <c r="AO305" i="19"/>
  <c r="AO460" i="19"/>
  <c r="AO459" i="19"/>
  <c r="AO453" i="19"/>
  <c r="AO452" i="19"/>
  <c r="AO827" i="19"/>
  <c r="AO823" i="19"/>
  <c r="AO304" i="19"/>
  <c r="AO140" i="19"/>
  <c r="AO780" i="19"/>
  <c r="AO353" i="19"/>
  <c r="AO82" i="19"/>
  <c r="AO637" i="19"/>
  <c r="AO490" i="19"/>
  <c r="AO405" i="19"/>
  <c r="AO876" i="19"/>
  <c r="AO192" i="19"/>
  <c r="AO188" i="19"/>
  <c r="AO366" i="19"/>
  <c r="AO458" i="19"/>
  <c r="AO896" i="19"/>
  <c r="AO529" i="19"/>
  <c r="AO365" i="19"/>
  <c r="AO196" i="19"/>
  <c r="AO592" i="19"/>
  <c r="AO451" i="19"/>
  <c r="AO450" i="19"/>
  <c r="AO404" i="19"/>
  <c r="AO599" i="19"/>
  <c r="AO657" i="19"/>
  <c r="AO618" i="19"/>
  <c r="AO508" i="19"/>
  <c r="AO483" i="19"/>
  <c r="AO161" i="19"/>
  <c r="AO250" i="19"/>
  <c r="AO587" i="19"/>
  <c r="AO279" i="19"/>
  <c r="AO278" i="19"/>
  <c r="AO882" i="19"/>
  <c r="AO670" i="19"/>
  <c r="AO5" i="19"/>
  <c r="AO591" i="19"/>
  <c r="AO590" i="19"/>
  <c r="AO204" i="19"/>
  <c r="AO434" i="19"/>
  <c r="AO623" i="19"/>
  <c r="AO826" i="19"/>
  <c r="AO825" i="19"/>
  <c r="AO758" i="19"/>
  <c r="AO626" i="19"/>
  <c r="AO757" i="19"/>
  <c r="AO756" i="19"/>
  <c r="AO378" i="19"/>
  <c r="AO356" i="19"/>
  <c r="AO355" i="19"/>
  <c r="AO586" i="19"/>
  <c r="AO187" i="19"/>
  <c r="AO322" i="19"/>
  <c r="AO562" i="19"/>
  <c r="AO428" i="19"/>
  <c r="AO775" i="19"/>
  <c r="AO449" i="19"/>
  <c r="AO277" i="19"/>
  <c r="AO919" i="19"/>
  <c r="AO341" i="19"/>
  <c r="AO838" i="19"/>
  <c r="AO31" i="19"/>
  <c r="AO875" i="19"/>
  <c r="AO276" i="19"/>
  <c r="AO415" i="19"/>
  <c r="AO909" i="19"/>
  <c r="AO267" i="19"/>
  <c r="AO44" i="19"/>
  <c r="AO733" i="19"/>
  <c r="AO154" i="19"/>
  <c r="AO794" i="19"/>
  <c r="AO203" i="19"/>
  <c r="AO585" i="19"/>
  <c r="AO275" i="19"/>
  <c r="AO793" i="19"/>
  <c r="AO56" i="19"/>
  <c r="AO384" i="19"/>
  <c r="AO151" i="19"/>
  <c r="AO936" i="19"/>
  <c r="AO792" i="19"/>
  <c r="AO200" i="19"/>
  <c r="AO746" i="19"/>
  <c r="AO745" i="19"/>
  <c r="AO900" i="19"/>
  <c r="AO837" i="19"/>
  <c r="AO120" i="19"/>
  <c r="AO77" i="19"/>
  <c r="AO39" i="19"/>
  <c r="AO572" i="19"/>
  <c r="AO317" i="19"/>
  <c r="AO139" i="19"/>
  <c r="AO211" i="19"/>
  <c r="AO850" i="19"/>
  <c r="AO849" i="19"/>
  <c r="AO848" i="19"/>
  <c r="AO71" i="19"/>
  <c r="AO98" i="19"/>
  <c r="AO138" i="19"/>
  <c r="AO755" i="19"/>
  <c r="AO770" i="19"/>
  <c r="AO104" i="19"/>
  <c r="AO68" i="19"/>
  <c r="AO67" i="19"/>
  <c r="AO66" i="19"/>
  <c r="AO65" i="19"/>
  <c r="AO87" i="19"/>
  <c r="AO669" i="19"/>
  <c r="AO437" i="19"/>
  <c r="AO629" i="19"/>
  <c r="AO788" i="19"/>
  <c r="AO186" i="19"/>
  <c r="AO380" i="19"/>
  <c r="AO185" i="19"/>
  <c r="AO598" i="19"/>
  <c r="AO78" i="19"/>
  <c r="AO412" i="19"/>
  <c r="AO787" i="19"/>
  <c r="AO786" i="19"/>
  <c r="AO316" i="19"/>
  <c r="AO339" i="19"/>
  <c r="AO396" i="19"/>
  <c r="AO262" i="19"/>
  <c r="AO261" i="19"/>
  <c r="AO260" i="19"/>
  <c r="AO259" i="19"/>
  <c r="AO141" i="19"/>
  <c r="AO361" i="19"/>
  <c r="AO360" i="19"/>
  <c r="AO210" i="19"/>
  <c r="AO633" i="19"/>
  <c r="AO377" i="19"/>
  <c r="AO612" i="19"/>
  <c r="AO258" i="19"/>
  <c r="AO597" i="19"/>
  <c r="AO836" i="19"/>
  <c r="AO895" i="19"/>
  <c r="AO609" i="19"/>
  <c r="AO61" i="19"/>
  <c r="AO257" i="19"/>
  <c r="AO137" i="19"/>
  <c r="AO893" i="19"/>
  <c r="AO470" i="19"/>
  <c r="AO116" i="19"/>
  <c r="AO115" i="19"/>
  <c r="AO85" i="19"/>
  <c r="AO60" i="19"/>
  <c r="AO52" i="19"/>
  <c r="AO70" i="19"/>
  <c r="AO88" i="19"/>
  <c r="AO300" i="19"/>
  <c r="AO266" i="19"/>
  <c r="AO265" i="19"/>
  <c r="AO824" i="19"/>
  <c r="AO697" i="19"/>
  <c r="AO656" i="19"/>
  <c r="AO694" i="19"/>
  <c r="AO297" i="19"/>
  <c r="AO296" i="19"/>
  <c r="AO843" i="19"/>
  <c r="AO842" i="19"/>
  <c r="AO841" i="19"/>
  <c r="AO840" i="19"/>
  <c r="AO839" i="19"/>
  <c r="AO835" i="19"/>
  <c r="AO892" i="19"/>
  <c r="AO110" i="19"/>
  <c r="AO303" i="19"/>
  <c r="AO570" i="19"/>
  <c r="AO569" i="19"/>
  <c r="AO294" i="19"/>
  <c r="AO568" i="19"/>
  <c r="AO567" i="19"/>
  <c r="AO566" i="19"/>
  <c r="AO565" i="19"/>
  <c r="AO869" i="19"/>
  <c r="AO868" i="19"/>
  <c r="AO564" i="19"/>
  <c r="AO215" i="19"/>
  <c r="AO834" i="19"/>
  <c r="AO833" i="19"/>
  <c r="AO832" i="19"/>
  <c r="AO831" i="19"/>
  <c r="AO830" i="19"/>
  <c r="AO866" i="19"/>
  <c r="AO224" i="19"/>
  <c r="AO480" i="19"/>
  <c r="AO479" i="19"/>
  <c r="AO913" i="19"/>
  <c r="AO478" i="19"/>
  <c r="AO622" i="19"/>
  <c r="AO256" i="19"/>
  <c r="AO373" i="19"/>
  <c r="AO372" i="19"/>
  <c r="AO97" i="19"/>
  <c r="AO76" i="19"/>
  <c r="AO75" i="19"/>
  <c r="AO533" i="19"/>
  <c r="AO427" i="19"/>
  <c r="AO668" i="19"/>
  <c r="AO636" i="19"/>
  <c r="AO4" i="19"/>
  <c r="AO184" i="19"/>
  <c r="AO183" i="19"/>
  <c r="AO464" i="19"/>
  <c r="AO684" i="19"/>
  <c r="AO394" i="19"/>
  <c r="AO393" i="19"/>
  <c r="AO107" i="19"/>
  <c r="AO488" i="19"/>
  <c r="AO244" i="19"/>
  <c r="AO243" i="19"/>
  <c r="AO532" i="19"/>
  <c r="AO531" i="19"/>
  <c r="AO242" i="19"/>
  <c r="AO625" i="19"/>
  <c r="AO765" i="19"/>
  <c r="AO672" i="19"/>
  <c r="AO170" i="19"/>
  <c r="AO168" i="19"/>
  <c r="AO764" i="19"/>
  <c r="AO112" i="19"/>
  <c r="AO167" i="19"/>
  <c r="AO166" i="19"/>
  <c r="AO172" i="19"/>
  <c r="AO221" i="19"/>
  <c r="AO83" i="19"/>
  <c r="AO763" i="19"/>
  <c r="AO165" i="19"/>
  <c r="AO80" i="19"/>
  <c r="AO336" i="19"/>
  <c r="AO315" i="19"/>
  <c r="AO611" i="19"/>
  <c r="AO191" i="19"/>
  <c r="AO293" i="19"/>
  <c r="AO561" i="19"/>
  <c r="AO234" i="19"/>
  <c r="AO233" i="19"/>
  <c r="AO440" i="19"/>
  <c r="AO528" i="19"/>
  <c r="AO246" i="19"/>
  <c r="AO295" i="19"/>
  <c r="AO135" i="19"/>
  <c r="AO6" i="19"/>
  <c r="AO147" i="19"/>
  <c r="AO698" i="19"/>
  <c r="AO829" i="19"/>
  <c r="AO247" i="19"/>
  <c r="AO772" i="19"/>
  <c r="AO338" i="19"/>
  <c r="AO436" i="19"/>
  <c r="AO108" i="19"/>
  <c r="AO635" i="19"/>
  <c r="AO382" i="19"/>
  <c r="AO507" i="19"/>
  <c r="AO407" i="19"/>
  <c r="AO506" i="19"/>
  <c r="AO505" i="19"/>
  <c r="AO504" i="19"/>
  <c r="AO202" i="19"/>
  <c r="AO683" i="19"/>
  <c r="AO182" i="19"/>
  <c r="AO181" i="19"/>
  <c r="AO199" i="19"/>
  <c r="AO198" i="19"/>
  <c r="AO477" i="19"/>
  <c r="AO99" i="19"/>
  <c r="AO696" i="19"/>
  <c r="AO308" i="19"/>
  <c r="AO620" i="19"/>
  <c r="AO223" i="19"/>
  <c r="AO222" i="19"/>
  <c r="AO628" i="19"/>
  <c r="AO101" i="19"/>
  <c r="AO312" i="19"/>
  <c r="AO193" i="19"/>
  <c r="AO314" i="19"/>
  <c r="AO610" i="19"/>
  <c r="AO381" i="19"/>
  <c r="AO476" i="19"/>
  <c r="AO791" i="19"/>
  <c r="AO475" i="19"/>
  <c r="AO180" i="19"/>
  <c r="AO114" i="19"/>
  <c r="AO607" i="19"/>
  <c r="AO430" i="19"/>
  <c r="AO55" i="19"/>
  <c r="AO474" i="19"/>
  <c r="AO179" i="19"/>
  <c r="AO790" i="19"/>
  <c r="AO473" i="19"/>
  <c r="AO311" i="19"/>
  <c r="AO310" i="19"/>
  <c r="AO938" i="19"/>
  <c r="AO754" i="19"/>
  <c r="AO36" i="19"/>
  <c r="AO164" i="19"/>
  <c r="AO232" i="19"/>
  <c r="AO178" i="19"/>
  <c r="AO177" i="19"/>
  <c r="AO176" i="19"/>
  <c r="AO364" i="19"/>
  <c r="AO175" i="19"/>
  <c r="AO596" i="19"/>
  <c r="AO174" i="19"/>
  <c r="AO100" i="19"/>
  <c r="AO173" i="19"/>
  <c r="AO500" i="19"/>
  <c r="AO621" i="19"/>
  <c r="AO469" i="19"/>
  <c r="AO494" i="19"/>
  <c r="AO573" i="19"/>
  <c r="AO595" i="19"/>
  <c r="AO594" i="19"/>
  <c r="AO593" i="19"/>
  <c r="AO910" i="19"/>
  <c r="AO209" i="19"/>
  <c r="AO484" i="19"/>
  <c r="AO8" i="19"/>
  <c r="AO131" i="19"/>
  <c r="AO359" i="19"/>
  <c r="AO47" i="19"/>
  <c r="AO51" i="19"/>
  <c r="AO264" i="19"/>
  <c r="AO358" i="19"/>
  <c r="AO26" i="19"/>
  <c r="AO54" i="19"/>
  <c r="AO423" i="19"/>
  <c r="AO422" i="19"/>
  <c r="AO419" i="19"/>
  <c r="AO650" i="19"/>
  <c r="AO255" i="19"/>
  <c r="AO649" i="19"/>
  <c r="AO667" i="19"/>
  <c r="AO152" i="19"/>
  <c r="AO96" i="19"/>
  <c r="AO426" i="19"/>
  <c r="AO136" i="19"/>
  <c r="AO146" i="19"/>
  <c r="AO429" i="19"/>
  <c r="AO9" i="19"/>
  <c r="AO418" i="19"/>
  <c r="AO134" i="19"/>
  <c r="AO273" i="19"/>
  <c r="AO144" i="19"/>
  <c r="AO581" i="19"/>
  <c r="AO939" i="19"/>
  <c r="N702" i="19"/>
  <c r="N730" i="19"/>
  <c r="N732" i="19"/>
  <c r="N24" i="19"/>
  <c r="N23" i="19"/>
  <c r="N22" i="19"/>
  <c r="N21" i="19"/>
  <c r="N30" i="19"/>
  <c r="N34" i="19"/>
  <c r="N881" i="19"/>
  <c r="N20" i="19"/>
  <c r="N19" i="19"/>
  <c r="N25" i="19"/>
  <c r="N111" i="19"/>
  <c r="N29" i="19"/>
  <c r="N28" i="19"/>
  <c r="N27" i="19"/>
  <c r="N42" i="19"/>
  <c r="N682" i="19"/>
  <c r="N46" i="19"/>
  <c r="N160" i="19"/>
  <c r="N48" i="19"/>
  <c r="N558" i="19"/>
  <c r="N557" i="19"/>
  <c r="N739" i="19"/>
  <c r="N738" i="19"/>
  <c r="N556" i="19"/>
  <c r="N555" i="19"/>
  <c r="N554" i="19"/>
  <c r="N553" i="19"/>
  <c r="N552" i="19"/>
  <c r="N551" i="19"/>
  <c r="N550" i="19"/>
  <c r="N549" i="19"/>
  <c r="N548" i="19"/>
  <c r="N547" i="19"/>
  <c r="N546" i="19"/>
  <c r="N545" i="19"/>
  <c r="N544" i="19"/>
  <c r="N543" i="19"/>
  <c r="N542" i="19"/>
  <c r="N541" i="19"/>
  <c r="N540" i="19"/>
  <c r="N539" i="19"/>
  <c r="N538" i="19"/>
  <c r="N537" i="19"/>
  <c r="N45" i="19"/>
  <c r="N536" i="19"/>
  <c r="N535" i="19"/>
  <c r="N534" i="19"/>
  <c r="N122" i="19"/>
  <c r="N10" i="19"/>
  <c r="N113" i="19"/>
  <c r="N425" i="19"/>
  <c r="N897" i="19"/>
  <c r="N648" i="19"/>
  <c r="N17" i="19"/>
  <c r="N16" i="19"/>
  <c r="N15" i="19"/>
  <c r="N579" i="19"/>
  <c r="N578" i="19"/>
  <c r="N577" i="19"/>
  <c r="N580" i="19"/>
  <c r="N891" i="19"/>
  <c r="N159" i="19"/>
  <c r="N671" i="19"/>
  <c r="N417" i="19"/>
  <c r="N647" i="19"/>
  <c r="N646" i="19"/>
  <c r="N681" i="19"/>
  <c r="N14" i="19"/>
  <c r="N74" i="19"/>
  <c r="N421" i="19"/>
  <c r="N666" i="19"/>
  <c r="N665" i="19"/>
  <c r="N32" i="19"/>
  <c r="N18" i="19"/>
  <c r="N664" i="19"/>
  <c r="N645" i="19"/>
  <c r="N644" i="19"/>
  <c r="N155" i="19"/>
  <c r="N608" i="19"/>
  <c r="N371" i="19"/>
  <c r="N729" i="19"/>
  <c r="N728" i="19"/>
  <c r="N727" i="19"/>
  <c r="N726" i="19"/>
  <c r="N725" i="19"/>
  <c r="N433" i="19"/>
  <c r="N514" i="19"/>
  <c r="N515" i="19"/>
  <c r="N463" i="19"/>
  <c r="N156" i="19"/>
  <c r="N724" i="19"/>
  <c r="N723" i="19"/>
  <c r="N722" i="19"/>
  <c r="N721" i="19"/>
  <c r="N720" i="19"/>
  <c r="N719" i="19"/>
  <c r="N718" i="19"/>
  <c r="N717" i="19"/>
  <c r="N716" i="19"/>
  <c r="N935" i="19"/>
  <c r="N934" i="19"/>
  <c r="N933" i="19"/>
  <c r="N932" i="19"/>
  <c r="N931" i="19"/>
  <c r="N930" i="19"/>
  <c r="N929" i="19"/>
  <c r="N715" i="19"/>
  <c r="N714" i="19"/>
  <c r="N713" i="19"/>
  <c r="N712" i="19"/>
  <c r="N711" i="19"/>
  <c r="N928" i="19"/>
  <c r="N927" i="19"/>
  <c r="N926" i="19"/>
  <c r="N710" i="19"/>
  <c r="N709" i="19"/>
  <c r="N802" i="19"/>
  <c r="N801" i="19"/>
  <c r="N785" i="19"/>
  <c r="N497" i="19"/>
  <c r="N411" i="19"/>
  <c r="N410" i="19"/>
  <c r="N496" i="19"/>
  <c r="N124" i="19"/>
  <c r="N414" i="19"/>
  <c r="N448" i="19"/>
  <c r="N447" i="19"/>
  <c r="N416" i="19"/>
  <c r="N643" i="19"/>
  <c r="N495" i="19"/>
  <c r="N370" i="19"/>
  <c r="N689" i="19"/>
  <c r="N606" i="19"/>
  <c r="N605" i="19"/>
  <c r="N604" i="19"/>
  <c r="N369" i="19"/>
  <c r="N13" i="19"/>
  <c r="N486" i="19"/>
  <c r="N287" i="19"/>
  <c r="N286" i="19"/>
  <c r="N376" i="19"/>
  <c r="N126" i="19"/>
  <c r="N867" i="19"/>
  <c r="N890" i="19"/>
  <c r="N632" i="19"/>
  <c r="N631" i="19"/>
  <c r="N859" i="19"/>
  <c r="N822" i="19"/>
  <c r="N821" i="19"/>
  <c r="N820" i="19"/>
  <c r="N819" i="19"/>
  <c r="N818" i="19"/>
  <c r="N563" i="19"/>
  <c r="N865" i="19"/>
  <c r="N864" i="19"/>
  <c r="N283" i="19"/>
  <c r="N468" i="19"/>
  <c r="N467" i="19"/>
  <c r="N466" i="19"/>
  <c r="N465" i="19"/>
  <c r="N492" i="19"/>
  <c r="N493" i="19"/>
  <c r="N121" i="19"/>
  <c r="N127" i="19"/>
  <c r="N35" i="19"/>
  <c r="N73" i="19"/>
  <c r="N119" i="19"/>
  <c r="N92" i="19"/>
  <c r="N91" i="19"/>
  <c r="N53" i="19"/>
  <c r="N90" i="19"/>
  <c r="N89" i="19"/>
  <c r="N72" i="19"/>
  <c r="N374" i="19"/>
  <c r="N680" i="19"/>
  <c r="N679" i="19"/>
  <c r="N678" i="19"/>
  <c r="N424" i="19"/>
  <c r="N663" i="19"/>
  <c r="N213" i="19"/>
  <c r="N571" i="19"/>
  <c r="N846" i="19"/>
  <c r="N526" i="19"/>
  <c r="N874" i="19"/>
  <c r="N924" i="19"/>
  <c r="N923" i="19"/>
  <c r="N7" i="19"/>
  <c r="N708" i="19"/>
  <c r="N771" i="19"/>
  <c r="N918" i="19"/>
  <c r="N917" i="19"/>
  <c r="N655" i="19"/>
  <c r="N654" i="19"/>
  <c r="N40" i="19"/>
  <c r="N653" i="19"/>
  <c r="N652" i="19"/>
  <c r="N651" i="19"/>
  <c r="N348" i="19"/>
  <c r="N522" i="19"/>
  <c r="N38" i="19"/>
  <c r="N779" i="19"/>
  <c r="N778" i="19"/>
  <c r="N873" i="19"/>
  <c r="N675" i="19"/>
  <c r="N674" i="19"/>
  <c r="N272" i="19"/>
  <c r="N677" i="19"/>
  <c r="N676" i="19"/>
  <c r="N109" i="19"/>
  <c r="N431" i="19"/>
  <c r="N673" i="19"/>
  <c r="N397" i="19"/>
  <c r="N737" i="19"/>
  <c r="N642" i="19"/>
  <c r="N12" i="19"/>
  <c r="N641" i="19"/>
  <c r="N11" i="19"/>
  <c r="N640" i="19"/>
  <c r="N639" i="19"/>
  <c r="N435" i="19"/>
  <c r="N853" i="19"/>
  <c r="N133" i="19"/>
  <c r="N516" i="19"/>
  <c r="N695" i="19"/>
  <c r="N271" i="19"/>
  <c r="N889" i="19"/>
  <c r="N941" i="19"/>
  <c r="N487" i="19"/>
  <c r="N128" i="19"/>
  <c r="N239" i="19"/>
  <c r="N363" i="19"/>
  <c r="N79" i="19"/>
  <c r="N576" i="19"/>
  <c r="N944" i="19"/>
  <c r="N241" i="19"/>
  <c r="N240" i="19"/>
  <c r="N238" i="19"/>
  <c r="N237" i="19"/>
  <c r="N888" i="19"/>
  <c r="N940" i="19"/>
  <c r="N254" i="19"/>
  <c r="N472" i="19"/>
  <c r="N797" i="19"/>
  <c r="N503" i="19"/>
  <c r="N337" i="19"/>
  <c r="N811" i="19"/>
  <c r="N810" i="19"/>
  <c r="N809" i="19"/>
  <c r="N812" i="19"/>
  <c r="N887" i="19"/>
  <c r="N899" i="19"/>
  <c r="N858" i="19"/>
  <c r="N857" i="19"/>
  <c r="N219" i="19"/>
  <c r="N130" i="19"/>
  <c r="N945" i="19"/>
  <c r="N520" i="19"/>
  <c r="N499" i="19"/>
  <c r="N817" i="19"/>
  <c r="N603" i="19"/>
  <c r="N816" i="19"/>
  <c r="N103" i="19"/>
  <c r="N789" i="19"/>
  <c r="N162" i="19"/>
  <c r="N575" i="19"/>
  <c r="N736" i="19"/>
  <c r="N845" i="19"/>
  <c r="N844" i="19"/>
  <c r="N325" i="19"/>
  <c r="N324" i="19"/>
  <c r="N323" i="19"/>
  <c r="N498" i="19"/>
  <c r="N524" i="19"/>
  <c r="N217" i="19"/>
  <c r="N214" i="19"/>
  <c r="N880" i="19"/>
  <c r="N352" i="19"/>
  <c r="N624" i="19"/>
  <c r="N894" i="19"/>
  <c r="N84" i="19"/>
  <c r="N129" i="19"/>
  <c r="N252" i="19"/>
  <c r="N638" i="19"/>
  <c r="N446" i="19"/>
  <c r="N248" i="19"/>
  <c r="N937" i="19"/>
  <c r="N401" i="19"/>
  <c r="N400" i="19"/>
  <c r="N282" i="19"/>
  <c r="N904" i="19"/>
  <c r="N903" i="19"/>
  <c r="N902" i="19"/>
  <c r="N753" i="19"/>
  <c r="N445" i="19"/>
  <c r="N914" i="19"/>
  <c r="N307" i="19"/>
  <c r="N306" i="19"/>
  <c r="N408" i="19"/>
  <c r="N212" i="19"/>
  <c r="N517" i="19"/>
  <c r="N218" i="19"/>
  <c r="N406" i="19"/>
  <c r="N432" i="19"/>
  <c r="N560" i="19"/>
  <c r="N922" i="19"/>
  <c r="N398" i="19"/>
  <c r="N574" i="19"/>
  <c r="N856" i="19"/>
  <c r="N392" i="19"/>
  <c r="N391" i="19"/>
  <c r="N326" i="19"/>
  <c r="N751" i="19"/>
  <c r="N402" i="19"/>
  <c r="N752" i="19"/>
  <c r="N301" i="19"/>
  <c r="N346" i="19"/>
  <c r="N489" i="19"/>
  <c r="N588" i="19"/>
  <c r="N527" i="19"/>
  <c r="N379" i="19"/>
  <c r="N769" i="19"/>
  <c r="N748" i="19"/>
  <c r="N768" i="19"/>
  <c r="N230" i="19"/>
  <c r="N229" i="19"/>
  <c r="N228" i="19"/>
  <c r="N227" i="19"/>
  <c r="N444" i="19"/>
  <c r="N443" i="19"/>
  <c r="N442" i="19"/>
  <c r="N441" i="19"/>
  <c r="N403" i="19"/>
  <c r="N750" i="19"/>
  <c r="N236" i="19"/>
  <c r="N313" i="19"/>
  <c r="N399" i="19"/>
  <c r="N226" i="19"/>
  <c r="N225" i="19"/>
  <c r="N767" i="19"/>
  <c r="N766" i="19"/>
  <c r="N735" i="19"/>
  <c r="N95" i="19"/>
  <c r="N335" i="19"/>
  <c r="N762" i="19"/>
  <c r="N132" i="19"/>
  <c r="N158" i="19"/>
  <c r="N123" i="19"/>
  <c r="N502" i="19"/>
  <c r="N148" i="19"/>
  <c r="N584" i="19"/>
  <c r="N774" i="19"/>
  <c r="N906" i="19"/>
  <c r="N749" i="19"/>
  <c r="N231" i="19"/>
  <c r="N886" i="19"/>
  <c r="N439" i="19"/>
  <c r="N693" i="19"/>
  <c r="N438" i="19"/>
  <c r="N368" i="19"/>
  <c r="N292" i="19"/>
  <c r="N291" i="19"/>
  <c r="N290" i="19"/>
  <c r="N289" i="19"/>
  <c r="N288" i="19"/>
  <c r="N707" i="19"/>
  <c r="N706" i="19"/>
  <c r="N705" i="19"/>
  <c r="N704" i="19"/>
  <c r="N688" i="19"/>
  <c r="N630" i="19"/>
  <c r="N157" i="19"/>
  <c r="N235" i="19"/>
  <c r="N761" i="19"/>
  <c r="N345" i="19"/>
  <c r="N344" i="19"/>
  <c r="N692" i="19"/>
  <c r="N691" i="19"/>
  <c r="N690" i="19"/>
  <c r="N784" i="19"/>
  <c r="N357" i="19"/>
  <c r="N153" i="19"/>
  <c r="N808" i="19"/>
  <c r="N703" i="19"/>
  <c r="N413" i="19"/>
  <c r="N776" i="19"/>
  <c r="N800" i="19"/>
  <c r="N799" i="19"/>
  <c r="N798" i="19"/>
  <c r="N731" i="19"/>
  <c r="N807" i="19"/>
  <c r="N806" i="19"/>
  <c r="N805" i="19"/>
  <c r="N804" i="19"/>
  <c r="N803" i="19"/>
  <c r="N870" i="19"/>
  <c r="N905" i="19"/>
  <c r="N383" i="19"/>
  <c r="N747" i="19"/>
  <c r="N854" i="19"/>
  <c r="N907" i="19"/>
  <c r="N245" i="19"/>
  <c r="N375" i="19"/>
  <c r="N43" i="19"/>
  <c r="N589" i="19"/>
  <c r="N744" i="19"/>
  <c r="N513" i="19"/>
  <c r="N334" i="19"/>
  <c r="N760" i="19"/>
  <c r="N863" i="19"/>
  <c r="N862" i="19"/>
  <c r="N861" i="19"/>
  <c r="N860" i="19"/>
  <c r="N619" i="19"/>
  <c r="N943" i="19"/>
  <c r="N208" i="19"/>
  <c r="N351" i="19"/>
  <c r="N491" i="19"/>
  <c r="N207" i="19"/>
  <c r="N521" i="19"/>
  <c r="N525" i="19"/>
  <c r="N206" i="19"/>
  <c r="N205" i="19"/>
  <c r="N878" i="19"/>
  <c r="N523" i="19"/>
  <c r="N915" i="19"/>
  <c r="N340" i="19"/>
  <c r="N759" i="19"/>
  <c r="N530" i="19"/>
  <c r="N783" i="19"/>
  <c r="N782" i="19"/>
  <c r="N781" i="19"/>
  <c r="N350" i="19"/>
  <c r="N349" i="19"/>
  <c r="N347" i="19"/>
  <c r="N916" i="19"/>
  <c r="N582" i="19"/>
  <c r="N150" i="19"/>
  <c r="N149" i="19"/>
  <c r="N627" i="19"/>
  <c r="N773" i="19"/>
  <c r="N617" i="19"/>
  <c r="N190" i="19"/>
  <c r="N743" i="19"/>
  <c r="N742" i="19"/>
  <c r="N741" i="19"/>
  <c r="N118" i="19"/>
  <c r="N64" i="19"/>
  <c r="N63" i="19"/>
  <c r="N263" i="19"/>
  <c r="N117" i="19"/>
  <c r="N37" i="19"/>
  <c r="N102" i="19"/>
  <c r="N86" i="19"/>
  <c r="N62" i="19"/>
  <c r="N50" i="19"/>
  <c r="N49" i="19"/>
  <c r="N501" i="19"/>
  <c r="N270" i="19"/>
  <c r="N269" i="19"/>
  <c r="N145" i="19"/>
  <c r="N685" i="19"/>
  <c r="N815" i="19"/>
  <c r="N814" i="19"/>
  <c r="N813" i="19"/>
  <c r="N879" i="19"/>
  <c r="N700" i="19"/>
  <c r="N194" i="19"/>
  <c r="N828" i="19"/>
  <c r="N471" i="19"/>
  <c r="N482" i="19"/>
  <c r="N333" i="19"/>
  <c r="N512" i="19"/>
  <c r="N511" i="19"/>
  <c r="N510" i="19"/>
  <c r="N509" i="19"/>
  <c r="N332" i="19"/>
  <c r="N331" i="19"/>
  <c r="N106" i="19"/>
  <c r="N94" i="19"/>
  <c r="N740" i="19"/>
  <c r="N330" i="19"/>
  <c r="N105" i="19"/>
  <c r="N329" i="19"/>
  <c r="N328" i="19"/>
  <c r="N327" i="19"/>
  <c r="N911" i="19"/>
  <c r="N143" i="19"/>
  <c r="N142" i="19"/>
  <c r="N299" i="19"/>
  <c r="N197" i="19"/>
  <c r="N699" i="19"/>
  <c r="N925" i="19"/>
  <c r="N942" i="19"/>
  <c r="N908" i="19"/>
  <c r="N662" i="19"/>
  <c r="N93" i="19"/>
  <c r="N274" i="19"/>
  <c r="N661" i="19"/>
  <c r="N220" i="19"/>
  <c r="N409" i="19"/>
  <c r="N125" i="19"/>
  <c r="N390" i="19"/>
  <c r="N616" i="19"/>
  <c r="N615" i="19"/>
  <c r="N321" i="19"/>
  <c r="N320" i="19"/>
  <c r="N319" i="19"/>
  <c r="N851" i="19"/>
  <c r="N302" i="19"/>
  <c r="N81" i="19"/>
  <c r="N872" i="19"/>
  <c r="N871" i="19"/>
  <c r="N877" i="19"/>
  <c r="N485" i="19"/>
  <c r="N41" i="19"/>
  <c r="N687" i="19"/>
  <c r="N614" i="19"/>
  <c r="N163" i="19"/>
  <c r="N613" i="19"/>
  <c r="N395" i="19"/>
  <c r="N362" i="19"/>
  <c r="N660" i="19"/>
  <c r="N659" i="19"/>
  <c r="N686" i="19"/>
  <c r="N59" i="19"/>
  <c r="N33" i="19"/>
  <c r="N58" i="19"/>
  <c r="N518" i="19"/>
  <c r="N852" i="19"/>
  <c r="N855" i="19"/>
  <c r="N249" i="19"/>
  <c r="N280" i="19"/>
  <c r="N701" i="19"/>
  <c r="N253" i="19"/>
  <c r="N885" i="19"/>
  <c r="N884" i="19"/>
  <c r="N216" i="19"/>
  <c r="N559" i="19"/>
  <c r="N847" i="19"/>
  <c r="N457" i="19"/>
  <c r="N420" i="19"/>
  <c r="N281" i="19"/>
  <c r="N389" i="19"/>
  <c r="N285" i="19"/>
  <c r="N388" i="19"/>
  <c r="N169" i="19"/>
  <c r="N309" i="19"/>
  <c r="N189" i="19"/>
  <c r="N171" i="19"/>
  <c r="N634" i="19"/>
  <c r="N519" i="19"/>
  <c r="N69" i="19"/>
  <c r="N251" i="19"/>
  <c r="N354" i="19"/>
  <c r="N602" i="19"/>
  <c r="N367" i="19"/>
  <c r="N387" i="19"/>
  <c r="N386" i="19"/>
  <c r="N583" i="19"/>
  <c r="N284" i="19"/>
  <c r="N777" i="19"/>
  <c r="N734" i="19"/>
  <c r="N901" i="19"/>
  <c r="N481" i="19"/>
  <c r="N57" i="19"/>
  <c r="N268" i="19"/>
  <c r="N298" i="19"/>
  <c r="N658" i="19"/>
  <c r="N385" i="19"/>
  <c r="N343" i="19"/>
  <c r="N342" i="19"/>
  <c r="N195" i="19"/>
  <c r="N921" i="19"/>
  <c r="N920" i="19"/>
  <c r="N318" i="19"/>
  <c r="N456" i="19"/>
  <c r="N455" i="19"/>
  <c r="N912" i="19"/>
  <c r="N462" i="19"/>
  <c r="N796" i="19"/>
  <c r="N601" i="19"/>
  <c r="N883" i="19"/>
  <c r="N600" i="19"/>
  <c r="N795" i="19"/>
  <c r="N898" i="19"/>
  <c r="N454" i="19"/>
  <c r="N201" i="19"/>
  <c r="N461" i="19"/>
  <c r="N305" i="19"/>
  <c r="N460" i="19"/>
  <c r="N459" i="19"/>
  <c r="N453" i="19"/>
  <c r="N452" i="19"/>
  <c r="N827" i="19"/>
  <c r="N823" i="19"/>
  <c r="N304" i="19"/>
  <c r="N140" i="19"/>
  <c r="N780" i="19"/>
  <c r="N353" i="19"/>
  <c r="N82" i="19"/>
  <c r="N637" i="19"/>
  <c r="N490" i="19"/>
  <c r="N405" i="19"/>
  <c r="N876" i="19"/>
  <c r="N192" i="19"/>
  <c r="N188" i="19"/>
  <c r="N366" i="19"/>
  <c r="N458" i="19"/>
  <c r="N896" i="19"/>
  <c r="N529" i="19"/>
  <c r="N365" i="19"/>
  <c r="N196" i="19"/>
  <c r="N592" i="19"/>
  <c r="N451" i="19"/>
  <c r="N450" i="19"/>
  <c r="N404" i="19"/>
  <c r="N599" i="19"/>
  <c r="N657" i="19"/>
  <c r="N618" i="19"/>
  <c r="N508" i="19"/>
  <c r="N483" i="19"/>
  <c r="N161" i="19"/>
  <c r="N250" i="19"/>
  <c r="N587" i="19"/>
  <c r="N279" i="19"/>
  <c r="N278" i="19"/>
  <c r="N882" i="19"/>
  <c r="N670" i="19"/>
  <c r="N5" i="19"/>
  <c r="N591" i="19"/>
  <c r="N590" i="19"/>
  <c r="N204" i="19"/>
  <c r="N434" i="19"/>
  <c r="N623" i="19"/>
  <c r="N826" i="19"/>
  <c r="N825" i="19"/>
  <c r="N758" i="19"/>
  <c r="N626" i="19"/>
  <c r="N757" i="19"/>
  <c r="N756" i="19"/>
  <c r="N378" i="19"/>
  <c r="N356" i="19"/>
  <c r="N355" i="19"/>
  <c r="N586" i="19"/>
  <c r="N187" i="19"/>
  <c r="N322" i="19"/>
  <c r="N562" i="19"/>
  <c r="N428" i="19"/>
  <c r="N775" i="19"/>
  <c r="N449" i="19"/>
  <c r="N277" i="19"/>
  <c r="N919" i="19"/>
  <c r="N341" i="19"/>
  <c r="N838" i="19"/>
  <c r="N31" i="19"/>
  <c r="N875" i="19"/>
  <c r="N276" i="19"/>
  <c r="N415" i="19"/>
  <c r="N909" i="19"/>
  <c r="N267" i="19"/>
  <c r="N44" i="19"/>
  <c r="N733" i="19"/>
  <c r="N154" i="19"/>
  <c r="N794" i="19"/>
  <c r="N203" i="19"/>
  <c r="N585" i="19"/>
  <c r="N275" i="19"/>
  <c r="N793" i="19"/>
  <c r="N56" i="19"/>
  <c r="N384" i="19"/>
  <c r="N151" i="19"/>
  <c r="N936" i="19"/>
  <c r="N792" i="19"/>
  <c r="N200" i="19"/>
  <c r="N746" i="19"/>
  <c r="N745" i="19"/>
  <c r="N900" i="19"/>
  <c r="N837" i="19"/>
  <c r="N120" i="19"/>
  <c r="N77" i="19"/>
  <c r="N39" i="19"/>
  <c r="N572" i="19"/>
  <c r="N317" i="19"/>
  <c r="N139" i="19"/>
  <c r="N211" i="19"/>
  <c r="N850" i="19"/>
  <c r="N849" i="19"/>
  <c r="N848" i="19"/>
  <c r="N71" i="19"/>
  <c r="N98" i="19"/>
  <c r="N138" i="19"/>
  <c r="N755" i="19"/>
  <c r="N770" i="19"/>
  <c r="N104" i="19"/>
  <c r="N68" i="19"/>
  <c r="N67" i="19"/>
  <c r="N66" i="19"/>
  <c r="N65" i="19"/>
  <c r="N87" i="19"/>
  <c r="N669" i="19"/>
  <c r="N437" i="19"/>
  <c r="N629" i="19"/>
  <c r="N788" i="19"/>
  <c r="N186" i="19"/>
  <c r="N380" i="19"/>
  <c r="N185" i="19"/>
  <c r="N598" i="19"/>
  <c r="N78" i="19"/>
  <c r="N412" i="19"/>
  <c r="N787" i="19"/>
  <c r="N786" i="19"/>
  <c r="N316" i="19"/>
  <c r="N339" i="19"/>
  <c r="N396" i="19"/>
  <c r="N262" i="19"/>
  <c r="N261" i="19"/>
  <c r="N260" i="19"/>
  <c r="N259" i="19"/>
  <c r="N141" i="19"/>
  <c r="N361" i="19"/>
  <c r="N360" i="19"/>
  <c r="N210" i="19"/>
  <c r="N633" i="19"/>
  <c r="N377" i="19"/>
  <c r="N612" i="19"/>
  <c r="N258" i="19"/>
  <c r="N597" i="19"/>
  <c r="N836" i="19"/>
  <c r="N895" i="19"/>
  <c r="N609" i="19"/>
  <c r="N61" i="19"/>
  <c r="N257" i="19"/>
  <c r="N137" i="19"/>
  <c r="N893" i="19"/>
  <c r="N470" i="19"/>
  <c r="N116" i="19"/>
  <c r="N115" i="19"/>
  <c r="N85" i="19"/>
  <c r="N60" i="19"/>
  <c r="N52" i="19"/>
  <c r="N70" i="19"/>
  <c r="N88" i="19"/>
  <c r="N300" i="19"/>
  <c r="N266" i="19"/>
  <c r="N265" i="19"/>
  <c r="N824" i="19"/>
  <c r="N697" i="19"/>
  <c r="N656" i="19"/>
  <c r="N694" i="19"/>
  <c r="N297" i="19"/>
  <c r="N296" i="19"/>
  <c r="N843" i="19"/>
  <c r="N842" i="19"/>
  <c r="N841" i="19"/>
  <c r="N840" i="19"/>
  <c r="N839" i="19"/>
  <c r="N835" i="19"/>
  <c r="N892" i="19"/>
  <c r="N110" i="19"/>
  <c r="N303" i="19"/>
  <c r="N570" i="19"/>
  <c r="N569" i="19"/>
  <c r="N294" i="19"/>
  <c r="N568" i="19"/>
  <c r="N567" i="19"/>
  <c r="N566" i="19"/>
  <c r="N565" i="19"/>
  <c r="N869" i="19"/>
  <c r="N868" i="19"/>
  <c r="N564" i="19"/>
  <c r="N215" i="19"/>
  <c r="N834" i="19"/>
  <c r="N833" i="19"/>
  <c r="N832" i="19"/>
  <c r="N831" i="19"/>
  <c r="N830" i="19"/>
  <c r="N866" i="19"/>
  <c r="N224" i="19"/>
  <c r="N480" i="19"/>
  <c r="N479" i="19"/>
  <c r="N913" i="19"/>
  <c r="N478" i="19"/>
  <c r="N622" i="19"/>
  <c r="N256" i="19"/>
  <c r="N373" i="19"/>
  <c r="N372" i="19"/>
  <c r="N97" i="19"/>
  <c r="N76" i="19"/>
  <c r="N75" i="19"/>
  <c r="N533" i="19"/>
  <c r="N427" i="19"/>
  <c r="N668" i="19"/>
  <c r="N636" i="19"/>
  <c r="N4" i="19"/>
  <c r="N184" i="19"/>
  <c r="N183" i="19"/>
  <c r="N464" i="19"/>
  <c r="N684" i="19"/>
  <c r="N394" i="19"/>
  <c r="N393" i="19"/>
  <c r="N107" i="19"/>
  <c r="N488" i="19"/>
  <c r="N244" i="19"/>
  <c r="N243" i="19"/>
  <c r="N532" i="19"/>
  <c r="N531" i="19"/>
  <c r="N242" i="19"/>
  <c r="N625" i="19"/>
  <c r="N765" i="19"/>
  <c r="N672" i="19"/>
  <c r="N170" i="19"/>
  <c r="N168" i="19"/>
  <c r="N764" i="19"/>
  <c r="N112" i="19"/>
  <c r="N167" i="19"/>
  <c r="N166" i="19"/>
  <c r="N172" i="19"/>
  <c r="N221" i="19"/>
  <c r="N83" i="19"/>
  <c r="N763" i="19"/>
  <c r="N165" i="19"/>
  <c r="N80" i="19"/>
  <c r="N336" i="19"/>
  <c r="N315" i="19"/>
  <c r="N611" i="19"/>
  <c r="N191" i="19"/>
  <c r="N293" i="19"/>
  <c r="N561" i="19"/>
  <c r="N234" i="19"/>
  <c r="N233" i="19"/>
  <c r="N440" i="19"/>
  <c r="N528" i="19"/>
  <c r="N246" i="19"/>
  <c r="N295" i="19"/>
  <c r="N135" i="19"/>
  <c r="N6" i="19"/>
  <c r="N147" i="19"/>
  <c r="N698" i="19"/>
  <c r="N829" i="19"/>
  <c r="N247" i="19"/>
  <c r="N772" i="19"/>
  <c r="N338" i="19"/>
  <c r="N436" i="19"/>
  <c r="N108" i="19"/>
  <c r="N635" i="19"/>
  <c r="N382" i="19"/>
  <c r="N507" i="19"/>
  <c r="N407" i="19"/>
  <c r="N506" i="19"/>
  <c r="N505" i="19"/>
  <c r="N504" i="19"/>
  <c r="N202" i="19"/>
  <c r="N683" i="19"/>
  <c r="N182" i="19"/>
  <c r="N181" i="19"/>
  <c r="N199" i="19"/>
  <c r="N198" i="19"/>
  <c r="N477" i="19"/>
  <c r="N99" i="19"/>
  <c r="N696" i="19"/>
  <c r="N308" i="19"/>
  <c r="N620" i="19"/>
  <c r="N223" i="19"/>
  <c r="N222" i="19"/>
  <c r="N628" i="19"/>
  <c r="N101" i="19"/>
  <c r="N312" i="19"/>
  <c r="N193" i="19"/>
  <c r="N314" i="19"/>
  <c r="N610" i="19"/>
  <c r="N381" i="19"/>
  <c r="N476" i="19"/>
  <c r="N791" i="19"/>
  <c r="N475" i="19"/>
  <c r="N180" i="19"/>
  <c r="N114" i="19"/>
  <c r="N607" i="19"/>
  <c r="N430" i="19"/>
  <c r="N55" i="19"/>
  <c r="N474" i="19"/>
  <c r="N179" i="19"/>
  <c r="N790" i="19"/>
  <c r="N473" i="19"/>
  <c r="N311" i="19"/>
  <c r="N310" i="19"/>
  <c r="N938" i="19"/>
  <c r="N754" i="19"/>
  <c r="N36" i="19"/>
  <c r="N164" i="19"/>
  <c r="N232" i="19"/>
  <c r="N178" i="19"/>
  <c r="N177" i="19"/>
  <c r="N176" i="19"/>
  <c r="N364" i="19"/>
  <c r="N175" i="19"/>
  <c r="N596" i="19"/>
  <c r="N174" i="19"/>
  <c r="N100" i="19"/>
  <c r="N173" i="19"/>
  <c r="N500" i="19"/>
  <c r="N621" i="19"/>
  <c r="N469" i="19"/>
  <c r="N494" i="19"/>
  <c r="N573" i="19"/>
  <c r="N595" i="19"/>
  <c r="N594" i="19"/>
  <c r="N593" i="19"/>
  <c r="N910" i="19"/>
  <c r="N209" i="19"/>
  <c r="N484" i="19"/>
  <c r="N8" i="19"/>
  <c r="N131" i="19"/>
  <c r="N359" i="19"/>
  <c r="N47" i="19"/>
  <c r="N51" i="19"/>
  <c r="N264" i="19"/>
  <c r="N358" i="19"/>
  <c r="N26" i="19"/>
  <c r="N54" i="19"/>
  <c r="N423" i="19"/>
  <c r="N422" i="19"/>
  <c r="N419" i="19"/>
  <c r="N650" i="19"/>
  <c r="N255" i="19"/>
  <c r="N649" i="19"/>
  <c r="N667" i="19"/>
  <c r="N152" i="19"/>
  <c r="N96" i="19"/>
  <c r="N426" i="19"/>
  <c r="N136" i="19"/>
  <c r="N146" i="19"/>
  <c r="N429" i="19"/>
  <c r="N9" i="19"/>
  <c r="N418" i="19"/>
  <c r="N134" i="19"/>
  <c r="N273" i="19"/>
  <c r="N144" i="19"/>
  <c r="N581" i="19"/>
  <c r="N939" i="19"/>
  <c r="L22" i="19"/>
  <c r="L522" i="19"/>
  <c r="L282" i="19"/>
  <c r="L229" i="19"/>
  <c r="L349" i="19"/>
  <c r="L471" i="19"/>
  <c r="L220" i="19"/>
  <c r="L321" i="19"/>
  <c r="L687" i="19"/>
  <c r="L885" i="19"/>
  <c r="L420" i="19"/>
  <c r="L342" i="19"/>
  <c r="L455" i="19"/>
  <c r="L461" i="19"/>
  <c r="L305" i="19"/>
  <c r="L823" i="19"/>
  <c r="L637" i="19"/>
  <c r="L366" i="19"/>
  <c r="L592" i="19"/>
  <c r="L279" i="19"/>
  <c r="L590" i="19"/>
  <c r="L758" i="19"/>
  <c r="L355" i="19"/>
  <c r="L775" i="19"/>
  <c r="L44" i="19"/>
  <c r="L275" i="19"/>
  <c r="L936" i="19"/>
  <c r="L120" i="19"/>
  <c r="L211" i="19"/>
  <c r="L138" i="19"/>
  <c r="L66" i="19"/>
  <c r="L788" i="19"/>
  <c r="L412" i="19"/>
  <c r="L396" i="19"/>
  <c r="L262" i="19"/>
  <c r="L360" i="19"/>
  <c r="L597" i="19"/>
  <c r="L257" i="19"/>
  <c r="L137" i="19"/>
  <c r="L60" i="19"/>
  <c r="L265" i="19"/>
  <c r="L297" i="19"/>
  <c r="L296" i="19"/>
  <c r="L835" i="19"/>
  <c r="L294" i="19"/>
  <c r="L869" i="19"/>
  <c r="L868" i="19"/>
  <c r="L831" i="19"/>
  <c r="L913" i="19"/>
  <c r="L372" i="19"/>
  <c r="L97" i="19"/>
  <c r="L636" i="19"/>
  <c r="L394" i="19"/>
  <c r="L243" i="19"/>
  <c r="L532" i="19"/>
  <c r="L672" i="19"/>
  <c r="L170" i="19"/>
  <c r="L172" i="19"/>
  <c r="L80" i="19"/>
  <c r="L336" i="19"/>
  <c r="L561" i="19"/>
  <c r="L234" i="19"/>
  <c r="L135" i="19"/>
  <c r="L247" i="19"/>
  <c r="L772" i="19"/>
  <c r="L382" i="19"/>
  <c r="L507" i="19"/>
  <c r="L683" i="19"/>
  <c r="L477" i="19"/>
  <c r="L99" i="19"/>
  <c r="L222" i="19"/>
  <c r="L628" i="19"/>
  <c r="L381" i="19"/>
  <c r="L114" i="19"/>
  <c r="L607" i="19"/>
  <c r="L790" i="19"/>
  <c r="L473" i="19"/>
  <c r="L36" i="19"/>
  <c r="L164" i="19"/>
  <c r="L364" i="19"/>
  <c r="L175" i="19"/>
  <c r="L500" i="19"/>
  <c r="L621" i="19"/>
  <c r="L594" i="19"/>
  <c r="L593" i="19"/>
  <c r="L131" i="19"/>
  <c r="L359" i="19"/>
  <c r="L26" i="19"/>
  <c r="L54" i="19"/>
  <c r="L255" i="19"/>
  <c r="L649" i="19"/>
  <c r="L136" i="19"/>
  <c r="L146" i="19"/>
  <c r="L273" i="19"/>
  <c r="L144" i="19"/>
  <c r="N2" i="16"/>
  <c r="BA354" i="19" l="1"/>
  <c r="BE354" i="19" s="1"/>
  <c r="BA460" i="19"/>
  <c r="BE460" i="19" s="1"/>
  <c r="BA278" i="19"/>
  <c r="BE278" i="19" s="1"/>
  <c r="BA626" i="19"/>
  <c r="BE626" i="19" s="1"/>
  <c r="BA733" i="19"/>
  <c r="BE733" i="19" s="1"/>
  <c r="BF733" i="19" s="1"/>
  <c r="BA200" i="19"/>
  <c r="BE200" i="19" s="1"/>
  <c r="BA65" i="19"/>
  <c r="BE65" i="19" s="1"/>
  <c r="BA893" i="19"/>
  <c r="BE893" i="19" s="1"/>
  <c r="BF893" i="19" s="1"/>
  <c r="BA564" i="19"/>
  <c r="BE564" i="19" s="1"/>
  <c r="BA531" i="19"/>
  <c r="BE531" i="19" s="1"/>
  <c r="BA221" i="19"/>
  <c r="BE221" i="19" s="1"/>
  <c r="BA338" i="19"/>
  <c r="BE338" i="19" s="1"/>
  <c r="BA182" i="19"/>
  <c r="BE182" i="19" s="1"/>
  <c r="BA101" i="19"/>
  <c r="BE101" i="19" s="1"/>
  <c r="BA430" i="19"/>
  <c r="BE430" i="19" s="1"/>
  <c r="BA232" i="19"/>
  <c r="BE232" i="19" s="1"/>
  <c r="BA469" i="19"/>
  <c r="BE469" i="19" s="1"/>
  <c r="BA47" i="19"/>
  <c r="BE47" i="19" s="1"/>
  <c r="BA667" i="19"/>
  <c r="BE667" i="19" s="1"/>
  <c r="BF667" i="19" s="1"/>
  <c r="BA581" i="19"/>
  <c r="BE581" i="19" s="1"/>
  <c r="BA304" i="19"/>
  <c r="BE304" i="19" s="1"/>
  <c r="BA204" i="19"/>
  <c r="BE204" i="19" s="1"/>
  <c r="BA793" i="19"/>
  <c r="BE793" i="19" s="1"/>
  <c r="BF793" i="19" s="1"/>
  <c r="BA261" i="19"/>
  <c r="BE261" i="19" s="1"/>
  <c r="BA843" i="19"/>
  <c r="BE843" i="19" s="1"/>
  <c r="BF843" i="19" s="1"/>
  <c r="BA76" i="19"/>
  <c r="BE76" i="19" s="1"/>
  <c r="BA393" i="19"/>
  <c r="BE393" i="19" s="1"/>
  <c r="BA315" i="19"/>
  <c r="BE315" i="19" s="1"/>
  <c r="BA6" i="19"/>
  <c r="BE6" i="19" s="1"/>
  <c r="BA696" i="19"/>
  <c r="BE696" i="19" s="1"/>
  <c r="BF696" i="19" s="1"/>
  <c r="BA476" i="19"/>
  <c r="BE476" i="19" s="1"/>
  <c r="BA311" i="19"/>
  <c r="BE311" i="19" s="1"/>
  <c r="BA596" i="19"/>
  <c r="BE596" i="19" s="1"/>
  <c r="BA910" i="19"/>
  <c r="BE910" i="19" s="1"/>
  <c r="BA423" i="19"/>
  <c r="BE423" i="19" s="1"/>
  <c r="BA429" i="19"/>
  <c r="BE429" i="19" s="1"/>
  <c r="BF133" i="19"/>
  <c r="BF127" i="19"/>
  <c r="AO2" i="19"/>
  <c r="BF354" i="19"/>
  <c r="BF460" i="19"/>
  <c r="BF304" i="19"/>
  <c r="BF278" i="19"/>
  <c r="BF204" i="19"/>
  <c r="BF626" i="19"/>
  <c r="BF200" i="19"/>
  <c r="BF65" i="19"/>
  <c r="BF261" i="19"/>
  <c r="BF564" i="19"/>
  <c r="BF76" i="19"/>
  <c r="BF393" i="19"/>
  <c r="BF531" i="19"/>
  <c r="BF221" i="19"/>
  <c r="BF315" i="19"/>
  <c r="BF6" i="19"/>
  <c r="BF338" i="19"/>
  <c r="BF182" i="19"/>
  <c r="BF101" i="19"/>
  <c r="BF476" i="19"/>
  <c r="BF430" i="19"/>
  <c r="BF311" i="19"/>
  <c r="BF232" i="19"/>
  <c r="BF596" i="19"/>
  <c r="BF469" i="19"/>
  <c r="BF910" i="19"/>
  <c r="BF423" i="19"/>
  <c r="BF429" i="19"/>
  <c r="BF581" i="19"/>
  <c r="BD702" i="19"/>
  <c r="BC702" i="19"/>
  <c r="BA702" i="19"/>
  <c r="BE702" i="19" s="1"/>
  <c r="BF702" i="19" s="1"/>
  <c r="BC21" i="19"/>
  <c r="BD21" i="19" s="1"/>
  <c r="BA21" i="19"/>
  <c r="BE21" i="19" s="1"/>
  <c r="BF21" i="19" s="1"/>
  <c r="BC25" i="19"/>
  <c r="BD25" i="19" s="1"/>
  <c r="BA25" i="19"/>
  <c r="BE25" i="19" s="1"/>
  <c r="BF25" i="19" s="1"/>
  <c r="BD682" i="19"/>
  <c r="BC682" i="19"/>
  <c r="BA682" i="19"/>
  <c r="BE682" i="19" s="1"/>
  <c r="BF682" i="19" s="1"/>
  <c r="BD739" i="19"/>
  <c r="BC739" i="19"/>
  <c r="BA739" i="19"/>
  <c r="BE739" i="19" s="1"/>
  <c r="BF739" i="19" s="1"/>
  <c r="BC552" i="19"/>
  <c r="BD552" i="19"/>
  <c r="BA552" i="19"/>
  <c r="BE552" i="19" s="1"/>
  <c r="BF552" i="19" s="1"/>
  <c r="BD546" i="19"/>
  <c r="BC546" i="19"/>
  <c r="BA546" i="19"/>
  <c r="BE546" i="19" s="1"/>
  <c r="BF546" i="19" s="1"/>
  <c r="BD540" i="19"/>
  <c r="BC540" i="19"/>
  <c r="BA540" i="19"/>
  <c r="BE540" i="19" s="1"/>
  <c r="BF540" i="19" s="1"/>
  <c r="BD535" i="19"/>
  <c r="BC535" i="19"/>
  <c r="BA535" i="19"/>
  <c r="BE535" i="19" s="1"/>
  <c r="BF535" i="19" s="1"/>
  <c r="BD897" i="19"/>
  <c r="BC897" i="19"/>
  <c r="BA897" i="19"/>
  <c r="BE897" i="19" s="1"/>
  <c r="BF897" i="19" s="1"/>
  <c r="BD578" i="19"/>
  <c r="BC578" i="19"/>
  <c r="BA578" i="19"/>
  <c r="BE578" i="19" s="1"/>
  <c r="BF578" i="19" s="1"/>
  <c r="BC417" i="19"/>
  <c r="BD417" i="19"/>
  <c r="BA417" i="19"/>
  <c r="BE417" i="19" s="1"/>
  <c r="BF417" i="19" s="1"/>
  <c r="BD421" i="19"/>
  <c r="BC421" i="19"/>
  <c r="BA421" i="19"/>
  <c r="BE421" i="19" s="1"/>
  <c r="BF421" i="19" s="1"/>
  <c r="BD645" i="19"/>
  <c r="BC645" i="19"/>
  <c r="BA645" i="19"/>
  <c r="BE645" i="19" s="1"/>
  <c r="BF645" i="19" s="1"/>
  <c r="BD728" i="19"/>
  <c r="BC728" i="19"/>
  <c r="BA728" i="19"/>
  <c r="BE728" i="19" s="1"/>
  <c r="BF728" i="19" s="1"/>
  <c r="BD515" i="19"/>
  <c r="BC515" i="19"/>
  <c r="BA515" i="19"/>
  <c r="BE515" i="19" s="1"/>
  <c r="BF515" i="19" s="1"/>
  <c r="BD721" i="19"/>
  <c r="BC721" i="19"/>
  <c r="BA721" i="19"/>
  <c r="BE721" i="19" s="1"/>
  <c r="BF721" i="19" s="1"/>
  <c r="BD935" i="19"/>
  <c r="BC935" i="19"/>
  <c r="BA935" i="19"/>
  <c r="BE935" i="19" s="1"/>
  <c r="BF935" i="19" s="1"/>
  <c r="BD929" i="19"/>
  <c r="BC929" i="19"/>
  <c r="BA929" i="19"/>
  <c r="BE929" i="19" s="1"/>
  <c r="BF929" i="19" s="1"/>
  <c r="BD928" i="19"/>
  <c r="BC928" i="19"/>
  <c r="BA928" i="19"/>
  <c r="BE928" i="19" s="1"/>
  <c r="BF928" i="19" s="1"/>
  <c r="BD801" i="19"/>
  <c r="BC801" i="19"/>
  <c r="BA801" i="19"/>
  <c r="BE801" i="19" s="1"/>
  <c r="BF801" i="19" s="1"/>
  <c r="BC124" i="19"/>
  <c r="BD124" i="19" s="1"/>
  <c r="BA124" i="19"/>
  <c r="BE124" i="19" s="1"/>
  <c r="BF124" i="19" s="1"/>
  <c r="BD495" i="19"/>
  <c r="BC495" i="19"/>
  <c r="BA495" i="19"/>
  <c r="BE495" i="19" s="1"/>
  <c r="BF495" i="19" s="1"/>
  <c r="BC369" i="19"/>
  <c r="BD369" i="19"/>
  <c r="BA369" i="19"/>
  <c r="BE369" i="19" s="1"/>
  <c r="BF369" i="19" s="1"/>
  <c r="BC126" i="19"/>
  <c r="BD126" i="19" s="1"/>
  <c r="BA126" i="19"/>
  <c r="BE126" i="19" s="1"/>
  <c r="BF126" i="19" s="1"/>
  <c r="BD822" i="19"/>
  <c r="BC822" i="19"/>
  <c r="BA822" i="19"/>
  <c r="BE822" i="19" s="1"/>
  <c r="BF822" i="19" s="1"/>
  <c r="BD865" i="19"/>
  <c r="BC865" i="19"/>
  <c r="BA865" i="19"/>
  <c r="BE865" i="19" s="1"/>
  <c r="BF865" i="19" s="1"/>
  <c r="BD465" i="19"/>
  <c r="BC465" i="19"/>
  <c r="BA465" i="19"/>
  <c r="BE465" i="19" s="1"/>
  <c r="BF465" i="19" s="1"/>
  <c r="BC73" i="19"/>
  <c r="BD73" i="19" s="1"/>
  <c r="BA73" i="19"/>
  <c r="BE73" i="19" s="1"/>
  <c r="BF73" i="19" s="1"/>
  <c r="BC89" i="19"/>
  <c r="BD89" i="19" s="1"/>
  <c r="BA89" i="19"/>
  <c r="BE89" i="19" s="1"/>
  <c r="BF89" i="19" s="1"/>
  <c r="BD424" i="19"/>
  <c r="BC424" i="19"/>
  <c r="BA424" i="19"/>
  <c r="BE424" i="19" s="1"/>
  <c r="BF424" i="19" s="1"/>
  <c r="BD874" i="19"/>
  <c r="BC874" i="19"/>
  <c r="BA874" i="19"/>
  <c r="BE874" i="19" s="1"/>
  <c r="BF874" i="19" s="1"/>
  <c r="BD918" i="19"/>
  <c r="BC918" i="19"/>
  <c r="BA918" i="19"/>
  <c r="BE918" i="19" s="1"/>
  <c r="BF918" i="19" s="1"/>
  <c r="BD652" i="19"/>
  <c r="BC652" i="19"/>
  <c r="BA652" i="19"/>
  <c r="BE652" i="19" s="1"/>
  <c r="BF652" i="19" s="1"/>
  <c r="BD778" i="19"/>
  <c r="BC778" i="19"/>
  <c r="BA778" i="19"/>
  <c r="BE778" i="19" s="1"/>
  <c r="BF778" i="19" s="1"/>
  <c r="BD676" i="19"/>
  <c r="BC676" i="19"/>
  <c r="BA676" i="19"/>
  <c r="BE676" i="19" s="1"/>
  <c r="BF676" i="19" s="1"/>
  <c r="BD642" i="19"/>
  <c r="BC642" i="19"/>
  <c r="BA642" i="19"/>
  <c r="BE642" i="19" s="1"/>
  <c r="BF642" i="19" s="1"/>
  <c r="BD435" i="19"/>
  <c r="BC435" i="19"/>
  <c r="BA435" i="19"/>
  <c r="BE435" i="19" s="1"/>
  <c r="BF435" i="19" s="1"/>
  <c r="BD889" i="19"/>
  <c r="BC889" i="19"/>
  <c r="BA889" i="19"/>
  <c r="BE889" i="19" s="1"/>
  <c r="BF889" i="19" s="1"/>
  <c r="BC79" i="19"/>
  <c r="BD79" i="19" s="1"/>
  <c r="BA79" i="19"/>
  <c r="BE79" i="19" s="1"/>
  <c r="BF79" i="19" s="1"/>
  <c r="BD237" i="19"/>
  <c r="BC237" i="19"/>
  <c r="BA237" i="19"/>
  <c r="BE237" i="19" s="1"/>
  <c r="BF237" i="19" s="1"/>
  <c r="BD503" i="19"/>
  <c r="BC503" i="19"/>
  <c r="BA503" i="19"/>
  <c r="BE503" i="19" s="1"/>
  <c r="BF503" i="19" s="1"/>
  <c r="BD887" i="19"/>
  <c r="BC887" i="19"/>
  <c r="BA887" i="19"/>
  <c r="BE887" i="19" s="1"/>
  <c r="BF887" i="19" s="1"/>
  <c r="BD945" i="19"/>
  <c r="BC945" i="19"/>
  <c r="BA945" i="19"/>
  <c r="BE945" i="19" s="1"/>
  <c r="BF945" i="19" s="1"/>
  <c r="BC103" i="19"/>
  <c r="BD103" i="19" s="1"/>
  <c r="BA103" i="19"/>
  <c r="BE103" i="19" s="1"/>
  <c r="BF103" i="19" s="1"/>
  <c r="BD844" i="19"/>
  <c r="BC844" i="19"/>
  <c r="BA844" i="19"/>
  <c r="BE844" i="19" s="1"/>
  <c r="BF844" i="19" s="1"/>
  <c r="BD217" i="19"/>
  <c r="BC217" i="19"/>
  <c r="BA217" i="19"/>
  <c r="BE217" i="19" s="1"/>
  <c r="BF217" i="19" s="1"/>
  <c r="BC84" i="19"/>
  <c r="BD84" i="19" s="1"/>
  <c r="BA84" i="19"/>
  <c r="BE84" i="19" s="1"/>
  <c r="BF84" i="19" s="1"/>
  <c r="BD937" i="19"/>
  <c r="BC937" i="19"/>
  <c r="BA937" i="19"/>
  <c r="BE937" i="19" s="1"/>
  <c r="BF937" i="19" s="1"/>
  <c r="BD902" i="19"/>
  <c r="BC902" i="19"/>
  <c r="BA902" i="19"/>
  <c r="BE902" i="19" s="1"/>
  <c r="BF902" i="19" s="1"/>
  <c r="BA408" i="19"/>
  <c r="BE408" i="19" s="1"/>
  <c r="BF408" i="19" s="1"/>
  <c r="BA444" i="19"/>
  <c r="BE444" i="19" s="1"/>
  <c r="BF444" i="19" s="1"/>
  <c r="BA236" i="19"/>
  <c r="BE236" i="19" s="1"/>
  <c r="BF236" i="19" s="1"/>
  <c r="BA288" i="19"/>
  <c r="BE288" i="19" s="1"/>
  <c r="BF288" i="19" s="1"/>
  <c r="BA630" i="19"/>
  <c r="BE630" i="19" s="1"/>
  <c r="BF630" i="19" s="1"/>
  <c r="BA907" i="19"/>
  <c r="BE907" i="19" s="1"/>
  <c r="BF907" i="19" s="1"/>
  <c r="BA513" i="19"/>
  <c r="BE513" i="19" s="1"/>
  <c r="BF513" i="19" s="1"/>
  <c r="BA582" i="19"/>
  <c r="BE582" i="19" s="1"/>
  <c r="BF582" i="19" s="1"/>
  <c r="BA190" i="19"/>
  <c r="BE190" i="19" s="1"/>
  <c r="BF190" i="19" s="1"/>
  <c r="BA512" i="19"/>
  <c r="BE512" i="19" s="1"/>
  <c r="BF512" i="19" s="1"/>
  <c r="BA106" i="19"/>
  <c r="BE106" i="19" s="1"/>
  <c r="BF106" i="19" s="1"/>
  <c r="BA851" i="19"/>
  <c r="BE851" i="19" s="1"/>
  <c r="BF851" i="19" s="1"/>
  <c r="BA485" i="19"/>
  <c r="BE485" i="19" s="1"/>
  <c r="BF485" i="19" s="1"/>
  <c r="BA285" i="19"/>
  <c r="BE285" i="19" s="1"/>
  <c r="BF285" i="19" s="1"/>
  <c r="BA634" i="19"/>
  <c r="BE634" i="19" s="1"/>
  <c r="BF634" i="19" s="1"/>
  <c r="BA796" i="19"/>
  <c r="BE796" i="19" s="1"/>
  <c r="BF796" i="19" s="1"/>
  <c r="BA454" i="19"/>
  <c r="BE454" i="19" s="1"/>
  <c r="BF454" i="19" s="1"/>
  <c r="BA404" i="19"/>
  <c r="BE404" i="19" s="1"/>
  <c r="BF404" i="19" s="1"/>
  <c r="BA161" i="19"/>
  <c r="BE161" i="19" s="1"/>
  <c r="BF161" i="19" s="1"/>
  <c r="BA919" i="19"/>
  <c r="BE919" i="19" s="1"/>
  <c r="BF919" i="19" s="1"/>
  <c r="BA415" i="19"/>
  <c r="BE415" i="19" s="1"/>
  <c r="BF415" i="19" s="1"/>
  <c r="BA848" i="19"/>
  <c r="BE848" i="19" s="1"/>
  <c r="BF848" i="19" s="1"/>
  <c r="BA185" i="19"/>
  <c r="BE185" i="19" s="1"/>
  <c r="BF185" i="19" s="1"/>
  <c r="BA377" i="19"/>
  <c r="BE377" i="19" s="1"/>
  <c r="BF377" i="19" s="1"/>
  <c r="BA88" i="19"/>
  <c r="BE88" i="19" s="1"/>
  <c r="BF88" i="19" s="1"/>
  <c r="BA303" i="19"/>
  <c r="BE303" i="19" s="1"/>
  <c r="BF303" i="19" s="1"/>
  <c r="BA224" i="19"/>
  <c r="BE224" i="19" s="1"/>
  <c r="BF224" i="19" s="1"/>
  <c r="BA183" i="19"/>
  <c r="BE183" i="19" s="1"/>
  <c r="BF183" i="19" s="1"/>
  <c r="BA112" i="19"/>
  <c r="BE112" i="19" s="1"/>
  <c r="BF112" i="19" s="1"/>
  <c r="BA528" i="19"/>
  <c r="BE528" i="19" s="1"/>
  <c r="BF528" i="19" s="1"/>
  <c r="BA505" i="19"/>
  <c r="BE505" i="19" s="1"/>
  <c r="BF505" i="19" s="1"/>
  <c r="BA193" i="19"/>
  <c r="BE193" i="19" s="1"/>
  <c r="BF193" i="19" s="1"/>
  <c r="BA474" i="19"/>
  <c r="BE474" i="19" s="1"/>
  <c r="BF474" i="19" s="1"/>
  <c r="BA177" i="19"/>
  <c r="BE177" i="19" s="1"/>
  <c r="BF177" i="19" s="1"/>
  <c r="BA573" i="19"/>
  <c r="BE573" i="19" s="1"/>
  <c r="BF573" i="19" s="1"/>
  <c r="BA264" i="19"/>
  <c r="BE264" i="19" s="1"/>
  <c r="BF264" i="19" s="1"/>
  <c r="BA96" i="19"/>
  <c r="BE96" i="19" s="1"/>
  <c r="BF96" i="19" s="1"/>
  <c r="BC730" i="19"/>
  <c r="BD730" i="19"/>
  <c r="BA730" i="19"/>
  <c r="BE730" i="19" s="1"/>
  <c r="BF730" i="19" s="1"/>
  <c r="BC30" i="19"/>
  <c r="BD30" i="19" s="1"/>
  <c r="BA30" i="19"/>
  <c r="BE30" i="19" s="1"/>
  <c r="BF30" i="19" s="1"/>
  <c r="BC111" i="19"/>
  <c r="BD111" i="19" s="1"/>
  <c r="BA111" i="19"/>
  <c r="BE111" i="19" s="1"/>
  <c r="BF111" i="19" s="1"/>
  <c r="BC46" i="19"/>
  <c r="BD46" i="19" s="1"/>
  <c r="BA46" i="19"/>
  <c r="BE46" i="19" s="1"/>
  <c r="BF46" i="19" s="1"/>
  <c r="BD738" i="19"/>
  <c r="BC738" i="19"/>
  <c r="BA738" i="19"/>
  <c r="BE738" i="19" s="1"/>
  <c r="BF738" i="19" s="1"/>
  <c r="BD551" i="19"/>
  <c r="BC551" i="19"/>
  <c r="BA551" i="19"/>
  <c r="BE551" i="19" s="1"/>
  <c r="BF551" i="19" s="1"/>
  <c r="BC545" i="19"/>
  <c r="BD545" i="19"/>
  <c r="BA545" i="19"/>
  <c r="BE545" i="19" s="1"/>
  <c r="BF545" i="19" s="1"/>
  <c r="BD539" i="19"/>
  <c r="BC539" i="19"/>
  <c r="BA539" i="19"/>
  <c r="BE539" i="19" s="1"/>
  <c r="BF539" i="19" s="1"/>
  <c r="BC534" i="19"/>
  <c r="BD534" i="19"/>
  <c r="BA534" i="19"/>
  <c r="BE534" i="19" s="1"/>
  <c r="BF534" i="19" s="1"/>
  <c r="BD648" i="19"/>
  <c r="BC648" i="19"/>
  <c r="BA648" i="19"/>
  <c r="BE648" i="19" s="1"/>
  <c r="BF648" i="19" s="1"/>
  <c r="BD577" i="19"/>
  <c r="BC577" i="19"/>
  <c r="BA577" i="19"/>
  <c r="BE577" i="19" s="1"/>
  <c r="BF577" i="19" s="1"/>
  <c r="BD647" i="19"/>
  <c r="BC647" i="19"/>
  <c r="BA647" i="19"/>
  <c r="BE647" i="19" s="1"/>
  <c r="BF647" i="19" s="1"/>
  <c r="BC666" i="19"/>
  <c r="BD666" i="19"/>
  <c r="BA666" i="19"/>
  <c r="BE666" i="19" s="1"/>
  <c r="BF666" i="19" s="1"/>
  <c r="BD644" i="19"/>
  <c r="BC644" i="19"/>
  <c r="BA644" i="19"/>
  <c r="BE644" i="19" s="1"/>
  <c r="BF644" i="19" s="1"/>
  <c r="BD727" i="19"/>
  <c r="BC727" i="19"/>
  <c r="BA727" i="19"/>
  <c r="BE727" i="19" s="1"/>
  <c r="BF727" i="19" s="1"/>
  <c r="BD463" i="19"/>
  <c r="BC463" i="19"/>
  <c r="BA463" i="19"/>
  <c r="BE463" i="19" s="1"/>
  <c r="BF463" i="19" s="1"/>
  <c r="BD720" i="19"/>
  <c r="BC720" i="19"/>
  <c r="BA720" i="19"/>
  <c r="BE720" i="19" s="1"/>
  <c r="BF720" i="19" s="1"/>
  <c r="BD934" i="19"/>
  <c r="BC934" i="19"/>
  <c r="BA934" i="19"/>
  <c r="BE934" i="19" s="1"/>
  <c r="BF934" i="19" s="1"/>
  <c r="BC715" i="19"/>
  <c r="BD715" i="19"/>
  <c r="BA715" i="19"/>
  <c r="BE715" i="19" s="1"/>
  <c r="BF715" i="19" s="1"/>
  <c r="BD927" i="19"/>
  <c r="BC927" i="19"/>
  <c r="BA927" i="19"/>
  <c r="BE927" i="19" s="1"/>
  <c r="BF927" i="19" s="1"/>
  <c r="BD785" i="19"/>
  <c r="BC785" i="19"/>
  <c r="BA785" i="19"/>
  <c r="BE785" i="19" s="1"/>
  <c r="BF785" i="19" s="1"/>
  <c r="BD414" i="19"/>
  <c r="BC414" i="19"/>
  <c r="BA414" i="19"/>
  <c r="BE414" i="19" s="1"/>
  <c r="BF414" i="19" s="1"/>
  <c r="BD370" i="19"/>
  <c r="BC370" i="19"/>
  <c r="BA370" i="19"/>
  <c r="BE370" i="19" s="1"/>
  <c r="BF370" i="19" s="1"/>
  <c r="BC13" i="19"/>
  <c r="BD13" i="19" s="1"/>
  <c r="BA13" i="19"/>
  <c r="BE13" i="19" s="1"/>
  <c r="BF13" i="19" s="1"/>
  <c r="BD867" i="19"/>
  <c r="BC867" i="19"/>
  <c r="BA867" i="19"/>
  <c r="BE867" i="19" s="1"/>
  <c r="BF867" i="19" s="1"/>
  <c r="BD821" i="19"/>
  <c r="BC821" i="19"/>
  <c r="BA821" i="19"/>
  <c r="BE821" i="19" s="1"/>
  <c r="BF821" i="19" s="1"/>
  <c r="BD864" i="19"/>
  <c r="BC864" i="19"/>
  <c r="BA864" i="19"/>
  <c r="BE864" i="19" s="1"/>
  <c r="BF864" i="19" s="1"/>
  <c r="BD492" i="19"/>
  <c r="BC492" i="19"/>
  <c r="BA492" i="19"/>
  <c r="BE492" i="19" s="1"/>
  <c r="BF492" i="19" s="1"/>
  <c r="BC119" i="19"/>
  <c r="BD119" i="19" s="1"/>
  <c r="BA119" i="19"/>
  <c r="BE119" i="19" s="1"/>
  <c r="BF119" i="19" s="1"/>
  <c r="BC72" i="19"/>
  <c r="BD72" i="19" s="1"/>
  <c r="BA72" i="19"/>
  <c r="BE72" i="19" s="1"/>
  <c r="BF72" i="19" s="1"/>
  <c r="BD663" i="19"/>
  <c r="BC663" i="19"/>
  <c r="BA663" i="19"/>
  <c r="BE663" i="19" s="1"/>
  <c r="BF663" i="19" s="1"/>
  <c r="BD924" i="19"/>
  <c r="BC924" i="19"/>
  <c r="BA924" i="19"/>
  <c r="BE924" i="19" s="1"/>
  <c r="BF924" i="19" s="1"/>
  <c r="BD917" i="19"/>
  <c r="BC917" i="19"/>
  <c r="BA917" i="19"/>
  <c r="BE917" i="19" s="1"/>
  <c r="BF917" i="19" s="1"/>
  <c r="BD651" i="19"/>
  <c r="BC651" i="19"/>
  <c r="BA651" i="19"/>
  <c r="BE651" i="19" s="1"/>
  <c r="BF651" i="19" s="1"/>
  <c r="BD873" i="19"/>
  <c r="BC873" i="19"/>
  <c r="BA873" i="19"/>
  <c r="BE873" i="19" s="1"/>
  <c r="BF873" i="19" s="1"/>
  <c r="BC109" i="19"/>
  <c r="BD109" i="19" s="1"/>
  <c r="BA109" i="19"/>
  <c r="BE109" i="19" s="1"/>
  <c r="BF109" i="19" s="1"/>
  <c r="BC12" i="19"/>
  <c r="BD12" i="19" s="1"/>
  <c r="BA12" i="19"/>
  <c r="BE12" i="19" s="1"/>
  <c r="BF12" i="19" s="1"/>
  <c r="BD853" i="19"/>
  <c r="BC853" i="19"/>
  <c r="BA853" i="19"/>
  <c r="BE853" i="19" s="1"/>
  <c r="BF853" i="19" s="1"/>
  <c r="BD941" i="19"/>
  <c r="BC941" i="19"/>
  <c r="BA941" i="19"/>
  <c r="BE941" i="19" s="1"/>
  <c r="BF941" i="19" s="1"/>
  <c r="BD576" i="19"/>
  <c r="BC576" i="19"/>
  <c r="BA576" i="19"/>
  <c r="BE576" i="19" s="1"/>
  <c r="BF576" i="19" s="1"/>
  <c r="BD888" i="19"/>
  <c r="BC888" i="19"/>
  <c r="BA888" i="19"/>
  <c r="BE888" i="19" s="1"/>
  <c r="BF888" i="19" s="1"/>
  <c r="BD337" i="19"/>
  <c r="BC337" i="19"/>
  <c r="BA337" i="19"/>
  <c r="BE337" i="19" s="1"/>
  <c r="BF337" i="19" s="1"/>
  <c r="BD899" i="19"/>
  <c r="BC899" i="19"/>
  <c r="BA899" i="19"/>
  <c r="BE899" i="19" s="1"/>
  <c r="BF899" i="19" s="1"/>
  <c r="BD520" i="19"/>
  <c r="BC520" i="19"/>
  <c r="BA520" i="19"/>
  <c r="BE520" i="19" s="1"/>
  <c r="BF520" i="19" s="1"/>
  <c r="BD789" i="19"/>
  <c r="BC789" i="19"/>
  <c r="BA789" i="19"/>
  <c r="BE789" i="19" s="1"/>
  <c r="BF789" i="19" s="1"/>
  <c r="BD325" i="19"/>
  <c r="BC325" i="19"/>
  <c r="BA325" i="19"/>
  <c r="BE325" i="19" s="1"/>
  <c r="BF325" i="19" s="1"/>
  <c r="BD214" i="19"/>
  <c r="BC214" i="19"/>
  <c r="BA214" i="19"/>
  <c r="BE214" i="19" s="1"/>
  <c r="BF214" i="19" s="1"/>
  <c r="BD129" i="19"/>
  <c r="BC129" i="19"/>
  <c r="BA129" i="19"/>
  <c r="BE129" i="19" s="1"/>
  <c r="BF129" i="19" s="1"/>
  <c r="BA753" i="19"/>
  <c r="BE753" i="19" s="1"/>
  <c r="BF753" i="19" s="1"/>
  <c r="BA212" i="19"/>
  <c r="BE212" i="19" s="1"/>
  <c r="BF212" i="19" s="1"/>
  <c r="BA922" i="19"/>
  <c r="BE922" i="19" s="1"/>
  <c r="BF922" i="19" s="1"/>
  <c r="BA443" i="19"/>
  <c r="BE443" i="19" s="1"/>
  <c r="BF443" i="19" s="1"/>
  <c r="BA313" i="19"/>
  <c r="BE313" i="19" s="1"/>
  <c r="BF313" i="19" s="1"/>
  <c r="BA735" i="19"/>
  <c r="BE735" i="19" s="1"/>
  <c r="BF735" i="19" s="1"/>
  <c r="BA707" i="19"/>
  <c r="BE707" i="19" s="1"/>
  <c r="BF707" i="19" s="1"/>
  <c r="BA157" i="19"/>
  <c r="BE157" i="19" s="1"/>
  <c r="BF157" i="19" s="1"/>
  <c r="BA691" i="19"/>
  <c r="BE691" i="19" s="1"/>
  <c r="BF691" i="19" s="1"/>
  <c r="BA245" i="19"/>
  <c r="BE245" i="19" s="1"/>
  <c r="BF245" i="19" s="1"/>
  <c r="BA334" i="19"/>
  <c r="BE334" i="19" s="1"/>
  <c r="BF334" i="19" s="1"/>
  <c r="BA619" i="19"/>
  <c r="BE619" i="19" s="1"/>
  <c r="BF619" i="19" s="1"/>
  <c r="BA150" i="19"/>
  <c r="BE150" i="19" s="1"/>
  <c r="BF150" i="19" s="1"/>
  <c r="BA743" i="19"/>
  <c r="BE743" i="19" s="1"/>
  <c r="BF743" i="19" s="1"/>
  <c r="BA263" i="19"/>
  <c r="BE263" i="19" s="1"/>
  <c r="BF263" i="19" s="1"/>
  <c r="BA511" i="19"/>
  <c r="BE511" i="19" s="1"/>
  <c r="BF511" i="19" s="1"/>
  <c r="BA94" i="19"/>
  <c r="BE94" i="19" s="1"/>
  <c r="BF94" i="19" s="1"/>
  <c r="BA327" i="19"/>
  <c r="BE327" i="19" s="1"/>
  <c r="BF327" i="19" s="1"/>
  <c r="BA302" i="19"/>
  <c r="BE302" i="19" s="1"/>
  <c r="BF302" i="19" s="1"/>
  <c r="BA41" i="19"/>
  <c r="BE41" i="19" s="1"/>
  <c r="BF41" i="19" s="1"/>
  <c r="BA362" i="19"/>
  <c r="BE362" i="19" s="1"/>
  <c r="BF362" i="19" s="1"/>
  <c r="BA388" i="19"/>
  <c r="BE388" i="19" s="1"/>
  <c r="BF388" i="19" s="1"/>
  <c r="BA519" i="19"/>
  <c r="BE519" i="19" s="1"/>
  <c r="BF519" i="19" s="1"/>
  <c r="BA387" i="19"/>
  <c r="BE387" i="19" s="1"/>
  <c r="BF387" i="19" s="1"/>
  <c r="BA601" i="19"/>
  <c r="BE601" i="19" s="1"/>
  <c r="BF601" i="19" s="1"/>
  <c r="BA201" i="19"/>
  <c r="BE201" i="19" s="1"/>
  <c r="BF201" i="19" s="1"/>
  <c r="BA452" i="19"/>
  <c r="BE452" i="19" s="1"/>
  <c r="BF452" i="19" s="1"/>
  <c r="BA599" i="19"/>
  <c r="BE599" i="19" s="1"/>
  <c r="BF599" i="19" s="1"/>
  <c r="BA250" i="19"/>
  <c r="BE250" i="19" s="1"/>
  <c r="BF250" i="19" s="1"/>
  <c r="BA5" i="19"/>
  <c r="BE5" i="19" s="1"/>
  <c r="BA341" i="19"/>
  <c r="BE341" i="19" s="1"/>
  <c r="BF341" i="19" s="1"/>
  <c r="BA909" i="19"/>
  <c r="BE909" i="19" s="1"/>
  <c r="BF909" i="19" s="1"/>
  <c r="BA203" i="19"/>
  <c r="BE203" i="19" s="1"/>
  <c r="BF203" i="19" s="1"/>
  <c r="BA71" i="19"/>
  <c r="BE71" i="19" s="1"/>
  <c r="BF71" i="19" s="1"/>
  <c r="BA68" i="19"/>
  <c r="BE68" i="19" s="1"/>
  <c r="BF68" i="19" s="1"/>
  <c r="BA598" i="19"/>
  <c r="BE598" i="19" s="1"/>
  <c r="BF598" i="19" s="1"/>
  <c r="BA339" i="19"/>
  <c r="BE339" i="19" s="1"/>
  <c r="BF339" i="19" s="1"/>
  <c r="BA612" i="19"/>
  <c r="BE612" i="19" s="1"/>
  <c r="BF612" i="19" s="1"/>
  <c r="BA61" i="19"/>
  <c r="BE61" i="19" s="1"/>
  <c r="BF61" i="19" s="1"/>
  <c r="BA300" i="19"/>
  <c r="BE300" i="19" s="1"/>
  <c r="BF300" i="19" s="1"/>
  <c r="BA694" i="19"/>
  <c r="BE694" i="19" s="1"/>
  <c r="BF694" i="19" s="1"/>
  <c r="BA570" i="19"/>
  <c r="BE570" i="19" s="1"/>
  <c r="BF570" i="19" s="1"/>
  <c r="BA565" i="19"/>
  <c r="BE565" i="19" s="1"/>
  <c r="BF565" i="19" s="1"/>
  <c r="BA480" i="19"/>
  <c r="BE480" i="19" s="1"/>
  <c r="BF480" i="19" s="1"/>
  <c r="BA373" i="19"/>
  <c r="BE373" i="19" s="1"/>
  <c r="BF373" i="19" s="1"/>
  <c r="BA464" i="19"/>
  <c r="BE464" i="19" s="1"/>
  <c r="BF464" i="19" s="1"/>
  <c r="BA244" i="19"/>
  <c r="BE244" i="19" s="1"/>
  <c r="BF244" i="19" s="1"/>
  <c r="BA167" i="19"/>
  <c r="BE167" i="19" s="1"/>
  <c r="BF167" i="19" s="1"/>
  <c r="BA165" i="19"/>
  <c r="BE165" i="19" s="1"/>
  <c r="BF165" i="19" s="1"/>
  <c r="BA246" i="19"/>
  <c r="BE246" i="19" s="1"/>
  <c r="BF246" i="19" s="1"/>
  <c r="BA829" i="19"/>
  <c r="BE829" i="19" s="1"/>
  <c r="BF829" i="19" s="1"/>
  <c r="BA504" i="19"/>
  <c r="BE504" i="19" s="1"/>
  <c r="BF504" i="19" s="1"/>
  <c r="BA198" i="19"/>
  <c r="BE198" i="19" s="1"/>
  <c r="BF198" i="19" s="1"/>
  <c r="BD732" i="19"/>
  <c r="BC732" i="19"/>
  <c r="BA732" i="19"/>
  <c r="BE732" i="19" s="1"/>
  <c r="BF732" i="19" s="1"/>
  <c r="BC34" i="19"/>
  <c r="BD34" i="19" s="1"/>
  <c r="BA34" i="19"/>
  <c r="BE34" i="19" s="1"/>
  <c r="BF34" i="19" s="1"/>
  <c r="BC29" i="19"/>
  <c r="BD29" i="19" s="1"/>
  <c r="BA29" i="19"/>
  <c r="BE29" i="19" s="1"/>
  <c r="BF29" i="19" s="1"/>
  <c r="BC160" i="19"/>
  <c r="BD160" i="19"/>
  <c r="BA160" i="19"/>
  <c r="BE160" i="19" s="1"/>
  <c r="BF160" i="19" s="1"/>
  <c r="BD556" i="19"/>
  <c r="BC556" i="19"/>
  <c r="BA556" i="19"/>
  <c r="BE556" i="19" s="1"/>
  <c r="BF556" i="19" s="1"/>
  <c r="BD550" i="19"/>
  <c r="BC550" i="19"/>
  <c r="BA550" i="19"/>
  <c r="BE550" i="19" s="1"/>
  <c r="BF550" i="19" s="1"/>
  <c r="BD544" i="19"/>
  <c r="BC544" i="19"/>
  <c r="BA544" i="19"/>
  <c r="BE544" i="19" s="1"/>
  <c r="BF544" i="19" s="1"/>
  <c r="BC538" i="19"/>
  <c r="BD538" i="19"/>
  <c r="BA538" i="19"/>
  <c r="BE538" i="19" s="1"/>
  <c r="BF538" i="19" s="1"/>
  <c r="BC122" i="19"/>
  <c r="BD122" i="19" s="1"/>
  <c r="BA122" i="19"/>
  <c r="BE122" i="19" s="1"/>
  <c r="BF122" i="19" s="1"/>
  <c r="BC17" i="19"/>
  <c r="BD17" i="19" s="1"/>
  <c r="BA17" i="19"/>
  <c r="BE17" i="19" s="1"/>
  <c r="BF17" i="19" s="1"/>
  <c r="BD580" i="19"/>
  <c r="BC580" i="19"/>
  <c r="BA580" i="19"/>
  <c r="BE580" i="19" s="1"/>
  <c r="BF580" i="19" s="1"/>
  <c r="BD646" i="19"/>
  <c r="BC646" i="19"/>
  <c r="BA646" i="19"/>
  <c r="BE646" i="19" s="1"/>
  <c r="BF646" i="19" s="1"/>
  <c r="BD665" i="19"/>
  <c r="BC665" i="19"/>
  <c r="BA665" i="19"/>
  <c r="BE665" i="19" s="1"/>
  <c r="BF665" i="19" s="1"/>
  <c r="BD155" i="19"/>
  <c r="BC155" i="19"/>
  <c r="BA155" i="19"/>
  <c r="BE155" i="19" s="1"/>
  <c r="BF155" i="19" s="1"/>
  <c r="BD726" i="19"/>
  <c r="BC726" i="19"/>
  <c r="BA726" i="19"/>
  <c r="BE726" i="19" s="1"/>
  <c r="BF726" i="19" s="1"/>
  <c r="BD156" i="19"/>
  <c r="BC156" i="19"/>
  <c r="BA156" i="19"/>
  <c r="BE156" i="19" s="1"/>
  <c r="BF156" i="19" s="1"/>
  <c r="BD719" i="19"/>
  <c r="BC719" i="19"/>
  <c r="BA719" i="19"/>
  <c r="BE719" i="19" s="1"/>
  <c r="BF719" i="19" s="1"/>
  <c r="BD933" i="19"/>
  <c r="BC933" i="19"/>
  <c r="BA933" i="19"/>
  <c r="BE933" i="19" s="1"/>
  <c r="BF933" i="19" s="1"/>
  <c r="BD714" i="19"/>
  <c r="BC714" i="19"/>
  <c r="BA714" i="19"/>
  <c r="BE714" i="19" s="1"/>
  <c r="BF714" i="19" s="1"/>
  <c r="BC24" i="19"/>
  <c r="BD24" i="19" s="1"/>
  <c r="BA24" i="19"/>
  <c r="BE24" i="19" s="1"/>
  <c r="BF24" i="19" s="1"/>
  <c r="BD881" i="19"/>
  <c r="BC881" i="19"/>
  <c r="BA881" i="19"/>
  <c r="BE881" i="19" s="1"/>
  <c r="BF881" i="19" s="1"/>
  <c r="BC28" i="19"/>
  <c r="BD28" i="19" s="1"/>
  <c r="BA28" i="19"/>
  <c r="BE28" i="19" s="1"/>
  <c r="BF28" i="19" s="1"/>
  <c r="BC48" i="19"/>
  <c r="BD48" i="19" s="1"/>
  <c r="BA48" i="19"/>
  <c r="BE48" i="19" s="1"/>
  <c r="BF48" i="19" s="1"/>
  <c r="BD555" i="19"/>
  <c r="BC555" i="19"/>
  <c r="BA555" i="19"/>
  <c r="BE555" i="19" s="1"/>
  <c r="BF555" i="19" s="1"/>
  <c r="BD549" i="19"/>
  <c r="BC549" i="19"/>
  <c r="BA549" i="19"/>
  <c r="BE549" i="19" s="1"/>
  <c r="BF549" i="19" s="1"/>
  <c r="BD543" i="19"/>
  <c r="BC543" i="19"/>
  <c r="BA543" i="19"/>
  <c r="BE543" i="19" s="1"/>
  <c r="BF543" i="19" s="1"/>
  <c r="BD537" i="19"/>
  <c r="BC537" i="19"/>
  <c r="BA537" i="19"/>
  <c r="BE537" i="19" s="1"/>
  <c r="BF537" i="19" s="1"/>
  <c r="BC10" i="19"/>
  <c r="BD10" i="19"/>
  <c r="BA10" i="19"/>
  <c r="BE10" i="19" s="1"/>
  <c r="BF10" i="19" s="1"/>
  <c r="BC16" i="19"/>
  <c r="BD16" i="19" s="1"/>
  <c r="BA16" i="19"/>
  <c r="BE16" i="19" s="1"/>
  <c r="BF16" i="19" s="1"/>
  <c r="BC891" i="19"/>
  <c r="BD891" i="19"/>
  <c r="BA891" i="19"/>
  <c r="BE891" i="19" s="1"/>
  <c r="BF891" i="19" s="1"/>
  <c r="BD681" i="19"/>
  <c r="BC681" i="19"/>
  <c r="BA681" i="19"/>
  <c r="BE681" i="19" s="1"/>
  <c r="BF681" i="19" s="1"/>
  <c r="BC32" i="19"/>
  <c r="BD32" i="19" s="1"/>
  <c r="BA32" i="19"/>
  <c r="BE32" i="19" s="1"/>
  <c r="BF32" i="19" s="1"/>
  <c r="BA608" i="19"/>
  <c r="BE608" i="19" s="1"/>
  <c r="BF608" i="19" s="1"/>
  <c r="BA725" i="19"/>
  <c r="BE725" i="19" s="1"/>
  <c r="BF725" i="19" s="1"/>
  <c r="BA724" i="19"/>
  <c r="BE724" i="19" s="1"/>
  <c r="BF724" i="19" s="1"/>
  <c r="BA718" i="19"/>
  <c r="BE718" i="19" s="1"/>
  <c r="BF718" i="19" s="1"/>
  <c r="BA713" i="19"/>
  <c r="BE713" i="19" s="1"/>
  <c r="BF713" i="19" s="1"/>
  <c r="BA710" i="19"/>
  <c r="BE710" i="19" s="1"/>
  <c r="BF710" i="19" s="1"/>
  <c r="BA411" i="19"/>
  <c r="BE411" i="19" s="1"/>
  <c r="BF411" i="19" s="1"/>
  <c r="BA447" i="19"/>
  <c r="BE447" i="19" s="1"/>
  <c r="BF447" i="19" s="1"/>
  <c r="BA606" i="19"/>
  <c r="BE606" i="19" s="1"/>
  <c r="BF606" i="19" s="1"/>
  <c r="BA632" i="19"/>
  <c r="BE632" i="19" s="1"/>
  <c r="BF632" i="19" s="1"/>
  <c r="BA819" i="19"/>
  <c r="BE819" i="19" s="1"/>
  <c r="BF819" i="19" s="1"/>
  <c r="BA468" i="19"/>
  <c r="BE468" i="19" s="1"/>
  <c r="BF468" i="19" s="1"/>
  <c r="BA121" i="19"/>
  <c r="BE121" i="19" s="1"/>
  <c r="BF121" i="19" s="1"/>
  <c r="BA91" i="19"/>
  <c r="BE91" i="19" s="1"/>
  <c r="BF91" i="19" s="1"/>
  <c r="BA571" i="19"/>
  <c r="BE571" i="19" s="1"/>
  <c r="BF571" i="19" s="1"/>
  <c r="BA7" i="19"/>
  <c r="BE7" i="19" s="1"/>
  <c r="BF7" i="19" s="1"/>
  <c r="BA654" i="19"/>
  <c r="BE654" i="19" s="1"/>
  <c r="BF654" i="19" s="1"/>
  <c r="BA522" i="19"/>
  <c r="BE522" i="19" s="1"/>
  <c r="BF522" i="19" s="1"/>
  <c r="BA674" i="19"/>
  <c r="BE674" i="19" s="1"/>
  <c r="BF674" i="19" s="1"/>
  <c r="BA11" i="19"/>
  <c r="BE11" i="19" s="1"/>
  <c r="BF11" i="19" s="1"/>
  <c r="BA516" i="19"/>
  <c r="BE516" i="19" s="1"/>
  <c r="BF516" i="19" s="1"/>
  <c r="BA128" i="19"/>
  <c r="BE128" i="19" s="1"/>
  <c r="BF128" i="19" s="1"/>
  <c r="BA241" i="19"/>
  <c r="BE241" i="19" s="1"/>
  <c r="BF241" i="19" s="1"/>
  <c r="BA254" i="19"/>
  <c r="BE254" i="19" s="1"/>
  <c r="BF254" i="19" s="1"/>
  <c r="BA857" i="19"/>
  <c r="BE857" i="19" s="1"/>
  <c r="BF857" i="19" s="1"/>
  <c r="BA817" i="19"/>
  <c r="BE817" i="19" s="1"/>
  <c r="BF817" i="19" s="1"/>
  <c r="BA575" i="19"/>
  <c r="BE575" i="19" s="1"/>
  <c r="BF575" i="19" s="1"/>
  <c r="BA323" i="19"/>
  <c r="BE323" i="19" s="1"/>
  <c r="BF323" i="19" s="1"/>
  <c r="BA352" i="19"/>
  <c r="BE352" i="19" s="1"/>
  <c r="BF352" i="19" s="1"/>
  <c r="BA282" i="19"/>
  <c r="BE282" i="19" s="1"/>
  <c r="BF282" i="19" s="1"/>
  <c r="BA914" i="19"/>
  <c r="BE914" i="19" s="1"/>
  <c r="BF914" i="19" s="1"/>
  <c r="BA218" i="19"/>
  <c r="BE218" i="19" s="1"/>
  <c r="BF218" i="19" s="1"/>
  <c r="BA574" i="19"/>
  <c r="BE574" i="19" s="1"/>
  <c r="BF574" i="19" s="1"/>
  <c r="BA402" i="19"/>
  <c r="BE402" i="19" s="1"/>
  <c r="BF402" i="19" s="1"/>
  <c r="BA229" i="19"/>
  <c r="BE229" i="19" s="1"/>
  <c r="BF229" i="19" s="1"/>
  <c r="BA441" i="19"/>
  <c r="BE441" i="19" s="1"/>
  <c r="BF441" i="19" s="1"/>
  <c r="BA226" i="19"/>
  <c r="BE226" i="19" s="1"/>
  <c r="BF226" i="19" s="1"/>
  <c r="BA335" i="19"/>
  <c r="BE335" i="19" s="1"/>
  <c r="BF335" i="19" s="1"/>
  <c r="BA148" i="19"/>
  <c r="BE148" i="19" s="1"/>
  <c r="BF148" i="19" s="1"/>
  <c r="BA291" i="19"/>
  <c r="BE291" i="19" s="1"/>
  <c r="BF291" i="19" s="1"/>
  <c r="BA705" i="19"/>
  <c r="BE705" i="19" s="1"/>
  <c r="BF705" i="19" s="1"/>
  <c r="BA761" i="19"/>
  <c r="BE761" i="19" s="1"/>
  <c r="BF761" i="19" s="1"/>
  <c r="BA784" i="19"/>
  <c r="BE784" i="19" s="1"/>
  <c r="BF784" i="19" s="1"/>
  <c r="BA776" i="19"/>
  <c r="BE776" i="19" s="1"/>
  <c r="BF776" i="19" s="1"/>
  <c r="BA383" i="19"/>
  <c r="BE383" i="19" s="1"/>
  <c r="BF383" i="19" s="1"/>
  <c r="BA43" i="19"/>
  <c r="BE43" i="19" s="1"/>
  <c r="BF43" i="19" s="1"/>
  <c r="BA863" i="19"/>
  <c r="BE863" i="19" s="1"/>
  <c r="BF863" i="19" s="1"/>
  <c r="BA208" i="19"/>
  <c r="BE208" i="19" s="1"/>
  <c r="BF208" i="19" s="1"/>
  <c r="BA206" i="19"/>
  <c r="BE206" i="19" s="1"/>
  <c r="BF206" i="19" s="1"/>
  <c r="BA349" i="19"/>
  <c r="BE349" i="19" s="1"/>
  <c r="BF349" i="19" s="1"/>
  <c r="BA627" i="19"/>
  <c r="BE627" i="19" s="1"/>
  <c r="BF627" i="19" s="1"/>
  <c r="BA741" i="19"/>
  <c r="BE741" i="19" s="1"/>
  <c r="BF741" i="19" s="1"/>
  <c r="BA37" i="19"/>
  <c r="BE37" i="19" s="1"/>
  <c r="BF37" i="19" s="1"/>
  <c r="BA501" i="19"/>
  <c r="BE501" i="19" s="1"/>
  <c r="BF501" i="19" s="1"/>
  <c r="BA471" i="19"/>
  <c r="BE471" i="19" s="1"/>
  <c r="BF471" i="19" s="1"/>
  <c r="BA509" i="19"/>
  <c r="BE509" i="19" s="1"/>
  <c r="BF509" i="19" s="1"/>
  <c r="BA330" i="19"/>
  <c r="BE330" i="19" s="1"/>
  <c r="BF330" i="19" s="1"/>
  <c r="BA143" i="19"/>
  <c r="BE143" i="19" s="1"/>
  <c r="BF143" i="19" s="1"/>
  <c r="BA942" i="19"/>
  <c r="BE942" i="19" s="1"/>
  <c r="BF942" i="19" s="1"/>
  <c r="BA321" i="19"/>
  <c r="BE321" i="19" s="1"/>
  <c r="BF321" i="19" s="1"/>
  <c r="BA872" i="19"/>
  <c r="BE872" i="19" s="1"/>
  <c r="BF872" i="19" s="1"/>
  <c r="BA614" i="19"/>
  <c r="BE614" i="19" s="1"/>
  <c r="BF614" i="19" s="1"/>
  <c r="BA659" i="19"/>
  <c r="BE659" i="19" s="1"/>
  <c r="BF659" i="19" s="1"/>
  <c r="BA852" i="19"/>
  <c r="BE852" i="19" s="1"/>
  <c r="BF852" i="19" s="1"/>
  <c r="BA420" i="19"/>
  <c r="BE420" i="19" s="1"/>
  <c r="BF420" i="19" s="1"/>
  <c r="BA309" i="19"/>
  <c r="BE309" i="19" s="1"/>
  <c r="BF309" i="19" s="1"/>
  <c r="BA251" i="19"/>
  <c r="BE251" i="19" s="1"/>
  <c r="BF251" i="19" s="1"/>
  <c r="BA583" i="19"/>
  <c r="BE583" i="19" s="1"/>
  <c r="BF583" i="19" s="1"/>
  <c r="BA57" i="19"/>
  <c r="BE57" i="19" s="1"/>
  <c r="BF57" i="19" s="1"/>
  <c r="BA455" i="19"/>
  <c r="BE455" i="19" s="1"/>
  <c r="BF455" i="19" s="1"/>
  <c r="BA600" i="19"/>
  <c r="BE600" i="19" s="1"/>
  <c r="BF600" i="19" s="1"/>
  <c r="BA305" i="19"/>
  <c r="BE305" i="19" s="1"/>
  <c r="BF305" i="19" s="1"/>
  <c r="BA823" i="19"/>
  <c r="BE823" i="19" s="1"/>
  <c r="BF823" i="19" s="1"/>
  <c r="BA637" i="19"/>
  <c r="BE637" i="19" s="1"/>
  <c r="BF637" i="19" s="1"/>
  <c r="BA592" i="19"/>
  <c r="BE592" i="19" s="1"/>
  <c r="BF592" i="19" s="1"/>
  <c r="BA618" i="19"/>
  <c r="BE618" i="19" s="1"/>
  <c r="BF618" i="19" s="1"/>
  <c r="BA279" i="19"/>
  <c r="BE279" i="19" s="1"/>
  <c r="BF279" i="19" s="1"/>
  <c r="BA590" i="19"/>
  <c r="BE590" i="19" s="1"/>
  <c r="BF590" i="19" s="1"/>
  <c r="BA758" i="19"/>
  <c r="BE758" i="19" s="1"/>
  <c r="BF758" i="19" s="1"/>
  <c r="BA775" i="19"/>
  <c r="BE775" i="19" s="1"/>
  <c r="BF775" i="19" s="1"/>
  <c r="BA31" i="19"/>
  <c r="BE31" i="19" s="1"/>
  <c r="BF31" i="19" s="1"/>
  <c r="BA44" i="19"/>
  <c r="BE44" i="19" s="1"/>
  <c r="BF44" i="19" s="1"/>
  <c r="BA275" i="19"/>
  <c r="BE275" i="19" s="1"/>
  <c r="BF275" i="19" s="1"/>
  <c r="BA792" i="19"/>
  <c r="BE792" i="19" s="1"/>
  <c r="BF792" i="19" s="1"/>
  <c r="BA211" i="19"/>
  <c r="BE211" i="19" s="1"/>
  <c r="BF211" i="19" s="1"/>
  <c r="BA138" i="19"/>
  <c r="BE138" i="19" s="1"/>
  <c r="BF138" i="19" s="1"/>
  <c r="BA66" i="19"/>
  <c r="BE66" i="19" s="1"/>
  <c r="BF66" i="19" s="1"/>
  <c r="BA412" i="19"/>
  <c r="BE412" i="19" s="1"/>
  <c r="BF412" i="19" s="1"/>
  <c r="BA262" i="19"/>
  <c r="BE262" i="19" s="1"/>
  <c r="BF262" i="19" s="1"/>
  <c r="BA597" i="19"/>
  <c r="BE597" i="19" s="1"/>
  <c r="BF597" i="19" s="1"/>
  <c r="BA137" i="19"/>
  <c r="BE137" i="19" s="1"/>
  <c r="BF137" i="19" s="1"/>
  <c r="BA265" i="19"/>
  <c r="BE265" i="19" s="1"/>
  <c r="BF265" i="19" s="1"/>
  <c r="BA296" i="19"/>
  <c r="BE296" i="19" s="1"/>
  <c r="BF296" i="19" s="1"/>
  <c r="BA294" i="19"/>
  <c r="BE294" i="19" s="1"/>
  <c r="BF294" i="19" s="1"/>
  <c r="BA868" i="19"/>
  <c r="BE868" i="19" s="1"/>
  <c r="BF868" i="19" s="1"/>
  <c r="BA913" i="19"/>
  <c r="BE913" i="19" s="1"/>
  <c r="BF913" i="19" s="1"/>
  <c r="BA97" i="19"/>
  <c r="BE97" i="19" s="1"/>
  <c r="BF97" i="19" s="1"/>
  <c r="BA394" i="19"/>
  <c r="BE394" i="19" s="1"/>
  <c r="BF394" i="19" s="1"/>
  <c r="BA532" i="19"/>
  <c r="BE532" i="19" s="1"/>
  <c r="BF532" i="19" s="1"/>
  <c r="BA172" i="19"/>
  <c r="BE172" i="19" s="1"/>
  <c r="BF172" i="19" s="1"/>
  <c r="BA336" i="19"/>
  <c r="BE336" i="19" s="1"/>
  <c r="BF336" i="19" s="1"/>
  <c r="BA135" i="19"/>
  <c r="BE135" i="19" s="1"/>
  <c r="BF135" i="19" s="1"/>
  <c r="BA772" i="19"/>
  <c r="BE772" i="19" s="1"/>
  <c r="BF772" i="19" s="1"/>
  <c r="BA683" i="19"/>
  <c r="BE683" i="19" s="1"/>
  <c r="BF683" i="19" s="1"/>
  <c r="BA99" i="19"/>
  <c r="BE99" i="19" s="1"/>
  <c r="BF99" i="19" s="1"/>
  <c r="BA628" i="19"/>
  <c r="BE628" i="19" s="1"/>
  <c r="BF628" i="19" s="1"/>
  <c r="BA381" i="19"/>
  <c r="BE381" i="19" s="1"/>
  <c r="BF381" i="19" s="1"/>
  <c r="BA607" i="19"/>
  <c r="BE607" i="19" s="1"/>
  <c r="BF607" i="19" s="1"/>
  <c r="BA473" i="19"/>
  <c r="BE473" i="19" s="1"/>
  <c r="BF473" i="19" s="1"/>
  <c r="BA164" i="19"/>
  <c r="BE164" i="19" s="1"/>
  <c r="BF164" i="19" s="1"/>
  <c r="BA175" i="19"/>
  <c r="BE175" i="19" s="1"/>
  <c r="BF175" i="19" s="1"/>
  <c r="BA621" i="19"/>
  <c r="BE621" i="19" s="1"/>
  <c r="BF621" i="19" s="1"/>
  <c r="BA593" i="19"/>
  <c r="BE593" i="19" s="1"/>
  <c r="BF593" i="19" s="1"/>
  <c r="BA359" i="19"/>
  <c r="BE359" i="19" s="1"/>
  <c r="BF359" i="19" s="1"/>
  <c r="BA54" i="19"/>
  <c r="BE54" i="19" s="1"/>
  <c r="BF54" i="19" s="1"/>
  <c r="BA649" i="19"/>
  <c r="BE649" i="19" s="1"/>
  <c r="BF649" i="19" s="1"/>
  <c r="BA146" i="19"/>
  <c r="BE146" i="19" s="1"/>
  <c r="BF146" i="19" s="1"/>
  <c r="BA144" i="19"/>
  <c r="BE144" i="19" s="1"/>
  <c r="BF144" i="19" s="1"/>
  <c r="BF5" i="19"/>
  <c r="BC22" i="19"/>
  <c r="BD22" i="19" s="1"/>
  <c r="BA22" i="19"/>
  <c r="BE22" i="19" s="1"/>
  <c r="BF22" i="19" s="1"/>
  <c r="BC19" i="19"/>
  <c r="BD19" i="19" s="1"/>
  <c r="BA19" i="19"/>
  <c r="BE19" i="19" s="1"/>
  <c r="BF19" i="19" s="1"/>
  <c r="BC42" i="19"/>
  <c r="BD42" i="19" s="1"/>
  <c r="BA42" i="19"/>
  <c r="BE42" i="19" s="1"/>
  <c r="BF42" i="19" s="1"/>
  <c r="BC557" i="19"/>
  <c r="BD557" i="19"/>
  <c r="BA557" i="19"/>
  <c r="BE557" i="19" s="1"/>
  <c r="BF557" i="19" s="1"/>
  <c r="BD553" i="19"/>
  <c r="BC553" i="19"/>
  <c r="BA553" i="19"/>
  <c r="BE553" i="19" s="1"/>
  <c r="BF553" i="19" s="1"/>
  <c r="BC547" i="19"/>
  <c r="BD547" i="19"/>
  <c r="BA547" i="19"/>
  <c r="BE547" i="19" s="1"/>
  <c r="BF547" i="19" s="1"/>
  <c r="BD541" i="19"/>
  <c r="BC541" i="19"/>
  <c r="BA541" i="19"/>
  <c r="BE541" i="19" s="1"/>
  <c r="BF541" i="19" s="1"/>
  <c r="BD536" i="19"/>
  <c r="BC536" i="19"/>
  <c r="BA536" i="19"/>
  <c r="BE536" i="19" s="1"/>
  <c r="BF536" i="19" s="1"/>
  <c r="BC425" i="19"/>
  <c r="BD425" i="19"/>
  <c r="BA425" i="19"/>
  <c r="BE425" i="19" s="1"/>
  <c r="BF425" i="19" s="1"/>
  <c r="BC579" i="19"/>
  <c r="BD579" i="19"/>
  <c r="BA579" i="19"/>
  <c r="BE579" i="19" s="1"/>
  <c r="BF579" i="19" s="1"/>
  <c r="BD671" i="19"/>
  <c r="BC671" i="19"/>
  <c r="BA671" i="19"/>
  <c r="BE671" i="19" s="1"/>
  <c r="BF671" i="19" s="1"/>
  <c r="BC74" i="19"/>
  <c r="BD74" i="19" s="1"/>
  <c r="BA74" i="19"/>
  <c r="BE74" i="19" s="1"/>
  <c r="BF74" i="19" s="1"/>
  <c r="BD664" i="19"/>
  <c r="BC664" i="19"/>
  <c r="BA664" i="19"/>
  <c r="BE664" i="19" s="1"/>
  <c r="BF664" i="19" s="1"/>
  <c r="BD729" i="19"/>
  <c r="BC729" i="19"/>
  <c r="BA729" i="19"/>
  <c r="BE729" i="19" s="1"/>
  <c r="BF729" i="19" s="1"/>
  <c r="BC514" i="19"/>
  <c r="BD514" i="19"/>
  <c r="BA514" i="19"/>
  <c r="BE514" i="19" s="1"/>
  <c r="BF514" i="19" s="1"/>
  <c r="BC722" i="19"/>
  <c r="BD722" i="19"/>
  <c r="BA722" i="19"/>
  <c r="BE722" i="19" s="1"/>
  <c r="BF722" i="19" s="1"/>
  <c r="BD716" i="19"/>
  <c r="BC716" i="19"/>
  <c r="BA716" i="19"/>
  <c r="BE716" i="19" s="1"/>
  <c r="BF716" i="19" s="1"/>
  <c r="BD930" i="19"/>
  <c r="BC930" i="19"/>
  <c r="BA930" i="19"/>
  <c r="BE930" i="19" s="1"/>
  <c r="BF930" i="19" s="1"/>
  <c r="BD711" i="19"/>
  <c r="BC711" i="19"/>
  <c r="BA711" i="19"/>
  <c r="BE711" i="19" s="1"/>
  <c r="BF711" i="19" s="1"/>
  <c r="BD802" i="19"/>
  <c r="BC802" i="19"/>
  <c r="BA802" i="19"/>
  <c r="BE802" i="19" s="1"/>
  <c r="BF802" i="19" s="1"/>
  <c r="BC496" i="19"/>
  <c r="BD496" i="19"/>
  <c r="BA496" i="19"/>
  <c r="BE496" i="19" s="1"/>
  <c r="BF496" i="19" s="1"/>
  <c r="BC643" i="19"/>
  <c r="BD643" i="19"/>
  <c r="BA643" i="19"/>
  <c r="BE643" i="19" s="1"/>
  <c r="BF643" i="19" s="1"/>
  <c r="BD604" i="19"/>
  <c r="BC604" i="19"/>
  <c r="BA604" i="19"/>
  <c r="BE604" i="19" s="1"/>
  <c r="BF604" i="19" s="1"/>
  <c r="BD376" i="19"/>
  <c r="BC376" i="19"/>
  <c r="BA376" i="19"/>
  <c r="BE376" i="19" s="1"/>
  <c r="BF376" i="19" s="1"/>
  <c r="BD859" i="19"/>
  <c r="BC859" i="19"/>
  <c r="BA859" i="19"/>
  <c r="BE859" i="19" s="1"/>
  <c r="BF859" i="19" s="1"/>
  <c r="BD563" i="19"/>
  <c r="BC563" i="19"/>
  <c r="BA563" i="19"/>
  <c r="BE563" i="19" s="1"/>
  <c r="BF563" i="19" s="1"/>
  <c r="BC466" i="19"/>
  <c r="BD466" i="19"/>
  <c r="BA466" i="19"/>
  <c r="BE466" i="19" s="1"/>
  <c r="BF466" i="19" s="1"/>
  <c r="BC35" i="19"/>
  <c r="BD35" i="19" s="1"/>
  <c r="BA35" i="19"/>
  <c r="BE35" i="19" s="1"/>
  <c r="BC90" i="19"/>
  <c r="BD90" i="19" s="1"/>
  <c r="BA90" i="19"/>
  <c r="BE90" i="19" s="1"/>
  <c r="BF90" i="19" s="1"/>
  <c r="BD678" i="19"/>
  <c r="BC678" i="19"/>
  <c r="BA678" i="19"/>
  <c r="BE678" i="19" s="1"/>
  <c r="BF678" i="19" s="1"/>
  <c r="BD526" i="19"/>
  <c r="BC526" i="19"/>
  <c r="BA526" i="19"/>
  <c r="BE526" i="19" s="1"/>
  <c r="BF526" i="19" s="1"/>
  <c r="BD771" i="19"/>
  <c r="BC771" i="19"/>
  <c r="BA771" i="19"/>
  <c r="BE771" i="19" s="1"/>
  <c r="BF771" i="19" s="1"/>
  <c r="BD653" i="19"/>
  <c r="BC653" i="19"/>
  <c r="BA653" i="19"/>
  <c r="BE653" i="19" s="1"/>
  <c r="BF653" i="19" s="1"/>
  <c r="BD779" i="19"/>
  <c r="BC779" i="19"/>
  <c r="BA779" i="19"/>
  <c r="BE779" i="19" s="1"/>
  <c r="BF779" i="19" s="1"/>
  <c r="BD677" i="19"/>
  <c r="BC677" i="19"/>
  <c r="BA677" i="19"/>
  <c r="BE677" i="19" s="1"/>
  <c r="BF677" i="19" s="1"/>
  <c r="BD737" i="19"/>
  <c r="BC737" i="19"/>
  <c r="BA737" i="19"/>
  <c r="BE737" i="19" s="1"/>
  <c r="BF737" i="19" s="1"/>
  <c r="BD639" i="19"/>
  <c r="BC639" i="19"/>
  <c r="BA639" i="19"/>
  <c r="BE639" i="19" s="1"/>
  <c r="BF639" i="19" s="1"/>
  <c r="BD271" i="19"/>
  <c r="BC271" i="19"/>
  <c r="BA271" i="19"/>
  <c r="BE271" i="19" s="1"/>
  <c r="BF271" i="19" s="1"/>
  <c r="BD363" i="19"/>
  <c r="BC363" i="19"/>
  <c r="BA363" i="19"/>
  <c r="BE363" i="19" s="1"/>
  <c r="BF363" i="19" s="1"/>
  <c r="BD238" i="19"/>
  <c r="BC238" i="19"/>
  <c r="BA238" i="19"/>
  <c r="BE238" i="19" s="1"/>
  <c r="BF238" i="19" s="1"/>
  <c r="BD797" i="19"/>
  <c r="BC797" i="19"/>
  <c r="BA797" i="19"/>
  <c r="BE797" i="19" s="1"/>
  <c r="BF797" i="19" s="1"/>
  <c r="BD812" i="19"/>
  <c r="BC812" i="19"/>
  <c r="BA812" i="19"/>
  <c r="BE812" i="19" s="1"/>
  <c r="BF812" i="19" s="1"/>
  <c r="BD130" i="19"/>
  <c r="BC130" i="19"/>
  <c r="BA130" i="19"/>
  <c r="BE130" i="19" s="1"/>
  <c r="BF130" i="19" s="1"/>
  <c r="BD816" i="19"/>
  <c r="BC816" i="19"/>
  <c r="BA816" i="19"/>
  <c r="BE816" i="19" s="1"/>
  <c r="BF816" i="19" s="1"/>
  <c r="BD845" i="19"/>
  <c r="BC845" i="19"/>
  <c r="BA845" i="19"/>
  <c r="BE845" i="19" s="1"/>
  <c r="BF845" i="19" s="1"/>
  <c r="BD524" i="19"/>
  <c r="BC524" i="19"/>
  <c r="BA524" i="19"/>
  <c r="BE524" i="19" s="1"/>
  <c r="BF524" i="19" s="1"/>
  <c r="BD894" i="19"/>
  <c r="BC894" i="19"/>
  <c r="BA894" i="19"/>
  <c r="BE894" i="19" s="1"/>
  <c r="BF894" i="19" s="1"/>
  <c r="BD248" i="19"/>
  <c r="BC248" i="19"/>
  <c r="BA248" i="19"/>
  <c r="BE248" i="19" s="1"/>
  <c r="BF248" i="19" s="1"/>
  <c r="BD903" i="19"/>
  <c r="BC903" i="19"/>
  <c r="BA903" i="19"/>
  <c r="BE903" i="19" s="1"/>
  <c r="BF903" i="19" s="1"/>
  <c r="BD306" i="19"/>
  <c r="BC306" i="19"/>
  <c r="BA306" i="19"/>
  <c r="BE306" i="19" s="1"/>
  <c r="BF306" i="19" s="1"/>
  <c r="BA227" i="19"/>
  <c r="BE227" i="19" s="1"/>
  <c r="BF227" i="19" s="1"/>
  <c r="BA289" i="19"/>
  <c r="BE289" i="19" s="1"/>
  <c r="BF289" i="19" s="1"/>
  <c r="BA854" i="19"/>
  <c r="BE854" i="19" s="1"/>
  <c r="BF854" i="19" s="1"/>
  <c r="BA916" i="19"/>
  <c r="BE916" i="19" s="1"/>
  <c r="BF916" i="19" s="1"/>
  <c r="BA333" i="19"/>
  <c r="BE333" i="19" s="1"/>
  <c r="BF333" i="19" s="1"/>
  <c r="BA319" i="19"/>
  <c r="BE319" i="19" s="1"/>
  <c r="BF319" i="19" s="1"/>
  <c r="BA389" i="19"/>
  <c r="BE389" i="19" s="1"/>
  <c r="BF389" i="19" s="1"/>
  <c r="BA462" i="19"/>
  <c r="BE462" i="19" s="1"/>
  <c r="BF462" i="19" s="1"/>
  <c r="BA450" i="19"/>
  <c r="BE450" i="19" s="1"/>
  <c r="BF450" i="19" s="1"/>
  <c r="BA277" i="19"/>
  <c r="BE277" i="19" s="1"/>
  <c r="BF277" i="19" s="1"/>
  <c r="BA849" i="19"/>
  <c r="BE849" i="19" s="1"/>
  <c r="BF849" i="19" s="1"/>
  <c r="BC23" i="19"/>
  <c r="BD23" i="19" s="1"/>
  <c r="BC20" i="19"/>
  <c r="BD20" i="19" s="1"/>
  <c r="BC27" i="19"/>
  <c r="BD27" i="19" s="1"/>
  <c r="BD558" i="19"/>
  <c r="BC558" i="19"/>
  <c r="BD554" i="19"/>
  <c r="BC554" i="19"/>
  <c r="BD548" i="19"/>
  <c r="BC548" i="19"/>
  <c r="BD542" i="19"/>
  <c r="BC542" i="19"/>
  <c r="BC45" i="19"/>
  <c r="BD45" i="19" s="1"/>
  <c r="BC113" i="19"/>
  <c r="BD113" i="19" s="1"/>
  <c r="BC15" i="19"/>
  <c r="BD15" i="19" s="1"/>
  <c r="BD159" i="19"/>
  <c r="BC159" i="19"/>
  <c r="BC14" i="19"/>
  <c r="BD14" i="19" s="1"/>
  <c r="BC18" i="19"/>
  <c r="BD18" i="19" s="1"/>
  <c r="BD371" i="19"/>
  <c r="BC371" i="19"/>
  <c r="BD433" i="19"/>
  <c r="BC433" i="19"/>
  <c r="BD723" i="19"/>
  <c r="BC723" i="19"/>
  <c r="BD717" i="19"/>
  <c r="BC717" i="19"/>
  <c r="BD931" i="19"/>
  <c r="BC931" i="19"/>
  <c r="BD712" i="19"/>
  <c r="BC712" i="19"/>
  <c r="BD709" i="19"/>
  <c r="BC709" i="19"/>
  <c r="BD410" i="19"/>
  <c r="BC410" i="19"/>
  <c r="BD416" i="19"/>
  <c r="BC416" i="19"/>
  <c r="BD605" i="19"/>
  <c r="BC605" i="19"/>
  <c r="BD286" i="19"/>
  <c r="BC286" i="19"/>
  <c r="BD631" i="19"/>
  <c r="BC631" i="19"/>
  <c r="BD818" i="19"/>
  <c r="BC818" i="19"/>
  <c r="BD467" i="19"/>
  <c r="BC467" i="19"/>
  <c r="BD127" i="19"/>
  <c r="BC127" i="19"/>
  <c r="BC53" i="19"/>
  <c r="BD53" i="19" s="1"/>
  <c r="BD679" i="19"/>
  <c r="BC679" i="19"/>
  <c r="BD846" i="19"/>
  <c r="BC846" i="19"/>
  <c r="BD708" i="19"/>
  <c r="BC708" i="19"/>
  <c r="BC40" i="19"/>
  <c r="BD40" i="19" s="1"/>
  <c r="BC38" i="19"/>
  <c r="BD38" i="19" s="1"/>
  <c r="BD272" i="19"/>
  <c r="BC272" i="19"/>
  <c r="BD397" i="19"/>
  <c r="BC397" i="19"/>
  <c r="BD640" i="19"/>
  <c r="BC640" i="19"/>
  <c r="BD695" i="19"/>
  <c r="BC695" i="19"/>
  <c r="BD239" i="19"/>
  <c r="BC239" i="19"/>
  <c r="BD240" i="19"/>
  <c r="BC240" i="19"/>
  <c r="BD472" i="19"/>
  <c r="BC472" i="19"/>
  <c r="BD809" i="19"/>
  <c r="BC809" i="19"/>
  <c r="BD219" i="19"/>
  <c r="BC219" i="19"/>
  <c r="BD603" i="19"/>
  <c r="BC603" i="19"/>
  <c r="BD736" i="19"/>
  <c r="BC736" i="19"/>
  <c r="BD498" i="19"/>
  <c r="BC498" i="19"/>
  <c r="BD624" i="19"/>
  <c r="BC624" i="19"/>
  <c r="BD446" i="19"/>
  <c r="BC446" i="19"/>
  <c r="BD904" i="19"/>
  <c r="BC904" i="19"/>
  <c r="BD307" i="19"/>
  <c r="BC307" i="19"/>
  <c r="BD406" i="19"/>
  <c r="BC406" i="19"/>
  <c r="BD856" i="19"/>
  <c r="BC856" i="19"/>
  <c r="BD752" i="19"/>
  <c r="BC752" i="19"/>
  <c r="BD379" i="19"/>
  <c r="BC379" i="19"/>
  <c r="BD228" i="19"/>
  <c r="BC228" i="19"/>
  <c r="BD403" i="19"/>
  <c r="BC403" i="19"/>
  <c r="BD225" i="19"/>
  <c r="BC225" i="19"/>
  <c r="BD762" i="19"/>
  <c r="BC762" i="19"/>
  <c r="BD584" i="19"/>
  <c r="BC584" i="19"/>
  <c r="BD439" i="19"/>
  <c r="BC439" i="19"/>
  <c r="BD290" i="19"/>
  <c r="BC290" i="19"/>
  <c r="BD704" i="19"/>
  <c r="BC704" i="19"/>
  <c r="BD345" i="19"/>
  <c r="BC345" i="19"/>
  <c r="BD357" i="19"/>
  <c r="BC357" i="19"/>
  <c r="BD800" i="19"/>
  <c r="BC800" i="19"/>
  <c r="BD805" i="19"/>
  <c r="BC805" i="19"/>
  <c r="BD747" i="19"/>
  <c r="BC747" i="19"/>
  <c r="BD589" i="19"/>
  <c r="BC589" i="19"/>
  <c r="BD862" i="19"/>
  <c r="BC862" i="19"/>
  <c r="BD351" i="19"/>
  <c r="BC351" i="19"/>
  <c r="BD205" i="19"/>
  <c r="BC205" i="19"/>
  <c r="BD530" i="19"/>
  <c r="BC530" i="19"/>
  <c r="BD347" i="19"/>
  <c r="BC347" i="19"/>
  <c r="BD773" i="19"/>
  <c r="BC773" i="19"/>
  <c r="BC118" i="19"/>
  <c r="BD118" i="19" s="1"/>
  <c r="BC102" i="19"/>
  <c r="BD102" i="19" s="1"/>
  <c r="BD270" i="19"/>
  <c r="BC270" i="19"/>
  <c r="BD813" i="19"/>
  <c r="BC813" i="19"/>
  <c r="BD482" i="19"/>
  <c r="BC482" i="19"/>
  <c r="BD332" i="19"/>
  <c r="BC332" i="19"/>
  <c r="BC105" i="19"/>
  <c r="BD105" i="19" s="1"/>
  <c r="BD142" i="19"/>
  <c r="BC142" i="19"/>
  <c r="BD908" i="19"/>
  <c r="BC908" i="19"/>
  <c r="BD409" i="19"/>
  <c r="BC409" i="19"/>
  <c r="BD320" i="19"/>
  <c r="BC320" i="19"/>
  <c r="BD871" i="19"/>
  <c r="BC871" i="19"/>
  <c r="BD163" i="19"/>
  <c r="BC163" i="19"/>
  <c r="BD686" i="19"/>
  <c r="BC686" i="19"/>
  <c r="BD855" i="19"/>
  <c r="BC855" i="19"/>
  <c r="BD884" i="19"/>
  <c r="BC884" i="19"/>
  <c r="BD281" i="19"/>
  <c r="BC281" i="19"/>
  <c r="BD189" i="19"/>
  <c r="BC189" i="19"/>
  <c r="BD354" i="19"/>
  <c r="BC354" i="19"/>
  <c r="BD284" i="19"/>
  <c r="BC284" i="19"/>
  <c r="BD268" i="19"/>
  <c r="BC268" i="19"/>
  <c r="BD195" i="19"/>
  <c r="BC195" i="19"/>
  <c r="BD912" i="19"/>
  <c r="BC912" i="19"/>
  <c r="BD795" i="19"/>
  <c r="BC795" i="19"/>
  <c r="BD460" i="19"/>
  <c r="BC460" i="19"/>
  <c r="BD304" i="19"/>
  <c r="BC304" i="19"/>
  <c r="BD490" i="19"/>
  <c r="BC490" i="19"/>
  <c r="BD458" i="19"/>
  <c r="BC458" i="19"/>
  <c r="BD451" i="19"/>
  <c r="BC451" i="19"/>
  <c r="BD508" i="19"/>
  <c r="BC508" i="19"/>
  <c r="BD278" i="19"/>
  <c r="BC278" i="19"/>
  <c r="BC204" i="19"/>
  <c r="BD204" i="19"/>
  <c r="BC626" i="19"/>
  <c r="BD626" i="19"/>
  <c r="BC586" i="19"/>
  <c r="BD586" i="19"/>
  <c r="BD449" i="19"/>
  <c r="BC449" i="19"/>
  <c r="BC875" i="19"/>
  <c r="BD875" i="19"/>
  <c r="BC733" i="19"/>
  <c r="BD733" i="19"/>
  <c r="BC793" i="19"/>
  <c r="BD793" i="19"/>
  <c r="BC200" i="19"/>
  <c r="BD200" i="19"/>
  <c r="BC77" i="19"/>
  <c r="BD77" i="19" s="1"/>
  <c r="BD850" i="19"/>
  <c r="BC850" i="19"/>
  <c r="BC755" i="19"/>
  <c r="BD755" i="19"/>
  <c r="BC65" i="19"/>
  <c r="BD65" i="19" s="1"/>
  <c r="BC186" i="19"/>
  <c r="BD186" i="19"/>
  <c r="BC787" i="19"/>
  <c r="BD787" i="19"/>
  <c r="BC261" i="19"/>
  <c r="BD261" i="19"/>
  <c r="BD210" i="19"/>
  <c r="BC210" i="19"/>
  <c r="BC836" i="19"/>
  <c r="BD836" i="19"/>
  <c r="BC893" i="19"/>
  <c r="BD893" i="19"/>
  <c r="BC52" i="19"/>
  <c r="BD52" i="19" s="1"/>
  <c r="BC824" i="19"/>
  <c r="BD824" i="19"/>
  <c r="BC843" i="19"/>
  <c r="BD843" i="19"/>
  <c r="BD892" i="19"/>
  <c r="BC892" i="19"/>
  <c r="BD568" i="19"/>
  <c r="BC568" i="19"/>
  <c r="BC564" i="19"/>
  <c r="BD564" i="19"/>
  <c r="BC830" i="19"/>
  <c r="BD830" i="19"/>
  <c r="BC478" i="19"/>
  <c r="BD478" i="19"/>
  <c r="BC76" i="19"/>
  <c r="BD76" i="19" s="1"/>
  <c r="BD4" i="19"/>
  <c r="BC4" i="19"/>
  <c r="BD393" i="19"/>
  <c r="BC393" i="19"/>
  <c r="BC531" i="19"/>
  <c r="BD531" i="19"/>
  <c r="BC168" i="19"/>
  <c r="BD168" i="19"/>
  <c r="BC221" i="19"/>
  <c r="BD221" i="19"/>
  <c r="BC315" i="19"/>
  <c r="BD315" i="19"/>
  <c r="BD233" i="19"/>
  <c r="BC233" i="19"/>
  <c r="BC6" i="19"/>
  <c r="BD6" i="19" s="1"/>
  <c r="BC338" i="19"/>
  <c r="BD338" i="19"/>
  <c r="BC407" i="19"/>
  <c r="BD407" i="19"/>
  <c r="BC182" i="19"/>
  <c r="BD182" i="19"/>
  <c r="BC696" i="19"/>
  <c r="BD696" i="19"/>
  <c r="BC101" i="19"/>
  <c r="BD101" i="19" s="1"/>
  <c r="BD476" i="19"/>
  <c r="BC476" i="19"/>
  <c r="BC430" i="19"/>
  <c r="BD430" i="19"/>
  <c r="BC311" i="19"/>
  <c r="BD311" i="19"/>
  <c r="BD232" i="19"/>
  <c r="BC232" i="19"/>
  <c r="BC596" i="19"/>
  <c r="BD596" i="19"/>
  <c r="BD469" i="19"/>
  <c r="BC469" i="19"/>
  <c r="BD910" i="19"/>
  <c r="BC910" i="19"/>
  <c r="BC47" i="19"/>
  <c r="BD47" i="19" s="1"/>
  <c r="BD423" i="19"/>
  <c r="BC423" i="19"/>
  <c r="BD667" i="19"/>
  <c r="BC667" i="19"/>
  <c r="BD429" i="19"/>
  <c r="BC429" i="19"/>
  <c r="BD581" i="19"/>
  <c r="BC581" i="19"/>
  <c r="BA548" i="19"/>
  <c r="BE548" i="19" s="1"/>
  <c r="BF548" i="19" s="1"/>
  <c r="BA14" i="19"/>
  <c r="BE14" i="19" s="1"/>
  <c r="BF14" i="19" s="1"/>
  <c r="BA931" i="19"/>
  <c r="BE931" i="19" s="1"/>
  <c r="BF931" i="19" s="1"/>
  <c r="BA286" i="19"/>
  <c r="BE286" i="19" s="1"/>
  <c r="BF286" i="19" s="1"/>
  <c r="BA679" i="19"/>
  <c r="BE679" i="19" s="1"/>
  <c r="BF679" i="19" s="1"/>
  <c r="BA397" i="19"/>
  <c r="BE397" i="19" s="1"/>
  <c r="BF397" i="19" s="1"/>
  <c r="BA809" i="19"/>
  <c r="BE809" i="19" s="1"/>
  <c r="BF809" i="19" s="1"/>
  <c r="BA446" i="19"/>
  <c r="BE446" i="19" s="1"/>
  <c r="BF446" i="19" s="1"/>
  <c r="BA379" i="19"/>
  <c r="BE379" i="19" s="1"/>
  <c r="BF379" i="19" s="1"/>
  <c r="BA439" i="19"/>
  <c r="BE439" i="19" s="1"/>
  <c r="BF439" i="19" s="1"/>
  <c r="BA805" i="19"/>
  <c r="BE805" i="19" s="1"/>
  <c r="BF805" i="19" s="1"/>
  <c r="BA530" i="19"/>
  <c r="BE530" i="19" s="1"/>
  <c r="BF530" i="19" s="1"/>
  <c r="BA813" i="19"/>
  <c r="BE813" i="19" s="1"/>
  <c r="BF813" i="19" s="1"/>
  <c r="BA409" i="19"/>
  <c r="BE409" i="19" s="1"/>
  <c r="BF409" i="19" s="1"/>
  <c r="BA884" i="19"/>
  <c r="BE884" i="19" s="1"/>
  <c r="BF884" i="19" s="1"/>
  <c r="BA195" i="19"/>
  <c r="BE195" i="19" s="1"/>
  <c r="BF195" i="19" s="1"/>
  <c r="BA458" i="19"/>
  <c r="BE458" i="19" s="1"/>
  <c r="BF458" i="19" s="1"/>
  <c r="BA586" i="19"/>
  <c r="BE586" i="19" s="1"/>
  <c r="BF586" i="19" s="1"/>
  <c r="BA77" i="19"/>
  <c r="BE77" i="19" s="1"/>
  <c r="BF77" i="19" s="1"/>
  <c r="BA186" i="19"/>
  <c r="BE186" i="19" s="1"/>
  <c r="BF186" i="19" s="1"/>
  <c r="BA210" i="19"/>
  <c r="BE210" i="19" s="1"/>
  <c r="BF210" i="19" s="1"/>
  <c r="BA52" i="19"/>
  <c r="BE52" i="19" s="1"/>
  <c r="BF52" i="19" s="1"/>
  <c r="BA892" i="19"/>
  <c r="BE892" i="19" s="1"/>
  <c r="BF892" i="19" s="1"/>
  <c r="BA830" i="19"/>
  <c r="BE830" i="19" s="1"/>
  <c r="BF830" i="19" s="1"/>
  <c r="BA4" i="19"/>
  <c r="BE4" i="19" s="1"/>
  <c r="BF4" i="19" s="1"/>
  <c r="BA168" i="19"/>
  <c r="BE168" i="19" s="1"/>
  <c r="BF168" i="19" s="1"/>
  <c r="BA233" i="19"/>
  <c r="BE233" i="19" s="1"/>
  <c r="BF233" i="19" s="1"/>
  <c r="BA407" i="19"/>
  <c r="BE407" i="19" s="1"/>
  <c r="BF407" i="19" s="1"/>
  <c r="BD432" i="19"/>
  <c r="BC432" i="19"/>
  <c r="BD392" i="19"/>
  <c r="BC392" i="19"/>
  <c r="BD301" i="19"/>
  <c r="BC301" i="19"/>
  <c r="BD769" i="19"/>
  <c r="BC769" i="19"/>
  <c r="BD227" i="19"/>
  <c r="BC227" i="19"/>
  <c r="BD750" i="19"/>
  <c r="BC750" i="19"/>
  <c r="BD767" i="19"/>
  <c r="BC767" i="19"/>
  <c r="BD132" i="19"/>
  <c r="BC132" i="19"/>
  <c r="BD774" i="19"/>
  <c r="BC774" i="19"/>
  <c r="BD693" i="19"/>
  <c r="BC693" i="19"/>
  <c r="BD289" i="19"/>
  <c r="BC289" i="19"/>
  <c r="BD688" i="19"/>
  <c r="BC688" i="19"/>
  <c r="BD344" i="19"/>
  <c r="BC344" i="19"/>
  <c r="BD153" i="19"/>
  <c r="BC153" i="19"/>
  <c r="BD799" i="19"/>
  <c r="BC799" i="19"/>
  <c r="BD804" i="19"/>
  <c r="BC804" i="19"/>
  <c r="BD854" i="19"/>
  <c r="BC854" i="19"/>
  <c r="BD744" i="19"/>
  <c r="BC744" i="19"/>
  <c r="BD861" i="19"/>
  <c r="BC861" i="19"/>
  <c r="BD491" i="19"/>
  <c r="BC491" i="19"/>
  <c r="BD878" i="19"/>
  <c r="BC878" i="19"/>
  <c r="BD783" i="19"/>
  <c r="BC783" i="19"/>
  <c r="BD916" i="19"/>
  <c r="BC916" i="19"/>
  <c r="BD617" i="19"/>
  <c r="BC617" i="19"/>
  <c r="BC64" i="19"/>
  <c r="BD64" i="19" s="1"/>
  <c r="BC86" i="19"/>
  <c r="BD86" i="19" s="1"/>
  <c r="BD269" i="19"/>
  <c r="BC269" i="19"/>
  <c r="BD879" i="19"/>
  <c r="BC879" i="19"/>
  <c r="BD333" i="19"/>
  <c r="BC333" i="19"/>
  <c r="BD331" i="19"/>
  <c r="BC331" i="19"/>
  <c r="BD329" i="19"/>
  <c r="BC329" i="19"/>
  <c r="BD299" i="19"/>
  <c r="BC299" i="19"/>
  <c r="BD662" i="19"/>
  <c r="BC662" i="19"/>
  <c r="BC125" i="19"/>
  <c r="BD125" i="19" s="1"/>
  <c r="BD319" i="19"/>
  <c r="BC319" i="19"/>
  <c r="BD877" i="19"/>
  <c r="BC877" i="19"/>
  <c r="BD613" i="19"/>
  <c r="BC613" i="19"/>
  <c r="BC59" i="19"/>
  <c r="BD59" i="19" s="1"/>
  <c r="BD249" i="19"/>
  <c r="BC249" i="19"/>
  <c r="BD216" i="19"/>
  <c r="BC216" i="19"/>
  <c r="BD389" i="19"/>
  <c r="BC389" i="19"/>
  <c r="BD171" i="19"/>
  <c r="BC171" i="19"/>
  <c r="BD602" i="19"/>
  <c r="BC602" i="19"/>
  <c r="BD777" i="19"/>
  <c r="BC777" i="19"/>
  <c r="BD298" i="19"/>
  <c r="BC298" i="19"/>
  <c r="BD921" i="19"/>
  <c r="BC921" i="19"/>
  <c r="BD462" i="19"/>
  <c r="BC462" i="19"/>
  <c r="BD898" i="19"/>
  <c r="BC898" i="19"/>
  <c r="BD459" i="19"/>
  <c r="BC459" i="19"/>
  <c r="BD140" i="19"/>
  <c r="BC140" i="19"/>
  <c r="BD405" i="19"/>
  <c r="BC405" i="19"/>
  <c r="BD896" i="19"/>
  <c r="BC896" i="19"/>
  <c r="BD450" i="19"/>
  <c r="BC450" i="19"/>
  <c r="BD483" i="19"/>
  <c r="BC483" i="19"/>
  <c r="BD882" i="19"/>
  <c r="BC882" i="19"/>
  <c r="BD434" i="19"/>
  <c r="BC434" i="19"/>
  <c r="BD757" i="19"/>
  <c r="BC757" i="19"/>
  <c r="BD187" i="19"/>
  <c r="BC187" i="19"/>
  <c r="BD277" i="19"/>
  <c r="BC277" i="19"/>
  <c r="BD276" i="19"/>
  <c r="BC276" i="19"/>
  <c r="BD154" i="19"/>
  <c r="BC154" i="19"/>
  <c r="BC56" i="19"/>
  <c r="BD56" i="19" s="1"/>
  <c r="BD746" i="19"/>
  <c r="BC746" i="19"/>
  <c r="BC39" i="19"/>
  <c r="BD39" i="19" s="1"/>
  <c r="BD849" i="19"/>
  <c r="BC849" i="19"/>
  <c r="BD770" i="19"/>
  <c r="BC770" i="19"/>
  <c r="BA770" i="19"/>
  <c r="BE770" i="19" s="1"/>
  <c r="BF770" i="19" s="1"/>
  <c r="BC87" i="19"/>
  <c r="BD87" i="19" s="1"/>
  <c r="BA87" i="19"/>
  <c r="BE87" i="19" s="1"/>
  <c r="BF87" i="19" s="1"/>
  <c r="BD380" i="19"/>
  <c r="BA380" i="19"/>
  <c r="BE380" i="19" s="1"/>
  <c r="BF380" i="19" s="1"/>
  <c r="BC380" i="19"/>
  <c r="BD786" i="19"/>
  <c r="BC786" i="19"/>
  <c r="BA786" i="19"/>
  <c r="BE786" i="19" s="1"/>
  <c r="BF786" i="19" s="1"/>
  <c r="BD260" i="19"/>
  <c r="BC260" i="19"/>
  <c r="BA260" i="19"/>
  <c r="BE260" i="19" s="1"/>
  <c r="BF260" i="19" s="1"/>
  <c r="BD633" i="19"/>
  <c r="BA633" i="19"/>
  <c r="BE633" i="19" s="1"/>
  <c r="BF633" i="19" s="1"/>
  <c r="BC633" i="19"/>
  <c r="BD895" i="19"/>
  <c r="BC895" i="19"/>
  <c r="BA895" i="19"/>
  <c r="BE895" i="19" s="1"/>
  <c r="BF895" i="19" s="1"/>
  <c r="BD470" i="19"/>
  <c r="BC470" i="19"/>
  <c r="BA470" i="19"/>
  <c r="BE470" i="19" s="1"/>
  <c r="BF470" i="19" s="1"/>
  <c r="BA70" i="19"/>
  <c r="BE70" i="19" s="1"/>
  <c r="BF70" i="19" s="1"/>
  <c r="BC70" i="19"/>
  <c r="BD70" i="19" s="1"/>
  <c r="BD697" i="19"/>
  <c r="BA697" i="19"/>
  <c r="BE697" i="19" s="1"/>
  <c r="BF697" i="19" s="1"/>
  <c r="BC697" i="19"/>
  <c r="BD842" i="19"/>
  <c r="BC842" i="19"/>
  <c r="BA842" i="19"/>
  <c r="BE842" i="19" s="1"/>
  <c r="BF842" i="19" s="1"/>
  <c r="BA110" i="19"/>
  <c r="BE110" i="19" s="1"/>
  <c r="BF110" i="19" s="1"/>
  <c r="BC110" i="19"/>
  <c r="BD110" i="19" s="1"/>
  <c r="BD567" i="19"/>
  <c r="BA567" i="19"/>
  <c r="BE567" i="19" s="1"/>
  <c r="BF567" i="19" s="1"/>
  <c r="BC567" i="19"/>
  <c r="BD215" i="19"/>
  <c r="BC215" i="19"/>
  <c r="BA215" i="19"/>
  <c r="BE215" i="19" s="1"/>
  <c r="BF215" i="19" s="1"/>
  <c r="BD866" i="19"/>
  <c r="BC866" i="19"/>
  <c r="BA866" i="19"/>
  <c r="BE866" i="19" s="1"/>
  <c r="BF866" i="19" s="1"/>
  <c r="BD622" i="19"/>
  <c r="BA622" i="19"/>
  <c r="BE622" i="19" s="1"/>
  <c r="BF622" i="19" s="1"/>
  <c r="BC622" i="19"/>
  <c r="BC75" i="19"/>
  <c r="BD75" i="19" s="1"/>
  <c r="BA75" i="19"/>
  <c r="BE75" i="19" s="1"/>
  <c r="BF75" i="19" s="1"/>
  <c r="BD184" i="19"/>
  <c r="BC184" i="19"/>
  <c r="BA184" i="19"/>
  <c r="BE184" i="19" s="1"/>
  <c r="BF184" i="19" s="1"/>
  <c r="BA107" i="19"/>
  <c r="BE107" i="19" s="1"/>
  <c r="BF107" i="19" s="1"/>
  <c r="BC107" i="19"/>
  <c r="BD107" i="19" s="1"/>
  <c r="BD242" i="19"/>
  <c r="BC242" i="19"/>
  <c r="BA242" i="19"/>
  <c r="BE242" i="19" s="1"/>
  <c r="BF242" i="19" s="1"/>
  <c r="BD764" i="19"/>
  <c r="BC764" i="19"/>
  <c r="BA764" i="19"/>
  <c r="BE764" i="19" s="1"/>
  <c r="BF764" i="19" s="1"/>
  <c r="BA83" i="19"/>
  <c r="BE83" i="19" s="1"/>
  <c r="BF83" i="19" s="1"/>
  <c r="BC83" i="19"/>
  <c r="BD83" i="19" s="1"/>
  <c r="BD611" i="19"/>
  <c r="BA611" i="19"/>
  <c r="BE611" i="19" s="1"/>
  <c r="BF611" i="19" s="1"/>
  <c r="BC611" i="19"/>
  <c r="BD440" i="19"/>
  <c r="BC440" i="19"/>
  <c r="BA440" i="19"/>
  <c r="BE440" i="19" s="1"/>
  <c r="BF440" i="19" s="1"/>
  <c r="BD147" i="19"/>
  <c r="BA147" i="19"/>
  <c r="BE147" i="19" s="1"/>
  <c r="BF147" i="19" s="1"/>
  <c r="BC147" i="19"/>
  <c r="BD436" i="19"/>
  <c r="BC436" i="19"/>
  <c r="BA436" i="19"/>
  <c r="BE436" i="19" s="1"/>
  <c r="BF436" i="19" s="1"/>
  <c r="BD506" i="19"/>
  <c r="BA506" i="19"/>
  <c r="BE506" i="19" s="1"/>
  <c r="BF506" i="19" s="1"/>
  <c r="BC506" i="19"/>
  <c r="BD181" i="19"/>
  <c r="BC181" i="19"/>
  <c r="BA181" i="19"/>
  <c r="BE181" i="19" s="1"/>
  <c r="BF181" i="19" s="1"/>
  <c r="BD308" i="19"/>
  <c r="BC308" i="19"/>
  <c r="BA308" i="19"/>
  <c r="BE308" i="19" s="1"/>
  <c r="BF308" i="19" s="1"/>
  <c r="BD312" i="19"/>
  <c r="BC312" i="19"/>
  <c r="BA312" i="19"/>
  <c r="BE312" i="19" s="1"/>
  <c r="BF312" i="19" s="1"/>
  <c r="BD791" i="19"/>
  <c r="BC791" i="19"/>
  <c r="BA791" i="19"/>
  <c r="BE791" i="19" s="1"/>
  <c r="BF791" i="19" s="1"/>
  <c r="BC55" i="19"/>
  <c r="BD55" i="19" s="1"/>
  <c r="BA55" i="19"/>
  <c r="BE55" i="19" s="1"/>
  <c r="BF55" i="19" s="1"/>
  <c r="BD310" i="19"/>
  <c r="BC310" i="19"/>
  <c r="BA310" i="19"/>
  <c r="BE310" i="19" s="1"/>
  <c r="BF310" i="19" s="1"/>
  <c r="BD178" i="19"/>
  <c r="BA178" i="19"/>
  <c r="BE178" i="19" s="1"/>
  <c r="BF178" i="19" s="1"/>
  <c r="BC178" i="19"/>
  <c r="BD174" i="19"/>
  <c r="BC174" i="19"/>
  <c r="BA174" i="19"/>
  <c r="BE174" i="19" s="1"/>
  <c r="BF174" i="19" s="1"/>
  <c r="BD494" i="19"/>
  <c r="BA494" i="19"/>
  <c r="BE494" i="19" s="1"/>
  <c r="BF494" i="19" s="1"/>
  <c r="BC494" i="19"/>
  <c r="BD209" i="19"/>
  <c r="BC209" i="19"/>
  <c r="BA209" i="19"/>
  <c r="BE209" i="19" s="1"/>
  <c r="BF209" i="19" s="1"/>
  <c r="BC51" i="19"/>
  <c r="BD51" i="19" s="1"/>
  <c r="BA51" i="19"/>
  <c r="BE51" i="19" s="1"/>
  <c r="BF51" i="19" s="1"/>
  <c r="BD422" i="19"/>
  <c r="BA422" i="19"/>
  <c r="BE422" i="19" s="1"/>
  <c r="BF422" i="19" s="1"/>
  <c r="BC422" i="19"/>
  <c r="BD152" i="19"/>
  <c r="BC152" i="19"/>
  <c r="BA152" i="19"/>
  <c r="BE152" i="19" s="1"/>
  <c r="BF152" i="19" s="1"/>
  <c r="BC9" i="19"/>
  <c r="BD9" i="19" s="1"/>
  <c r="BA9" i="19"/>
  <c r="BE9" i="19" s="1"/>
  <c r="BF9" i="19" s="1"/>
  <c r="BD939" i="19"/>
  <c r="BC939" i="19"/>
  <c r="BA939" i="19"/>
  <c r="BE939" i="19" s="1"/>
  <c r="BF939" i="19" s="1"/>
  <c r="BA554" i="19"/>
  <c r="BE554" i="19" s="1"/>
  <c r="BF554" i="19" s="1"/>
  <c r="BA159" i="19"/>
  <c r="BE159" i="19" s="1"/>
  <c r="BF159" i="19" s="1"/>
  <c r="BA717" i="19"/>
  <c r="BE717" i="19" s="1"/>
  <c r="BF717" i="19" s="1"/>
  <c r="BA605" i="19"/>
  <c r="BE605" i="19" s="1"/>
  <c r="BF605" i="19" s="1"/>
  <c r="BA53" i="19"/>
  <c r="BE53" i="19" s="1"/>
  <c r="BF53" i="19" s="1"/>
  <c r="BA272" i="19"/>
  <c r="BE272" i="19" s="1"/>
  <c r="BF272" i="19" s="1"/>
  <c r="BA472" i="19"/>
  <c r="BE472" i="19" s="1"/>
  <c r="BF472" i="19" s="1"/>
  <c r="BA624" i="19"/>
  <c r="BE624" i="19" s="1"/>
  <c r="BF624" i="19" s="1"/>
  <c r="BA752" i="19"/>
  <c r="BE752" i="19" s="1"/>
  <c r="BF752" i="19" s="1"/>
  <c r="BA769" i="19"/>
  <c r="BE769" i="19" s="1"/>
  <c r="BF769" i="19" s="1"/>
  <c r="BA584" i="19"/>
  <c r="BE584" i="19" s="1"/>
  <c r="BF584" i="19" s="1"/>
  <c r="BA693" i="19"/>
  <c r="BE693" i="19" s="1"/>
  <c r="BF693" i="19" s="1"/>
  <c r="BA800" i="19"/>
  <c r="BE800" i="19" s="1"/>
  <c r="BF800" i="19" s="1"/>
  <c r="BA804" i="19"/>
  <c r="BE804" i="19" s="1"/>
  <c r="BF804" i="19" s="1"/>
  <c r="BA205" i="19"/>
  <c r="BE205" i="19" s="1"/>
  <c r="BF205" i="19" s="1"/>
  <c r="BA783" i="19"/>
  <c r="BE783" i="19" s="1"/>
  <c r="BF783" i="19" s="1"/>
  <c r="BA270" i="19"/>
  <c r="BE270" i="19" s="1"/>
  <c r="BF270" i="19" s="1"/>
  <c r="BA879" i="19"/>
  <c r="BE879" i="19" s="1"/>
  <c r="BF879" i="19" s="1"/>
  <c r="BA908" i="19"/>
  <c r="BE908" i="19" s="1"/>
  <c r="BF908" i="19" s="1"/>
  <c r="BA125" i="19"/>
  <c r="BE125" i="19" s="1"/>
  <c r="BF125" i="19" s="1"/>
  <c r="BA855" i="19"/>
  <c r="BE855" i="19" s="1"/>
  <c r="BF855" i="19" s="1"/>
  <c r="BA216" i="19"/>
  <c r="BE216" i="19" s="1"/>
  <c r="BF216" i="19" s="1"/>
  <c r="BA268" i="19"/>
  <c r="BE268" i="19" s="1"/>
  <c r="BF268" i="19" s="1"/>
  <c r="BA921" i="19"/>
  <c r="BE921" i="19" s="1"/>
  <c r="BF921" i="19" s="1"/>
  <c r="BA490" i="19"/>
  <c r="BE490" i="19" s="1"/>
  <c r="BF490" i="19" s="1"/>
  <c r="BA896" i="19"/>
  <c r="BE896" i="19" s="1"/>
  <c r="BF896" i="19" s="1"/>
  <c r="BA187" i="19"/>
  <c r="BE187" i="19" s="1"/>
  <c r="BF187" i="19" s="1"/>
  <c r="BA39" i="19"/>
  <c r="BE39" i="19" s="1"/>
  <c r="BF39" i="19" s="1"/>
  <c r="BD408" i="19"/>
  <c r="BC408" i="19"/>
  <c r="BD560" i="19"/>
  <c r="BC560" i="19"/>
  <c r="BD391" i="19"/>
  <c r="BC391" i="19"/>
  <c r="BD346" i="19"/>
  <c r="BC346" i="19"/>
  <c r="BD748" i="19"/>
  <c r="BC748" i="19"/>
  <c r="BD444" i="19"/>
  <c r="BC444" i="19"/>
  <c r="BD236" i="19"/>
  <c r="BC236" i="19"/>
  <c r="BD766" i="19"/>
  <c r="BC766" i="19"/>
  <c r="BD158" i="19"/>
  <c r="BC158" i="19"/>
  <c r="BC906" i="19"/>
  <c r="BD906" i="19" s="1"/>
  <c r="BD438" i="19"/>
  <c r="BC438" i="19"/>
  <c r="BD288" i="19"/>
  <c r="BC288" i="19"/>
  <c r="BD630" i="19"/>
  <c r="BC630" i="19"/>
  <c r="BD692" i="19"/>
  <c r="BC692" i="19"/>
  <c r="BD808" i="19"/>
  <c r="BC808" i="19"/>
  <c r="BD798" i="19"/>
  <c r="BC798" i="19"/>
  <c r="BD803" i="19"/>
  <c r="BC803" i="19"/>
  <c r="BC907" i="19"/>
  <c r="BD907" i="19" s="1"/>
  <c r="BD513" i="19"/>
  <c r="BC513" i="19"/>
  <c r="BD860" i="19"/>
  <c r="BC860" i="19"/>
  <c r="BD207" i="19"/>
  <c r="BC207" i="19"/>
  <c r="BD523" i="19"/>
  <c r="BC523" i="19"/>
  <c r="BD782" i="19"/>
  <c r="BC782" i="19"/>
  <c r="BD582" i="19"/>
  <c r="BC582" i="19"/>
  <c r="BD190" i="19"/>
  <c r="BC190" i="19"/>
  <c r="BC63" i="19"/>
  <c r="BD63" i="19" s="1"/>
  <c r="BC62" i="19"/>
  <c r="BD62" i="19" s="1"/>
  <c r="BD145" i="19"/>
  <c r="BC145" i="19"/>
  <c r="BD700" i="19"/>
  <c r="BC700" i="19"/>
  <c r="BD512" i="19"/>
  <c r="BC512" i="19"/>
  <c r="BC106" i="19"/>
  <c r="BD106" i="19" s="1"/>
  <c r="BD328" i="19"/>
  <c r="BC328" i="19"/>
  <c r="BD197" i="19"/>
  <c r="BC197" i="19"/>
  <c r="BC93" i="19"/>
  <c r="BD93" i="19" s="1"/>
  <c r="BD390" i="19"/>
  <c r="BC390" i="19"/>
  <c r="BD851" i="19"/>
  <c r="BC851" i="19"/>
  <c r="BD485" i="19"/>
  <c r="BC485" i="19"/>
  <c r="BD395" i="19"/>
  <c r="BC395" i="19"/>
  <c r="BC33" i="19"/>
  <c r="BD33" i="19" s="1"/>
  <c r="BD280" i="19"/>
  <c r="BC280" i="19"/>
  <c r="BD559" i="19"/>
  <c r="BC559" i="19"/>
  <c r="BD285" i="19"/>
  <c r="BC285" i="19"/>
  <c r="BD634" i="19"/>
  <c r="BC634" i="19"/>
  <c r="BD367" i="19"/>
  <c r="BC367" i="19"/>
  <c r="BD734" i="19"/>
  <c r="BC734" i="19"/>
  <c r="BD658" i="19"/>
  <c r="BC658" i="19"/>
  <c r="BD920" i="19"/>
  <c r="BC920" i="19"/>
  <c r="BD796" i="19"/>
  <c r="BC796" i="19"/>
  <c r="BD454" i="19"/>
  <c r="BC454" i="19"/>
  <c r="BD453" i="19"/>
  <c r="BC453" i="19"/>
  <c r="BD780" i="19"/>
  <c r="BC780" i="19"/>
  <c r="BD876" i="19"/>
  <c r="BC876" i="19"/>
  <c r="BD529" i="19"/>
  <c r="BC529" i="19"/>
  <c r="BD404" i="19"/>
  <c r="BC404" i="19"/>
  <c r="BD161" i="19"/>
  <c r="BC161" i="19"/>
  <c r="BD670" i="19"/>
  <c r="BC670" i="19"/>
  <c r="BD623" i="19"/>
  <c r="BC623" i="19"/>
  <c r="BD756" i="19"/>
  <c r="BC756" i="19"/>
  <c r="BD322" i="19"/>
  <c r="BC322" i="19"/>
  <c r="BD919" i="19"/>
  <c r="BC919" i="19"/>
  <c r="BD415" i="19"/>
  <c r="BC415" i="19"/>
  <c r="BD794" i="19"/>
  <c r="BC794" i="19"/>
  <c r="BD384" i="19"/>
  <c r="BC384" i="19"/>
  <c r="BD745" i="19"/>
  <c r="BC745" i="19"/>
  <c r="BD572" i="19"/>
  <c r="BC572" i="19"/>
  <c r="BD848" i="19"/>
  <c r="BC848" i="19"/>
  <c r="BC104" i="19"/>
  <c r="BD104" i="19" s="1"/>
  <c r="BD669" i="19"/>
  <c r="BC669" i="19"/>
  <c r="BD185" i="19"/>
  <c r="BC185" i="19"/>
  <c r="BD316" i="19"/>
  <c r="BC316" i="19"/>
  <c r="BD259" i="19"/>
  <c r="BC259" i="19"/>
  <c r="BD377" i="19"/>
  <c r="BC377" i="19"/>
  <c r="BD609" i="19"/>
  <c r="BC609" i="19"/>
  <c r="BC116" i="19"/>
  <c r="BD116" i="19" s="1"/>
  <c r="BC88" i="19"/>
  <c r="BD88" i="19" s="1"/>
  <c r="BD656" i="19"/>
  <c r="BC656" i="19"/>
  <c r="BD841" i="19"/>
  <c r="BC841" i="19"/>
  <c r="BD303" i="19"/>
  <c r="BC303" i="19"/>
  <c r="BD566" i="19"/>
  <c r="BC566" i="19"/>
  <c r="BD834" i="19"/>
  <c r="BC834" i="19"/>
  <c r="BD224" i="19"/>
  <c r="BC224" i="19"/>
  <c r="BD256" i="19"/>
  <c r="BC256" i="19"/>
  <c r="BD533" i="19"/>
  <c r="BC533" i="19"/>
  <c r="BD183" i="19"/>
  <c r="BC183" i="19"/>
  <c r="BD488" i="19"/>
  <c r="BC488" i="19"/>
  <c r="BD625" i="19"/>
  <c r="BC625" i="19"/>
  <c r="BC112" i="19"/>
  <c r="BD112" i="19" s="1"/>
  <c r="BD763" i="19"/>
  <c r="BC763" i="19"/>
  <c r="BD191" i="19"/>
  <c r="BC191" i="19"/>
  <c r="BD528" i="19"/>
  <c r="BC528" i="19"/>
  <c r="BD698" i="19"/>
  <c r="BC698" i="19"/>
  <c r="BC108" i="19"/>
  <c r="BD108" i="19" s="1"/>
  <c r="BD505" i="19"/>
  <c r="BC505" i="19"/>
  <c r="BD199" i="19"/>
  <c r="BC199" i="19"/>
  <c r="BD620" i="19"/>
  <c r="BC620" i="19"/>
  <c r="BD193" i="19"/>
  <c r="BC193" i="19"/>
  <c r="BD475" i="19"/>
  <c r="BC475" i="19"/>
  <c r="BD474" i="19"/>
  <c r="BC474" i="19"/>
  <c r="BD938" i="19"/>
  <c r="BC938" i="19"/>
  <c r="BD177" i="19"/>
  <c r="BC177" i="19"/>
  <c r="BC100" i="19"/>
  <c r="BD100" i="19" s="1"/>
  <c r="BD573" i="19"/>
  <c r="BC573" i="19"/>
  <c r="BD484" i="19"/>
  <c r="BC484" i="19"/>
  <c r="BD264" i="19"/>
  <c r="BC264" i="19"/>
  <c r="BD419" i="19"/>
  <c r="BC419" i="19"/>
  <c r="BC96" i="19"/>
  <c r="BD96" i="19" s="1"/>
  <c r="BD418" i="19"/>
  <c r="BC418" i="19"/>
  <c r="BA558" i="19"/>
  <c r="BE558" i="19" s="1"/>
  <c r="BF558" i="19" s="1"/>
  <c r="BA15" i="19"/>
  <c r="BE15" i="19" s="1"/>
  <c r="BF15" i="19" s="1"/>
  <c r="BA723" i="19"/>
  <c r="BE723" i="19" s="1"/>
  <c r="BF723" i="19" s="1"/>
  <c r="BA416" i="19"/>
  <c r="BE416" i="19" s="1"/>
  <c r="BF416" i="19" s="1"/>
  <c r="BA127" i="19"/>
  <c r="BE127" i="19" s="1"/>
  <c r="BA38" i="19"/>
  <c r="BE38" i="19" s="1"/>
  <c r="BF38" i="19" s="1"/>
  <c r="BA240" i="19"/>
  <c r="BE240" i="19" s="1"/>
  <c r="BF240" i="19" s="1"/>
  <c r="BA498" i="19"/>
  <c r="BE498" i="19" s="1"/>
  <c r="BF498" i="19" s="1"/>
  <c r="BA856" i="19"/>
  <c r="BE856" i="19" s="1"/>
  <c r="BF856" i="19" s="1"/>
  <c r="BA301" i="19"/>
  <c r="BE301" i="19" s="1"/>
  <c r="BF301" i="19" s="1"/>
  <c r="BA748" i="19"/>
  <c r="BE748" i="19" s="1"/>
  <c r="BF748" i="19" s="1"/>
  <c r="BA762" i="19"/>
  <c r="BE762" i="19" s="1"/>
  <c r="BF762" i="19" s="1"/>
  <c r="BA774" i="19"/>
  <c r="BE774" i="19" s="1"/>
  <c r="BF774" i="19" s="1"/>
  <c r="BA438" i="19"/>
  <c r="BE438" i="19" s="1"/>
  <c r="BF438" i="19" s="1"/>
  <c r="BA357" i="19"/>
  <c r="BE357" i="19" s="1"/>
  <c r="BF357" i="19" s="1"/>
  <c r="BA799" i="19"/>
  <c r="BE799" i="19" s="1"/>
  <c r="BF799" i="19" s="1"/>
  <c r="BA803" i="19"/>
  <c r="BE803" i="19" s="1"/>
  <c r="BF803" i="19" s="1"/>
  <c r="BA351" i="19"/>
  <c r="BE351" i="19" s="1"/>
  <c r="BF351" i="19" s="1"/>
  <c r="BA878" i="19"/>
  <c r="BE878" i="19" s="1"/>
  <c r="BF878" i="19" s="1"/>
  <c r="BA782" i="19"/>
  <c r="BE782" i="19" s="1"/>
  <c r="BF782" i="19" s="1"/>
  <c r="BA102" i="19"/>
  <c r="BE102" i="19" s="1"/>
  <c r="BF102" i="19" s="1"/>
  <c r="BA269" i="19"/>
  <c r="BE269" i="19" s="1"/>
  <c r="BF269" i="19" s="1"/>
  <c r="BA700" i="19"/>
  <c r="BE700" i="19" s="1"/>
  <c r="BF700" i="19" s="1"/>
  <c r="BA142" i="19"/>
  <c r="BE142" i="19" s="1"/>
  <c r="BF142" i="19" s="1"/>
  <c r="BA662" i="19"/>
  <c r="BE662" i="19" s="1"/>
  <c r="BF662" i="19" s="1"/>
  <c r="BA390" i="19"/>
  <c r="BE390" i="19" s="1"/>
  <c r="BF390" i="19" s="1"/>
  <c r="BA686" i="19"/>
  <c r="BE686" i="19" s="1"/>
  <c r="BF686" i="19" s="1"/>
  <c r="BA249" i="19"/>
  <c r="BE249" i="19" s="1"/>
  <c r="BF249" i="19" s="1"/>
  <c r="BA559" i="19"/>
  <c r="BE559" i="19" s="1"/>
  <c r="BF559" i="19" s="1"/>
  <c r="BA284" i="19"/>
  <c r="BE284" i="19" s="1"/>
  <c r="BF284" i="19" s="1"/>
  <c r="BA298" i="19"/>
  <c r="BE298" i="19" s="1"/>
  <c r="BF298" i="19" s="1"/>
  <c r="BA920" i="19"/>
  <c r="BE920" i="19" s="1"/>
  <c r="BF920" i="19" s="1"/>
  <c r="BA405" i="19"/>
  <c r="BE405" i="19" s="1"/>
  <c r="BF405" i="19" s="1"/>
  <c r="BA529" i="19"/>
  <c r="BE529" i="19" s="1"/>
  <c r="BF529" i="19" s="1"/>
  <c r="BA757" i="19"/>
  <c r="BE757" i="19" s="1"/>
  <c r="BF757" i="19" s="1"/>
  <c r="BA322" i="19"/>
  <c r="BE322" i="19" s="1"/>
  <c r="BF322" i="19" s="1"/>
  <c r="BA746" i="19"/>
  <c r="BE746" i="19" s="1"/>
  <c r="BF746" i="19" s="1"/>
  <c r="BA572" i="19"/>
  <c r="BE572" i="19" s="1"/>
  <c r="BF572" i="19" s="1"/>
  <c r="BD401" i="19"/>
  <c r="BC401" i="19"/>
  <c r="BD753" i="19"/>
  <c r="BC753" i="19"/>
  <c r="BD212" i="19"/>
  <c r="BC212" i="19"/>
  <c r="BD922" i="19"/>
  <c r="BC922" i="19"/>
  <c r="BD326" i="19"/>
  <c r="BC326" i="19"/>
  <c r="BD489" i="19"/>
  <c r="BC489" i="19"/>
  <c r="BD768" i="19"/>
  <c r="BC768" i="19"/>
  <c r="BD443" i="19"/>
  <c r="BC443" i="19"/>
  <c r="BD313" i="19"/>
  <c r="BC313" i="19"/>
  <c r="BD735" i="19"/>
  <c r="BC735" i="19"/>
  <c r="BC123" i="19"/>
  <c r="BD123" i="19" s="1"/>
  <c r="BD749" i="19"/>
  <c r="BC749" i="19"/>
  <c r="BD368" i="19"/>
  <c r="BC368" i="19"/>
  <c r="BD707" i="19"/>
  <c r="BC707" i="19"/>
  <c r="BD157" i="19"/>
  <c r="BC157" i="19"/>
  <c r="BD691" i="19"/>
  <c r="BC691" i="19"/>
  <c r="BD703" i="19"/>
  <c r="BC703" i="19"/>
  <c r="BD731" i="19"/>
  <c r="BC731" i="19"/>
  <c r="BD870" i="19"/>
  <c r="BC870" i="19"/>
  <c r="BD245" i="19"/>
  <c r="BC245" i="19"/>
  <c r="BD334" i="19"/>
  <c r="BC334" i="19"/>
  <c r="BD619" i="19"/>
  <c r="BC619" i="19"/>
  <c r="BD521" i="19"/>
  <c r="BC521" i="19"/>
  <c r="BD915" i="19"/>
  <c r="BC915" i="19"/>
  <c r="BD781" i="19"/>
  <c r="BC781" i="19"/>
  <c r="BD150" i="19"/>
  <c r="BC150" i="19"/>
  <c r="BD743" i="19"/>
  <c r="BC743" i="19"/>
  <c r="BD263" i="19"/>
  <c r="BC263" i="19"/>
  <c r="BC50" i="19"/>
  <c r="BD50" i="19" s="1"/>
  <c r="BD685" i="19"/>
  <c r="BC685" i="19"/>
  <c r="BD194" i="19"/>
  <c r="BC194" i="19"/>
  <c r="BD511" i="19"/>
  <c r="BC511" i="19"/>
  <c r="BC94" i="19"/>
  <c r="BD94" i="19" s="1"/>
  <c r="BD327" i="19"/>
  <c r="BC327" i="19"/>
  <c r="BD699" i="19"/>
  <c r="BC699" i="19"/>
  <c r="BD274" i="19"/>
  <c r="BC274" i="19"/>
  <c r="BD616" i="19"/>
  <c r="BC616" i="19"/>
  <c r="BD302" i="19"/>
  <c r="BC302" i="19"/>
  <c r="BC41" i="19"/>
  <c r="BD41" i="19" s="1"/>
  <c r="BD362" i="19"/>
  <c r="BC362" i="19"/>
  <c r="BC58" i="19"/>
  <c r="BD58" i="19" s="1"/>
  <c r="BD701" i="19"/>
  <c r="BC701" i="19"/>
  <c r="BD847" i="19"/>
  <c r="BC847" i="19"/>
  <c r="BD388" i="19"/>
  <c r="BC388" i="19"/>
  <c r="BD519" i="19"/>
  <c r="BC519" i="19"/>
  <c r="BD387" i="19"/>
  <c r="BC387" i="19"/>
  <c r="BD901" i="19"/>
  <c r="BC901" i="19"/>
  <c r="BD385" i="19"/>
  <c r="BC385" i="19"/>
  <c r="BD318" i="19"/>
  <c r="BC318" i="19"/>
  <c r="BD601" i="19"/>
  <c r="BC601" i="19"/>
  <c r="BD201" i="19"/>
  <c r="BC201" i="19"/>
  <c r="BD452" i="19"/>
  <c r="BC452" i="19"/>
  <c r="BD353" i="19"/>
  <c r="BC353" i="19"/>
  <c r="BD192" i="19"/>
  <c r="BC192" i="19"/>
  <c r="BD365" i="19"/>
  <c r="BC365" i="19"/>
  <c r="BD599" i="19"/>
  <c r="BC599" i="19"/>
  <c r="BD250" i="19"/>
  <c r="BC250" i="19"/>
  <c r="BC5" i="19"/>
  <c r="BD5" i="19" s="1"/>
  <c r="BD826" i="19"/>
  <c r="BC826" i="19"/>
  <c r="BD378" i="19"/>
  <c r="BC378" i="19"/>
  <c r="BD562" i="19"/>
  <c r="BC562" i="19"/>
  <c r="BD341" i="19"/>
  <c r="BC341" i="19"/>
  <c r="BD909" i="19"/>
  <c r="BC909" i="19"/>
  <c r="BD203" i="19"/>
  <c r="BC203" i="19"/>
  <c r="BD151" i="19"/>
  <c r="BC151" i="19"/>
  <c r="BD900" i="19"/>
  <c r="BC900" i="19"/>
  <c r="BD317" i="19"/>
  <c r="BC317" i="19"/>
  <c r="BC71" i="19"/>
  <c r="BD71" i="19" s="1"/>
  <c r="BC68" i="19"/>
  <c r="BD68" i="19" s="1"/>
  <c r="BD437" i="19"/>
  <c r="BC437" i="19"/>
  <c r="BD598" i="19"/>
  <c r="BC598" i="19"/>
  <c r="BD339" i="19"/>
  <c r="BC339" i="19"/>
  <c r="BD141" i="19"/>
  <c r="BC141" i="19"/>
  <c r="BD612" i="19"/>
  <c r="BC612" i="19"/>
  <c r="BC61" i="19"/>
  <c r="BD61" i="19" s="1"/>
  <c r="BC115" i="19"/>
  <c r="BD115" i="19" s="1"/>
  <c r="BD300" i="19"/>
  <c r="BC300" i="19"/>
  <c r="BD694" i="19"/>
  <c r="BC694" i="19"/>
  <c r="BD840" i="19"/>
  <c r="BC840" i="19"/>
  <c r="BD570" i="19"/>
  <c r="BC570" i="19"/>
  <c r="BD565" i="19"/>
  <c r="BC565" i="19"/>
  <c r="BD833" i="19"/>
  <c r="BC833" i="19"/>
  <c r="BD480" i="19"/>
  <c r="BC480" i="19"/>
  <c r="BD373" i="19"/>
  <c r="BC373" i="19"/>
  <c r="BD427" i="19"/>
  <c r="BC427" i="19"/>
  <c r="BD464" i="19"/>
  <c r="BC464" i="19"/>
  <c r="BD244" i="19"/>
  <c r="BC244" i="19"/>
  <c r="BD765" i="19"/>
  <c r="BC765" i="19"/>
  <c r="BD167" i="19"/>
  <c r="BC167" i="19"/>
  <c r="BD165" i="19"/>
  <c r="BC165" i="19"/>
  <c r="BD293" i="19"/>
  <c r="BC293" i="19"/>
  <c r="BD246" i="19"/>
  <c r="BC246" i="19"/>
  <c r="BC829" i="19"/>
  <c r="BD829" i="19"/>
  <c r="BD635" i="19"/>
  <c r="BC635" i="19"/>
  <c r="BD504" i="19"/>
  <c r="BC504" i="19"/>
  <c r="BD198" i="19"/>
  <c r="BC198" i="19"/>
  <c r="BD223" i="19"/>
  <c r="BA223" i="19"/>
  <c r="BE223" i="19" s="1"/>
  <c r="BF223" i="19" s="1"/>
  <c r="BC223" i="19"/>
  <c r="BD314" i="19"/>
  <c r="BA314" i="19"/>
  <c r="BE314" i="19" s="1"/>
  <c r="BF314" i="19" s="1"/>
  <c r="BC314" i="19"/>
  <c r="BD180" i="19"/>
  <c r="BC180" i="19"/>
  <c r="BA180" i="19"/>
  <c r="BE180" i="19" s="1"/>
  <c r="BF180" i="19" s="1"/>
  <c r="BD179" i="19"/>
  <c r="BA179" i="19"/>
  <c r="BE179" i="19" s="1"/>
  <c r="BF179" i="19" s="1"/>
  <c r="BC179" i="19"/>
  <c r="BD754" i="19"/>
  <c r="BC754" i="19"/>
  <c r="BA754" i="19"/>
  <c r="BE754" i="19" s="1"/>
  <c r="BF754" i="19" s="1"/>
  <c r="BD176" i="19"/>
  <c r="BC176" i="19"/>
  <c r="BA176" i="19"/>
  <c r="BE176" i="19" s="1"/>
  <c r="BF176" i="19" s="1"/>
  <c r="BD173" i="19"/>
  <c r="BC173" i="19"/>
  <c r="BA173" i="19"/>
  <c r="BE173" i="19" s="1"/>
  <c r="BF173" i="19" s="1"/>
  <c r="BD595" i="19"/>
  <c r="BA595" i="19"/>
  <c r="BE595" i="19" s="1"/>
  <c r="BF595" i="19" s="1"/>
  <c r="BC595" i="19"/>
  <c r="BC8" i="19"/>
  <c r="BD8" i="19" s="1"/>
  <c r="BA8" i="19"/>
  <c r="BE8" i="19" s="1"/>
  <c r="BF8" i="19" s="1"/>
  <c r="BD358" i="19"/>
  <c r="BA358" i="19"/>
  <c r="BE358" i="19" s="1"/>
  <c r="BF358" i="19" s="1"/>
  <c r="BC358" i="19"/>
  <c r="BD650" i="19"/>
  <c r="BC650" i="19"/>
  <c r="BA650" i="19"/>
  <c r="BE650" i="19" s="1"/>
  <c r="BF650" i="19" s="1"/>
  <c r="BD426" i="19"/>
  <c r="BC426" i="19"/>
  <c r="BA426" i="19"/>
  <c r="BE426" i="19" s="1"/>
  <c r="BF426" i="19" s="1"/>
  <c r="BD134" i="19"/>
  <c r="BA134" i="19"/>
  <c r="BE134" i="19" s="1"/>
  <c r="BF134" i="19" s="1"/>
  <c r="BC134" i="19"/>
  <c r="BA27" i="19"/>
  <c r="BE27" i="19" s="1"/>
  <c r="BF27" i="19" s="1"/>
  <c r="BA113" i="19"/>
  <c r="BE113" i="19" s="1"/>
  <c r="BF113" i="19" s="1"/>
  <c r="BA433" i="19"/>
  <c r="BE433" i="19" s="1"/>
  <c r="BF433" i="19" s="1"/>
  <c r="BA410" i="19"/>
  <c r="BE410" i="19" s="1"/>
  <c r="BF410" i="19" s="1"/>
  <c r="BA467" i="19"/>
  <c r="BE467" i="19" s="1"/>
  <c r="BF467" i="19" s="1"/>
  <c r="BA40" i="19"/>
  <c r="BE40" i="19" s="1"/>
  <c r="BF40" i="19" s="1"/>
  <c r="BA239" i="19"/>
  <c r="BE239" i="19" s="1"/>
  <c r="BF239" i="19" s="1"/>
  <c r="BA736" i="19"/>
  <c r="BE736" i="19" s="1"/>
  <c r="BF736" i="19" s="1"/>
  <c r="BA401" i="19"/>
  <c r="BE401" i="19" s="1"/>
  <c r="BF401" i="19" s="1"/>
  <c r="BA406" i="19"/>
  <c r="BE406" i="19" s="1"/>
  <c r="BF406" i="19" s="1"/>
  <c r="BA392" i="19"/>
  <c r="BE392" i="19" s="1"/>
  <c r="BF392" i="19" s="1"/>
  <c r="BA346" i="19"/>
  <c r="BE346" i="19" s="1"/>
  <c r="BF346" i="19" s="1"/>
  <c r="BA768" i="19"/>
  <c r="BE768" i="19" s="1"/>
  <c r="BF768" i="19" s="1"/>
  <c r="BA225" i="19"/>
  <c r="BE225" i="19" s="1"/>
  <c r="BF225" i="19" s="1"/>
  <c r="BA132" i="19"/>
  <c r="BE132" i="19" s="1"/>
  <c r="BF132" i="19" s="1"/>
  <c r="BA906" i="19"/>
  <c r="BE906" i="19" s="1"/>
  <c r="BF906" i="19" s="1"/>
  <c r="BA368" i="19"/>
  <c r="BE368" i="19" s="1"/>
  <c r="BF368" i="19" s="1"/>
  <c r="BA345" i="19"/>
  <c r="BE345" i="19" s="1"/>
  <c r="BF345" i="19" s="1"/>
  <c r="BA153" i="19"/>
  <c r="BE153" i="19" s="1"/>
  <c r="BF153" i="19" s="1"/>
  <c r="BA798" i="19"/>
  <c r="BE798" i="19" s="1"/>
  <c r="BF798" i="19" s="1"/>
  <c r="BA870" i="19"/>
  <c r="BE870" i="19" s="1"/>
  <c r="BF870" i="19" s="1"/>
  <c r="BA862" i="19"/>
  <c r="BE862" i="19" s="1"/>
  <c r="BF862" i="19" s="1"/>
  <c r="BA491" i="19"/>
  <c r="BE491" i="19" s="1"/>
  <c r="BF491" i="19" s="1"/>
  <c r="BA523" i="19"/>
  <c r="BE523" i="19" s="1"/>
  <c r="BF523" i="19" s="1"/>
  <c r="BA781" i="19"/>
  <c r="BE781" i="19" s="1"/>
  <c r="BF781" i="19" s="1"/>
  <c r="BA118" i="19"/>
  <c r="BE118" i="19" s="1"/>
  <c r="BF118" i="19" s="1"/>
  <c r="BA86" i="19"/>
  <c r="BE86" i="19" s="1"/>
  <c r="BF86" i="19" s="1"/>
  <c r="BA145" i="19"/>
  <c r="BE145" i="19" s="1"/>
  <c r="BF145" i="19" s="1"/>
  <c r="BA194" i="19"/>
  <c r="BE194" i="19" s="1"/>
  <c r="BF194" i="19" s="1"/>
  <c r="BA105" i="19"/>
  <c r="BE105" i="19" s="1"/>
  <c r="BF105" i="19" s="1"/>
  <c r="BA299" i="19"/>
  <c r="BE299" i="19" s="1"/>
  <c r="BF299" i="19" s="1"/>
  <c r="BA93" i="19"/>
  <c r="BE93" i="19" s="1"/>
  <c r="BF93" i="19" s="1"/>
  <c r="BA616" i="19"/>
  <c r="BE616" i="19" s="1"/>
  <c r="BF616" i="19" s="1"/>
  <c r="BA163" i="19"/>
  <c r="BE163" i="19" s="1"/>
  <c r="BF163" i="19" s="1"/>
  <c r="BA59" i="19"/>
  <c r="BE59" i="19" s="1"/>
  <c r="BF59" i="19" s="1"/>
  <c r="BA280" i="19"/>
  <c r="BE280" i="19" s="1"/>
  <c r="BF280" i="19" s="1"/>
  <c r="BA847" i="19"/>
  <c r="BE847" i="19" s="1"/>
  <c r="BF847" i="19" s="1"/>
  <c r="BA777" i="19"/>
  <c r="BE777" i="19" s="1"/>
  <c r="BF777" i="19" s="1"/>
  <c r="BA658" i="19"/>
  <c r="BE658" i="19" s="1"/>
  <c r="BF658" i="19" s="1"/>
  <c r="BA318" i="19"/>
  <c r="BE318" i="19" s="1"/>
  <c r="BF318" i="19" s="1"/>
  <c r="BA140" i="19"/>
  <c r="BE140" i="19" s="1"/>
  <c r="BF140" i="19" s="1"/>
  <c r="BA876" i="19"/>
  <c r="BE876" i="19" s="1"/>
  <c r="BF876" i="19" s="1"/>
  <c r="BA365" i="19"/>
  <c r="BE365" i="19" s="1"/>
  <c r="BF365" i="19" s="1"/>
  <c r="BA434" i="19"/>
  <c r="BE434" i="19" s="1"/>
  <c r="BF434" i="19" s="1"/>
  <c r="BA756" i="19"/>
  <c r="BE756" i="19" s="1"/>
  <c r="BF756" i="19" s="1"/>
  <c r="BA562" i="19"/>
  <c r="BE562" i="19" s="1"/>
  <c r="BF562" i="19" s="1"/>
  <c r="BA56" i="19"/>
  <c r="BE56" i="19" s="1"/>
  <c r="BF56" i="19" s="1"/>
  <c r="BA745" i="19"/>
  <c r="BE745" i="19" s="1"/>
  <c r="BF745" i="19" s="1"/>
  <c r="BA317" i="19"/>
  <c r="BE317" i="19" s="1"/>
  <c r="BF317" i="19" s="1"/>
  <c r="BA669" i="19"/>
  <c r="BE669" i="19" s="1"/>
  <c r="BF669" i="19" s="1"/>
  <c r="BA259" i="19"/>
  <c r="BE259" i="19" s="1"/>
  <c r="BF259" i="19" s="1"/>
  <c r="BA116" i="19"/>
  <c r="BE116" i="19" s="1"/>
  <c r="BF116" i="19" s="1"/>
  <c r="BA841" i="19"/>
  <c r="BE841" i="19" s="1"/>
  <c r="BF841" i="19" s="1"/>
  <c r="BA834" i="19"/>
  <c r="BE834" i="19" s="1"/>
  <c r="BF834" i="19" s="1"/>
  <c r="BA533" i="19"/>
  <c r="BE533" i="19" s="1"/>
  <c r="BF533" i="19" s="1"/>
  <c r="BA625" i="19"/>
  <c r="BE625" i="19" s="1"/>
  <c r="BF625" i="19" s="1"/>
  <c r="BA191" i="19"/>
  <c r="BE191" i="19" s="1"/>
  <c r="BF191" i="19" s="1"/>
  <c r="BA108" i="19"/>
  <c r="BE108" i="19" s="1"/>
  <c r="BF108" i="19" s="1"/>
  <c r="BA620" i="19"/>
  <c r="BE620" i="19" s="1"/>
  <c r="BF620" i="19" s="1"/>
  <c r="BA475" i="19"/>
  <c r="BE475" i="19" s="1"/>
  <c r="BF475" i="19" s="1"/>
  <c r="BA938" i="19"/>
  <c r="BE938" i="19" s="1"/>
  <c r="BF938" i="19" s="1"/>
  <c r="BA100" i="19"/>
  <c r="BE100" i="19" s="1"/>
  <c r="BF100" i="19" s="1"/>
  <c r="BA484" i="19"/>
  <c r="BE484" i="19" s="1"/>
  <c r="BF484" i="19" s="1"/>
  <c r="BA419" i="19"/>
  <c r="BE419" i="19" s="1"/>
  <c r="BF419" i="19" s="1"/>
  <c r="BA418" i="19"/>
  <c r="BE418" i="19" s="1"/>
  <c r="BF418" i="19" s="1"/>
  <c r="BC926" i="19"/>
  <c r="BD926" i="19"/>
  <c r="BA926" i="19"/>
  <c r="BE926" i="19" s="1"/>
  <c r="BF926" i="19" s="1"/>
  <c r="BD497" i="19"/>
  <c r="BC497" i="19"/>
  <c r="BA497" i="19"/>
  <c r="BE497" i="19" s="1"/>
  <c r="BF497" i="19" s="1"/>
  <c r="BD448" i="19"/>
  <c r="BC448" i="19"/>
  <c r="BA448" i="19"/>
  <c r="BE448" i="19" s="1"/>
  <c r="BF448" i="19" s="1"/>
  <c r="BD689" i="19"/>
  <c r="BC689" i="19"/>
  <c r="BA689" i="19"/>
  <c r="BE689" i="19" s="1"/>
  <c r="BF689" i="19" s="1"/>
  <c r="BD486" i="19"/>
  <c r="BC486" i="19"/>
  <c r="BA486" i="19"/>
  <c r="BE486" i="19" s="1"/>
  <c r="BF486" i="19" s="1"/>
  <c r="BD890" i="19"/>
  <c r="BC890" i="19"/>
  <c r="BA890" i="19"/>
  <c r="BE890" i="19" s="1"/>
  <c r="BF890" i="19" s="1"/>
  <c r="BC820" i="19"/>
  <c r="BD820" i="19"/>
  <c r="BA820" i="19"/>
  <c r="BE820" i="19" s="1"/>
  <c r="BF820" i="19" s="1"/>
  <c r="BD283" i="19"/>
  <c r="BC283" i="19"/>
  <c r="BA283" i="19"/>
  <c r="BE283" i="19" s="1"/>
  <c r="BF283" i="19" s="1"/>
  <c r="BD493" i="19"/>
  <c r="BC493" i="19"/>
  <c r="BA493" i="19"/>
  <c r="BE493" i="19" s="1"/>
  <c r="BF493" i="19" s="1"/>
  <c r="BC92" i="19"/>
  <c r="BD92" i="19" s="1"/>
  <c r="BA92" i="19"/>
  <c r="BE92" i="19" s="1"/>
  <c r="BF92" i="19" s="1"/>
  <c r="BD374" i="19"/>
  <c r="BC374" i="19"/>
  <c r="BA374" i="19"/>
  <c r="BE374" i="19" s="1"/>
  <c r="BF374" i="19" s="1"/>
  <c r="BD213" i="19"/>
  <c r="BC213" i="19"/>
  <c r="BA213" i="19"/>
  <c r="BE213" i="19" s="1"/>
  <c r="BF213" i="19" s="1"/>
  <c r="BD923" i="19"/>
  <c r="BC923" i="19"/>
  <c r="BA923" i="19"/>
  <c r="BE923" i="19" s="1"/>
  <c r="BF923" i="19" s="1"/>
  <c r="BD655" i="19"/>
  <c r="BC655" i="19"/>
  <c r="BA655" i="19"/>
  <c r="BE655" i="19" s="1"/>
  <c r="BF655" i="19" s="1"/>
  <c r="BD348" i="19"/>
  <c r="BC348" i="19"/>
  <c r="BA348" i="19"/>
  <c r="BE348" i="19" s="1"/>
  <c r="BF348" i="19" s="1"/>
  <c r="BD675" i="19"/>
  <c r="BC675" i="19"/>
  <c r="BA675" i="19"/>
  <c r="BE675" i="19" s="1"/>
  <c r="BF675" i="19" s="1"/>
  <c r="BD431" i="19"/>
  <c r="BC431" i="19"/>
  <c r="BA431" i="19"/>
  <c r="BE431" i="19" s="1"/>
  <c r="BF431" i="19" s="1"/>
  <c r="BD641" i="19"/>
  <c r="BC641" i="19"/>
  <c r="BA641" i="19"/>
  <c r="BE641" i="19" s="1"/>
  <c r="BF641" i="19" s="1"/>
  <c r="BD133" i="19"/>
  <c r="BC133" i="19"/>
  <c r="BA133" i="19"/>
  <c r="BE133" i="19" s="1"/>
  <c r="BD487" i="19"/>
  <c r="BC487" i="19"/>
  <c r="BA487" i="19"/>
  <c r="BE487" i="19" s="1"/>
  <c r="BF487" i="19" s="1"/>
  <c r="BD944" i="19"/>
  <c r="BC944" i="19"/>
  <c r="BA944" i="19"/>
  <c r="BE944" i="19" s="1"/>
  <c r="BF944" i="19" s="1"/>
  <c r="BD940" i="19"/>
  <c r="BC940" i="19"/>
  <c r="BA940" i="19"/>
  <c r="BE940" i="19" s="1"/>
  <c r="BF940" i="19" s="1"/>
  <c r="BD811" i="19"/>
  <c r="BC811" i="19"/>
  <c r="BA811" i="19"/>
  <c r="BE811" i="19" s="1"/>
  <c r="BF811" i="19" s="1"/>
  <c r="BD858" i="19"/>
  <c r="BC858" i="19"/>
  <c r="BA858" i="19"/>
  <c r="BE858" i="19" s="1"/>
  <c r="BF858" i="19" s="1"/>
  <c r="BD499" i="19"/>
  <c r="BC499" i="19"/>
  <c r="BA499" i="19"/>
  <c r="BE499" i="19" s="1"/>
  <c r="BF499" i="19" s="1"/>
  <c r="BD162" i="19"/>
  <c r="BC162" i="19"/>
  <c r="BA162" i="19"/>
  <c r="BE162" i="19" s="1"/>
  <c r="BF162" i="19" s="1"/>
  <c r="BD324" i="19"/>
  <c r="BC324" i="19"/>
  <c r="BA324" i="19"/>
  <c r="BE324" i="19" s="1"/>
  <c r="BF324" i="19" s="1"/>
  <c r="BD880" i="19"/>
  <c r="BC880" i="19"/>
  <c r="BA880" i="19"/>
  <c r="BE880" i="19" s="1"/>
  <c r="BF880" i="19" s="1"/>
  <c r="BD252" i="19"/>
  <c r="BC252" i="19"/>
  <c r="BA252" i="19"/>
  <c r="BE252" i="19" s="1"/>
  <c r="BF252" i="19" s="1"/>
  <c r="BD400" i="19"/>
  <c r="BC400" i="19"/>
  <c r="BA400" i="19"/>
  <c r="BE400" i="19" s="1"/>
  <c r="BF400" i="19" s="1"/>
  <c r="BD445" i="19"/>
  <c r="BC445" i="19"/>
  <c r="BA445" i="19"/>
  <c r="BE445" i="19" s="1"/>
  <c r="BF445" i="19" s="1"/>
  <c r="BD517" i="19"/>
  <c r="BC517" i="19"/>
  <c r="BA517" i="19"/>
  <c r="BE517" i="19" s="1"/>
  <c r="BF517" i="19" s="1"/>
  <c r="BD398" i="19"/>
  <c r="BC398" i="19"/>
  <c r="BA398" i="19"/>
  <c r="BE398" i="19" s="1"/>
  <c r="BF398" i="19" s="1"/>
  <c r="BD751" i="19"/>
  <c r="BC751" i="19"/>
  <c r="BA751" i="19"/>
  <c r="BE751" i="19" s="1"/>
  <c r="BF751" i="19" s="1"/>
  <c r="BD588" i="19"/>
  <c r="BC588" i="19"/>
  <c r="BA588" i="19"/>
  <c r="BE588" i="19" s="1"/>
  <c r="BF588" i="19" s="1"/>
  <c r="BD230" i="19"/>
  <c r="BC230" i="19"/>
  <c r="BA230" i="19"/>
  <c r="BE230" i="19" s="1"/>
  <c r="BF230" i="19" s="1"/>
  <c r="BD442" i="19"/>
  <c r="BC442" i="19"/>
  <c r="BA442" i="19"/>
  <c r="BE442" i="19" s="1"/>
  <c r="BF442" i="19" s="1"/>
  <c r="BD399" i="19"/>
  <c r="BC399" i="19"/>
  <c r="BA399" i="19"/>
  <c r="BE399" i="19" s="1"/>
  <c r="BF399" i="19" s="1"/>
  <c r="BC95" i="19"/>
  <c r="BD95" i="19" s="1"/>
  <c r="BA95" i="19"/>
  <c r="BE95" i="19" s="1"/>
  <c r="BF95" i="19" s="1"/>
  <c r="BD502" i="19"/>
  <c r="BC502" i="19"/>
  <c r="BA502" i="19"/>
  <c r="BE502" i="19" s="1"/>
  <c r="BF502" i="19" s="1"/>
  <c r="BD231" i="19"/>
  <c r="BC231" i="19"/>
  <c r="BA231" i="19"/>
  <c r="BE231" i="19" s="1"/>
  <c r="BF231" i="19" s="1"/>
  <c r="BD292" i="19"/>
  <c r="BC292" i="19"/>
  <c r="BA292" i="19"/>
  <c r="BE292" i="19" s="1"/>
  <c r="BF292" i="19" s="1"/>
  <c r="BD706" i="19"/>
  <c r="BC706" i="19"/>
  <c r="BA706" i="19"/>
  <c r="BE706" i="19" s="1"/>
  <c r="BF706" i="19" s="1"/>
  <c r="BD235" i="19"/>
  <c r="BC235" i="19"/>
  <c r="BA235" i="19"/>
  <c r="BE235" i="19" s="1"/>
  <c r="BF235" i="19" s="1"/>
  <c r="BD690" i="19"/>
  <c r="BC690" i="19"/>
  <c r="BA690" i="19"/>
  <c r="BE690" i="19" s="1"/>
  <c r="BF690" i="19" s="1"/>
  <c r="BD413" i="19"/>
  <c r="BC413" i="19"/>
  <c r="BA413" i="19"/>
  <c r="BE413" i="19" s="1"/>
  <c r="BF413" i="19" s="1"/>
  <c r="BD807" i="19"/>
  <c r="BC807" i="19"/>
  <c r="BA807" i="19"/>
  <c r="BE807" i="19" s="1"/>
  <c r="BF807" i="19" s="1"/>
  <c r="BC905" i="19"/>
  <c r="BD905" i="19" s="1"/>
  <c r="BA905" i="19"/>
  <c r="BE905" i="19" s="1"/>
  <c r="BF905" i="19" s="1"/>
  <c r="BD375" i="19"/>
  <c r="BC375" i="19"/>
  <c r="BA375" i="19"/>
  <c r="BE375" i="19" s="1"/>
  <c r="BF375" i="19" s="1"/>
  <c r="BD760" i="19"/>
  <c r="BC760" i="19"/>
  <c r="BA760" i="19"/>
  <c r="BE760" i="19" s="1"/>
  <c r="BF760" i="19" s="1"/>
  <c r="BD943" i="19"/>
  <c r="BC943" i="19"/>
  <c r="BA943" i="19"/>
  <c r="BE943" i="19" s="1"/>
  <c r="BF943" i="19" s="1"/>
  <c r="BD525" i="19"/>
  <c r="BC525" i="19"/>
  <c r="BA525" i="19"/>
  <c r="BE525" i="19" s="1"/>
  <c r="BF525" i="19" s="1"/>
  <c r="BD340" i="19"/>
  <c r="BC340" i="19"/>
  <c r="BA340" i="19"/>
  <c r="BE340" i="19" s="1"/>
  <c r="BF340" i="19" s="1"/>
  <c r="BD350" i="19"/>
  <c r="BC350" i="19"/>
  <c r="BA350" i="19"/>
  <c r="BE350" i="19" s="1"/>
  <c r="BF350" i="19" s="1"/>
  <c r="BD149" i="19"/>
  <c r="BC149" i="19"/>
  <c r="BA149" i="19"/>
  <c r="BE149" i="19" s="1"/>
  <c r="BF149" i="19" s="1"/>
  <c r="BD742" i="19"/>
  <c r="BC742" i="19"/>
  <c r="BA742" i="19"/>
  <c r="BE742" i="19" s="1"/>
  <c r="BF742" i="19" s="1"/>
  <c r="BC117" i="19"/>
  <c r="BD117" i="19" s="1"/>
  <c r="BA117" i="19"/>
  <c r="BE117" i="19" s="1"/>
  <c r="BF117" i="19" s="1"/>
  <c r="BC49" i="19"/>
  <c r="BD49" i="19" s="1"/>
  <c r="BA49" i="19"/>
  <c r="BE49" i="19" s="1"/>
  <c r="BF49" i="19" s="1"/>
  <c r="BD815" i="19"/>
  <c r="BC815" i="19"/>
  <c r="BA815" i="19"/>
  <c r="BE815" i="19" s="1"/>
  <c r="BF815" i="19" s="1"/>
  <c r="BD828" i="19"/>
  <c r="BC828" i="19"/>
  <c r="BA828" i="19"/>
  <c r="BE828" i="19" s="1"/>
  <c r="BF828" i="19" s="1"/>
  <c r="BD510" i="19"/>
  <c r="BC510" i="19"/>
  <c r="BA510" i="19"/>
  <c r="BE510" i="19" s="1"/>
  <c r="BF510" i="19" s="1"/>
  <c r="BD740" i="19"/>
  <c r="BC740" i="19"/>
  <c r="BA740" i="19"/>
  <c r="BE740" i="19" s="1"/>
  <c r="BF740" i="19" s="1"/>
  <c r="BD911" i="19"/>
  <c r="BC911" i="19"/>
  <c r="BA911" i="19"/>
  <c r="BE911" i="19" s="1"/>
  <c r="BF911" i="19" s="1"/>
  <c r="BD925" i="19"/>
  <c r="BC925" i="19"/>
  <c r="BA925" i="19"/>
  <c r="BE925" i="19" s="1"/>
  <c r="BF925" i="19" s="1"/>
  <c r="BD661" i="19"/>
  <c r="BC661" i="19"/>
  <c r="BA661" i="19"/>
  <c r="BE661" i="19" s="1"/>
  <c r="BF661" i="19" s="1"/>
  <c r="BD615" i="19"/>
  <c r="BC615" i="19"/>
  <c r="BA615" i="19"/>
  <c r="BE615" i="19" s="1"/>
  <c r="BF615" i="19" s="1"/>
  <c r="BC81" i="19"/>
  <c r="BD81" i="19" s="1"/>
  <c r="BA81" i="19"/>
  <c r="BE81" i="19" s="1"/>
  <c r="BF81" i="19" s="1"/>
  <c r="BD687" i="19"/>
  <c r="BC687" i="19"/>
  <c r="BA687" i="19"/>
  <c r="BE687" i="19" s="1"/>
  <c r="BF687" i="19" s="1"/>
  <c r="BD660" i="19"/>
  <c r="BC660" i="19"/>
  <c r="BA660" i="19"/>
  <c r="BE660" i="19" s="1"/>
  <c r="BF660" i="19" s="1"/>
  <c r="BD518" i="19"/>
  <c r="BC518" i="19"/>
  <c r="BA518" i="19"/>
  <c r="BE518" i="19" s="1"/>
  <c r="BF518" i="19" s="1"/>
  <c r="BD253" i="19"/>
  <c r="BC253" i="19"/>
  <c r="BA253" i="19"/>
  <c r="BE253" i="19" s="1"/>
  <c r="BF253" i="19" s="1"/>
  <c r="BD457" i="19"/>
  <c r="BC457" i="19"/>
  <c r="BA457" i="19"/>
  <c r="BE457" i="19" s="1"/>
  <c r="BF457" i="19" s="1"/>
  <c r="BD169" i="19"/>
  <c r="BC169" i="19"/>
  <c r="BA169" i="19"/>
  <c r="BE169" i="19" s="1"/>
  <c r="BF169" i="19" s="1"/>
  <c r="BC69" i="19"/>
  <c r="BD69" i="19" s="1"/>
  <c r="BA69" i="19"/>
  <c r="BE69" i="19" s="1"/>
  <c r="BF69" i="19" s="1"/>
  <c r="BD386" i="19"/>
  <c r="BC386" i="19"/>
  <c r="BA386" i="19"/>
  <c r="BE386" i="19" s="1"/>
  <c r="BF386" i="19" s="1"/>
  <c r="BD481" i="19"/>
  <c r="BC481" i="19"/>
  <c r="BA481" i="19"/>
  <c r="BE481" i="19" s="1"/>
  <c r="BF481" i="19" s="1"/>
  <c r="BD343" i="19"/>
  <c r="BC343" i="19"/>
  <c r="BA343" i="19"/>
  <c r="BE343" i="19" s="1"/>
  <c r="BF343" i="19" s="1"/>
  <c r="BD456" i="19"/>
  <c r="BC456" i="19"/>
  <c r="BA456" i="19"/>
  <c r="BE456" i="19" s="1"/>
  <c r="BF456" i="19" s="1"/>
  <c r="BD883" i="19"/>
  <c r="BC883" i="19"/>
  <c r="BA883" i="19"/>
  <c r="BE883" i="19" s="1"/>
  <c r="BF883" i="19" s="1"/>
  <c r="BD461" i="19"/>
  <c r="BC461" i="19"/>
  <c r="BA461" i="19"/>
  <c r="BE461" i="19" s="1"/>
  <c r="BF461" i="19" s="1"/>
  <c r="BD827" i="19"/>
  <c r="BC827" i="19"/>
  <c r="BA827" i="19"/>
  <c r="BE827" i="19" s="1"/>
  <c r="BF827" i="19" s="1"/>
  <c r="BC82" i="19"/>
  <c r="BD82" i="19" s="1"/>
  <c r="BA82" i="19"/>
  <c r="BE82" i="19" s="1"/>
  <c r="BF82" i="19" s="1"/>
  <c r="BD188" i="19"/>
  <c r="BC188" i="19"/>
  <c r="BA188" i="19"/>
  <c r="BE188" i="19" s="1"/>
  <c r="BF188" i="19" s="1"/>
  <c r="BD196" i="19"/>
  <c r="BC196" i="19"/>
  <c r="BA196" i="19"/>
  <c r="BE196" i="19" s="1"/>
  <c r="BF196" i="19" s="1"/>
  <c r="BD657" i="19"/>
  <c r="BC657" i="19"/>
  <c r="BA657" i="19"/>
  <c r="BE657" i="19" s="1"/>
  <c r="BF657" i="19" s="1"/>
  <c r="BD587" i="19"/>
  <c r="BC587" i="19"/>
  <c r="BA587" i="19"/>
  <c r="BE587" i="19" s="1"/>
  <c r="BF587" i="19" s="1"/>
  <c r="BD591" i="19"/>
  <c r="BC591" i="19"/>
  <c r="BA591" i="19"/>
  <c r="BE591" i="19" s="1"/>
  <c r="BF591" i="19" s="1"/>
  <c r="BD825" i="19"/>
  <c r="BC825" i="19"/>
  <c r="BA825" i="19"/>
  <c r="BE825" i="19" s="1"/>
  <c r="BF825" i="19" s="1"/>
  <c r="BD356" i="19"/>
  <c r="BC356" i="19"/>
  <c r="BA356" i="19"/>
  <c r="BE356" i="19" s="1"/>
  <c r="BF356" i="19" s="1"/>
  <c r="BD428" i="19"/>
  <c r="BC428" i="19"/>
  <c r="BA428" i="19"/>
  <c r="BE428" i="19" s="1"/>
  <c r="BF428" i="19" s="1"/>
  <c r="BD838" i="19"/>
  <c r="BC838" i="19"/>
  <c r="BA838" i="19"/>
  <c r="BE838" i="19" s="1"/>
  <c r="BF838" i="19" s="1"/>
  <c r="BD267" i="19"/>
  <c r="BC267" i="19"/>
  <c r="BA267" i="19"/>
  <c r="BE267" i="19" s="1"/>
  <c r="BF267" i="19" s="1"/>
  <c r="BD585" i="19"/>
  <c r="BC585" i="19"/>
  <c r="BA585" i="19"/>
  <c r="BE585" i="19" s="1"/>
  <c r="BF585" i="19" s="1"/>
  <c r="BD936" i="19"/>
  <c r="BC936" i="19"/>
  <c r="BA936" i="19"/>
  <c r="BE936" i="19" s="1"/>
  <c r="BF936" i="19" s="1"/>
  <c r="BD837" i="19"/>
  <c r="BC837" i="19"/>
  <c r="BA837" i="19"/>
  <c r="BE837" i="19" s="1"/>
  <c r="BF837" i="19" s="1"/>
  <c r="BD139" i="19"/>
  <c r="BC139" i="19"/>
  <c r="BA139" i="19"/>
  <c r="BE139" i="19" s="1"/>
  <c r="BF139" i="19" s="1"/>
  <c r="BC98" i="19"/>
  <c r="BD98" i="19" s="1"/>
  <c r="BA98" i="19"/>
  <c r="BE98" i="19" s="1"/>
  <c r="BF98" i="19" s="1"/>
  <c r="BC67" i="19"/>
  <c r="BD67" i="19" s="1"/>
  <c r="BA67" i="19"/>
  <c r="BE67" i="19" s="1"/>
  <c r="BF67" i="19" s="1"/>
  <c r="BD629" i="19"/>
  <c r="BC629" i="19"/>
  <c r="BA629" i="19"/>
  <c r="BE629" i="19" s="1"/>
  <c r="BF629" i="19" s="1"/>
  <c r="BC78" i="19"/>
  <c r="BD78" i="19" s="1"/>
  <c r="BA78" i="19"/>
  <c r="BE78" i="19" s="1"/>
  <c r="BF78" i="19" s="1"/>
  <c r="BD396" i="19"/>
  <c r="BC396" i="19"/>
  <c r="BA396" i="19"/>
  <c r="BE396" i="19" s="1"/>
  <c r="BF396" i="19" s="1"/>
  <c r="BD361" i="19"/>
  <c r="BC361" i="19"/>
  <c r="BA361" i="19"/>
  <c r="BE361" i="19" s="1"/>
  <c r="BF361" i="19" s="1"/>
  <c r="BD258" i="19"/>
  <c r="BC258" i="19"/>
  <c r="BA258" i="19"/>
  <c r="BE258" i="19" s="1"/>
  <c r="BF258" i="19" s="1"/>
  <c r="BD257" i="19"/>
  <c r="BC257" i="19"/>
  <c r="BA257" i="19"/>
  <c r="BE257" i="19" s="1"/>
  <c r="BF257" i="19" s="1"/>
  <c r="BC85" i="19"/>
  <c r="BD85" i="19" s="1"/>
  <c r="BA85" i="19"/>
  <c r="BE85" i="19" s="1"/>
  <c r="BF85" i="19" s="1"/>
  <c r="BD266" i="19"/>
  <c r="BC266" i="19"/>
  <c r="BA266" i="19"/>
  <c r="BE266" i="19" s="1"/>
  <c r="BF266" i="19" s="1"/>
  <c r="BD297" i="19"/>
  <c r="BC297" i="19"/>
  <c r="BA297" i="19"/>
  <c r="BE297" i="19" s="1"/>
  <c r="BF297" i="19" s="1"/>
  <c r="BD839" i="19"/>
  <c r="BC839" i="19"/>
  <c r="BA839" i="19"/>
  <c r="BE839" i="19" s="1"/>
  <c r="BF839" i="19" s="1"/>
  <c r="BD569" i="19"/>
  <c r="BC569" i="19"/>
  <c r="BA569" i="19"/>
  <c r="BE569" i="19" s="1"/>
  <c r="BF569" i="19" s="1"/>
  <c r="BD869" i="19"/>
  <c r="BC869" i="19"/>
  <c r="BA869" i="19"/>
  <c r="BE869" i="19" s="1"/>
  <c r="BF869" i="19" s="1"/>
  <c r="BD832" i="19"/>
  <c r="BC832" i="19"/>
  <c r="BA832" i="19"/>
  <c r="BE832" i="19" s="1"/>
  <c r="BF832" i="19" s="1"/>
  <c r="BD479" i="19"/>
  <c r="BC479" i="19"/>
  <c r="BA479" i="19"/>
  <c r="BE479" i="19" s="1"/>
  <c r="BF479" i="19" s="1"/>
  <c r="BD372" i="19"/>
  <c r="BC372" i="19"/>
  <c r="BA372" i="19"/>
  <c r="BE372" i="19" s="1"/>
  <c r="BF372" i="19" s="1"/>
  <c r="BD668" i="19"/>
  <c r="BC668" i="19"/>
  <c r="BA668" i="19"/>
  <c r="BE668" i="19" s="1"/>
  <c r="BF668" i="19" s="1"/>
  <c r="BD684" i="19"/>
  <c r="BC684" i="19"/>
  <c r="BA684" i="19"/>
  <c r="BE684" i="19" s="1"/>
  <c r="BF684" i="19" s="1"/>
  <c r="BD243" i="19"/>
  <c r="BC243" i="19"/>
  <c r="BA243" i="19"/>
  <c r="BE243" i="19" s="1"/>
  <c r="BF243" i="19" s="1"/>
  <c r="BD672" i="19"/>
  <c r="BC672" i="19"/>
  <c r="BA672" i="19"/>
  <c r="BE672" i="19" s="1"/>
  <c r="BF672" i="19" s="1"/>
  <c r="BD166" i="19"/>
  <c r="BC166" i="19"/>
  <c r="BA166" i="19"/>
  <c r="BE166" i="19" s="1"/>
  <c r="BF166" i="19" s="1"/>
  <c r="BC80" i="19"/>
  <c r="BD80" i="19" s="1"/>
  <c r="BA80" i="19"/>
  <c r="BE80" i="19" s="1"/>
  <c r="BF80" i="19" s="1"/>
  <c r="BD561" i="19"/>
  <c r="BC561" i="19"/>
  <c r="BA561" i="19"/>
  <c r="BE561" i="19" s="1"/>
  <c r="BF561" i="19" s="1"/>
  <c r="BD295" i="19"/>
  <c r="BC295" i="19"/>
  <c r="BA295" i="19"/>
  <c r="BE295" i="19" s="1"/>
  <c r="BF295" i="19" s="1"/>
  <c r="BD247" i="19"/>
  <c r="BC247" i="19"/>
  <c r="BA247" i="19"/>
  <c r="BE247" i="19" s="1"/>
  <c r="BF247" i="19" s="1"/>
  <c r="BD382" i="19"/>
  <c r="BC382" i="19"/>
  <c r="BA382" i="19"/>
  <c r="BE382" i="19" s="1"/>
  <c r="BF382" i="19" s="1"/>
  <c r="BD202" i="19"/>
  <c r="BC202" i="19"/>
  <c r="BA202" i="19"/>
  <c r="BE202" i="19" s="1"/>
  <c r="BF202" i="19" s="1"/>
  <c r="BD477" i="19"/>
  <c r="BC477" i="19"/>
  <c r="BA477" i="19"/>
  <c r="BE477" i="19" s="1"/>
  <c r="BF477" i="19" s="1"/>
  <c r="BD222" i="19"/>
  <c r="BC222" i="19"/>
  <c r="BA222" i="19"/>
  <c r="BE222" i="19" s="1"/>
  <c r="BF222" i="19" s="1"/>
  <c r="BD610" i="19"/>
  <c r="BC610" i="19"/>
  <c r="BA610" i="19"/>
  <c r="BE610" i="19" s="1"/>
  <c r="BF610" i="19" s="1"/>
  <c r="BC114" i="19"/>
  <c r="BD114" i="19" s="1"/>
  <c r="BA114" i="19"/>
  <c r="BE114" i="19" s="1"/>
  <c r="BF114" i="19" s="1"/>
  <c r="BD790" i="19"/>
  <c r="BC790" i="19"/>
  <c r="BA790" i="19"/>
  <c r="BE790" i="19" s="1"/>
  <c r="BF790" i="19" s="1"/>
  <c r="BC36" i="19"/>
  <c r="BD36" i="19" s="1"/>
  <c r="BA36" i="19"/>
  <c r="BE36" i="19" s="1"/>
  <c r="BF36" i="19" s="1"/>
  <c r="BD364" i="19"/>
  <c r="BC364" i="19"/>
  <c r="BA364" i="19"/>
  <c r="BE364" i="19" s="1"/>
  <c r="BF364" i="19" s="1"/>
  <c r="BD500" i="19"/>
  <c r="BC500" i="19"/>
  <c r="BA500" i="19"/>
  <c r="BE500" i="19" s="1"/>
  <c r="BF500" i="19" s="1"/>
  <c r="BD594" i="19"/>
  <c r="BC594" i="19"/>
  <c r="BA594" i="19"/>
  <c r="BE594" i="19" s="1"/>
  <c r="BF594" i="19" s="1"/>
  <c r="BD131" i="19"/>
  <c r="BC131" i="19"/>
  <c r="BA131" i="19"/>
  <c r="BE131" i="19" s="1"/>
  <c r="BF131" i="19" s="1"/>
  <c r="BC26" i="19"/>
  <c r="BD26" i="19" s="1"/>
  <c r="BA26" i="19"/>
  <c r="BE26" i="19" s="1"/>
  <c r="BF26" i="19" s="1"/>
  <c r="BD255" i="19"/>
  <c r="BC255" i="19"/>
  <c r="BA255" i="19"/>
  <c r="BE255" i="19" s="1"/>
  <c r="BF255" i="19" s="1"/>
  <c r="BD136" i="19"/>
  <c r="BC136" i="19"/>
  <c r="BA136" i="19"/>
  <c r="BE136" i="19" s="1"/>
  <c r="BF136" i="19" s="1"/>
  <c r="BA20" i="19"/>
  <c r="BE20" i="19" s="1"/>
  <c r="BF20" i="19" s="1"/>
  <c r="BA45" i="19"/>
  <c r="BE45" i="19" s="1"/>
  <c r="BF45" i="19" s="1"/>
  <c r="BA371" i="19"/>
  <c r="BE371" i="19" s="1"/>
  <c r="BF371" i="19" s="1"/>
  <c r="BA709" i="19"/>
  <c r="BE709" i="19" s="1"/>
  <c r="BF709" i="19" s="1"/>
  <c r="BA818" i="19"/>
  <c r="BE818" i="19" s="1"/>
  <c r="BF818" i="19" s="1"/>
  <c r="BA708" i="19"/>
  <c r="BE708" i="19" s="1"/>
  <c r="BF708" i="19" s="1"/>
  <c r="BA695" i="19"/>
  <c r="BE695" i="19" s="1"/>
  <c r="BF695" i="19" s="1"/>
  <c r="BA603" i="19"/>
  <c r="BE603" i="19" s="1"/>
  <c r="BF603" i="19" s="1"/>
  <c r="BA307" i="19"/>
  <c r="BE307" i="19" s="1"/>
  <c r="BF307" i="19" s="1"/>
  <c r="BA432" i="19"/>
  <c r="BE432" i="19" s="1"/>
  <c r="BF432" i="19" s="1"/>
  <c r="BA391" i="19"/>
  <c r="BE391" i="19" s="1"/>
  <c r="BF391" i="19" s="1"/>
  <c r="BA489" i="19"/>
  <c r="BE489" i="19" s="1"/>
  <c r="BF489" i="19" s="1"/>
  <c r="BA403" i="19"/>
  <c r="BE403" i="19" s="1"/>
  <c r="BF403" i="19" s="1"/>
  <c r="BA767" i="19"/>
  <c r="BE767" i="19" s="1"/>
  <c r="BF767" i="19" s="1"/>
  <c r="BA158" i="19"/>
  <c r="BE158" i="19" s="1"/>
  <c r="BF158" i="19" s="1"/>
  <c r="BA749" i="19"/>
  <c r="BE749" i="19" s="1"/>
  <c r="BF749" i="19" s="1"/>
  <c r="BA704" i="19"/>
  <c r="BE704" i="19" s="1"/>
  <c r="BF704" i="19" s="1"/>
  <c r="BA344" i="19"/>
  <c r="BE344" i="19" s="1"/>
  <c r="BF344" i="19" s="1"/>
  <c r="BA808" i="19"/>
  <c r="BE808" i="19" s="1"/>
  <c r="BF808" i="19" s="1"/>
  <c r="BA731" i="19"/>
  <c r="BE731" i="19" s="1"/>
  <c r="BF731" i="19" s="1"/>
  <c r="BA589" i="19"/>
  <c r="BE589" i="19" s="1"/>
  <c r="BF589" i="19" s="1"/>
  <c r="BA861" i="19"/>
  <c r="BE861" i="19" s="1"/>
  <c r="BF861" i="19" s="1"/>
  <c r="BA207" i="19"/>
  <c r="BE207" i="19" s="1"/>
  <c r="BF207" i="19" s="1"/>
  <c r="BA915" i="19"/>
  <c r="BE915" i="19" s="1"/>
  <c r="BF915" i="19" s="1"/>
  <c r="BA773" i="19"/>
  <c r="BE773" i="19" s="1"/>
  <c r="BF773" i="19" s="1"/>
  <c r="BA64" i="19"/>
  <c r="BE64" i="19" s="1"/>
  <c r="BF64" i="19" s="1"/>
  <c r="BA62" i="19"/>
  <c r="BE62" i="19" s="1"/>
  <c r="BF62" i="19" s="1"/>
  <c r="BA685" i="19"/>
  <c r="BE685" i="19" s="1"/>
  <c r="BF685" i="19" s="1"/>
  <c r="BA332" i="19"/>
  <c r="BE332" i="19" s="1"/>
  <c r="BF332" i="19" s="1"/>
  <c r="BA329" i="19"/>
  <c r="BE329" i="19" s="1"/>
  <c r="BF329" i="19" s="1"/>
  <c r="BA197" i="19"/>
  <c r="BE197" i="19" s="1"/>
  <c r="BF197" i="19" s="1"/>
  <c r="BA274" i="19"/>
  <c r="BE274" i="19" s="1"/>
  <c r="BF274" i="19" s="1"/>
  <c r="BA871" i="19"/>
  <c r="BE871" i="19" s="1"/>
  <c r="BF871" i="19" s="1"/>
  <c r="BA613" i="19"/>
  <c r="BE613" i="19" s="1"/>
  <c r="BF613" i="19" s="1"/>
  <c r="BA33" i="19"/>
  <c r="BE33" i="19" s="1"/>
  <c r="BF33" i="19" s="1"/>
  <c r="BA701" i="19"/>
  <c r="BE701" i="19" s="1"/>
  <c r="BF701" i="19" s="1"/>
  <c r="BA189" i="19"/>
  <c r="BE189" i="19" s="1"/>
  <c r="BF189" i="19" s="1"/>
  <c r="BA602" i="19"/>
  <c r="BE602" i="19" s="1"/>
  <c r="BF602" i="19" s="1"/>
  <c r="BA734" i="19"/>
  <c r="BE734" i="19" s="1"/>
  <c r="BF734" i="19" s="1"/>
  <c r="BA385" i="19"/>
  <c r="BE385" i="19" s="1"/>
  <c r="BF385" i="19" s="1"/>
  <c r="BA795" i="19"/>
  <c r="BE795" i="19" s="1"/>
  <c r="BF795" i="19" s="1"/>
  <c r="BA459" i="19"/>
  <c r="BE459" i="19" s="1"/>
  <c r="BF459" i="19" s="1"/>
  <c r="BA780" i="19"/>
  <c r="BE780" i="19" s="1"/>
  <c r="BF780" i="19" s="1"/>
  <c r="BA192" i="19"/>
  <c r="BE192" i="19" s="1"/>
  <c r="BF192" i="19" s="1"/>
  <c r="BA508" i="19"/>
  <c r="BE508" i="19" s="1"/>
  <c r="BF508" i="19" s="1"/>
  <c r="BA882" i="19"/>
  <c r="BE882" i="19" s="1"/>
  <c r="BF882" i="19" s="1"/>
  <c r="BA623" i="19"/>
  <c r="BE623" i="19" s="1"/>
  <c r="BF623" i="19" s="1"/>
  <c r="BA378" i="19"/>
  <c r="BE378" i="19" s="1"/>
  <c r="BF378" i="19" s="1"/>
  <c r="BA875" i="19"/>
  <c r="BE875" i="19" s="1"/>
  <c r="BF875" i="19" s="1"/>
  <c r="BA154" i="19"/>
  <c r="BE154" i="19" s="1"/>
  <c r="BF154" i="19" s="1"/>
  <c r="BA384" i="19"/>
  <c r="BE384" i="19" s="1"/>
  <c r="BF384" i="19" s="1"/>
  <c r="BA900" i="19"/>
  <c r="BE900" i="19" s="1"/>
  <c r="BF900" i="19" s="1"/>
  <c r="BA755" i="19"/>
  <c r="BE755" i="19" s="1"/>
  <c r="BF755" i="19" s="1"/>
  <c r="BA437" i="19"/>
  <c r="BE437" i="19" s="1"/>
  <c r="BF437" i="19" s="1"/>
  <c r="BA787" i="19"/>
  <c r="BE787" i="19" s="1"/>
  <c r="BF787" i="19" s="1"/>
  <c r="BA141" i="19"/>
  <c r="BE141" i="19" s="1"/>
  <c r="BF141" i="19" s="1"/>
  <c r="BA836" i="19"/>
  <c r="BE836" i="19" s="1"/>
  <c r="BF836" i="19" s="1"/>
  <c r="BA115" i="19"/>
  <c r="BE115" i="19" s="1"/>
  <c r="BF115" i="19" s="1"/>
  <c r="BA824" i="19"/>
  <c r="BE824" i="19" s="1"/>
  <c r="BF824" i="19" s="1"/>
  <c r="BA840" i="19"/>
  <c r="BE840" i="19" s="1"/>
  <c r="BF840" i="19" s="1"/>
  <c r="BA568" i="19"/>
  <c r="BE568" i="19" s="1"/>
  <c r="BF568" i="19" s="1"/>
  <c r="BA833" i="19"/>
  <c r="BE833" i="19" s="1"/>
  <c r="BF833" i="19" s="1"/>
  <c r="BA478" i="19"/>
  <c r="BE478" i="19" s="1"/>
  <c r="BF478" i="19" s="1"/>
  <c r="BA427" i="19"/>
  <c r="BE427" i="19" s="1"/>
  <c r="BF427" i="19" s="1"/>
  <c r="BA765" i="19"/>
  <c r="BE765" i="19" s="1"/>
  <c r="BF765" i="19" s="1"/>
  <c r="BA293" i="19"/>
  <c r="BE293" i="19" s="1"/>
  <c r="BF293" i="19" s="1"/>
  <c r="BA635" i="19"/>
  <c r="BE635" i="19" s="1"/>
  <c r="BF635" i="19" s="1"/>
  <c r="BD608" i="19"/>
  <c r="BC608" i="19"/>
  <c r="BC725" i="19"/>
  <c r="BD725" i="19"/>
  <c r="BD724" i="19"/>
  <c r="BC724" i="19"/>
  <c r="BD718" i="19"/>
  <c r="BC718" i="19"/>
  <c r="BD932" i="19"/>
  <c r="BC932" i="19"/>
  <c r="BD713" i="19"/>
  <c r="BC713" i="19"/>
  <c r="BD710" i="19"/>
  <c r="BC710" i="19"/>
  <c r="BD411" i="19"/>
  <c r="BC411" i="19"/>
  <c r="BD447" i="19"/>
  <c r="BC447" i="19"/>
  <c r="BD606" i="19"/>
  <c r="BC606" i="19"/>
  <c r="BD287" i="19"/>
  <c r="BC287" i="19"/>
  <c r="BD632" i="19"/>
  <c r="BC632" i="19"/>
  <c r="BD819" i="19"/>
  <c r="BC819" i="19"/>
  <c r="BC468" i="19"/>
  <c r="BD468" i="19"/>
  <c r="BC121" i="19"/>
  <c r="BD121" i="19" s="1"/>
  <c r="BC91" i="19"/>
  <c r="BD91" i="19" s="1"/>
  <c r="BD680" i="19"/>
  <c r="BC680" i="19"/>
  <c r="BD571" i="19"/>
  <c r="BC571" i="19"/>
  <c r="BC7" i="19"/>
  <c r="BD7" i="19" s="1"/>
  <c r="BD654" i="19"/>
  <c r="BC654" i="19"/>
  <c r="BD522" i="19"/>
  <c r="BC522" i="19"/>
  <c r="BD674" i="19"/>
  <c r="BC674" i="19"/>
  <c r="BD673" i="19"/>
  <c r="BC673" i="19"/>
  <c r="BD11" i="19"/>
  <c r="BC11" i="19"/>
  <c r="BD516" i="19"/>
  <c r="BC516" i="19"/>
  <c r="BD128" i="19"/>
  <c r="BC128" i="19"/>
  <c r="BD241" i="19"/>
  <c r="BC241" i="19"/>
  <c r="BD254" i="19"/>
  <c r="BC254" i="19"/>
  <c r="BD810" i="19"/>
  <c r="BC810" i="19"/>
  <c r="BD857" i="19"/>
  <c r="BC857" i="19"/>
  <c r="BD817" i="19"/>
  <c r="BC817" i="19"/>
  <c r="BD575" i="19"/>
  <c r="BC575" i="19"/>
  <c r="BD323" i="19"/>
  <c r="BC323" i="19"/>
  <c r="BD352" i="19"/>
  <c r="BC352" i="19"/>
  <c r="BD638" i="19"/>
  <c r="BC638" i="19"/>
  <c r="BD282" i="19"/>
  <c r="BC282" i="19"/>
  <c r="BD914" i="19"/>
  <c r="BC914" i="19"/>
  <c r="BD218" i="19"/>
  <c r="BC218" i="19"/>
  <c r="BD574" i="19"/>
  <c r="BC574" i="19"/>
  <c r="BD402" i="19"/>
  <c r="BC402" i="19"/>
  <c r="BD527" i="19"/>
  <c r="BC527" i="19"/>
  <c r="BD229" i="19"/>
  <c r="BC229" i="19"/>
  <c r="BD441" i="19"/>
  <c r="BC441" i="19"/>
  <c r="BD226" i="19"/>
  <c r="BC226" i="19"/>
  <c r="BD335" i="19"/>
  <c r="BC335" i="19"/>
  <c r="BD148" i="19"/>
  <c r="BC148" i="19"/>
  <c r="BD886" i="19"/>
  <c r="BC886" i="19"/>
  <c r="BD291" i="19"/>
  <c r="BC291" i="19"/>
  <c r="BD705" i="19"/>
  <c r="BC705" i="19"/>
  <c r="BD761" i="19"/>
  <c r="BC761" i="19"/>
  <c r="BD784" i="19"/>
  <c r="BC784" i="19"/>
  <c r="BD776" i="19"/>
  <c r="BC776" i="19"/>
  <c r="BD806" i="19"/>
  <c r="BC806" i="19"/>
  <c r="BD383" i="19"/>
  <c r="BC383" i="19"/>
  <c r="BC43" i="19"/>
  <c r="BD43" i="19" s="1"/>
  <c r="BD863" i="19"/>
  <c r="BC863" i="19"/>
  <c r="BD208" i="19"/>
  <c r="BC208" i="19"/>
  <c r="BD206" i="19"/>
  <c r="BC206" i="19"/>
  <c r="BD759" i="19"/>
  <c r="BC759" i="19"/>
  <c r="BD349" i="19"/>
  <c r="BC349" i="19"/>
  <c r="BD627" i="19"/>
  <c r="BC627" i="19"/>
  <c r="BD741" i="19"/>
  <c r="BC741" i="19"/>
  <c r="BC37" i="19"/>
  <c r="BD37" i="19" s="1"/>
  <c r="BD501" i="19"/>
  <c r="BC501" i="19"/>
  <c r="BD814" i="19"/>
  <c r="BC814" i="19"/>
  <c r="BD471" i="19"/>
  <c r="BC471" i="19"/>
  <c r="BD509" i="19"/>
  <c r="BC509" i="19"/>
  <c r="BD330" i="19"/>
  <c r="BC330" i="19"/>
  <c r="BD143" i="19"/>
  <c r="BC143" i="19"/>
  <c r="BD942" i="19"/>
  <c r="BC942" i="19"/>
  <c r="BD220" i="19"/>
  <c r="BC220" i="19"/>
  <c r="BD321" i="19"/>
  <c r="BC321" i="19"/>
  <c r="BD872" i="19"/>
  <c r="BC872" i="19"/>
  <c r="BD614" i="19"/>
  <c r="BC614" i="19"/>
  <c r="BD659" i="19"/>
  <c r="BC659" i="19"/>
  <c r="BD852" i="19"/>
  <c r="BC852" i="19"/>
  <c r="BD885" i="19"/>
  <c r="BC885" i="19"/>
  <c r="BD420" i="19"/>
  <c r="BC420" i="19"/>
  <c r="BD309" i="19"/>
  <c r="BC309" i="19"/>
  <c r="BD251" i="19"/>
  <c r="BC251" i="19"/>
  <c r="BD583" i="19"/>
  <c r="BC583" i="19"/>
  <c r="BC57" i="19"/>
  <c r="BD57" i="19" s="1"/>
  <c r="BD342" i="19"/>
  <c r="BC342" i="19"/>
  <c r="BD455" i="19"/>
  <c r="BC455" i="19"/>
  <c r="BD600" i="19"/>
  <c r="BC600" i="19"/>
  <c r="BD305" i="19"/>
  <c r="BC305" i="19"/>
  <c r="BD823" i="19"/>
  <c r="BC823" i="19"/>
  <c r="BD637" i="19"/>
  <c r="BC637" i="19"/>
  <c r="BD366" i="19"/>
  <c r="BC366" i="19"/>
  <c r="BD592" i="19"/>
  <c r="BC592" i="19"/>
  <c r="BD618" i="19"/>
  <c r="BC618" i="19"/>
  <c r="BD279" i="19"/>
  <c r="BC279" i="19"/>
  <c r="BD590" i="19"/>
  <c r="BC590" i="19"/>
  <c r="BD758" i="19"/>
  <c r="BC758" i="19"/>
  <c r="BD355" i="19"/>
  <c r="BC355" i="19"/>
  <c r="BD775" i="19"/>
  <c r="BC775" i="19"/>
  <c r="BC31" i="19"/>
  <c r="BD31" i="19" s="1"/>
  <c r="BC44" i="19"/>
  <c r="BD44" i="19" s="1"/>
  <c r="BD275" i="19"/>
  <c r="BC275" i="19"/>
  <c r="BD792" i="19"/>
  <c r="BC792" i="19"/>
  <c r="BC120" i="19"/>
  <c r="BD120" i="19" s="1"/>
  <c r="BD211" i="19"/>
  <c r="BC211" i="19"/>
  <c r="BD138" i="19"/>
  <c r="BC138" i="19"/>
  <c r="BC66" i="19"/>
  <c r="BD66" i="19" s="1"/>
  <c r="BD788" i="19"/>
  <c r="BC788" i="19"/>
  <c r="BD412" i="19"/>
  <c r="BC412" i="19"/>
  <c r="BD262" i="19"/>
  <c r="BC262" i="19"/>
  <c r="BD360" i="19"/>
  <c r="BC360" i="19"/>
  <c r="BD597" i="19"/>
  <c r="BC597" i="19"/>
  <c r="BD137" i="19"/>
  <c r="BC137" i="19"/>
  <c r="BC60" i="19"/>
  <c r="BD60" i="19" s="1"/>
  <c r="BD265" i="19"/>
  <c r="BC265" i="19"/>
  <c r="BD296" i="19"/>
  <c r="BC296" i="19"/>
  <c r="BD835" i="19"/>
  <c r="BC835" i="19"/>
  <c r="BD294" i="19"/>
  <c r="BC294" i="19"/>
  <c r="BD868" i="19"/>
  <c r="BC868" i="19"/>
  <c r="BD831" i="19"/>
  <c r="BC831" i="19"/>
  <c r="BD913" i="19"/>
  <c r="BC913" i="19"/>
  <c r="BC97" i="19"/>
  <c r="BD97" i="19" s="1"/>
  <c r="BD636" i="19"/>
  <c r="BC636" i="19"/>
  <c r="BD394" i="19"/>
  <c r="BC394" i="19"/>
  <c r="BD532" i="19"/>
  <c r="BC532" i="19"/>
  <c r="BD170" i="19"/>
  <c r="BC170" i="19"/>
  <c r="BD172" i="19"/>
  <c r="BC172" i="19"/>
  <c r="BD336" i="19"/>
  <c r="BC336" i="19"/>
  <c r="BD234" i="19"/>
  <c r="BC234" i="19"/>
  <c r="BD135" i="19"/>
  <c r="BC135" i="19"/>
  <c r="BD772" i="19"/>
  <c r="BC772" i="19"/>
  <c r="BD507" i="19"/>
  <c r="BC507" i="19"/>
  <c r="BD683" i="19"/>
  <c r="BC683" i="19"/>
  <c r="BC99" i="19"/>
  <c r="BD99" i="19" s="1"/>
  <c r="BD628" i="19"/>
  <c r="BC628" i="19"/>
  <c r="BD381" i="19"/>
  <c r="BC381" i="19"/>
  <c r="BD607" i="19"/>
  <c r="BC607" i="19"/>
  <c r="BD473" i="19"/>
  <c r="BC473" i="19"/>
  <c r="BD164" i="19"/>
  <c r="BC164" i="19"/>
  <c r="BD175" i="19"/>
  <c r="BC175" i="19"/>
  <c r="BD621" i="19"/>
  <c r="BC621" i="19"/>
  <c r="BD593" i="19"/>
  <c r="BC593" i="19"/>
  <c r="BD359" i="19"/>
  <c r="BC359" i="19"/>
  <c r="BC54" i="19"/>
  <c r="BD54" i="19" s="1"/>
  <c r="BD649" i="19"/>
  <c r="BC649" i="19"/>
  <c r="BD146" i="19"/>
  <c r="BC146" i="19"/>
  <c r="BD144" i="19"/>
  <c r="BC144" i="19"/>
  <c r="BA23" i="19"/>
  <c r="BE23" i="19" s="1"/>
  <c r="BF23" i="19" s="1"/>
  <c r="BA542" i="19"/>
  <c r="BE542" i="19" s="1"/>
  <c r="BF542" i="19" s="1"/>
  <c r="BA18" i="19"/>
  <c r="BE18" i="19" s="1"/>
  <c r="BF18" i="19" s="1"/>
  <c r="BA932" i="19"/>
  <c r="BE932" i="19" s="1"/>
  <c r="BF932" i="19" s="1"/>
  <c r="BA712" i="19"/>
  <c r="BE712" i="19" s="1"/>
  <c r="BF712" i="19" s="1"/>
  <c r="BA287" i="19"/>
  <c r="BE287" i="19" s="1"/>
  <c r="BF287" i="19" s="1"/>
  <c r="BA631" i="19"/>
  <c r="BE631" i="19" s="1"/>
  <c r="BF631" i="19" s="1"/>
  <c r="BA680" i="19"/>
  <c r="BE680" i="19" s="1"/>
  <c r="BF680" i="19" s="1"/>
  <c r="BA846" i="19"/>
  <c r="BE846" i="19" s="1"/>
  <c r="BF846" i="19" s="1"/>
  <c r="BA673" i="19"/>
  <c r="BE673" i="19" s="1"/>
  <c r="BF673" i="19" s="1"/>
  <c r="BA640" i="19"/>
  <c r="BE640" i="19" s="1"/>
  <c r="BF640" i="19" s="1"/>
  <c r="BA810" i="19"/>
  <c r="BE810" i="19" s="1"/>
  <c r="BF810" i="19" s="1"/>
  <c r="BA219" i="19"/>
  <c r="BE219" i="19" s="1"/>
  <c r="BF219" i="19" s="1"/>
  <c r="BA638" i="19"/>
  <c r="BE638" i="19" s="1"/>
  <c r="BF638" i="19" s="1"/>
  <c r="BA904" i="19"/>
  <c r="BE904" i="19" s="1"/>
  <c r="BF904" i="19" s="1"/>
  <c r="BA560" i="19"/>
  <c r="BE560" i="19" s="1"/>
  <c r="BF560" i="19" s="1"/>
  <c r="BA326" i="19"/>
  <c r="BE326" i="19" s="1"/>
  <c r="BF326" i="19" s="1"/>
  <c r="BA527" i="19"/>
  <c r="BE527" i="19" s="1"/>
  <c r="BF527" i="19" s="1"/>
  <c r="BA228" i="19"/>
  <c r="BE228" i="19" s="1"/>
  <c r="BF228" i="19" s="1"/>
  <c r="BA750" i="19"/>
  <c r="BE750" i="19" s="1"/>
  <c r="BF750" i="19" s="1"/>
  <c r="BA766" i="19"/>
  <c r="BE766" i="19" s="1"/>
  <c r="BF766" i="19" s="1"/>
  <c r="BA123" i="19"/>
  <c r="BE123" i="19" s="1"/>
  <c r="BF123" i="19" s="1"/>
  <c r="BA886" i="19"/>
  <c r="BE886" i="19" s="1"/>
  <c r="BF886" i="19" s="1"/>
  <c r="BA290" i="19"/>
  <c r="BE290" i="19" s="1"/>
  <c r="BF290" i="19" s="1"/>
  <c r="BA688" i="19"/>
  <c r="BE688" i="19" s="1"/>
  <c r="BF688" i="19" s="1"/>
  <c r="BA692" i="19"/>
  <c r="BE692" i="19" s="1"/>
  <c r="BF692" i="19" s="1"/>
  <c r="BA703" i="19"/>
  <c r="BE703" i="19" s="1"/>
  <c r="BF703" i="19" s="1"/>
  <c r="BA806" i="19"/>
  <c r="BE806" i="19" s="1"/>
  <c r="BF806" i="19" s="1"/>
  <c r="BA747" i="19"/>
  <c r="BE747" i="19" s="1"/>
  <c r="BF747" i="19" s="1"/>
  <c r="BA744" i="19"/>
  <c r="BE744" i="19" s="1"/>
  <c r="BF744" i="19" s="1"/>
  <c r="BA860" i="19"/>
  <c r="BE860" i="19" s="1"/>
  <c r="BF860" i="19" s="1"/>
  <c r="BA521" i="19"/>
  <c r="BE521" i="19" s="1"/>
  <c r="BF521" i="19" s="1"/>
  <c r="BA759" i="19"/>
  <c r="BE759" i="19" s="1"/>
  <c r="BF759" i="19" s="1"/>
  <c r="BA347" i="19"/>
  <c r="BE347" i="19" s="1"/>
  <c r="BF347" i="19" s="1"/>
  <c r="BA617" i="19"/>
  <c r="BE617" i="19" s="1"/>
  <c r="BF617" i="19" s="1"/>
  <c r="BA63" i="19"/>
  <c r="BE63" i="19" s="1"/>
  <c r="BF63" i="19" s="1"/>
  <c r="BA50" i="19"/>
  <c r="BE50" i="19" s="1"/>
  <c r="BF50" i="19" s="1"/>
  <c r="BA814" i="19"/>
  <c r="BE814" i="19" s="1"/>
  <c r="BF814" i="19" s="1"/>
  <c r="BA482" i="19"/>
  <c r="BE482" i="19" s="1"/>
  <c r="BF482" i="19" s="1"/>
  <c r="BA331" i="19"/>
  <c r="BE331" i="19" s="1"/>
  <c r="BF331" i="19" s="1"/>
  <c r="BA328" i="19"/>
  <c r="BE328" i="19" s="1"/>
  <c r="BF328" i="19" s="1"/>
  <c r="BA699" i="19"/>
  <c r="BE699" i="19" s="1"/>
  <c r="BF699" i="19" s="1"/>
  <c r="BA220" i="19"/>
  <c r="BE220" i="19" s="1"/>
  <c r="BF220" i="19" s="1"/>
  <c r="BA320" i="19"/>
  <c r="BE320" i="19" s="1"/>
  <c r="BF320" i="19" s="1"/>
  <c r="BA877" i="19"/>
  <c r="BE877" i="19" s="1"/>
  <c r="BF877" i="19" s="1"/>
  <c r="BA395" i="19"/>
  <c r="BE395" i="19" s="1"/>
  <c r="BF395" i="19" s="1"/>
  <c r="BA58" i="19"/>
  <c r="BE58" i="19" s="1"/>
  <c r="BF58" i="19" s="1"/>
  <c r="BA885" i="19"/>
  <c r="BE885" i="19" s="1"/>
  <c r="BF885" i="19" s="1"/>
  <c r="BA281" i="19"/>
  <c r="BE281" i="19" s="1"/>
  <c r="BF281" i="19" s="1"/>
  <c r="BA171" i="19"/>
  <c r="BE171" i="19" s="1"/>
  <c r="BF171" i="19" s="1"/>
  <c r="BA367" i="19"/>
  <c r="BE367" i="19" s="1"/>
  <c r="BF367" i="19" s="1"/>
  <c r="BA901" i="19"/>
  <c r="BE901" i="19" s="1"/>
  <c r="BF901" i="19" s="1"/>
  <c r="BA342" i="19"/>
  <c r="BE342" i="19" s="1"/>
  <c r="BF342" i="19" s="1"/>
  <c r="BA912" i="19"/>
  <c r="BE912" i="19" s="1"/>
  <c r="BF912" i="19" s="1"/>
  <c r="BA898" i="19"/>
  <c r="BE898" i="19" s="1"/>
  <c r="BF898" i="19" s="1"/>
  <c r="BA453" i="19"/>
  <c r="BE453" i="19" s="1"/>
  <c r="BF453" i="19" s="1"/>
  <c r="BA353" i="19"/>
  <c r="BE353" i="19" s="1"/>
  <c r="BF353" i="19" s="1"/>
  <c r="BA366" i="19"/>
  <c r="BE366" i="19" s="1"/>
  <c r="BF366" i="19" s="1"/>
  <c r="BA451" i="19"/>
  <c r="BE451" i="19" s="1"/>
  <c r="BF451" i="19" s="1"/>
  <c r="BA483" i="19"/>
  <c r="BE483" i="19" s="1"/>
  <c r="BF483" i="19" s="1"/>
  <c r="BA670" i="19"/>
  <c r="BE670" i="19" s="1"/>
  <c r="BF670" i="19" s="1"/>
  <c r="BA826" i="19"/>
  <c r="BE826" i="19" s="1"/>
  <c r="BF826" i="19" s="1"/>
  <c r="BA355" i="19"/>
  <c r="BE355" i="19" s="1"/>
  <c r="BF355" i="19" s="1"/>
  <c r="BA449" i="19"/>
  <c r="BE449" i="19" s="1"/>
  <c r="BF449" i="19" s="1"/>
  <c r="BA276" i="19"/>
  <c r="BE276" i="19" s="1"/>
  <c r="BF276" i="19" s="1"/>
  <c r="BA794" i="19"/>
  <c r="BE794" i="19" s="1"/>
  <c r="BF794" i="19" s="1"/>
  <c r="BA151" i="19"/>
  <c r="BE151" i="19" s="1"/>
  <c r="BF151" i="19" s="1"/>
  <c r="BA120" i="19"/>
  <c r="BE120" i="19" s="1"/>
  <c r="BF120" i="19" s="1"/>
  <c r="BA850" i="19"/>
  <c r="BE850" i="19" s="1"/>
  <c r="BF850" i="19" s="1"/>
  <c r="BA104" i="19"/>
  <c r="BE104" i="19" s="1"/>
  <c r="BF104" i="19" s="1"/>
  <c r="BA788" i="19"/>
  <c r="BE788" i="19" s="1"/>
  <c r="BF788" i="19" s="1"/>
  <c r="BA316" i="19"/>
  <c r="BE316" i="19" s="1"/>
  <c r="BF316" i="19" s="1"/>
  <c r="BA360" i="19"/>
  <c r="BE360" i="19" s="1"/>
  <c r="BF360" i="19" s="1"/>
  <c r="BA609" i="19"/>
  <c r="BE609" i="19" s="1"/>
  <c r="BF609" i="19" s="1"/>
  <c r="BA60" i="19"/>
  <c r="BE60" i="19" s="1"/>
  <c r="BF60" i="19" s="1"/>
  <c r="BA656" i="19"/>
  <c r="BE656" i="19" s="1"/>
  <c r="BF656" i="19" s="1"/>
  <c r="BA835" i="19"/>
  <c r="BE835" i="19" s="1"/>
  <c r="BF835" i="19" s="1"/>
  <c r="BA566" i="19"/>
  <c r="BE566" i="19" s="1"/>
  <c r="BF566" i="19" s="1"/>
  <c r="BA831" i="19"/>
  <c r="BE831" i="19" s="1"/>
  <c r="BF831" i="19" s="1"/>
  <c r="BA256" i="19"/>
  <c r="BE256" i="19" s="1"/>
  <c r="BF256" i="19" s="1"/>
  <c r="BA636" i="19"/>
  <c r="BE636" i="19" s="1"/>
  <c r="BF636" i="19" s="1"/>
  <c r="BA488" i="19"/>
  <c r="BE488" i="19" s="1"/>
  <c r="BF488" i="19" s="1"/>
  <c r="BA170" i="19"/>
  <c r="BE170" i="19" s="1"/>
  <c r="BF170" i="19" s="1"/>
  <c r="BA763" i="19"/>
  <c r="BE763" i="19" s="1"/>
  <c r="BF763" i="19" s="1"/>
  <c r="BA234" i="19"/>
  <c r="BE234" i="19" s="1"/>
  <c r="BF234" i="19" s="1"/>
  <c r="BA698" i="19"/>
  <c r="BE698" i="19" s="1"/>
  <c r="BF698" i="19" s="1"/>
  <c r="BA507" i="19"/>
  <c r="BE507" i="19" s="1"/>
  <c r="BF507" i="19" s="1"/>
  <c r="BA199" i="19"/>
  <c r="BE199" i="19" s="1"/>
  <c r="BF199" i="19" s="1"/>
  <c r="BD273" i="19"/>
  <c r="BC273" i="19"/>
  <c r="BA273" i="19"/>
  <c r="BE273" i="19" s="1"/>
  <c r="BF273" i="19" s="1"/>
  <c r="C2" i="29"/>
  <c r="D2" i="29" s="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10" authorId="0" shapeId="0" xr:uid="{080F6630-8E9E-4D76-82B1-0A37EC83FD29}">
      <text>
        <r>
          <rPr>
            <sz val="10"/>
            <color indexed="81"/>
            <rFont val="Lucida Console"/>
            <family val="3"/>
          </rPr>
          <t xml:space="preserve">Ordenado por: ITEM_x000D_
_x000D_
          1ª Coluna  ==  ITEM_x000D_
</t>
        </r>
      </text>
    </comment>
    <comment ref="E10" authorId="1" shapeId="0" xr:uid="{00000000-0006-0000-0800-000002000000}">
      <text>
        <r>
          <rPr>
            <sz val="10"/>
            <color indexed="81"/>
            <rFont val="Lucida Console"/>
            <family val="3"/>
          </rPr>
          <t>Filtro aplicado: ( 61 )</t>
        </r>
      </text>
    </comment>
    <comment ref="J10" authorId="1" shapeId="0" xr:uid="{00000000-0006-0000-0800-000003000000}">
      <text>
        <r>
          <rPr>
            <b/>
            <sz val="9"/>
            <color indexed="81"/>
            <rFont val="Segoe UI"/>
            <family val="2"/>
          </rPr>
          <t xml:space="preserve">Filtro aplicado: </t>
        </r>
        <r>
          <rPr>
            <sz val="9"/>
            <color indexed="81"/>
            <rFont val="Segoe UI"/>
            <family val="2"/>
          </rPr>
          <t>( 177/18 )</t>
        </r>
      </text>
    </comment>
    <comment ref="W10" authorId="1" shapeId="0" xr:uid="{00000000-0006-0000-0800-000004000000}">
      <text>
        <r>
          <rPr>
            <sz val="10"/>
            <color indexed="81"/>
            <rFont val="Lucida Console"/>
            <family val="3"/>
          </rPr>
          <t>Filtro aplicado: (  )</t>
        </r>
      </text>
    </comment>
    <comment ref="X10" authorId="1" shapeId="0" xr:uid="{00000000-0006-0000-0800-000005000000}">
      <text>
        <r>
          <rPr>
            <sz val="10"/>
            <color indexed="81"/>
            <rFont val="Lucida Console"/>
            <family val="3"/>
          </rPr>
          <t>Filtro aplicado: (  )</t>
        </r>
      </text>
    </comment>
    <comment ref="Y10" authorId="1"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557464B0-2CDF-4EBF-BE15-32C04BC05B24}">
      <text>
        <r>
          <rPr>
            <sz val="10"/>
            <color indexed="81"/>
            <rFont val="Lucida Console"/>
            <family val="3"/>
          </rPr>
          <t>_x000D_
TELA DE ARAME GALVANIZADO - FIO 10 - MALHA 2.1/2" X 4 METROS DE ALTURA</t>
        </r>
      </text>
    </comment>
    <comment ref="E11" authorId="0" shapeId="0" xr:uid="{687B1EFB-6F6A-4232-93A6-6C801EE56972}">
      <text>
        <r>
          <rPr>
            <sz val="10"/>
            <color indexed="81"/>
            <rFont val="Lucida Console"/>
            <family val="3"/>
          </rPr>
          <t>_x000D_
MAT.E EQUIP. P/ CONSTR.CIVIL E CONSERV. DE VIAS PUBL.</t>
        </r>
      </text>
    </comment>
    <comment ref="F11" authorId="0" shapeId="0" xr:uid="{47079367-565D-47DE-A7BF-EBC7F08A6B67}">
      <text>
        <r>
          <rPr>
            <sz val="10"/>
            <color indexed="81"/>
            <rFont val="Lucida Console"/>
            <family val="3"/>
          </rPr>
          <t>_x000D_
TELAS DE MALHA FINA, GROSSA, DE ALAMBRADO E MOUROES</t>
        </r>
      </text>
    </comment>
    <comment ref="T11" authorId="0" shapeId="0" xr:uid="{84C86767-C3E8-46FD-8003-21F2A97FBCF1}">
      <text>
        <r>
          <rPr>
            <sz val="9"/>
            <color indexed="81"/>
            <rFont val="Segoe UI"/>
            <family val="2"/>
          </rPr>
          <t>54680|TELA DE ARAME GALVANIZADO - FIO 10 - MALHA 2.1/2" X 4 METRO|M2|250|38,31|9577,5|17/23|06/02/2024|||||</t>
        </r>
      </text>
    </comment>
    <comment ref="C12" authorId="0" shapeId="0" xr:uid="{E4BD59E5-3715-44C8-BA4D-1FF6B0EECC07}">
      <text>
        <r>
          <rPr>
            <sz val="10"/>
            <color indexed="81"/>
            <rFont val="Lucida Console"/>
            <family val="3"/>
          </rPr>
          <t>_x000D_
COPO PLASTICO DESCARTAVEL - 50 ML - PT C/ 100 UNID (CAFE) - DE ACORDO COM A NORMA DA ABNT NBR 14.865</t>
        </r>
      </text>
    </comment>
    <comment ref="E12" authorId="0" shapeId="0" xr:uid="{ACC95CF1-CAD9-4D73-BC55-327DC59CA884}">
      <text>
        <r>
          <rPr>
            <sz val="10"/>
            <color indexed="81"/>
            <rFont val="Lucida Console"/>
            <family val="3"/>
          </rPr>
          <t>_x000D_
EQUIP.E MAT. P/REFEITORIO, COPA E COZINHA</t>
        </r>
      </text>
    </comment>
    <comment ref="F12" authorId="0" shapeId="0" xr:uid="{40F70025-8BE0-434D-BAEA-E21EE7702827}">
      <text>
        <r>
          <rPr>
            <sz val="10"/>
            <color indexed="81"/>
            <rFont val="Lucida Console"/>
            <family val="3"/>
          </rPr>
          <t>_x000D_
CANECAS, XICARAS, COPOS E TACAS</t>
        </r>
      </text>
    </comment>
    <comment ref="T12" authorId="0" shapeId="0" xr:uid="{C8980479-85B8-484C-97B1-72C932F901D0}">
      <text>
        <r>
          <rPr>
            <sz val="9"/>
            <color indexed="81"/>
            <rFont val="Segoe UI"/>
            <family val="2"/>
          </rPr>
          <t>12652|COPO PLASTICO DESCARTAVEL - 50 ML - PT C/ 100 UNID (CAFE)|PT|2500|1,82|4550|108/23|11/06/2024|||||</t>
        </r>
      </text>
    </comment>
    <comment ref="C13" authorId="0" shapeId="0" xr:uid="{88D73A85-7417-4E0D-ACA2-8FB4A382A815}">
      <text>
        <r>
          <rPr>
            <sz val="10"/>
            <color indexed="81"/>
            <rFont val="Lucida Console"/>
            <family val="3"/>
          </rPr>
          <t>_x000D_
MARGARINA VEGETAL COM SAL -  LIPIDEOS TOTAIS: MINIMO 75% E MAXIMO 85%</t>
        </r>
      </text>
    </comment>
    <comment ref="E13" authorId="0" shapeId="0" xr:uid="{EA0CE2CB-F9C7-4476-87F3-69C730719B35}">
      <text>
        <r>
          <rPr>
            <sz val="10"/>
            <color indexed="81"/>
            <rFont val="Lucida Console"/>
            <family val="3"/>
          </rPr>
          <t>_x000D_
GENEROS ALIMENTICIOS E BEBIDAS</t>
        </r>
      </text>
    </comment>
    <comment ref="F13" authorId="0" shapeId="0" xr:uid="{AD93F950-6628-4683-BF9F-6822EEEE6439}">
      <text>
        <r>
          <rPr>
            <sz val="10"/>
            <color indexed="81"/>
            <rFont val="Lucida Console"/>
            <family val="3"/>
          </rPr>
          <t>_x000D_
GORDURAS E DERIVADOS</t>
        </r>
      </text>
    </comment>
    <comment ref="T13" authorId="0" shapeId="0" xr:uid="{AEFD3579-D124-44D7-8950-A68655E715D0}">
      <text>
        <r>
          <rPr>
            <sz val="9"/>
            <color indexed="81"/>
            <rFont val="Segoe UI"/>
            <family val="2"/>
          </rPr>
          <t>10412|MARGARINA VEGETAL COM SAL - LIPIDEOS TOTAIS: MINIMO 75% E MAXIMO 85%|KG|400|13,5|5400|124/23|16/07/2024|||||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Administrador</author>
    <author>MARCOS VINICIO PEREIRA</author>
    <author>Marcos</author>
  </authors>
  <commentList>
    <comment ref="D1" authorId="0" shapeId="0" xr:uid="{A7FCDB3B-4FE7-497B-88FB-B2CF9CD25F82}">
      <text>
        <r>
          <rPr>
            <sz val="10"/>
            <color indexed="81"/>
            <rFont val="Lucida Console"/>
            <family val="3"/>
          </rPr>
          <t>Data e hora do arquivo de RC´s que foi importado_x000D_
02/08/2023 14:00:41</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2" shapeId="0" xr:uid="{E468115C-33C2-42EE-A594-C0F78900CE73}">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837970EA-982A-4EDA-89BA-BDC4E5285AF8}">
      <text>
        <r>
          <rPr>
            <sz val="10"/>
            <color indexed="81"/>
            <rFont val="Lucida Console"/>
            <family val="3"/>
          </rPr>
          <t xml:space="preserve">     DESCRIÇÃO</t>
        </r>
      </text>
    </comment>
    <comment ref="C3" authorId="0" shapeId="0" xr:uid="{EDEC8594-92FB-4727-A245-98A44A496D21}">
      <text>
        <r>
          <rPr>
            <sz val="10"/>
            <color indexed="81"/>
            <rFont val="Lucida Console"/>
            <family val="3"/>
          </rPr>
          <t xml:space="preserve">     UNIDADE</t>
        </r>
      </text>
    </comment>
    <comment ref="D3" authorId="0" shapeId="0" xr:uid="{44D1C50F-89C2-41EF-86C3-9EFC1C3D3D87}">
      <text>
        <r>
          <rPr>
            <sz val="10"/>
            <color indexed="81"/>
            <rFont val="Lucida Console"/>
            <family val="3"/>
          </rPr>
          <t xml:space="preserve">     VALOR UNIT.</t>
        </r>
      </text>
    </comment>
    <comment ref="E3" authorId="0" shapeId="0" xr:uid="{9D8E60E6-46C3-44D3-B0C4-8B367ACB8CDF}">
      <text>
        <r>
          <rPr>
            <sz val="10"/>
            <color indexed="81"/>
            <rFont val="Lucida Console"/>
            <family val="3"/>
          </rPr>
          <t xml:space="preserve">     MARCA</t>
        </r>
      </text>
    </comment>
    <comment ref="F3" authorId="0" shapeId="0" xr:uid="{46F2997E-2CB9-4767-B417-5A2E1140C5E8}">
      <text>
        <r>
          <rPr>
            <sz val="10"/>
            <color indexed="81"/>
            <rFont val="Lucida Console"/>
            <family val="3"/>
          </rPr>
          <t xml:space="preserve">     FORNECEDOR</t>
        </r>
      </text>
    </comment>
    <comment ref="G3" authorId="0" shapeId="0" xr:uid="{EB7C681E-6FA9-45AA-9A36-7F72BEC2D732}">
      <text>
        <r>
          <rPr>
            <sz val="10"/>
            <color indexed="81"/>
            <rFont val="Lucida Console"/>
            <family val="3"/>
          </rPr>
          <t xml:space="preserve">     LICITACAO</t>
        </r>
      </text>
    </comment>
    <comment ref="H3" authorId="0" shapeId="0" xr:uid="{84023163-EA03-466A-BE4D-762F70B6DD8F}">
      <text>
        <r>
          <rPr>
            <sz val="10"/>
            <color indexed="81"/>
            <rFont val="Lucida Console"/>
            <family val="3"/>
          </rPr>
          <t xml:space="preserve">     QTDE ATUAL</t>
        </r>
      </text>
    </comment>
    <comment ref="I3" authorId="0" shapeId="0" xr:uid="{B9CA5AFC-273A-4CF3-AEF9-277F9F8D40B5}">
      <text>
        <r>
          <rPr>
            <sz val="10"/>
            <color indexed="81"/>
            <rFont val="Lucida Console"/>
            <family val="3"/>
          </rPr>
          <t xml:space="preserve">     COD. ALMOX</t>
        </r>
      </text>
    </comment>
    <comment ref="J3" authorId="0" shapeId="0" xr:uid="{3DB09B2A-0158-47C0-9563-BC814AE1FF3D}">
      <text>
        <r>
          <rPr>
            <sz val="10"/>
            <color indexed="81"/>
            <rFont val="Lucida Console"/>
            <family val="3"/>
          </rPr>
          <t xml:space="preserve">     PREÇO MÉDIO</t>
        </r>
      </text>
    </comment>
    <comment ref="K3" authorId="0" shapeId="0" xr:uid="{86816E94-85DA-4314-8394-5FB252C45120}">
      <text>
        <r>
          <rPr>
            <sz val="10"/>
            <color indexed="81"/>
            <rFont val="Lucida Console"/>
            <family val="3"/>
          </rPr>
          <t xml:space="preserve">     L.C. 6 MESES</t>
        </r>
      </text>
    </comment>
    <comment ref="L3" authorId="0" shapeId="0" xr:uid="{D01928AC-7F30-4480-96F3-43D28385BF59}">
      <text>
        <r>
          <rPr>
            <sz val="10"/>
            <color indexed="81"/>
            <rFont val="Lucida Console"/>
            <family val="3"/>
          </rPr>
          <t xml:space="preserve">     TEMPO ESTOQUE</t>
        </r>
      </text>
    </comment>
    <comment ref="M3" authorId="0" shapeId="0" xr:uid="{DDFC2F33-C107-48D9-8695-39FF171ADDCB}">
      <text>
        <r>
          <rPr>
            <sz val="10"/>
            <color indexed="81"/>
            <rFont val="Lucida Console"/>
            <family val="3"/>
          </rPr>
          <t xml:space="preserve">     LC</t>
        </r>
      </text>
    </comment>
    <comment ref="N3" authorId="0" shapeId="0" xr:uid="{1183FF5A-8A91-4A50-8A9F-89DF94D2A5CB}">
      <text>
        <r>
          <rPr>
            <sz val="10"/>
            <color indexed="81"/>
            <rFont val="Lucida Console"/>
            <family val="3"/>
          </rPr>
          <t xml:space="preserve">     TOTAL</t>
        </r>
      </text>
    </comment>
    <comment ref="O3" authorId="0" shapeId="0" xr:uid="{26B77D9D-CAD5-4D5D-A07E-BF979B7EE44B}">
      <text>
        <r>
          <rPr>
            <sz val="10"/>
            <color indexed="81"/>
            <rFont val="Lucida Console"/>
            <family val="3"/>
          </rPr>
          <t xml:space="preserve">     ATA Nº/ANO</t>
        </r>
      </text>
    </comment>
    <comment ref="P3" authorId="0" shapeId="0" xr:uid="{BAA48A38-8096-4E9A-99DA-79A5615889F5}">
      <text>
        <r>
          <rPr>
            <sz val="10"/>
            <color indexed="81"/>
            <rFont val="Lucida Console"/>
            <family val="3"/>
          </rPr>
          <t xml:space="preserve">     ATA SALDO</t>
        </r>
      </text>
    </comment>
    <comment ref="Q3" authorId="0" shapeId="0" xr:uid="{D5F94B94-11D5-41F5-8BEE-B322E73BFFD4}">
      <text>
        <r>
          <rPr>
            <sz val="10"/>
            <color indexed="81"/>
            <rFont val="Lucida Console"/>
            <family val="3"/>
          </rPr>
          <t xml:space="preserve">     ATA QTDE</t>
        </r>
      </text>
    </comment>
    <comment ref="R3" authorId="0" shapeId="0" xr:uid="{FB216268-5AB1-44E6-BC05-CF58BA8D5D07}">
      <text>
        <r>
          <rPr>
            <sz val="10"/>
            <color indexed="81"/>
            <rFont val="Lucida Console"/>
            <family val="3"/>
          </rPr>
          <t xml:space="preserve">     ATA VALOR</t>
        </r>
      </text>
    </comment>
    <comment ref="S3" authorId="0" shapeId="0" xr:uid="{81A600D6-F719-4E24-AF7B-B7D93E8EFC31}">
      <text>
        <r>
          <rPr>
            <sz val="10"/>
            <color indexed="81"/>
            <rFont val="Lucida Console"/>
            <family val="3"/>
          </rPr>
          <t xml:space="preserve">     ATA DT.VALID.</t>
        </r>
      </text>
    </comment>
    <comment ref="T3" authorId="0" shapeId="0" xr:uid="{C0423953-41C7-4488-8C01-AB84AE5EE81A}">
      <text>
        <r>
          <rPr>
            <sz val="10"/>
            <color indexed="81"/>
            <rFont val="Lucida Console"/>
            <family val="3"/>
          </rPr>
          <t xml:space="preserve">     ATA MESES</t>
        </r>
      </text>
    </comment>
    <comment ref="U3" authorId="0" shapeId="0" xr:uid="{518697D0-4D14-477B-8EC9-7B135C3DC395}">
      <text>
        <r>
          <rPr>
            <sz val="10"/>
            <color indexed="81"/>
            <rFont val="Lucida Console"/>
            <family val="3"/>
          </rPr>
          <t xml:space="preserve">     DESCRIÇÃO DA ESTRUTURA</t>
        </r>
      </text>
    </comment>
    <comment ref="V3" authorId="0" shapeId="0" xr:uid="{9B2190E0-91B1-4C9C-9C5B-379B98D050A9}">
      <text>
        <r>
          <rPr>
            <sz val="10"/>
            <color indexed="81"/>
            <rFont val="Lucida Console"/>
            <family val="3"/>
          </rPr>
          <t xml:space="preserve">     ESTRUTURA</t>
        </r>
      </text>
    </comment>
    <comment ref="W3" authorId="0" shapeId="0" xr:uid="{55BBA417-B966-42FB-9136-48842B69FBC6}">
      <text>
        <r>
          <rPr>
            <sz val="10"/>
            <color indexed="81"/>
            <rFont val="Lucida Console"/>
            <family val="3"/>
          </rPr>
          <t xml:space="preserve">     SETOR</t>
        </r>
      </text>
    </comment>
    <comment ref="X3" authorId="0" shapeId="0" xr:uid="{BFC4940C-4720-4C03-AA49-598B9AAD18B0}">
      <text>
        <r>
          <rPr>
            <sz val="10"/>
            <color indexed="81"/>
            <rFont val="Lucida Console"/>
            <family val="3"/>
          </rPr>
          <t xml:space="preserve">     GRUPO</t>
        </r>
      </text>
    </comment>
    <comment ref="Y3" authorId="0" shapeId="0" xr:uid="{1BB1FADF-D7E4-43C2-981C-966C3168106F}">
      <text>
        <r>
          <rPr>
            <sz val="10"/>
            <color indexed="81"/>
            <rFont val="Lucida Console"/>
            <family val="3"/>
          </rPr>
          <t xml:space="preserve">     SUBGRUPO</t>
        </r>
      </text>
    </comment>
    <comment ref="Z3" authorId="0" shapeId="0" xr:uid="{6AC0B493-0FE7-4D01-85DC-784CB22868EE}">
      <text>
        <r>
          <rPr>
            <sz val="10"/>
            <color indexed="81"/>
            <rFont val="Lucida Console"/>
            <family val="3"/>
          </rPr>
          <t xml:space="preserve">     RC Nº</t>
        </r>
      </text>
    </comment>
    <comment ref="AA3" authorId="0" shapeId="0" xr:uid="{267D7BD2-0C87-40D4-8124-43DAACFE79BF}">
      <text>
        <r>
          <rPr>
            <sz val="10"/>
            <color indexed="81"/>
            <rFont val="Lucida Console"/>
            <family val="3"/>
          </rPr>
          <t xml:space="preserve">     RC ANO</t>
        </r>
      </text>
    </comment>
    <comment ref="AB3" authorId="0" shapeId="0" xr:uid="{12A4189B-1A1F-433F-9189-7DA944588347}">
      <text>
        <r>
          <rPr>
            <sz val="10"/>
            <color indexed="81"/>
            <rFont val="Lucida Console"/>
            <family val="3"/>
          </rPr>
          <t xml:space="preserve">     RC QTDE</t>
        </r>
      </text>
    </comment>
    <comment ref="AC3" authorId="0" shapeId="0" xr:uid="{814C5811-72FC-4012-A23C-04581C1E5F39}">
      <text>
        <r>
          <rPr>
            <sz val="10"/>
            <color indexed="81"/>
            <rFont val="Lucida Console"/>
            <family val="3"/>
          </rPr>
          <t xml:space="preserve">     AF Nº</t>
        </r>
      </text>
    </comment>
    <comment ref="AD3" authorId="0" shapeId="0" xr:uid="{8731328B-C2A9-45CE-AA05-291D49EEFB06}">
      <text>
        <r>
          <rPr>
            <sz val="10"/>
            <color indexed="81"/>
            <rFont val="Lucida Console"/>
            <family val="3"/>
          </rPr>
          <t xml:space="preserve">     AF ANO</t>
        </r>
      </text>
    </comment>
    <comment ref="AE3" authorId="0" shapeId="0" xr:uid="{58B9A594-8C99-47E9-B1DA-500B715E89B3}">
      <text>
        <r>
          <rPr>
            <sz val="10"/>
            <color indexed="81"/>
            <rFont val="Lucida Console"/>
            <family val="3"/>
          </rPr>
          <t xml:space="preserve">     AF SALDO</t>
        </r>
      </text>
    </comment>
    <comment ref="AF3" authorId="0" shapeId="0" xr:uid="{E8047E5C-BC8D-4F1C-81B3-6FC7DDE0AC19}">
      <text>
        <r>
          <rPr>
            <sz val="10"/>
            <color indexed="81"/>
            <rFont val="Lucida Console"/>
            <family val="3"/>
          </rPr>
          <t xml:space="preserve">     AF QTDE</t>
        </r>
      </text>
    </comment>
    <comment ref="AG3" authorId="0" shapeId="0" xr:uid="{8DD688CB-351A-4DD3-A444-8562907CB40E}">
      <text>
        <r>
          <rPr>
            <sz val="10"/>
            <color indexed="81"/>
            <rFont val="Lucida Console"/>
            <family val="3"/>
          </rPr>
          <t xml:space="preserve">     AF FORN</t>
        </r>
      </text>
    </comment>
    <comment ref="AH3" authorId="0" shapeId="0" xr:uid="{C2BF6458-4EB3-4660-B987-4CD0F83B3DFE}">
      <text>
        <r>
          <rPr>
            <sz val="10"/>
            <color indexed="81"/>
            <rFont val="Lucida Console"/>
            <family val="3"/>
          </rPr>
          <t xml:space="preserve">     AF VENC</t>
        </r>
      </text>
    </comment>
    <comment ref="AI3" authorId="0" shapeId="0" xr:uid="{F2CEF657-6884-41CB-8B7B-3F0C390A8AF4}">
      <text>
        <r>
          <rPr>
            <sz val="10"/>
            <color indexed="81"/>
            <rFont val="Lucida Console"/>
            <family val="3"/>
          </rPr>
          <t xml:space="preserve">     PONTO PEDIDO</t>
        </r>
      </text>
    </comment>
    <comment ref="AJ3" authorId="0" shapeId="0" xr:uid="{CF3C6D51-15E7-43D8-8AAF-F864918350F7}">
      <text>
        <r>
          <rPr>
            <sz val="10"/>
            <color indexed="81"/>
            <rFont val="Lucida Console"/>
            <family val="3"/>
          </rPr>
          <t xml:space="preserve">     DATA ENTREGA</t>
        </r>
      </text>
    </comment>
    <comment ref="AK3" authorId="0" shapeId="0" xr:uid="{15908584-4848-4B07-8136-FDA1B5DFEB55}">
      <text>
        <r>
          <rPr>
            <sz val="10"/>
            <color indexed="81"/>
            <rFont val="Lucida Console"/>
            <family val="3"/>
          </rPr>
          <t xml:space="preserve">     DATA INCLUSÃO</t>
        </r>
      </text>
    </comment>
    <comment ref="AL3" authorId="0" shapeId="0" xr:uid="{5A9B95FA-A1D2-40C3-864B-0E0B15DA9EC5}">
      <text>
        <r>
          <rPr>
            <sz val="10"/>
            <color indexed="81"/>
            <rFont val="Lucida Console"/>
            <family val="3"/>
          </rPr>
          <t xml:space="preserve">     DATA ALTERAÇÃO</t>
        </r>
      </text>
    </comment>
    <comment ref="AM3" authorId="0" shapeId="0" xr:uid="{87D0174F-ECA6-47B2-9925-EAC0BE090DE1}">
      <text>
        <r>
          <rPr>
            <sz val="10"/>
            <color indexed="81"/>
            <rFont val="Lucida Console"/>
            <family val="3"/>
          </rPr>
          <t xml:space="preserve">     DATA DESATIVAÇÃO</t>
        </r>
      </text>
    </comment>
    <comment ref="AN3" authorId="0" shapeId="0" xr:uid="{FBD59D02-F306-4B30-9031-EB34EF1E4C94}">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3"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594DE179-7C19-42BC-B784-53D50B6512F2}">
      <text>
        <r>
          <rPr>
            <sz val="10"/>
            <color indexed="81"/>
            <rFont val="Lucida Console"/>
            <family val="3"/>
          </rPr>
          <t>_x000D_
17115</t>
        </r>
      </text>
    </comment>
    <comment ref="B4" authorId="0" shapeId="0" xr:uid="{02ED4B3B-6EE0-44F6-A66D-E9673566F11C}">
      <text>
        <r>
          <rPr>
            <sz val="10"/>
            <color indexed="81"/>
            <rFont val="Lucida Console"/>
            <family val="3"/>
          </rPr>
          <t>DESCRIÇÃO DETALHADA_x000D_
GUARDANAPO DE PAPEL 23 X 22 CM - PACOTE COM 50 UNIDADES</t>
        </r>
      </text>
    </comment>
    <comment ref="G4" authorId="0" shapeId="0" xr:uid="{20E6EED6-4E41-424D-A5F1-DE43F4C9386C}">
      <text>
        <r>
          <rPr>
            <sz val="10"/>
            <color indexed="81"/>
            <rFont val="Lucida Console"/>
            <family val="3"/>
          </rPr>
          <t>_x000D_
Últ estimativa : 10.000_x000D_
Enviada em     : 22.04.2021_x000D_
Ata - Venc     : 178/20 - 20.08.2021</t>
        </r>
      </text>
    </comment>
    <comment ref="W4" authorId="0" shapeId="0" xr:uid="{E7803822-792B-4A46-B344-6569AA56E81F}">
      <text>
        <r>
          <rPr>
            <sz val="10"/>
            <color indexed="81"/>
            <rFont val="Lucida Console"/>
            <family val="3"/>
          </rPr>
          <t>_x000D_
Administrativo</t>
        </r>
      </text>
    </comment>
    <comment ref="X4" authorId="0" shapeId="0" xr:uid="{525A938D-5A03-4067-83F8-868DFDF7B1A2}">
      <text>
        <r>
          <rPr>
            <sz val="10"/>
            <color indexed="81"/>
            <rFont val="Lucida Console"/>
            <family val="3"/>
          </rPr>
          <t>_x000D_
ART. DOMEST. DECO. GUARNI. DE AMBI.TECI. VEICULOS</t>
        </r>
      </text>
    </comment>
    <comment ref="Y4" authorId="0" shapeId="0" xr:uid="{D2A3158E-00CF-41EA-82FD-158DFFEBADAF}">
      <text>
        <r>
          <rPr>
            <sz val="10"/>
            <color indexed="81"/>
            <rFont val="Lucida Console"/>
            <family val="3"/>
          </rPr>
          <t>_x000D_
ART. P/ CAMA MESA E BANHO</t>
        </r>
      </text>
    </comment>
    <comment ref="AC4" authorId="0" shapeId="0" xr:uid="{E17544F8-8E02-4B97-B6DE-A2A8A40DA4C3}">
      <text>
        <r>
          <rPr>
            <sz val="10"/>
            <color indexed="81"/>
            <rFont val="Lucida Console"/>
            <family val="3"/>
          </rPr>
          <t>_x000D_
AF  4.567/23 | Vc 24.05.2023 | Saldo  4.000 | CLEANING DISTRIBUIDORA DE PRODUTOS DE LIMPEZA LTDA ( 233259 )</t>
        </r>
      </text>
    </comment>
    <comment ref="AG4" authorId="0" shapeId="0" xr:uid="{A7B9213D-4B2D-485C-8259-600F5C9C5028}">
      <text>
        <r>
          <rPr>
            <sz val="10"/>
            <color indexed="81"/>
            <rFont val="Lucida Console"/>
            <family val="3"/>
          </rPr>
          <t>_x000D_
AF  4.567/23 | Vc 24.05.2023 | Saldo  4.000 | CLEANING DISTRIBUIDORA DE PRODUTOS DE LIMPEZA LTDA ( 233259 )</t>
        </r>
      </text>
    </comment>
    <comment ref="AW4" authorId="0" shapeId="0" xr:uid="{6E93A4EF-06F7-4CDC-8B52-2F5EF7CAB10A}">
      <text>
        <r>
          <rPr>
            <sz val="10"/>
            <color indexed="81"/>
            <rFont val="Lucida Console"/>
            <family val="3"/>
          </rPr>
          <t>Tempo de Estoque (Meses)_x000D_
_x000D_
0,0</t>
        </r>
      </text>
    </comment>
    <comment ref="A5" authorId="0" shapeId="0" xr:uid="{FEC0A532-5E91-4FF2-BEE6-54D7DF6B3270}">
      <text>
        <r>
          <rPr>
            <sz val="10"/>
            <color indexed="81"/>
            <rFont val="Lucida Console"/>
            <family val="3"/>
          </rPr>
          <t>_x000D_
54680</t>
        </r>
      </text>
    </comment>
    <comment ref="B5" authorId="0" shapeId="0" xr:uid="{FE1D7F66-64A0-46EB-991A-501378FAF03D}">
      <text>
        <r>
          <rPr>
            <sz val="10"/>
            <color indexed="81"/>
            <rFont val="Lucida Console"/>
            <family val="3"/>
          </rPr>
          <t>DESCRIÇÃO DETALHADA_x000D_
TELA DE ARAME GALVANIZADO - FIO 10 - MALHA 2.1/2" X 4 METROS DE ALTURA</t>
        </r>
      </text>
    </comment>
    <comment ref="G5" authorId="0" shapeId="0" xr:uid="{2B55FF8C-FD5E-4E9A-8AB5-6B919E5597CE}">
      <text>
        <r>
          <rPr>
            <sz val="10"/>
            <color indexed="81"/>
            <rFont val="Lucida Console"/>
            <family val="3"/>
          </rPr>
          <t>_x000D_
Últ estimativa : 400_x000D_
Enviada em     : 14.02.2020_x000D_
Ata - Venc     : 147/20 - 06.07.2021</t>
        </r>
      </text>
    </comment>
    <comment ref="W5" authorId="0" shapeId="0" xr:uid="{540714DC-2824-4AE4-BDD5-44464C485D0B}">
      <text>
        <r>
          <rPr>
            <sz val="10"/>
            <color indexed="81"/>
            <rFont val="Lucida Console"/>
            <family val="3"/>
          </rPr>
          <t>_x000D_
DM-Construção</t>
        </r>
      </text>
    </comment>
    <comment ref="X5" authorId="0" shapeId="0" xr:uid="{F6C69B36-64D8-4F67-A207-39F9AA98C292}">
      <text>
        <r>
          <rPr>
            <sz val="10"/>
            <color indexed="81"/>
            <rFont val="Lucida Console"/>
            <family val="3"/>
          </rPr>
          <t>_x000D_
MAT.E EQUIP. P/ CONSTR.CIVIL E CONSERV. DE VIAS PUBL.</t>
        </r>
      </text>
    </comment>
    <comment ref="Y5" authorId="0" shapeId="0" xr:uid="{EA12C0AE-8029-4969-B467-DD83F23AFBA5}">
      <text>
        <r>
          <rPr>
            <sz val="10"/>
            <color indexed="81"/>
            <rFont val="Lucida Console"/>
            <family val="3"/>
          </rPr>
          <t>_x000D_
TELAS DE MALHA FINA, GROSSA, DE ALAMBRADO E MOUROES</t>
        </r>
      </text>
    </comment>
    <comment ref="AW5" authorId="0" shapeId="0" xr:uid="{EAC544B2-EDC0-46E7-93BD-325B482DF864}">
      <text>
        <r>
          <rPr>
            <sz val="10"/>
            <color indexed="81"/>
            <rFont val="Lucida Console"/>
            <family val="3"/>
          </rPr>
          <t>Tempo de Estoque (Meses)_x000D_
_x000D_
130,0</t>
        </r>
      </text>
    </comment>
    <comment ref="A6" authorId="0" shapeId="0" xr:uid="{9D8E7165-5C1E-4C81-BE5A-FD42C963831D}">
      <text>
        <r>
          <rPr>
            <sz val="10"/>
            <color indexed="81"/>
            <rFont val="Lucida Console"/>
            <family val="3"/>
          </rPr>
          <t>_x000D_
14154</t>
        </r>
      </text>
    </comment>
    <comment ref="B6" authorId="0" shapeId="0" xr:uid="{A4411551-8F52-458B-ABCD-A0BB56252D1F}">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6" authorId="0" shapeId="0" xr:uid="{6901E09F-103F-46BB-9E2F-D1410F36AA06}">
      <text>
        <r>
          <rPr>
            <sz val="10"/>
            <color indexed="81"/>
            <rFont val="Lucida Console"/>
            <family val="3"/>
          </rPr>
          <t>_x000D_
Últ estimativa : 12.000_x000D_
Enviada em     : 10.09.2021_x000D_
Ata - Venc     : 275/20 - 15.11.2021</t>
        </r>
      </text>
    </comment>
    <comment ref="W6" authorId="0" shapeId="0" xr:uid="{10526926-08F6-4314-B3BF-84B3AD92E0C4}">
      <text>
        <r>
          <rPr>
            <sz val="10"/>
            <color indexed="81"/>
            <rFont val="Lucida Console"/>
            <family val="3"/>
          </rPr>
          <t>_x000D_
Administrativo</t>
        </r>
      </text>
    </comment>
    <comment ref="X6" authorId="0" shapeId="0" xr:uid="{4F61C67F-B580-432E-B44B-DBB0D68C1E7E}">
      <text>
        <r>
          <rPr>
            <sz val="10"/>
            <color indexed="81"/>
            <rFont val="Lucida Console"/>
            <family val="3"/>
          </rPr>
          <t>_x000D_
MAQ.EQUIP.E MATERIAIS P/ HIGIEN.LIMP.POLIM.E LUBR.</t>
        </r>
      </text>
    </comment>
    <comment ref="Y6" authorId="0" shapeId="0" xr:uid="{2748C0E2-18E5-4C8D-8A86-888412BF574D}">
      <text>
        <r>
          <rPr>
            <sz val="10"/>
            <color indexed="81"/>
            <rFont val="Lucida Console"/>
            <family val="3"/>
          </rPr>
          <t>_x000D_
ESPONJAS,BALDES,SACOS E CESTOS DE LIXO, ETC</t>
        </r>
      </text>
    </comment>
    <comment ref="AW6" authorId="0" shapeId="0" xr:uid="{AF5FF58D-D66B-448B-8611-F6B31712E36F}">
      <text>
        <r>
          <rPr>
            <sz val="10"/>
            <color indexed="81"/>
            <rFont val="Lucida Console"/>
            <family val="3"/>
          </rPr>
          <t>Tempo de Estoque (Meses)_x000D_
_x000D_
1.670,0</t>
        </r>
      </text>
    </comment>
    <comment ref="A7" authorId="0" shapeId="0" xr:uid="{A5914FA9-5A27-4028-A61E-9A54C133A6BD}">
      <text>
        <r>
          <rPr>
            <sz val="10"/>
            <color indexed="81"/>
            <rFont val="Lucida Console"/>
            <family val="3"/>
          </rPr>
          <t>_x000D_
133021</t>
        </r>
      </text>
    </comment>
    <comment ref="B7" authorId="0" shapeId="0" xr:uid="{EAF1E356-55D6-4694-A6FE-8588A025D888}">
      <text>
        <r>
          <rPr>
            <sz val="10"/>
            <color indexed="81"/>
            <rFont val="Lucida Console"/>
            <family val="3"/>
          </rPr>
          <t>DESCRIÇÃO DETALHADA_x000D_
PANO DE CHAO, MEDIDAS: 45 X 75 CM (VARIACAO +/- 5 CM), 100% ALGODAO, ALVEJADO, PESO MINIMO DE 130 GRAMAS.</t>
        </r>
      </text>
    </comment>
    <comment ref="G7" authorId="0" shapeId="0" xr:uid="{EFB0D08A-7D9C-4E08-8AB7-0ED053B516BA}">
      <text>
        <r>
          <rPr>
            <sz val="10"/>
            <color indexed="81"/>
            <rFont val="Lucida Console"/>
            <family val="3"/>
          </rPr>
          <t>_x000D_
Últ estimativa : 1.000_x000D_
Enviada em     : 10.09.2021_x000D_
Ata - Venc     : 308/20 - 28.12.2021</t>
        </r>
      </text>
    </comment>
    <comment ref="W7" authorId="0" shapeId="0" xr:uid="{731405E7-33F9-4B1D-8217-A0C8F55AA52F}">
      <text>
        <r>
          <rPr>
            <sz val="10"/>
            <color indexed="81"/>
            <rFont val="Lucida Console"/>
            <family val="3"/>
          </rPr>
          <t>_x000D_
Administrativo</t>
        </r>
      </text>
    </comment>
    <comment ref="X7" authorId="0" shapeId="0" xr:uid="{BD30EFB0-D4F9-44E9-9366-84D7E959D020}">
      <text>
        <r>
          <rPr>
            <sz val="10"/>
            <color indexed="81"/>
            <rFont val="Lucida Console"/>
            <family val="3"/>
          </rPr>
          <t>_x000D_
MAQ.EQUIP.E MATERIAIS P/ HIGIEN.LIMP.POLIM.E LUBR.</t>
        </r>
      </text>
    </comment>
    <comment ref="Y7" authorId="0" shapeId="0" xr:uid="{70F68421-8952-4B81-B56B-C224EAB1C662}">
      <text>
        <r>
          <rPr>
            <sz val="10"/>
            <color indexed="81"/>
            <rFont val="Lucida Console"/>
            <family val="3"/>
          </rPr>
          <t>_x000D_
PANO PARA CHAO, COPA E FLANELA</t>
        </r>
      </text>
    </comment>
    <comment ref="AW7" authorId="0" shapeId="0" xr:uid="{510B31BA-7DEB-4CE3-80EB-7BD5FE03F105}">
      <text>
        <r>
          <rPr>
            <sz val="10"/>
            <color indexed="81"/>
            <rFont val="Lucida Console"/>
            <family val="3"/>
          </rPr>
          <t>Tempo de Estoque (Meses)_x000D_
_x000D_
185,0</t>
        </r>
      </text>
    </comment>
    <comment ref="A8" authorId="0" shapeId="0" xr:uid="{D32EA510-0914-4012-93AC-4841CBB83675}">
      <text>
        <r>
          <rPr>
            <sz val="10"/>
            <color indexed="81"/>
            <rFont val="Lucida Console"/>
            <family val="3"/>
          </rPr>
          <t>_x000D_
12685</t>
        </r>
      </text>
    </comment>
    <comment ref="B8" authorId="0" shapeId="0" xr:uid="{80F2EB92-9158-41B2-A2D6-5A8461D2DDF2}">
      <text>
        <r>
          <rPr>
            <sz val="10"/>
            <color indexed="81"/>
            <rFont val="Lucida Console"/>
            <family val="3"/>
          </rPr>
          <t>DESCRIÇÃO DETALHADA_x000D_
AGUA SANITARIA - FRASCO C/ 1 L.</t>
        </r>
      </text>
    </comment>
    <comment ref="G8" authorId="0" shapeId="0" xr:uid="{4D54397C-0A58-4FDD-B46D-CBE762F1E092}">
      <text>
        <r>
          <rPr>
            <sz val="10"/>
            <color indexed="81"/>
            <rFont val="Lucida Console"/>
            <family val="3"/>
          </rPr>
          <t>_x000D_
Últ estimativa : 200_x000D_
Enviada em     : 10.09.2021_x000D_
Ata - Venc     : 308/20 - 28.12.2021</t>
        </r>
      </text>
    </comment>
    <comment ref="W8" authorId="0" shapeId="0" xr:uid="{42EE75C2-3AF3-4ADC-B3B7-9408F330BC97}">
      <text>
        <r>
          <rPr>
            <sz val="10"/>
            <color indexed="81"/>
            <rFont val="Lucida Console"/>
            <family val="3"/>
          </rPr>
          <t>_x000D_
Administrativo</t>
        </r>
      </text>
    </comment>
    <comment ref="X8" authorId="0" shapeId="0" xr:uid="{8731070E-F769-415B-A7A5-91AB4462E4C3}">
      <text>
        <r>
          <rPr>
            <sz val="10"/>
            <color indexed="81"/>
            <rFont val="Lucida Console"/>
            <family val="3"/>
          </rPr>
          <t>_x000D_
MAQ.EQUIP.E MATERIAIS P/ HIGIEN.LIMP.POLIM.E LUBR.</t>
        </r>
      </text>
    </comment>
    <comment ref="Y8" authorId="0" shapeId="0" xr:uid="{BC306054-8EFB-4316-9164-B589529D6E5C}">
      <text>
        <r>
          <rPr>
            <sz val="10"/>
            <color indexed="81"/>
            <rFont val="Lucida Console"/>
            <family val="3"/>
          </rPr>
          <t>_x000D_
DETERGENTES,DESINF.,GERMICIDAS,REMOVEDORES E AFINS</t>
        </r>
      </text>
    </comment>
    <comment ref="AW8" authorId="0" shapeId="0" xr:uid="{F8A93F99-34DF-4094-BC5C-BBC6A8F667D2}">
      <text>
        <r>
          <rPr>
            <sz val="10"/>
            <color indexed="81"/>
            <rFont val="Lucida Console"/>
            <family val="3"/>
          </rPr>
          <t>Tempo de Estoque (Meses)_x000D_
_x000D_
188,0</t>
        </r>
      </text>
    </comment>
    <comment ref="A9" authorId="0" shapeId="0" xr:uid="{72693018-A5C7-45D1-966C-7B7008A42D08}">
      <text>
        <r>
          <rPr>
            <sz val="10"/>
            <color indexed="81"/>
            <rFont val="Lucida Console"/>
            <family val="3"/>
          </rPr>
          <t>_x000D_
10412</t>
        </r>
      </text>
    </comment>
    <comment ref="B9" authorId="0" shapeId="0" xr:uid="{67621130-996D-4B68-9308-266C6B535E6A}">
      <text>
        <r>
          <rPr>
            <sz val="10"/>
            <color indexed="81"/>
            <rFont val="Lucida Console"/>
            <family val="3"/>
          </rPr>
          <t xml:space="preserve">DESCRIÇÃO DETALHADA_x000D_
MARGARINA VEGETAL COM SAL -  LIPIDEOS TOTAIS: MINIMO 75% E MAXIMO 85% </t>
        </r>
      </text>
    </comment>
    <comment ref="G9" authorId="0" shapeId="0" xr:uid="{66830ABB-EA82-458F-A46E-00A43D147748}">
      <text>
        <r>
          <rPr>
            <sz val="10"/>
            <color indexed="81"/>
            <rFont val="Lucida Console"/>
            <family val="3"/>
          </rPr>
          <t>_x000D_
Últ estimativa : 1.500_x000D_
Enviada em     : 04.10.2019_x000D_
Ata - Venc     : 137/21 - 12.05.2022</t>
        </r>
      </text>
    </comment>
    <comment ref="W9" authorId="0" shapeId="0" xr:uid="{BAFFF0CA-6703-41ED-B68D-3F8BA10D11F3}">
      <text>
        <r>
          <rPr>
            <sz val="10"/>
            <color indexed="81"/>
            <rFont val="Lucida Console"/>
            <family val="3"/>
          </rPr>
          <t>_x000D_
Administrativo</t>
        </r>
      </text>
    </comment>
    <comment ref="X9" authorId="0" shapeId="0" xr:uid="{E68129A4-0608-46E3-8AD0-972483C557B3}">
      <text>
        <r>
          <rPr>
            <sz val="10"/>
            <color indexed="81"/>
            <rFont val="Lucida Console"/>
            <family val="3"/>
          </rPr>
          <t>_x000D_
GENEROS ALIMENTICIOS E BEBIDAS</t>
        </r>
      </text>
    </comment>
    <comment ref="Y9" authorId="0" shapeId="0" xr:uid="{66FBA4AB-8143-4CD6-96E5-586B1ABB1F64}">
      <text>
        <r>
          <rPr>
            <sz val="10"/>
            <color indexed="81"/>
            <rFont val="Lucida Console"/>
            <family val="3"/>
          </rPr>
          <t>_x000D_
GORDURAS E DERIVADOS</t>
        </r>
      </text>
    </comment>
    <comment ref="AW9" authorId="0" shapeId="0" xr:uid="{33B96B19-EB5F-4542-8A0B-B18BEA6ADB52}">
      <text>
        <r>
          <rPr>
            <sz val="10"/>
            <color indexed="81"/>
            <rFont val="Lucida Console"/>
            <family val="3"/>
          </rPr>
          <t>Tempo de Estoque (Meses)_x000D_
_x000D_
52,5</t>
        </r>
      </text>
    </comment>
    <comment ref="A10" authorId="0" shapeId="0" xr:uid="{11AECE6B-88E1-46F9-8358-EBAF1762E245}">
      <text>
        <r>
          <rPr>
            <sz val="10"/>
            <color indexed="81"/>
            <rFont val="Lucida Console"/>
            <family val="3"/>
          </rPr>
          <t>_x000D_
139958</t>
        </r>
      </text>
    </comment>
    <comment ref="B10" authorId="0" shapeId="0" xr:uid="{5739598F-24CA-4CC8-B25F-97ECA5F8B4C6}">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10" authorId="0" shapeId="0" xr:uid="{EF0D82FC-5F98-4498-BAF6-7FFC9AF99F6E}">
      <text>
        <r>
          <rPr>
            <sz val="10"/>
            <color indexed="81"/>
            <rFont val="Lucida Console"/>
            <family val="3"/>
          </rPr>
          <t>_x000D_
Últ estimativa : 4.500_x000D_
Enviada em     : 08.09.2020_x000D_
Ata - Venc     : 105/21 - 07.04.2022</t>
        </r>
      </text>
    </comment>
    <comment ref="O10" authorId="0" shapeId="0" xr:uid="{E13C9F4C-629E-40E9-AE68-7D5D32E0B93C}">
      <text>
        <r>
          <rPr>
            <sz val="10"/>
            <color indexed="81"/>
            <rFont val="Lucida Console"/>
            <family val="3"/>
          </rPr>
          <t xml:space="preserve">_x000D_
Pertencia a ATA nº 105/21_x000D_
Estimativa de Renovação enviada em 08.09.2020 - Qtd 4.500_x000D_
PE  26/21 lote _x000D_
 = </t>
        </r>
      </text>
    </comment>
    <comment ref="W10" authorId="0" shapeId="0" xr:uid="{9C20EB03-1506-42D2-84C5-236620D5516B}">
      <text>
        <r>
          <rPr>
            <sz val="10"/>
            <color indexed="81"/>
            <rFont val="Lucida Console"/>
            <family val="3"/>
          </rPr>
          <t>_x000D_
DM-Construção</t>
        </r>
      </text>
    </comment>
    <comment ref="X10" authorId="0" shapeId="0" xr:uid="{AA249FA7-AF92-4FBC-B8BB-8F6966D2C203}">
      <text>
        <r>
          <rPr>
            <sz val="10"/>
            <color indexed="81"/>
            <rFont val="Lucida Console"/>
            <family val="3"/>
          </rPr>
          <t>_x000D_
MAT.E EQUIP. P/ CONSTR.CIVIL E CONSERV. DE VIAS PUBL.</t>
        </r>
      </text>
    </comment>
    <comment ref="Y10" authorId="0" shapeId="0" xr:uid="{568618CA-1D83-4395-9DDA-F187A98819B4}">
      <text>
        <r>
          <rPr>
            <sz val="10"/>
            <color indexed="81"/>
            <rFont val="Lucida Console"/>
            <family val="3"/>
          </rPr>
          <t>_x000D_
PISOS DE BORRACHA, PVC E OUTROS COLAVEIS</t>
        </r>
      </text>
    </comment>
    <comment ref="AW10" authorId="0" shapeId="0" xr:uid="{33A75034-A246-4093-B325-248D965D284E}">
      <text>
        <r>
          <rPr>
            <sz val="10"/>
            <color indexed="81"/>
            <rFont val="Lucida Console"/>
            <family val="3"/>
          </rPr>
          <t>Tempo de Estoque (Meses)_x000D_
_x000D_
0,0</t>
        </r>
      </text>
    </comment>
    <comment ref="A11" authorId="0" shapeId="0" xr:uid="{3AC939C9-3AAF-4E32-838F-2A41D457A4B8}">
      <text>
        <r>
          <rPr>
            <sz val="10"/>
            <color indexed="81"/>
            <rFont val="Lucida Console"/>
            <family val="3"/>
          </rPr>
          <t>_x000D_
131927</t>
        </r>
      </text>
    </comment>
    <comment ref="B11" authorId="0" shapeId="0" xr:uid="{7B130036-355E-4D3D-86FC-BBA4652C82B1}">
      <text>
        <r>
          <rPr>
            <sz val="10"/>
            <color indexed="81"/>
            <rFont val="Lucida Console"/>
            <family val="3"/>
          </rPr>
          <t>DESCRIÇÃO DETALHADA_x000D_
LAPIS PRETO N.2 JUMBO TRIANGULAR, MEDINDO: 175MM (VARIACAO +/- 10MM)</t>
        </r>
      </text>
    </comment>
    <comment ref="W11" authorId="0" shapeId="0" xr:uid="{E0D81E90-4845-43A0-85F4-417DC11A4AB8}">
      <text>
        <r>
          <rPr>
            <sz val="10"/>
            <color indexed="81"/>
            <rFont val="Lucida Console"/>
            <family val="3"/>
          </rPr>
          <t>_x000D_
Pedagógico</t>
        </r>
      </text>
    </comment>
    <comment ref="X11" authorId="0" shapeId="0" xr:uid="{BF9EB61A-F236-4230-AA99-4405B4659C65}">
      <text>
        <r>
          <rPr>
            <sz val="10"/>
            <color indexed="81"/>
            <rFont val="Lucida Console"/>
            <family val="3"/>
          </rPr>
          <t>_x000D_
MAQ., EQUIP., COMP., ACES., MAT. PARA ESCRIT.E ESCOLAR</t>
        </r>
      </text>
    </comment>
    <comment ref="Y11" authorId="0" shapeId="0" xr:uid="{C2EE1EF6-F2B4-4B35-9B62-447FADA06227}">
      <text>
        <r>
          <rPr>
            <sz val="10"/>
            <color indexed="81"/>
            <rFont val="Lucida Console"/>
            <family val="3"/>
          </rPr>
          <t>_x000D_
LAPIS, BORRACHA, APONTADORES, REGUAS E CORRETIVOS P/ ESCRIT.</t>
        </r>
      </text>
    </comment>
    <comment ref="AW11" authorId="0" shapeId="0" xr:uid="{3DC682DA-0AC0-41B8-A44B-8A0E0AC3E399}">
      <text>
        <r>
          <rPr>
            <sz val="10"/>
            <color indexed="81"/>
            <rFont val="Lucida Console"/>
            <family val="3"/>
          </rPr>
          <t>Tempo de Estoque (Meses)_x000D_
_x000D_
0,0</t>
        </r>
      </text>
    </comment>
    <comment ref="A12" authorId="0" shapeId="0" xr:uid="{9933E723-D86A-42E6-8ABF-1F262840C252}">
      <text>
        <r>
          <rPr>
            <sz val="10"/>
            <color indexed="81"/>
            <rFont val="Lucida Console"/>
            <family val="3"/>
          </rPr>
          <t>_x000D_
131935</t>
        </r>
      </text>
    </comment>
    <comment ref="B12" authorId="0" shapeId="0" xr:uid="{157085D6-FC71-4662-9F1A-296AC25EB4FE}">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2" authorId="0" shapeId="0" xr:uid="{F8BE65F1-320B-411F-B61F-F645472FC724}">
      <text>
        <r>
          <rPr>
            <sz val="10"/>
            <color indexed="81"/>
            <rFont val="Lucida Console"/>
            <family val="3"/>
          </rPr>
          <t>_x000D_
Pedagógico</t>
        </r>
      </text>
    </comment>
    <comment ref="X12" authorId="0" shapeId="0" xr:uid="{0B2DF349-32CD-4BAD-90A8-4CB8CD722E29}">
      <text>
        <r>
          <rPr>
            <sz val="10"/>
            <color indexed="81"/>
            <rFont val="Lucida Console"/>
            <family val="3"/>
          </rPr>
          <t>_x000D_
MAQ., EQUIP., COMP., ACES., MAT. PARA ESCRIT.E ESCOLAR</t>
        </r>
      </text>
    </comment>
    <comment ref="Y12" authorId="0" shapeId="0" xr:uid="{80E87BBB-53DD-4076-9387-D8152448D575}">
      <text>
        <r>
          <rPr>
            <sz val="10"/>
            <color indexed="81"/>
            <rFont val="Lucida Console"/>
            <family val="3"/>
          </rPr>
          <t>_x000D_
LAPIS, BORRACHA, APONTADORES, REGUAS E CORRETIVOS P/ ESCRIT.</t>
        </r>
      </text>
    </comment>
    <comment ref="AW12" authorId="0" shapeId="0" xr:uid="{2E63512E-8A66-4DCF-912C-6E9593DCF331}">
      <text>
        <r>
          <rPr>
            <sz val="10"/>
            <color indexed="81"/>
            <rFont val="Lucida Console"/>
            <family val="3"/>
          </rPr>
          <t>Tempo de Estoque (Meses)_x000D_
_x000D_
2.742,0</t>
        </r>
      </text>
    </comment>
    <comment ref="A13" authorId="0" shapeId="0" xr:uid="{41EFFCC6-2613-4BA0-95D0-909B5A62B767}">
      <text>
        <r>
          <rPr>
            <sz val="10"/>
            <color indexed="81"/>
            <rFont val="Lucida Console"/>
            <family val="3"/>
          </rPr>
          <t>_x000D_
135297</t>
        </r>
      </text>
    </comment>
    <comment ref="B13" authorId="0" shapeId="0" xr:uid="{52ECE50E-6ED1-4C3C-85AE-C19E297B98AE}">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3" authorId="0" shapeId="0" xr:uid="{3ACF5936-B14A-499E-83A9-5B6C63F98639}">
      <text>
        <r>
          <rPr>
            <sz val="10"/>
            <color indexed="81"/>
            <rFont val="Lucida Console"/>
            <family val="3"/>
          </rPr>
          <t>_x000D_
Pedagógico</t>
        </r>
      </text>
    </comment>
    <comment ref="X13" authorId="0" shapeId="0" xr:uid="{EE7274B8-31ED-4D76-B952-07DBC0B32419}">
      <text>
        <r>
          <rPr>
            <sz val="10"/>
            <color indexed="81"/>
            <rFont val="Lucida Console"/>
            <family val="3"/>
          </rPr>
          <t>_x000D_
MAQ., EQUIP., COMP., ACES., MAT. PARA ESCRIT.E ESCOLAR</t>
        </r>
      </text>
    </comment>
    <comment ref="Y13" authorId="0" shapeId="0" xr:uid="{DD882D6F-56F5-4C90-8FC6-09EF9905D7D9}">
      <text>
        <r>
          <rPr>
            <sz val="10"/>
            <color indexed="81"/>
            <rFont val="Lucida Console"/>
            <family val="3"/>
          </rPr>
          <t>_x000D_
LAPIS, BORRACHA, APONTADORES, REGUAS E CORRETIVOS P/ ESCRIT.</t>
        </r>
      </text>
    </comment>
    <comment ref="AW13" authorId="0" shapeId="0" xr:uid="{F2E2A1B2-EC97-4E3A-BC82-B0D9D18A5D9A}">
      <text>
        <r>
          <rPr>
            <sz val="10"/>
            <color indexed="81"/>
            <rFont val="Lucida Console"/>
            <family val="3"/>
          </rPr>
          <t>Tempo de Estoque (Meses)_x000D_
_x000D_
1.867,0</t>
        </r>
      </text>
    </comment>
    <comment ref="A14" authorId="0" shapeId="0" xr:uid="{69C00C9C-9511-4503-A620-B75BE3CA1F67}">
      <text>
        <r>
          <rPr>
            <sz val="10"/>
            <color indexed="81"/>
            <rFont val="Lucida Console"/>
            <family val="3"/>
          </rPr>
          <t>_x000D_
138461</t>
        </r>
      </text>
    </comment>
    <comment ref="B14" authorId="0" shapeId="0" xr:uid="{0D2D404C-1894-4F80-A403-E4396FCA5F6E}">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14" authorId="0" shapeId="0" xr:uid="{7372FCEF-24A7-4684-93AA-9F32D845D65D}">
      <text>
        <r>
          <rPr>
            <sz val="10"/>
            <color indexed="81"/>
            <rFont val="Lucida Console"/>
            <family val="3"/>
          </rPr>
          <t>_x000D_
Pedagógico</t>
        </r>
      </text>
    </comment>
    <comment ref="X14" authorId="0" shapeId="0" xr:uid="{487CE698-C7BB-49F1-9BA2-5360D8638D77}">
      <text>
        <r>
          <rPr>
            <sz val="10"/>
            <color indexed="81"/>
            <rFont val="Lucida Console"/>
            <family val="3"/>
          </rPr>
          <t>_x000D_
MAQ., EQUIP., COMP., ACES., MAT. PARA ESCRIT.E ESCOLAR</t>
        </r>
      </text>
    </comment>
    <comment ref="Y14" authorId="0" shapeId="0" xr:uid="{DBA3E1FF-46F9-421F-B48B-560858176490}">
      <text>
        <r>
          <rPr>
            <sz val="10"/>
            <color indexed="81"/>
            <rFont val="Lucida Console"/>
            <family val="3"/>
          </rPr>
          <t>_x000D_
LAPIS, BORRACHA, APONTADORES, REGUAS E CORRETIVOS P/ ESCRIT.</t>
        </r>
      </text>
    </comment>
    <comment ref="AW14" authorId="0" shapeId="0" xr:uid="{0907BA04-6383-45FD-96BF-C098BFB131B4}">
      <text>
        <r>
          <rPr>
            <sz val="10"/>
            <color indexed="81"/>
            <rFont val="Lucida Console"/>
            <family val="3"/>
          </rPr>
          <t>Tempo de Estoque (Meses)_x000D_
_x000D_
7.627,0</t>
        </r>
      </text>
    </comment>
    <comment ref="A15" authorId="0" shapeId="0" xr:uid="{E220CD77-D5E4-4C6B-A3C0-921876824307}">
      <text>
        <r>
          <rPr>
            <sz val="10"/>
            <color indexed="81"/>
            <rFont val="Lucida Console"/>
            <family val="3"/>
          </rPr>
          <t>_x000D_
139141</t>
        </r>
      </text>
    </comment>
    <comment ref="B15" authorId="0" shapeId="0" xr:uid="{3E83A330-9A9C-449C-9361-AF596941A7B2}">
      <text>
        <r>
          <rPr>
            <sz val="10"/>
            <color indexed="81"/>
            <rFont val="Lucida Console"/>
            <family val="3"/>
          </rPr>
          <t>DESCRIÇÃO DETALHADA_x000D_
PINCEL PARA PINTURA, CABO EM MADEIRA (CURTO OU LONGO), FORMATO CHATO, CERDA BRANCA, TAMANHO 12.</t>
        </r>
      </text>
    </comment>
    <comment ref="W15" authorId="0" shapeId="0" xr:uid="{2C8F6382-9A7B-44A5-8348-27E3F20BF826}">
      <text>
        <r>
          <rPr>
            <sz val="10"/>
            <color indexed="81"/>
            <rFont val="Lucida Console"/>
            <family val="3"/>
          </rPr>
          <t>_x000D_
Pedagógico</t>
        </r>
      </text>
    </comment>
    <comment ref="X15" authorId="0" shapeId="0" xr:uid="{1201D092-0E1C-475E-9422-9429867BCF9F}">
      <text>
        <r>
          <rPr>
            <sz val="10"/>
            <color indexed="81"/>
            <rFont val="Lucida Console"/>
            <family val="3"/>
          </rPr>
          <t>_x000D_
MAQ., EQUIP., COMP., ACES., MAT. PARA ESCRIT.E ESCOLAR</t>
        </r>
      </text>
    </comment>
    <comment ref="Y15" authorId="0" shapeId="0" xr:uid="{567CFCCF-CC2F-4FF3-ABE4-8C9ECFF7C466}">
      <text>
        <r>
          <rPr>
            <sz val="10"/>
            <color indexed="81"/>
            <rFont val="Lucida Console"/>
            <family val="3"/>
          </rPr>
          <t>_x000D_
LAPIS, BORRACHA, APONTADORES, REGUAS E CORRETIVOS P/ ESCRIT.</t>
        </r>
      </text>
    </comment>
    <comment ref="AW15" authorId="0" shapeId="0" xr:uid="{5C906643-9787-401B-A833-18947FF3FEDE}">
      <text>
        <r>
          <rPr>
            <sz val="10"/>
            <color indexed="81"/>
            <rFont val="Lucida Console"/>
            <family val="3"/>
          </rPr>
          <t>Tempo de Estoque (Meses)_x000D_
_x000D_
2.134,0</t>
        </r>
      </text>
    </comment>
    <comment ref="A16" authorId="0" shapeId="0" xr:uid="{0618F00C-2F0C-4A97-AD4C-F93A8A514640}">
      <text>
        <r>
          <rPr>
            <sz val="10"/>
            <color indexed="81"/>
            <rFont val="Lucida Console"/>
            <family val="3"/>
          </rPr>
          <t>_x000D_
139142</t>
        </r>
      </text>
    </comment>
    <comment ref="B16" authorId="0" shapeId="0" xr:uid="{092EEB0B-C09A-4691-B8BE-14CD3F7D3EF2}">
      <text>
        <r>
          <rPr>
            <sz val="10"/>
            <color indexed="81"/>
            <rFont val="Lucida Console"/>
            <family val="3"/>
          </rPr>
          <t>DESCRIÇÃO DETALHADA_x000D_
PINCEL PARA PINTURA, CABO EM MADEIRA (CURTO OU LONGO), FORMATO CHATO, CERDA BRANCA, TAMANHO 16.</t>
        </r>
      </text>
    </comment>
    <comment ref="W16" authorId="0" shapeId="0" xr:uid="{4DA0E577-9C5B-4A7A-A7D0-D806D8596D99}">
      <text>
        <r>
          <rPr>
            <sz val="10"/>
            <color indexed="81"/>
            <rFont val="Lucida Console"/>
            <family val="3"/>
          </rPr>
          <t>_x000D_
Pedagógico</t>
        </r>
      </text>
    </comment>
    <comment ref="X16" authorId="0" shapeId="0" xr:uid="{24E0B6DC-C3D6-4437-B50C-869F34E73ADD}">
      <text>
        <r>
          <rPr>
            <sz val="10"/>
            <color indexed="81"/>
            <rFont val="Lucida Console"/>
            <family val="3"/>
          </rPr>
          <t>_x000D_
MAQ., EQUIP., COMP., ACES., MAT. PARA ESCRIT.E ESCOLAR</t>
        </r>
      </text>
    </comment>
    <comment ref="Y16" authorId="0" shapeId="0" xr:uid="{324ABFA7-0458-4A0D-B95A-760778766B15}">
      <text>
        <r>
          <rPr>
            <sz val="10"/>
            <color indexed="81"/>
            <rFont val="Lucida Console"/>
            <family val="3"/>
          </rPr>
          <t>_x000D_
LAPIS, BORRACHA, APONTADORES, REGUAS E CORRETIVOS P/ ESCRIT.</t>
        </r>
      </text>
    </comment>
    <comment ref="AW16" authorId="0" shapeId="0" xr:uid="{D22A0F8C-9E60-4033-836C-867D845FBB7F}">
      <text>
        <r>
          <rPr>
            <sz val="10"/>
            <color indexed="81"/>
            <rFont val="Lucida Console"/>
            <family val="3"/>
          </rPr>
          <t>Tempo de Estoque (Meses)_x000D_
_x000D_
2.153,0</t>
        </r>
      </text>
    </comment>
    <comment ref="A17" authorId="0" shapeId="0" xr:uid="{5640D0A5-CB50-42E6-93FA-9A3410AAD285}">
      <text>
        <r>
          <rPr>
            <sz val="10"/>
            <color indexed="81"/>
            <rFont val="Lucida Console"/>
            <family val="3"/>
          </rPr>
          <t>_x000D_
139143</t>
        </r>
      </text>
    </comment>
    <comment ref="B17" authorId="0" shapeId="0" xr:uid="{ED4C8F9D-F1EF-4AD0-B798-4719528BDB42}">
      <text>
        <r>
          <rPr>
            <sz val="10"/>
            <color indexed="81"/>
            <rFont val="Lucida Console"/>
            <family val="3"/>
          </rPr>
          <t>DESCRIÇÃO DETALHADA_x000D_
PINCEL PARA PINTURA, CABO EM MADEIRA (CURTO OU LONGO), FORMATO CHATO, CERDA BRANCA, TAMANHO 20.</t>
        </r>
      </text>
    </comment>
    <comment ref="W17" authorId="0" shapeId="0" xr:uid="{27019941-FB19-4D80-8A32-FD4C2BBF4C26}">
      <text>
        <r>
          <rPr>
            <sz val="10"/>
            <color indexed="81"/>
            <rFont val="Lucida Console"/>
            <family val="3"/>
          </rPr>
          <t>_x000D_
Pedagógico</t>
        </r>
      </text>
    </comment>
    <comment ref="X17" authorId="0" shapeId="0" xr:uid="{504C8011-6E80-4775-99C6-ABB908E48499}">
      <text>
        <r>
          <rPr>
            <sz val="10"/>
            <color indexed="81"/>
            <rFont val="Lucida Console"/>
            <family val="3"/>
          </rPr>
          <t>_x000D_
MAQ., EQUIP., COMP., ACES., MAT. PARA ESCRIT.E ESCOLAR</t>
        </r>
      </text>
    </comment>
    <comment ref="Y17" authorId="0" shapeId="0" xr:uid="{97A58E60-3B46-4A21-95CC-5E7ACDE3CB43}">
      <text>
        <r>
          <rPr>
            <sz val="10"/>
            <color indexed="81"/>
            <rFont val="Lucida Console"/>
            <family val="3"/>
          </rPr>
          <t>_x000D_
LAPIS, BORRACHA, APONTADORES, REGUAS E CORRETIVOS P/ ESCRIT.</t>
        </r>
      </text>
    </comment>
    <comment ref="AW17" authorId="0" shapeId="0" xr:uid="{A14B99B5-842A-488B-92F6-051C729E819E}">
      <text>
        <r>
          <rPr>
            <sz val="10"/>
            <color indexed="81"/>
            <rFont val="Lucida Console"/>
            <family val="3"/>
          </rPr>
          <t>Tempo de Estoque (Meses)_x000D_
_x000D_
1.776,0</t>
        </r>
      </text>
    </comment>
    <comment ref="A18" authorId="0" shapeId="0" xr:uid="{4F47A1B5-AEBD-45A5-BA55-BBF225DDA332}">
      <text>
        <r>
          <rPr>
            <sz val="10"/>
            <color indexed="81"/>
            <rFont val="Lucida Console"/>
            <family val="3"/>
          </rPr>
          <t>_x000D_
138454</t>
        </r>
      </text>
    </comment>
    <comment ref="B18" authorId="0" shapeId="0" xr:uid="{B088D773-827F-4478-BE19-B30208046499}">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18" authorId="0" shapeId="0" xr:uid="{244007D0-FBC5-43DA-8699-D3BD2354E50D}">
      <text>
        <r>
          <rPr>
            <sz val="10"/>
            <color indexed="81"/>
            <rFont val="Lucida Console"/>
            <family val="3"/>
          </rPr>
          <t>_x000D_
Pedagógico</t>
        </r>
      </text>
    </comment>
    <comment ref="X18" authorId="0" shapeId="0" xr:uid="{CCB7ACCE-BC99-4AF3-81A3-EB56D0FE8577}">
      <text>
        <r>
          <rPr>
            <sz val="10"/>
            <color indexed="81"/>
            <rFont val="Lucida Console"/>
            <family val="3"/>
          </rPr>
          <t>_x000D_
MAQ., EQUIP., COMP., ACES., MAT. PARA ESCRIT.E ESCOLAR</t>
        </r>
      </text>
    </comment>
    <comment ref="Y18" authorId="0" shapeId="0" xr:uid="{51FADB73-2BA7-487A-ABB1-B5E327F2CB35}">
      <text>
        <r>
          <rPr>
            <sz val="10"/>
            <color indexed="81"/>
            <rFont val="Lucida Console"/>
            <family val="3"/>
          </rPr>
          <t>_x000D_
CAPAS, CLASSIF., PRANCHETAS, CADERNOS, ENVELOPES, PASTAS, FICHAS, LIVROS</t>
        </r>
      </text>
    </comment>
    <comment ref="AW18" authorId="0" shapeId="0" xr:uid="{C9C8780E-0579-4A00-A1BF-9252D7E2442E}">
      <text>
        <r>
          <rPr>
            <sz val="10"/>
            <color indexed="81"/>
            <rFont val="Lucida Console"/>
            <family val="3"/>
          </rPr>
          <t>Tempo de Estoque (Meses)_x000D_
_x000D_
11.455,0</t>
        </r>
      </text>
    </comment>
    <comment ref="A19" authorId="0" shapeId="0" xr:uid="{E0D8916F-C75A-4C62-A58E-39E41A8E55FE}">
      <text>
        <r>
          <rPr>
            <sz val="10"/>
            <color indexed="81"/>
            <rFont val="Lucida Console"/>
            <family val="3"/>
          </rPr>
          <t>_x000D_
141429</t>
        </r>
      </text>
    </comment>
    <comment ref="B19" authorId="0" shapeId="0" xr:uid="{F1866D7A-43B7-49EC-98D6-4049B8A0F5B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19" authorId="0" shapeId="0" xr:uid="{32554212-B032-410A-B677-49D336F64795}">
      <text>
        <r>
          <rPr>
            <sz val="10"/>
            <color indexed="81"/>
            <rFont val="Lucida Console"/>
            <family val="3"/>
          </rPr>
          <t>_x000D_
DM-Hidráulica</t>
        </r>
      </text>
    </comment>
    <comment ref="X19" authorId="0" shapeId="0" xr:uid="{2B4C5C78-BE23-4FE7-889B-3ABB9F1E6CF9}">
      <text>
        <r>
          <rPr>
            <sz val="10"/>
            <color indexed="81"/>
            <rFont val="Lucida Console"/>
            <family val="3"/>
          </rPr>
          <t>_x000D_
MATERIAL HIDRAULICO, CANOS, TUBOS, MANGUEIRAS, CONEXOES E ACESS.</t>
        </r>
      </text>
    </comment>
    <comment ref="Y19" authorId="0" shapeId="0" xr:uid="{AB3DC84A-E074-455D-9811-AC677C9D78A5}">
      <text>
        <r>
          <rPr>
            <sz val="10"/>
            <color indexed="81"/>
            <rFont val="Lucida Console"/>
            <family val="3"/>
          </rPr>
          <t>_x000D_
TORNEIRAS VOLANTES CANOPLAS E ACESS. P/ MANGUEIRA</t>
        </r>
      </text>
    </comment>
    <comment ref="AW19" authorId="0" shapeId="0" xr:uid="{52AFD502-1E5F-41AC-B8F4-D071A0DF5580}">
      <text>
        <r>
          <rPr>
            <sz val="10"/>
            <color indexed="81"/>
            <rFont val="Lucida Console"/>
            <family val="3"/>
          </rPr>
          <t>Tempo de Estoque (Meses)_x000D_
_x000D_
767,0</t>
        </r>
      </text>
    </comment>
    <comment ref="A20" authorId="0" shapeId="0" xr:uid="{20BC1C5C-F62B-45F0-8C19-FBFB18BE4FBA}">
      <text>
        <r>
          <rPr>
            <sz val="10"/>
            <color indexed="81"/>
            <rFont val="Lucida Console"/>
            <family val="3"/>
          </rPr>
          <t>_x000D_
141430</t>
        </r>
      </text>
    </comment>
    <comment ref="B20" authorId="0" shapeId="0" xr:uid="{9D8F73B3-DB05-4EE7-A87F-2D576D1E586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20" authorId="0" shapeId="0" xr:uid="{896AF110-9341-42AB-A009-D581C3AC63BD}">
      <text>
        <r>
          <rPr>
            <sz val="10"/>
            <color indexed="81"/>
            <rFont val="Lucida Console"/>
            <family val="3"/>
          </rPr>
          <t>_x000D_
DM-Hidráulica</t>
        </r>
      </text>
    </comment>
    <comment ref="X20" authorId="0" shapeId="0" xr:uid="{59417716-3E3A-49BD-A434-1485CE1E96CC}">
      <text>
        <r>
          <rPr>
            <sz val="10"/>
            <color indexed="81"/>
            <rFont val="Lucida Console"/>
            <family val="3"/>
          </rPr>
          <t>_x000D_
MATERIAL HIDRAULICO, CANOS, TUBOS, MANGUEIRAS, CONEXOES E ACESS.</t>
        </r>
      </text>
    </comment>
    <comment ref="Y20" authorId="0" shapeId="0" xr:uid="{454B3E05-3AE4-401E-85C4-5B8811D94F7C}">
      <text>
        <r>
          <rPr>
            <sz val="10"/>
            <color indexed="81"/>
            <rFont val="Lucida Console"/>
            <family val="3"/>
          </rPr>
          <t>_x000D_
CHUVEIROS E DUCHAS</t>
        </r>
      </text>
    </comment>
    <comment ref="AW20" authorId="0" shapeId="0" xr:uid="{86316577-5727-4B5D-9769-8697D4FAE6AC}">
      <text>
        <r>
          <rPr>
            <sz val="10"/>
            <color indexed="81"/>
            <rFont val="Lucida Console"/>
            <family val="3"/>
          </rPr>
          <t>Tempo de Estoque (Meses)_x000D_
_x000D_
110,0</t>
        </r>
      </text>
    </comment>
    <comment ref="A21" authorId="0" shapeId="0" xr:uid="{31A24C11-BF12-4329-9DBD-5CA4AD378A5F}">
      <text>
        <r>
          <rPr>
            <sz val="10"/>
            <color indexed="81"/>
            <rFont val="Lucida Console"/>
            <family val="3"/>
          </rPr>
          <t>_x000D_
141680</t>
        </r>
      </text>
    </comment>
    <comment ref="B21" authorId="0" shapeId="0" xr:uid="{6BE7D7CB-AB1F-47A7-81F2-3440484E1C37}">
      <text>
        <r>
          <rPr>
            <sz val="10"/>
            <color indexed="81"/>
            <rFont val="Lucida Console"/>
            <family val="3"/>
          </rPr>
          <t>DESCRIÇÃO DETALHADA_x000D_
TINTA ESMALTE SINTETICO BRILHANTE, LINHA PREMIUM, COR AZUL ROYAL - GALAO COM 3.600 ML, A BASE DE SOLVENTE</t>
        </r>
      </text>
    </comment>
    <comment ref="W21" authorId="0" shapeId="0" xr:uid="{E8583771-E2B8-4FD1-A998-2541603260B4}">
      <text>
        <r>
          <rPr>
            <sz val="10"/>
            <color indexed="81"/>
            <rFont val="Lucida Console"/>
            <family val="3"/>
          </rPr>
          <t>_x000D_
DM-Pintura</t>
        </r>
      </text>
    </comment>
    <comment ref="X21" authorId="0" shapeId="0" xr:uid="{A052CD0A-F8EE-4FDE-B8B3-027BB96C8D09}">
      <text>
        <r>
          <rPr>
            <sz val="10"/>
            <color indexed="81"/>
            <rFont val="Lucida Console"/>
            <family val="3"/>
          </rPr>
          <t>_x000D_
EQUIP. E MATERIAIS P/PINTURAS E IMPERMEABILIZACAO</t>
        </r>
      </text>
    </comment>
    <comment ref="Y21" authorId="0" shapeId="0" xr:uid="{FC32D6FD-3A4C-4039-AE40-C0139C6B16CA}">
      <text>
        <r>
          <rPr>
            <sz val="10"/>
            <color indexed="81"/>
            <rFont val="Lucida Console"/>
            <family val="3"/>
          </rPr>
          <t>_x000D_
ESMALTES</t>
        </r>
      </text>
    </comment>
    <comment ref="AW21" authorId="0" shapeId="0" xr:uid="{A6B83E49-C039-4B6F-82C1-A610A6E54035}">
      <text>
        <r>
          <rPr>
            <sz val="10"/>
            <color indexed="81"/>
            <rFont val="Lucida Console"/>
            <family val="3"/>
          </rPr>
          <t>Tempo de Estoque (Meses)_x000D_
_x000D_
849,0</t>
        </r>
      </text>
    </comment>
    <comment ref="A22" authorId="0" shapeId="0" xr:uid="{B608ED4B-0A2C-4644-9BE7-67F187654E51}">
      <text>
        <r>
          <rPr>
            <sz val="10"/>
            <color indexed="81"/>
            <rFont val="Lucida Console"/>
            <family val="3"/>
          </rPr>
          <t>_x000D_
141681</t>
        </r>
      </text>
    </comment>
    <comment ref="B22" authorId="0" shapeId="0" xr:uid="{F95EE192-CF88-420B-9A8D-C6A46D1C8A78}">
      <text>
        <r>
          <rPr>
            <sz val="10"/>
            <color indexed="81"/>
            <rFont val="Lucida Console"/>
            <family val="3"/>
          </rPr>
          <t>DESCRIÇÃO DETALHADA_x000D_
TINTA ESMALTE SINTETICO BRILHANTE, LINHA PREMIUM, COR VERMELHA - GALAO COM 3.600 ML, A BASE DE SOLVENTE</t>
        </r>
      </text>
    </comment>
    <comment ref="W22" authorId="0" shapeId="0" xr:uid="{FCF62CD2-70E7-46BC-9942-B85C967AC05F}">
      <text>
        <r>
          <rPr>
            <sz val="10"/>
            <color indexed="81"/>
            <rFont val="Lucida Console"/>
            <family val="3"/>
          </rPr>
          <t>_x000D_
DM-Pintura</t>
        </r>
      </text>
    </comment>
    <comment ref="X22" authorId="0" shapeId="0" xr:uid="{CF123D62-0B93-4E49-B50B-A0D7C2974528}">
      <text>
        <r>
          <rPr>
            <sz val="10"/>
            <color indexed="81"/>
            <rFont val="Lucida Console"/>
            <family val="3"/>
          </rPr>
          <t>_x000D_
EQUIP. E MATERIAIS P/PINTURAS E IMPERMEABILIZACAO</t>
        </r>
      </text>
    </comment>
    <comment ref="Y22" authorId="0" shapeId="0" xr:uid="{B525856A-AEF1-4B39-A565-0A40D87D6C8A}">
      <text>
        <r>
          <rPr>
            <sz val="10"/>
            <color indexed="81"/>
            <rFont val="Lucida Console"/>
            <family val="3"/>
          </rPr>
          <t>_x000D_
ESMALTES</t>
        </r>
      </text>
    </comment>
    <comment ref="AW22" authorId="0" shapeId="0" xr:uid="{064BB98D-2D43-4EBA-A209-C5FF74E58EBD}">
      <text>
        <r>
          <rPr>
            <sz val="10"/>
            <color indexed="81"/>
            <rFont val="Lucida Console"/>
            <family val="3"/>
          </rPr>
          <t>Tempo de Estoque (Meses)_x000D_
_x000D_
119,0</t>
        </r>
      </text>
    </comment>
    <comment ref="A23" authorId="0" shapeId="0" xr:uid="{C2ECD955-DDFC-4EFB-B41B-3AD56BA5C3B7}">
      <text>
        <r>
          <rPr>
            <sz val="10"/>
            <color indexed="81"/>
            <rFont val="Lucida Console"/>
            <family val="3"/>
          </rPr>
          <t>_x000D_
141786</t>
        </r>
      </text>
    </comment>
    <comment ref="B23" authorId="0" shapeId="0" xr:uid="{921CAEAA-2F63-48F2-B912-233CC54D297A}">
      <text>
        <r>
          <rPr>
            <sz val="10"/>
            <color indexed="81"/>
            <rFont val="Lucida Console"/>
            <family val="3"/>
          </rPr>
          <t>DESCRIÇÃO DETALHADA_x000D_
TINTA LATEX ACRILICA SEMIBRILHO, LINHA PREMIUM, COR  AMARELO MELAO MADURO - LATA COM 18 LITROS</t>
        </r>
      </text>
    </comment>
    <comment ref="W23" authorId="0" shapeId="0" xr:uid="{4B789AD5-AB8C-4D63-BE64-1E50CDC38D41}">
      <text>
        <r>
          <rPr>
            <sz val="10"/>
            <color indexed="81"/>
            <rFont val="Lucida Console"/>
            <family val="3"/>
          </rPr>
          <t>_x000D_
DM-Pintura</t>
        </r>
      </text>
    </comment>
    <comment ref="X23" authorId="0" shapeId="0" xr:uid="{5E04BAE7-EC49-422F-AEDB-04502CB4A3FF}">
      <text>
        <r>
          <rPr>
            <sz val="10"/>
            <color indexed="81"/>
            <rFont val="Lucida Console"/>
            <family val="3"/>
          </rPr>
          <t>_x000D_
EQUIP. E MATERIAIS P/PINTURAS E IMPERMEABILIZACAO</t>
        </r>
      </text>
    </comment>
    <comment ref="Y23" authorId="0" shapeId="0" xr:uid="{67EE04B3-26E0-48BF-8409-9CF434CB1C2C}">
      <text>
        <r>
          <rPr>
            <sz val="10"/>
            <color indexed="81"/>
            <rFont val="Lucida Console"/>
            <family val="3"/>
          </rPr>
          <t>_x000D_
TINTAS LATEX</t>
        </r>
      </text>
    </comment>
    <comment ref="AW23" authorId="0" shapeId="0" xr:uid="{1D6946AE-BF41-45B8-A989-D3C622B241F4}">
      <text>
        <r>
          <rPr>
            <sz val="10"/>
            <color indexed="81"/>
            <rFont val="Lucida Console"/>
            <family val="3"/>
          </rPr>
          <t>Tempo de Estoque (Meses)_x000D_
_x000D_
245,0</t>
        </r>
      </text>
    </comment>
    <comment ref="A24" authorId="0" shapeId="0" xr:uid="{B82922D4-99A5-4ADD-9815-C66A6CBF82FA}">
      <text>
        <r>
          <rPr>
            <sz val="10"/>
            <color indexed="81"/>
            <rFont val="Lucida Console"/>
            <family val="3"/>
          </rPr>
          <t>_x000D_
141787</t>
        </r>
      </text>
    </comment>
    <comment ref="B24" authorId="0" shapeId="0" xr:uid="{A64CBACD-9DCE-4E59-A631-A2F21308AAC1}">
      <text>
        <r>
          <rPr>
            <sz val="10"/>
            <color indexed="81"/>
            <rFont val="Lucida Console"/>
            <family val="3"/>
          </rPr>
          <t>DESCRIÇÃO DETALHADA_x000D_
TINTA LATEX ACRILICA SEMIBRILHO, LINHA PREMIUM, COR  AZUL BIONICO - LATA COM 18 LITROS</t>
        </r>
      </text>
    </comment>
    <comment ref="W24" authorId="0" shapeId="0" xr:uid="{A5CED726-F6E3-4192-9A1A-C42C819CF667}">
      <text>
        <r>
          <rPr>
            <sz val="10"/>
            <color indexed="81"/>
            <rFont val="Lucida Console"/>
            <family val="3"/>
          </rPr>
          <t>_x000D_
DM-Pintura</t>
        </r>
      </text>
    </comment>
    <comment ref="X24" authorId="0" shapeId="0" xr:uid="{E31BB2F2-7599-4EB2-9C0C-1F9F7970C639}">
      <text>
        <r>
          <rPr>
            <sz val="10"/>
            <color indexed="81"/>
            <rFont val="Lucida Console"/>
            <family val="3"/>
          </rPr>
          <t>_x000D_
EQUIP. E MATERIAIS P/PINTURAS E IMPERMEABILIZACAO</t>
        </r>
      </text>
    </comment>
    <comment ref="Y24" authorId="0" shapeId="0" xr:uid="{1A1FAECE-FD57-4842-864A-243044DFDC01}">
      <text>
        <r>
          <rPr>
            <sz val="10"/>
            <color indexed="81"/>
            <rFont val="Lucida Console"/>
            <family val="3"/>
          </rPr>
          <t>_x000D_
TINTAS LATEX</t>
        </r>
      </text>
    </comment>
    <comment ref="AW24" authorId="0" shapeId="0" xr:uid="{F70A461F-0CCB-4571-87DF-B3DC9F6D4462}">
      <text>
        <r>
          <rPr>
            <sz val="10"/>
            <color indexed="81"/>
            <rFont val="Lucida Console"/>
            <family val="3"/>
          </rPr>
          <t>Tempo de Estoque (Meses)_x000D_
_x000D_
383,0</t>
        </r>
      </text>
    </comment>
    <comment ref="A25" authorId="0" shapeId="0" xr:uid="{7F64C9CB-EDA9-4455-AA6F-393B46714EE8}">
      <text>
        <r>
          <rPr>
            <sz val="10"/>
            <color indexed="81"/>
            <rFont val="Lucida Console"/>
            <family val="3"/>
          </rPr>
          <t>_x000D_
141418</t>
        </r>
      </text>
    </comment>
    <comment ref="B25" authorId="0" shapeId="0" xr:uid="{460AEB02-F6B3-455D-8762-D7A4FA5AF0FB}">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25" authorId="0" shapeId="0" xr:uid="{8F8C7A4F-4485-4AF9-B796-8951AC151542}">
      <text>
        <r>
          <rPr>
            <sz val="10"/>
            <color indexed="81"/>
            <rFont val="Lucida Console"/>
            <family val="3"/>
          </rPr>
          <t>_x000D_
DM-Pintura</t>
        </r>
      </text>
    </comment>
    <comment ref="X25" authorId="0" shapeId="0" xr:uid="{45C714BE-B295-4D3F-B7B5-5A03AE514D8C}">
      <text>
        <r>
          <rPr>
            <sz val="10"/>
            <color indexed="81"/>
            <rFont val="Lucida Console"/>
            <family val="3"/>
          </rPr>
          <t>_x000D_
EQUIP. E MATERIAIS P/PINTURAS E IMPERMEABILIZACAO</t>
        </r>
      </text>
    </comment>
    <comment ref="Y25" authorId="0" shapeId="0" xr:uid="{9472B35A-831C-4A87-884E-D03E448F0070}">
      <text>
        <r>
          <rPr>
            <sz val="10"/>
            <color indexed="81"/>
            <rFont val="Lucida Console"/>
            <family val="3"/>
          </rPr>
          <t>_x000D_
MATERIAIS PARA PINTURA</t>
        </r>
      </text>
    </comment>
    <comment ref="AW25" authorId="0" shapeId="0" xr:uid="{A432ACAA-7BB4-4C2D-8C47-806D58EFA565}">
      <text>
        <r>
          <rPr>
            <sz val="10"/>
            <color indexed="81"/>
            <rFont val="Lucida Console"/>
            <family val="3"/>
          </rPr>
          <t>Tempo de Estoque (Meses)_x000D_
_x000D_
1.060,0</t>
        </r>
      </text>
    </comment>
    <comment ref="A26" authorId="0" shapeId="0" xr:uid="{7C70C0DC-61F1-4CC6-8A4B-223C4717981A}">
      <text>
        <r>
          <rPr>
            <sz val="10"/>
            <color indexed="81"/>
            <rFont val="Lucida Console"/>
            <family val="3"/>
          </rPr>
          <t>_x000D_
12614</t>
        </r>
      </text>
    </comment>
    <comment ref="B26" authorId="0" shapeId="0" xr:uid="{4BB663E9-DE25-4D9E-B6D3-4B4A5693FA75}">
      <text>
        <r>
          <rPr>
            <sz val="10"/>
            <color indexed="81"/>
            <rFont val="Lucida Console"/>
            <family val="3"/>
          </rPr>
          <t>DESCRIÇÃO DETALHADA_x000D_
ENVELOPE PARDO TIPO SACO 310  X 410 MM- GRAMATURA MINIMA 80 G/M²</t>
        </r>
      </text>
    </comment>
    <comment ref="G26" authorId="0" shapeId="0" xr:uid="{272E7EEE-2B8C-46A2-9DAF-463290B386DC}">
      <text>
        <r>
          <rPr>
            <sz val="10"/>
            <color indexed="81"/>
            <rFont val="Lucida Console"/>
            <family val="3"/>
          </rPr>
          <t>_x000D_
Últ estimativa : 22.000_x000D_
Enviada em     : 02.03.2020_x000D_
Ata - Venc     : 211/20 - 21.09.2021</t>
        </r>
      </text>
    </comment>
    <comment ref="O26" authorId="0" shapeId="0" xr:uid="{C58C29FF-0796-4940-B511-9EED8B9BC719}">
      <text>
        <r>
          <rPr>
            <sz val="10"/>
            <color indexed="81"/>
            <rFont val="Lucida Console"/>
            <family val="3"/>
          </rPr>
          <t xml:space="preserve">_x000D_
Pertencia a ATA nº 211/20_x000D_
Estimativa de Renovação enviada em 02.03.2020 - Qtd 22.000_x000D_
</t>
        </r>
      </text>
    </comment>
    <comment ref="W26" authorId="0" shapeId="0" xr:uid="{89EA9384-2D59-42E0-BFD7-137842069209}">
      <text>
        <r>
          <rPr>
            <sz val="10"/>
            <color indexed="81"/>
            <rFont val="Lucida Console"/>
            <family val="3"/>
          </rPr>
          <t>_x000D_
Pedagógico</t>
        </r>
      </text>
    </comment>
    <comment ref="X26" authorId="0" shapeId="0" xr:uid="{C4422542-ED35-4DAA-8603-36F098985F1C}">
      <text>
        <r>
          <rPr>
            <sz val="10"/>
            <color indexed="81"/>
            <rFont val="Lucida Console"/>
            <family val="3"/>
          </rPr>
          <t>_x000D_
MAQ., EQUIP., COMP., ACES., MAT. PARA ESCRIT.E ESCOLAR</t>
        </r>
      </text>
    </comment>
    <comment ref="Y26" authorId="0" shapeId="0" xr:uid="{B18EC926-B41C-45DE-9442-D00CB9EEEC12}">
      <text>
        <r>
          <rPr>
            <sz val="10"/>
            <color indexed="81"/>
            <rFont val="Lucida Console"/>
            <family val="3"/>
          </rPr>
          <t>_x000D_
CAPAS, CLASSIF., PRANCHETAS, CADERNOS, ENVELOPES, PASTAS, FICHAS, LIVROS</t>
        </r>
      </text>
    </comment>
    <comment ref="AW26" authorId="0" shapeId="0" xr:uid="{9CBE4198-338E-4B1C-9DCF-527FD7C2BE3D}">
      <text>
        <r>
          <rPr>
            <sz val="10"/>
            <color indexed="81"/>
            <rFont val="Lucida Console"/>
            <family val="3"/>
          </rPr>
          <t>Tempo de Estoque (Meses)_x000D_
_x000D_
2.156,0</t>
        </r>
      </text>
    </comment>
    <comment ref="A27" authorId="0" shapeId="0" xr:uid="{498EDE3F-D749-4AD5-A6BD-3CC2CDCD6555}">
      <text>
        <r>
          <rPr>
            <sz val="10"/>
            <color indexed="81"/>
            <rFont val="Lucida Console"/>
            <family val="3"/>
          </rPr>
          <t>_x000D_
141265</t>
        </r>
      </text>
    </comment>
    <comment ref="B27" authorId="0" shapeId="0" xr:uid="{F2BA8693-8075-4549-B0FE-291276BB7473}">
      <text>
        <r>
          <rPr>
            <sz val="10"/>
            <color indexed="81"/>
            <rFont val="Lucida Console"/>
            <family val="3"/>
          </rPr>
          <t>DESCRIÇÃO DETALHADA_x000D_
TINTA ESMALTE SINTETICO BRILHANTE, LINHA PREMIUM.COR PRETO, GALAO COM 3.600 ML, A BASE DE SOLVENTE</t>
        </r>
      </text>
    </comment>
    <comment ref="W27" authorId="0" shapeId="0" xr:uid="{E3C29A24-3C5D-49EE-ADD9-280727019CB4}">
      <text>
        <r>
          <rPr>
            <sz val="10"/>
            <color indexed="81"/>
            <rFont val="Lucida Console"/>
            <family val="3"/>
          </rPr>
          <t>_x000D_
DM-Pintura</t>
        </r>
      </text>
    </comment>
    <comment ref="X27" authorId="0" shapeId="0" xr:uid="{272B882F-4E5D-4CCF-BFFA-B6C9A724A42A}">
      <text>
        <r>
          <rPr>
            <sz val="10"/>
            <color indexed="81"/>
            <rFont val="Lucida Console"/>
            <family val="3"/>
          </rPr>
          <t>_x000D_
EQUIP. E MATERIAIS P/PINTURAS E IMPERMEABILIZACAO</t>
        </r>
      </text>
    </comment>
    <comment ref="Y27" authorId="0" shapeId="0" xr:uid="{8B559C9C-1CA9-4327-B88E-4200652915BC}">
      <text>
        <r>
          <rPr>
            <sz val="10"/>
            <color indexed="81"/>
            <rFont val="Lucida Console"/>
            <family val="3"/>
          </rPr>
          <t>_x000D_
ESMALTES</t>
        </r>
      </text>
    </comment>
    <comment ref="AW27" authorId="0" shapeId="0" xr:uid="{9C6B6E86-6BD0-4BE6-AF7C-BC4496615496}">
      <text>
        <r>
          <rPr>
            <sz val="10"/>
            <color indexed="81"/>
            <rFont val="Lucida Console"/>
            <family val="3"/>
          </rPr>
          <t>Tempo de Estoque (Meses)_x000D_
_x000D_
102,0</t>
        </r>
      </text>
    </comment>
    <comment ref="A28" authorId="0" shapeId="0" xr:uid="{E09FC699-C2BA-49CA-82C6-EBD71D7E290A}">
      <text>
        <r>
          <rPr>
            <sz val="10"/>
            <color indexed="81"/>
            <rFont val="Lucida Console"/>
            <family val="3"/>
          </rPr>
          <t>_x000D_
141266</t>
        </r>
      </text>
    </comment>
    <comment ref="B28" authorId="0" shapeId="0" xr:uid="{8537FDF6-316D-425E-9645-ED0315EE7C6E}">
      <text>
        <r>
          <rPr>
            <sz val="10"/>
            <color indexed="81"/>
            <rFont val="Lucida Console"/>
            <family val="3"/>
          </rPr>
          <t>DESCRIÇÃO DETALHADA_x000D_
TINTA ESMALTE SINTETICO BRILHANTE, LINHA PREMIUM.COR VERDE FOLHA, GALAO COM 3.600 ML, A BASE DE SOLVENTE</t>
        </r>
      </text>
    </comment>
    <comment ref="W28" authorId="0" shapeId="0" xr:uid="{6F34BBD7-9538-4426-9940-5AE1E84A95FF}">
      <text>
        <r>
          <rPr>
            <sz val="10"/>
            <color indexed="81"/>
            <rFont val="Lucida Console"/>
            <family val="3"/>
          </rPr>
          <t>_x000D_
DM-Pintura</t>
        </r>
      </text>
    </comment>
    <comment ref="X28" authorId="0" shapeId="0" xr:uid="{CDC5BECC-110E-4E51-8F55-EDE5E51B8E55}">
      <text>
        <r>
          <rPr>
            <sz val="10"/>
            <color indexed="81"/>
            <rFont val="Lucida Console"/>
            <family val="3"/>
          </rPr>
          <t>_x000D_
EQUIP. E MATERIAIS P/PINTURAS E IMPERMEABILIZACAO</t>
        </r>
      </text>
    </comment>
    <comment ref="Y28" authorId="0" shapeId="0" xr:uid="{49B20556-3FE8-4FDF-9DF8-163C6C3AC4A1}">
      <text>
        <r>
          <rPr>
            <sz val="10"/>
            <color indexed="81"/>
            <rFont val="Lucida Console"/>
            <family val="3"/>
          </rPr>
          <t>_x000D_
ESMALTES</t>
        </r>
      </text>
    </comment>
    <comment ref="AW28" authorId="0" shapeId="0" xr:uid="{C0FD1F38-F15C-4ADC-AA1B-67601DA098E0}">
      <text>
        <r>
          <rPr>
            <sz val="10"/>
            <color indexed="81"/>
            <rFont val="Lucida Console"/>
            <family val="3"/>
          </rPr>
          <t>Tempo de Estoque (Meses)_x000D_
_x000D_
187,0</t>
        </r>
      </text>
    </comment>
    <comment ref="A29" authorId="0" shapeId="0" xr:uid="{64403635-4073-448F-86A6-016B1C4F4D7A}">
      <text>
        <r>
          <rPr>
            <sz val="10"/>
            <color indexed="81"/>
            <rFont val="Lucida Console"/>
            <family val="3"/>
          </rPr>
          <t>_x000D_
141268</t>
        </r>
      </text>
    </comment>
    <comment ref="B29" authorId="0" shapeId="0" xr:uid="{CA126319-198D-44DB-8EC5-D66B35AAAA8E}">
      <text>
        <r>
          <rPr>
            <sz val="10"/>
            <color indexed="81"/>
            <rFont val="Lucida Console"/>
            <family val="3"/>
          </rPr>
          <t>DESCRIÇÃO DETALHADA_x000D_
TINTA ESMALTE SINTETICO BRILHANTE, LINHA PREMIUM. COR BRANCO - GALAO COM 3.600 ML, A BASE DE SOLVENTE</t>
        </r>
      </text>
    </comment>
    <comment ref="W29" authorId="0" shapeId="0" xr:uid="{DC967C91-8937-4BF7-BEF3-F4EE84CADA2B}">
      <text>
        <r>
          <rPr>
            <sz val="10"/>
            <color indexed="81"/>
            <rFont val="Lucida Console"/>
            <family val="3"/>
          </rPr>
          <t>_x000D_
DM-Pintura</t>
        </r>
      </text>
    </comment>
    <comment ref="X29" authorId="0" shapeId="0" xr:uid="{D0A3A341-DB5E-48A8-A293-2B8ADF078980}">
      <text>
        <r>
          <rPr>
            <sz val="10"/>
            <color indexed="81"/>
            <rFont val="Lucida Console"/>
            <family val="3"/>
          </rPr>
          <t>_x000D_
EQUIP. E MATERIAIS P/PINTURAS E IMPERMEABILIZACAO</t>
        </r>
      </text>
    </comment>
    <comment ref="Y29" authorId="0" shapeId="0" xr:uid="{46879E47-F9F6-4DDA-8404-2F18C5A251E0}">
      <text>
        <r>
          <rPr>
            <sz val="10"/>
            <color indexed="81"/>
            <rFont val="Lucida Console"/>
            <family val="3"/>
          </rPr>
          <t>_x000D_
ESMALTES</t>
        </r>
      </text>
    </comment>
    <comment ref="AW29" authorId="0" shapeId="0" xr:uid="{2E548812-2452-4C48-9767-A71311F13FBB}">
      <text>
        <r>
          <rPr>
            <sz val="10"/>
            <color indexed="81"/>
            <rFont val="Lucida Console"/>
            <family val="3"/>
          </rPr>
          <t>Tempo de Estoque (Meses)_x000D_
_x000D_
1.030,0</t>
        </r>
      </text>
    </comment>
    <comment ref="A30" authorId="0" shapeId="0" xr:uid="{3D97BB02-CA7C-4242-925A-2C129D8E08BD}">
      <text>
        <r>
          <rPr>
            <sz val="10"/>
            <color indexed="81"/>
            <rFont val="Lucida Console"/>
            <family val="3"/>
          </rPr>
          <t>_x000D_
141679</t>
        </r>
      </text>
    </comment>
    <comment ref="B30" authorId="0" shapeId="0" xr:uid="{926BD051-87DA-49D5-803C-A5424F3ADC38}">
      <text>
        <r>
          <rPr>
            <sz val="10"/>
            <color indexed="81"/>
            <rFont val="Lucida Console"/>
            <family val="3"/>
          </rPr>
          <t>DESCRIÇÃO DETALHADA_x000D_
TINTA ESMALTE SINTETICO BRILHANTE, LINHA PREMIUM, COR AMARELO OURO - GALAO COM 3.600 ML, A BASE DE SOLVENTE</t>
        </r>
      </text>
    </comment>
    <comment ref="W30" authorId="0" shapeId="0" xr:uid="{F220082E-DD41-429F-B0C4-C87F961669ED}">
      <text>
        <r>
          <rPr>
            <sz val="10"/>
            <color indexed="81"/>
            <rFont val="Lucida Console"/>
            <family val="3"/>
          </rPr>
          <t>_x000D_
DM-Pintura</t>
        </r>
      </text>
    </comment>
    <comment ref="X30" authorId="0" shapeId="0" xr:uid="{177AB6F7-EFAC-43FC-8266-38FDA92AD45B}">
      <text>
        <r>
          <rPr>
            <sz val="10"/>
            <color indexed="81"/>
            <rFont val="Lucida Console"/>
            <family val="3"/>
          </rPr>
          <t>_x000D_
EQUIP. E MATERIAIS P/PINTURAS E IMPERMEABILIZACAO</t>
        </r>
      </text>
    </comment>
    <comment ref="Y30" authorId="0" shapeId="0" xr:uid="{E0F40BEF-496C-464C-AB7E-64B1D5A26BFC}">
      <text>
        <r>
          <rPr>
            <sz val="10"/>
            <color indexed="81"/>
            <rFont val="Lucida Console"/>
            <family val="3"/>
          </rPr>
          <t>_x000D_
ESMALTES</t>
        </r>
      </text>
    </comment>
    <comment ref="AW30" authorId="0" shapeId="0" xr:uid="{5EEB0B95-5799-4F2C-AD40-88B4971E776F}">
      <text>
        <r>
          <rPr>
            <sz val="10"/>
            <color indexed="81"/>
            <rFont val="Lucida Console"/>
            <family val="3"/>
          </rPr>
          <t>Tempo de Estoque (Meses)_x000D_
_x000D_
203,0</t>
        </r>
      </text>
    </comment>
    <comment ref="A31" authorId="0" shapeId="0" xr:uid="{D36668DD-53BC-4047-8475-ECB47D55485E}">
      <text>
        <r>
          <rPr>
            <sz val="10"/>
            <color indexed="81"/>
            <rFont val="Lucida Console"/>
            <family val="3"/>
          </rPr>
          <t>_x000D_
49695</t>
        </r>
      </text>
    </comment>
    <comment ref="B31" authorId="0" shapeId="0" xr:uid="{4BBAD916-6082-438F-969C-CCCDC0809669}">
      <text>
        <r>
          <rPr>
            <sz val="10"/>
            <color indexed="81"/>
            <rFont val="Lucida Console"/>
            <family val="3"/>
          </rPr>
          <t>DESCRIÇÃO DETALHADA_x000D_
MACANETA ALAVANCA CROMADA P/ PORTA DE MADEIRA</t>
        </r>
      </text>
    </comment>
    <comment ref="G31" authorId="0" shapeId="0" xr:uid="{81416B97-969F-482D-8B17-02426C8124BC}">
      <text>
        <r>
          <rPr>
            <sz val="10"/>
            <color indexed="81"/>
            <rFont val="Lucida Console"/>
            <family val="3"/>
          </rPr>
          <t>_x000D_
Últ estimativa : 1.000_x000D_
Enviada em     : 28.01.2021_x000D_
Ata - Venc     : 121/20 - 31.05.2021</t>
        </r>
      </text>
    </comment>
    <comment ref="O31" authorId="0" shapeId="0" xr:uid="{9D67386A-A258-4E72-94A1-8F4F168A9FFF}">
      <text>
        <r>
          <rPr>
            <sz val="10"/>
            <color indexed="81"/>
            <rFont val="Lucida Console"/>
            <family val="3"/>
          </rPr>
          <t>_x000D_
Pertencia a ATA nº 121/20_x000D_
Estimativa de Renovação enviada em 28.01.2021 - Qtd 1.000_x000D_
PE  32/20 lote _x000D_
05.06.20 = Finalizar - Contrato assinado</t>
        </r>
      </text>
    </comment>
    <comment ref="W31" authorId="0" shapeId="0" xr:uid="{CD06E5ED-B0AA-4A2B-8D1D-0723A7643907}">
      <text>
        <r>
          <rPr>
            <sz val="10"/>
            <color indexed="81"/>
            <rFont val="Lucida Console"/>
            <family val="3"/>
          </rPr>
          <t>_x000D_
DM-Construção</t>
        </r>
      </text>
    </comment>
    <comment ref="X31" authorId="0" shapeId="0" xr:uid="{20BEB7AF-4440-4C85-9225-A96625323140}">
      <text>
        <r>
          <rPr>
            <sz val="10"/>
            <color indexed="81"/>
            <rFont val="Lucida Console"/>
            <family val="3"/>
          </rPr>
          <t>_x000D_
MAT.E EQUIP. P/ CONSTR.CIVIL E CONSERV. DE VIAS PUBL.</t>
        </r>
      </text>
    </comment>
    <comment ref="Y31" authorId="0" shapeId="0" xr:uid="{7119B2DA-5104-4D2A-A815-E93419436D6C}">
      <text>
        <r>
          <rPr>
            <sz val="10"/>
            <color indexed="81"/>
            <rFont val="Lucida Console"/>
            <family val="3"/>
          </rPr>
          <t>_x000D_
FECHADURAS, DOBRADICAS E MACANETAS</t>
        </r>
      </text>
    </comment>
    <comment ref="AW31" authorId="0" shapeId="0" xr:uid="{7BEC31D6-58DC-429E-A901-3830EDA11D89}">
      <text>
        <r>
          <rPr>
            <sz val="10"/>
            <color indexed="81"/>
            <rFont val="Lucida Console"/>
            <family val="3"/>
          </rPr>
          <t>Tempo de Estoque (Meses)_x000D_
_x000D_
100,0</t>
        </r>
      </text>
    </comment>
    <comment ref="A32" authorId="0" shapeId="0" xr:uid="{B723B1D6-ABCE-4D52-B08B-B6EE88D3410A}">
      <text>
        <r>
          <rPr>
            <sz val="10"/>
            <color indexed="81"/>
            <rFont val="Lucida Console"/>
            <family val="3"/>
          </rPr>
          <t>_x000D_
138456</t>
        </r>
      </text>
    </comment>
    <comment ref="B32" authorId="0" shapeId="0" xr:uid="{9E23E485-3004-455C-A6AC-A4AB2FCE191E}">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32" authorId="0" shapeId="0" xr:uid="{E683AFA7-248D-4B99-A364-5ADA31A627C8}">
      <text>
        <r>
          <rPr>
            <sz val="10"/>
            <color indexed="81"/>
            <rFont val="Lucida Console"/>
            <family val="3"/>
          </rPr>
          <t>_x000D_
Pedagógico</t>
        </r>
      </text>
    </comment>
    <comment ref="X32" authorId="0" shapeId="0" xr:uid="{19C4949A-E5D2-4160-A964-FCCAE49D4CCB}">
      <text>
        <r>
          <rPr>
            <sz val="10"/>
            <color indexed="81"/>
            <rFont val="Lucida Console"/>
            <family val="3"/>
          </rPr>
          <t>_x000D_
MAQ., EQUIP., COMP., ACES., MAT. PARA ESCRIT.E ESCOLAR</t>
        </r>
      </text>
    </comment>
    <comment ref="Y32" authorId="0" shapeId="0" xr:uid="{A3FB0D0C-EE0B-4A77-A7EC-FF1EC0D2BADC}">
      <text>
        <r>
          <rPr>
            <sz val="10"/>
            <color indexed="81"/>
            <rFont val="Lucida Console"/>
            <family val="3"/>
          </rPr>
          <t>_x000D_
CAPAS, CLASSIF., PRANCHETAS, CADERNOS, ENVELOPES, PASTAS, FICHAS, LIVROS</t>
        </r>
      </text>
    </comment>
    <comment ref="AW32" authorId="0" shapeId="0" xr:uid="{CA2A0D40-7255-46AC-9B94-2570958C9C08}">
      <text>
        <r>
          <rPr>
            <sz val="10"/>
            <color indexed="81"/>
            <rFont val="Lucida Console"/>
            <family val="3"/>
          </rPr>
          <t>Tempo de Estoque (Meses)_x000D_
_x000D_
20.157,0</t>
        </r>
      </text>
    </comment>
    <comment ref="A33" authorId="0" shapeId="0" xr:uid="{F9A14A2B-A503-44A8-8110-25268B6686AB}">
      <text>
        <r>
          <rPr>
            <sz val="10"/>
            <color indexed="81"/>
            <rFont val="Lucida Console"/>
            <family val="3"/>
          </rPr>
          <t>_x000D_
78642</t>
        </r>
      </text>
    </comment>
    <comment ref="B33" authorId="0" shapeId="0" xr:uid="{D42FA1F6-C9C3-465A-BE43-BC90DF8132E0}">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33" authorId="0" shapeId="0" xr:uid="{2EAE430F-818B-40DD-B7BA-BF4D174AD73A}">
      <text>
        <r>
          <rPr>
            <sz val="10"/>
            <color indexed="81"/>
            <rFont val="Lucida Console"/>
            <family val="3"/>
          </rPr>
          <t>_x000D_
Pedagógico</t>
        </r>
      </text>
    </comment>
    <comment ref="X33" authorId="0" shapeId="0" xr:uid="{FDB6AEF7-869D-4EBE-9ABD-95AF86858CED}">
      <text>
        <r>
          <rPr>
            <sz val="10"/>
            <color indexed="81"/>
            <rFont val="Lucida Console"/>
            <family val="3"/>
          </rPr>
          <t>_x000D_
MAQ., EQUIP., COMP., ACES., MAT. PARA ESCRIT.E ESCOLAR</t>
        </r>
      </text>
    </comment>
    <comment ref="Y33" authorId="0" shapeId="0" xr:uid="{8B2F61D5-6439-466F-99A4-CCE45FA1B599}">
      <text>
        <r>
          <rPr>
            <sz val="10"/>
            <color indexed="81"/>
            <rFont val="Lucida Console"/>
            <family val="3"/>
          </rPr>
          <t>_x000D_
TINTAS  E PINCEIS ESCOLARES</t>
        </r>
      </text>
    </comment>
    <comment ref="AW33" authorId="0" shapeId="0" xr:uid="{2978AA24-2193-4CCC-9280-E4931C8D3988}">
      <text>
        <r>
          <rPr>
            <sz val="10"/>
            <color indexed="81"/>
            <rFont val="Lucida Console"/>
            <family val="3"/>
          </rPr>
          <t>Tempo de Estoque (Meses)_x000D_
_x000D_
1.694,0</t>
        </r>
      </text>
    </comment>
    <comment ref="A34" authorId="0" shapeId="0" xr:uid="{1D1FA0A7-38FE-49B7-BB70-BC1975650A6E}">
      <text>
        <r>
          <rPr>
            <sz val="10"/>
            <color indexed="81"/>
            <rFont val="Lucida Console"/>
            <family val="3"/>
          </rPr>
          <t>_x000D_
141615</t>
        </r>
      </text>
    </comment>
    <comment ref="B34" authorId="0" shapeId="0" xr:uid="{FDB24A76-6A90-4CC6-890C-3C99CE2FEA8A}">
      <text>
        <r>
          <rPr>
            <sz val="10"/>
            <color indexed="81"/>
            <rFont val="Lucida Console"/>
            <family val="3"/>
          </rPr>
          <t>DESCRIÇÃO DETALHADA_x000D_
TINTA LATEX ACRILICA SEMIBRILHO, LINHA PREMIUM, COR BRANCO - LATA COM 18 LITROS</t>
        </r>
      </text>
    </comment>
    <comment ref="W34" authorId="0" shapeId="0" xr:uid="{9591032D-226D-4DD9-8C7F-ED42359F1B47}">
      <text>
        <r>
          <rPr>
            <sz val="10"/>
            <color indexed="81"/>
            <rFont val="Lucida Console"/>
            <family val="3"/>
          </rPr>
          <t>_x000D_
DM-Pintura</t>
        </r>
      </text>
    </comment>
    <comment ref="X34" authorId="0" shapeId="0" xr:uid="{8B5CD31A-A258-4EA9-ACA0-AA51DF93A420}">
      <text>
        <r>
          <rPr>
            <sz val="10"/>
            <color indexed="81"/>
            <rFont val="Lucida Console"/>
            <family val="3"/>
          </rPr>
          <t>_x000D_
EQUIP. E MATERIAIS P/PINTURAS E IMPERMEABILIZACAO</t>
        </r>
      </text>
    </comment>
    <comment ref="Y34" authorId="0" shapeId="0" xr:uid="{1EE56311-522A-4CB3-9E87-9969B372CD24}">
      <text>
        <r>
          <rPr>
            <sz val="10"/>
            <color indexed="81"/>
            <rFont val="Lucida Console"/>
            <family val="3"/>
          </rPr>
          <t>_x000D_
TINTAS LATEX</t>
        </r>
      </text>
    </comment>
    <comment ref="AW34" authorId="0" shapeId="0" xr:uid="{F5D8097C-A6DA-458B-AA42-61E36806B5EA}">
      <text>
        <r>
          <rPr>
            <sz val="10"/>
            <color indexed="81"/>
            <rFont val="Lucida Console"/>
            <family val="3"/>
          </rPr>
          <t>Tempo de Estoque (Meses)_x000D_
_x000D_
145,0</t>
        </r>
      </text>
    </comment>
    <comment ref="A35" authorId="0" shapeId="0" xr:uid="{B7BE568D-267C-44E9-B731-6965B61D4CB9}">
      <text>
        <r>
          <rPr>
            <sz val="10"/>
            <color indexed="81"/>
            <rFont val="Lucida Console"/>
            <family val="3"/>
          </rPr>
          <t>_x000D_
134246</t>
        </r>
      </text>
    </comment>
    <comment ref="B35" authorId="0" shapeId="0" xr:uid="{9FC7A89F-ADE1-429E-B97B-B74BBA3DEB86}">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35" authorId="0" shapeId="0" xr:uid="{7DD90077-EF16-4368-A257-1AED957EE1E0}">
      <text>
        <r>
          <rPr>
            <sz val="10"/>
            <color indexed="81"/>
            <rFont val="Lucida Console"/>
            <family val="3"/>
          </rPr>
          <t>_x000D_
Últ estimativa : 1.100_x000D_
Enviada em     : 19.11.2021_x000D_
Ata - Venc     : 78/21 - 16.03.2022</t>
        </r>
      </text>
    </comment>
    <comment ref="W35" authorId="0" shapeId="0" xr:uid="{E9EB71C9-E8F2-47D6-87E0-0E139D08D61D}">
      <text>
        <r>
          <rPr>
            <sz val="10"/>
            <color indexed="81"/>
            <rFont val="Lucida Console"/>
            <family val="3"/>
          </rPr>
          <t>_x000D_
DM-Construção</t>
        </r>
      </text>
    </comment>
    <comment ref="X35" authorId="0" shapeId="0" xr:uid="{6D5A1835-5E2E-49E2-9436-51F768ECC571}">
      <text>
        <r>
          <rPr>
            <sz val="10"/>
            <color indexed="81"/>
            <rFont val="Lucida Console"/>
            <family val="3"/>
          </rPr>
          <t>_x000D_
MAT.E EQUIP. P/ CONSTR.CIVIL E CONSERV. DE VIAS PUBL.</t>
        </r>
      </text>
    </comment>
    <comment ref="Y35" authorId="0" shapeId="0" xr:uid="{D1DE899C-C752-411D-BFC2-D8A53CE1F225}">
      <text>
        <r>
          <rPr>
            <sz val="10"/>
            <color indexed="81"/>
            <rFont val="Lucida Console"/>
            <family val="3"/>
          </rPr>
          <t>_x000D_
PEDRA,PEDRISCO E AREIA</t>
        </r>
      </text>
    </comment>
    <comment ref="AC35" authorId="0" shapeId="0" xr:uid="{576280A1-5540-4EE1-9CEE-1FFAFEFE0A60}">
      <text>
        <r>
          <rPr>
            <sz val="10"/>
            <color indexed="81"/>
            <rFont val="Lucida Console"/>
            <family val="3"/>
          </rPr>
          <t>_x000D_
AF  4.690/23 | Vc 08.05.2023 | Saldo    400 | TRANSNECO MATERIAIS DE CONSTRUCAO EM GERAL LTDA ( 226566 )</t>
        </r>
      </text>
    </comment>
    <comment ref="AG35" authorId="0" shapeId="0" xr:uid="{D5A06DE9-1323-444A-B6C3-8E43EA2152E0}">
      <text>
        <r>
          <rPr>
            <sz val="10"/>
            <color indexed="81"/>
            <rFont val="Lucida Console"/>
            <family val="3"/>
          </rPr>
          <t>_x000D_
AF  4.690/23 | Vc 08.05.2023 | Saldo    400 | TRANSNECO MATERIAIS DE CONSTRUCAO EM GERAL LTDA ( 226566 )</t>
        </r>
      </text>
    </comment>
    <comment ref="AW35" authorId="0" shapeId="0" xr:uid="{92352305-AC64-415B-9070-BD7C49AC5FAD}">
      <text>
        <r>
          <rPr>
            <sz val="10"/>
            <color indexed="81"/>
            <rFont val="Lucida Console"/>
            <family val="3"/>
          </rPr>
          <t>Tempo de Estoque (Meses)_x000D_
_x000D_
103,8</t>
        </r>
      </text>
    </comment>
    <comment ref="A36" authorId="0" shapeId="0" xr:uid="{D65E9CD2-992F-457C-AF45-1A0C1278CA60}">
      <text>
        <r>
          <rPr>
            <sz val="10"/>
            <color indexed="81"/>
            <rFont val="Lucida Console"/>
            <family val="3"/>
          </rPr>
          <t>_x000D_
12992</t>
        </r>
      </text>
    </comment>
    <comment ref="B36" authorId="0" shapeId="0" xr:uid="{363F29C7-5B79-4602-8086-4269986FD1B1}">
      <text>
        <r>
          <rPr>
            <sz val="10"/>
            <color indexed="81"/>
            <rFont val="Lucida Console"/>
            <family val="3"/>
          </rPr>
          <t>DESCRIÇÃO DETALHADA_x000D_
INTERRUPTOR 10A X 250V INTERNO DE 03 TECLAS C/ PLACA</t>
        </r>
      </text>
    </comment>
    <comment ref="G36" authorId="0" shapeId="0" xr:uid="{A37CB8CE-E038-4E9B-932D-84C257C9CF77}">
      <text>
        <r>
          <rPr>
            <sz val="10"/>
            <color indexed="81"/>
            <rFont val="Lucida Console"/>
            <family val="3"/>
          </rPr>
          <t>_x000D_
Últ estimativa : 50_x000D_
Enviada em     : 17.01.2020_x000D_
Ata - Venc     : 126/19 - 06.05.2020</t>
        </r>
      </text>
    </comment>
    <comment ref="O36" authorId="0" shapeId="0" xr:uid="{C46B96FC-29BC-4C12-9239-9E2F850ACE9A}">
      <text>
        <r>
          <rPr>
            <sz val="10"/>
            <color indexed="81"/>
            <rFont val="Lucida Console"/>
            <family val="3"/>
          </rPr>
          <t>_x000D_
Pertencia a ATA nº 126/19_x000D_
Estimativa de Renovação enviada em 17.01.2020 - Qtd 50_x000D_
PE 153/20 lote 1 (Impróspero)_x000D_
16.09.20 = Finalizado</t>
        </r>
      </text>
    </comment>
    <comment ref="W36" authorId="0" shapeId="0" xr:uid="{8A5FBBBB-7FE3-4F0D-AD1D-8C42761A1624}">
      <text>
        <r>
          <rPr>
            <sz val="10"/>
            <color indexed="81"/>
            <rFont val="Lucida Console"/>
            <family val="3"/>
          </rPr>
          <t>_x000D_
DM-Elétrica</t>
        </r>
      </text>
    </comment>
    <comment ref="X36" authorId="0" shapeId="0" xr:uid="{87EA2080-9FC3-4880-BA63-191202F27CCD}">
      <text>
        <r>
          <rPr>
            <sz val="10"/>
            <color indexed="81"/>
            <rFont val="Lucida Console"/>
            <family val="3"/>
          </rPr>
          <t>_x000D_
EQUIP. MAT. P/ GERACAO, TRANSM. DISTR. RETIF...</t>
        </r>
      </text>
    </comment>
    <comment ref="Y36" authorId="0" shapeId="0" xr:uid="{507E0E71-96B1-4BE3-A0B8-285CF5C31255}">
      <text>
        <r>
          <rPr>
            <sz val="10"/>
            <color indexed="81"/>
            <rFont val="Lucida Console"/>
            <family val="3"/>
          </rPr>
          <t>_x000D_
INTERRUPTORES DE USO DOMESTICO E INDUSTRIAL</t>
        </r>
      </text>
    </comment>
    <comment ref="AW36" authorId="0" shapeId="0" xr:uid="{A01D4E50-F4AD-4697-B979-4B29242ABE04}">
      <text>
        <r>
          <rPr>
            <sz val="10"/>
            <color indexed="81"/>
            <rFont val="Lucida Console"/>
            <family val="3"/>
          </rPr>
          <t>Tempo de Estoque (Meses)_x000D_
_x000D_
10,0</t>
        </r>
      </text>
    </comment>
    <comment ref="A37" authorId="0" shapeId="0" xr:uid="{78FEC529-6165-48E2-A80E-D36A3AD6ACA9}">
      <text>
        <r>
          <rPr>
            <sz val="10"/>
            <color indexed="81"/>
            <rFont val="Lucida Console"/>
            <family val="3"/>
          </rPr>
          <t>_x000D_
93335</t>
        </r>
      </text>
    </comment>
    <comment ref="B37" authorId="0" shapeId="0" xr:uid="{BC8D6EA9-7D99-441A-897D-248707F5E839}">
      <text>
        <r>
          <rPr>
            <sz val="10"/>
            <color indexed="81"/>
            <rFont val="Lucida Console"/>
            <family val="3"/>
          </rPr>
          <t>DESCRIÇÃO DETALHADA_x000D_
PAPEL DE SEDA - 48 X 60 CM - VERMELHO</t>
        </r>
      </text>
    </comment>
    <comment ref="G37" authorId="0" shapeId="0" xr:uid="{185BB251-68AB-4C81-8CB6-07DCC87346F7}">
      <text>
        <r>
          <rPr>
            <sz val="10"/>
            <color indexed="81"/>
            <rFont val="Lucida Console"/>
            <family val="3"/>
          </rPr>
          <t>_x000D_
Últ estimativa : 10.000_x000D_
Enviada em     : 19.12.2019_x000D_
Ata - Venc     : 143/21 - 20.05.2022</t>
        </r>
      </text>
    </comment>
    <comment ref="O37" authorId="0" shapeId="0" xr:uid="{364981B1-92C2-4466-8233-DB2E92440F52}">
      <text>
        <r>
          <rPr>
            <sz val="10"/>
            <color indexed="81"/>
            <rFont val="Lucida Console"/>
            <family val="3"/>
          </rPr>
          <t>_x000D_
Pertencia a ATA nº 143/21_x000D_
Estimativa de Renovação enviada em 19.12.2019 - Qtd 10.000_x000D_
PE  61/21 lote _x000D_
30.04.21 = Finalizado. Ata 143/20</t>
        </r>
      </text>
    </comment>
    <comment ref="W37" authorId="0" shapeId="0" xr:uid="{149BB083-F51F-49B3-8204-A74B94B0FD62}">
      <text>
        <r>
          <rPr>
            <sz val="10"/>
            <color indexed="81"/>
            <rFont val="Lucida Console"/>
            <family val="3"/>
          </rPr>
          <t>_x000D_
Pedagógico</t>
        </r>
      </text>
    </comment>
    <comment ref="X37" authorId="0" shapeId="0" xr:uid="{052D75D1-BD23-4E1C-84E8-31CF67896BA1}">
      <text>
        <r>
          <rPr>
            <sz val="10"/>
            <color indexed="81"/>
            <rFont val="Lucida Console"/>
            <family val="3"/>
          </rPr>
          <t>_x000D_
MAQ. E EQUIP. P/ IND. GRAFICA COMP. ACESS. E PAPEI</t>
        </r>
      </text>
    </comment>
    <comment ref="Y37" authorId="0" shapeId="0" xr:uid="{2AE62E83-F80A-4301-925C-83AD12D9A560}">
      <text>
        <r>
          <rPr>
            <sz val="10"/>
            <color indexed="81"/>
            <rFont val="Lucida Console"/>
            <family val="3"/>
          </rPr>
          <t>_x000D_
PAPEIS P/ EMBALAGEM E DECORATIVOS</t>
        </r>
      </text>
    </comment>
    <comment ref="AW37" authorId="0" shapeId="0" xr:uid="{CEB6B0D7-71E3-480A-9A52-731DBCE4965F}">
      <text>
        <r>
          <rPr>
            <sz val="10"/>
            <color indexed="81"/>
            <rFont val="Lucida Console"/>
            <family val="3"/>
          </rPr>
          <t>Tempo de Estoque (Meses)_x000D_
_x000D_
1.251,0</t>
        </r>
      </text>
    </comment>
    <comment ref="A38" authorId="0" shapeId="0" xr:uid="{9C081190-FE5C-4D39-AE37-A06BB16DF563}">
      <text>
        <r>
          <rPr>
            <sz val="10"/>
            <color indexed="81"/>
            <rFont val="Lucida Console"/>
            <family val="3"/>
          </rPr>
          <t>_x000D_
132465</t>
        </r>
      </text>
    </comment>
    <comment ref="B38" authorId="0" shapeId="0" xr:uid="{4139EB08-0E37-4CC8-A31F-C0BAE6805A21}">
      <text>
        <r>
          <rPr>
            <sz val="10"/>
            <color indexed="81"/>
            <rFont val="Lucida Console"/>
            <family val="3"/>
          </rPr>
          <t>DESCRIÇÃO DETALHADA_x000D_
FECHO CHATO COM PORTA CADEADO ZINCADO 5" REFORCADO, COM PARAFUSOS, MATERIAL DO FECHO:  ACO CARBONO, MEDIDA: 127MM.</t>
        </r>
      </text>
    </comment>
    <comment ref="G38" authorId="0" shapeId="0" xr:uid="{12337FF6-E4F5-4776-A323-879DBC828362}">
      <text>
        <r>
          <rPr>
            <sz val="10"/>
            <color indexed="81"/>
            <rFont val="Lucida Console"/>
            <family val="3"/>
          </rPr>
          <t>_x000D_
Últ estimativa : 200_x000D_
Enviada em     : 14.02.2020_x000D_
Ata - Venc     : 155/19 - 26.06.2020</t>
        </r>
      </text>
    </comment>
    <comment ref="O38" authorId="0" shapeId="0" xr:uid="{74939202-E8F0-4309-A7FD-F93457ED122E}">
      <text>
        <r>
          <rPr>
            <sz val="10"/>
            <color indexed="81"/>
            <rFont val="Lucida Console"/>
            <family val="3"/>
          </rPr>
          <t>_x000D_
Pertencia a ATA nº 155/19_x000D_
Estimativa de Renovação enviada em 14.02.2020 - Qtd 200_x000D_
PE  28/19 lote _x000D_
24.07.19 = Processo conferido, finalizado.</t>
        </r>
      </text>
    </comment>
    <comment ref="W38" authorId="0" shapeId="0" xr:uid="{B3340BD0-4A9C-4EFB-880B-21B52822B8B9}">
      <text>
        <r>
          <rPr>
            <sz val="10"/>
            <color indexed="81"/>
            <rFont val="Lucida Console"/>
            <family val="3"/>
          </rPr>
          <t>_x000D_
DM-Marcenaria</t>
        </r>
      </text>
    </comment>
    <comment ref="X38" authorId="0" shapeId="0" xr:uid="{C61B5095-27BE-4519-8F6D-C73944DBB463}">
      <text>
        <r>
          <rPr>
            <sz val="10"/>
            <color indexed="81"/>
            <rFont val="Lucida Console"/>
            <family val="3"/>
          </rPr>
          <t>_x000D_
MAT.E EQUIP. P/ CONSTR.CIVIL E CONSERV. DE VIAS PUBL.</t>
        </r>
      </text>
    </comment>
    <comment ref="Y38" authorId="0" shapeId="0" xr:uid="{B009D673-AE85-41F5-A08C-8309546B0CF8}">
      <text>
        <r>
          <rPr>
            <sz val="10"/>
            <color indexed="81"/>
            <rFont val="Lucida Console"/>
            <family val="3"/>
          </rPr>
          <t>_x000D_
MACANETAS, TRINCOS, TRAMELAS E TRANQUETAS</t>
        </r>
      </text>
    </comment>
    <comment ref="AW38" authorId="0" shapeId="0" xr:uid="{848EF57F-709C-4201-B29B-241BF6F13CC3}">
      <text>
        <r>
          <rPr>
            <sz val="10"/>
            <color indexed="81"/>
            <rFont val="Lucida Console"/>
            <family val="3"/>
          </rPr>
          <t>Tempo de Estoque (Meses)_x000D_
_x000D_
75,0</t>
        </r>
      </text>
    </comment>
    <comment ref="A39" authorId="0" shapeId="0" xr:uid="{2BFE6A45-3EF9-421D-A059-B77CDAC2E264}">
      <text>
        <r>
          <rPr>
            <sz val="10"/>
            <color indexed="81"/>
            <rFont val="Lucida Console"/>
            <family val="3"/>
          </rPr>
          <t>_x000D_
35550</t>
        </r>
      </text>
    </comment>
    <comment ref="B39" authorId="0" shapeId="0" xr:uid="{12FB825B-17FF-4A90-B88F-0D5C7BBFB2E5}">
      <text>
        <r>
          <rPr>
            <sz val="10"/>
            <color indexed="81"/>
            <rFont val="Lucida Console"/>
            <family val="3"/>
          </rPr>
          <t>DESCRIÇÃO DETALHADA_x000D_
LIXA DE PAPEL P/ MADEIRA EM FOLHA DE 225 X 275 MM - N°100</t>
        </r>
      </text>
    </comment>
    <comment ref="G39" authorId="0" shapeId="0" xr:uid="{D9FEF60C-314C-4B87-A34B-FAADCDB6955C}">
      <text>
        <r>
          <rPr>
            <sz val="10"/>
            <color indexed="81"/>
            <rFont val="Lucida Console"/>
            <family val="3"/>
          </rPr>
          <t>_x000D_
Últ estimativa : 0_x000D_
Enviada em     : 12.05.2020_x000D_
Ata - Venc     : 254/20 - 28.10.2021</t>
        </r>
      </text>
    </comment>
    <comment ref="O39" authorId="0" shapeId="0" xr:uid="{DC05D7EA-596C-45E2-8351-AC3064873F8D}">
      <text>
        <r>
          <rPr>
            <sz val="10"/>
            <color indexed="81"/>
            <rFont val="Lucida Console"/>
            <family val="3"/>
          </rPr>
          <t>_x000D_
Pertencia a ATA nº 254/20_x000D_
Estimativa de Renovação enviada em 12.05.2020 - Qtd _x000D_
PE 147/20 lote _x000D_
04.09.20 = Finalizado. Ata 254/20</t>
        </r>
      </text>
    </comment>
    <comment ref="W39" authorId="0" shapeId="0" xr:uid="{A9CB8F8C-8C28-4F02-B168-9973C25E7F52}">
      <text>
        <r>
          <rPr>
            <sz val="10"/>
            <color indexed="81"/>
            <rFont val="Lucida Console"/>
            <family val="3"/>
          </rPr>
          <t>_x000D_
DM-Serralheria</t>
        </r>
      </text>
    </comment>
    <comment ref="X39" authorId="0" shapeId="0" xr:uid="{4CB355F3-44BA-4C93-80DC-AC4E063D5D15}">
      <text>
        <r>
          <rPr>
            <sz val="10"/>
            <color indexed="81"/>
            <rFont val="Lucida Console"/>
            <family val="3"/>
          </rPr>
          <t>_x000D_
ABRASIVOS</t>
        </r>
      </text>
    </comment>
    <comment ref="Y39" authorId="0" shapeId="0" xr:uid="{B4A39F69-F27D-44E9-A051-1F031B29126B}">
      <text>
        <r>
          <rPr>
            <sz val="10"/>
            <color indexed="81"/>
            <rFont val="Lucida Console"/>
            <family val="3"/>
          </rPr>
          <t>_x000D_
LIXAS EM FOLHA</t>
        </r>
      </text>
    </comment>
    <comment ref="AW39" authorId="0" shapeId="0" xr:uid="{6D96CEA2-21C5-47E6-9619-472C1DCC2E9A}">
      <text>
        <r>
          <rPr>
            <sz val="10"/>
            <color indexed="81"/>
            <rFont val="Lucida Console"/>
            <family val="3"/>
          </rPr>
          <t>Tempo de Estoque (Meses)_x000D_
_x000D_
39,0</t>
        </r>
      </text>
    </comment>
    <comment ref="A40" authorId="0" shapeId="0" xr:uid="{7B16FC71-82B6-4649-BA3E-ECE81442E3A8}">
      <text>
        <r>
          <rPr>
            <sz val="10"/>
            <color indexed="81"/>
            <rFont val="Lucida Console"/>
            <family val="3"/>
          </rPr>
          <t>_x000D_
132650</t>
        </r>
      </text>
    </comment>
    <comment ref="B40" authorId="0" shapeId="0" xr:uid="{31049E1E-EF4E-4D4A-9CD8-26B633240D25}">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40" authorId="0" shapeId="0" xr:uid="{BDA0EA39-DA97-4B75-BBAE-896220F89263}">
      <text>
        <r>
          <rPr>
            <sz val="10"/>
            <color indexed="81"/>
            <rFont val="Lucida Console"/>
            <family val="3"/>
          </rPr>
          <t>_x000D_
Pedagógico</t>
        </r>
      </text>
    </comment>
    <comment ref="X40" authorId="0" shapeId="0" xr:uid="{53352448-4B0C-4AFB-96EA-38F9D75B4DD7}">
      <text>
        <r>
          <rPr>
            <sz val="10"/>
            <color indexed="81"/>
            <rFont val="Lucida Console"/>
            <family val="3"/>
          </rPr>
          <t>_x000D_
MAQ., EQUIP., COMP., ACES., MAT. PARA ESCRIT.E ESCOLAR</t>
        </r>
      </text>
    </comment>
    <comment ref="Y40" authorId="0" shapeId="0" xr:uid="{990F83FF-0B28-4261-9ABF-CA97261F8CC6}">
      <text>
        <r>
          <rPr>
            <sz val="10"/>
            <color indexed="81"/>
            <rFont val="Lucida Console"/>
            <family val="3"/>
          </rPr>
          <t>_x000D_
ETIQUETA COLAS E FITAS ADESIVAS</t>
        </r>
      </text>
    </comment>
    <comment ref="AW40" authorId="0" shapeId="0" xr:uid="{1CBF0F71-3B0A-446A-B714-5CDACE3BABE9}">
      <text>
        <r>
          <rPr>
            <sz val="10"/>
            <color indexed="81"/>
            <rFont val="Lucida Console"/>
            <family val="3"/>
          </rPr>
          <t>Tempo de Estoque (Meses)_x000D_
_x000D_
1.000,0</t>
        </r>
      </text>
    </comment>
    <comment ref="A41" authorId="0" shapeId="0" xr:uid="{0FBA1039-7990-44CE-9523-C54EBC11A2B4}">
      <text>
        <r>
          <rPr>
            <sz val="10"/>
            <color indexed="81"/>
            <rFont val="Lucida Console"/>
            <family val="3"/>
          </rPr>
          <t>_x000D_
80874</t>
        </r>
      </text>
    </comment>
    <comment ref="B41" authorId="0" shapeId="0" xr:uid="{0604953D-76C6-4C2C-81B0-FF05464DBC6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41" authorId="0" shapeId="0" xr:uid="{1B22BDBF-8BD9-432E-9E8F-24498BF8D054}">
      <text>
        <r>
          <rPr>
            <sz val="10"/>
            <color indexed="81"/>
            <rFont val="Lucida Console"/>
            <family val="3"/>
          </rPr>
          <t>_x000D_
Pedagógico</t>
        </r>
      </text>
    </comment>
    <comment ref="X41" authorId="0" shapeId="0" xr:uid="{DC93F727-C9EB-42D2-914A-0A51A6FE176C}">
      <text>
        <r>
          <rPr>
            <sz val="10"/>
            <color indexed="81"/>
            <rFont val="Lucida Console"/>
            <family val="3"/>
          </rPr>
          <t>_x000D_
MAQ., EQUIP., COMP., ACES., MAT. PARA ESCRIT.E ESCOLAR</t>
        </r>
      </text>
    </comment>
    <comment ref="Y41" authorId="0" shapeId="0" xr:uid="{EA44A65A-367D-4EFF-BF89-36D7ED43D999}">
      <text>
        <r>
          <rPr>
            <sz val="10"/>
            <color indexed="81"/>
            <rFont val="Lucida Console"/>
            <family val="3"/>
          </rPr>
          <t>_x000D_
TINTAS  E PINCEIS ESCOLARES</t>
        </r>
      </text>
    </comment>
    <comment ref="AW41" authorId="0" shapeId="0" xr:uid="{F8EC3FBB-7077-46AD-8415-5D41D0F14E10}">
      <text>
        <r>
          <rPr>
            <sz val="10"/>
            <color indexed="81"/>
            <rFont val="Lucida Console"/>
            <family val="3"/>
          </rPr>
          <t>Tempo de Estoque (Meses)_x000D_
_x000D_
2.194,0</t>
        </r>
      </text>
    </comment>
    <comment ref="A42" authorId="0" shapeId="0" xr:uid="{552CDEFC-98DB-44C2-9886-09D341195A97}">
      <text>
        <r>
          <rPr>
            <sz val="10"/>
            <color indexed="81"/>
            <rFont val="Lucida Console"/>
            <family val="3"/>
          </rPr>
          <t>_x000D_
141253</t>
        </r>
      </text>
    </comment>
    <comment ref="B42" authorId="0" shapeId="0" xr:uid="{EA251DFB-52F4-4FE2-B8BD-12B5505AB363}">
      <text>
        <r>
          <rPr>
            <sz val="10"/>
            <color indexed="81"/>
            <rFont val="Lucida Console"/>
            <family val="3"/>
          </rPr>
          <t>DESCRIÇÃO DETALHADA_x000D_
FUNDO PARA GALVANIZADOS, LINHA PREMIUM, NA COR CINZA - GALAO COM 3,600 ML</t>
        </r>
      </text>
    </comment>
    <comment ref="W42" authorId="0" shapeId="0" xr:uid="{39558167-8E94-46B3-8D10-4F13E85F3A12}">
      <text>
        <r>
          <rPr>
            <sz val="10"/>
            <color indexed="81"/>
            <rFont val="Lucida Console"/>
            <family val="3"/>
          </rPr>
          <t>_x000D_
DM-Pintura</t>
        </r>
      </text>
    </comment>
    <comment ref="X42" authorId="0" shapeId="0" xr:uid="{9CF994BB-D5A3-4C60-BED1-03AFE912A3CE}">
      <text>
        <r>
          <rPr>
            <sz val="10"/>
            <color indexed="81"/>
            <rFont val="Lucida Console"/>
            <family val="3"/>
          </rPr>
          <t>_x000D_
EQUIP. E MATERIAIS P/PINTURAS E IMPERMEABILIZACAO</t>
        </r>
      </text>
    </comment>
    <comment ref="Y42" authorId="0" shapeId="0" xr:uid="{6D93A917-C4DA-450F-AEF3-6DE415EA58D8}">
      <text>
        <r>
          <rPr>
            <sz val="10"/>
            <color indexed="81"/>
            <rFont val="Lucida Console"/>
            <family val="3"/>
          </rPr>
          <t>_x000D_
SELADORES</t>
        </r>
      </text>
    </comment>
    <comment ref="AW42" authorId="0" shapeId="0" xr:uid="{E8C94749-8058-463E-9F40-67F23C2E3D6A}">
      <text>
        <r>
          <rPr>
            <sz val="10"/>
            <color indexed="81"/>
            <rFont val="Lucida Console"/>
            <family val="3"/>
          </rPr>
          <t>Tempo de Estoque (Meses)_x000D_
_x000D_
200,0</t>
        </r>
      </text>
    </comment>
    <comment ref="A43" authorId="0" shapeId="0" xr:uid="{BF14F0F9-1D6F-442D-B103-4B5C2BC2E8FE}">
      <text>
        <r>
          <rPr>
            <sz val="10"/>
            <color indexed="81"/>
            <rFont val="Lucida Console"/>
            <family val="3"/>
          </rPr>
          <t>_x000D_
102922</t>
        </r>
      </text>
    </comment>
    <comment ref="B43" authorId="0" shapeId="0" xr:uid="{8760797C-0868-414D-9639-A6A1BE943793}">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43" authorId="0" shapeId="0" xr:uid="{30AAA327-1EC8-4E5C-BB74-B7ED334798C9}">
      <text>
        <r>
          <rPr>
            <sz val="10"/>
            <color indexed="81"/>
            <rFont val="Lucida Console"/>
            <family val="3"/>
          </rPr>
          <t>_x000D_
Últ estimativa : 20.000_x000D_
Enviada em     : 10.09.2021_x000D_
Ata - Venc     : 308/20 - 28.12.2021</t>
        </r>
      </text>
    </comment>
    <comment ref="W43" authorId="0" shapeId="0" xr:uid="{8E7679C9-A0AC-49E8-AE0B-82E7BB018BD1}">
      <text>
        <r>
          <rPr>
            <sz val="10"/>
            <color indexed="81"/>
            <rFont val="Lucida Console"/>
            <family val="3"/>
          </rPr>
          <t>_x000D_
Administrativo</t>
        </r>
      </text>
    </comment>
    <comment ref="X43" authorId="0" shapeId="0" xr:uid="{9C5929B3-5DE5-4DA7-9DA7-F89CD0539634}">
      <text>
        <r>
          <rPr>
            <sz val="10"/>
            <color indexed="81"/>
            <rFont val="Lucida Console"/>
            <family val="3"/>
          </rPr>
          <t>_x000D_
MAQ.EQUIP.E MATERIAIS P/ HIGIEN.LIMP.POLIM.E LUBR.</t>
        </r>
      </text>
    </comment>
    <comment ref="Y43" authorId="0" shapeId="0" xr:uid="{30F97DB8-A7F7-4897-B61F-2B150CB3EAA3}">
      <text>
        <r>
          <rPr>
            <sz val="10"/>
            <color indexed="81"/>
            <rFont val="Lucida Console"/>
            <family val="3"/>
          </rPr>
          <t>_x000D_
DETERGENTES,DESINF.,GERMICIDAS,REMOVEDORES E AFINS</t>
        </r>
      </text>
    </comment>
    <comment ref="AC43" authorId="0" shapeId="0" xr:uid="{087C489B-37DE-499A-8526-5CDB578B8785}">
      <text>
        <r>
          <rPr>
            <sz val="10"/>
            <color indexed="81"/>
            <rFont val="Lucida Console"/>
            <family val="3"/>
          </rPr>
          <t>_x000D_
AF  8.520/23 | Vc 14.08.2023 | Saldo  3.600 | P.P. QUIMICA INDUSTRIAL LTDA ( 207252 )</t>
        </r>
      </text>
    </comment>
    <comment ref="AG43" authorId="0" shapeId="0" xr:uid="{9AF2B364-E259-4C6D-87BE-E7CAF62A1C9A}">
      <text>
        <r>
          <rPr>
            <sz val="10"/>
            <color indexed="81"/>
            <rFont val="Lucida Console"/>
            <family val="3"/>
          </rPr>
          <t>_x000D_
AF  8.520/23 | Vc 14.08.2023 | Saldo  3.600 | P.P. QUIMICA INDUSTRIAL LTDA ( 207252 )</t>
        </r>
      </text>
    </comment>
    <comment ref="AW43" authorId="0" shapeId="0" xr:uid="{09F36D84-CE6C-41C4-87DC-C5B017025664}">
      <text>
        <r>
          <rPr>
            <sz val="10"/>
            <color indexed="81"/>
            <rFont val="Lucida Console"/>
            <family val="3"/>
          </rPr>
          <t>Tempo de Estoque (Meses)_x000D_
_x000D_
3.600,0</t>
        </r>
      </text>
    </comment>
    <comment ref="A44" authorId="0" shapeId="0" xr:uid="{DE427B8B-2B8B-4E91-BCA4-1A46200528E6}">
      <text>
        <r>
          <rPr>
            <sz val="10"/>
            <color indexed="81"/>
            <rFont val="Lucida Console"/>
            <family val="3"/>
          </rPr>
          <t>_x000D_
46420</t>
        </r>
      </text>
    </comment>
    <comment ref="B44" authorId="0" shapeId="0" xr:uid="{2781B7E2-ED1D-4F04-BADA-AD14DD8B2E98}">
      <text>
        <r>
          <rPr>
            <sz val="10"/>
            <color indexed="81"/>
            <rFont val="Lucida Console"/>
            <family val="3"/>
          </rPr>
          <t>DESCRIÇÃO DETALHADA_x000D_
ESTILETE DE METAL C/ LAMINA ESTREITA</t>
        </r>
      </text>
    </comment>
    <comment ref="G44" authorId="0" shapeId="0" xr:uid="{1B6ABC2E-BFE4-4594-93CF-1D20E925DE37}">
      <text>
        <r>
          <rPr>
            <sz val="10"/>
            <color indexed="81"/>
            <rFont val="Lucida Console"/>
            <family val="3"/>
          </rPr>
          <t>_x000D_
Últ estimativa : 3.000_x000D_
Enviada em     : 02.03.2020_x000D_
Ata - Venc     : 211/20 - 21.09.2021</t>
        </r>
      </text>
    </comment>
    <comment ref="O44" authorId="0" shapeId="0" xr:uid="{0D55B020-D2FC-42F1-9876-ABFBA34FAF3D}">
      <text>
        <r>
          <rPr>
            <sz val="10"/>
            <color indexed="81"/>
            <rFont val="Lucida Console"/>
            <family val="3"/>
          </rPr>
          <t xml:space="preserve">_x000D_
Pertencia a ATA nº 211/20_x000D_
Estimativa de Renovação enviada em 02.03.2020 - Qtd 3.000_x000D_
</t>
        </r>
      </text>
    </comment>
    <comment ref="W44" authorId="0" shapeId="0" xr:uid="{A927A79D-988E-47F2-B5A0-307365BAB235}">
      <text>
        <r>
          <rPr>
            <sz val="10"/>
            <color indexed="81"/>
            <rFont val="Lucida Console"/>
            <family val="3"/>
          </rPr>
          <t>_x000D_
Pedagógico</t>
        </r>
      </text>
    </comment>
    <comment ref="X44" authorId="0" shapeId="0" xr:uid="{F8DC9632-A4EE-4FA1-94E2-0AC4D0C70DEB}">
      <text>
        <r>
          <rPr>
            <sz val="10"/>
            <color indexed="81"/>
            <rFont val="Lucida Console"/>
            <family val="3"/>
          </rPr>
          <t>_x000D_
MAQ., EQUIP., COMP., ACES., MAT. PARA ESCRIT.E ESCOLAR</t>
        </r>
      </text>
    </comment>
    <comment ref="Y44" authorId="0" shapeId="0" xr:uid="{9D90A9FB-0241-45E7-A4EE-28E630F8D8BB}">
      <text>
        <r>
          <rPr>
            <sz val="10"/>
            <color indexed="81"/>
            <rFont val="Lucida Console"/>
            <family val="3"/>
          </rPr>
          <t>_x000D_
MATERIAIS DE DESENHO TECNICO</t>
        </r>
      </text>
    </comment>
    <comment ref="AW44" authorId="0" shapeId="0" xr:uid="{BDFDEDFE-1AE5-4375-8E04-FCEA46F26CB0}">
      <text>
        <r>
          <rPr>
            <sz val="10"/>
            <color indexed="81"/>
            <rFont val="Lucida Console"/>
            <family val="3"/>
          </rPr>
          <t>Tempo de Estoque (Meses)_x000D_
_x000D_
140,0</t>
        </r>
      </text>
    </comment>
    <comment ref="A45" authorId="0" shapeId="0" xr:uid="{0C65CD8E-F661-4B64-8F8D-8916A2BEF88F}">
      <text>
        <r>
          <rPr>
            <sz val="10"/>
            <color indexed="81"/>
            <rFont val="Lucida Console"/>
            <family val="3"/>
          </rPr>
          <t>_x000D_
140035</t>
        </r>
      </text>
    </comment>
    <comment ref="B45" authorId="0" shapeId="0" xr:uid="{1B6EE878-2A02-4E9C-B98A-24BBBF850C4D}">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45" authorId="0" shapeId="0" xr:uid="{880A5980-E6A2-4949-9904-E4C52C4E123B}">
      <text>
        <r>
          <rPr>
            <sz val="10"/>
            <color indexed="81"/>
            <rFont val="Lucida Console"/>
            <family val="3"/>
          </rPr>
          <t>_x000D_
Últ estimativa : 101_x000D_
Enviada em     : 12.11.2020_x000D_
Ata - Venc     : 61/21 - 04.03.2022</t>
        </r>
      </text>
    </comment>
    <comment ref="O45" authorId="0" shapeId="0" xr:uid="{CC3F1BCF-01C2-47E6-BBB5-1C732AFAEA2D}">
      <text>
        <r>
          <rPr>
            <sz val="10"/>
            <color indexed="81"/>
            <rFont val="Lucida Console"/>
            <family val="3"/>
          </rPr>
          <t>_x000D_
Pertencia a ATA nº 61/21_x000D_
Estimativa de Renovação enviada em 12.11.2020 - Qtd 101_x000D_
PE  11/21 lote _x000D_
19.02.21 = Finalizado</t>
        </r>
      </text>
    </comment>
    <comment ref="W45" authorId="0" shapeId="0" xr:uid="{AF19238F-4299-4B58-8DDA-4CBCDDE52852}">
      <text>
        <r>
          <rPr>
            <sz val="10"/>
            <color indexed="81"/>
            <rFont val="Lucida Console"/>
            <family val="3"/>
          </rPr>
          <t>_x000D_
DM-Elétrica</t>
        </r>
      </text>
    </comment>
    <comment ref="X45" authorId="0" shapeId="0" xr:uid="{DA56EC9F-5B4C-4C5F-A93A-42E3F083C0F2}">
      <text>
        <r>
          <rPr>
            <sz val="10"/>
            <color indexed="81"/>
            <rFont val="Lucida Console"/>
            <family val="3"/>
          </rPr>
          <t>_x000D_
EQUIP. MAT. P/ GERACAO, TRANSM. DISTR. RETIF...</t>
        </r>
      </text>
    </comment>
    <comment ref="Y45" authorId="0" shapeId="0" xr:uid="{5D6487D2-07ED-4724-9213-AB12FD34A259}">
      <text>
        <r>
          <rPr>
            <sz val="10"/>
            <color indexed="81"/>
            <rFont val="Lucida Console"/>
            <family val="3"/>
          </rPr>
          <t>_x000D_
FIOS E CABOS ELETRICOS</t>
        </r>
      </text>
    </comment>
    <comment ref="AW45" authorId="0" shapeId="0" xr:uid="{4AB787E3-3B39-48A9-B077-0EF6CD87E7E1}">
      <text>
        <r>
          <rPr>
            <sz val="10"/>
            <color indexed="81"/>
            <rFont val="Lucida Console"/>
            <family val="3"/>
          </rPr>
          <t>Tempo de Estoque (Meses)_x000D_
_x000D_
36,0</t>
        </r>
      </text>
    </comment>
    <comment ref="A46" authorId="0" shapeId="0" xr:uid="{96A75648-5048-4909-AF32-BC1203C4720A}">
      <text>
        <r>
          <rPr>
            <sz val="10"/>
            <color indexed="81"/>
            <rFont val="Lucida Console"/>
            <family val="3"/>
          </rPr>
          <t>_x000D_
140666</t>
        </r>
      </text>
    </comment>
    <comment ref="B46" authorId="0" shapeId="0" xr:uid="{05A82AB9-72B2-4A21-A8C6-2EBD1901BB75}">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46" authorId="0" shapeId="0" xr:uid="{35437080-1DB8-4CA7-853B-C38BE839176A}">
      <text>
        <r>
          <rPr>
            <sz val="10"/>
            <color indexed="81"/>
            <rFont val="Lucida Console"/>
            <family val="3"/>
          </rPr>
          <t>_x000D_
DM-Elétrica</t>
        </r>
      </text>
    </comment>
    <comment ref="X46" authorId="0" shapeId="0" xr:uid="{5DA296C1-059E-4989-9851-BEF7C3C9D74F}">
      <text>
        <r>
          <rPr>
            <sz val="10"/>
            <color indexed="81"/>
            <rFont val="Lucida Console"/>
            <family val="3"/>
          </rPr>
          <t>_x000D_
EQUIP. MAT. P/ GERACAO, TRANSM. DISTR. RETIF...</t>
        </r>
      </text>
    </comment>
    <comment ref="Y46" authorId="0" shapeId="0" xr:uid="{7CBE3E78-498B-4415-BEA2-BCC289759F92}">
      <text>
        <r>
          <rPr>
            <sz val="10"/>
            <color indexed="81"/>
            <rFont val="Lucida Console"/>
            <family val="3"/>
          </rPr>
          <t>_x000D_
LUMINARIAS E PROJETORES COM EQUIPAMENTO</t>
        </r>
      </text>
    </comment>
    <comment ref="AW46" authorId="0" shapeId="0" xr:uid="{0500C96E-0451-40E4-9190-60A920E7AD89}">
      <text>
        <r>
          <rPr>
            <sz val="10"/>
            <color indexed="81"/>
            <rFont val="Lucida Console"/>
            <family val="3"/>
          </rPr>
          <t>Tempo de Estoque (Meses)_x000D_
_x000D_
48,0</t>
        </r>
      </text>
    </comment>
    <comment ref="A47" authorId="0" shapeId="0" xr:uid="{1EFEBE09-C582-4090-B2FB-4E13BA7CFCC4}">
      <text>
        <r>
          <rPr>
            <sz val="10"/>
            <color indexed="81"/>
            <rFont val="Lucida Console"/>
            <family val="3"/>
          </rPr>
          <t>_x000D_
12652</t>
        </r>
      </text>
    </comment>
    <comment ref="B47" authorId="0" shapeId="0" xr:uid="{A9636796-0C35-478D-A38F-C9BA904DE26C}">
      <text>
        <r>
          <rPr>
            <sz val="10"/>
            <color indexed="81"/>
            <rFont val="Lucida Console"/>
            <family val="3"/>
          </rPr>
          <t>DESCRIÇÃO DETALHADA_x000D_
COPO PLASTICO DESCARTAVEL - 50 ML - PT C/ 100 UNID (CAFE) - DE ACORDO COM A NORMA DA ABNT NBR 14.865</t>
        </r>
      </text>
    </comment>
    <comment ref="G47" authorId="0" shapeId="0" xr:uid="{EC8B721C-D8BA-4FF4-9E5D-0D4FDBF35565}">
      <text>
        <r>
          <rPr>
            <sz val="10"/>
            <color indexed="81"/>
            <rFont val="Lucida Console"/>
            <family val="3"/>
          </rPr>
          <t>_x000D_
Últ estimativa : 3.000_x000D_
Enviada em     : 22.04.2021_x000D_
Ata - Venc     : 178/20 - 20.08.2021</t>
        </r>
      </text>
    </comment>
    <comment ref="W47" authorId="0" shapeId="0" xr:uid="{2A0ACD2E-23B2-4C71-8E13-A121A242F400}">
      <text>
        <r>
          <rPr>
            <sz val="10"/>
            <color indexed="81"/>
            <rFont val="Lucida Console"/>
            <family val="3"/>
          </rPr>
          <t>_x000D_
Administrativo</t>
        </r>
      </text>
    </comment>
    <comment ref="X47" authorId="0" shapeId="0" xr:uid="{E966D65C-35C6-4ACC-B4CA-6D2972E19728}">
      <text>
        <r>
          <rPr>
            <sz val="10"/>
            <color indexed="81"/>
            <rFont val="Lucida Console"/>
            <family val="3"/>
          </rPr>
          <t>_x000D_
EQUIP.E MAT. P/REFEITORIO, COPA E COZINHA</t>
        </r>
      </text>
    </comment>
    <comment ref="Y47" authorId="0" shapeId="0" xr:uid="{E9F43AA4-5D56-499C-B79B-327953C635DD}">
      <text>
        <r>
          <rPr>
            <sz val="10"/>
            <color indexed="81"/>
            <rFont val="Lucida Console"/>
            <family val="3"/>
          </rPr>
          <t>_x000D_
CANECAS, XICARAS, COPOS E TACAS</t>
        </r>
      </text>
    </comment>
    <comment ref="AW47" authorId="0" shapeId="0" xr:uid="{36C6ABA5-660D-4E46-9554-2AE74A347EE3}">
      <text>
        <r>
          <rPr>
            <sz val="10"/>
            <color indexed="81"/>
            <rFont val="Lucida Console"/>
            <family val="3"/>
          </rPr>
          <t>Tempo de Estoque (Meses)_x000D_
_x000D_
1.401,0</t>
        </r>
      </text>
    </comment>
    <comment ref="A48" authorId="0" shapeId="0" xr:uid="{A41DEF84-2D00-47E9-8ACC-503F1D21D813}">
      <text>
        <r>
          <rPr>
            <sz val="10"/>
            <color indexed="81"/>
            <rFont val="Lucida Console"/>
            <family val="3"/>
          </rPr>
          <t>_x000D_
140283</t>
        </r>
      </text>
    </comment>
    <comment ref="B48" authorId="0" shapeId="0" xr:uid="{1603E511-A1A1-43F4-875E-263CB13E12FF}">
      <text>
        <r>
          <rPr>
            <sz val="10"/>
            <color indexed="81"/>
            <rFont val="Lucida Console"/>
            <family val="3"/>
          </rPr>
          <t>DESCRIÇÃO DETALHADA_x000D_
LAVATORIO DE LOUCA COM COLUNA, NA COR BRANCA, DIMENSOES MINIMAS: 41 X 34 CM.</t>
        </r>
      </text>
    </comment>
    <comment ref="G48" authorId="0" shapeId="0" xr:uid="{EA0611A3-2C81-4C45-8E5C-B6445D9DF755}">
      <text>
        <r>
          <rPr>
            <sz val="10"/>
            <color indexed="81"/>
            <rFont val="Lucida Console"/>
            <family val="3"/>
          </rPr>
          <t xml:space="preserve">_x000D_
Últ estimativa : 30_x000D_
Enviada em     : 24.11.2020_x000D_
Ata - Venc     : /-2000 - </t>
        </r>
      </text>
    </comment>
    <comment ref="O48" authorId="0" shapeId="0" xr:uid="{99067967-481F-489C-8003-AEDFB704424A}">
      <text>
        <r>
          <rPr>
            <sz val="10"/>
            <color indexed="81"/>
            <rFont val="Lucida Console"/>
            <family val="3"/>
          </rPr>
          <t>_x000D_
Ata anterior não identificada.</t>
        </r>
      </text>
    </comment>
    <comment ref="W48" authorId="0" shapeId="0" xr:uid="{41B4B8BA-F1FA-4A21-A3A4-460E88662144}">
      <text>
        <r>
          <rPr>
            <sz val="10"/>
            <color indexed="81"/>
            <rFont val="Lucida Console"/>
            <family val="3"/>
          </rPr>
          <t>_x000D_
DM-Construção</t>
        </r>
      </text>
    </comment>
    <comment ref="X48" authorId="0" shapeId="0" xr:uid="{789B579D-D928-49DD-9A3B-CE882295FD17}">
      <text>
        <r>
          <rPr>
            <sz val="10"/>
            <color indexed="81"/>
            <rFont val="Lucida Console"/>
            <family val="3"/>
          </rPr>
          <t>_x000D_
MAT.E EQUIP. P/ CONSTR.CIVIL E CONSERV. DE VIAS PUBL.</t>
        </r>
      </text>
    </comment>
    <comment ref="Y48" authorId="0" shapeId="0" xr:uid="{D0DC2331-84E2-4DD9-8580-1FB00E146295}">
      <text>
        <r>
          <rPr>
            <sz val="10"/>
            <color indexed="81"/>
            <rFont val="Lucida Console"/>
            <family val="3"/>
          </rPr>
          <t>_x000D_
TANQUES, LAVATORIOS E PIAS</t>
        </r>
      </text>
    </comment>
    <comment ref="AW48" authorId="0" shapeId="0" xr:uid="{6762537E-D69E-4ADD-B6A0-14F0C55570A9}">
      <text>
        <r>
          <rPr>
            <sz val="10"/>
            <color indexed="81"/>
            <rFont val="Lucida Console"/>
            <family val="3"/>
          </rPr>
          <t>Tempo de Estoque (Meses)_x000D_
_x000D_
10,0</t>
        </r>
      </text>
    </comment>
    <comment ref="A49" authorId="0" shapeId="0" xr:uid="{2338EE82-C861-413B-9F73-D40F612E2643}">
      <text>
        <r>
          <rPr>
            <sz val="10"/>
            <color indexed="81"/>
            <rFont val="Lucida Console"/>
            <family val="3"/>
          </rPr>
          <t>_x000D_
93325</t>
        </r>
      </text>
    </comment>
    <comment ref="B49" authorId="0" shapeId="0" xr:uid="{B1A96B1B-1C61-4AA8-B020-8B59A4A54188}">
      <text>
        <r>
          <rPr>
            <sz val="10"/>
            <color indexed="81"/>
            <rFont val="Lucida Console"/>
            <family val="3"/>
          </rPr>
          <t>DESCRIÇÃO DETALHADA_x000D_
PAPEL DE SEDA - 48 X 60 CM - AMARELO</t>
        </r>
      </text>
    </comment>
    <comment ref="G49" authorId="0" shapeId="0" xr:uid="{E1C417B6-C8ED-4E8A-9EB1-773A77EAB3EB}">
      <text>
        <r>
          <rPr>
            <sz val="10"/>
            <color indexed="81"/>
            <rFont val="Lucida Console"/>
            <family val="3"/>
          </rPr>
          <t>_x000D_
Últ estimativa : 10.000_x000D_
Enviada em     : 19.12.2019_x000D_
Ata - Venc     : 143/21 - 20.05.2022</t>
        </r>
      </text>
    </comment>
    <comment ref="O49" authorId="0" shapeId="0" xr:uid="{4A4EAB90-2FDF-41FD-B26B-5CAC6217CFC6}">
      <text>
        <r>
          <rPr>
            <sz val="10"/>
            <color indexed="81"/>
            <rFont val="Lucida Console"/>
            <family val="3"/>
          </rPr>
          <t>_x000D_
Pertencia a ATA nº 143/21_x000D_
Estimativa de Renovação enviada em 19.12.2019 - Qtd 10.000_x000D_
PE  61/21 lote _x000D_
30.04.21 = Finalizado. Ata 143/20</t>
        </r>
      </text>
    </comment>
    <comment ref="W49" authorId="0" shapeId="0" xr:uid="{8C1DC7D3-9879-4D65-A9BD-FB9FC188F432}">
      <text>
        <r>
          <rPr>
            <sz val="10"/>
            <color indexed="81"/>
            <rFont val="Lucida Console"/>
            <family val="3"/>
          </rPr>
          <t>_x000D_
Pedagógico</t>
        </r>
      </text>
    </comment>
    <comment ref="X49" authorId="0" shapeId="0" xr:uid="{DEF3C6E4-06AF-44B1-ACCB-66A3F5393017}">
      <text>
        <r>
          <rPr>
            <sz val="10"/>
            <color indexed="81"/>
            <rFont val="Lucida Console"/>
            <family val="3"/>
          </rPr>
          <t>_x000D_
MAQ. E EQUIP. P/ IND. GRAFICA COMP. ACESS. E PAPEI</t>
        </r>
      </text>
    </comment>
    <comment ref="Y49" authorId="0" shapeId="0" xr:uid="{09005D69-8F99-479F-81E2-A1BBFD44655C}">
      <text>
        <r>
          <rPr>
            <sz val="10"/>
            <color indexed="81"/>
            <rFont val="Lucida Console"/>
            <family val="3"/>
          </rPr>
          <t>_x000D_
PAPEIS P/ EMBALAGEM E DECORATIVOS</t>
        </r>
      </text>
    </comment>
    <comment ref="AW49" authorId="0" shapeId="0" xr:uid="{E369E557-2FB4-4CFE-B35C-D93AB2C53543}">
      <text>
        <r>
          <rPr>
            <sz val="10"/>
            <color indexed="81"/>
            <rFont val="Lucida Console"/>
            <family val="3"/>
          </rPr>
          <t>Tempo de Estoque (Meses)_x000D_
_x000D_
1.700,0</t>
        </r>
      </text>
    </comment>
    <comment ref="A50" authorId="0" shapeId="0" xr:uid="{A4571812-785D-4B3D-8498-0233D919413C}">
      <text>
        <r>
          <rPr>
            <sz val="10"/>
            <color indexed="81"/>
            <rFont val="Lucida Console"/>
            <family val="3"/>
          </rPr>
          <t>_x000D_
93327</t>
        </r>
      </text>
    </comment>
    <comment ref="B50" authorId="0" shapeId="0" xr:uid="{5B4361A9-05C2-4593-987C-9E260AD69C0E}">
      <text>
        <r>
          <rPr>
            <sz val="10"/>
            <color indexed="81"/>
            <rFont val="Lucida Console"/>
            <family val="3"/>
          </rPr>
          <t>DESCRIÇÃO DETALHADA_x000D_
PAPEL DE SEDA - 48 X 60 CM - AZUL ESCURO</t>
        </r>
      </text>
    </comment>
    <comment ref="G50" authorId="0" shapeId="0" xr:uid="{9E104BAE-FE3B-4EF5-9F60-507E6D6F073F}">
      <text>
        <r>
          <rPr>
            <sz val="10"/>
            <color indexed="81"/>
            <rFont val="Lucida Console"/>
            <family val="3"/>
          </rPr>
          <t>_x000D_
Últ estimativa : 10.000_x000D_
Enviada em     : 19.12.2019_x000D_
Ata - Venc     : 143/21 - 20.05.2022</t>
        </r>
      </text>
    </comment>
    <comment ref="O50" authorId="0" shapeId="0" xr:uid="{CC46258A-B1BE-410A-B84D-44DB83A48630}">
      <text>
        <r>
          <rPr>
            <sz val="10"/>
            <color indexed="81"/>
            <rFont val="Lucida Console"/>
            <family val="3"/>
          </rPr>
          <t>_x000D_
Pertencia a ATA nº 143/21_x000D_
Estimativa de Renovação enviada em 19.12.2019 - Qtd 10.000_x000D_
PE  61/21 lote _x000D_
30.04.21 = Finalizado. Ata 143/20</t>
        </r>
      </text>
    </comment>
    <comment ref="W50" authorId="0" shapeId="0" xr:uid="{65478DD4-29B8-4D8A-88DF-3234B7059244}">
      <text>
        <r>
          <rPr>
            <sz val="10"/>
            <color indexed="81"/>
            <rFont val="Lucida Console"/>
            <family val="3"/>
          </rPr>
          <t>_x000D_
Pedagógico</t>
        </r>
      </text>
    </comment>
    <comment ref="X50" authorId="0" shapeId="0" xr:uid="{DDAE9F04-494E-4A49-832C-470CF46AADE0}">
      <text>
        <r>
          <rPr>
            <sz val="10"/>
            <color indexed="81"/>
            <rFont val="Lucida Console"/>
            <family val="3"/>
          </rPr>
          <t>_x000D_
MAQ. E EQUIP. P/ IND. GRAFICA COMP. ACESS. E PAPEI</t>
        </r>
      </text>
    </comment>
    <comment ref="Y50" authorId="0" shapeId="0" xr:uid="{630AC340-F7B4-4CB8-AD61-6B64247F873B}">
      <text>
        <r>
          <rPr>
            <sz val="10"/>
            <color indexed="81"/>
            <rFont val="Lucida Console"/>
            <family val="3"/>
          </rPr>
          <t>_x000D_
PAPEIS P/ EMBALAGEM E DECORATIVOS</t>
        </r>
      </text>
    </comment>
    <comment ref="AW50" authorId="0" shapeId="0" xr:uid="{17A27735-FA24-40E3-BF28-478DC578C6B8}">
      <text>
        <r>
          <rPr>
            <sz val="10"/>
            <color indexed="81"/>
            <rFont val="Lucida Console"/>
            <family val="3"/>
          </rPr>
          <t>Tempo de Estoque (Meses)_x000D_
_x000D_
1.700,0</t>
        </r>
      </text>
    </comment>
    <comment ref="A51" authorId="0" shapeId="0" xr:uid="{60C25C59-8C14-489D-A34C-16669ED1F4B0}">
      <text>
        <r>
          <rPr>
            <sz val="10"/>
            <color indexed="81"/>
            <rFont val="Lucida Console"/>
            <family val="3"/>
          </rPr>
          <t>_x000D_
12635</t>
        </r>
      </text>
    </comment>
    <comment ref="B51" authorId="0" shapeId="0" xr:uid="{6D1A072D-A593-4A7B-B656-FD8BC7FB038F}">
      <text>
        <r>
          <rPr>
            <sz val="10"/>
            <color indexed="81"/>
            <rFont val="Lucida Console"/>
            <family val="3"/>
          </rPr>
          <t>DESCRIÇÃO DETALHADA_x000D_
CARTOLINA - AMARELA - 50 X 66 CM - 180 G/M2</t>
        </r>
      </text>
    </comment>
    <comment ref="G51" authorId="0" shapeId="0" xr:uid="{634EE332-2632-427D-8573-773921B3FF10}">
      <text>
        <r>
          <rPr>
            <sz val="10"/>
            <color indexed="81"/>
            <rFont val="Lucida Console"/>
            <family val="3"/>
          </rPr>
          <t>_x000D_
Últ estimativa : 25.000_x000D_
Enviada em     : 19.12.2019_x000D_
Ata - Venc     : 143/21 - 20.05.2022</t>
        </r>
      </text>
    </comment>
    <comment ref="O51" authorId="0" shapeId="0" xr:uid="{9149E20C-E6A7-4C6F-93AC-20B1F8D10506}">
      <text>
        <r>
          <rPr>
            <sz val="10"/>
            <color indexed="81"/>
            <rFont val="Lucida Console"/>
            <family val="3"/>
          </rPr>
          <t>_x000D_
Pertencia a ATA nº 143/21_x000D_
Estimativa de Renovação enviada em 19.12.2019 - Qtd 25.000_x000D_
PE  61/21 lote _x000D_
30.04.21 = Finalizado. Ata 143/20</t>
        </r>
      </text>
    </comment>
    <comment ref="W51" authorId="0" shapeId="0" xr:uid="{1040AAA1-2C51-4079-9CBA-8E89897F8601}">
      <text>
        <r>
          <rPr>
            <sz val="10"/>
            <color indexed="81"/>
            <rFont val="Lucida Console"/>
            <family val="3"/>
          </rPr>
          <t>_x000D_
Pedagógico</t>
        </r>
      </text>
    </comment>
    <comment ref="X51" authorId="0" shapeId="0" xr:uid="{D3EB3D4C-C6D4-4C52-8EBD-70A2DCE3A538}">
      <text>
        <r>
          <rPr>
            <sz val="10"/>
            <color indexed="81"/>
            <rFont val="Lucida Console"/>
            <family val="3"/>
          </rPr>
          <t>_x000D_
MAQ. E EQUIP. P/ IND. GRAFICA COMP. ACESS. E PAPEI</t>
        </r>
      </text>
    </comment>
    <comment ref="Y51" authorId="0" shapeId="0" xr:uid="{B0053AA6-0D54-4920-900C-0F89259279B7}">
      <text>
        <r>
          <rPr>
            <sz val="10"/>
            <color indexed="81"/>
            <rFont val="Lucida Console"/>
            <family val="3"/>
          </rPr>
          <t>_x000D_
CARTOES E CARTOLINA</t>
        </r>
      </text>
    </comment>
    <comment ref="AW51" authorId="0" shapeId="0" xr:uid="{2DC0AE64-43E0-4AA1-BEE1-BA3B9016CC35}">
      <text>
        <r>
          <rPr>
            <sz val="10"/>
            <color indexed="81"/>
            <rFont val="Lucida Console"/>
            <family val="3"/>
          </rPr>
          <t>Tempo de Estoque (Meses)_x000D_
_x000D_
4.534,0</t>
        </r>
      </text>
    </comment>
    <comment ref="A52" authorId="0" shapeId="0" xr:uid="{05CFED30-87D3-4C4C-A038-F3D494428C45}">
      <text>
        <r>
          <rPr>
            <sz val="10"/>
            <color indexed="81"/>
            <rFont val="Lucida Console"/>
            <family val="3"/>
          </rPr>
          <t>_x000D_
23875</t>
        </r>
      </text>
    </comment>
    <comment ref="B52" authorId="0" shapeId="0" xr:uid="{A55092E3-5575-4A0B-A78C-A372239D2543}">
      <text>
        <r>
          <rPr>
            <sz val="10"/>
            <color indexed="81"/>
            <rFont val="Lucida Console"/>
            <family val="3"/>
          </rPr>
          <t>DESCRIÇÃO DETALHADA_x000D_
PAPEL CARTAO - 50 X 70 CM - LARANJA (MEDIDAS PODERAO VARIAR +/- 5CM)</t>
        </r>
      </text>
    </comment>
    <comment ref="G52" authorId="0" shapeId="0" xr:uid="{C6D2F296-42A5-499E-8DD0-DAA17A1DCDD4}">
      <text>
        <r>
          <rPr>
            <sz val="10"/>
            <color indexed="81"/>
            <rFont val="Lucida Console"/>
            <family val="3"/>
          </rPr>
          <t>_x000D_
Últ estimativa : 25.000_x000D_
Enviada em     : 19.12.2019_x000D_
Ata - Venc     : 143/21 - 20.05.2022</t>
        </r>
      </text>
    </comment>
    <comment ref="O52" authorId="0" shapeId="0" xr:uid="{BD8B0F06-B7D2-45B2-A6E6-77CB203F4124}">
      <text>
        <r>
          <rPr>
            <sz val="10"/>
            <color indexed="81"/>
            <rFont val="Lucida Console"/>
            <family val="3"/>
          </rPr>
          <t>_x000D_
Pertencia a ATA nº 143/21_x000D_
Estimativa de Renovação enviada em 19.12.2019 - Qtd 25.000_x000D_
PE  61/21 lote _x000D_
30.04.21 = Finalizado. Ata 143/20</t>
        </r>
      </text>
    </comment>
    <comment ref="W52" authorId="0" shapeId="0" xr:uid="{E0F3D8F4-09E4-4FCE-9F4F-9AE7966B0496}">
      <text>
        <r>
          <rPr>
            <sz val="10"/>
            <color indexed="81"/>
            <rFont val="Lucida Console"/>
            <family val="3"/>
          </rPr>
          <t>_x000D_
Pedagógico</t>
        </r>
      </text>
    </comment>
    <comment ref="X52" authorId="0" shapeId="0" xr:uid="{51D47752-6CA9-4AC8-A1FA-ABAE37C9A229}">
      <text>
        <r>
          <rPr>
            <sz val="10"/>
            <color indexed="81"/>
            <rFont val="Lucida Console"/>
            <family val="3"/>
          </rPr>
          <t>_x000D_
MAQ. E EQUIP. P/ IND. GRAFICA COMP. ACESS. E PAPEI</t>
        </r>
      </text>
    </comment>
    <comment ref="Y52" authorId="0" shapeId="0" xr:uid="{1E7C93C5-A682-4EBF-9410-3F85DD98516A}">
      <text>
        <r>
          <rPr>
            <sz val="10"/>
            <color indexed="81"/>
            <rFont val="Lucida Console"/>
            <family val="3"/>
          </rPr>
          <t>_x000D_
CARTOES E CARTOLINA</t>
        </r>
      </text>
    </comment>
    <comment ref="AW52" authorId="0" shapeId="0" xr:uid="{A049C79C-6962-4ED9-A339-254563CAD131}">
      <text>
        <r>
          <rPr>
            <sz val="10"/>
            <color indexed="81"/>
            <rFont val="Lucida Console"/>
            <family val="3"/>
          </rPr>
          <t>Tempo de Estoque (Meses)_x000D_
_x000D_
4.729,0</t>
        </r>
      </text>
    </comment>
    <comment ref="A53" authorId="0" shapeId="0" xr:uid="{F1F6DAEA-844B-48B5-AE5F-3803EEB31929}">
      <text>
        <r>
          <rPr>
            <sz val="10"/>
            <color indexed="81"/>
            <rFont val="Lucida Console"/>
            <family val="3"/>
          </rPr>
          <t>_x000D_
133846</t>
        </r>
      </text>
    </comment>
    <comment ref="B53" authorId="0" shapeId="0" xr:uid="{F784F1F7-142C-4026-ACB5-342AA8D0073E}">
      <text>
        <r>
          <rPr>
            <sz val="10"/>
            <color indexed="81"/>
            <rFont val="Lucida Console"/>
            <family val="3"/>
          </rPr>
          <t>DESCRIÇÃO DETALHADA_x000D_
CARTOLINA DUPLA FACE / COLOR SET MARROM (COR VIVA, VIBRANTE, UNIFORME E SEM MANCHAS) - 48 X 66 CM VARIACAO +/- 5 CM)</t>
        </r>
      </text>
    </comment>
    <comment ref="G53" authorId="0" shapeId="0" xr:uid="{434E8EDD-50B0-4374-B2E1-AA3938BC69D1}">
      <text>
        <r>
          <rPr>
            <sz val="10"/>
            <color indexed="81"/>
            <rFont val="Lucida Console"/>
            <family val="3"/>
          </rPr>
          <t>_x000D_
Últ estimativa : 25.000_x000D_
Enviada em     : 19.12.2019_x000D_
Ata - Venc     : 143/21 - 20.05.2022</t>
        </r>
      </text>
    </comment>
    <comment ref="O53" authorId="0" shapeId="0" xr:uid="{3D498104-0188-4804-A7A0-97C9F3444BD5}">
      <text>
        <r>
          <rPr>
            <sz val="10"/>
            <color indexed="81"/>
            <rFont val="Lucida Console"/>
            <family val="3"/>
          </rPr>
          <t>_x000D_
Pertencia a ATA nº 143/21_x000D_
Estimativa de Renovação enviada em 19.12.2019 - Qtd 25.000_x000D_
PE  61/21 lote _x000D_
30.04.21 = Finalizado. Ata 143/20</t>
        </r>
      </text>
    </comment>
    <comment ref="W53" authorId="0" shapeId="0" xr:uid="{4B264AE4-08B5-4C1A-8EE7-B9758F0FE703}">
      <text>
        <r>
          <rPr>
            <sz val="10"/>
            <color indexed="81"/>
            <rFont val="Lucida Console"/>
            <family val="3"/>
          </rPr>
          <t>_x000D_
Pedagógico</t>
        </r>
      </text>
    </comment>
    <comment ref="X53" authorId="0" shapeId="0" xr:uid="{F2ED4A6D-D6C5-4A78-9650-0FCB5BA6D0A2}">
      <text>
        <r>
          <rPr>
            <sz val="10"/>
            <color indexed="81"/>
            <rFont val="Lucida Console"/>
            <family val="3"/>
          </rPr>
          <t>_x000D_
MAQ. E EQUIP. P/ IND. GRAFICA COMP. ACESS. E PAPEI</t>
        </r>
      </text>
    </comment>
    <comment ref="Y53" authorId="0" shapeId="0" xr:uid="{ACE4A87C-F0D8-44A4-8E7E-965C4BD0EE08}">
      <text>
        <r>
          <rPr>
            <sz val="10"/>
            <color indexed="81"/>
            <rFont val="Lucida Console"/>
            <family val="3"/>
          </rPr>
          <t>_x000D_
CARTOES E CARTOLINA</t>
        </r>
      </text>
    </comment>
    <comment ref="AW53" authorId="0" shapeId="0" xr:uid="{F747053B-FFD4-4B14-A90E-BAA905D01BE4}">
      <text>
        <r>
          <rPr>
            <sz val="10"/>
            <color indexed="81"/>
            <rFont val="Lucida Console"/>
            <family val="3"/>
          </rPr>
          <t>Tempo de Estoque (Meses)_x000D_
_x000D_
4.793,0</t>
        </r>
      </text>
    </comment>
    <comment ref="A54" authorId="0" shapeId="0" xr:uid="{9B37C0C4-6BF4-41C5-9FFF-A8F8AA15B7BD}">
      <text>
        <r>
          <rPr>
            <sz val="10"/>
            <color indexed="81"/>
            <rFont val="Lucida Console"/>
            <family val="3"/>
          </rPr>
          <t>_x000D_
12613</t>
        </r>
      </text>
    </comment>
    <comment ref="B54" authorId="0" shapeId="0" xr:uid="{02D605AF-6357-4F35-A738-08C045E5624B}">
      <text>
        <r>
          <rPr>
            <sz val="10"/>
            <color indexed="81"/>
            <rFont val="Lucida Console"/>
            <family val="3"/>
          </rPr>
          <t>DESCRIÇÃO DETALHADA_x000D_
ENVELOPE PARDO TIPO SACO 240 X 340MM- GRAMATURA MINIMA 80 G/M²</t>
        </r>
      </text>
    </comment>
    <comment ref="G54" authorId="0" shapeId="0" xr:uid="{F28C893E-9AC6-4B4C-B8B2-8633FB3B1FC0}">
      <text>
        <r>
          <rPr>
            <sz val="10"/>
            <color indexed="81"/>
            <rFont val="Lucida Console"/>
            <family val="3"/>
          </rPr>
          <t>_x000D_
Últ estimativa : 35.000_x000D_
Enviada em     : 02.03.2020_x000D_
Ata - Venc     : 211/20 - 21.09.2021</t>
        </r>
      </text>
    </comment>
    <comment ref="O54" authorId="0" shapeId="0" xr:uid="{09AF6963-0268-4715-9D81-6F2A5E7EE5C2}">
      <text>
        <r>
          <rPr>
            <sz val="10"/>
            <color indexed="81"/>
            <rFont val="Lucida Console"/>
            <family val="3"/>
          </rPr>
          <t xml:space="preserve">_x000D_
Pertencia a ATA nº 211/20_x000D_
Estimativa de Renovação enviada em 02.03.2020 - Qtd 35.000_x000D_
</t>
        </r>
      </text>
    </comment>
    <comment ref="W54" authorId="0" shapeId="0" xr:uid="{993DB578-D7E4-4F3C-865D-8ECFA9B3E63A}">
      <text>
        <r>
          <rPr>
            <sz val="10"/>
            <color indexed="81"/>
            <rFont val="Lucida Console"/>
            <family val="3"/>
          </rPr>
          <t>_x000D_
Pedagógico</t>
        </r>
      </text>
    </comment>
    <comment ref="X54" authorId="0" shapeId="0" xr:uid="{2D8BAF62-7ED9-4EF3-903B-409F09BE0E52}">
      <text>
        <r>
          <rPr>
            <sz val="10"/>
            <color indexed="81"/>
            <rFont val="Lucida Console"/>
            <family val="3"/>
          </rPr>
          <t>_x000D_
MAQ., EQUIP., COMP., ACES., MAT. PARA ESCRIT.E ESCOLAR</t>
        </r>
      </text>
    </comment>
    <comment ref="Y54" authorId="0" shapeId="0" xr:uid="{A6471423-569C-4962-B209-39DCBF97380A}">
      <text>
        <r>
          <rPr>
            <sz val="10"/>
            <color indexed="81"/>
            <rFont val="Lucida Console"/>
            <family val="3"/>
          </rPr>
          <t>_x000D_
CAPAS, CLASSIF., PRANCHETAS, CADERNOS, ENVELOPES, PASTAS, FICHAS, LIVROS</t>
        </r>
      </text>
    </comment>
    <comment ref="AW54" authorId="0" shapeId="0" xr:uid="{DB1AF76E-A223-43AE-B2D7-0A26E7720B7E}">
      <text>
        <r>
          <rPr>
            <sz val="10"/>
            <color indexed="81"/>
            <rFont val="Lucida Console"/>
            <family val="3"/>
          </rPr>
          <t>Tempo de Estoque (Meses)_x000D_
_x000D_
10.439,0</t>
        </r>
      </text>
    </comment>
    <comment ref="A55" authorId="0" shapeId="0" xr:uid="{9E5DDA97-5B57-4766-90A2-823CFEA9AFC5}">
      <text>
        <r>
          <rPr>
            <sz val="10"/>
            <color indexed="81"/>
            <rFont val="Lucida Console"/>
            <family val="3"/>
          </rPr>
          <t>_x000D_
13088</t>
        </r>
      </text>
    </comment>
    <comment ref="B55" authorId="0" shapeId="0" xr:uid="{436B317E-FC0C-43DF-9ABF-91E6FE890F4C}">
      <text>
        <r>
          <rPr>
            <sz val="10"/>
            <color indexed="81"/>
            <rFont val="Lucida Console"/>
            <family val="3"/>
          </rPr>
          <t>DESCRIÇÃO DETALHADA_x000D_
LIXA D'AGUA EM FOLHA 225 X 275 MM GRAO 320</t>
        </r>
      </text>
    </comment>
    <comment ref="G55" authorId="0" shapeId="0" xr:uid="{BFA45A61-DE57-4F6E-AFBB-406888D8BE0A}">
      <text>
        <r>
          <rPr>
            <sz val="10"/>
            <color indexed="81"/>
            <rFont val="Lucida Console"/>
            <family val="3"/>
          </rPr>
          <t>_x000D_
Últ estimativa : 0_x000D_
Enviada em     : 12.05.2020_x000D_
Ata - Venc     : 254/20 - 28.10.2021</t>
        </r>
      </text>
    </comment>
    <comment ref="O55" authorId="0" shapeId="0" xr:uid="{C2C13CEA-2D49-443A-8057-3634A1938A1E}">
      <text>
        <r>
          <rPr>
            <sz val="10"/>
            <color indexed="81"/>
            <rFont val="Lucida Console"/>
            <family val="3"/>
          </rPr>
          <t>_x000D_
Pertencia a ATA nº 254/20_x000D_
Estimativa de Renovação enviada em 12.05.2020 - Qtd _x000D_
PE 147/20 lote _x000D_
04.09.20 = Finalizado. Ata 254/20</t>
        </r>
      </text>
    </comment>
    <comment ref="W55" authorId="0" shapeId="0" xr:uid="{42B2C0D6-376A-4648-BC38-1D12B5A63953}">
      <text>
        <r>
          <rPr>
            <sz val="10"/>
            <color indexed="81"/>
            <rFont val="Lucida Console"/>
            <family val="3"/>
          </rPr>
          <t>_x000D_
DM-Serralheria</t>
        </r>
      </text>
    </comment>
    <comment ref="X55" authorId="0" shapeId="0" xr:uid="{DFA41D67-4D22-46FF-B613-6FF010D39D80}">
      <text>
        <r>
          <rPr>
            <sz val="10"/>
            <color indexed="81"/>
            <rFont val="Lucida Console"/>
            <family val="3"/>
          </rPr>
          <t>_x000D_
ABRASIVOS</t>
        </r>
      </text>
    </comment>
    <comment ref="Y55" authorId="0" shapeId="0" xr:uid="{00C63AAD-ADE9-419F-B9B6-D6B9E3BFBF13}">
      <text>
        <r>
          <rPr>
            <sz val="10"/>
            <color indexed="81"/>
            <rFont val="Lucida Console"/>
            <family val="3"/>
          </rPr>
          <t>_x000D_
LIXAS EM FOLHA</t>
        </r>
      </text>
    </comment>
    <comment ref="AW55" authorId="0" shapeId="0" xr:uid="{E96412E3-D06D-41B8-ABFA-4BDF23878713}">
      <text>
        <r>
          <rPr>
            <sz val="10"/>
            <color indexed="81"/>
            <rFont val="Lucida Console"/>
            <family val="3"/>
          </rPr>
          <t>Tempo de Estoque (Meses)_x000D_
_x000D_
50,0</t>
        </r>
      </text>
    </comment>
    <comment ref="A56" authorId="0" shapeId="0" xr:uid="{BF36866B-BFEE-4FBD-8815-61B3F2F8930E}">
      <text>
        <r>
          <rPr>
            <sz val="10"/>
            <color indexed="81"/>
            <rFont val="Lucida Console"/>
            <family val="3"/>
          </rPr>
          <t>_x000D_
40251</t>
        </r>
      </text>
    </comment>
    <comment ref="B56" authorId="0" shapeId="0" xr:uid="{1B0E91AF-1D30-43E1-BD7D-220F7D5D9EBF}">
      <text>
        <r>
          <rPr>
            <sz val="10"/>
            <color indexed="81"/>
            <rFont val="Lucida Console"/>
            <family val="3"/>
          </rPr>
          <t>DESCRIÇÃO DETALHADA_x000D_
DISCO DIAMANTADO (SECO) - DIAMETRO EXTERNO 110 MM E FURO 20MM - CONFORME NORMAS ABNT</t>
        </r>
      </text>
    </comment>
    <comment ref="G56" authorId="0" shapeId="0" xr:uid="{7B051812-0AB6-4438-97A6-742CCE45402F}">
      <text>
        <r>
          <rPr>
            <sz val="10"/>
            <color indexed="81"/>
            <rFont val="Lucida Console"/>
            <family val="3"/>
          </rPr>
          <t>_x000D_
Últ estimativa : 800_x000D_
Enviada em     : 24.11.2020_x000D_
Ata - Venc     : 55/20 - 12.03.2021</t>
        </r>
      </text>
    </comment>
    <comment ref="O56" authorId="0" shapeId="0" xr:uid="{62CF8435-D56D-4E80-8B6A-E5476DB816F0}">
      <text>
        <r>
          <rPr>
            <sz val="10"/>
            <color indexed="81"/>
            <rFont val="Lucida Console"/>
            <family val="3"/>
          </rPr>
          <t>_x000D_
Pertencia a ATA nº 55/20_x000D_
Estimativa de Renovação enviada em 24.11.2020 - Qtd 800_x000D_
PE   2/20 lote 17_x000D_
23.04.20 = Processo conferido, finalizado.</t>
        </r>
      </text>
    </comment>
    <comment ref="W56" authorId="0" shapeId="0" xr:uid="{38811E65-CFE1-4AB0-A00A-377BA6963D5B}">
      <text>
        <r>
          <rPr>
            <sz val="10"/>
            <color indexed="81"/>
            <rFont val="Lucida Console"/>
            <family val="3"/>
          </rPr>
          <t>_x000D_
DM-Serralheria</t>
        </r>
      </text>
    </comment>
    <comment ref="X56" authorId="0" shapeId="0" xr:uid="{23B9BE6D-978C-4917-B8F3-176BB2EACE1F}">
      <text>
        <r>
          <rPr>
            <sz val="10"/>
            <color indexed="81"/>
            <rFont val="Lucida Console"/>
            <family val="3"/>
          </rPr>
          <t>_x000D_
ABRASIVOS</t>
        </r>
      </text>
    </comment>
    <comment ref="Y56" authorId="0" shapeId="0" xr:uid="{5C97FC78-2D0F-4ADE-9374-FA162155CE74}">
      <text>
        <r>
          <rPr>
            <sz val="10"/>
            <color indexed="81"/>
            <rFont val="Lucida Console"/>
            <family val="3"/>
          </rPr>
          <t>_x000D_
DISCO DE FIBRA</t>
        </r>
      </text>
    </comment>
    <comment ref="AW56" authorId="0" shapeId="0" xr:uid="{FBDF76CB-99F9-43B7-AF6B-80E3DD7B3E8A}">
      <text>
        <r>
          <rPr>
            <sz val="10"/>
            <color indexed="81"/>
            <rFont val="Lucida Console"/>
            <family val="3"/>
          </rPr>
          <t>Tempo de Estoque (Meses)_x000D_
_x000D_
100,0</t>
        </r>
      </text>
    </comment>
    <comment ref="A57" authorId="0" shapeId="0" xr:uid="{B777F4A6-30C0-4E4F-8DAE-74117B110108}">
      <text>
        <r>
          <rPr>
            <sz val="10"/>
            <color indexed="81"/>
            <rFont val="Lucida Console"/>
            <family val="3"/>
          </rPr>
          <t>_x000D_
70967</t>
        </r>
      </text>
    </comment>
    <comment ref="B57" authorId="0" shapeId="0" xr:uid="{F6F45606-89D6-4DF1-84D0-83DA29626F2D}">
      <text>
        <r>
          <rPr>
            <sz val="10"/>
            <color indexed="81"/>
            <rFont val="Lucida Console"/>
            <family val="3"/>
          </rPr>
          <t>DESCRIÇÃO DETALHADA_x000D_
CANO DE ALUMINIO P/ CHUVEIRO - 40 CM</t>
        </r>
      </text>
    </comment>
    <comment ref="G57" authorId="0" shapeId="0" xr:uid="{5476F767-2D5F-4A96-8D21-EF6D9F89AC47}">
      <text>
        <r>
          <rPr>
            <sz val="10"/>
            <color indexed="81"/>
            <rFont val="Lucida Console"/>
            <family val="3"/>
          </rPr>
          <t>_x000D_
Últ estimativa : 50_x000D_
Enviada em     : 24.11.2020_x000D_
Ata - Venc     : 87/20 - 31.03.2021</t>
        </r>
      </text>
    </comment>
    <comment ref="O57" authorId="0" shapeId="0" xr:uid="{36CAF40C-C943-4739-9FF8-39F7FF8BAE68}">
      <text>
        <r>
          <rPr>
            <sz val="10"/>
            <color indexed="81"/>
            <rFont val="Lucida Console"/>
            <family val="3"/>
          </rPr>
          <t>_x000D_
Pertencia a ATA nº 87/20_x000D_
Estimativa de Renovação enviada em 24.11.2020 - Qtd 50_x000D_
PE  10/20 lote 40_x000D_
30.04.20 = Processo conferido, finalizado.</t>
        </r>
      </text>
    </comment>
    <comment ref="W57" authorId="0" shapeId="0" xr:uid="{489B09C3-369E-4D3E-9356-29998A9A0DEE}">
      <text>
        <r>
          <rPr>
            <sz val="10"/>
            <color indexed="81"/>
            <rFont val="Lucida Console"/>
            <family val="3"/>
          </rPr>
          <t>_x000D_
DM-Elétrica</t>
        </r>
      </text>
    </comment>
    <comment ref="X57" authorId="0" shapeId="0" xr:uid="{98D211E4-2C28-4BA3-8098-13050DB858D1}">
      <text>
        <r>
          <rPr>
            <sz val="10"/>
            <color indexed="81"/>
            <rFont val="Lucida Console"/>
            <family val="3"/>
          </rPr>
          <t>_x000D_
MATERIAL HIDRAULICO, CANOS, TUBOS, MANGUEIRAS, CONEXOES E ACESS.</t>
        </r>
      </text>
    </comment>
    <comment ref="Y57" authorId="0" shapeId="0" xr:uid="{4428DD68-611E-45D3-B75B-1B467EAA0943}">
      <text>
        <r>
          <rPr>
            <sz val="10"/>
            <color indexed="81"/>
            <rFont val="Lucida Console"/>
            <family val="3"/>
          </rPr>
          <t>_x000D_
CANOS E TUBOS DE FERRO E METAL</t>
        </r>
      </text>
    </comment>
    <comment ref="AW57" authorId="0" shapeId="0" xr:uid="{A8BA74AD-8B33-47EB-8166-3F3AE3D16F17}">
      <text>
        <r>
          <rPr>
            <sz val="10"/>
            <color indexed="81"/>
            <rFont val="Lucida Console"/>
            <family val="3"/>
          </rPr>
          <t>Tempo de Estoque (Meses)_x000D_
_x000D_
39,0</t>
        </r>
      </text>
    </comment>
    <comment ref="A58" authorId="0" shapeId="0" xr:uid="{AEE5DFC4-E11F-445C-ADA1-3EDF737C42E2}">
      <text>
        <r>
          <rPr>
            <sz val="10"/>
            <color indexed="81"/>
            <rFont val="Lucida Console"/>
            <family val="3"/>
          </rPr>
          <t>_x000D_
78641</t>
        </r>
      </text>
    </comment>
    <comment ref="B58" authorId="0" shapeId="0" xr:uid="{0F44CDCC-D42E-492B-871D-944878117E35}">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58" authorId="0" shapeId="0" xr:uid="{DA052C98-986C-4A93-B66B-82B91D38D15E}">
      <text>
        <r>
          <rPr>
            <sz val="10"/>
            <color indexed="81"/>
            <rFont val="Lucida Console"/>
            <family val="3"/>
          </rPr>
          <t>_x000D_
Pedagógico</t>
        </r>
      </text>
    </comment>
    <comment ref="X58" authorId="0" shapeId="0" xr:uid="{01225CC9-7DB7-4EFA-8429-7D3F8A4C622B}">
      <text>
        <r>
          <rPr>
            <sz val="10"/>
            <color indexed="81"/>
            <rFont val="Lucida Console"/>
            <family val="3"/>
          </rPr>
          <t>_x000D_
MAQ., EQUIP., COMP., ACES., MAT. PARA ESCRIT.E ESCOLAR</t>
        </r>
      </text>
    </comment>
    <comment ref="Y58" authorId="0" shapeId="0" xr:uid="{C59FDB5D-2404-484E-87A5-222DD1F73291}">
      <text>
        <r>
          <rPr>
            <sz val="10"/>
            <color indexed="81"/>
            <rFont val="Lucida Console"/>
            <family val="3"/>
          </rPr>
          <t>_x000D_
TINTAS  E PINCEIS ESCOLARES</t>
        </r>
      </text>
    </comment>
    <comment ref="AW58" authorId="0" shapeId="0" xr:uid="{E2AFD54B-7184-4758-B91D-A18FB327B9A4}">
      <text>
        <r>
          <rPr>
            <sz val="10"/>
            <color indexed="81"/>
            <rFont val="Lucida Console"/>
            <family val="3"/>
          </rPr>
          <t>Tempo de Estoque (Meses)_x000D_
_x000D_
1.770,0</t>
        </r>
      </text>
    </comment>
    <comment ref="A59" authorId="0" shapeId="0" xr:uid="{532D5231-25BE-42B7-90B9-5405A21F0991}">
      <text>
        <r>
          <rPr>
            <sz val="10"/>
            <color indexed="81"/>
            <rFont val="Lucida Console"/>
            <family val="3"/>
          </rPr>
          <t>_x000D_
78643</t>
        </r>
      </text>
    </comment>
    <comment ref="B59" authorId="0" shapeId="0" xr:uid="{33A3E8AF-764D-48C9-A547-783B88C6C62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59" authorId="0" shapeId="0" xr:uid="{9609D5CB-FF5D-4CB3-A4E3-A3BE7919A614}">
      <text>
        <r>
          <rPr>
            <sz val="10"/>
            <color indexed="81"/>
            <rFont val="Lucida Console"/>
            <family val="3"/>
          </rPr>
          <t>_x000D_
Pedagógico</t>
        </r>
      </text>
    </comment>
    <comment ref="X59" authorId="0" shapeId="0" xr:uid="{D412DADB-D0BA-49E9-B850-6615D5E603BB}">
      <text>
        <r>
          <rPr>
            <sz val="10"/>
            <color indexed="81"/>
            <rFont val="Lucida Console"/>
            <family val="3"/>
          </rPr>
          <t>_x000D_
MAQ., EQUIP., COMP., ACES., MAT. PARA ESCRIT.E ESCOLAR</t>
        </r>
      </text>
    </comment>
    <comment ref="Y59" authorId="0" shapeId="0" xr:uid="{1C84F814-9F94-4B75-992A-2F79784DC9BB}">
      <text>
        <r>
          <rPr>
            <sz val="10"/>
            <color indexed="81"/>
            <rFont val="Lucida Console"/>
            <family val="3"/>
          </rPr>
          <t>_x000D_
TINTAS  E PINCEIS ESCOLARES</t>
        </r>
      </text>
    </comment>
    <comment ref="AW59" authorId="0" shapeId="0" xr:uid="{0EE707AE-9A0B-4336-83F2-01F3A03316ED}">
      <text>
        <r>
          <rPr>
            <sz val="10"/>
            <color indexed="81"/>
            <rFont val="Lucida Console"/>
            <family val="3"/>
          </rPr>
          <t>Tempo de Estoque (Meses)_x000D_
_x000D_
2.055,0</t>
        </r>
      </text>
    </comment>
    <comment ref="A60" authorId="0" shapeId="0" xr:uid="{7123D875-17B4-450F-8C9A-3893C0157A55}">
      <text>
        <r>
          <rPr>
            <sz val="10"/>
            <color indexed="81"/>
            <rFont val="Lucida Console"/>
            <family val="3"/>
          </rPr>
          <t>_x000D_
23986</t>
        </r>
      </text>
    </comment>
    <comment ref="B60" authorId="0" shapeId="0" xr:uid="{B28C43F5-4329-4170-BDD2-8D5FFC8F6BFE}">
      <text>
        <r>
          <rPr>
            <sz val="10"/>
            <color indexed="81"/>
            <rFont val="Lucida Console"/>
            <family val="3"/>
          </rPr>
          <t>DESCRIÇÃO DETALHADA_x000D_
PAPEL CREPOM - RL C/ 48 X 200 CM - AMARELO OURO</t>
        </r>
      </text>
    </comment>
    <comment ref="G60" authorId="0" shapeId="0" xr:uid="{251B3B9A-9E01-475A-9A04-084DF1388887}">
      <text>
        <r>
          <rPr>
            <sz val="10"/>
            <color indexed="81"/>
            <rFont val="Lucida Console"/>
            <family val="3"/>
          </rPr>
          <t>_x000D_
Últ estimativa : 10.000_x000D_
Enviada em     : 19.12.2019_x000D_
Ata - Venc     : 143/21 - 20.05.2022</t>
        </r>
      </text>
    </comment>
    <comment ref="O60" authorId="0" shapeId="0" xr:uid="{33B98E79-6FAB-4AFF-B3A9-E963DE8077D0}">
      <text>
        <r>
          <rPr>
            <sz val="10"/>
            <color indexed="81"/>
            <rFont val="Lucida Console"/>
            <family val="3"/>
          </rPr>
          <t>_x000D_
Pertencia a ATA nº 143/21_x000D_
Estimativa de Renovação enviada em 19.12.2019 - Qtd 10.000_x000D_
PE  61/21 lote _x000D_
30.04.21 = Finalizado. Ata 143/20</t>
        </r>
      </text>
    </comment>
    <comment ref="W60" authorId="0" shapeId="0" xr:uid="{35803863-21BB-436F-884D-1339CEAFA8D9}">
      <text>
        <r>
          <rPr>
            <sz val="10"/>
            <color indexed="81"/>
            <rFont val="Lucida Console"/>
            <family val="3"/>
          </rPr>
          <t>_x000D_
Pedagógico</t>
        </r>
      </text>
    </comment>
    <comment ref="X60" authorId="0" shapeId="0" xr:uid="{AB23C1D6-5267-432E-9DA3-B037B681334F}">
      <text>
        <r>
          <rPr>
            <sz val="10"/>
            <color indexed="81"/>
            <rFont val="Lucida Console"/>
            <family val="3"/>
          </rPr>
          <t>_x000D_
MAQ. E EQUIP. P/ IND. GRAFICA COMP. ACESS. E PAPEI</t>
        </r>
      </text>
    </comment>
    <comment ref="Y60" authorId="0" shapeId="0" xr:uid="{E9ECBFAA-A43D-49F0-99E4-C0F2DE8D0C8C}">
      <text>
        <r>
          <rPr>
            <sz val="10"/>
            <color indexed="81"/>
            <rFont val="Lucida Console"/>
            <family val="3"/>
          </rPr>
          <t>_x000D_
PAPEIS P/ EMBALAGEM E DECORATIVOS</t>
        </r>
      </text>
    </comment>
    <comment ref="AW60" authorId="0" shapeId="0" xr:uid="{22663955-1550-4C0F-9C79-DD41829536BA}">
      <text>
        <r>
          <rPr>
            <sz val="10"/>
            <color indexed="81"/>
            <rFont val="Lucida Console"/>
            <family val="3"/>
          </rPr>
          <t>Tempo de Estoque (Meses)_x000D_
_x000D_
2.266,0</t>
        </r>
      </text>
    </comment>
    <comment ref="A61" authorId="0" shapeId="0" xr:uid="{CAC8E4DD-1A0F-4493-9417-AAB28C54B3A2}">
      <text>
        <r>
          <rPr>
            <sz val="10"/>
            <color indexed="81"/>
            <rFont val="Lucida Console"/>
            <family val="3"/>
          </rPr>
          <t>_x000D_
24477</t>
        </r>
      </text>
    </comment>
    <comment ref="B61" authorId="0" shapeId="0" xr:uid="{B6919D89-3EE9-4813-BF53-445EBF12384D}">
      <text>
        <r>
          <rPr>
            <sz val="10"/>
            <color indexed="81"/>
            <rFont val="Lucida Console"/>
            <family val="3"/>
          </rPr>
          <t>DESCRIÇÃO DETALHADA_x000D_
PAPEL CREPOM - RL C/ 48 X 200 CM - VERDE ESCURO</t>
        </r>
      </text>
    </comment>
    <comment ref="G61" authorId="0" shapeId="0" xr:uid="{BE5F7808-82A4-40F8-9B30-EDF08B349BF9}">
      <text>
        <r>
          <rPr>
            <sz val="10"/>
            <color indexed="81"/>
            <rFont val="Lucida Console"/>
            <family val="3"/>
          </rPr>
          <t>_x000D_
Últ estimativa : 10.000_x000D_
Enviada em     : 19.12.2019_x000D_
Ata - Venc     : 143/21 - 20.05.2022</t>
        </r>
      </text>
    </comment>
    <comment ref="O61" authorId="0" shapeId="0" xr:uid="{17B560B2-524F-4A2C-84D3-2E4BBE0D03C1}">
      <text>
        <r>
          <rPr>
            <sz val="10"/>
            <color indexed="81"/>
            <rFont val="Lucida Console"/>
            <family val="3"/>
          </rPr>
          <t>_x000D_
Pertencia a ATA nº 143/21_x000D_
Estimativa de Renovação enviada em 19.12.2019 - Qtd 10.000_x000D_
PE  61/21 lote _x000D_
30.04.21 = Finalizado. Ata 143/20</t>
        </r>
      </text>
    </comment>
    <comment ref="W61" authorId="0" shapeId="0" xr:uid="{0E18E0F0-DD8D-49FB-BCF6-DD4EBB486490}">
      <text>
        <r>
          <rPr>
            <sz val="10"/>
            <color indexed="81"/>
            <rFont val="Lucida Console"/>
            <family val="3"/>
          </rPr>
          <t>_x000D_
Pedagógico</t>
        </r>
      </text>
    </comment>
    <comment ref="X61" authorId="0" shapeId="0" xr:uid="{0BDF8C35-1DDC-43D4-9305-F541B65BDB70}">
      <text>
        <r>
          <rPr>
            <sz val="10"/>
            <color indexed="81"/>
            <rFont val="Lucida Console"/>
            <family val="3"/>
          </rPr>
          <t>_x000D_
MAQ. E EQUIP. P/ IND. GRAFICA COMP. ACESS. E PAPEI</t>
        </r>
      </text>
    </comment>
    <comment ref="Y61" authorId="0" shapeId="0" xr:uid="{CFB27B96-A9B0-451E-A67C-74B62916393D}">
      <text>
        <r>
          <rPr>
            <sz val="10"/>
            <color indexed="81"/>
            <rFont val="Lucida Console"/>
            <family val="3"/>
          </rPr>
          <t>_x000D_
PAPEIS P/ EMBALAGEM E DECORATIVOS</t>
        </r>
      </text>
    </comment>
    <comment ref="AW61" authorId="0" shapeId="0" xr:uid="{F7628FBD-CC63-4CB0-AC03-E6ECF000E6CB}">
      <text>
        <r>
          <rPr>
            <sz val="10"/>
            <color indexed="81"/>
            <rFont val="Lucida Console"/>
            <family val="3"/>
          </rPr>
          <t>Tempo de Estoque (Meses)_x000D_
_x000D_
2.269,0</t>
        </r>
      </text>
    </comment>
    <comment ref="A62" authorId="0" shapeId="0" xr:uid="{BE29ECB8-F37E-4CB4-B573-58A75196046F}">
      <text>
        <r>
          <rPr>
            <sz val="10"/>
            <color indexed="81"/>
            <rFont val="Lucida Console"/>
            <family val="3"/>
          </rPr>
          <t>_x000D_
93329</t>
        </r>
      </text>
    </comment>
    <comment ref="B62" authorId="0" shapeId="0" xr:uid="{11408D67-BD86-4778-B11D-7AA7D5C610B0}">
      <text>
        <r>
          <rPr>
            <sz val="10"/>
            <color indexed="81"/>
            <rFont val="Lucida Console"/>
            <family val="3"/>
          </rPr>
          <t>DESCRIÇÃO DETALHADA_x000D_
PAPEL DE SEDA - 48 X 60 CM - LARANJA</t>
        </r>
      </text>
    </comment>
    <comment ref="G62" authorId="0" shapeId="0" xr:uid="{7CE6CAB6-C49A-45AD-9D2D-C377B7770612}">
      <text>
        <r>
          <rPr>
            <sz val="10"/>
            <color indexed="81"/>
            <rFont val="Lucida Console"/>
            <family val="3"/>
          </rPr>
          <t>_x000D_
Últ estimativa : 10.000_x000D_
Enviada em     : 19.12.2019_x000D_
Ata - Venc     : 143/21 - 20.05.2022</t>
        </r>
      </text>
    </comment>
    <comment ref="O62" authorId="0" shapeId="0" xr:uid="{20A64294-F420-49A6-BB38-847206D45F46}">
      <text>
        <r>
          <rPr>
            <sz val="10"/>
            <color indexed="81"/>
            <rFont val="Lucida Console"/>
            <family val="3"/>
          </rPr>
          <t>_x000D_
Pertencia a ATA nº 143/21_x000D_
Estimativa de Renovação enviada em 19.12.2019 - Qtd 10.000_x000D_
PE  61/21 lote _x000D_
30.04.21 = Finalizado. Ata 143/20</t>
        </r>
      </text>
    </comment>
    <comment ref="W62" authorId="0" shapeId="0" xr:uid="{212F1732-2C03-4461-B32D-B03CD419ADFD}">
      <text>
        <r>
          <rPr>
            <sz val="10"/>
            <color indexed="81"/>
            <rFont val="Lucida Console"/>
            <family val="3"/>
          </rPr>
          <t>_x000D_
Pedagógico</t>
        </r>
      </text>
    </comment>
    <comment ref="X62" authorId="0" shapeId="0" xr:uid="{31BDB7C7-B6BE-4FED-B843-F2B43878F4EE}">
      <text>
        <r>
          <rPr>
            <sz val="10"/>
            <color indexed="81"/>
            <rFont val="Lucida Console"/>
            <family val="3"/>
          </rPr>
          <t>_x000D_
MAQ. E EQUIP. P/ IND. GRAFICA COMP. ACESS. E PAPEI</t>
        </r>
      </text>
    </comment>
    <comment ref="Y62" authorId="0" shapeId="0" xr:uid="{FBA1F9BE-A50D-496E-8F7D-322ACD15C32B}">
      <text>
        <r>
          <rPr>
            <sz val="10"/>
            <color indexed="81"/>
            <rFont val="Lucida Console"/>
            <family val="3"/>
          </rPr>
          <t>_x000D_
PAPEIS P/ EMBALAGEM E DECORATIVOS</t>
        </r>
      </text>
    </comment>
    <comment ref="AW62" authorId="0" shapeId="0" xr:uid="{351A513D-19E6-4C2E-9C63-4BBE563E8751}">
      <text>
        <r>
          <rPr>
            <sz val="10"/>
            <color indexed="81"/>
            <rFont val="Lucida Console"/>
            <family val="3"/>
          </rPr>
          <t>Tempo de Estoque (Meses)_x000D_
_x000D_
2.328,0</t>
        </r>
      </text>
    </comment>
    <comment ref="A63" authorId="0" shapeId="0" xr:uid="{8DF0DB2C-A0DA-4E57-BEB4-3FBEE8077272}">
      <text>
        <r>
          <rPr>
            <sz val="10"/>
            <color indexed="81"/>
            <rFont val="Lucida Console"/>
            <family val="3"/>
          </rPr>
          <t>_x000D_
93456</t>
        </r>
      </text>
    </comment>
    <comment ref="B63" authorId="0" shapeId="0" xr:uid="{B3DB93B0-B80E-4CDB-82FD-BA914F20DF81}">
      <text>
        <r>
          <rPr>
            <sz val="10"/>
            <color indexed="81"/>
            <rFont val="Lucida Console"/>
            <family val="3"/>
          </rPr>
          <t>DESCRIÇÃO DETALHADA_x000D_
PAPEL ESPELHO BRILHANTE (DOBRADURA), MEDINDO 48 X 66 CM - COR: LARANJA - AS MEDIDAS PODERAO VARIAR +/- 5 CM</t>
        </r>
      </text>
    </comment>
    <comment ref="G63" authorId="0" shapeId="0" xr:uid="{D0D72190-E8DA-4DE2-BE83-4EEBD70D0C9D}">
      <text>
        <r>
          <rPr>
            <sz val="10"/>
            <color indexed="81"/>
            <rFont val="Lucida Console"/>
            <family val="3"/>
          </rPr>
          <t>_x000D_
Últ estimativa : 14.000_x000D_
Enviada em     : 19.12.2019_x000D_
Ata - Venc     : 143/21 - 20.05.2022</t>
        </r>
      </text>
    </comment>
    <comment ref="O63" authorId="0" shapeId="0" xr:uid="{46AC6759-B2B5-42ED-84C6-17DB931E25DC}">
      <text>
        <r>
          <rPr>
            <sz val="10"/>
            <color indexed="81"/>
            <rFont val="Lucida Console"/>
            <family val="3"/>
          </rPr>
          <t>_x000D_
Pertencia a ATA nº 143/21_x000D_
Estimativa de Renovação enviada em 19.12.2019 - Qtd 14.000_x000D_
PE  61/21 lote _x000D_
30.04.21 = Finalizado. Ata 143/20</t>
        </r>
      </text>
    </comment>
    <comment ref="W63" authorId="0" shapeId="0" xr:uid="{B2AD95BA-C0A8-4A8A-A4D4-729F21E81FF0}">
      <text>
        <r>
          <rPr>
            <sz val="10"/>
            <color indexed="81"/>
            <rFont val="Lucida Console"/>
            <family val="3"/>
          </rPr>
          <t>_x000D_
Pedagógico</t>
        </r>
      </text>
    </comment>
    <comment ref="X63" authorId="0" shapeId="0" xr:uid="{E1BEC606-9FF2-44E0-882E-2B960C93AD24}">
      <text>
        <r>
          <rPr>
            <sz val="10"/>
            <color indexed="81"/>
            <rFont val="Lucida Console"/>
            <family val="3"/>
          </rPr>
          <t>_x000D_
MAQ. E EQUIP. P/ IND. GRAFICA COMP. ACESS. E PAPEI</t>
        </r>
      </text>
    </comment>
    <comment ref="Y63" authorId="0" shapeId="0" xr:uid="{DE500E65-B36C-410B-8D0C-01FA420B08E6}">
      <text>
        <r>
          <rPr>
            <sz val="10"/>
            <color indexed="81"/>
            <rFont val="Lucida Console"/>
            <family val="3"/>
          </rPr>
          <t>_x000D_
PAPEIS P/ EMBALAGEM E DECORATIVOS</t>
        </r>
      </text>
    </comment>
    <comment ref="AW63" authorId="0" shapeId="0" xr:uid="{F7143315-1B5B-4607-9BF9-33D933F098B8}">
      <text>
        <r>
          <rPr>
            <sz val="10"/>
            <color indexed="81"/>
            <rFont val="Lucida Console"/>
            <family val="3"/>
          </rPr>
          <t>Tempo de Estoque (Meses)_x000D_
_x000D_
2.300,0</t>
        </r>
      </text>
    </comment>
    <comment ref="A64" authorId="0" shapeId="0" xr:uid="{BA773C8A-4718-424A-8FBA-40620DC8C294}">
      <text>
        <r>
          <rPr>
            <sz val="10"/>
            <color indexed="81"/>
            <rFont val="Lucida Console"/>
            <family val="3"/>
          </rPr>
          <t>_x000D_
93461</t>
        </r>
      </text>
    </comment>
    <comment ref="B64" authorId="0" shapeId="0" xr:uid="{25DD927A-031C-4BCC-ADBE-9E1DBE391D1F}">
      <text>
        <r>
          <rPr>
            <sz val="10"/>
            <color indexed="81"/>
            <rFont val="Lucida Console"/>
            <family val="3"/>
          </rPr>
          <t>DESCRIÇÃO DETALHADA_x000D_
PAPEL ESPELHO BRILHANTE (DOBRADURA), MEDINDO 48 X 66 CM - COR: VERDE ESCURO</t>
        </r>
      </text>
    </comment>
    <comment ref="G64" authorId="0" shapeId="0" xr:uid="{3CA08A8B-D79E-4805-95C5-170509399EDF}">
      <text>
        <r>
          <rPr>
            <sz val="10"/>
            <color indexed="81"/>
            <rFont val="Lucida Console"/>
            <family val="3"/>
          </rPr>
          <t>_x000D_
Últ estimativa : 14.000_x000D_
Enviada em     : 19.12.2019_x000D_
Ata - Venc     : 143/21 - 20.05.2022</t>
        </r>
      </text>
    </comment>
    <comment ref="O64" authorId="0" shapeId="0" xr:uid="{9115D9B2-DF1E-4D70-B819-60C8D509410D}">
      <text>
        <r>
          <rPr>
            <sz val="10"/>
            <color indexed="81"/>
            <rFont val="Lucida Console"/>
            <family val="3"/>
          </rPr>
          <t>_x000D_
Pertencia a ATA nº 143/21_x000D_
Estimativa de Renovação enviada em 19.12.2019 - Qtd 14.000_x000D_
PE  61/21 lote _x000D_
30.04.21 = Finalizado. Ata 143/20</t>
        </r>
      </text>
    </comment>
    <comment ref="W64" authorId="0" shapeId="0" xr:uid="{BDBA5352-503C-40DD-ADC1-2173E238F06D}">
      <text>
        <r>
          <rPr>
            <sz val="10"/>
            <color indexed="81"/>
            <rFont val="Lucida Console"/>
            <family val="3"/>
          </rPr>
          <t>_x000D_
Pedagógico</t>
        </r>
      </text>
    </comment>
    <comment ref="X64" authorId="0" shapeId="0" xr:uid="{53034C23-8F76-43CB-938B-60AFF8552C23}">
      <text>
        <r>
          <rPr>
            <sz val="10"/>
            <color indexed="81"/>
            <rFont val="Lucida Console"/>
            <family val="3"/>
          </rPr>
          <t>_x000D_
MAQ. E EQUIP. P/ IND. GRAFICA COMP. ACESS. E PAPEI</t>
        </r>
      </text>
    </comment>
    <comment ref="Y64" authorId="0" shapeId="0" xr:uid="{CF018A5C-63C4-4887-8A97-2D8524BEE174}">
      <text>
        <r>
          <rPr>
            <sz val="10"/>
            <color indexed="81"/>
            <rFont val="Lucida Console"/>
            <family val="3"/>
          </rPr>
          <t>_x000D_
PAPEIS P/ EMBALAGEM E DECORATIVOS</t>
        </r>
      </text>
    </comment>
    <comment ref="AW64" authorId="0" shapeId="0" xr:uid="{75026C3A-9F13-4F51-8B6D-843CD7ADCE31}">
      <text>
        <r>
          <rPr>
            <sz val="10"/>
            <color indexed="81"/>
            <rFont val="Lucida Console"/>
            <family val="3"/>
          </rPr>
          <t>Tempo de Estoque (Meses)_x000D_
_x000D_
2.377,0</t>
        </r>
      </text>
    </comment>
    <comment ref="A65" authorId="0" shapeId="0" xr:uid="{AFE0EADA-0DA5-4A28-B6D2-106A94BF33E8}">
      <text>
        <r>
          <rPr>
            <sz val="10"/>
            <color indexed="81"/>
            <rFont val="Lucida Console"/>
            <family val="3"/>
          </rPr>
          <t>_x000D_
29959</t>
        </r>
      </text>
    </comment>
    <comment ref="B65" authorId="0" shapeId="0" xr:uid="{F28E0D79-4AB5-4762-9A60-2028C37F433A}">
      <text>
        <r>
          <rPr>
            <sz val="10"/>
            <color indexed="81"/>
            <rFont val="Lucida Console"/>
            <family val="3"/>
          </rPr>
          <t>DESCRIÇÃO DETALHADA_x000D_
PAPEL CAMURCA - 60 X 40 CM - PRETO</t>
        </r>
      </text>
    </comment>
    <comment ref="G65" authorId="0" shapeId="0" xr:uid="{91F7699E-7EAC-4273-8BB9-A503A0D60CD4}">
      <text>
        <r>
          <rPr>
            <sz val="10"/>
            <color indexed="81"/>
            <rFont val="Lucida Console"/>
            <family val="3"/>
          </rPr>
          <t>_x000D_
Últ estimativa : 10.000_x000D_
Enviada em     : 19.12.2019_x000D_
Ata - Venc     : 143/21 - 20.05.2022</t>
        </r>
      </text>
    </comment>
    <comment ref="O65" authorId="0" shapeId="0" xr:uid="{1FBD8A91-242C-4BE5-819F-5D90DFE48DB8}">
      <text>
        <r>
          <rPr>
            <sz val="10"/>
            <color indexed="81"/>
            <rFont val="Lucida Console"/>
            <family val="3"/>
          </rPr>
          <t>_x000D_
Pertencia a ATA nº 143/21_x000D_
Estimativa de Renovação enviada em 19.12.2019 - Qtd 10.000_x000D_
PE  61/21 lote _x000D_
30.04.21 = Finalizado. Ata 143/20</t>
        </r>
      </text>
    </comment>
    <comment ref="W65" authorId="0" shapeId="0" xr:uid="{58F1EE3E-685D-4984-9537-F02412A46003}">
      <text>
        <r>
          <rPr>
            <sz val="10"/>
            <color indexed="81"/>
            <rFont val="Lucida Console"/>
            <family val="3"/>
          </rPr>
          <t>_x000D_
Pedagógico</t>
        </r>
      </text>
    </comment>
    <comment ref="X65" authorId="0" shapeId="0" xr:uid="{DFAA0F75-52CF-46E5-8770-2F9538CAA183}">
      <text>
        <r>
          <rPr>
            <sz val="10"/>
            <color indexed="81"/>
            <rFont val="Lucida Console"/>
            <family val="3"/>
          </rPr>
          <t>_x000D_
MAQ. E EQUIP. P/ IND. GRAFICA COMP. ACESS. E PAPEI</t>
        </r>
      </text>
    </comment>
    <comment ref="Y65" authorId="0" shapeId="0" xr:uid="{D4D29D42-E54F-458E-B01F-84D2CB7CAF88}">
      <text>
        <r>
          <rPr>
            <sz val="10"/>
            <color indexed="81"/>
            <rFont val="Lucida Console"/>
            <family val="3"/>
          </rPr>
          <t>_x000D_
PAPEIS E PAPELOES</t>
        </r>
      </text>
    </comment>
    <comment ref="AW65" authorId="0" shapeId="0" xr:uid="{3B0A0A6C-A577-420A-A369-F6554EF4DE73}">
      <text>
        <r>
          <rPr>
            <sz val="10"/>
            <color indexed="81"/>
            <rFont val="Lucida Console"/>
            <family val="3"/>
          </rPr>
          <t>Tempo de Estoque (Meses)_x000D_
_x000D_
2.302,0</t>
        </r>
      </text>
    </comment>
    <comment ref="A66" authorId="0" shapeId="0" xr:uid="{81A46BDD-1D08-456D-8A18-92E76BB0D04B}">
      <text>
        <r>
          <rPr>
            <sz val="10"/>
            <color indexed="81"/>
            <rFont val="Lucida Console"/>
            <family val="3"/>
          </rPr>
          <t>_x000D_
29961</t>
        </r>
      </text>
    </comment>
    <comment ref="B66" authorId="0" shapeId="0" xr:uid="{89113843-C6AB-4B4E-9A22-081F0A51E76E}">
      <text>
        <r>
          <rPr>
            <sz val="10"/>
            <color indexed="81"/>
            <rFont val="Lucida Console"/>
            <family val="3"/>
          </rPr>
          <t>DESCRIÇÃO DETALHADA_x000D_
PAPEL CAMURCA - 60 X 40 CM - VERMELHO</t>
        </r>
      </text>
    </comment>
    <comment ref="G66" authorId="0" shapeId="0" xr:uid="{07770B46-5A93-4B8F-9B18-E56D4C955B8D}">
      <text>
        <r>
          <rPr>
            <sz val="10"/>
            <color indexed="81"/>
            <rFont val="Lucida Console"/>
            <family val="3"/>
          </rPr>
          <t>_x000D_
Últ estimativa : 10.000_x000D_
Enviada em     : 19.12.2019_x000D_
Ata - Venc     : 143/21 - 20.05.2022</t>
        </r>
      </text>
    </comment>
    <comment ref="O66" authorId="0" shapeId="0" xr:uid="{199D645A-B084-4E12-8CDB-7DA057633203}">
      <text>
        <r>
          <rPr>
            <sz val="10"/>
            <color indexed="81"/>
            <rFont val="Lucida Console"/>
            <family val="3"/>
          </rPr>
          <t>_x000D_
Pertencia a ATA nº 143/21_x000D_
Estimativa de Renovação enviada em 19.12.2019 - Qtd 10.000_x000D_
PE  61/21 lote _x000D_
30.04.21 = Finalizado. Ata 143/20</t>
        </r>
      </text>
    </comment>
    <comment ref="W66" authorId="0" shapeId="0" xr:uid="{FAF2ED55-6A89-4774-AA08-6357844C6E05}">
      <text>
        <r>
          <rPr>
            <sz val="10"/>
            <color indexed="81"/>
            <rFont val="Lucida Console"/>
            <family val="3"/>
          </rPr>
          <t>_x000D_
Pedagógico</t>
        </r>
      </text>
    </comment>
    <comment ref="X66" authorId="0" shapeId="0" xr:uid="{2FD4DEA2-6188-4C20-89D5-9DC770A2F639}">
      <text>
        <r>
          <rPr>
            <sz val="10"/>
            <color indexed="81"/>
            <rFont val="Lucida Console"/>
            <family val="3"/>
          </rPr>
          <t>_x000D_
MAQ. E EQUIP. P/ IND. GRAFICA COMP. ACESS. E PAPEI</t>
        </r>
      </text>
    </comment>
    <comment ref="Y66" authorId="0" shapeId="0" xr:uid="{92496A1B-CF2E-4D07-9BC4-230238D41DD3}">
      <text>
        <r>
          <rPr>
            <sz val="10"/>
            <color indexed="81"/>
            <rFont val="Lucida Console"/>
            <family val="3"/>
          </rPr>
          <t>_x000D_
PAPEIS E PAPELOES</t>
        </r>
      </text>
    </comment>
    <comment ref="AW66" authorId="0" shapeId="0" xr:uid="{7605CE12-5866-463F-B61C-6A48AA444734}">
      <text>
        <r>
          <rPr>
            <sz val="10"/>
            <color indexed="81"/>
            <rFont val="Lucida Console"/>
            <family val="3"/>
          </rPr>
          <t>Tempo de Estoque (Meses)_x000D_
_x000D_
2.155,0</t>
        </r>
      </text>
    </comment>
    <comment ref="A67" authorId="0" shapeId="0" xr:uid="{FB757E97-C5AD-4AB3-BD88-48CB5AACECB1}">
      <text>
        <r>
          <rPr>
            <sz val="10"/>
            <color indexed="81"/>
            <rFont val="Lucida Console"/>
            <family val="3"/>
          </rPr>
          <t>_x000D_
29962</t>
        </r>
      </text>
    </comment>
    <comment ref="B67" authorId="0" shapeId="0" xr:uid="{81BF9F80-D003-4BC8-8BBD-3E549795A4D0}">
      <text>
        <r>
          <rPr>
            <sz val="10"/>
            <color indexed="81"/>
            <rFont val="Lucida Console"/>
            <family val="3"/>
          </rPr>
          <t>DESCRIÇÃO DETALHADA_x000D_
PAPEL CAMURCA - 60 X 40 CM - MARROM</t>
        </r>
      </text>
    </comment>
    <comment ref="G67" authorId="0" shapeId="0" xr:uid="{803D8771-9055-4DFF-BE4A-E14CD75408C5}">
      <text>
        <r>
          <rPr>
            <sz val="10"/>
            <color indexed="81"/>
            <rFont val="Lucida Console"/>
            <family val="3"/>
          </rPr>
          <t>_x000D_
Últ estimativa : 10.000_x000D_
Enviada em     : 19.12.2019_x000D_
Ata - Venc     : 143/21 - 20.05.2022</t>
        </r>
      </text>
    </comment>
    <comment ref="O67" authorId="0" shapeId="0" xr:uid="{B5D8235D-7A14-421C-991C-E8B222BC1BBF}">
      <text>
        <r>
          <rPr>
            <sz val="10"/>
            <color indexed="81"/>
            <rFont val="Lucida Console"/>
            <family val="3"/>
          </rPr>
          <t>_x000D_
Pertencia a ATA nº 143/21_x000D_
Estimativa de Renovação enviada em 19.12.2019 - Qtd 10.000_x000D_
PE  61/21 lote _x000D_
30.04.21 = Finalizado. Ata 143/20</t>
        </r>
      </text>
    </comment>
    <comment ref="W67" authorId="0" shapeId="0" xr:uid="{27796169-5F92-40BF-8B55-E3FC8DBEEBC7}">
      <text>
        <r>
          <rPr>
            <sz val="10"/>
            <color indexed="81"/>
            <rFont val="Lucida Console"/>
            <family val="3"/>
          </rPr>
          <t>_x000D_
Pedagógico</t>
        </r>
      </text>
    </comment>
    <comment ref="X67" authorId="0" shapeId="0" xr:uid="{40E7D137-85BE-47C6-9D61-27024B508F08}">
      <text>
        <r>
          <rPr>
            <sz val="10"/>
            <color indexed="81"/>
            <rFont val="Lucida Console"/>
            <family val="3"/>
          </rPr>
          <t>_x000D_
MAQ. E EQUIP. P/ IND. GRAFICA COMP. ACESS. E PAPEI</t>
        </r>
      </text>
    </comment>
    <comment ref="Y67" authorId="0" shapeId="0" xr:uid="{B0259499-151C-4493-A69D-345C41C1CCE7}">
      <text>
        <r>
          <rPr>
            <sz val="10"/>
            <color indexed="81"/>
            <rFont val="Lucida Console"/>
            <family val="3"/>
          </rPr>
          <t>_x000D_
PAPEIS E PAPELOES</t>
        </r>
      </text>
    </comment>
    <comment ref="AW67" authorId="0" shapeId="0" xr:uid="{3FDDA53E-E43D-4E20-86C2-C04F7579F026}">
      <text>
        <r>
          <rPr>
            <sz val="10"/>
            <color indexed="81"/>
            <rFont val="Lucida Console"/>
            <family val="3"/>
          </rPr>
          <t>Tempo de Estoque (Meses)_x000D_
_x000D_
2.057,0</t>
        </r>
      </text>
    </comment>
    <comment ref="A68" authorId="0" shapeId="0" xr:uid="{DBAB2C78-16A5-433D-AEEC-6E0DCF32F71A}">
      <text>
        <r>
          <rPr>
            <sz val="10"/>
            <color indexed="81"/>
            <rFont val="Lucida Console"/>
            <family val="3"/>
          </rPr>
          <t>_x000D_
29964</t>
        </r>
      </text>
    </comment>
    <comment ref="B68" authorId="0" shapeId="0" xr:uid="{BD442DD9-0FA3-402C-9D3A-AB5D62663242}">
      <text>
        <r>
          <rPr>
            <sz val="10"/>
            <color indexed="81"/>
            <rFont val="Lucida Console"/>
            <family val="3"/>
          </rPr>
          <t>DESCRIÇÃO DETALHADA_x000D_
PAPEL CAMURCA - 60 X 40 - ROSA - AS MEDIDAS PODERAO VARIAR +/- 5 CM</t>
        </r>
      </text>
    </comment>
    <comment ref="G68" authorId="0" shapeId="0" xr:uid="{512B9791-CA94-4539-9F2B-5ABC58F2F1AE}">
      <text>
        <r>
          <rPr>
            <sz val="10"/>
            <color indexed="81"/>
            <rFont val="Lucida Console"/>
            <family val="3"/>
          </rPr>
          <t>_x000D_
Últ estimativa : 10.000_x000D_
Enviada em     : 19.12.2019_x000D_
Ata - Venc     : 143/21 - 20.05.2022</t>
        </r>
      </text>
    </comment>
    <comment ref="O68" authorId="0" shapeId="0" xr:uid="{C02C26E3-5D35-4635-AC63-B62AB9816732}">
      <text>
        <r>
          <rPr>
            <sz val="10"/>
            <color indexed="81"/>
            <rFont val="Lucida Console"/>
            <family val="3"/>
          </rPr>
          <t>_x000D_
Pertencia a ATA nº 143/21_x000D_
Estimativa de Renovação enviada em 19.12.2019 - Qtd 10.000_x000D_
PE  61/21 lote _x000D_
30.04.21 = Finalizado. Ata 143/20</t>
        </r>
      </text>
    </comment>
    <comment ref="W68" authorId="0" shapeId="0" xr:uid="{A29F1B6F-6EF2-4B01-ABDC-5818A247F8C0}">
      <text>
        <r>
          <rPr>
            <sz val="10"/>
            <color indexed="81"/>
            <rFont val="Lucida Console"/>
            <family val="3"/>
          </rPr>
          <t>_x000D_
Pedagógico</t>
        </r>
      </text>
    </comment>
    <comment ref="X68" authorId="0" shapeId="0" xr:uid="{188B5559-74DF-4579-9B60-AA8B0C1DC397}">
      <text>
        <r>
          <rPr>
            <sz val="10"/>
            <color indexed="81"/>
            <rFont val="Lucida Console"/>
            <family val="3"/>
          </rPr>
          <t>_x000D_
MAQ. E EQUIP. P/ IND. GRAFICA COMP. ACESS. E PAPEI</t>
        </r>
      </text>
    </comment>
    <comment ref="Y68" authorId="0" shapeId="0" xr:uid="{3C626E75-6540-4A3A-8519-020981D144BF}">
      <text>
        <r>
          <rPr>
            <sz val="10"/>
            <color indexed="81"/>
            <rFont val="Lucida Console"/>
            <family val="3"/>
          </rPr>
          <t>_x000D_
PAPEIS E PAPELOES</t>
        </r>
      </text>
    </comment>
    <comment ref="AW68" authorId="0" shapeId="0" xr:uid="{785569F2-E42A-4D98-A4D2-ADD21E970E8A}">
      <text>
        <r>
          <rPr>
            <sz val="10"/>
            <color indexed="81"/>
            <rFont val="Lucida Console"/>
            <family val="3"/>
          </rPr>
          <t>Tempo de Estoque (Meses)_x000D_
_x000D_
2.100,0</t>
        </r>
      </text>
    </comment>
    <comment ref="A69" authorId="0" shapeId="0" xr:uid="{D1F1519E-E123-48ED-BE1B-A25921C05DE7}">
      <text>
        <r>
          <rPr>
            <sz val="10"/>
            <color indexed="81"/>
            <rFont val="Lucida Console"/>
            <family val="3"/>
          </rPr>
          <t>_x000D_
75938</t>
        </r>
      </text>
    </comment>
    <comment ref="B69" authorId="0" shapeId="0" xr:uid="{D980D7BE-290F-4EB0-A231-B74B5B9ADF71}">
      <text>
        <r>
          <rPr>
            <sz val="10"/>
            <color indexed="81"/>
            <rFont val="Lucida Console"/>
            <family val="3"/>
          </rPr>
          <t>DESCRIÇÃO DETALHADA_x000D_
PAPEL CAMURCA - 60 X 40CM - AMARELO</t>
        </r>
      </text>
    </comment>
    <comment ref="G69" authorId="0" shapeId="0" xr:uid="{7D5F8CB6-FF8E-4008-8D00-F3B711F859ED}">
      <text>
        <r>
          <rPr>
            <sz val="10"/>
            <color indexed="81"/>
            <rFont val="Lucida Console"/>
            <family val="3"/>
          </rPr>
          <t>_x000D_
Últ estimativa : 10.000_x000D_
Enviada em     : 19.12.2019_x000D_
Ata - Venc     : 143/21 - 20.05.2022</t>
        </r>
      </text>
    </comment>
    <comment ref="O69" authorId="0" shapeId="0" xr:uid="{16772B03-0A31-4199-8ABB-2831690A0037}">
      <text>
        <r>
          <rPr>
            <sz val="10"/>
            <color indexed="81"/>
            <rFont val="Lucida Console"/>
            <family val="3"/>
          </rPr>
          <t>_x000D_
Pertencia a ATA nº 143/21_x000D_
Estimativa de Renovação enviada em 19.12.2019 - Qtd 10.000_x000D_
PE  61/21 lote _x000D_
30.04.21 = Finalizado. Ata 143/20</t>
        </r>
      </text>
    </comment>
    <comment ref="W69" authorId="0" shapeId="0" xr:uid="{F4E3F1BD-5CA7-48FA-972A-3DC915BE7D40}">
      <text>
        <r>
          <rPr>
            <sz val="10"/>
            <color indexed="81"/>
            <rFont val="Lucida Console"/>
            <family val="3"/>
          </rPr>
          <t>_x000D_
Pedagógico</t>
        </r>
      </text>
    </comment>
    <comment ref="X69" authorId="0" shapeId="0" xr:uid="{CD66100B-68B5-4686-B9C5-598E2D30D40D}">
      <text>
        <r>
          <rPr>
            <sz val="10"/>
            <color indexed="81"/>
            <rFont val="Lucida Console"/>
            <family val="3"/>
          </rPr>
          <t>_x000D_
MAQ. E EQUIP. P/ IND. GRAFICA COMP. ACESS. E PAPEI</t>
        </r>
      </text>
    </comment>
    <comment ref="Y69" authorId="0" shapeId="0" xr:uid="{76A0DC4F-37BA-4C14-A9A1-C044DEEECA4E}">
      <text>
        <r>
          <rPr>
            <sz val="10"/>
            <color indexed="81"/>
            <rFont val="Lucida Console"/>
            <family val="3"/>
          </rPr>
          <t>_x000D_
PAPEIS E PAPELOES</t>
        </r>
      </text>
    </comment>
    <comment ref="AW69" authorId="0" shapeId="0" xr:uid="{74333ED0-25E0-4C8D-B1DA-C820A829DDB1}">
      <text>
        <r>
          <rPr>
            <sz val="10"/>
            <color indexed="81"/>
            <rFont val="Lucida Console"/>
            <family val="3"/>
          </rPr>
          <t>Tempo de Estoque (Meses)_x000D_
_x000D_
2.187,0</t>
        </r>
      </text>
    </comment>
    <comment ref="A70" authorId="0" shapeId="0" xr:uid="{30049F46-5093-4FDD-B89E-A46EA149BF71}">
      <text>
        <r>
          <rPr>
            <sz val="10"/>
            <color indexed="81"/>
            <rFont val="Lucida Console"/>
            <family val="3"/>
          </rPr>
          <t>_x000D_
23862</t>
        </r>
      </text>
    </comment>
    <comment ref="B70" authorId="0" shapeId="0" xr:uid="{34DE6FAE-E033-47B6-ABA0-C10745A77624}">
      <text>
        <r>
          <rPr>
            <sz val="10"/>
            <color indexed="81"/>
            <rFont val="Lucida Console"/>
            <family val="3"/>
          </rPr>
          <t>DESCRIÇÃO DETALHADA_x000D_
PAPEL CARTAO - 50 X 70 CM - VERMELHO (MEDIDAS PODERAO VARIAR +/- 5CM)</t>
        </r>
      </text>
    </comment>
    <comment ref="G70" authorId="0" shapeId="0" xr:uid="{6BAA41FD-70CE-4451-8F80-84D6DC3B2EAB}">
      <text>
        <r>
          <rPr>
            <sz val="10"/>
            <color indexed="81"/>
            <rFont val="Lucida Console"/>
            <family val="3"/>
          </rPr>
          <t>_x000D_
Últ estimativa : 25.000_x000D_
Enviada em     : 19.12.2019_x000D_
Ata - Venc     : 143/21 - 20.05.2022</t>
        </r>
      </text>
    </comment>
    <comment ref="O70" authorId="0" shapeId="0" xr:uid="{55CE0DE5-601B-41A7-B692-BA1B229E61D2}">
      <text>
        <r>
          <rPr>
            <sz val="10"/>
            <color indexed="81"/>
            <rFont val="Lucida Console"/>
            <family val="3"/>
          </rPr>
          <t>_x000D_
Pertencia a ATA nº 143/21_x000D_
Estimativa de Renovação enviada em 19.12.2019 - Qtd 25.000_x000D_
PE  61/21 lote _x000D_
30.04.21 = Finalizado. Ata 143/20</t>
        </r>
      </text>
    </comment>
    <comment ref="W70" authorId="0" shapeId="0" xr:uid="{C9D3F49F-E6F5-4EA8-87B1-3536DCD42B43}">
      <text>
        <r>
          <rPr>
            <sz val="10"/>
            <color indexed="81"/>
            <rFont val="Lucida Console"/>
            <family val="3"/>
          </rPr>
          <t>_x000D_
Pedagógico</t>
        </r>
      </text>
    </comment>
    <comment ref="X70" authorId="0" shapeId="0" xr:uid="{DDE273CB-F902-46BC-A867-71A617172BAB}">
      <text>
        <r>
          <rPr>
            <sz val="10"/>
            <color indexed="81"/>
            <rFont val="Lucida Console"/>
            <family val="3"/>
          </rPr>
          <t>_x000D_
MAQ. E EQUIP. P/ IND. GRAFICA COMP. ACESS. E PAPEI</t>
        </r>
      </text>
    </comment>
    <comment ref="Y70" authorId="0" shapeId="0" xr:uid="{61BA9A88-6A5B-426A-9612-2A0E343325CF}">
      <text>
        <r>
          <rPr>
            <sz val="10"/>
            <color indexed="81"/>
            <rFont val="Lucida Console"/>
            <family val="3"/>
          </rPr>
          <t>_x000D_
CARTOES E CARTOLINA</t>
        </r>
      </text>
    </comment>
    <comment ref="AW70" authorId="0" shapeId="0" xr:uid="{A705F8B9-4662-45CA-98F3-8281A40896ED}">
      <text>
        <r>
          <rPr>
            <sz val="10"/>
            <color indexed="81"/>
            <rFont val="Lucida Console"/>
            <family val="3"/>
          </rPr>
          <t>Tempo de Estoque (Meses)_x000D_
_x000D_
5.096,0</t>
        </r>
      </text>
    </comment>
    <comment ref="A71" authorId="0" shapeId="0" xr:uid="{922E3530-8AB7-4EB1-8C21-DF9083B3B870}">
      <text>
        <r>
          <rPr>
            <sz val="10"/>
            <color indexed="81"/>
            <rFont val="Lucida Console"/>
            <family val="3"/>
          </rPr>
          <t>_x000D_
32933</t>
        </r>
      </text>
    </comment>
    <comment ref="B71" authorId="0" shapeId="0" xr:uid="{90EA6E48-2E64-4881-A5F1-7B7005AA0ED1}">
      <text>
        <r>
          <rPr>
            <sz val="10"/>
            <color indexed="81"/>
            <rFont val="Lucida Console"/>
            <family val="3"/>
          </rPr>
          <t>DESCRIÇÃO DETALHADA_x000D_
PAPEL CARTAO - 50 X 70 CM - VERDE ESCURO (MEDIDAS PODERAO VARIAR +/- 5CM)</t>
        </r>
      </text>
    </comment>
    <comment ref="G71" authorId="0" shapeId="0" xr:uid="{D0899842-FD10-4D1B-9DCB-D1600B50DF5B}">
      <text>
        <r>
          <rPr>
            <sz val="10"/>
            <color indexed="81"/>
            <rFont val="Lucida Console"/>
            <family val="3"/>
          </rPr>
          <t>_x000D_
Últ estimativa : 25.000_x000D_
Enviada em     : 19.12.2019_x000D_
Ata - Venc     : 143/21 - 20.05.2022</t>
        </r>
      </text>
    </comment>
    <comment ref="O71" authorId="0" shapeId="0" xr:uid="{16929E8D-6337-4771-BDD0-5D98B32E86A9}">
      <text>
        <r>
          <rPr>
            <sz val="10"/>
            <color indexed="81"/>
            <rFont val="Lucida Console"/>
            <family val="3"/>
          </rPr>
          <t>_x000D_
Pertencia a ATA nº 143/21_x000D_
Estimativa de Renovação enviada em 19.12.2019 - Qtd 25.000_x000D_
PE  61/21 lote _x000D_
30.04.21 = Finalizado. Ata 143/20</t>
        </r>
      </text>
    </comment>
    <comment ref="W71" authorId="0" shapeId="0" xr:uid="{005A2F96-8B94-4138-8F50-0C6D881B0C6F}">
      <text>
        <r>
          <rPr>
            <sz val="10"/>
            <color indexed="81"/>
            <rFont val="Lucida Console"/>
            <family val="3"/>
          </rPr>
          <t>_x000D_
Pedagógico</t>
        </r>
      </text>
    </comment>
    <comment ref="X71" authorId="0" shapeId="0" xr:uid="{DC43227A-5827-45C2-831E-6BBF70968833}">
      <text>
        <r>
          <rPr>
            <sz val="10"/>
            <color indexed="81"/>
            <rFont val="Lucida Console"/>
            <family val="3"/>
          </rPr>
          <t>_x000D_
MAQ. E EQUIP. P/ IND. GRAFICA COMP. ACESS. E PAPEI</t>
        </r>
      </text>
    </comment>
    <comment ref="Y71" authorId="0" shapeId="0" xr:uid="{9C67580F-4C79-4E34-AE0C-BF633B921B17}">
      <text>
        <r>
          <rPr>
            <sz val="10"/>
            <color indexed="81"/>
            <rFont val="Lucida Console"/>
            <family val="3"/>
          </rPr>
          <t>_x000D_
CARTOES E CARTOLINA</t>
        </r>
      </text>
    </comment>
    <comment ref="AW71" authorId="0" shapeId="0" xr:uid="{02757AF0-23D8-4B29-A155-549D906A2C36}">
      <text>
        <r>
          <rPr>
            <sz val="10"/>
            <color indexed="81"/>
            <rFont val="Lucida Console"/>
            <family val="3"/>
          </rPr>
          <t>Tempo de Estoque (Meses)_x000D_
_x000D_
5.700,0</t>
        </r>
      </text>
    </comment>
    <comment ref="A72" authorId="0" shapeId="0" xr:uid="{4A788E61-7A50-4414-A565-85DEA85856D5}">
      <text>
        <r>
          <rPr>
            <sz val="10"/>
            <color indexed="81"/>
            <rFont val="Lucida Console"/>
            <family val="3"/>
          </rPr>
          <t>_x000D_
133843</t>
        </r>
      </text>
    </comment>
    <comment ref="B72" authorId="0" shapeId="0" xr:uid="{25C6C28B-B969-42D9-A9C0-A1E63ED1783E}">
      <text>
        <r>
          <rPr>
            <sz val="10"/>
            <color indexed="81"/>
            <rFont val="Lucida Console"/>
            <family val="3"/>
          </rPr>
          <t>DESCRIÇÃO DETALHADA_x000D_
CARTOLINA DUPLA FACE / COLOR SET AMARELA (COR VIVA, VIBRANTE, UNIFORME E SEM MANCHAS) - 48 X 66 CM VARIACAO +/- 5 CM)</t>
        </r>
      </text>
    </comment>
    <comment ref="G72" authorId="0" shapeId="0" xr:uid="{90016EC8-B241-4671-9994-D26A2CF45FCF}">
      <text>
        <r>
          <rPr>
            <sz val="10"/>
            <color indexed="81"/>
            <rFont val="Lucida Console"/>
            <family val="3"/>
          </rPr>
          <t>_x000D_
Últ estimativa : 25.000_x000D_
Enviada em     : 19.12.2019_x000D_
Ata - Venc     : 143/21 - 20.05.2022</t>
        </r>
      </text>
    </comment>
    <comment ref="O72" authorId="0" shapeId="0" xr:uid="{C3B5AE8F-A142-468D-934A-20DC01055B34}">
      <text>
        <r>
          <rPr>
            <sz val="10"/>
            <color indexed="81"/>
            <rFont val="Lucida Console"/>
            <family val="3"/>
          </rPr>
          <t>_x000D_
Pertencia a ATA nº 143/21_x000D_
Estimativa de Renovação enviada em 19.12.2019 - Qtd 25.000_x000D_
PE  61/21 lote _x000D_
30.04.21 = Finalizado. Ata 143/20</t>
        </r>
      </text>
    </comment>
    <comment ref="W72" authorId="0" shapeId="0" xr:uid="{A8A1B4AA-0949-441A-9413-CEBD62FAFB6F}">
      <text>
        <r>
          <rPr>
            <sz val="10"/>
            <color indexed="81"/>
            <rFont val="Lucida Console"/>
            <family val="3"/>
          </rPr>
          <t>_x000D_
Pedagógico</t>
        </r>
      </text>
    </comment>
    <comment ref="X72" authorId="0" shapeId="0" xr:uid="{4D00DEF6-FA84-48EC-B4BC-E194D8B15BD3}">
      <text>
        <r>
          <rPr>
            <sz val="10"/>
            <color indexed="81"/>
            <rFont val="Lucida Console"/>
            <family val="3"/>
          </rPr>
          <t>_x000D_
MAQ. E EQUIP. P/ IND. GRAFICA COMP. ACESS. E PAPEI</t>
        </r>
      </text>
    </comment>
    <comment ref="Y72" authorId="0" shapeId="0" xr:uid="{DAF76C32-106B-452B-9D34-B5510012F668}">
      <text>
        <r>
          <rPr>
            <sz val="10"/>
            <color indexed="81"/>
            <rFont val="Lucida Console"/>
            <family val="3"/>
          </rPr>
          <t>_x000D_
CARTOES E CARTOLINA</t>
        </r>
      </text>
    </comment>
    <comment ref="AW72" authorId="0" shapeId="0" xr:uid="{EF01D79D-FF69-4ACA-B515-7C221740DA8F}">
      <text>
        <r>
          <rPr>
            <sz val="10"/>
            <color indexed="81"/>
            <rFont val="Lucida Console"/>
            <family val="3"/>
          </rPr>
          <t>Tempo de Estoque (Meses)_x000D_
_x000D_
5.747,0</t>
        </r>
      </text>
    </comment>
    <comment ref="A73" authorId="0" shapeId="0" xr:uid="{1C7ED0F8-562D-4F58-A9CA-A985A8AB6C37}">
      <text>
        <r>
          <rPr>
            <sz val="10"/>
            <color indexed="81"/>
            <rFont val="Lucida Console"/>
            <family val="3"/>
          </rPr>
          <t>_x000D_
133850</t>
        </r>
      </text>
    </comment>
    <comment ref="B73" authorId="0" shapeId="0" xr:uid="{25C0B5B5-23FA-4D18-A005-C75DEF0E6B32}">
      <text>
        <r>
          <rPr>
            <sz val="10"/>
            <color indexed="81"/>
            <rFont val="Lucida Console"/>
            <family val="3"/>
          </rPr>
          <t>DESCRIÇÃO DETALHADA_x000D_
CARTOLINA DUPLA FACE / COLOR SET VERMELHA (COR VIVA, VIBRANTE, UNIFORME E SEM MANCHAS) - 48 X 66 CM VARIACAO +/- 5 CM)</t>
        </r>
      </text>
    </comment>
    <comment ref="G73" authorId="0" shapeId="0" xr:uid="{609E30AD-2958-474D-A6FC-8E42BCFD5D3C}">
      <text>
        <r>
          <rPr>
            <sz val="10"/>
            <color indexed="81"/>
            <rFont val="Lucida Console"/>
            <family val="3"/>
          </rPr>
          <t>_x000D_
Últ estimativa : 25.000_x000D_
Enviada em     : 19.12.2019_x000D_
Ata - Venc     : 143/21 - 20.05.2022</t>
        </r>
      </text>
    </comment>
    <comment ref="O73" authorId="0" shapeId="0" xr:uid="{12F977EB-3B09-4D68-98AD-23B4F678E2BC}">
      <text>
        <r>
          <rPr>
            <sz val="10"/>
            <color indexed="81"/>
            <rFont val="Lucida Console"/>
            <family val="3"/>
          </rPr>
          <t>_x000D_
Pertencia a ATA nº 143/21_x000D_
Estimativa de Renovação enviada em 19.12.2019 - Qtd 25.000_x000D_
PE  61/21 lote _x000D_
30.04.21 = Finalizado. Ata 143/20</t>
        </r>
      </text>
    </comment>
    <comment ref="W73" authorId="0" shapeId="0" xr:uid="{E70B49E0-1EB2-49C8-AA70-54599CE974DA}">
      <text>
        <r>
          <rPr>
            <sz val="10"/>
            <color indexed="81"/>
            <rFont val="Lucida Console"/>
            <family val="3"/>
          </rPr>
          <t>_x000D_
Pedagógico</t>
        </r>
      </text>
    </comment>
    <comment ref="X73" authorId="0" shapeId="0" xr:uid="{BDC55D6A-6E2E-488B-BA68-4676DD9E011B}">
      <text>
        <r>
          <rPr>
            <sz val="10"/>
            <color indexed="81"/>
            <rFont val="Lucida Console"/>
            <family val="3"/>
          </rPr>
          <t>_x000D_
MAQ. E EQUIP. P/ IND. GRAFICA COMP. ACESS. E PAPEI</t>
        </r>
      </text>
    </comment>
    <comment ref="Y73" authorId="0" shapeId="0" xr:uid="{04B45B7B-8742-4991-9CE8-B932D38D8CF1}">
      <text>
        <r>
          <rPr>
            <sz val="10"/>
            <color indexed="81"/>
            <rFont val="Lucida Console"/>
            <family val="3"/>
          </rPr>
          <t>_x000D_
CARTOES E CARTOLINA</t>
        </r>
      </text>
    </comment>
    <comment ref="AW73" authorId="0" shapeId="0" xr:uid="{76F66D42-FA72-40CC-B637-D963C62E4E82}">
      <text>
        <r>
          <rPr>
            <sz val="10"/>
            <color indexed="81"/>
            <rFont val="Lucida Console"/>
            <family val="3"/>
          </rPr>
          <t>Tempo de Estoque (Meses)_x000D_
_x000D_
5.799,0</t>
        </r>
      </text>
    </comment>
    <comment ref="A74" authorId="0" shapeId="0" xr:uid="{8541ED5C-B2BD-4E3A-B6EF-6BEC2AB914DF}">
      <text>
        <r>
          <rPr>
            <sz val="10"/>
            <color indexed="81"/>
            <rFont val="Lucida Console"/>
            <family val="3"/>
          </rPr>
          <t>_x000D_
138460</t>
        </r>
      </text>
    </comment>
    <comment ref="B74" authorId="0" shapeId="0" xr:uid="{41AA4F4E-BB72-4B64-BC51-9F7B8A4A8083}">
      <text>
        <r>
          <rPr>
            <sz val="10"/>
            <color indexed="81"/>
            <rFont val="Lucida Console"/>
            <family val="3"/>
          </rPr>
          <t xml:space="preserve">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74" authorId="0" shapeId="0" xr:uid="{7CFA112F-C80E-4D88-9207-ECE4BEBEFE6C}">
      <text>
        <r>
          <rPr>
            <sz val="10"/>
            <color indexed="81"/>
            <rFont val="Lucida Console"/>
            <family val="3"/>
          </rPr>
          <t>_x000D_
Últ estimativa : 18.000_x000D_
Enviada em     : 02.03.2020_x000D_
Ata - Venc     : 211/20 - 21.09.2021</t>
        </r>
      </text>
    </comment>
    <comment ref="O74" authorId="0" shapeId="0" xr:uid="{A8145E7B-4158-4F8A-8E64-6397C41E8976}">
      <text>
        <r>
          <rPr>
            <sz val="10"/>
            <color indexed="81"/>
            <rFont val="Lucida Console"/>
            <family val="3"/>
          </rPr>
          <t xml:space="preserve">_x000D_
Pertencia a ATA nº 211/20_x000D_
Estimativa de Renovação enviada em 02.03.2020 - Qtd 18.000_x000D_
</t>
        </r>
      </text>
    </comment>
    <comment ref="W74" authorId="0" shapeId="0" xr:uid="{83B63B6E-D2BF-426C-B93D-4B13C6F88D98}">
      <text>
        <r>
          <rPr>
            <sz val="10"/>
            <color indexed="81"/>
            <rFont val="Lucida Console"/>
            <family val="3"/>
          </rPr>
          <t>_x000D_
Pedagógico</t>
        </r>
      </text>
    </comment>
    <comment ref="X74" authorId="0" shapeId="0" xr:uid="{F40E5EC7-12F7-49CD-B1AF-7A5ECD695192}">
      <text>
        <r>
          <rPr>
            <sz val="10"/>
            <color indexed="81"/>
            <rFont val="Lucida Console"/>
            <family val="3"/>
          </rPr>
          <t>_x000D_
MAQ., EQUIP., COMP., ACES., MAT. PARA ESCRIT.E ESCOLAR</t>
        </r>
      </text>
    </comment>
    <comment ref="Y74" authorId="0" shapeId="0" xr:uid="{9B183A62-1B26-41F7-BBA2-2CBF9888FCC2}">
      <text>
        <r>
          <rPr>
            <sz val="10"/>
            <color indexed="81"/>
            <rFont val="Lucida Console"/>
            <family val="3"/>
          </rPr>
          <t>_x000D_
CANETAS</t>
        </r>
      </text>
    </comment>
    <comment ref="AW74" authorId="0" shapeId="0" xr:uid="{E6A9F285-E580-4678-BC55-80A0A202E124}">
      <text>
        <r>
          <rPr>
            <sz val="10"/>
            <color indexed="81"/>
            <rFont val="Lucida Console"/>
            <family val="3"/>
          </rPr>
          <t>Tempo de Estoque (Meses)_x000D_
_x000D_
4.934,0</t>
        </r>
      </text>
    </comment>
    <comment ref="A75" authorId="0" shapeId="0" xr:uid="{DB7446DA-C22B-4E3C-9375-9D220E242FC3}">
      <text>
        <r>
          <rPr>
            <sz val="10"/>
            <color indexed="81"/>
            <rFont val="Lucida Console"/>
            <family val="3"/>
          </rPr>
          <t>_x000D_
17362</t>
        </r>
      </text>
    </comment>
    <comment ref="B75" authorId="0" shapeId="0" xr:uid="{3C534FDC-DF63-4E05-9560-2C4FF0D278AB}">
      <text>
        <r>
          <rPr>
            <sz val="10"/>
            <color indexed="81"/>
            <rFont val="Lucida Console"/>
            <family val="3"/>
          </rPr>
          <t>DESCRIÇÃO DETALHADA_x000D_
PAPEL CELOFANE - 90 X 100 CM - AMARELO</t>
        </r>
      </text>
    </comment>
    <comment ref="G75" authorId="0" shapeId="0" xr:uid="{058C506C-2F16-4EA4-807D-7033F4C1DA25}">
      <text>
        <r>
          <rPr>
            <sz val="10"/>
            <color indexed="81"/>
            <rFont val="Lucida Console"/>
            <family val="3"/>
          </rPr>
          <t>_x000D_
Últ estimativa : 10.000_x000D_
Enviada em     : 05.03.2020_x000D_
Ata - Venc     : 211/20 - 21.09.2021</t>
        </r>
      </text>
    </comment>
    <comment ref="O75" authorId="0" shapeId="0" xr:uid="{E288D6D5-5C99-4961-B1D9-A9B21D8A1E4F}">
      <text>
        <r>
          <rPr>
            <sz val="10"/>
            <color indexed="81"/>
            <rFont val="Lucida Console"/>
            <family val="3"/>
          </rPr>
          <t>_x000D_
Pertencia a ATA nº 211/20_x000D_
Estimativa de Renovação enviada em 05.03.2020 - Qtd 10.000_x000D_
PP  92/19 lote _x000D_
26.07.19 = Finalizar - contrato assinado</t>
        </r>
      </text>
    </comment>
    <comment ref="W75" authorId="0" shapeId="0" xr:uid="{9DFB9A4D-06E6-4614-A34C-9C1C406636FD}">
      <text>
        <r>
          <rPr>
            <sz val="10"/>
            <color indexed="81"/>
            <rFont val="Lucida Console"/>
            <family val="3"/>
          </rPr>
          <t>_x000D_
Pedagógico</t>
        </r>
      </text>
    </comment>
    <comment ref="X75" authorId="0" shapeId="0" xr:uid="{A6586357-1F29-4032-B1DD-0776BD359AB3}">
      <text>
        <r>
          <rPr>
            <sz val="10"/>
            <color indexed="81"/>
            <rFont val="Lucida Console"/>
            <family val="3"/>
          </rPr>
          <t>_x000D_
MAQ. E EQUIP. P/ IND. GRAFICA COMP. ACESS. E PAPEI</t>
        </r>
      </text>
    </comment>
    <comment ref="Y75" authorId="0" shapeId="0" xr:uid="{2CEF8B74-21CA-4489-8B6B-1A50AC4DB155}">
      <text>
        <r>
          <rPr>
            <sz val="10"/>
            <color indexed="81"/>
            <rFont val="Lucida Console"/>
            <family val="3"/>
          </rPr>
          <t>_x000D_
PAPEIS E PAPELOES</t>
        </r>
      </text>
    </comment>
    <comment ref="AW75" authorId="0" shapeId="0" xr:uid="{E3B8ACDB-A914-4548-A63C-A441D6D91DCC}">
      <text>
        <r>
          <rPr>
            <sz val="10"/>
            <color indexed="81"/>
            <rFont val="Lucida Console"/>
            <family val="3"/>
          </rPr>
          <t>Tempo de Estoque (Meses)_x000D_
_x000D_
2.491,0</t>
        </r>
      </text>
    </comment>
    <comment ref="A76" authorId="0" shapeId="0" xr:uid="{DE09720A-E4DF-4282-9C9A-EC4747CA5498}">
      <text>
        <r>
          <rPr>
            <sz val="10"/>
            <color indexed="81"/>
            <rFont val="Lucida Console"/>
            <family val="3"/>
          </rPr>
          <t>_x000D_
17370</t>
        </r>
      </text>
    </comment>
    <comment ref="B76" authorId="0" shapeId="0" xr:uid="{02605661-A759-4393-AA59-347A33C1DB5F}">
      <text>
        <r>
          <rPr>
            <sz val="10"/>
            <color indexed="81"/>
            <rFont val="Lucida Console"/>
            <family val="3"/>
          </rPr>
          <t>DESCRIÇÃO DETALHADA_x000D_
PAPEL CELOFANE - 90 X 100 CM - VERDE</t>
        </r>
      </text>
    </comment>
    <comment ref="G76" authorId="0" shapeId="0" xr:uid="{0E835B99-06FA-459A-849E-F0C663CDF512}">
      <text>
        <r>
          <rPr>
            <sz val="10"/>
            <color indexed="81"/>
            <rFont val="Lucida Console"/>
            <family val="3"/>
          </rPr>
          <t>_x000D_
Últ estimativa : 10.000_x000D_
Enviada em     : 05.03.2020_x000D_
Ata - Venc     : 211/20 - 21.09.2021</t>
        </r>
      </text>
    </comment>
    <comment ref="O76" authorId="0" shapeId="0" xr:uid="{C270FD2F-526C-4CCD-82FF-EA933E853AB9}">
      <text>
        <r>
          <rPr>
            <sz val="10"/>
            <color indexed="81"/>
            <rFont val="Lucida Console"/>
            <family val="3"/>
          </rPr>
          <t>_x000D_
Pertencia a ATA nº 211/20_x000D_
Estimativa de Renovação enviada em 05.03.2020 - Qtd 10.000_x000D_
PP  92/19 lote _x000D_
26.07.19 = Finalizar - contrato assinado</t>
        </r>
      </text>
    </comment>
    <comment ref="W76" authorId="0" shapeId="0" xr:uid="{7B4BB01C-3B75-4322-B9B4-1FD7A675CC68}">
      <text>
        <r>
          <rPr>
            <sz val="10"/>
            <color indexed="81"/>
            <rFont val="Lucida Console"/>
            <family val="3"/>
          </rPr>
          <t>_x000D_
Pedagógico</t>
        </r>
      </text>
    </comment>
    <comment ref="X76" authorId="0" shapeId="0" xr:uid="{082A9CEF-82B0-4315-B4C7-0BDD080747F3}">
      <text>
        <r>
          <rPr>
            <sz val="10"/>
            <color indexed="81"/>
            <rFont val="Lucida Console"/>
            <family val="3"/>
          </rPr>
          <t>_x000D_
MAQ. E EQUIP. P/ IND. GRAFICA COMP. ACESS. E PAPEI</t>
        </r>
      </text>
    </comment>
    <comment ref="Y76" authorId="0" shapeId="0" xr:uid="{CC6C80CB-2D22-4FBB-BFC9-351A97912CF8}">
      <text>
        <r>
          <rPr>
            <sz val="10"/>
            <color indexed="81"/>
            <rFont val="Lucida Console"/>
            <family val="3"/>
          </rPr>
          <t>_x000D_
PAPEIS E PAPELOES</t>
        </r>
      </text>
    </comment>
    <comment ref="AW76" authorId="0" shapeId="0" xr:uid="{D0BFA72C-587E-4099-8B69-0F0B6EA59A6C}">
      <text>
        <r>
          <rPr>
            <sz val="10"/>
            <color indexed="81"/>
            <rFont val="Lucida Console"/>
            <family val="3"/>
          </rPr>
          <t>Tempo de Estoque (Meses)_x000D_
_x000D_
2.183,0</t>
        </r>
      </text>
    </comment>
    <comment ref="A77" authorId="0" shapeId="0" xr:uid="{AE5B62B5-1D17-4F1B-A9C4-1E4BA66884F8}">
      <text>
        <r>
          <rPr>
            <sz val="10"/>
            <color indexed="81"/>
            <rFont val="Lucida Console"/>
            <family val="3"/>
          </rPr>
          <t>_x000D_
35554</t>
        </r>
      </text>
    </comment>
    <comment ref="B77" authorId="0" shapeId="0" xr:uid="{BF1BB961-973A-4C2A-B2AC-12B3989DEE4A}">
      <text>
        <r>
          <rPr>
            <sz val="10"/>
            <color indexed="81"/>
            <rFont val="Lucida Console"/>
            <family val="3"/>
          </rPr>
          <t>DESCRIÇÃO DETALHADA_x000D_
LIXA DE PAPEL P/ MADEIRA EM FOLHA DE 225 X 275 MM - N° 80</t>
        </r>
      </text>
    </comment>
    <comment ref="G77" authorId="0" shapeId="0" xr:uid="{97B59092-D6D7-4CFF-B84D-8AFD321053C3}">
      <text>
        <r>
          <rPr>
            <sz val="10"/>
            <color indexed="81"/>
            <rFont val="Lucida Console"/>
            <family val="3"/>
          </rPr>
          <t>_x000D_
Últ estimativa : 0_x000D_
Enviada em     : 12.05.2020_x000D_
Ata - Venc     : 254/20 - 28.10.2021</t>
        </r>
      </text>
    </comment>
    <comment ref="O77" authorId="0" shapeId="0" xr:uid="{DAD27133-7094-4954-8D1E-53FE8BDD4B9E}">
      <text>
        <r>
          <rPr>
            <sz val="10"/>
            <color indexed="81"/>
            <rFont val="Lucida Console"/>
            <family val="3"/>
          </rPr>
          <t>_x000D_
Pertencia a ATA nº 254/20_x000D_
Estimativa de Renovação enviada em 12.05.2020 - Qtd _x000D_
PE 147/20 lote _x000D_
04.09.20 = Finalizado. Ata 254/20</t>
        </r>
      </text>
    </comment>
    <comment ref="W77" authorId="0" shapeId="0" xr:uid="{F4207EEA-F492-4130-8762-CF28460789CD}">
      <text>
        <r>
          <rPr>
            <sz val="10"/>
            <color indexed="81"/>
            <rFont val="Lucida Console"/>
            <family val="3"/>
          </rPr>
          <t>_x000D_
DM-Serralheria</t>
        </r>
      </text>
    </comment>
    <comment ref="X77" authorId="0" shapeId="0" xr:uid="{C1BEC97D-E8D3-43CC-A758-BD56ABC47BF3}">
      <text>
        <r>
          <rPr>
            <sz val="10"/>
            <color indexed="81"/>
            <rFont val="Lucida Console"/>
            <family val="3"/>
          </rPr>
          <t>_x000D_
ABRASIVOS</t>
        </r>
      </text>
    </comment>
    <comment ref="Y77" authorId="0" shapeId="0" xr:uid="{FEED2A15-7ED7-4BE9-8BAB-A148E174BE4C}">
      <text>
        <r>
          <rPr>
            <sz val="10"/>
            <color indexed="81"/>
            <rFont val="Lucida Console"/>
            <family val="3"/>
          </rPr>
          <t>_x000D_
LIXAS EM FOLHA</t>
        </r>
      </text>
    </comment>
    <comment ref="AW77" authorId="0" shapeId="0" xr:uid="{CB1E5DC2-4744-4F32-9DAC-384BC754C7EA}">
      <text>
        <r>
          <rPr>
            <sz val="10"/>
            <color indexed="81"/>
            <rFont val="Lucida Console"/>
            <family val="3"/>
          </rPr>
          <t>Tempo de Estoque (Meses)_x000D_
_x000D_
20,0</t>
        </r>
      </text>
    </comment>
    <comment ref="A78" authorId="0" shapeId="0" xr:uid="{3D4E855E-11FC-4F69-AF70-CB579879BD15}">
      <text>
        <r>
          <rPr>
            <sz val="10"/>
            <color indexed="81"/>
            <rFont val="Lucida Console"/>
            <family val="3"/>
          </rPr>
          <t>_x000D_
28181</t>
        </r>
      </text>
    </comment>
    <comment ref="B78" authorId="0" shapeId="0" xr:uid="{8CCFE12E-E36B-4CB5-AA5B-74BA8E50B12E}">
      <text>
        <r>
          <rPr>
            <sz val="10"/>
            <color indexed="81"/>
            <rFont val="Lucida Console"/>
            <family val="3"/>
          </rPr>
          <t>DESCRIÇÃO DETALHADA_x000D_
ADAPTADOR DE PVC RIGIDO MARROM DE 2" SOLDAVEL. A MARCA DEVERA VIR LITOGRAFADA NA PECA.</t>
        </r>
      </text>
    </comment>
    <comment ref="G78" authorId="0" shapeId="0" xr:uid="{E1D1F77D-999F-4341-83CF-E76E44815ABC}">
      <text>
        <r>
          <rPr>
            <sz val="10"/>
            <color indexed="81"/>
            <rFont val="Lucida Console"/>
            <family val="3"/>
          </rPr>
          <t>_x000D_
Últ estimativa : 20_x000D_
Enviada em     : 24.10.2019_x000D_
Ata - Venc     : 293/20 - 30.11.2021</t>
        </r>
      </text>
    </comment>
    <comment ref="O78" authorId="0" shapeId="0" xr:uid="{69053AE3-D0E9-4AF9-9B94-8E2AF77DE12C}">
      <text>
        <r>
          <rPr>
            <sz val="10"/>
            <color indexed="81"/>
            <rFont val="Lucida Console"/>
            <family val="3"/>
          </rPr>
          <t>_x000D_
Pertencia a ATA nº 293/20_x000D_
Estimativa de Renovação enviada em 24.10.2019 - Qtd 20_x000D_
PE  16/20 lote 31_x000D_
18.05.20 = Processo conferido, finalizado.</t>
        </r>
      </text>
    </comment>
    <comment ref="W78" authorId="0" shapeId="0" xr:uid="{B8D4F2E1-5D78-4466-873C-D8E20E433FD8}">
      <text>
        <r>
          <rPr>
            <sz val="10"/>
            <color indexed="81"/>
            <rFont val="Lucida Console"/>
            <family val="3"/>
          </rPr>
          <t>_x000D_
DM-Hidráulica</t>
        </r>
      </text>
    </comment>
    <comment ref="X78" authorId="0" shapeId="0" xr:uid="{3BAE8D6C-A793-4338-B88C-19A74B556C6C}">
      <text>
        <r>
          <rPr>
            <sz val="10"/>
            <color indexed="81"/>
            <rFont val="Lucida Console"/>
            <family val="3"/>
          </rPr>
          <t>_x000D_
MATERIAL HIDRAULICO, CANOS, TUBOS, MANGUEIRAS, CONEXOES E ACESS.</t>
        </r>
      </text>
    </comment>
    <comment ref="Y78" authorId="0" shapeId="0" xr:uid="{16440B31-59D7-41E3-B192-63F7121CBA35}">
      <text>
        <r>
          <rPr>
            <sz val="10"/>
            <color indexed="81"/>
            <rFont val="Lucida Console"/>
            <family val="3"/>
          </rPr>
          <t>_x000D_
ADAP. LUVAS.TES CURVAS COTOVELOS PLUGS FLANGES.....</t>
        </r>
      </text>
    </comment>
    <comment ref="AW78" authorId="0" shapeId="0" xr:uid="{EF6ABCAF-B3F0-472B-87FB-9D37D42644A8}">
      <text>
        <r>
          <rPr>
            <sz val="10"/>
            <color indexed="81"/>
            <rFont val="Lucida Console"/>
            <family val="3"/>
          </rPr>
          <t>Tempo de Estoque (Meses)_x000D_
_x000D_
12,0</t>
        </r>
      </text>
    </comment>
    <comment ref="A79" authorId="0" shapeId="0" xr:uid="{1CC5E3CE-74A8-4A2F-BEB3-DD9EC37B4493}">
      <text>
        <r>
          <rPr>
            <sz val="10"/>
            <color indexed="81"/>
            <rFont val="Lucida Console"/>
            <family val="3"/>
          </rPr>
          <t>_x000D_
129961</t>
        </r>
      </text>
    </comment>
    <comment ref="B79" authorId="0" shapeId="0" xr:uid="{C8CA7D89-6F07-4582-9AE3-F93108C9D2E9}">
      <text>
        <r>
          <rPr>
            <sz val="10"/>
            <color indexed="81"/>
            <rFont val="Lucida Console"/>
            <family val="3"/>
          </rPr>
          <t>DESCRIÇÃO DETALHADA_x000D_
DISJUNTOR TRIPOLAR IN 350 A, TENSAO MINIMA DE OPERACAO 220 V, CURVA C, NBR 60947-2, CATEGORIA A</t>
        </r>
      </text>
    </comment>
    <comment ref="G79" authorId="0" shapeId="0" xr:uid="{CE803F46-6854-42AA-896F-E0D4431BBD4E}">
      <text>
        <r>
          <rPr>
            <sz val="10"/>
            <color indexed="81"/>
            <rFont val="Lucida Console"/>
            <family val="3"/>
          </rPr>
          <t>_x000D_
Últ estimativa : 0_x000D_
Enviada em     : 23.09.2020_x000D_
Ata - Venc     : 39/21 - 10.02.2022</t>
        </r>
      </text>
    </comment>
    <comment ref="O79" authorId="0" shapeId="0" xr:uid="{89999CF8-5047-4F92-8E7D-066245DC6221}">
      <text>
        <r>
          <rPr>
            <sz val="10"/>
            <color indexed="81"/>
            <rFont val="Lucida Console"/>
            <family val="3"/>
          </rPr>
          <t>_x000D_
Pertencia a ATA nº 39/21_x000D_
Estimativa de Renovação enviada em 23.09.2020 - Qtd _x000D_
PP 241/19 lote _x000D_
21.02.20 = Processo conferido, finalizado.</t>
        </r>
      </text>
    </comment>
    <comment ref="W79" authorId="0" shapeId="0" xr:uid="{BFBC5262-9ED0-4E6D-B4EE-02AF68A9BBEF}">
      <text>
        <r>
          <rPr>
            <sz val="10"/>
            <color indexed="81"/>
            <rFont val="Lucida Console"/>
            <family val="3"/>
          </rPr>
          <t>_x000D_
DM-Elétrica</t>
        </r>
      </text>
    </comment>
    <comment ref="X79" authorId="0" shapeId="0" xr:uid="{4D06FE00-9A68-4A87-B059-1433265A404E}">
      <text>
        <r>
          <rPr>
            <sz val="10"/>
            <color indexed="81"/>
            <rFont val="Lucida Console"/>
            <family val="3"/>
          </rPr>
          <t>_x000D_
EQUIP. MAT. P/ GERACAO, TRANSM. DISTR. RETIF...</t>
        </r>
      </text>
    </comment>
    <comment ref="Y79" authorId="0" shapeId="0" xr:uid="{CD6E1CE8-F78C-44D3-8DAC-AA2C0C3E40EB}">
      <text>
        <r>
          <rPr>
            <sz val="10"/>
            <color indexed="81"/>
            <rFont val="Lucida Console"/>
            <family val="3"/>
          </rPr>
          <t>_x000D_
DISJUNTORES</t>
        </r>
      </text>
    </comment>
    <comment ref="AW79" authorId="0" shapeId="0" xr:uid="{000C0F20-E70F-43F2-968C-BEE6B21E30B9}">
      <text>
        <r>
          <rPr>
            <sz val="10"/>
            <color indexed="81"/>
            <rFont val="Lucida Console"/>
            <family val="3"/>
          </rPr>
          <t>Tempo de Estoque (Meses)_x000D_
_x000D_
5,0</t>
        </r>
      </text>
    </comment>
    <comment ref="A80" authorId="0" shapeId="0" xr:uid="{B1091E32-7413-4A62-BFD8-FFBC6A577F21}">
      <text>
        <r>
          <rPr>
            <sz val="10"/>
            <color indexed="81"/>
            <rFont val="Lucida Console"/>
            <family val="3"/>
          </rPr>
          <t>_x000D_
15267</t>
        </r>
      </text>
    </comment>
    <comment ref="B80" authorId="0" shapeId="0" xr:uid="{2F321FAC-1B99-4952-8B4D-5BDF260B7004}">
      <text>
        <r>
          <rPr>
            <sz val="10"/>
            <color indexed="81"/>
            <rFont val="Lucida Console"/>
            <family val="3"/>
          </rPr>
          <t>DESCRIÇÃO DETALHADA_x000D_
CONECTOR TIPO SPLIT BOLT-SIMPLES/SIMPLES P/ 2 CABOS DE COBRE DE 10MM2</t>
        </r>
      </text>
    </comment>
    <comment ref="G80" authorId="0" shapeId="0" xr:uid="{E3752CD6-6440-4C55-8D29-46B86AA4477F}">
      <text>
        <r>
          <rPr>
            <sz val="10"/>
            <color indexed="81"/>
            <rFont val="Lucida Console"/>
            <family val="3"/>
          </rPr>
          <t>_x000D_
Últ estimativa : 0_x000D_
Enviada em     : 23.09.2020_x000D_
Ata - Venc     : 58/21 - 02.03.2022</t>
        </r>
      </text>
    </comment>
    <comment ref="O80" authorId="0" shapeId="0" xr:uid="{CCD82ECF-4F89-4A5C-B85D-7613722C7C4B}">
      <text>
        <r>
          <rPr>
            <sz val="10"/>
            <color indexed="81"/>
            <rFont val="Lucida Console"/>
            <family val="3"/>
          </rPr>
          <t>_x000D_
Pertencia a ATA nº 58/21_x000D_
Estimativa de Renovação enviada em 23.09.2020 - Qtd _x000D_
PE   5/21 lote _x000D_
02.02.21 = Finalizado</t>
        </r>
      </text>
    </comment>
    <comment ref="W80" authorId="0" shapeId="0" xr:uid="{328148B7-D55C-4F1F-9D4C-8A8627DABA67}">
      <text>
        <r>
          <rPr>
            <sz val="10"/>
            <color indexed="81"/>
            <rFont val="Lucida Console"/>
            <family val="3"/>
          </rPr>
          <t>_x000D_
DM-Elétrica</t>
        </r>
      </text>
    </comment>
    <comment ref="X80" authorId="0" shapeId="0" xr:uid="{0653CF51-D46D-4BDB-A821-22253F0E6364}">
      <text>
        <r>
          <rPr>
            <sz val="10"/>
            <color indexed="81"/>
            <rFont val="Lucida Console"/>
            <family val="3"/>
          </rPr>
          <t>_x000D_
EQUIP. MAT. P/ GERACAO, TRANSM. DISTR. RETIF...</t>
        </r>
      </text>
    </comment>
    <comment ref="Y80" authorId="0" shapeId="0" xr:uid="{02D7A28C-3EE1-4768-B388-5C42A4367EB0}">
      <text>
        <r>
          <rPr>
            <sz val="10"/>
            <color indexed="81"/>
            <rFont val="Lucida Console"/>
            <family val="3"/>
          </rPr>
          <t>_x000D_
CONECTORES</t>
        </r>
      </text>
    </comment>
    <comment ref="AW80" authorId="0" shapeId="0" xr:uid="{CCA04FB3-1BFB-42C1-9147-C1A6C4317484}">
      <text>
        <r>
          <rPr>
            <sz val="10"/>
            <color indexed="81"/>
            <rFont val="Lucida Console"/>
            <family val="3"/>
          </rPr>
          <t>Tempo de Estoque (Meses)_x000D_
_x000D_
43,0</t>
        </r>
      </text>
    </comment>
    <comment ref="A81" authorId="0" shapeId="0" xr:uid="{BCEFDED4-B5A9-4B78-9A5F-0F00FBEECE89}">
      <text>
        <r>
          <rPr>
            <sz val="10"/>
            <color indexed="81"/>
            <rFont val="Lucida Console"/>
            <family val="3"/>
          </rPr>
          <t>_x000D_
81455</t>
        </r>
      </text>
    </comment>
    <comment ref="B81" authorId="0" shapeId="0" xr:uid="{E6F9D2DE-DE5E-4B18-B532-5D6F14502422}">
      <text>
        <r>
          <rPr>
            <sz val="10"/>
            <color indexed="81"/>
            <rFont val="Lucida Console"/>
            <family val="3"/>
          </rPr>
          <t>DESCRIÇÃO DETALHADA_x000D_
DISCO DE CORTE 7" X 1/8" X 7/8" (DIAM.EXT X ESPESSURA X DIAM. FURO) - CONFORME NORMAS ABNT</t>
        </r>
      </text>
    </comment>
    <comment ref="G81" authorId="0" shapeId="0" xr:uid="{E75E426A-190A-435C-BAFB-7492443AC35A}">
      <text>
        <r>
          <rPr>
            <sz val="10"/>
            <color indexed="81"/>
            <rFont val="Lucida Console"/>
            <family val="3"/>
          </rPr>
          <t>_x000D_
Últ estimativa : 300_x000D_
Enviada em     : 17.12.2020_x000D_
Ata - Venc     : 88/20 - 01.04.2021</t>
        </r>
      </text>
    </comment>
    <comment ref="O81" authorId="0" shapeId="0" xr:uid="{B0691B4B-4D16-4FD0-980C-73B0B5CA17CE}">
      <text>
        <r>
          <rPr>
            <sz val="10"/>
            <color indexed="81"/>
            <rFont val="Lucida Console"/>
            <family val="3"/>
          </rPr>
          <t>_x000D_
Pertencia a ATA nº 88/20_x000D_
Estimativa de Renovação enviada em 17.12.2020 - Qtd 300_x000D_
PE   6/20 lote 15_x000D_
28.04.21 = Processo conferido, finalizado.</t>
        </r>
      </text>
    </comment>
    <comment ref="W81" authorId="0" shapeId="0" xr:uid="{A5BDA404-236B-4A5F-98D2-57D371614FD1}">
      <text>
        <r>
          <rPr>
            <sz val="10"/>
            <color indexed="81"/>
            <rFont val="Lucida Console"/>
            <family val="3"/>
          </rPr>
          <t>_x000D_
DM-Serralheria</t>
        </r>
      </text>
    </comment>
    <comment ref="X81" authorId="0" shapeId="0" xr:uid="{47AFFAEB-F3A2-49D9-A89D-9FE13CEEAFF4}">
      <text>
        <r>
          <rPr>
            <sz val="10"/>
            <color indexed="81"/>
            <rFont val="Lucida Console"/>
            <family val="3"/>
          </rPr>
          <t>_x000D_
ABRASIVOS</t>
        </r>
      </text>
    </comment>
    <comment ref="Y81" authorId="0" shapeId="0" xr:uid="{E44BD9BA-2EAD-4DB8-A2CC-C9E5F9D768E7}">
      <text>
        <r>
          <rPr>
            <sz val="10"/>
            <color indexed="81"/>
            <rFont val="Lucida Console"/>
            <family val="3"/>
          </rPr>
          <t>_x000D_
DISCO DE FIBRA</t>
        </r>
      </text>
    </comment>
    <comment ref="AW81" authorId="0" shapeId="0" xr:uid="{3FBA88F0-79B5-46E8-A515-947F3A06E25C}">
      <text>
        <r>
          <rPr>
            <sz val="10"/>
            <color indexed="81"/>
            <rFont val="Lucida Console"/>
            <family val="3"/>
          </rPr>
          <t>Tempo de Estoque (Meses)_x000D_
_x000D_
81,0</t>
        </r>
      </text>
    </comment>
    <comment ref="A82" authorId="0" shapeId="0" xr:uid="{FCB0CA88-1937-4A06-B505-D2EC186A29AC}">
      <text>
        <r>
          <rPr>
            <sz val="10"/>
            <color indexed="81"/>
            <rFont val="Lucida Console"/>
            <family val="3"/>
          </rPr>
          <t>_x000D_
63591</t>
        </r>
      </text>
    </comment>
    <comment ref="B82" authorId="0" shapeId="0" xr:uid="{9C8DEF81-04BE-46BA-BC53-F85539887F50}">
      <text>
        <r>
          <rPr>
            <sz val="10"/>
            <color indexed="81"/>
            <rFont val="Lucida Console"/>
            <family val="3"/>
          </rPr>
          <t>DESCRIÇÃO DETALHADA_x000D_
PAPEL KRAFT 80G/M2 - 66 CM X 96 CM (PAPEL PARDO)</t>
        </r>
      </text>
    </comment>
    <comment ref="G82" authorId="0" shapeId="0" xr:uid="{B0F11005-B9A0-48A7-914A-E6373C080948}">
      <text>
        <r>
          <rPr>
            <sz val="10"/>
            <color indexed="81"/>
            <rFont val="Lucida Console"/>
            <family val="3"/>
          </rPr>
          <t>_x000D_
Últ estimativa : 12.000_x000D_
Enviada em     : 19.12.2019_x000D_
Ata - Venc     : 99/20 - 23.04.2021</t>
        </r>
      </text>
    </comment>
    <comment ref="O82" authorId="0" shapeId="0" xr:uid="{75190A4E-195A-42A6-AE9A-EEC0FA68102A}">
      <text>
        <r>
          <rPr>
            <sz val="10"/>
            <color indexed="81"/>
            <rFont val="Lucida Console"/>
            <family val="3"/>
          </rPr>
          <t>_x000D_
Pertencia a ATA nº 99/20_x000D_
Estimativa de Renovação enviada em 19.12.2019 - Qtd 12.000_x000D_
PE  61/21 lote 13 (Impróspero)_x000D_
30.04.21 = Finalizado. Ata 143/20</t>
        </r>
      </text>
    </comment>
    <comment ref="W82" authorId="0" shapeId="0" xr:uid="{F311709C-0A3E-4B4E-90C6-B2A08EA50A6E}">
      <text>
        <r>
          <rPr>
            <sz val="10"/>
            <color indexed="81"/>
            <rFont val="Lucida Console"/>
            <family val="3"/>
          </rPr>
          <t>_x000D_
Pedagógico</t>
        </r>
      </text>
    </comment>
    <comment ref="X82" authorId="0" shapeId="0" xr:uid="{432B502D-6176-403D-87B7-74DE9B85A87E}">
      <text>
        <r>
          <rPr>
            <sz val="10"/>
            <color indexed="81"/>
            <rFont val="Lucida Console"/>
            <family val="3"/>
          </rPr>
          <t>_x000D_
MAQ. E EQUIP. P/ IND. GRAFICA COMP. ACESS. E PAPEI</t>
        </r>
      </text>
    </comment>
    <comment ref="Y82" authorId="0" shapeId="0" xr:uid="{FE990698-09E3-4187-AFE2-3E5F50A262D7}">
      <text>
        <r>
          <rPr>
            <sz val="10"/>
            <color indexed="81"/>
            <rFont val="Lucida Console"/>
            <family val="3"/>
          </rPr>
          <t>_x000D_
PAPEIS P/ EMBALAGEM E DECORATIVOS</t>
        </r>
      </text>
    </comment>
    <comment ref="AW82" authorId="0" shapeId="0" xr:uid="{006E55C0-2DB1-4708-AA6B-E2007BC09383}">
      <text>
        <r>
          <rPr>
            <sz val="10"/>
            <color indexed="81"/>
            <rFont val="Lucida Console"/>
            <family val="3"/>
          </rPr>
          <t>Tempo de Estoque (Meses)_x000D_
_x000D_
2.728,0</t>
        </r>
      </text>
    </comment>
    <comment ref="A83" authorId="0" shapeId="0" xr:uid="{7FCEAE32-A0CC-40E7-9104-6C01DACE9EEA}">
      <text>
        <r>
          <rPr>
            <sz val="10"/>
            <color indexed="81"/>
            <rFont val="Lucida Console"/>
            <family val="3"/>
          </rPr>
          <t>_x000D_
15299</t>
        </r>
      </text>
    </comment>
    <comment ref="B83" authorId="0" shapeId="0" xr:uid="{5826D257-E5F9-4A6E-B20D-E6F58CC25552}">
      <text>
        <r>
          <rPr>
            <sz val="10"/>
            <color indexed="81"/>
            <rFont val="Lucida Console"/>
            <family val="3"/>
          </rPr>
          <t>DESCRIÇÃO DETALHADA_x000D_
INTERRUPTOR 10A X 250V INTERNO C/PLACA-  01 TECLA</t>
        </r>
      </text>
    </comment>
    <comment ref="G83" authorId="0" shapeId="0" xr:uid="{D6BA7587-2AF5-4403-AA0D-D186A0C3F320}">
      <text>
        <r>
          <rPr>
            <sz val="10"/>
            <color indexed="81"/>
            <rFont val="Lucida Console"/>
            <family val="3"/>
          </rPr>
          <t>_x000D_
Últ estimativa : 650_x000D_
Enviada em     : 17.01.2020_x000D_
Ata - Venc     : 126/19 - 06.05.2020</t>
        </r>
      </text>
    </comment>
    <comment ref="O83" authorId="0" shapeId="0" xr:uid="{04FEF8AA-C2AD-48BC-BBA7-C4BE15A82A5B}">
      <text>
        <r>
          <rPr>
            <sz val="10"/>
            <color indexed="81"/>
            <rFont val="Lucida Console"/>
            <family val="3"/>
          </rPr>
          <t>_x000D_
Pertencia a ATA nº 126/19_x000D_
Estimativa de Renovação enviada em 17.01.2020 - Qtd 650_x000D_
PE 153/20 lote 1 (Impróspero)_x000D_
16.09.20 = Finalizado</t>
        </r>
      </text>
    </comment>
    <comment ref="W83" authorId="0" shapeId="0" xr:uid="{5B76E28D-B621-4FBC-9948-FAEFE04DDD3C}">
      <text>
        <r>
          <rPr>
            <sz val="10"/>
            <color indexed="81"/>
            <rFont val="Lucida Console"/>
            <family val="3"/>
          </rPr>
          <t>_x000D_
DM-Elétrica</t>
        </r>
      </text>
    </comment>
    <comment ref="X83" authorId="0" shapeId="0" xr:uid="{34E311D7-32CD-45DF-87CE-14CF45216EA5}">
      <text>
        <r>
          <rPr>
            <sz val="10"/>
            <color indexed="81"/>
            <rFont val="Lucida Console"/>
            <family val="3"/>
          </rPr>
          <t>_x000D_
EQUIP. MAT. P/ GERACAO, TRANSM. DISTR. RETIF...</t>
        </r>
      </text>
    </comment>
    <comment ref="Y83" authorId="0" shapeId="0" xr:uid="{2C7613C7-6153-46AB-B531-3C4B0EEB6A1D}">
      <text>
        <r>
          <rPr>
            <sz val="10"/>
            <color indexed="81"/>
            <rFont val="Lucida Console"/>
            <family val="3"/>
          </rPr>
          <t>_x000D_
INTERRUPTORES DE USO DOMESTICO E INDUSTRIAL</t>
        </r>
      </text>
    </comment>
    <comment ref="AW83" authorId="0" shapeId="0" xr:uid="{7869A26F-8EEB-4091-9189-6F627BD867DF}">
      <text>
        <r>
          <rPr>
            <sz val="10"/>
            <color indexed="81"/>
            <rFont val="Lucida Console"/>
            <family val="3"/>
          </rPr>
          <t>Tempo de Estoque (Meses)_x000D_
_x000D_
146,0</t>
        </r>
      </text>
    </comment>
    <comment ref="A84" authorId="0" shapeId="0" xr:uid="{01B2F998-1B83-4445-8E81-4E1333CCF476}">
      <text>
        <r>
          <rPr>
            <sz val="10"/>
            <color indexed="81"/>
            <rFont val="Lucida Console"/>
            <family val="3"/>
          </rPr>
          <t>_x000D_
119621</t>
        </r>
      </text>
    </comment>
    <comment ref="B84" authorId="0" shapeId="0" xr:uid="{2ABAEB68-5074-4328-BE42-583FF1AEEE4C}">
      <text>
        <r>
          <rPr>
            <sz val="10"/>
            <color indexed="81"/>
            <rFont val="Lucida Console"/>
            <family val="3"/>
          </rPr>
          <t>DESCRIÇÃO DETALHADA_x000D_
CHAPA EM MDF ALTO BRILHO - MEDIDAS: 2,75 X 1,86 M X 06 MM DE ESPESSURA</t>
        </r>
      </text>
    </comment>
    <comment ref="G84" authorId="0" shapeId="0" xr:uid="{1583584C-3413-4DE6-ABEF-CDFEAD3224BF}">
      <text>
        <r>
          <rPr>
            <sz val="10"/>
            <color indexed="81"/>
            <rFont val="Lucida Console"/>
            <family val="3"/>
          </rPr>
          <t>_x000D_
Últ estimativa : 700_x000D_
Enviada em     : 28.01.2021_x000D_
Ata - Venc     : 131/21 - 06.05.2022</t>
        </r>
      </text>
    </comment>
    <comment ref="O84" authorId="0" shapeId="0" xr:uid="{60BDA332-C1B0-4110-B0CE-CD587C639518}">
      <text>
        <r>
          <rPr>
            <sz val="10"/>
            <color indexed="81"/>
            <rFont val="Lucida Console"/>
            <family val="3"/>
          </rPr>
          <t>_x000D_
Pertencia a ATA nº 131/21_x000D_
Estimativa de Renovação enviada em 28.01.2021 - Qtd 700_x000D_
PE  56/21 lote _x000D_
22.04.21 = Processo finalizado. Ata 131/21.</t>
        </r>
      </text>
    </comment>
    <comment ref="W84" authorId="0" shapeId="0" xr:uid="{ECCBFCA2-363C-47B4-BC0B-63CA45DA1E60}">
      <text>
        <r>
          <rPr>
            <sz val="10"/>
            <color indexed="81"/>
            <rFont val="Lucida Console"/>
            <family val="3"/>
          </rPr>
          <t>_x000D_
DM-Marcenaria</t>
        </r>
      </text>
    </comment>
    <comment ref="X84" authorId="0" shapeId="0" xr:uid="{6C9E732B-CAB3-460E-B0DB-83A6A4B74C1A}">
      <text>
        <r>
          <rPr>
            <sz val="10"/>
            <color indexed="81"/>
            <rFont val="Lucida Console"/>
            <family val="3"/>
          </rPr>
          <t>_x000D_
MADEIRAS,LAMINADOS,COMPENSADOS E AGLOMERADOS</t>
        </r>
      </text>
    </comment>
    <comment ref="Y84" authorId="0" shapeId="0" xr:uid="{44FC0E03-EA2A-458F-AFCA-B2AF3CF54885}">
      <text>
        <r>
          <rPr>
            <sz val="10"/>
            <color indexed="81"/>
            <rFont val="Lucida Console"/>
            <family val="3"/>
          </rPr>
          <t>_x000D_
CHAPAS DE MADEIRA AGLOMERADA E COMPENSADAS</t>
        </r>
      </text>
    </comment>
    <comment ref="AW84" authorId="0" shapeId="0" xr:uid="{C756E186-B4D4-4EF0-BA34-0A4F3E0C524F}">
      <text>
        <r>
          <rPr>
            <sz val="10"/>
            <color indexed="81"/>
            <rFont val="Lucida Console"/>
            <family val="3"/>
          </rPr>
          <t>Tempo de Estoque (Meses)_x000D_
_x000D_
398,0</t>
        </r>
      </text>
    </comment>
    <comment ref="A85" authorId="0" shapeId="0" xr:uid="{6604B744-7373-42A5-A515-731C6A4805C0}">
      <text>
        <r>
          <rPr>
            <sz val="10"/>
            <color indexed="81"/>
            <rFont val="Lucida Console"/>
            <family val="3"/>
          </rPr>
          <t>_x000D_
23989</t>
        </r>
      </text>
    </comment>
    <comment ref="B85" authorId="0" shapeId="0" xr:uid="{352BEFEB-0522-4AFA-8AF8-8E15BF956861}">
      <text>
        <r>
          <rPr>
            <sz val="10"/>
            <color indexed="81"/>
            <rFont val="Lucida Console"/>
            <family val="3"/>
          </rPr>
          <t>DESCRIÇÃO DETALHADA_x000D_
PAPEL CREPOM - RL C/ 48 X 200 CM - LARANJA</t>
        </r>
      </text>
    </comment>
    <comment ref="G85" authorId="0" shapeId="0" xr:uid="{8B488E6D-0158-49A3-B553-AD745C3729BC}">
      <text>
        <r>
          <rPr>
            <sz val="10"/>
            <color indexed="81"/>
            <rFont val="Lucida Console"/>
            <family val="3"/>
          </rPr>
          <t>_x000D_
Últ estimativa : 10.000_x000D_
Enviada em     : 19.12.2019_x000D_
Ata - Venc     : 143/21 - 20.05.2022</t>
        </r>
      </text>
    </comment>
    <comment ref="O85" authorId="0" shapeId="0" xr:uid="{9E4B6631-386C-4C96-B3E1-24154B928F5C}">
      <text>
        <r>
          <rPr>
            <sz val="10"/>
            <color indexed="81"/>
            <rFont val="Lucida Console"/>
            <family val="3"/>
          </rPr>
          <t>_x000D_
Pertencia a ATA nº 143/21_x000D_
Estimativa de Renovação enviada em 19.12.2019 - Qtd 10.000_x000D_
PE  61/21 lote _x000D_
30.04.21 = Finalizado. Ata 143/20</t>
        </r>
      </text>
    </comment>
    <comment ref="W85" authorId="0" shapeId="0" xr:uid="{0066814D-3BB0-492C-857C-382402E7ECF4}">
      <text>
        <r>
          <rPr>
            <sz val="10"/>
            <color indexed="81"/>
            <rFont val="Lucida Console"/>
            <family val="3"/>
          </rPr>
          <t>_x000D_
Pedagógico</t>
        </r>
      </text>
    </comment>
    <comment ref="X85" authorId="0" shapeId="0" xr:uid="{F8E5DBAE-2379-4E76-8120-FF3A024D4DE4}">
      <text>
        <r>
          <rPr>
            <sz val="10"/>
            <color indexed="81"/>
            <rFont val="Lucida Console"/>
            <family val="3"/>
          </rPr>
          <t>_x000D_
MAQ. E EQUIP. P/ IND. GRAFICA COMP. ACESS. E PAPEI</t>
        </r>
      </text>
    </comment>
    <comment ref="Y85" authorId="0" shapeId="0" xr:uid="{67C413EF-2088-470D-9109-8B145AB692FA}">
      <text>
        <r>
          <rPr>
            <sz val="10"/>
            <color indexed="81"/>
            <rFont val="Lucida Console"/>
            <family val="3"/>
          </rPr>
          <t>_x000D_
PAPEIS P/ EMBALAGEM E DECORATIVOS</t>
        </r>
      </text>
    </comment>
    <comment ref="AW85" authorId="0" shapeId="0" xr:uid="{F837444F-2614-4D8F-9E9D-A46A20083565}">
      <text>
        <r>
          <rPr>
            <sz val="10"/>
            <color indexed="81"/>
            <rFont val="Lucida Console"/>
            <family val="3"/>
          </rPr>
          <t>Tempo de Estoque (Meses)_x000D_
_x000D_
2.384,0</t>
        </r>
      </text>
    </comment>
    <comment ref="A86" authorId="0" shapeId="0" xr:uid="{B945F1D4-1F2B-4933-B4B7-7F2224F22810}">
      <text>
        <r>
          <rPr>
            <sz val="10"/>
            <color indexed="81"/>
            <rFont val="Lucida Console"/>
            <family val="3"/>
          </rPr>
          <t>_x000D_
93332</t>
        </r>
      </text>
    </comment>
    <comment ref="B86" authorId="0" shapeId="0" xr:uid="{C719811A-E5D2-4343-9E76-C4C46B28D263}">
      <text>
        <r>
          <rPr>
            <sz val="10"/>
            <color indexed="81"/>
            <rFont val="Lucida Console"/>
            <family val="3"/>
          </rPr>
          <t>DESCRIÇÃO DETALHADA_x000D_
PAPEL DE SEDA - 48 X 60 CM - ROSA - AS MEDIDAS PODERAO VARIAR +/- 5 CM</t>
        </r>
      </text>
    </comment>
    <comment ref="G86" authorId="0" shapeId="0" xr:uid="{22F2D822-F410-4D55-8234-5BE7752C0316}">
      <text>
        <r>
          <rPr>
            <sz val="10"/>
            <color indexed="81"/>
            <rFont val="Lucida Console"/>
            <family val="3"/>
          </rPr>
          <t>_x000D_
Últ estimativa : 10.000_x000D_
Enviada em     : 19.12.2019_x000D_
Ata - Venc     : 143/21 - 20.05.2022</t>
        </r>
      </text>
    </comment>
    <comment ref="O86" authorId="0" shapeId="0" xr:uid="{5BFF30E7-B36F-403B-AE97-CC58DC3E5CEB}">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774E9575-485D-442D-BDFD-04B0A6F7B57B}">
      <text>
        <r>
          <rPr>
            <sz val="10"/>
            <color indexed="81"/>
            <rFont val="Lucida Console"/>
            <family val="3"/>
          </rPr>
          <t>_x000D_
Pedagógico</t>
        </r>
      </text>
    </comment>
    <comment ref="X86" authorId="0" shapeId="0" xr:uid="{7DFA104B-A036-4AF8-AF86-1218CDA1BEEC}">
      <text>
        <r>
          <rPr>
            <sz val="10"/>
            <color indexed="81"/>
            <rFont val="Lucida Console"/>
            <family val="3"/>
          </rPr>
          <t>_x000D_
MAQ. E EQUIP. P/ IND. GRAFICA COMP. ACESS. E PAPEI</t>
        </r>
      </text>
    </comment>
    <comment ref="Y86" authorId="0" shapeId="0" xr:uid="{950C9DF6-A2E7-427C-8203-2BCE2F881EF5}">
      <text>
        <r>
          <rPr>
            <sz val="10"/>
            <color indexed="81"/>
            <rFont val="Lucida Console"/>
            <family val="3"/>
          </rPr>
          <t>_x000D_
PAPEIS P/ EMBALAGEM E DECORATIVOS</t>
        </r>
      </text>
    </comment>
    <comment ref="AW86" authorId="0" shapeId="0" xr:uid="{B9E004CC-C33C-4DF0-B659-71E563600846}">
      <text>
        <r>
          <rPr>
            <sz val="10"/>
            <color indexed="81"/>
            <rFont val="Lucida Console"/>
            <family val="3"/>
          </rPr>
          <t>Tempo de Estoque (Meses)_x000D_
_x000D_
2.423,0</t>
        </r>
      </text>
    </comment>
    <comment ref="A87" authorId="0" shapeId="0" xr:uid="{07CD0675-AEE3-425F-A7EB-FEDF6DF44D7C}">
      <text>
        <r>
          <rPr>
            <sz val="10"/>
            <color indexed="81"/>
            <rFont val="Lucida Console"/>
            <family val="3"/>
          </rPr>
          <t>_x000D_
29956</t>
        </r>
      </text>
    </comment>
    <comment ref="B87" authorId="0" shapeId="0" xr:uid="{8BDED484-EEC5-49E2-90FC-16B2824DFB90}">
      <text>
        <r>
          <rPr>
            <sz val="10"/>
            <color indexed="81"/>
            <rFont val="Lucida Console"/>
            <family val="3"/>
          </rPr>
          <t>DESCRIÇÃO DETALHADA_x000D_
PAPEL CAMURCA - 60 X 40 CM - BRANCO</t>
        </r>
      </text>
    </comment>
    <comment ref="G87" authorId="0" shapeId="0" xr:uid="{B0BCBAA9-C041-4E5F-839E-D842A508F3F9}">
      <text>
        <r>
          <rPr>
            <sz val="10"/>
            <color indexed="81"/>
            <rFont val="Lucida Console"/>
            <family val="3"/>
          </rPr>
          <t>_x000D_
Últ estimativa : 10.000_x000D_
Enviada em     : 19.12.2019_x000D_
Ata - Venc     : 143/21 - 20.05.2022</t>
        </r>
      </text>
    </comment>
    <comment ref="O87" authorId="0" shapeId="0" xr:uid="{699C12F1-5047-4083-B3C2-5B9C4CBAA3DF}">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00CFBD4C-D7D0-410D-9DEA-953FA80754FC}">
      <text>
        <r>
          <rPr>
            <sz val="10"/>
            <color indexed="81"/>
            <rFont val="Lucida Console"/>
            <family val="3"/>
          </rPr>
          <t>_x000D_
Pedagógico</t>
        </r>
      </text>
    </comment>
    <comment ref="X87" authorId="0" shapeId="0" xr:uid="{DEBCA6FA-9EBF-4735-84DE-081EF5221ABA}">
      <text>
        <r>
          <rPr>
            <sz val="10"/>
            <color indexed="81"/>
            <rFont val="Lucida Console"/>
            <family val="3"/>
          </rPr>
          <t>_x000D_
MAQ. E EQUIP. P/ IND. GRAFICA COMP. ACESS. E PAPEI</t>
        </r>
      </text>
    </comment>
    <comment ref="Y87" authorId="0" shapeId="0" xr:uid="{9F57A48E-66CF-49BA-8816-A12B17C1B6BB}">
      <text>
        <r>
          <rPr>
            <sz val="10"/>
            <color indexed="81"/>
            <rFont val="Lucida Console"/>
            <family val="3"/>
          </rPr>
          <t>_x000D_
PAPEIS E PAPELOES</t>
        </r>
      </text>
    </comment>
    <comment ref="AW87" authorId="0" shapeId="0" xr:uid="{1B6A0325-078B-4F5A-9664-3BCB828E7E21}">
      <text>
        <r>
          <rPr>
            <sz val="10"/>
            <color indexed="81"/>
            <rFont val="Lucida Console"/>
            <family val="3"/>
          </rPr>
          <t>Tempo de Estoque (Meses)_x000D_
_x000D_
2.370,0</t>
        </r>
      </text>
    </comment>
    <comment ref="A88" authorId="0" shapeId="0" xr:uid="{3EBB0D2C-6028-4CE3-ABE7-20CB2A28ABED}">
      <text>
        <r>
          <rPr>
            <sz val="10"/>
            <color indexed="81"/>
            <rFont val="Lucida Console"/>
            <family val="3"/>
          </rPr>
          <t>_x000D_
23846</t>
        </r>
      </text>
    </comment>
    <comment ref="B88" authorId="0" shapeId="0" xr:uid="{A97960AD-B7AB-4D3A-9D9D-E4F1CB225120}">
      <text>
        <r>
          <rPr>
            <sz val="10"/>
            <color indexed="81"/>
            <rFont val="Lucida Console"/>
            <family val="3"/>
          </rPr>
          <t>DESCRIÇÃO DETALHADA_x000D_
PAPEL CARTAO - 50 X 70 CM - AMARELO (MEDIDAS PODERAO VARIAR +/- 5CM)</t>
        </r>
      </text>
    </comment>
    <comment ref="G88" authorId="0" shapeId="0" xr:uid="{8A2787AD-26F4-48D1-AEAC-D8C38C5D63F7}">
      <text>
        <r>
          <rPr>
            <sz val="10"/>
            <color indexed="81"/>
            <rFont val="Lucida Console"/>
            <family val="3"/>
          </rPr>
          <t>_x000D_
Últ estimativa : 25.000_x000D_
Enviada em     : 19.12.2019_x000D_
Ata - Venc     : 143/21 - 20.05.2022</t>
        </r>
      </text>
    </comment>
    <comment ref="O88" authorId="0" shapeId="0" xr:uid="{F70ACCC7-3E7F-4780-85D7-E1ACD22F55DC}">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01533669-FC12-4359-AAC0-7FDCE5C54004}">
      <text>
        <r>
          <rPr>
            <sz val="10"/>
            <color indexed="81"/>
            <rFont val="Lucida Console"/>
            <family val="3"/>
          </rPr>
          <t>_x000D_
Pedagógico</t>
        </r>
      </text>
    </comment>
    <comment ref="X88" authorId="0" shapeId="0" xr:uid="{01A52A61-9CF7-4914-A258-7BFDF1741DDF}">
      <text>
        <r>
          <rPr>
            <sz val="10"/>
            <color indexed="81"/>
            <rFont val="Lucida Console"/>
            <family val="3"/>
          </rPr>
          <t>_x000D_
MAQ. E EQUIP. P/ IND. GRAFICA COMP. ACESS. E PAPEI</t>
        </r>
      </text>
    </comment>
    <comment ref="Y88" authorId="0" shapeId="0" xr:uid="{6852BC4B-F63E-4855-8476-3473D6D9C9AE}">
      <text>
        <r>
          <rPr>
            <sz val="10"/>
            <color indexed="81"/>
            <rFont val="Lucida Console"/>
            <family val="3"/>
          </rPr>
          <t>_x000D_
CARTOES E CARTOLINA</t>
        </r>
      </text>
    </comment>
    <comment ref="AW88" authorId="0" shapeId="0" xr:uid="{54190176-2DBE-422A-B9E0-7D27D2A7E78C}">
      <text>
        <r>
          <rPr>
            <sz val="10"/>
            <color indexed="81"/>
            <rFont val="Lucida Console"/>
            <family val="3"/>
          </rPr>
          <t>Tempo de Estoque (Meses)_x000D_
_x000D_
6.300,0</t>
        </r>
      </text>
    </comment>
    <comment ref="A89" authorId="0" shapeId="0" xr:uid="{34260AFD-8685-4B26-93B6-15530B60DA77}">
      <text>
        <r>
          <rPr>
            <sz val="10"/>
            <color indexed="81"/>
            <rFont val="Lucida Console"/>
            <family val="3"/>
          </rPr>
          <t>_x000D_
133844</t>
        </r>
      </text>
    </comment>
    <comment ref="B89" authorId="0" shapeId="0" xr:uid="{674CB4FA-03CC-4721-8D5A-10CC9E986D36}">
      <text>
        <r>
          <rPr>
            <sz val="10"/>
            <color indexed="81"/>
            <rFont val="Lucida Console"/>
            <family val="3"/>
          </rPr>
          <t>DESCRIÇÃO DETALHADA_x000D_
CARTOLINA DUPLA FACE / COLOR SET AZUL ESCURO (COR VIVA, VIBRANTE, UNIFORME E SEM MANCHAS) - 48 X 66 CM VARIACAO +/- 5 CM)</t>
        </r>
      </text>
    </comment>
    <comment ref="G89" authorId="0" shapeId="0" xr:uid="{AA3825CD-4016-44C3-B8C9-4052D97A14E6}">
      <text>
        <r>
          <rPr>
            <sz val="10"/>
            <color indexed="81"/>
            <rFont val="Lucida Console"/>
            <family val="3"/>
          </rPr>
          <t>_x000D_
Últ estimativa : 25.000_x000D_
Enviada em     : 19.12.2019_x000D_
Ata - Venc     : 143/21 - 20.05.2022</t>
        </r>
      </text>
    </comment>
    <comment ref="O89" authorId="0" shapeId="0" xr:uid="{4AC3D420-C5CA-43A6-B481-8F9ECDA03D1F}">
      <text>
        <r>
          <rPr>
            <sz val="10"/>
            <color indexed="81"/>
            <rFont val="Lucida Console"/>
            <family val="3"/>
          </rPr>
          <t>_x000D_
Pertencia a ATA nº 143/21_x000D_
Estimativa de Renovação enviada em 19.12.2019 - Qtd 25.000_x000D_
PE  61/21 lote _x000D_
30.04.21 = Finalizado. Ata 143/20</t>
        </r>
      </text>
    </comment>
    <comment ref="W89" authorId="0" shapeId="0" xr:uid="{75E62B56-9C3A-4E50-9AA9-B7CDD8CF7FFD}">
      <text>
        <r>
          <rPr>
            <sz val="10"/>
            <color indexed="81"/>
            <rFont val="Lucida Console"/>
            <family val="3"/>
          </rPr>
          <t>_x000D_
Pedagógico</t>
        </r>
      </text>
    </comment>
    <comment ref="X89" authorId="0" shapeId="0" xr:uid="{34798C0A-3006-4518-BFEF-B7897021898F}">
      <text>
        <r>
          <rPr>
            <sz val="10"/>
            <color indexed="81"/>
            <rFont val="Lucida Console"/>
            <family val="3"/>
          </rPr>
          <t>_x000D_
MAQ. E EQUIP. P/ IND. GRAFICA COMP. ACESS. E PAPEI</t>
        </r>
      </text>
    </comment>
    <comment ref="Y89" authorId="0" shapeId="0" xr:uid="{54BE20EE-A204-462C-94CE-BF26799AC503}">
      <text>
        <r>
          <rPr>
            <sz val="10"/>
            <color indexed="81"/>
            <rFont val="Lucida Console"/>
            <family val="3"/>
          </rPr>
          <t>_x000D_
CARTOES E CARTOLINA</t>
        </r>
      </text>
    </comment>
    <comment ref="AW89" authorId="0" shapeId="0" xr:uid="{FF4BFFE3-9C0B-44A1-B076-4D006FD26745}">
      <text>
        <r>
          <rPr>
            <sz val="10"/>
            <color indexed="81"/>
            <rFont val="Lucida Console"/>
            <family val="3"/>
          </rPr>
          <t>Tempo de Estoque (Meses)_x000D_
_x000D_
6.347,0</t>
        </r>
      </text>
    </comment>
    <comment ref="A90" authorId="0" shapeId="0" xr:uid="{2051693E-DFE6-45B2-94E4-C37D415B40AA}">
      <text>
        <r>
          <rPr>
            <sz val="10"/>
            <color indexed="81"/>
            <rFont val="Lucida Console"/>
            <family val="3"/>
          </rPr>
          <t>_x000D_
133845</t>
        </r>
      </text>
    </comment>
    <comment ref="B90" authorId="0" shapeId="0" xr:uid="{BCB8CD55-6495-4CAE-9E84-D6128F34B95F}">
      <text>
        <r>
          <rPr>
            <sz val="10"/>
            <color indexed="81"/>
            <rFont val="Lucida Console"/>
            <family val="3"/>
          </rPr>
          <t>DESCRIÇÃO DETALHADA_x000D_
CARTOLINA DUPLA FACE / COLOR SET LARANJA (COR VIVA, VIBRANTE, UNIFORME E SEM MANCHAS) - 48 X 66 CM VARIACAO +/- 5 CM)</t>
        </r>
      </text>
    </comment>
    <comment ref="G90" authorId="0" shapeId="0" xr:uid="{DCB3C5CA-026B-4B82-83A9-66A4682BAFE5}">
      <text>
        <r>
          <rPr>
            <sz val="10"/>
            <color indexed="81"/>
            <rFont val="Lucida Console"/>
            <family val="3"/>
          </rPr>
          <t>_x000D_
Últ estimativa : 25.000_x000D_
Enviada em     : 19.12.2019_x000D_
Ata - Venc     : 143/21 - 20.05.2022</t>
        </r>
      </text>
    </comment>
    <comment ref="O90" authorId="0" shapeId="0" xr:uid="{89C6845D-72EB-4E95-A644-62B3A155D737}">
      <text>
        <r>
          <rPr>
            <sz val="10"/>
            <color indexed="81"/>
            <rFont val="Lucida Console"/>
            <family val="3"/>
          </rPr>
          <t>_x000D_
Pertencia a ATA nº 143/21_x000D_
Estimativa de Renovação enviada em 19.12.2019 - Qtd 25.000_x000D_
PE  61/21 lote _x000D_
30.04.21 = Finalizado. Ata 143/20</t>
        </r>
      </text>
    </comment>
    <comment ref="W90" authorId="0" shapeId="0" xr:uid="{15ADB1E5-58B2-4C46-BCB4-9F8D20E54513}">
      <text>
        <r>
          <rPr>
            <sz val="10"/>
            <color indexed="81"/>
            <rFont val="Lucida Console"/>
            <family val="3"/>
          </rPr>
          <t>_x000D_
Pedagógico</t>
        </r>
      </text>
    </comment>
    <comment ref="X90" authorId="0" shapeId="0" xr:uid="{FE50C4E8-71FD-4B8C-BF4D-8AD300230D9B}">
      <text>
        <r>
          <rPr>
            <sz val="10"/>
            <color indexed="81"/>
            <rFont val="Lucida Console"/>
            <family val="3"/>
          </rPr>
          <t>_x000D_
MAQ. E EQUIP. P/ IND. GRAFICA COMP. ACESS. E PAPEI</t>
        </r>
      </text>
    </comment>
    <comment ref="Y90" authorId="0" shapeId="0" xr:uid="{0431D2F6-0D07-42F9-A8B3-21CCD9E54042}">
      <text>
        <r>
          <rPr>
            <sz val="10"/>
            <color indexed="81"/>
            <rFont val="Lucida Console"/>
            <family val="3"/>
          </rPr>
          <t>_x000D_
CARTOES E CARTOLINA</t>
        </r>
      </text>
    </comment>
    <comment ref="AW90" authorId="0" shapeId="0" xr:uid="{18E52AD8-C1C8-4738-9E93-19E5B0E00A28}">
      <text>
        <r>
          <rPr>
            <sz val="10"/>
            <color indexed="81"/>
            <rFont val="Lucida Console"/>
            <family val="3"/>
          </rPr>
          <t>Tempo de Estoque (Meses)_x000D_
_x000D_
6.647,0</t>
        </r>
      </text>
    </comment>
    <comment ref="A91" authorId="0" shapeId="0" xr:uid="{CCB9570D-86A6-4C41-96F7-BEFCC609AB01}">
      <text>
        <r>
          <rPr>
            <sz val="10"/>
            <color indexed="81"/>
            <rFont val="Lucida Console"/>
            <family val="3"/>
          </rPr>
          <t>_x000D_
133847</t>
        </r>
      </text>
    </comment>
    <comment ref="B91" authorId="0" shapeId="0" xr:uid="{BB403FF7-8581-461D-8CA1-CC685E5F4CA4}">
      <text>
        <r>
          <rPr>
            <sz val="10"/>
            <color indexed="81"/>
            <rFont val="Lucida Console"/>
            <family val="3"/>
          </rPr>
          <t>DESCRIÇÃO DETALHADA_x000D_
CARTOLINA DUPLA FACE / COLOR SET PRETA (COR VIVA, VIBRANTE, UNIFORME E SEM MANCHAS) - 48 X 66 CM VARIACAO +/- 5 CM)</t>
        </r>
      </text>
    </comment>
    <comment ref="G91" authorId="0" shapeId="0" xr:uid="{3E90E80F-4171-4E1D-B7C5-8F2F49144241}">
      <text>
        <r>
          <rPr>
            <sz val="10"/>
            <color indexed="81"/>
            <rFont val="Lucida Console"/>
            <family val="3"/>
          </rPr>
          <t>_x000D_
Últ estimativa : 25.000_x000D_
Enviada em     : 19.12.2019_x000D_
Ata - Venc     : 143/21 - 20.05.2022</t>
        </r>
      </text>
    </comment>
    <comment ref="O91" authorId="0" shapeId="0" xr:uid="{B43FF1E7-1B08-4E72-8DF9-28947F803694}">
      <text>
        <r>
          <rPr>
            <sz val="10"/>
            <color indexed="81"/>
            <rFont val="Lucida Console"/>
            <family val="3"/>
          </rPr>
          <t>_x000D_
Pertencia a ATA nº 143/21_x000D_
Estimativa de Renovação enviada em 19.12.2019 - Qtd 25.000_x000D_
PE  61/21 lote _x000D_
30.04.21 = Finalizado. Ata 143/20</t>
        </r>
      </text>
    </comment>
    <comment ref="W91" authorId="0" shapeId="0" xr:uid="{0787136F-5597-475B-8F89-289807A7F1BF}">
      <text>
        <r>
          <rPr>
            <sz val="10"/>
            <color indexed="81"/>
            <rFont val="Lucida Console"/>
            <family val="3"/>
          </rPr>
          <t>_x000D_
Pedagógico</t>
        </r>
      </text>
    </comment>
    <comment ref="X91" authorId="0" shapeId="0" xr:uid="{D2E97DBE-74C3-44BA-B4F0-F5586ADD61CB}">
      <text>
        <r>
          <rPr>
            <sz val="10"/>
            <color indexed="81"/>
            <rFont val="Lucida Console"/>
            <family val="3"/>
          </rPr>
          <t>_x000D_
MAQ. E EQUIP. P/ IND. GRAFICA COMP. ACESS. E PAPEI</t>
        </r>
      </text>
    </comment>
    <comment ref="Y91" authorId="0" shapeId="0" xr:uid="{A0303A9B-317F-44C2-91A6-E4DE644BC78E}">
      <text>
        <r>
          <rPr>
            <sz val="10"/>
            <color indexed="81"/>
            <rFont val="Lucida Console"/>
            <family val="3"/>
          </rPr>
          <t>_x000D_
CARTOES E CARTOLINA</t>
        </r>
      </text>
    </comment>
    <comment ref="AW91" authorId="0" shapeId="0" xr:uid="{420BCA60-433F-4C3C-8673-1ECB4BF7C26B}">
      <text>
        <r>
          <rPr>
            <sz val="10"/>
            <color indexed="81"/>
            <rFont val="Lucida Console"/>
            <family val="3"/>
          </rPr>
          <t>Tempo de Estoque (Meses)_x000D_
_x000D_
6.500,0</t>
        </r>
      </text>
    </comment>
    <comment ref="A92" authorId="0" shapeId="0" xr:uid="{C70F8D25-AA80-48EF-AF40-6BBC6F190B9E}">
      <text>
        <r>
          <rPr>
            <sz val="10"/>
            <color indexed="81"/>
            <rFont val="Lucida Console"/>
            <family val="3"/>
          </rPr>
          <t>_x000D_
133848</t>
        </r>
      </text>
    </comment>
    <comment ref="B92" authorId="0" shapeId="0" xr:uid="{6CB44E3D-03D1-4374-8A5E-A1759FA72F21}">
      <text>
        <r>
          <rPr>
            <sz val="10"/>
            <color indexed="81"/>
            <rFont val="Lucida Console"/>
            <family val="3"/>
          </rPr>
          <t>DESCRIÇÃO DETALHADA_x000D_
CARTOLINA DUPLA FACE / COLOR SET ROSA (COR VIVA, VIBRANTE, UNIFORME E SEM MANCHAS) - 48 X 66 CM VARIACAO +/- 5 CM)</t>
        </r>
      </text>
    </comment>
    <comment ref="G92" authorId="0" shapeId="0" xr:uid="{473B5E7F-A611-4092-ABD9-84DBC132C3D2}">
      <text>
        <r>
          <rPr>
            <sz val="10"/>
            <color indexed="81"/>
            <rFont val="Lucida Console"/>
            <family val="3"/>
          </rPr>
          <t>_x000D_
Últ estimativa : 25.000_x000D_
Enviada em     : 19.12.2019_x000D_
Ata - Venc     : 143/21 - 20.05.2022</t>
        </r>
      </text>
    </comment>
    <comment ref="O92" authorId="0" shapeId="0" xr:uid="{A49A2F04-685D-41DD-A41D-7E3B320C0B24}">
      <text>
        <r>
          <rPr>
            <sz val="10"/>
            <color indexed="81"/>
            <rFont val="Lucida Console"/>
            <family val="3"/>
          </rPr>
          <t>_x000D_
Pertencia a ATA nº 143/21_x000D_
Estimativa de Renovação enviada em 19.12.2019 - Qtd 25.000_x000D_
PE  61/21 lote _x000D_
30.04.21 = Finalizado. Ata 143/20</t>
        </r>
      </text>
    </comment>
    <comment ref="W92" authorId="0" shapeId="0" xr:uid="{C6344D36-712E-4585-82E4-9575F7C2ABB1}">
      <text>
        <r>
          <rPr>
            <sz val="10"/>
            <color indexed="81"/>
            <rFont val="Lucida Console"/>
            <family val="3"/>
          </rPr>
          <t>_x000D_
Pedagógico</t>
        </r>
      </text>
    </comment>
    <comment ref="X92" authorId="0" shapeId="0" xr:uid="{F505C540-ACF1-4600-9620-A4682D8A3C6C}">
      <text>
        <r>
          <rPr>
            <sz val="10"/>
            <color indexed="81"/>
            <rFont val="Lucida Console"/>
            <family val="3"/>
          </rPr>
          <t>_x000D_
MAQ. E EQUIP. P/ IND. GRAFICA COMP. ACESS. E PAPEI</t>
        </r>
      </text>
    </comment>
    <comment ref="Y92" authorId="0" shapeId="0" xr:uid="{09C72C88-11BD-44D5-9593-716849535629}">
      <text>
        <r>
          <rPr>
            <sz val="10"/>
            <color indexed="81"/>
            <rFont val="Lucida Console"/>
            <family val="3"/>
          </rPr>
          <t>_x000D_
CARTOES E CARTOLINA</t>
        </r>
      </text>
    </comment>
    <comment ref="AW92" authorId="0" shapeId="0" xr:uid="{7294818B-2825-47A7-BFDF-A1C4AF38B8A9}">
      <text>
        <r>
          <rPr>
            <sz val="10"/>
            <color indexed="81"/>
            <rFont val="Lucida Console"/>
            <family val="3"/>
          </rPr>
          <t>Tempo de Estoque (Meses)_x000D_
_x000D_
6.200,0</t>
        </r>
      </text>
    </comment>
    <comment ref="A93" authorId="0" shapeId="0" xr:uid="{F39DDBE9-AD64-4A29-94B2-DF76E90E07F4}">
      <text>
        <r>
          <rPr>
            <sz val="10"/>
            <color indexed="81"/>
            <rFont val="Lucida Console"/>
            <family val="3"/>
          </rPr>
          <t>_x000D_
83839</t>
        </r>
      </text>
    </comment>
    <comment ref="B93" authorId="0" shapeId="0" xr:uid="{2BDEE984-8767-4E02-8D5E-4DB6AEC712AF}">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93" authorId="0" shapeId="0" xr:uid="{AC7D4FEA-161A-4668-975D-0C95095B575A}">
      <text>
        <r>
          <rPr>
            <sz val="10"/>
            <color indexed="81"/>
            <rFont val="Lucida Console"/>
            <family val="3"/>
          </rPr>
          <t>_x000D_
Últ estimativa : 12.000_x000D_
Enviada em     : 19.05.2020_x000D_
Ata - Venc     : 145/19 - 10.06.2020</t>
        </r>
      </text>
    </comment>
    <comment ref="O93" authorId="0" shapeId="0" xr:uid="{77FB09E2-F511-49B4-9C17-829B42019A6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93" authorId="0" shapeId="0" xr:uid="{3EB0EA65-E161-4178-A477-3A031C1E53F6}">
      <text>
        <r>
          <rPr>
            <sz val="10"/>
            <color indexed="81"/>
            <rFont val="Lucida Console"/>
            <family val="3"/>
          </rPr>
          <t>_x000D_
SegMedTra</t>
        </r>
      </text>
    </comment>
    <comment ref="X93" authorId="0" shapeId="0" xr:uid="{202B35D3-F303-46F8-B45B-5AA0A4BA8521}">
      <text>
        <r>
          <rPr>
            <sz val="10"/>
            <color indexed="81"/>
            <rFont val="Lucida Console"/>
            <family val="3"/>
          </rPr>
          <t>_x000D_
EQUIP PROT IND, INST MAT P/ SINAL, CONTR, COMB ...</t>
        </r>
      </text>
    </comment>
    <comment ref="Y93" authorId="0" shapeId="0" xr:uid="{B10AB8B1-15E8-4B48-B229-A8CF9B8614EB}">
      <text>
        <r>
          <rPr>
            <sz val="10"/>
            <color indexed="81"/>
            <rFont val="Lucida Console"/>
            <family val="3"/>
          </rPr>
          <t>_x000D_
CALCADOS, LUVAS, OCULOS, MASCARAS, CAPACETES, CASSETETE</t>
        </r>
      </text>
    </comment>
    <comment ref="AW93" authorId="0" shapeId="0" xr:uid="{9D50FDB8-5977-4DCD-B1FB-21B93EDB7C9D}">
      <text>
        <r>
          <rPr>
            <sz val="10"/>
            <color indexed="81"/>
            <rFont val="Lucida Console"/>
            <family val="3"/>
          </rPr>
          <t>Tempo de Estoque (Meses)_x000D_
_x000D_
1.193,0</t>
        </r>
      </text>
    </comment>
    <comment ref="A94" authorId="0" shapeId="0" xr:uid="{18136220-E311-4DB8-A86E-428C9B6EC23D}">
      <text>
        <r>
          <rPr>
            <sz val="10"/>
            <color indexed="81"/>
            <rFont val="Lucida Console"/>
            <family val="3"/>
          </rPr>
          <t>_x000D_
88732</t>
        </r>
      </text>
    </comment>
    <comment ref="B94" authorId="0" shapeId="0" xr:uid="{751B10AD-F7D3-498E-98E3-E9EB9749CFA9}">
      <text>
        <r>
          <rPr>
            <sz val="10"/>
            <color indexed="81"/>
            <rFont val="Lucida Console"/>
            <family val="3"/>
          </rPr>
          <t>DESCRIÇÃO DETALHADA_x000D_
DISJUNTOR NORMA DIN CURVA C PADRAO, TRIPOLAR, 20 AMPERES</t>
        </r>
      </text>
    </comment>
    <comment ref="G94" authorId="0" shapeId="0" xr:uid="{8BC9628F-0804-4676-84D0-75849F38E626}">
      <text>
        <r>
          <rPr>
            <sz val="10"/>
            <color indexed="81"/>
            <rFont val="Lucida Console"/>
            <family val="3"/>
          </rPr>
          <t>_x000D_
Últ estimativa : 70_x000D_
Enviada em     : 23.09.2020_x000D_
Ata - Venc     : 17/20 - 29.01.2021</t>
        </r>
      </text>
    </comment>
    <comment ref="O94" authorId="0" shapeId="0" xr:uid="{B53076CC-3572-4550-9585-15E2E7743AA1}">
      <text>
        <r>
          <rPr>
            <sz val="10"/>
            <color indexed="81"/>
            <rFont val="Lucida Console"/>
            <family val="3"/>
          </rPr>
          <t>_x000D_
Pertencia a ATA nº 17/20_x000D_
Estimativa de Renovação enviada em 23.09.2020 - Qtd 70_x000D_
PP 241/19 lote _x000D_
21.02.20 = Processo conferido, finalizado.</t>
        </r>
      </text>
    </comment>
    <comment ref="W94" authorId="0" shapeId="0" xr:uid="{9E6B88A3-6D2D-49BB-9DE8-FDA31078BD6B}">
      <text>
        <r>
          <rPr>
            <sz val="10"/>
            <color indexed="81"/>
            <rFont val="Lucida Console"/>
            <family val="3"/>
          </rPr>
          <t>_x000D_
DM-Elétrica</t>
        </r>
      </text>
    </comment>
    <comment ref="X94" authorId="0" shapeId="0" xr:uid="{4CAD5E36-205C-4ADF-A32E-8BE83B9214AC}">
      <text>
        <r>
          <rPr>
            <sz val="10"/>
            <color indexed="81"/>
            <rFont val="Lucida Console"/>
            <family val="3"/>
          </rPr>
          <t>_x000D_
EQUIP. MAT. P/ GERACAO, TRANSM. DISTR. RETIF...</t>
        </r>
      </text>
    </comment>
    <comment ref="Y94" authorId="0" shapeId="0" xr:uid="{A5AEF59E-8AD9-47E5-BB43-84359C977FD8}">
      <text>
        <r>
          <rPr>
            <sz val="10"/>
            <color indexed="81"/>
            <rFont val="Lucida Console"/>
            <family val="3"/>
          </rPr>
          <t>_x000D_
DISJUNTORES</t>
        </r>
      </text>
    </comment>
    <comment ref="AW94" authorId="0" shapeId="0" xr:uid="{B601131F-F1F0-4013-9B66-999C8BA526B1}">
      <text>
        <r>
          <rPr>
            <sz val="10"/>
            <color indexed="81"/>
            <rFont val="Lucida Console"/>
            <family val="3"/>
          </rPr>
          <t>Tempo de Estoque (Meses)_x000D_
_x000D_
34,0</t>
        </r>
      </text>
    </comment>
    <comment ref="A95" authorId="0" shapeId="0" xr:uid="{12C64443-A25E-4CDD-A73A-761D7E92C809}">
      <text>
        <r>
          <rPr>
            <sz val="10"/>
            <color indexed="81"/>
            <rFont val="Lucida Console"/>
            <family val="3"/>
          </rPr>
          <t>_x000D_
110888</t>
        </r>
      </text>
    </comment>
    <comment ref="B95" authorId="0" shapeId="0" xr:uid="{AD037F1D-A827-47A7-94E3-BA9B72467E63}">
      <text>
        <r>
          <rPr>
            <sz val="10"/>
            <color indexed="81"/>
            <rFont val="Lucida Console"/>
            <family val="3"/>
          </rPr>
          <t>DESCRIÇÃO DETALHADA_x000D_
DISJUNTOR TRIPOLAR IN = 225 A, TENSAO MINIMA DE OPERACAO 240V, CURVA C, NBR 60947-2 - CATEGORIA "A"</t>
        </r>
      </text>
    </comment>
    <comment ref="G95" authorId="0" shapeId="0" xr:uid="{414DA022-4BFD-4525-990F-30FDB4358DB1}">
      <text>
        <r>
          <rPr>
            <sz val="10"/>
            <color indexed="81"/>
            <rFont val="Lucida Console"/>
            <family val="3"/>
          </rPr>
          <t>_x000D_
Últ estimativa : 0_x000D_
Enviada em     : 23.09.2020_x000D_
Ata - Venc     : 17/20 - 29.01.2021</t>
        </r>
      </text>
    </comment>
    <comment ref="O95" authorId="0" shapeId="0" xr:uid="{1562057B-2CC0-4C56-88CC-A878A3E8121E}">
      <text>
        <r>
          <rPr>
            <sz val="10"/>
            <color indexed="81"/>
            <rFont val="Lucida Console"/>
            <family val="3"/>
          </rPr>
          <t>_x000D_
Pertencia a ATA nº 17/20_x000D_
Estimativa de Renovação enviada em 23.09.2020 - Qtd _x000D_
PP 241/19 lote _x000D_
21.02.20 = Processo conferido, finalizado.</t>
        </r>
      </text>
    </comment>
    <comment ref="W95" authorId="0" shapeId="0" xr:uid="{49948DA2-E4F4-49FC-9517-91A7E30284B6}">
      <text>
        <r>
          <rPr>
            <sz val="10"/>
            <color indexed="81"/>
            <rFont val="Lucida Console"/>
            <family val="3"/>
          </rPr>
          <t>_x000D_
DM-Elétrica</t>
        </r>
      </text>
    </comment>
    <comment ref="X95" authorId="0" shapeId="0" xr:uid="{B0B4BAAA-2C46-4A2C-94A3-23B6D3E76177}">
      <text>
        <r>
          <rPr>
            <sz val="10"/>
            <color indexed="81"/>
            <rFont val="Lucida Console"/>
            <family val="3"/>
          </rPr>
          <t>_x000D_
EQUIP. MAT. P/ GERACAO, TRANSM. DISTR. RETIF...</t>
        </r>
      </text>
    </comment>
    <comment ref="Y95" authorId="0" shapeId="0" xr:uid="{43E2AC6E-C8A0-4B52-A2E7-8BAF85094F46}">
      <text>
        <r>
          <rPr>
            <sz val="10"/>
            <color indexed="81"/>
            <rFont val="Lucida Console"/>
            <family val="3"/>
          </rPr>
          <t>_x000D_
DISJUNTORES</t>
        </r>
      </text>
    </comment>
    <comment ref="AW95" authorId="0" shapeId="0" xr:uid="{78818970-9168-4363-918E-6D5E1C79E66A}">
      <text>
        <r>
          <rPr>
            <sz val="10"/>
            <color indexed="81"/>
            <rFont val="Lucida Console"/>
            <family val="3"/>
          </rPr>
          <t>Tempo de Estoque (Meses)_x000D_
_x000D_
3,0</t>
        </r>
      </text>
    </comment>
    <comment ref="A96" authorId="0" shapeId="0" xr:uid="{EE71DDA6-27F1-4941-9AFD-09DAB7762596}">
      <text>
        <r>
          <rPr>
            <sz val="10"/>
            <color indexed="81"/>
            <rFont val="Lucida Console"/>
            <family val="3"/>
          </rPr>
          <t>_x000D_
11109</t>
        </r>
      </text>
    </comment>
    <comment ref="B96" authorId="0" shapeId="0" xr:uid="{21AF8EF7-7E4E-4ACC-874D-A1452742467E}">
      <text>
        <r>
          <rPr>
            <sz val="10"/>
            <color indexed="81"/>
            <rFont val="Lucida Console"/>
            <family val="3"/>
          </rPr>
          <t>DESCRIÇÃO DETALHADA_x000D_
CLIPS 30 MM DE COMPRIMENTO - CX C/ 100 UN</t>
        </r>
      </text>
    </comment>
    <comment ref="G96" authorId="0" shapeId="0" xr:uid="{217FA0E8-2AC1-4F24-A60C-F484D29130F8}">
      <text>
        <r>
          <rPr>
            <sz val="10"/>
            <color indexed="81"/>
            <rFont val="Lucida Console"/>
            <family val="3"/>
          </rPr>
          <t>_x000D_
Últ estimativa : 1.000_x000D_
Enviada em     : 02.03.2020_x000D_
Ata - Venc     : 211/20 - 21.09.2021</t>
        </r>
      </text>
    </comment>
    <comment ref="O96" authorId="0" shapeId="0" xr:uid="{AC898AA1-6EF3-433B-BF1A-853E4E57FE0C}">
      <text>
        <r>
          <rPr>
            <sz val="10"/>
            <color indexed="81"/>
            <rFont val="Lucida Console"/>
            <family val="3"/>
          </rPr>
          <t xml:space="preserve">_x000D_
Pertencia a ATA nº 211/20_x000D_
Estimativa de Renovação enviada em 02.03.2020 - Qtd 1.000_x000D_
</t>
        </r>
      </text>
    </comment>
    <comment ref="W96" authorId="0" shapeId="0" xr:uid="{9ADF03C3-C658-4284-854A-3ABC2C35DBBD}">
      <text>
        <r>
          <rPr>
            <sz val="10"/>
            <color indexed="81"/>
            <rFont val="Lucida Console"/>
            <family val="3"/>
          </rPr>
          <t>_x000D_
Administrativo</t>
        </r>
      </text>
    </comment>
    <comment ref="X96" authorId="0" shapeId="0" xr:uid="{9F34D2C4-8CE3-47B8-9C3E-416290D22A26}">
      <text>
        <r>
          <rPr>
            <sz val="10"/>
            <color indexed="81"/>
            <rFont val="Lucida Console"/>
            <family val="3"/>
          </rPr>
          <t>_x000D_
MAQ., EQUIP., COMP., ACES., MAT. PARA ESCRIT.E ESCOLAR</t>
        </r>
      </text>
    </comment>
    <comment ref="Y96" authorId="0" shapeId="0" xr:uid="{0C9B4E2C-B9EB-4191-B71D-3676EA34A31B}">
      <text>
        <r>
          <rPr>
            <sz val="10"/>
            <color indexed="81"/>
            <rFont val="Lucida Console"/>
            <family val="3"/>
          </rPr>
          <t>_x000D_
FURAD.GRAMP.COLCHETE,GRAMPOS,CLIPS,ELAST.BARB.FIT.</t>
        </r>
      </text>
    </comment>
    <comment ref="AW96" authorId="0" shapeId="0" xr:uid="{551D9469-E896-4F82-AD1A-AA5AF428C9FE}">
      <text>
        <r>
          <rPr>
            <sz val="10"/>
            <color indexed="81"/>
            <rFont val="Lucida Console"/>
            <family val="3"/>
          </rPr>
          <t>Tempo de Estoque (Meses)_x000D_
_x000D_
993,0</t>
        </r>
      </text>
    </comment>
    <comment ref="A97" authorId="0" shapeId="0" xr:uid="{C1A6E47E-B155-4FC9-846B-EDD73114595D}">
      <text>
        <r>
          <rPr>
            <sz val="10"/>
            <color indexed="81"/>
            <rFont val="Lucida Console"/>
            <family val="3"/>
          </rPr>
          <t>_x000D_
17371</t>
        </r>
      </text>
    </comment>
    <comment ref="B97" authorId="0" shapeId="0" xr:uid="{5D6B39EC-A250-4D6F-A2DA-C23B82CC5309}">
      <text>
        <r>
          <rPr>
            <sz val="10"/>
            <color indexed="81"/>
            <rFont val="Lucida Console"/>
            <family val="3"/>
          </rPr>
          <t>DESCRIÇÃO DETALHADA_x000D_
PAPEL CELOFANE - 90 X 100 CM - VERMELHO</t>
        </r>
      </text>
    </comment>
    <comment ref="G97" authorId="0" shapeId="0" xr:uid="{3C272BB0-E147-496F-AC2F-B70D6ADAA68C}">
      <text>
        <r>
          <rPr>
            <sz val="10"/>
            <color indexed="81"/>
            <rFont val="Lucida Console"/>
            <family val="3"/>
          </rPr>
          <t>_x000D_
Últ estimativa : 10.000_x000D_
Enviada em     : 05.03.2020_x000D_
Ata - Venc     : 211/20 - 21.09.2021</t>
        </r>
      </text>
    </comment>
    <comment ref="O97" authorId="0" shapeId="0" xr:uid="{E7B00181-A2AC-43F1-AFFE-90D10F961A47}">
      <text>
        <r>
          <rPr>
            <sz val="10"/>
            <color indexed="81"/>
            <rFont val="Lucida Console"/>
            <family val="3"/>
          </rPr>
          <t>_x000D_
Pertencia a ATA nº 211/20_x000D_
Estimativa de Renovação enviada em 05.03.2020 - Qtd 10.000_x000D_
PP  92/19 lote _x000D_
26.07.19 = Finalizar - contrato assinado</t>
        </r>
      </text>
    </comment>
    <comment ref="W97" authorId="0" shapeId="0" xr:uid="{F87304FA-F28E-4928-959A-23CAACAD24C3}">
      <text>
        <r>
          <rPr>
            <sz val="10"/>
            <color indexed="81"/>
            <rFont val="Lucida Console"/>
            <family val="3"/>
          </rPr>
          <t>_x000D_
Pedagógico</t>
        </r>
      </text>
    </comment>
    <comment ref="X97" authorId="0" shapeId="0" xr:uid="{1CF3FA7A-7443-4968-B6B1-E5B6E10CE8C3}">
      <text>
        <r>
          <rPr>
            <sz val="10"/>
            <color indexed="81"/>
            <rFont val="Lucida Console"/>
            <family val="3"/>
          </rPr>
          <t>_x000D_
MAQ. E EQUIP. P/ IND. GRAFICA COMP. ACESS. E PAPEI</t>
        </r>
      </text>
    </comment>
    <comment ref="Y97" authorId="0" shapeId="0" xr:uid="{0A18E6D8-D929-43AA-8D48-1C700F04C077}">
      <text>
        <r>
          <rPr>
            <sz val="10"/>
            <color indexed="81"/>
            <rFont val="Lucida Console"/>
            <family val="3"/>
          </rPr>
          <t>_x000D_
PAPEIS E PAPELOES</t>
        </r>
      </text>
    </comment>
    <comment ref="AW97" authorId="0" shapeId="0" xr:uid="{0063DAFD-91E0-4270-A374-CF25E0E53581}">
      <text>
        <r>
          <rPr>
            <sz val="10"/>
            <color indexed="81"/>
            <rFont val="Lucida Console"/>
            <family val="3"/>
          </rPr>
          <t>Tempo de Estoque (Meses)_x000D_
_x000D_
2.121,0</t>
        </r>
      </text>
    </comment>
    <comment ref="A98" authorId="0" shapeId="0" xr:uid="{547CD034-6BE8-4CA2-974C-DE4197CACBE4}">
      <text>
        <r>
          <rPr>
            <sz val="10"/>
            <color indexed="81"/>
            <rFont val="Lucida Console"/>
            <family val="3"/>
          </rPr>
          <t>_x000D_
32927</t>
        </r>
      </text>
    </comment>
    <comment ref="B98" authorId="0" shapeId="0" xr:uid="{485B3E6F-B121-4758-A46C-A2522969C473}">
      <text>
        <r>
          <rPr>
            <sz val="10"/>
            <color indexed="81"/>
            <rFont val="Lucida Console"/>
            <family val="3"/>
          </rPr>
          <t>DESCRIÇÃO DETALHADA_x000D_
PAPEL CELOFANE - 90 X 100 CM - AZUL</t>
        </r>
      </text>
    </comment>
    <comment ref="G98" authorId="0" shapeId="0" xr:uid="{3FB94941-10F5-478F-83A3-54ABE78317C3}">
      <text>
        <r>
          <rPr>
            <sz val="10"/>
            <color indexed="81"/>
            <rFont val="Lucida Console"/>
            <family val="3"/>
          </rPr>
          <t>_x000D_
Últ estimativa : 10.000_x000D_
Enviada em     : 05.03.2020_x000D_
Ata - Venc     : 211/20 - 21.09.2021</t>
        </r>
      </text>
    </comment>
    <comment ref="O98" authorId="0" shapeId="0" xr:uid="{BBA86C4E-1ED4-491F-8D9A-E8923787E941}">
      <text>
        <r>
          <rPr>
            <sz val="10"/>
            <color indexed="81"/>
            <rFont val="Lucida Console"/>
            <family val="3"/>
          </rPr>
          <t>_x000D_
Pertencia a ATA nº 211/20_x000D_
Estimativa de Renovação enviada em 05.03.2020 - Qtd 10.000_x000D_
PP  92/19 lote _x000D_
26.07.19 = Finalizar - contrato assinado</t>
        </r>
      </text>
    </comment>
    <comment ref="W98" authorId="0" shapeId="0" xr:uid="{4283E716-2894-4CA6-8547-A94154DED2C6}">
      <text>
        <r>
          <rPr>
            <sz val="10"/>
            <color indexed="81"/>
            <rFont val="Lucida Console"/>
            <family val="3"/>
          </rPr>
          <t>_x000D_
Pedagógico</t>
        </r>
      </text>
    </comment>
    <comment ref="X98" authorId="0" shapeId="0" xr:uid="{30C9A532-6D40-45E3-979D-0AD15F1D0E86}">
      <text>
        <r>
          <rPr>
            <sz val="10"/>
            <color indexed="81"/>
            <rFont val="Lucida Console"/>
            <family val="3"/>
          </rPr>
          <t>_x000D_
MAQ. E EQUIP. P/ IND. GRAFICA COMP. ACESS. E PAPEI</t>
        </r>
      </text>
    </comment>
    <comment ref="Y98" authorId="0" shapeId="0" xr:uid="{9722C976-8251-4DD2-BC72-2CD3FFC4FCAE}">
      <text>
        <r>
          <rPr>
            <sz val="10"/>
            <color indexed="81"/>
            <rFont val="Lucida Console"/>
            <family val="3"/>
          </rPr>
          <t>_x000D_
PAPEIS E PAPELOES</t>
        </r>
      </text>
    </comment>
    <comment ref="AW98" authorId="0" shapeId="0" xr:uid="{D5508AB2-99C0-430E-96AA-3441F47B03C5}">
      <text>
        <r>
          <rPr>
            <sz val="10"/>
            <color indexed="81"/>
            <rFont val="Lucida Console"/>
            <family val="3"/>
          </rPr>
          <t>Tempo de Estoque (Meses)_x000D_
_x000D_
2.263,0</t>
        </r>
      </text>
    </comment>
    <comment ref="A99" authorId="0" shapeId="0" xr:uid="{7764BF16-E813-46D6-80FF-14C4F912FFB7}">
      <text>
        <r>
          <rPr>
            <sz val="10"/>
            <color indexed="81"/>
            <rFont val="Lucida Console"/>
            <family val="3"/>
          </rPr>
          <t>_x000D_
13199</t>
        </r>
      </text>
    </comment>
    <comment ref="B99" authorId="0" shapeId="0" xr:uid="{2F957870-800B-4ECD-B825-4F9416152CC1}">
      <text>
        <r>
          <rPr>
            <sz val="10"/>
            <color indexed="81"/>
            <rFont val="Lucida Console"/>
            <family val="3"/>
          </rPr>
          <t>DESCRIÇÃO DETALHADA_x000D_
DOBRADICA DE FERRO POLIDO 2.1/2"</t>
        </r>
      </text>
    </comment>
    <comment ref="G99" authorId="0" shapeId="0" xr:uid="{08F96425-ED7E-4014-9BBE-F1140E4D4268}">
      <text>
        <r>
          <rPr>
            <sz val="10"/>
            <color indexed="81"/>
            <rFont val="Lucida Console"/>
            <family val="3"/>
          </rPr>
          <t>_x000D_
Últ estimativa : 60_x000D_
Enviada em     : 14.02.2020_x000D_
Ata - Venc     : 75/21 - 15.03.2022</t>
        </r>
      </text>
    </comment>
    <comment ref="O99" authorId="0" shapeId="0" xr:uid="{134CBDB4-A7EA-4C82-87A0-2D691618226B}">
      <text>
        <r>
          <rPr>
            <sz val="10"/>
            <color indexed="81"/>
            <rFont val="Lucida Console"/>
            <family val="3"/>
          </rPr>
          <t>_x000D_
Pertencia a ATA nº 75/21_x000D_
Estimativa de Renovação enviada em 14.02.2020 - Qtd 60_x000D_
PE 247/20 lote _x000D_
18.02.21 = Finalizado</t>
        </r>
      </text>
    </comment>
    <comment ref="W99" authorId="0" shapeId="0" xr:uid="{36AFFC44-0D13-46D5-A870-FEDB2873EF99}">
      <text>
        <r>
          <rPr>
            <sz val="10"/>
            <color indexed="81"/>
            <rFont val="Lucida Console"/>
            <family val="3"/>
          </rPr>
          <t>_x000D_
DM-Construção</t>
        </r>
      </text>
    </comment>
    <comment ref="X99" authorId="0" shapeId="0" xr:uid="{BBF2BC5F-B52F-4A96-963C-BAF22F9D5B8E}">
      <text>
        <r>
          <rPr>
            <sz val="10"/>
            <color indexed="81"/>
            <rFont val="Lucida Console"/>
            <family val="3"/>
          </rPr>
          <t>_x000D_
MAT.E EQUIP. P/ CONSTR.CIVIL E CONSERV. DE VIAS PUBL.</t>
        </r>
      </text>
    </comment>
    <comment ref="Y99" authorId="0" shapeId="0" xr:uid="{F6100450-37ED-4648-BF5B-8161818F0DDD}">
      <text>
        <r>
          <rPr>
            <sz val="10"/>
            <color indexed="81"/>
            <rFont val="Lucida Console"/>
            <family val="3"/>
          </rPr>
          <t>_x000D_
FECHADURAS, DOBRADICAS E MACANETAS</t>
        </r>
      </text>
    </comment>
    <comment ref="AW99" authorId="0" shapeId="0" xr:uid="{BA0929DA-1A78-45AE-8302-CDDD8F40C6C4}">
      <text>
        <r>
          <rPr>
            <sz val="10"/>
            <color indexed="81"/>
            <rFont val="Lucida Console"/>
            <family val="3"/>
          </rPr>
          <t>Tempo de Estoque (Meses)_x000D_
_x000D_
77,0</t>
        </r>
      </text>
    </comment>
    <comment ref="A100" authorId="0" shapeId="0" xr:uid="{CB21E573-ABEB-4501-810A-C14302870D3A}">
      <text>
        <r>
          <rPr>
            <sz val="10"/>
            <color indexed="81"/>
            <rFont val="Lucida Console"/>
            <family val="3"/>
          </rPr>
          <t>_x000D_
12884</t>
        </r>
      </text>
    </comment>
    <comment ref="B100" authorId="0" shapeId="0" xr:uid="{7671C009-0458-4154-AC47-824210A14660}">
      <text>
        <r>
          <rPr>
            <sz val="10"/>
            <color indexed="81"/>
            <rFont val="Lucida Console"/>
            <family val="3"/>
          </rPr>
          <t>DESCRIÇÃO DETALHADA_x000D_
COTOVELO 90 GRAUS EM PVC RIGIDO SOLDAVEL DE 4" (ESGOTO)</t>
        </r>
      </text>
    </comment>
    <comment ref="G100" authorId="0" shapeId="0" xr:uid="{02DFD9E8-85A7-4035-AAC0-1BD31E1AD3AC}">
      <text>
        <r>
          <rPr>
            <sz val="10"/>
            <color indexed="81"/>
            <rFont val="Lucida Console"/>
            <family val="3"/>
          </rPr>
          <t>_x000D_
Últ estimativa : 400_x000D_
Enviada em     : 24.11.2020_x000D_
Ata - Venc     : 87/20 - 31.03.2021</t>
        </r>
      </text>
    </comment>
    <comment ref="O100" authorId="0" shapeId="0" xr:uid="{3670FEC6-EB4D-47A3-8725-1138BB8DA9F8}">
      <text>
        <r>
          <rPr>
            <sz val="10"/>
            <color indexed="81"/>
            <rFont val="Lucida Console"/>
            <family val="3"/>
          </rPr>
          <t>_x000D_
Pertencia a ATA nº 87/20_x000D_
Estimativa de Renovação enviada em 24.11.2020 - Qtd 400_x000D_
PE  10/20 lote 4_x000D_
30.04.20 = Processo conferido, finalizado.</t>
        </r>
      </text>
    </comment>
    <comment ref="W100" authorId="0" shapeId="0" xr:uid="{5F03D502-3DB8-4FF9-9F4E-7FA2EA98B067}">
      <text>
        <r>
          <rPr>
            <sz val="10"/>
            <color indexed="81"/>
            <rFont val="Lucida Console"/>
            <family val="3"/>
          </rPr>
          <t>_x000D_
DM-Hidráulica</t>
        </r>
      </text>
    </comment>
    <comment ref="X100" authorId="0" shapeId="0" xr:uid="{A116368E-0628-432B-9C96-E25D05F27010}">
      <text>
        <r>
          <rPr>
            <sz val="10"/>
            <color indexed="81"/>
            <rFont val="Lucida Console"/>
            <family val="3"/>
          </rPr>
          <t>_x000D_
MATERIAL HIDRAULICO, CANOS, TUBOS, MANGUEIRAS, CONEXOES E ACESS.</t>
        </r>
      </text>
    </comment>
    <comment ref="Y100" authorId="0" shapeId="0" xr:uid="{83968ED0-2885-486D-A6DD-EC304A8A9744}">
      <text>
        <r>
          <rPr>
            <sz val="10"/>
            <color indexed="81"/>
            <rFont val="Lucida Console"/>
            <family val="3"/>
          </rPr>
          <t>_x000D_
ADAP. LUVAS.TES CURVAS COTOVELOS PLUGS FLANGES.....</t>
        </r>
      </text>
    </comment>
    <comment ref="AW100" authorId="0" shapeId="0" xr:uid="{EBA4CE63-2FDF-43FC-986B-FA2EFEC005E3}">
      <text>
        <r>
          <rPr>
            <sz val="10"/>
            <color indexed="81"/>
            <rFont val="Lucida Console"/>
            <family val="3"/>
          </rPr>
          <t>Tempo de Estoque (Meses)_x000D_
_x000D_
108,0</t>
        </r>
      </text>
    </comment>
    <comment ref="A101" authorId="0" shapeId="0" xr:uid="{1AC7FFE6-11DE-46E8-8DEC-47FFBB034210}">
      <text>
        <r>
          <rPr>
            <sz val="10"/>
            <color indexed="81"/>
            <rFont val="Lucida Console"/>
            <family val="3"/>
          </rPr>
          <t>_x000D_
13178</t>
        </r>
      </text>
    </comment>
    <comment ref="B101" authorId="0" shapeId="0" xr:uid="{5BEB69C2-0EEB-42CD-A031-46615FA5E1B3}">
      <text>
        <r>
          <rPr>
            <sz val="10"/>
            <color indexed="81"/>
            <rFont val="Lucida Console"/>
            <family val="3"/>
          </rPr>
          <t>DESCRIÇÃO DETALHADA_x000D_
BUCHA DE FIXACAO - N° 06 DE PLASTICO</t>
        </r>
      </text>
    </comment>
    <comment ref="G101" authorId="0" shapeId="0" xr:uid="{3E8914E8-2E3B-45AF-8D49-1CBD59FF7378}">
      <text>
        <r>
          <rPr>
            <sz val="10"/>
            <color indexed="81"/>
            <rFont val="Lucida Console"/>
            <family val="3"/>
          </rPr>
          <t>_x000D_
Últ estimativa : 0_x000D_
Enviada em     : 23.09.2020_x000D_
Ata - Venc     : 9/20 - 14.01.2021</t>
        </r>
      </text>
    </comment>
    <comment ref="O101" authorId="0" shapeId="0" xr:uid="{311BC8F1-9856-4CE2-A90C-33477E3B1F4E}">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01" authorId="0" shapeId="0" xr:uid="{30519889-67CC-4030-BF18-3B686884D28E}">
      <text>
        <r>
          <rPr>
            <sz val="10"/>
            <color indexed="81"/>
            <rFont val="Lucida Console"/>
            <family val="3"/>
          </rPr>
          <t>_x000D_
DM-Construção</t>
        </r>
      </text>
    </comment>
    <comment ref="X101" authorId="0" shapeId="0" xr:uid="{14A29F20-7AF9-4172-AB56-CD21107F2B67}">
      <text>
        <r>
          <rPr>
            <sz val="10"/>
            <color indexed="81"/>
            <rFont val="Lucida Console"/>
            <family val="3"/>
          </rPr>
          <t>_x000D_
PARAFUSOS ELEM. VEDACAO UNIAO CONEX . FIXACAO</t>
        </r>
      </text>
    </comment>
    <comment ref="Y101" authorId="0" shapeId="0" xr:uid="{CF8913DF-CFB3-491C-8D5D-EFB9B3E62FA6}">
      <text>
        <r>
          <rPr>
            <sz val="10"/>
            <color indexed="81"/>
            <rFont val="Lucida Console"/>
            <family val="3"/>
          </rPr>
          <t>_x000D_
BUCHAS CHUMBADORES E GANCHOS</t>
        </r>
      </text>
    </comment>
    <comment ref="AW101" authorId="0" shapeId="0" xr:uid="{81139232-44DD-4306-921B-C2CE3CEEB06B}">
      <text>
        <r>
          <rPr>
            <sz val="10"/>
            <color indexed="81"/>
            <rFont val="Lucida Console"/>
            <family val="3"/>
          </rPr>
          <t>Tempo de Estoque (Meses)_x000D_
_x000D_
2.000,0</t>
        </r>
      </text>
    </comment>
    <comment ref="A102" authorId="0" shapeId="0" xr:uid="{516225EA-E333-4000-BE13-264EED07EE9B}">
      <text>
        <r>
          <rPr>
            <sz val="10"/>
            <color indexed="81"/>
            <rFont val="Lucida Console"/>
            <family val="3"/>
          </rPr>
          <t>_x000D_
93334</t>
        </r>
      </text>
    </comment>
    <comment ref="B102" authorId="0" shapeId="0" xr:uid="{7363B551-70C9-4586-B25A-2935F52DFD46}">
      <text>
        <r>
          <rPr>
            <sz val="10"/>
            <color indexed="81"/>
            <rFont val="Lucida Console"/>
            <family val="3"/>
          </rPr>
          <t>DESCRIÇÃO DETALHADA_x000D_
PAPEL DE SEDA - 48 X 60 CM - VERDE ESCURO</t>
        </r>
      </text>
    </comment>
    <comment ref="G102" authorId="0" shapeId="0" xr:uid="{F7C05983-551A-4D98-AD59-FCADEDA30E47}">
      <text>
        <r>
          <rPr>
            <sz val="10"/>
            <color indexed="81"/>
            <rFont val="Lucida Console"/>
            <family val="3"/>
          </rPr>
          <t>_x000D_
Últ estimativa : 10.000_x000D_
Enviada em     : 19.12.2019_x000D_
Ata - Venc     : 143/21 - 20.05.2022</t>
        </r>
      </text>
    </comment>
    <comment ref="O102" authorId="0" shapeId="0" xr:uid="{032B2A71-3C0F-45B5-8252-0ED75B2E57FD}">
      <text>
        <r>
          <rPr>
            <sz val="10"/>
            <color indexed="81"/>
            <rFont val="Lucida Console"/>
            <family val="3"/>
          </rPr>
          <t>_x000D_
Pertencia a ATA nº 143/21_x000D_
Estimativa de Renovação enviada em 19.12.2019 - Qtd 10.000_x000D_
PE  61/21 lote _x000D_
30.04.21 = Finalizado. Ata 143/20</t>
        </r>
      </text>
    </comment>
    <comment ref="W102" authorId="0" shapeId="0" xr:uid="{1CDB7061-2F58-4A71-A845-2822D05C4569}">
      <text>
        <r>
          <rPr>
            <sz val="10"/>
            <color indexed="81"/>
            <rFont val="Lucida Console"/>
            <family val="3"/>
          </rPr>
          <t>_x000D_
Pedagógico</t>
        </r>
      </text>
    </comment>
    <comment ref="X102" authorId="0" shapeId="0" xr:uid="{DB26C394-0A20-4E5E-8C66-3AF67551AA02}">
      <text>
        <r>
          <rPr>
            <sz val="10"/>
            <color indexed="81"/>
            <rFont val="Lucida Console"/>
            <family val="3"/>
          </rPr>
          <t>_x000D_
MAQ. E EQUIP. P/ IND. GRAFICA COMP. ACESS. E PAPEI</t>
        </r>
      </text>
    </comment>
    <comment ref="Y102" authorId="0" shapeId="0" xr:uid="{157B053E-6349-4918-B0BE-254AE8F60EBA}">
      <text>
        <r>
          <rPr>
            <sz val="10"/>
            <color indexed="81"/>
            <rFont val="Lucida Console"/>
            <family val="3"/>
          </rPr>
          <t>_x000D_
PAPEIS P/ EMBALAGEM E DECORATIVOS</t>
        </r>
      </text>
    </comment>
    <comment ref="AW102" authorId="0" shapeId="0" xr:uid="{0AAFCC80-5BEB-4540-90F7-0B34C0597797}">
      <text>
        <r>
          <rPr>
            <sz val="10"/>
            <color indexed="81"/>
            <rFont val="Lucida Console"/>
            <family val="3"/>
          </rPr>
          <t>Tempo de Estoque (Meses)_x000D_
_x000D_
2.724,0</t>
        </r>
      </text>
    </comment>
    <comment ref="A103" authorId="0" shapeId="0" xr:uid="{BB85285E-11B7-4AD6-B4B6-F256F3A58A3B}">
      <text>
        <r>
          <rPr>
            <sz val="10"/>
            <color indexed="81"/>
            <rFont val="Lucida Console"/>
            <family val="3"/>
          </rPr>
          <t>_x000D_
124261</t>
        </r>
      </text>
    </comment>
    <comment ref="B103" authorId="0" shapeId="0" xr:uid="{1D673154-747E-4B18-A4B7-31E84F9B1E3A}">
      <text>
        <r>
          <rPr>
            <sz val="10"/>
            <color indexed="81"/>
            <rFont val="Lucida Console"/>
            <family val="3"/>
          </rPr>
          <t>DESCRIÇÃO DETALHADA_x000D_
PAPEL CAMURCA - 60 X 40 CM - AZUL CLARO (VARIACAO +/- 05 CM)</t>
        </r>
      </text>
    </comment>
    <comment ref="G103" authorId="0" shapeId="0" xr:uid="{EC494B7A-C654-4AF4-91A1-E7F8BC466FAE}">
      <text>
        <r>
          <rPr>
            <sz val="10"/>
            <color indexed="81"/>
            <rFont val="Lucida Console"/>
            <family val="3"/>
          </rPr>
          <t>_x000D_
Últ estimativa : 10.000_x000D_
Enviada em     : 19.12.2019_x000D_
Ata - Venc     : 143/21 - 20.05.2022</t>
        </r>
      </text>
    </comment>
    <comment ref="O103" authorId="0" shapeId="0" xr:uid="{ABC398DC-2E9E-4147-A293-27ECC6A76467}">
      <text>
        <r>
          <rPr>
            <sz val="10"/>
            <color indexed="81"/>
            <rFont val="Lucida Console"/>
            <family val="3"/>
          </rPr>
          <t>_x000D_
Pertencia a ATA nº 143/21_x000D_
Estimativa de Renovação enviada em 19.12.2019 - Qtd 10.000_x000D_
PE  61/21 lote _x000D_
30.04.21 = Finalizado. Ata 143/20</t>
        </r>
      </text>
    </comment>
    <comment ref="W103" authorId="0" shapeId="0" xr:uid="{C549AF68-569B-4DA2-821D-A5417B2F14ED}">
      <text>
        <r>
          <rPr>
            <sz val="10"/>
            <color indexed="81"/>
            <rFont val="Lucida Console"/>
            <family val="3"/>
          </rPr>
          <t>_x000D_
Pedagógico</t>
        </r>
      </text>
    </comment>
    <comment ref="X103" authorId="0" shapeId="0" xr:uid="{26605DE2-C649-4950-8DF5-18BE0962481C}">
      <text>
        <r>
          <rPr>
            <sz val="10"/>
            <color indexed="81"/>
            <rFont val="Lucida Console"/>
            <family val="3"/>
          </rPr>
          <t>_x000D_
MAQ. E EQUIP. P/ IND. GRAFICA COMP. ACESS. E PAPEI</t>
        </r>
      </text>
    </comment>
    <comment ref="Y103" authorId="0" shapeId="0" xr:uid="{B41608CD-F27C-4EAC-838A-CC30F85D2BE7}">
      <text>
        <r>
          <rPr>
            <sz val="10"/>
            <color indexed="81"/>
            <rFont val="Lucida Console"/>
            <family val="3"/>
          </rPr>
          <t>_x000D_
PAPEIS E PAPELOES</t>
        </r>
      </text>
    </comment>
    <comment ref="AW103" authorId="0" shapeId="0" xr:uid="{C02920D0-6026-4A20-9C17-FE228CF408C9}">
      <text>
        <r>
          <rPr>
            <sz val="10"/>
            <color indexed="81"/>
            <rFont val="Lucida Console"/>
            <family val="3"/>
          </rPr>
          <t>Tempo de Estoque (Meses)_x000D_
_x000D_
2.960,0</t>
        </r>
      </text>
    </comment>
    <comment ref="A104" authorId="0" shapeId="0" xr:uid="{354A3DC0-517D-4000-B6D9-28AA958B4F99}">
      <text>
        <r>
          <rPr>
            <sz val="10"/>
            <color indexed="81"/>
            <rFont val="Lucida Console"/>
            <family val="3"/>
          </rPr>
          <t>_x000D_
30165</t>
        </r>
      </text>
    </comment>
    <comment ref="B104" authorId="0" shapeId="0" xr:uid="{F92E90B7-EB30-4B7E-A28B-DEB0465481E9}">
      <text>
        <r>
          <rPr>
            <sz val="10"/>
            <color indexed="81"/>
            <rFont val="Lucida Console"/>
            <family val="3"/>
          </rPr>
          <t>DESCRIÇÃO DETALHADA_x000D_
PAPEL CARTAO - 50 X 70 CM - AZUL ESCURO (MEDIDAS PODERAO VARIAR +/- 5CM)</t>
        </r>
      </text>
    </comment>
    <comment ref="G104" authorId="0" shapeId="0" xr:uid="{7A78A757-A8E7-4E02-93D0-49554AA486A1}">
      <text>
        <r>
          <rPr>
            <sz val="10"/>
            <color indexed="81"/>
            <rFont val="Lucida Console"/>
            <family val="3"/>
          </rPr>
          <t>_x000D_
Últ estimativa : 25.000_x000D_
Enviada em     : 19.12.2019_x000D_
Ata - Venc     : 143/21 - 20.05.2022</t>
        </r>
      </text>
    </comment>
    <comment ref="O104" authorId="0" shapeId="0" xr:uid="{731A8022-4F69-4F51-93FB-6AD6AA6A5B5D}">
      <text>
        <r>
          <rPr>
            <sz val="10"/>
            <color indexed="81"/>
            <rFont val="Lucida Console"/>
            <family val="3"/>
          </rPr>
          <t>_x000D_
Pertencia a ATA nº 143/21_x000D_
Estimativa de Renovação enviada em 19.12.2019 - Qtd 25.000_x000D_
PE  61/21 lote _x000D_
30.04.21 = Finalizado. Ata 143/20</t>
        </r>
      </text>
    </comment>
    <comment ref="W104" authorId="0" shapeId="0" xr:uid="{E4983949-6725-4479-A8E6-A1D25950DEFD}">
      <text>
        <r>
          <rPr>
            <sz val="10"/>
            <color indexed="81"/>
            <rFont val="Lucida Console"/>
            <family val="3"/>
          </rPr>
          <t>_x000D_
Pedagógico</t>
        </r>
      </text>
    </comment>
    <comment ref="X104" authorId="0" shapeId="0" xr:uid="{0ADE5E8F-E337-43B1-B8F7-CBF93F8C942D}">
      <text>
        <r>
          <rPr>
            <sz val="10"/>
            <color indexed="81"/>
            <rFont val="Lucida Console"/>
            <family val="3"/>
          </rPr>
          <t>_x000D_
MAQ. E EQUIP. P/ IND. GRAFICA COMP. ACESS. E PAPEI</t>
        </r>
      </text>
    </comment>
    <comment ref="Y104" authorId="0" shapeId="0" xr:uid="{BC96AAEF-E111-4AFA-987D-4985F54E06EA}">
      <text>
        <r>
          <rPr>
            <sz val="10"/>
            <color indexed="81"/>
            <rFont val="Lucida Console"/>
            <family val="3"/>
          </rPr>
          <t>_x000D_
CARTOES E CARTOLINA</t>
        </r>
      </text>
    </comment>
    <comment ref="AW104" authorId="0" shapeId="0" xr:uid="{8E1F1663-D883-42ED-87D8-AE7FB6F23973}">
      <text>
        <r>
          <rPr>
            <sz val="10"/>
            <color indexed="81"/>
            <rFont val="Lucida Console"/>
            <family val="3"/>
          </rPr>
          <t>Tempo de Estoque (Meses)_x000D_
_x000D_
7.300,0</t>
        </r>
      </text>
    </comment>
    <comment ref="A105" authorId="0" shapeId="0" xr:uid="{F443CE3B-B37C-49B9-BAD7-345AD0A4C84D}">
      <text>
        <r>
          <rPr>
            <sz val="10"/>
            <color indexed="81"/>
            <rFont val="Lucida Console"/>
            <family val="3"/>
          </rPr>
          <t>_x000D_
88729</t>
        </r>
      </text>
    </comment>
    <comment ref="B105" authorId="0" shapeId="0" xr:uid="{A435174C-4057-4172-BFE9-67485CE655A5}">
      <text>
        <r>
          <rPr>
            <sz val="10"/>
            <color indexed="81"/>
            <rFont val="Lucida Console"/>
            <family val="3"/>
          </rPr>
          <t>DESCRIÇÃO DETALHADA_x000D_
DISJUNTOR NORMA DIN CURVA C PADRAO, BIPOLAR, 40 AMPERES</t>
        </r>
      </text>
    </comment>
    <comment ref="G105" authorId="0" shapeId="0" xr:uid="{EBD06A6C-5836-4B27-A3CB-5A4E983CDF7E}">
      <text>
        <r>
          <rPr>
            <sz val="10"/>
            <color indexed="81"/>
            <rFont val="Lucida Console"/>
            <family val="3"/>
          </rPr>
          <t>_x000D_
Últ estimativa : 100_x000D_
Enviada em     : 23.09.2020_x000D_
Ata - Venc     : 17/20 - 29.01.2021</t>
        </r>
      </text>
    </comment>
    <comment ref="O105" authorId="0" shapeId="0" xr:uid="{5077E678-CF25-48F0-8E6C-318C79BF4C17}">
      <text>
        <r>
          <rPr>
            <sz val="10"/>
            <color indexed="81"/>
            <rFont val="Lucida Console"/>
            <family val="3"/>
          </rPr>
          <t>_x000D_
Pertencia a ATA nº 17/20_x000D_
Estimativa de Renovação enviada em 23.09.2020 - Qtd 100_x000D_
PP 241/19 lote _x000D_
21.02.20 = Processo conferido, finalizado.</t>
        </r>
      </text>
    </comment>
    <comment ref="W105" authorId="0" shapeId="0" xr:uid="{1FBA05E9-192B-488A-B88E-BB754DEA83EA}">
      <text>
        <r>
          <rPr>
            <sz val="10"/>
            <color indexed="81"/>
            <rFont val="Lucida Console"/>
            <family val="3"/>
          </rPr>
          <t>_x000D_
DM-Elétrica</t>
        </r>
      </text>
    </comment>
    <comment ref="X105" authorId="0" shapeId="0" xr:uid="{CAA885D5-0ADA-4CC5-8200-D78C0FA415B5}">
      <text>
        <r>
          <rPr>
            <sz val="10"/>
            <color indexed="81"/>
            <rFont val="Lucida Console"/>
            <family val="3"/>
          </rPr>
          <t>_x000D_
EQUIP. MAT. P/ GERACAO, TRANSM. DISTR. RETIF...</t>
        </r>
      </text>
    </comment>
    <comment ref="Y105" authorId="0" shapeId="0" xr:uid="{B84B7F2D-F231-461F-BF8C-B382FEACD18F}">
      <text>
        <r>
          <rPr>
            <sz val="10"/>
            <color indexed="81"/>
            <rFont val="Lucida Console"/>
            <family val="3"/>
          </rPr>
          <t>_x000D_
DISJUNTORES</t>
        </r>
      </text>
    </comment>
    <comment ref="AW105" authorId="0" shapeId="0" xr:uid="{1CE279AD-7757-4C37-A11A-E4063FE0A01C}">
      <text>
        <r>
          <rPr>
            <sz val="10"/>
            <color indexed="81"/>
            <rFont val="Lucida Console"/>
            <family val="3"/>
          </rPr>
          <t>Tempo de Estoque (Meses)_x000D_
_x000D_
32,0</t>
        </r>
      </text>
    </comment>
    <comment ref="A106" authorId="0" shapeId="0" xr:uid="{B82EC9A4-BA3A-4A6C-991C-FDD583A5208D}">
      <text>
        <r>
          <rPr>
            <sz val="10"/>
            <color indexed="81"/>
            <rFont val="Lucida Console"/>
            <family val="3"/>
          </rPr>
          <t>_x000D_
88733</t>
        </r>
      </text>
    </comment>
    <comment ref="B106" authorId="0" shapeId="0" xr:uid="{F738D212-ACB1-4E2F-98E3-0E7F5CA0F0F7}">
      <text>
        <r>
          <rPr>
            <sz val="10"/>
            <color indexed="81"/>
            <rFont val="Lucida Console"/>
            <family val="3"/>
          </rPr>
          <t>DESCRIÇÃO DETALHADA_x000D_
DISJUNTOR NORMA DIN CURVA C PADRAO, TRIPOLAR, 32 AMPERES</t>
        </r>
      </text>
    </comment>
    <comment ref="G106" authorId="0" shapeId="0" xr:uid="{A68BE59E-B1D0-4B1B-8C04-6D5E228B61F4}">
      <text>
        <r>
          <rPr>
            <sz val="10"/>
            <color indexed="81"/>
            <rFont val="Lucida Console"/>
            <family val="3"/>
          </rPr>
          <t>_x000D_
Últ estimativa : 50_x000D_
Enviada em     : 23.09.2020_x000D_
Ata - Venc     : 17/20 - 29.01.2021</t>
        </r>
      </text>
    </comment>
    <comment ref="O106" authorId="0" shapeId="0" xr:uid="{00BE32F9-BD96-47F9-BACC-81D7B64ADECD}">
      <text>
        <r>
          <rPr>
            <sz val="10"/>
            <color indexed="81"/>
            <rFont val="Lucida Console"/>
            <family val="3"/>
          </rPr>
          <t>_x000D_
Pertencia a ATA nº 17/20_x000D_
Estimativa de Renovação enviada em 23.09.2020 - Qtd 50_x000D_
PP 241/19 lote _x000D_
21.02.20 = Processo conferido, finalizado.</t>
        </r>
      </text>
    </comment>
    <comment ref="W106" authorId="0" shapeId="0" xr:uid="{C127C3F3-04E0-40ED-8A8A-3D46436288EB}">
      <text>
        <r>
          <rPr>
            <sz val="10"/>
            <color indexed="81"/>
            <rFont val="Lucida Console"/>
            <family val="3"/>
          </rPr>
          <t>_x000D_
DM-Elétrica</t>
        </r>
      </text>
    </comment>
    <comment ref="X106" authorId="0" shapeId="0" xr:uid="{4BEB080D-1EED-47AA-A6D4-E579A58FD1B2}">
      <text>
        <r>
          <rPr>
            <sz val="10"/>
            <color indexed="81"/>
            <rFont val="Lucida Console"/>
            <family val="3"/>
          </rPr>
          <t>_x000D_
EQUIP. MAT. P/ GERACAO, TRANSM. DISTR. RETIF...</t>
        </r>
      </text>
    </comment>
    <comment ref="Y106" authorId="0" shapeId="0" xr:uid="{FB901CDB-E275-4BDA-BCAB-7EFBF3EBFEC3}">
      <text>
        <r>
          <rPr>
            <sz val="10"/>
            <color indexed="81"/>
            <rFont val="Lucida Console"/>
            <family val="3"/>
          </rPr>
          <t>_x000D_
DISJUNTORES</t>
        </r>
      </text>
    </comment>
    <comment ref="AW106" authorId="0" shapeId="0" xr:uid="{BC55134F-79EE-4BA9-9E9C-414B0E31129A}">
      <text>
        <r>
          <rPr>
            <sz val="10"/>
            <color indexed="81"/>
            <rFont val="Lucida Console"/>
            <family val="3"/>
          </rPr>
          <t>Tempo de Estoque (Meses)_x000D_
_x000D_
20,0</t>
        </r>
      </text>
    </comment>
    <comment ref="A107" authorId="0" shapeId="0" xr:uid="{4D52B701-765B-443F-BEBA-CAB59C14EF0C}">
      <text>
        <r>
          <rPr>
            <sz val="10"/>
            <color indexed="81"/>
            <rFont val="Lucida Console"/>
            <family val="3"/>
          </rPr>
          <t>_x000D_
16053</t>
        </r>
      </text>
    </comment>
    <comment ref="B107" authorId="0" shapeId="0" xr:uid="{A39167A3-24A8-4564-992E-87A8E518EAF8}">
      <text>
        <r>
          <rPr>
            <sz val="10"/>
            <color indexed="81"/>
            <rFont val="Lucida Console"/>
            <family val="3"/>
          </rPr>
          <t>DESCRIÇÃO DETALHADA_x000D_
ADESIVO P/ CHAPISCO, CONCRETO E ARGAMASSA - BALDE C/18 LITROS</t>
        </r>
      </text>
    </comment>
    <comment ref="G107" authorId="0" shapeId="0" xr:uid="{9F598A67-ECD1-4CE6-83BE-2D64B6DD33C5}">
      <text>
        <r>
          <rPr>
            <sz val="10"/>
            <color indexed="81"/>
            <rFont val="Lucida Console"/>
            <family val="3"/>
          </rPr>
          <t>_x000D_
Últ estimativa : 300_x000D_
Enviada em     : 22.04.2021_x000D_
Ata - Venc     : 174/20 - 16.08.2021</t>
        </r>
      </text>
    </comment>
    <comment ref="O107" authorId="0" shapeId="0" xr:uid="{3CFA8884-3E87-4DE9-B3C2-FFF736FCD6D0}">
      <text>
        <r>
          <rPr>
            <sz val="10"/>
            <color indexed="81"/>
            <rFont val="Lucida Console"/>
            <family val="3"/>
          </rPr>
          <t>_x000D_
Pertencia a ATA nº 174/20_x000D_
Estimativa de Renovação enviada em 22.04.2021 - Qtd 300_x000D_
PE  99/20 lote 2_x000D_
03.08.20 = Finalizado</t>
        </r>
      </text>
    </comment>
    <comment ref="W107" authorId="0" shapeId="0" xr:uid="{A59790DE-A7A0-4EF1-82C8-D7C3FB8FD4C8}">
      <text>
        <r>
          <rPr>
            <sz val="10"/>
            <color indexed="81"/>
            <rFont val="Lucida Console"/>
            <family val="3"/>
          </rPr>
          <t>_x000D_
DM-Construção</t>
        </r>
      </text>
    </comment>
    <comment ref="X107" authorId="0" shapeId="0" xr:uid="{61A56BA2-B2FC-44C0-9345-5C79A4556496}">
      <text>
        <r>
          <rPr>
            <sz val="10"/>
            <color indexed="81"/>
            <rFont val="Lucida Console"/>
            <family val="3"/>
          </rPr>
          <t>_x000D_
MAT.E EQUIP. P/ CONSTR.CIVIL E CONSERV. DE VIAS PUBL.</t>
        </r>
      </text>
    </comment>
    <comment ref="Y107" authorId="0" shapeId="0" xr:uid="{C33A4D02-C662-40F7-9C07-DFFEB9367595}">
      <text>
        <r>
          <rPr>
            <sz val="10"/>
            <color indexed="81"/>
            <rFont val="Lucida Console"/>
            <family val="3"/>
          </rPr>
          <t>_x000D_
IMPERMEABILIZANTES, ADITIVOS E ADESIVOS</t>
        </r>
      </text>
    </comment>
    <comment ref="AW107" authorId="0" shapeId="0" xr:uid="{B30014BC-C576-4792-8C81-136C42930AED}">
      <text>
        <r>
          <rPr>
            <sz val="10"/>
            <color indexed="81"/>
            <rFont val="Lucida Console"/>
            <family val="3"/>
          </rPr>
          <t>Tempo de Estoque (Meses)_x000D_
_x000D_
30,0</t>
        </r>
      </text>
    </comment>
    <comment ref="A108" authorId="0" shapeId="0" xr:uid="{4AAE4E07-9E04-4506-A01F-A79032E3F6C9}">
      <text>
        <r>
          <rPr>
            <sz val="10"/>
            <color indexed="81"/>
            <rFont val="Lucida Console"/>
            <family val="3"/>
          </rPr>
          <t>_x000D_
13768</t>
        </r>
      </text>
    </comment>
    <comment ref="B108" authorId="0" shapeId="0" xr:uid="{7BA417F4-4A6B-48E9-BCD3-EFEB4C8BBF8D}">
      <text>
        <r>
          <rPr>
            <sz val="10"/>
            <color indexed="81"/>
            <rFont val="Lucida Console"/>
            <family val="3"/>
          </rPr>
          <t>DESCRIÇÃO DETALHADA_x000D_
CAIXA PARA ARQUIVO MORTO EM POLIONDA - MED. 25 ALT X 35 COMP X 13 CM LARG</t>
        </r>
      </text>
    </comment>
    <comment ref="G108" authorId="0" shapeId="0" xr:uid="{CA2D7FFF-166E-41E6-8D8F-635A36E8B999}">
      <text>
        <r>
          <rPr>
            <sz val="10"/>
            <color indexed="81"/>
            <rFont val="Lucida Console"/>
            <family val="3"/>
          </rPr>
          <t>_x000D_
Últ estimativa : 10.000_x000D_
Enviada em     : 02.03.2020_x000D_
Ata - Venc     : 211/20 - 21.09.2021</t>
        </r>
      </text>
    </comment>
    <comment ref="O108" authorId="0" shapeId="0" xr:uid="{DE7715FD-CC12-41E2-B35F-34310B1CAD69}">
      <text>
        <r>
          <rPr>
            <sz val="10"/>
            <color indexed="81"/>
            <rFont val="Lucida Console"/>
            <family val="3"/>
          </rPr>
          <t xml:space="preserve">_x000D_
Pertencia a ATA nº 211/20_x000D_
Estimativa de Renovação enviada em 02.03.2020 - Qtd 10.000_x000D_
</t>
        </r>
      </text>
    </comment>
    <comment ref="W108" authorId="0" shapeId="0" xr:uid="{131A5F07-2206-4E2D-8ECB-3F98DCF222C2}">
      <text>
        <r>
          <rPr>
            <sz val="10"/>
            <color indexed="81"/>
            <rFont val="Lucida Console"/>
            <family val="3"/>
          </rPr>
          <t>_x000D_
Pedagógico</t>
        </r>
      </text>
    </comment>
    <comment ref="X108" authorId="0" shapeId="0" xr:uid="{66123B95-0BB0-4902-B05A-5E77852DC467}">
      <text>
        <r>
          <rPr>
            <sz val="10"/>
            <color indexed="81"/>
            <rFont val="Lucida Console"/>
            <family val="3"/>
          </rPr>
          <t>_x000D_
MAQ., EQUIP., COMP., ACES., MAT. PARA ESCRIT.E ESCOLAR</t>
        </r>
      </text>
    </comment>
    <comment ref="Y108" authorId="0" shapeId="0" xr:uid="{9B9746D0-3078-4CC0-92F3-701D540A4B77}">
      <text>
        <r>
          <rPr>
            <sz val="10"/>
            <color indexed="81"/>
            <rFont val="Lucida Console"/>
            <family val="3"/>
          </rPr>
          <t>_x000D_
CAPAS, CLASSIF., PRANCHETAS, CADERNOS, ENVELOPES, PASTAS, FICHAS, LIVROS</t>
        </r>
      </text>
    </comment>
    <comment ref="AW108" authorId="0" shapeId="0" xr:uid="{43EBB002-443A-4BE5-A4AE-3C6D624669D5}">
      <text>
        <r>
          <rPr>
            <sz val="10"/>
            <color indexed="81"/>
            <rFont val="Lucida Console"/>
            <family val="3"/>
          </rPr>
          <t>Tempo de Estoque (Meses)_x000D_
_x000D_
1.897,0</t>
        </r>
      </text>
    </comment>
    <comment ref="A109" authorId="0" shapeId="0" xr:uid="{DB5FAE33-F779-4F5A-8054-88F3D22A69AF}">
      <text>
        <r>
          <rPr>
            <sz val="10"/>
            <color indexed="81"/>
            <rFont val="Lucida Console"/>
            <family val="3"/>
          </rPr>
          <t>_x000D_
132297</t>
        </r>
      </text>
    </comment>
    <comment ref="B109" authorId="0" shapeId="0" xr:uid="{6FCAA4A5-BF6A-4DAF-8169-0920C981397E}">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109" authorId="0" shapeId="0" xr:uid="{485D8AB7-A1A4-4E4A-9B5D-EFD770765133}">
      <text>
        <r>
          <rPr>
            <sz val="10"/>
            <color indexed="81"/>
            <rFont val="Lucida Console"/>
            <family val="3"/>
          </rPr>
          <t>_x000D_
Últ estimativa : 22.000_x000D_
Enviada em     : 02.03.2020_x000D_
Ata - Venc     : 211/20 - 21.09.2021</t>
        </r>
      </text>
    </comment>
    <comment ref="O109" authorId="0" shapeId="0" xr:uid="{8AAF019B-918A-45A9-B733-04B1EF628600}">
      <text>
        <r>
          <rPr>
            <sz val="10"/>
            <color indexed="81"/>
            <rFont val="Lucida Console"/>
            <family val="3"/>
          </rPr>
          <t xml:space="preserve">_x000D_
Pertencia a ATA nº 211/20_x000D_
Estimativa de Renovação enviada em 02.03.2020 - Qtd 22.000_x000D_
</t>
        </r>
      </text>
    </comment>
    <comment ref="W109" authorId="0" shapeId="0" xr:uid="{BDC28747-864D-481B-A08D-0CDC57DA8246}">
      <text>
        <r>
          <rPr>
            <sz val="10"/>
            <color indexed="81"/>
            <rFont val="Lucida Console"/>
            <family val="3"/>
          </rPr>
          <t>_x000D_
Pedagógico</t>
        </r>
      </text>
    </comment>
    <comment ref="X109" authorId="0" shapeId="0" xr:uid="{01784B1D-21D2-4A9C-9CE5-20235515B7CF}">
      <text>
        <r>
          <rPr>
            <sz val="10"/>
            <color indexed="81"/>
            <rFont val="Lucida Console"/>
            <family val="3"/>
          </rPr>
          <t>_x000D_
MAQ., EQUIP., COMP., ACES., MAT. PARA ESCRIT.E ESCOLAR</t>
        </r>
      </text>
    </comment>
    <comment ref="Y109" authorId="0" shapeId="0" xr:uid="{CA39E4D3-9AAE-4159-9F16-3D4D5908D385}">
      <text>
        <r>
          <rPr>
            <sz val="10"/>
            <color indexed="81"/>
            <rFont val="Lucida Console"/>
            <family val="3"/>
          </rPr>
          <t>_x000D_
ETIQUETA COLAS E FITAS ADESIVAS</t>
        </r>
      </text>
    </comment>
    <comment ref="AW109" authorId="0" shapeId="0" xr:uid="{D9166ACE-1035-4C78-AAB8-C28175135CDE}">
      <text>
        <r>
          <rPr>
            <sz val="10"/>
            <color indexed="81"/>
            <rFont val="Lucida Console"/>
            <family val="3"/>
          </rPr>
          <t>Tempo de Estoque (Meses)_x000D_
_x000D_
7.707,0</t>
        </r>
      </text>
    </comment>
    <comment ref="A110" authorId="0" shapeId="0" xr:uid="{BB9D639D-EC32-40D0-A6FD-AB7C26F0C65C}">
      <text>
        <r>
          <rPr>
            <sz val="10"/>
            <color indexed="81"/>
            <rFont val="Lucida Console"/>
            <family val="3"/>
          </rPr>
          <t>_x000D_
20144</t>
        </r>
      </text>
    </comment>
    <comment ref="B110" authorId="0" shapeId="0" xr:uid="{361DE737-0227-41A3-BB19-424376402366}">
      <text>
        <r>
          <rPr>
            <sz val="10"/>
            <color indexed="81"/>
            <rFont val="Lucida Console"/>
            <family val="3"/>
          </rPr>
          <t>DESCRIÇÃO DETALHADA_x000D_
BROCA DE ACO RAPIDO HELICOIDAL DE 1/4" C/ HASTE CILINDRICA</t>
        </r>
      </text>
    </comment>
    <comment ref="G110" authorId="0" shapeId="0" xr:uid="{2CF7443F-4CDC-475D-8D18-8E7906CC2DB9}">
      <text>
        <r>
          <rPr>
            <sz val="10"/>
            <color indexed="81"/>
            <rFont val="Lucida Console"/>
            <family val="3"/>
          </rPr>
          <t>_x000D_
Últ estimativa : 1.500_x000D_
Enviada em     : 24.11.2020_x000D_
Ata - Venc     : 55/20 - 12.03.2021</t>
        </r>
      </text>
    </comment>
    <comment ref="O110" authorId="0" shapeId="0" xr:uid="{7DAED455-76B3-4178-A1DC-71C8475F8854}">
      <text>
        <r>
          <rPr>
            <sz val="10"/>
            <color indexed="81"/>
            <rFont val="Lucida Console"/>
            <family val="3"/>
          </rPr>
          <t>_x000D_
Pertencia a ATA nº 55/20_x000D_
Estimativa de Renovação enviada em 24.11.2020 - Qtd 1.500_x000D_
PE   2/20 lote _x000D_
23.04.20 = Processo conferido, finalizado.</t>
        </r>
      </text>
    </comment>
    <comment ref="W110" authorId="0" shapeId="0" xr:uid="{B5E2E5B2-6A58-4E73-9ECA-DA151451E608}">
      <text>
        <r>
          <rPr>
            <sz val="10"/>
            <color indexed="81"/>
            <rFont val="Lucida Console"/>
            <family val="3"/>
          </rPr>
          <t>_x000D_
DM-Serralheria</t>
        </r>
      </text>
    </comment>
    <comment ref="X110" authorId="0" shapeId="0" xr:uid="{DF96C195-ECA5-4A66-9416-276CC288F1C3}">
      <text>
        <r>
          <rPr>
            <sz val="10"/>
            <color indexed="81"/>
            <rFont val="Lucida Console"/>
            <family val="3"/>
          </rPr>
          <t>_x000D_
FERRAMENTAS MAQ.FERRAMENTAS,ELETR.PECAS E ACESSORI</t>
        </r>
      </text>
    </comment>
    <comment ref="Y110" authorId="0" shapeId="0" xr:uid="{705C6AB3-8497-467D-B0DB-24953CCF1DFB}">
      <text>
        <r>
          <rPr>
            <sz val="10"/>
            <color indexed="81"/>
            <rFont val="Lucida Console"/>
            <family val="3"/>
          </rPr>
          <t>_x000D_
BROCAS</t>
        </r>
      </text>
    </comment>
    <comment ref="AW110" authorId="0" shapeId="0" xr:uid="{37BD7824-7744-4D4F-AC30-C5270F15F2BF}">
      <text>
        <r>
          <rPr>
            <sz val="10"/>
            <color indexed="81"/>
            <rFont val="Lucida Console"/>
            <family val="3"/>
          </rPr>
          <t>Tempo de Estoque (Meses)_x000D_
_x000D_
217,0</t>
        </r>
      </text>
    </comment>
    <comment ref="A111" authorId="0" shapeId="0" xr:uid="{E1B1D0E5-19C3-48A6-BB8F-17A4C40D4A20}">
      <text>
        <r>
          <rPr>
            <sz val="10"/>
            <color indexed="81"/>
            <rFont val="Lucida Console"/>
            <family val="3"/>
          </rPr>
          <t>_x000D_
141270</t>
        </r>
      </text>
    </comment>
    <comment ref="B111" authorId="0" shapeId="0" xr:uid="{8F192DEC-4D3C-4154-B76A-8A2DF03E74AF}">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111" authorId="0" shapeId="0" xr:uid="{AFF4E16F-171A-4E67-BCAF-2D9C63891E25}">
      <text>
        <r>
          <rPr>
            <sz val="10"/>
            <color indexed="81"/>
            <rFont val="Lucida Console"/>
            <family val="3"/>
          </rPr>
          <t>_x000D_
DM-Pintura</t>
        </r>
      </text>
    </comment>
    <comment ref="X111" authorId="0" shapeId="0" xr:uid="{8EC33D92-EA51-424A-8BD9-330F86C5DB78}">
      <text>
        <r>
          <rPr>
            <sz val="10"/>
            <color indexed="81"/>
            <rFont val="Lucida Console"/>
            <family val="3"/>
          </rPr>
          <t>_x000D_
EQUIP. E MATERIAIS P/PINTURAS E IMPERMEABILIZACAO</t>
        </r>
      </text>
    </comment>
    <comment ref="Y111" authorId="0" shapeId="0" xr:uid="{A5372CBB-6EA2-4964-9462-9AE0E88E625C}">
      <text>
        <r>
          <rPr>
            <sz val="10"/>
            <color indexed="81"/>
            <rFont val="Lucida Console"/>
            <family val="3"/>
          </rPr>
          <t>_x000D_
VERNIZES PRIMERS E TINTAS PARA SOLO</t>
        </r>
      </text>
    </comment>
    <comment ref="Z111" authorId="0" shapeId="0" xr:uid="{38B50788-34E8-47DC-B12B-D2230301821A}">
      <text>
        <r>
          <rPr>
            <sz val="10"/>
            <color indexed="81"/>
            <rFont val="Lucida Console"/>
            <family val="3"/>
          </rPr>
          <t>_x000D_
RC  1.930 / 23  Qtde: 40_x000D_
RC  2.785 / 23  Qtde: 10</t>
        </r>
      </text>
    </comment>
    <comment ref="AW111" authorId="0" shapeId="0" xr:uid="{F52CE162-1EED-40AB-A196-6305BD153F63}">
      <text>
        <r>
          <rPr>
            <sz val="10"/>
            <color indexed="81"/>
            <rFont val="Lucida Console"/>
            <family val="3"/>
          </rPr>
          <t>Tempo de Estoque (Meses)_x000D_
_x000D_
50,0</t>
        </r>
      </text>
    </comment>
    <comment ref="A112" authorId="0" shapeId="0" xr:uid="{A892F5FF-EBBE-490D-9FB8-527B3DC8CB2C}">
      <text>
        <r>
          <rPr>
            <sz val="10"/>
            <color indexed="81"/>
            <rFont val="Lucida Console"/>
            <family val="3"/>
          </rPr>
          <t>_x000D_
15467</t>
        </r>
      </text>
    </comment>
    <comment ref="B112" authorId="0" shapeId="0" xr:uid="{DD7C0A40-80FE-46C1-9A80-CF29A96EBAA6}">
      <text>
        <r>
          <rPr>
            <sz val="10"/>
            <color indexed="81"/>
            <rFont val="Lucida Console"/>
            <family val="3"/>
          </rPr>
          <t>DESCRIÇÃO DETALHADA_x000D_
CONECTOR TIPO SPLIT BOLT-SIMPLES/SIMPLES P/ 2 CABOS DE COBRE DE 35MM2</t>
        </r>
      </text>
    </comment>
    <comment ref="G112" authorId="0" shapeId="0" xr:uid="{456CB185-81A0-449F-8032-74B9DB9025CD}">
      <text>
        <r>
          <rPr>
            <sz val="10"/>
            <color indexed="81"/>
            <rFont val="Lucida Console"/>
            <family val="3"/>
          </rPr>
          <t>_x000D_
Últ estimativa : 200_x000D_
Enviada em     : 30.11.2017_x000D_
Ata - Venc     : 10/17 - 06.02.2018</t>
        </r>
      </text>
    </comment>
    <comment ref="O112" authorId="0" shapeId="0" xr:uid="{84B6575E-F142-43EB-A303-0D4044A65C80}">
      <text>
        <r>
          <rPr>
            <sz val="10"/>
            <color indexed="81"/>
            <rFont val="Lucida Console"/>
            <family val="3"/>
          </rPr>
          <t>_x000D_
Pertencia a ATA nº 10/17_x000D_
Estimativa de Renovação enviada em 30.11.2017 - Qtd 200_x000D_
PP  11/18 lote 13_x000D_
09.04.18 = Processo finalizado. Ata 78/18.</t>
        </r>
      </text>
    </comment>
    <comment ref="W112" authorId="0" shapeId="0" xr:uid="{66E41E02-45B6-4462-AD0D-91B17F2517CB}">
      <text>
        <r>
          <rPr>
            <sz val="10"/>
            <color indexed="81"/>
            <rFont val="Lucida Console"/>
            <family val="3"/>
          </rPr>
          <t>_x000D_
DM-Elétrica</t>
        </r>
      </text>
    </comment>
    <comment ref="X112" authorId="0" shapeId="0" xr:uid="{2265DB76-7F4C-4DFF-84C3-07201EFEC5E4}">
      <text>
        <r>
          <rPr>
            <sz val="10"/>
            <color indexed="81"/>
            <rFont val="Lucida Console"/>
            <family val="3"/>
          </rPr>
          <t>_x000D_
EQUIP. MAT. P/ GERACAO, TRANSM. DISTR. RETIF...</t>
        </r>
      </text>
    </comment>
    <comment ref="Y112" authorId="0" shapeId="0" xr:uid="{384A7355-C7B0-43C9-ACBA-6E3FFD295085}">
      <text>
        <r>
          <rPr>
            <sz val="10"/>
            <color indexed="81"/>
            <rFont val="Lucida Console"/>
            <family val="3"/>
          </rPr>
          <t>_x000D_
CONECTORES</t>
        </r>
      </text>
    </comment>
    <comment ref="AW112" authorId="0" shapeId="0" xr:uid="{1EA51F39-2C27-4C8C-8DFF-D380729F0798}">
      <text>
        <r>
          <rPr>
            <sz val="10"/>
            <color indexed="81"/>
            <rFont val="Lucida Console"/>
            <family val="3"/>
          </rPr>
          <t>Tempo de Estoque (Meses)_x000D_
_x000D_
37,0</t>
        </r>
      </text>
    </comment>
    <comment ref="A113" authorId="0" shapeId="0" xr:uid="{636E4838-E8D9-4C70-AE0D-9F54C9267061}">
      <text>
        <r>
          <rPr>
            <sz val="10"/>
            <color indexed="81"/>
            <rFont val="Lucida Console"/>
            <family val="3"/>
          </rPr>
          <t>_x000D_
139957</t>
        </r>
      </text>
    </comment>
    <comment ref="B113" authorId="0" shapeId="0" xr:uid="{EC14B4B1-DF71-45CC-A5AE-586808C1EE26}">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113" authorId="0" shapeId="0" xr:uid="{E893B3E4-8DCA-41F6-BEDF-70CB85C8B81F}">
      <text>
        <r>
          <rPr>
            <sz val="10"/>
            <color indexed="81"/>
            <rFont val="Lucida Console"/>
            <family val="3"/>
          </rPr>
          <t>_x000D_
Últ estimativa : 5.000_x000D_
Enviada em     : 08.09.2020_x000D_
Ata - Venc     : 105/21 - 07.04.2022</t>
        </r>
      </text>
    </comment>
    <comment ref="O113" authorId="0" shapeId="0" xr:uid="{8CE704EF-5FF3-4610-8A37-8AD46883A553}">
      <text>
        <r>
          <rPr>
            <sz val="10"/>
            <color indexed="81"/>
            <rFont val="Lucida Console"/>
            <family val="3"/>
          </rPr>
          <t xml:space="preserve">_x000D_
Pertencia a ATA nº 105/21_x000D_
Estimativa de Renovação enviada em 08.09.2020 - Qtd 5.000_x000D_
PE  26/21 lote _x000D_
 = </t>
        </r>
      </text>
    </comment>
    <comment ref="W113" authorId="0" shapeId="0" xr:uid="{0370C5AB-F16E-43B1-903A-A1022FEA2F58}">
      <text>
        <r>
          <rPr>
            <sz val="10"/>
            <color indexed="81"/>
            <rFont val="Lucida Console"/>
            <family val="3"/>
          </rPr>
          <t>_x000D_
DM-Construção</t>
        </r>
      </text>
    </comment>
    <comment ref="X113" authorId="0" shapeId="0" xr:uid="{7A9C5945-9E94-43C7-8D2D-7C70A7616288}">
      <text>
        <r>
          <rPr>
            <sz val="10"/>
            <color indexed="81"/>
            <rFont val="Lucida Console"/>
            <family val="3"/>
          </rPr>
          <t>_x000D_
MAT.E EQUIP. P/ CONSTR.CIVIL E CONSERV. DE VIAS PUBL.</t>
        </r>
      </text>
    </comment>
    <comment ref="Y113" authorId="0" shapeId="0" xr:uid="{2F53594D-A7A0-488F-B411-C8C195C80287}">
      <text>
        <r>
          <rPr>
            <sz val="10"/>
            <color indexed="81"/>
            <rFont val="Lucida Console"/>
            <family val="3"/>
          </rPr>
          <t>_x000D_
PISOS DE BORRACHA, PVC E OUTROS COLAVEIS</t>
        </r>
      </text>
    </comment>
    <comment ref="AW113" authorId="0" shapeId="0" xr:uid="{7D22A571-8C21-4F4A-8666-D271C632ED01}">
      <text>
        <r>
          <rPr>
            <sz val="10"/>
            <color indexed="81"/>
            <rFont val="Lucida Console"/>
            <family val="3"/>
          </rPr>
          <t>Tempo de Estoque (Meses)_x000D_
_x000D_
988,0</t>
        </r>
      </text>
    </comment>
    <comment ref="A114" authorId="0" shapeId="0" xr:uid="{EE7ABD22-9747-4D23-AB29-9A1FA1DF98D5}">
      <text>
        <r>
          <rPr>
            <sz val="10"/>
            <color indexed="81"/>
            <rFont val="Lucida Console"/>
            <family val="3"/>
          </rPr>
          <t>_x000D_
13094</t>
        </r>
      </text>
    </comment>
    <comment ref="B114" authorId="0" shapeId="0" xr:uid="{E04F2C89-D0D1-43F8-A32B-B7690664C69F}">
      <text>
        <r>
          <rPr>
            <sz val="10"/>
            <color indexed="81"/>
            <rFont val="Lucida Console"/>
            <family val="3"/>
          </rPr>
          <t>DESCRIÇÃO DETALHADA_x000D_
TARJETA CROMADA 3"</t>
        </r>
      </text>
    </comment>
    <comment ref="G114" authorId="0" shapeId="0" xr:uid="{A7F5A703-074E-4CFC-89C9-9D9A74552695}">
      <text>
        <r>
          <rPr>
            <sz val="10"/>
            <color indexed="81"/>
            <rFont val="Lucida Console"/>
            <family val="3"/>
          </rPr>
          <t>_x000D_
Últ estimativa : 0_x000D_
Enviada em     : 28.01.2021_x000D_
Ata - Venc     : 121/20 - 31.05.2021</t>
        </r>
      </text>
    </comment>
    <comment ref="O114" authorId="0" shapeId="0" xr:uid="{7B88DB21-2568-4C27-887D-A4EB6A6B74B0}">
      <text>
        <r>
          <rPr>
            <sz val="10"/>
            <color indexed="81"/>
            <rFont val="Lucida Console"/>
            <family val="3"/>
          </rPr>
          <t>_x000D_
Pertencia a ATA nº 121/20_x000D_
Estimativa de Renovação enviada em 28.01.2021 - Qtd _x000D_
PE  32/20 lote _x000D_
05.06.20 = Finalizar - Contrato assinado</t>
        </r>
      </text>
    </comment>
    <comment ref="W114" authorId="0" shapeId="0" xr:uid="{80B7B9B4-89D8-43B6-A074-EC7B9793EE63}">
      <text>
        <r>
          <rPr>
            <sz val="10"/>
            <color indexed="81"/>
            <rFont val="Lucida Console"/>
            <family val="3"/>
          </rPr>
          <t>_x000D_
DM-Marcenaria</t>
        </r>
      </text>
    </comment>
    <comment ref="X114" authorId="0" shapeId="0" xr:uid="{AB4B4B9A-859A-4A3C-A189-E5AC90381844}">
      <text>
        <r>
          <rPr>
            <sz val="10"/>
            <color indexed="81"/>
            <rFont val="Lucida Console"/>
            <family val="3"/>
          </rPr>
          <t>_x000D_
MAT.E EQUIP. P/ CONSTR.CIVIL E CONSERV. DE VIAS PUBL.</t>
        </r>
      </text>
    </comment>
    <comment ref="Y114" authorId="0" shapeId="0" xr:uid="{A0CD9ECB-F380-47B6-9F49-971FB26B501C}">
      <text>
        <r>
          <rPr>
            <sz val="10"/>
            <color indexed="81"/>
            <rFont val="Lucida Console"/>
            <family val="3"/>
          </rPr>
          <t>_x000D_
MACANETAS, TRINCOS, TRAMELAS E TRANQUETAS</t>
        </r>
      </text>
    </comment>
    <comment ref="AW114" authorId="0" shapeId="0" xr:uid="{9711E03B-ABCD-4B78-A6B6-4783F0D21696}">
      <text>
        <r>
          <rPr>
            <sz val="10"/>
            <color indexed="81"/>
            <rFont val="Lucida Console"/>
            <family val="3"/>
          </rPr>
          <t>Tempo de Estoque (Meses)_x000D_
_x000D_
423,0</t>
        </r>
      </text>
    </comment>
    <comment ref="A115" authorId="0" shapeId="0" xr:uid="{336B00B4-171E-47BB-9D31-FB583ED8FB28}">
      <text>
        <r>
          <rPr>
            <sz val="10"/>
            <color indexed="81"/>
            <rFont val="Lucida Console"/>
            <family val="3"/>
          </rPr>
          <t>_x000D_
23993</t>
        </r>
      </text>
    </comment>
    <comment ref="B115" authorId="0" shapeId="0" xr:uid="{74D43C94-6A0D-4FCE-9E42-0B8BBB854975}">
      <text>
        <r>
          <rPr>
            <sz val="10"/>
            <color indexed="81"/>
            <rFont val="Lucida Console"/>
            <family val="3"/>
          </rPr>
          <t>DESCRIÇÃO DETALHADA_x000D_
PAPEL CREPOM - RL C/ 48 X 200 CM - ROSA</t>
        </r>
      </text>
    </comment>
    <comment ref="G115" authorId="0" shapeId="0" xr:uid="{3B175F47-CC8E-465E-8E8F-5DC3F3A5CD8F}">
      <text>
        <r>
          <rPr>
            <sz val="10"/>
            <color indexed="81"/>
            <rFont val="Lucida Console"/>
            <family val="3"/>
          </rPr>
          <t>_x000D_
Últ estimativa : 10.000_x000D_
Enviada em     : 19.12.2019_x000D_
Ata - Venc     : 143/21 - 20.05.2022</t>
        </r>
      </text>
    </comment>
    <comment ref="O115" authorId="0" shapeId="0" xr:uid="{410D2741-9C2C-4E94-B714-0146D1718FC3}">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634B22C9-A445-414C-A608-A558FFFD2F43}">
      <text>
        <r>
          <rPr>
            <sz val="10"/>
            <color indexed="81"/>
            <rFont val="Lucida Console"/>
            <family val="3"/>
          </rPr>
          <t>_x000D_
Pedagógico</t>
        </r>
      </text>
    </comment>
    <comment ref="X115" authorId="0" shapeId="0" xr:uid="{C630E551-B0F3-413F-9281-287A57D844FE}">
      <text>
        <r>
          <rPr>
            <sz val="10"/>
            <color indexed="81"/>
            <rFont val="Lucida Console"/>
            <family val="3"/>
          </rPr>
          <t>_x000D_
MAQ. E EQUIP. P/ IND. GRAFICA COMP. ACESS. E PAPEI</t>
        </r>
      </text>
    </comment>
    <comment ref="Y115" authorId="0" shapeId="0" xr:uid="{4B0BAAC4-7BD1-461B-9A0E-58E95691C3B8}">
      <text>
        <r>
          <rPr>
            <sz val="10"/>
            <color indexed="81"/>
            <rFont val="Lucida Console"/>
            <family val="3"/>
          </rPr>
          <t>_x000D_
PAPEIS P/ EMBALAGEM E DECORATIVOS</t>
        </r>
      </text>
    </comment>
    <comment ref="AW115" authorId="0" shapeId="0" xr:uid="{4EA80963-E221-4E5F-AE90-EB49AF719723}">
      <text>
        <r>
          <rPr>
            <sz val="10"/>
            <color indexed="81"/>
            <rFont val="Lucida Console"/>
            <family val="3"/>
          </rPr>
          <t>Tempo de Estoque (Meses)_x000D_
_x000D_
3.165,0</t>
        </r>
      </text>
    </comment>
    <comment ref="A116" authorId="0" shapeId="0" xr:uid="{90E88E4A-FAF5-443D-9B54-2B086DC5F124}">
      <text>
        <r>
          <rPr>
            <sz val="10"/>
            <color indexed="81"/>
            <rFont val="Lucida Console"/>
            <family val="3"/>
          </rPr>
          <t>_x000D_
23996</t>
        </r>
      </text>
    </comment>
    <comment ref="B116" authorId="0" shapeId="0" xr:uid="{A71F1350-F322-4641-A6E5-8B36B394796D}">
      <text>
        <r>
          <rPr>
            <sz val="10"/>
            <color indexed="81"/>
            <rFont val="Lucida Console"/>
            <family val="3"/>
          </rPr>
          <t>DESCRIÇÃO DETALHADA_x000D_
PAPEL CREPOM - RL C/ 48 X 200 CM - VERMELHO</t>
        </r>
      </text>
    </comment>
    <comment ref="G116" authorId="0" shapeId="0" xr:uid="{39D1EE06-3A94-4B41-82DB-3F000E3D1E78}">
      <text>
        <r>
          <rPr>
            <sz val="10"/>
            <color indexed="81"/>
            <rFont val="Lucida Console"/>
            <family val="3"/>
          </rPr>
          <t>_x000D_
Últ estimativa : 10.000_x000D_
Enviada em     : 19.12.2019_x000D_
Ata - Venc     : 143/21 - 20.05.2022</t>
        </r>
      </text>
    </comment>
    <comment ref="O116" authorId="0" shapeId="0" xr:uid="{8BB26739-1B52-4ED8-8AF2-DBB683201B53}">
      <text>
        <r>
          <rPr>
            <sz val="10"/>
            <color indexed="81"/>
            <rFont val="Lucida Console"/>
            <family val="3"/>
          </rPr>
          <t>_x000D_
Pertencia a ATA nº 143/21_x000D_
Estimativa de Renovação enviada em 19.12.2019 - Qtd 10.000_x000D_
PE  61/21 lote _x000D_
30.04.21 = Finalizado. Ata 143/20</t>
        </r>
      </text>
    </comment>
    <comment ref="W116" authorId="0" shapeId="0" xr:uid="{3DD44217-E3CF-4DE9-A818-E81C7D63B652}">
      <text>
        <r>
          <rPr>
            <sz val="10"/>
            <color indexed="81"/>
            <rFont val="Lucida Console"/>
            <family val="3"/>
          </rPr>
          <t>_x000D_
Pedagógico</t>
        </r>
      </text>
    </comment>
    <comment ref="X116" authorId="0" shapeId="0" xr:uid="{7ACCA854-0586-4ADB-A878-CFA342388C98}">
      <text>
        <r>
          <rPr>
            <sz val="10"/>
            <color indexed="81"/>
            <rFont val="Lucida Console"/>
            <family val="3"/>
          </rPr>
          <t>_x000D_
MAQ. E EQUIP. P/ IND. GRAFICA COMP. ACESS. E PAPEI</t>
        </r>
      </text>
    </comment>
    <comment ref="Y116" authorId="0" shapeId="0" xr:uid="{248D0F8C-434B-46DE-94C3-566606BF252C}">
      <text>
        <r>
          <rPr>
            <sz val="10"/>
            <color indexed="81"/>
            <rFont val="Lucida Console"/>
            <family val="3"/>
          </rPr>
          <t>_x000D_
PAPEIS P/ EMBALAGEM E DECORATIVOS</t>
        </r>
      </text>
    </comment>
    <comment ref="AW116" authorId="0" shapeId="0" xr:uid="{31ECD5D0-DF9B-4238-85FB-18CAED85AAA2}">
      <text>
        <r>
          <rPr>
            <sz val="10"/>
            <color indexed="81"/>
            <rFont val="Lucida Console"/>
            <family val="3"/>
          </rPr>
          <t>Tempo de Estoque (Meses)_x000D_
_x000D_
3.181,0</t>
        </r>
      </text>
    </comment>
    <comment ref="A117" authorId="0" shapeId="0" xr:uid="{314BA277-8746-4DF1-B6AC-EA5ABD42B9BB}">
      <text>
        <r>
          <rPr>
            <sz val="10"/>
            <color indexed="81"/>
            <rFont val="Lucida Console"/>
            <family val="3"/>
          </rPr>
          <t>_x000D_
93453</t>
        </r>
      </text>
    </comment>
    <comment ref="B117" authorId="0" shapeId="0" xr:uid="{6A5CB1C7-B9B9-4B81-9DD1-2EAAAA1F7936}">
      <text>
        <r>
          <rPr>
            <sz val="10"/>
            <color indexed="81"/>
            <rFont val="Lucida Console"/>
            <family val="3"/>
          </rPr>
          <t>DESCRIÇÃO DETALHADA_x000D_
PAPEL ESPELHO BRILHANTE (DOBRADURA), MEDINDO 48 X 66 CM - COR: AMARELA</t>
        </r>
      </text>
    </comment>
    <comment ref="G117" authorId="0" shapeId="0" xr:uid="{BF28C594-5C2A-42F3-BBFB-C5348FA7EA60}">
      <text>
        <r>
          <rPr>
            <sz val="10"/>
            <color indexed="81"/>
            <rFont val="Lucida Console"/>
            <family val="3"/>
          </rPr>
          <t>_x000D_
Últ estimativa : 14.000_x000D_
Enviada em     : 19.12.2019_x000D_
Ata - Venc     : 143/21 - 20.05.2022</t>
        </r>
      </text>
    </comment>
    <comment ref="O117" authorId="0" shapeId="0" xr:uid="{688C2E39-9262-4353-94C6-2FA3F3BB92F8}">
      <text>
        <r>
          <rPr>
            <sz val="10"/>
            <color indexed="81"/>
            <rFont val="Lucida Console"/>
            <family val="3"/>
          </rPr>
          <t>_x000D_
Pertencia a ATA nº 143/21_x000D_
Estimativa de Renovação enviada em 19.12.2019 - Qtd 14.000_x000D_
PE  61/21 lote _x000D_
30.04.21 = Finalizado. Ata 143/20</t>
        </r>
      </text>
    </comment>
    <comment ref="W117" authorId="0" shapeId="0" xr:uid="{B1CBB803-4ACA-4BD7-AF3A-C6EB3D099F98}">
      <text>
        <r>
          <rPr>
            <sz val="10"/>
            <color indexed="81"/>
            <rFont val="Lucida Console"/>
            <family val="3"/>
          </rPr>
          <t>_x000D_
Pedagógico</t>
        </r>
      </text>
    </comment>
    <comment ref="X117" authorId="0" shapeId="0" xr:uid="{4C3F510E-8396-4964-8B74-697EE9330B7B}">
      <text>
        <r>
          <rPr>
            <sz val="10"/>
            <color indexed="81"/>
            <rFont val="Lucida Console"/>
            <family val="3"/>
          </rPr>
          <t>_x000D_
MAQ. E EQUIP. P/ IND. GRAFICA COMP. ACESS. E PAPEI</t>
        </r>
      </text>
    </comment>
    <comment ref="Y117" authorId="0" shapeId="0" xr:uid="{728BFA6D-5ED1-4385-80D3-03BE83A25C3F}">
      <text>
        <r>
          <rPr>
            <sz val="10"/>
            <color indexed="81"/>
            <rFont val="Lucida Console"/>
            <family val="3"/>
          </rPr>
          <t>_x000D_
PAPEIS P/ EMBALAGEM E DECORATIVOS</t>
        </r>
      </text>
    </comment>
    <comment ref="AW117" authorId="0" shapeId="0" xr:uid="{72101E77-CE27-4EF1-918C-9828354A25CF}">
      <text>
        <r>
          <rPr>
            <sz val="10"/>
            <color indexed="81"/>
            <rFont val="Lucida Console"/>
            <family val="3"/>
          </rPr>
          <t>Tempo de Estoque (Meses)_x000D_
_x000D_
3.300,0</t>
        </r>
      </text>
    </comment>
    <comment ref="A118" authorId="0" shapeId="0" xr:uid="{7E74CE28-3F39-4865-921F-443FF002CF7B}">
      <text>
        <r>
          <rPr>
            <sz val="10"/>
            <color indexed="81"/>
            <rFont val="Lucida Console"/>
            <family val="3"/>
          </rPr>
          <t>_x000D_
93462</t>
        </r>
      </text>
    </comment>
    <comment ref="B118" authorId="0" shapeId="0" xr:uid="{C5E624E9-5296-4309-AE51-DA3AE59C25B8}">
      <text>
        <r>
          <rPr>
            <sz val="10"/>
            <color indexed="81"/>
            <rFont val="Lucida Console"/>
            <family val="3"/>
          </rPr>
          <t>DESCRIÇÃO DETALHADA_x000D_
PAPEL ESPELHO BRILHANTE (DOBRADURA), MEDINDO 48 X 66 CM - COR: VERMELHA</t>
        </r>
      </text>
    </comment>
    <comment ref="G118" authorId="0" shapeId="0" xr:uid="{7F6F2F4A-B34F-4761-B099-C38F349F303F}">
      <text>
        <r>
          <rPr>
            <sz val="10"/>
            <color indexed="81"/>
            <rFont val="Lucida Console"/>
            <family val="3"/>
          </rPr>
          <t>_x000D_
Últ estimativa : 14.000_x000D_
Enviada em     : 19.12.2019_x000D_
Ata - Venc     : 143/21 - 20.05.2022</t>
        </r>
      </text>
    </comment>
    <comment ref="O118" authorId="0" shapeId="0" xr:uid="{F54C6E72-8062-4E56-9876-29E15FDDBED0}">
      <text>
        <r>
          <rPr>
            <sz val="10"/>
            <color indexed="81"/>
            <rFont val="Lucida Console"/>
            <family val="3"/>
          </rPr>
          <t>_x000D_
Pertencia a ATA nº 143/21_x000D_
Estimativa de Renovação enviada em 19.12.2019 - Qtd 14.000_x000D_
PE  61/21 lote _x000D_
30.04.21 = Finalizado. Ata 143/20</t>
        </r>
      </text>
    </comment>
    <comment ref="W118" authorId="0" shapeId="0" xr:uid="{6B697CFD-C2B2-4624-B8D8-18DAEE769162}">
      <text>
        <r>
          <rPr>
            <sz val="10"/>
            <color indexed="81"/>
            <rFont val="Lucida Console"/>
            <family val="3"/>
          </rPr>
          <t>_x000D_
Pedagógico</t>
        </r>
      </text>
    </comment>
    <comment ref="X118" authorId="0" shapeId="0" xr:uid="{CEDE36DD-0024-455E-8F0D-5C54BEE4A9B5}">
      <text>
        <r>
          <rPr>
            <sz val="10"/>
            <color indexed="81"/>
            <rFont val="Lucida Console"/>
            <family val="3"/>
          </rPr>
          <t>_x000D_
MAQ. E EQUIP. P/ IND. GRAFICA COMP. ACESS. E PAPEI</t>
        </r>
      </text>
    </comment>
    <comment ref="Y118" authorId="0" shapeId="0" xr:uid="{6908E226-5827-4AE1-BE5A-219DF2966582}">
      <text>
        <r>
          <rPr>
            <sz val="10"/>
            <color indexed="81"/>
            <rFont val="Lucida Console"/>
            <family val="3"/>
          </rPr>
          <t>_x000D_
PAPEIS P/ EMBALAGEM E DECORATIVOS</t>
        </r>
      </text>
    </comment>
    <comment ref="AW118" authorId="0" shapeId="0" xr:uid="{1202006C-7389-4289-A986-4B197D567734}">
      <text>
        <r>
          <rPr>
            <sz val="10"/>
            <color indexed="81"/>
            <rFont val="Lucida Console"/>
            <family val="3"/>
          </rPr>
          <t>Tempo de Estoque (Meses)_x000D_
_x000D_
3.300,0</t>
        </r>
      </text>
    </comment>
    <comment ref="A119" authorId="0" shapeId="0" xr:uid="{20E79BAB-049B-4271-BEBB-E65590C0D291}">
      <text>
        <r>
          <rPr>
            <sz val="10"/>
            <color indexed="81"/>
            <rFont val="Lucida Console"/>
            <family val="3"/>
          </rPr>
          <t>_x000D_
133849</t>
        </r>
      </text>
    </comment>
    <comment ref="B119" authorId="0" shapeId="0" xr:uid="{D5DA6D22-3AC2-497E-A068-C78B486F9E85}">
      <text>
        <r>
          <rPr>
            <sz val="10"/>
            <color indexed="81"/>
            <rFont val="Lucida Console"/>
            <family val="3"/>
          </rPr>
          <t>DESCRIÇÃO DETALHADA_x000D_
CARTOLINA DUPLA FACE / COLOR SET VERDE ESCURO (COR VIVA, VIBRANTE, UNIFORME E SEM MANCHAS) - 48 X 66 CM (VARIACAO +/- 5 CM)</t>
        </r>
      </text>
    </comment>
    <comment ref="G119" authorId="0" shapeId="0" xr:uid="{4B2A4C2B-BFF1-4DC3-BF22-60174A971DC8}">
      <text>
        <r>
          <rPr>
            <sz val="10"/>
            <color indexed="81"/>
            <rFont val="Lucida Console"/>
            <family val="3"/>
          </rPr>
          <t>_x000D_
Últ estimativa : 25.000_x000D_
Enviada em     : 19.12.2019_x000D_
Ata - Venc     : 143/21 - 20.05.2022</t>
        </r>
      </text>
    </comment>
    <comment ref="O119" authorId="0" shapeId="0" xr:uid="{56668D3F-E422-46CC-9DD3-F89BC2155696}">
      <text>
        <r>
          <rPr>
            <sz val="10"/>
            <color indexed="81"/>
            <rFont val="Lucida Console"/>
            <family val="3"/>
          </rPr>
          <t>_x000D_
Pertencia a ATA nº 143/21_x000D_
Estimativa de Renovação enviada em 19.12.2019 - Qtd 25.000_x000D_
PE  61/21 lote _x000D_
30.04.21 = Finalizado. Ata 143/20</t>
        </r>
      </text>
    </comment>
    <comment ref="W119" authorId="0" shapeId="0" xr:uid="{47BDEDC4-2FF2-418C-BCC8-91B0EACD6504}">
      <text>
        <r>
          <rPr>
            <sz val="10"/>
            <color indexed="81"/>
            <rFont val="Lucida Console"/>
            <family val="3"/>
          </rPr>
          <t>_x000D_
Pedagógico</t>
        </r>
      </text>
    </comment>
    <comment ref="X119" authorId="0" shapeId="0" xr:uid="{87EB81D0-5129-49C4-A89D-297FDFDE1F1F}">
      <text>
        <r>
          <rPr>
            <sz val="10"/>
            <color indexed="81"/>
            <rFont val="Lucida Console"/>
            <family val="3"/>
          </rPr>
          <t>_x000D_
MAQ. E EQUIP. P/ IND. GRAFICA COMP. ACESS. E PAPEI</t>
        </r>
      </text>
    </comment>
    <comment ref="Y119" authorId="0" shapeId="0" xr:uid="{CF2533F5-19FB-4386-B357-031ABD17E917}">
      <text>
        <r>
          <rPr>
            <sz val="10"/>
            <color indexed="81"/>
            <rFont val="Lucida Console"/>
            <family val="3"/>
          </rPr>
          <t>_x000D_
CARTOES E CARTOLINA</t>
        </r>
      </text>
    </comment>
    <comment ref="AW119" authorId="0" shapeId="0" xr:uid="{BFEF3B78-17A5-427B-83ED-83951D41D5E3}">
      <text>
        <r>
          <rPr>
            <sz val="10"/>
            <color indexed="81"/>
            <rFont val="Lucida Console"/>
            <family val="3"/>
          </rPr>
          <t>Tempo de Estoque (Meses)_x000D_
_x000D_
7.740,0</t>
        </r>
      </text>
    </comment>
    <comment ref="A120" authorId="0" shapeId="0" xr:uid="{92BB689D-0BB3-4B3F-A436-F35E0C79AB7A}">
      <text>
        <r>
          <rPr>
            <sz val="10"/>
            <color indexed="81"/>
            <rFont val="Lucida Console"/>
            <family val="3"/>
          </rPr>
          <t>_x000D_
35555</t>
        </r>
      </text>
    </comment>
    <comment ref="B120" authorId="0" shapeId="0" xr:uid="{C60FB729-7BB2-4820-9EB3-912DA477F8C5}">
      <text>
        <r>
          <rPr>
            <sz val="10"/>
            <color indexed="81"/>
            <rFont val="Lucida Console"/>
            <family val="3"/>
          </rPr>
          <t>DESCRIÇÃO DETALHADA_x000D_
LIXA DE PAPEL P/ MADEIRA EM FOLHA DE 225 X 275 MM - N° 120</t>
        </r>
      </text>
    </comment>
    <comment ref="G120" authorId="0" shapeId="0" xr:uid="{DD4FABA0-8996-409B-A3E6-BE94514BABD1}">
      <text>
        <r>
          <rPr>
            <sz val="10"/>
            <color indexed="81"/>
            <rFont val="Lucida Console"/>
            <family val="3"/>
          </rPr>
          <t>_x000D_
Últ estimativa : 0_x000D_
Enviada em     : 12.05.2020_x000D_
Ata - Venc     : 254/20 - 28.10.2021</t>
        </r>
      </text>
    </comment>
    <comment ref="O120" authorId="0" shapeId="0" xr:uid="{95610F24-DF6C-4FA7-8E5E-908A31507EAC}">
      <text>
        <r>
          <rPr>
            <sz val="10"/>
            <color indexed="81"/>
            <rFont val="Lucida Console"/>
            <family val="3"/>
          </rPr>
          <t>_x000D_
Pertencia a ATA nº 254/20_x000D_
Estimativa de Renovação enviada em 12.05.2020 - Qtd _x000D_
PE 147/20 lote _x000D_
04.09.20 = Finalizado. Ata 254/20</t>
        </r>
      </text>
    </comment>
    <comment ref="W120" authorId="0" shapeId="0" xr:uid="{908069BD-8A86-4012-9A22-D44E425B6389}">
      <text>
        <r>
          <rPr>
            <sz val="10"/>
            <color indexed="81"/>
            <rFont val="Lucida Console"/>
            <family val="3"/>
          </rPr>
          <t>_x000D_
DM-Serralheria</t>
        </r>
      </text>
    </comment>
    <comment ref="X120" authorId="0" shapeId="0" xr:uid="{AE132D9A-E4AE-4AE7-92A0-342D376B107F}">
      <text>
        <r>
          <rPr>
            <sz val="10"/>
            <color indexed="81"/>
            <rFont val="Lucida Console"/>
            <family val="3"/>
          </rPr>
          <t>_x000D_
ABRASIVOS</t>
        </r>
      </text>
    </comment>
    <comment ref="Y120" authorId="0" shapeId="0" xr:uid="{F414B2D3-872B-40AA-B78E-715C46F7FF82}">
      <text>
        <r>
          <rPr>
            <sz val="10"/>
            <color indexed="81"/>
            <rFont val="Lucida Console"/>
            <family val="3"/>
          </rPr>
          <t>_x000D_
LIXAS EM FOLHA</t>
        </r>
      </text>
    </comment>
    <comment ref="AW120" authorId="0" shapeId="0" xr:uid="{503DF32F-F31B-457D-A0AD-B98A8882A73A}">
      <text>
        <r>
          <rPr>
            <sz val="10"/>
            <color indexed="81"/>
            <rFont val="Lucida Console"/>
            <family val="3"/>
          </rPr>
          <t>Tempo de Estoque (Meses)_x000D_
_x000D_
63,0</t>
        </r>
      </text>
    </comment>
    <comment ref="A121" authorId="0" shapeId="0" xr:uid="{BE43E0EE-E125-42F3-98EF-3FFEC34B3B58}">
      <text>
        <r>
          <rPr>
            <sz val="10"/>
            <color indexed="81"/>
            <rFont val="Lucida Console"/>
            <family val="3"/>
          </rPr>
          <t>_x000D_
134373</t>
        </r>
      </text>
    </comment>
    <comment ref="B121" authorId="0" shapeId="0" xr:uid="{5B1C581D-80E8-40BB-ACAD-877B61F873C4}">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21" authorId="0" shapeId="0" xr:uid="{D64E2DCD-F0C8-4321-B34B-2621C58B5EDB}">
      <text>
        <r>
          <rPr>
            <sz val="10"/>
            <color indexed="81"/>
            <rFont val="Lucida Console"/>
            <family val="3"/>
          </rPr>
          <t>_x000D_
Últ estimativa : 30.000_x000D_
Enviada em     : 19.05.2020_x000D_
Ata - Venc     : 281/20 - 15.11.2021</t>
        </r>
      </text>
    </comment>
    <comment ref="O121" authorId="0" shapeId="0" xr:uid="{988B308A-2BFB-4F96-B05D-D9C459424F4A}">
      <text>
        <r>
          <rPr>
            <sz val="10"/>
            <color indexed="81"/>
            <rFont val="Lucida Console"/>
            <family val="3"/>
          </rPr>
          <t>_x000D_
Pertencia a ATA nº 281/20_x000D_
Estimativa de Renovação enviada em 19.05.2020 - Qtd 30.000_x000D_
PP  77/19 lote _x000D_
26.09.19 = Finalizar contrato assinado.</t>
        </r>
      </text>
    </comment>
    <comment ref="W121" authorId="0" shapeId="0" xr:uid="{36037274-00B3-48C0-99B8-E629165C8A06}">
      <text>
        <r>
          <rPr>
            <sz val="10"/>
            <color indexed="81"/>
            <rFont val="Lucida Console"/>
            <family val="3"/>
          </rPr>
          <t>_x000D_
DM-Elétrica</t>
        </r>
      </text>
    </comment>
    <comment ref="X121" authorId="0" shapeId="0" xr:uid="{D2B30ADE-17A4-4DAC-A1D0-922DC7E39470}">
      <text>
        <r>
          <rPr>
            <sz val="10"/>
            <color indexed="81"/>
            <rFont val="Lucida Console"/>
            <family val="3"/>
          </rPr>
          <t>_x000D_
EQUIP. MAT. P/ GERACAO, TRANSM. DISTR. RETIF...</t>
        </r>
      </text>
    </comment>
    <comment ref="Y121" authorId="0" shapeId="0" xr:uid="{BB5D8818-0B65-41F3-94D7-F7349B4A228F}">
      <text>
        <r>
          <rPr>
            <sz val="10"/>
            <color indexed="81"/>
            <rFont val="Lucida Console"/>
            <family val="3"/>
          </rPr>
          <t>_x000D_
LAMPADAS DE LED</t>
        </r>
      </text>
    </comment>
    <comment ref="AW121" authorId="0" shapeId="0" xr:uid="{C04A2F17-DE45-4931-A62E-92EE0722CAAE}">
      <text>
        <r>
          <rPr>
            <sz val="10"/>
            <color indexed="81"/>
            <rFont val="Lucida Console"/>
            <family val="3"/>
          </rPr>
          <t>Tempo de Estoque (Meses)_x000D_
_x000D_
3.898,0</t>
        </r>
      </text>
    </comment>
    <comment ref="A122" authorId="0" shapeId="0" xr:uid="{2861C329-3238-4689-87DE-50CF984F3D70}">
      <text>
        <r>
          <rPr>
            <sz val="10"/>
            <color indexed="81"/>
            <rFont val="Lucida Console"/>
            <family val="3"/>
          </rPr>
          <t>_x000D_
140028</t>
        </r>
      </text>
    </comment>
    <comment ref="B122" authorId="0" shapeId="0" xr:uid="{026EBE5F-0930-428D-B070-D3245D99EED2}">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22" authorId="0" shapeId="0" xr:uid="{A09EB87B-A88B-4682-AA22-E5A7CE89E350}">
      <text>
        <r>
          <rPr>
            <sz val="10"/>
            <color indexed="81"/>
            <rFont val="Lucida Console"/>
            <family val="3"/>
          </rPr>
          <t>_x000D_
Últ estimativa : 0_x000D_
Enviada em     : 12.11.2020_x000D_
Ata - Venc     : 61/21 - 04.03.2022</t>
        </r>
      </text>
    </comment>
    <comment ref="O122" authorId="0" shapeId="0" xr:uid="{380D734A-5922-4282-A7AE-6435F3CDBEFA}">
      <text>
        <r>
          <rPr>
            <sz val="10"/>
            <color indexed="81"/>
            <rFont val="Lucida Console"/>
            <family val="3"/>
          </rPr>
          <t>_x000D_
Pertencia a ATA nº 61/21_x000D_
Estimativa de Renovação enviada em 12.11.2020 - Qtd _x000D_
PE  11/21 lote _x000D_
19.02.21 = Finalizado</t>
        </r>
      </text>
    </comment>
    <comment ref="W122" authorId="0" shapeId="0" xr:uid="{29C008CC-569C-4818-892E-A09E040A7C34}">
      <text>
        <r>
          <rPr>
            <sz val="10"/>
            <color indexed="81"/>
            <rFont val="Lucida Console"/>
            <family val="3"/>
          </rPr>
          <t>_x000D_
DM-Elétrica</t>
        </r>
      </text>
    </comment>
    <comment ref="X122" authorId="0" shapeId="0" xr:uid="{D6551C4D-683F-4EAE-A4BA-0F78108CE615}">
      <text>
        <r>
          <rPr>
            <sz val="10"/>
            <color indexed="81"/>
            <rFont val="Lucida Console"/>
            <family val="3"/>
          </rPr>
          <t>_x000D_
EQUIP. MAT. P/ GERACAO, TRANSM. DISTR. RETIF...</t>
        </r>
      </text>
    </comment>
    <comment ref="Y122" authorId="0" shapeId="0" xr:uid="{FDB46D47-E0DC-45CB-92AA-6D886D59D8B9}">
      <text>
        <r>
          <rPr>
            <sz val="10"/>
            <color indexed="81"/>
            <rFont val="Lucida Console"/>
            <family val="3"/>
          </rPr>
          <t>_x000D_
FIOS E CABOS ELETRICOS</t>
        </r>
      </text>
    </comment>
    <comment ref="AW122" authorId="0" shapeId="0" xr:uid="{92DE3772-C720-4C57-A428-56794732BE66}">
      <text>
        <r>
          <rPr>
            <sz val="10"/>
            <color indexed="81"/>
            <rFont val="Lucida Console"/>
            <family val="3"/>
          </rPr>
          <t>Tempo de Estoque (Meses)_x000D_
_x000D_
849,0</t>
        </r>
      </text>
    </comment>
    <comment ref="A123" authorId="0" shapeId="0" xr:uid="{1EBA6FBE-C4C4-420F-ACCA-43C3828D8D6A}">
      <text>
        <r>
          <rPr>
            <sz val="10"/>
            <color indexed="81"/>
            <rFont val="Lucida Console"/>
            <family val="3"/>
          </rPr>
          <t>_x000D_
109944</t>
        </r>
      </text>
    </comment>
    <comment ref="B123" authorId="0" shapeId="0" xr:uid="{B1ADBA1F-D959-426E-8E45-837974C0DFC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3" authorId="0" shapeId="0" xr:uid="{0064C85F-432F-406E-919D-59CEB6769CD1}">
      <text>
        <r>
          <rPr>
            <sz val="10"/>
            <color indexed="81"/>
            <rFont val="Lucida Console"/>
            <family val="3"/>
          </rPr>
          <t>_x000D_
Últ estimativa : 500_x000D_
Enviada em     : 24.11.2020_x000D_
Ata - Venc     : 90/21 - 28.03.2022</t>
        </r>
      </text>
    </comment>
    <comment ref="O123" authorId="0" shapeId="0" xr:uid="{F5E1B64E-682A-4D18-AAE2-41658185CD1B}">
      <text>
        <r>
          <rPr>
            <sz val="10"/>
            <color indexed="81"/>
            <rFont val="Lucida Console"/>
            <family val="3"/>
          </rPr>
          <t>_x000D_
Pertencia a ATA nº 90/21_x000D_
Estimativa de Renovação enviada em 24.11.2020 - Qtd 500_x000D_
PE  23/21 lote _x000D_
08.03.21 = Processo finalizado. Ata 90/21.</t>
        </r>
      </text>
    </comment>
    <comment ref="W123" authorId="0" shapeId="0" xr:uid="{42382A48-CFC5-4719-BDD2-32237FB4FA0C}">
      <text>
        <r>
          <rPr>
            <sz val="10"/>
            <color indexed="81"/>
            <rFont val="Lucida Console"/>
            <family val="3"/>
          </rPr>
          <t>_x000D_
DM-Marcenaria</t>
        </r>
      </text>
    </comment>
    <comment ref="X123" authorId="0" shapeId="0" xr:uid="{8C58D181-9076-4D76-9998-43BA87643EE8}">
      <text>
        <r>
          <rPr>
            <sz val="10"/>
            <color indexed="81"/>
            <rFont val="Lucida Console"/>
            <family val="3"/>
          </rPr>
          <t>_x000D_
MADEIRAS,LAMINADOS,COMPENSADOS E AGLOMERADOS</t>
        </r>
      </text>
    </comment>
    <comment ref="Y123" authorId="0" shapeId="0" xr:uid="{6CF85474-9E08-44E9-8EB8-F0C3DE9EA180}">
      <text>
        <r>
          <rPr>
            <sz val="10"/>
            <color indexed="81"/>
            <rFont val="Lucida Console"/>
            <family val="3"/>
          </rPr>
          <t>_x000D_
CHAPAS COMPENSADAS RESINADAS/PLASTIFICADAS</t>
        </r>
      </text>
    </comment>
    <comment ref="AW123" authorId="0" shapeId="0" xr:uid="{1838C734-1D9D-4996-8C1D-7982F92445CF}">
      <text>
        <r>
          <rPr>
            <sz val="10"/>
            <color indexed="81"/>
            <rFont val="Lucida Console"/>
            <family val="3"/>
          </rPr>
          <t>Tempo de Estoque (Meses)_x000D_
_x000D_
190,0</t>
        </r>
      </text>
    </comment>
    <comment ref="A124" authorId="0" shapeId="0" xr:uid="{7251629B-EB09-4CCC-B318-EAB6DAD752A8}">
      <text>
        <r>
          <rPr>
            <sz val="10"/>
            <color indexed="81"/>
            <rFont val="Lucida Console"/>
            <family val="3"/>
          </rPr>
          <t>_x000D_
136408</t>
        </r>
      </text>
    </comment>
    <comment ref="B124" authorId="0" shapeId="0" xr:uid="{079A2FD3-43B6-4185-8028-269A9276957E}">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124" authorId="0" shapeId="0" xr:uid="{DCD7C554-9582-4A8A-878A-89FABC8C360C}">
      <text>
        <r>
          <rPr>
            <sz val="10"/>
            <color indexed="81"/>
            <rFont val="Lucida Console"/>
            <family val="3"/>
          </rPr>
          <t>_x000D_
Pedagógico</t>
        </r>
      </text>
    </comment>
    <comment ref="X124" authorId="0" shapeId="0" xr:uid="{20DC5D25-4279-4789-91BE-D182FF969934}">
      <text>
        <r>
          <rPr>
            <sz val="10"/>
            <color indexed="81"/>
            <rFont val="Lucida Console"/>
            <family val="3"/>
          </rPr>
          <t>_x000D_
MAQ., EQUIP., COMP., ACES., MAT. PARA ESCRIT.E ESCOLAR</t>
        </r>
      </text>
    </comment>
    <comment ref="Y124" authorId="0" shapeId="0" xr:uid="{099DFB90-4BCC-4643-AFD7-CB3AC2CBB69A}">
      <text>
        <r>
          <rPr>
            <sz val="10"/>
            <color indexed="81"/>
            <rFont val="Lucida Console"/>
            <family val="3"/>
          </rPr>
          <t>_x000D_
ETIQUETA COLAS E FITAS ADESIVAS</t>
        </r>
      </text>
    </comment>
    <comment ref="AW124" authorId="0" shapeId="0" xr:uid="{EA93B623-F510-4D5D-A669-2754C29B5352}">
      <text>
        <r>
          <rPr>
            <sz val="10"/>
            <color indexed="81"/>
            <rFont val="Lucida Console"/>
            <family val="3"/>
          </rPr>
          <t>Tempo de Estoque (Meses)_x000D_
_x000D_
11.700,0</t>
        </r>
      </text>
    </comment>
    <comment ref="A125" authorId="0" shapeId="0" xr:uid="{76E8DB3F-DE28-4020-B3EF-D2A6D65E72A3}">
      <text>
        <r>
          <rPr>
            <sz val="10"/>
            <color indexed="81"/>
            <rFont val="Lucida Console"/>
            <family val="3"/>
          </rPr>
          <t>_x000D_
82452</t>
        </r>
      </text>
    </comment>
    <comment ref="B125" authorId="0" shapeId="0" xr:uid="{6715EB00-8760-40A7-A21F-2D790828C196}">
      <text>
        <r>
          <rPr>
            <sz val="10"/>
            <color indexed="81"/>
            <rFont val="Lucida Console"/>
            <family val="3"/>
          </rPr>
          <t>DESCRIÇÃO DETALHADA_x000D_
BUCHA DE REDUCAO EM LATAO 3/4 X 1/2</t>
        </r>
      </text>
    </comment>
    <comment ref="G125" authorId="0" shapeId="0" xr:uid="{07DBE763-DE1A-40B5-B0EC-857B42A4F50A}">
      <text>
        <r>
          <rPr>
            <sz val="10"/>
            <color indexed="81"/>
            <rFont val="Lucida Console"/>
            <family val="3"/>
          </rPr>
          <t>_x000D_
Últ estimativa : 50_x000D_
Enviada em     : 17.12.2020_x000D_
Ata - Venc     : 101/20 - 27.04.2021</t>
        </r>
      </text>
    </comment>
    <comment ref="O125" authorId="0" shapeId="0" xr:uid="{06FC93FB-842C-464D-A550-DAAAA9BDE8C2}">
      <text>
        <r>
          <rPr>
            <sz val="10"/>
            <color indexed="81"/>
            <rFont val="Lucida Console"/>
            <family val="3"/>
          </rPr>
          <t>_x000D_
Pertencia a ATA nº 101/20_x000D_
Estimativa de Renovação enviada em 17.12.2020 - Qtd 50_x000D_
PE  16/20 lote 76_x000D_
18.05.20 = Processo conferido, finalizado.</t>
        </r>
      </text>
    </comment>
    <comment ref="W125" authorId="0" shapeId="0" xr:uid="{AB6958A2-C675-47DD-93D2-7677ABE6E0F8}">
      <text>
        <r>
          <rPr>
            <sz val="10"/>
            <color indexed="81"/>
            <rFont val="Lucida Console"/>
            <family val="3"/>
          </rPr>
          <t>_x000D_
DM-Hidráulica</t>
        </r>
      </text>
    </comment>
    <comment ref="X125" authorId="0" shapeId="0" xr:uid="{D7FED566-1815-44DA-B1CE-CABAD579EDD8}">
      <text>
        <r>
          <rPr>
            <sz val="10"/>
            <color indexed="81"/>
            <rFont val="Lucida Console"/>
            <family val="3"/>
          </rPr>
          <t>_x000D_
MATERIAL HIDRAULICO, CANOS, TUBOS, MANGUEIRAS, CONEXOES E ACESS.</t>
        </r>
      </text>
    </comment>
    <comment ref="Y125" authorId="0" shapeId="0" xr:uid="{72A39E96-02B2-4CD6-8348-2B1F87CBA5D1}">
      <text>
        <r>
          <rPr>
            <sz val="10"/>
            <color indexed="81"/>
            <rFont val="Lucida Console"/>
            <family val="3"/>
          </rPr>
          <t>_x000D_
ADAP. LUVAS.TES CURVAS COTOVELOS PLUGS FLANGES.....</t>
        </r>
      </text>
    </comment>
    <comment ref="AW125" authorId="0" shapeId="0" xr:uid="{8CA6C527-62DF-4BE4-B13B-3F16158EDE9F}">
      <text>
        <r>
          <rPr>
            <sz val="10"/>
            <color indexed="81"/>
            <rFont val="Lucida Console"/>
            <family val="3"/>
          </rPr>
          <t>Tempo de Estoque (Meses)_x000D_
_x000D_
52,0</t>
        </r>
      </text>
    </comment>
    <comment ref="A126" authorId="0" shapeId="0" xr:uid="{FC28BA09-3E36-400B-B6FB-F5A84659AB15}">
      <text>
        <r>
          <rPr>
            <sz val="10"/>
            <color indexed="81"/>
            <rFont val="Lucida Console"/>
            <family val="3"/>
          </rPr>
          <t>_x000D_
134581</t>
        </r>
      </text>
    </comment>
    <comment ref="B126" authorId="0" shapeId="0" xr:uid="{CB810686-C162-4AD4-ADE7-EECE073E0E11}">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6" authorId="0" shapeId="0" xr:uid="{A8FC9249-B8DE-4CDC-B2A1-A5F5D4BB622D}">
      <text>
        <r>
          <rPr>
            <sz val="10"/>
            <color indexed="81"/>
            <rFont val="Lucida Console"/>
            <family val="3"/>
          </rPr>
          <t>_x000D_
Últ estimativa : 60_x000D_
Enviada em     : 31.07.2019_x000D_
Ata - Venc     : 191/20 - 07.09.2021</t>
        </r>
      </text>
    </comment>
    <comment ref="O126" authorId="0" shapeId="0" xr:uid="{1832C9EB-561C-4645-A862-D3FF570A124A}">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6" authorId="0" shapeId="0" xr:uid="{F3D5C90C-0E3F-4C29-88AC-B112041DD4D4}">
      <text>
        <r>
          <rPr>
            <sz val="10"/>
            <color indexed="81"/>
            <rFont val="Lucida Console"/>
            <family val="3"/>
          </rPr>
          <t>_x000D_
DM-Hidráulica</t>
        </r>
      </text>
    </comment>
    <comment ref="X126" authorId="0" shapeId="0" xr:uid="{0B43941F-9EFD-402A-A838-BFE2747C29B0}">
      <text>
        <r>
          <rPr>
            <sz val="10"/>
            <color indexed="81"/>
            <rFont val="Lucida Console"/>
            <family val="3"/>
          </rPr>
          <t>_x000D_
MATERIAL HIDRAULICO, CANOS, TUBOS, MANGUEIRAS, CONEXOES E ACESS.</t>
        </r>
      </text>
    </comment>
    <comment ref="Y126" authorId="0" shapeId="0" xr:uid="{9DAE7C86-8C61-4569-B1D9-00793F3E11C6}">
      <text>
        <r>
          <rPr>
            <sz val="10"/>
            <color indexed="81"/>
            <rFont val="Lucida Console"/>
            <family val="3"/>
          </rPr>
          <t>_x000D_
TORNEIRAS VOLANTES CANOPLAS E ACESS. P/ MANGUEIRA</t>
        </r>
      </text>
    </comment>
    <comment ref="AW126" authorId="0" shapeId="0" xr:uid="{BD18CFD2-E682-46BF-9680-AB2C20D3BBD0}">
      <text>
        <r>
          <rPr>
            <sz val="10"/>
            <color indexed="81"/>
            <rFont val="Lucida Console"/>
            <family val="3"/>
          </rPr>
          <t>Tempo de Estoque (Meses)_x000D_
_x000D_
20,0</t>
        </r>
      </text>
    </comment>
    <comment ref="A127" authorId="0" shapeId="0" xr:uid="{8DD3C23A-EB0B-45EF-A22B-CFDB2B620D17}">
      <text>
        <r>
          <rPr>
            <sz val="10"/>
            <color indexed="81"/>
            <rFont val="Lucida Console"/>
            <family val="3"/>
          </rPr>
          <t>_x000D_
134247</t>
        </r>
      </text>
    </comment>
    <comment ref="B127" authorId="0" shapeId="0" xr:uid="{C1A68FE2-0289-4948-BE72-537621BC7058}">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127" authorId="0" shapeId="0" xr:uid="{70DDF63D-3FB1-48CE-8828-567D96CC53F5}">
      <text>
        <r>
          <rPr>
            <sz val="10"/>
            <color indexed="81"/>
            <rFont val="Lucida Console"/>
            <family val="3"/>
          </rPr>
          <t>_x000D_
Últ estimativa : 200_x000D_
Enviada em     : 19.05.2021_x000D_
Ata - Venc     : 202/20 - 10.09.2021</t>
        </r>
      </text>
    </comment>
    <comment ref="W127" authorId="0" shapeId="0" xr:uid="{BB11F942-05A4-4ACE-A730-2F4FFF8292C8}">
      <text>
        <r>
          <rPr>
            <sz val="10"/>
            <color indexed="81"/>
            <rFont val="Lucida Console"/>
            <family val="3"/>
          </rPr>
          <t>_x000D_
DM-Construção</t>
        </r>
      </text>
    </comment>
    <comment ref="X127" authorId="0" shapeId="0" xr:uid="{705BE0EF-18C7-4030-B9C5-983138C94153}">
      <text>
        <r>
          <rPr>
            <sz val="10"/>
            <color indexed="81"/>
            <rFont val="Lucida Console"/>
            <family val="3"/>
          </rPr>
          <t>_x000D_
MAT.E EQUIP. P/ CONSTR.CIVIL E CONSERV. DE VIAS PUBL.</t>
        </r>
      </text>
    </comment>
    <comment ref="Y127" authorId="0" shapeId="0" xr:uid="{9E272419-0013-4E33-BF30-DAF895DE3820}">
      <text>
        <r>
          <rPr>
            <sz val="10"/>
            <color indexed="81"/>
            <rFont val="Lucida Console"/>
            <family val="3"/>
          </rPr>
          <t>_x000D_
PEDRA,PEDRISCO E AREIA</t>
        </r>
      </text>
    </comment>
    <comment ref="AC127" authorId="0" shapeId="0" xr:uid="{C8BBDFE3-FFF3-4F8E-9912-7D379E9EA15E}">
      <text>
        <r>
          <rPr>
            <sz val="10"/>
            <color indexed="81"/>
            <rFont val="Lucida Console"/>
            <family val="3"/>
          </rPr>
          <t>_x000D_
AF  4.827/23 | Vc 26.05.2023 | Saldo    200 | TRANSNECO MATERIAIS DE CONSTRUCAO EM GERAL LTDA ( 226566 )</t>
        </r>
      </text>
    </comment>
    <comment ref="AG127" authorId="0" shapeId="0" xr:uid="{704B421F-DD0C-49C7-B1E3-2DD9938A17FF}">
      <text>
        <r>
          <rPr>
            <sz val="10"/>
            <color indexed="81"/>
            <rFont val="Lucida Console"/>
            <family val="3"/>
          </rPr>
          <t>_x000D_
AF  4.827/23 | Vc 26.05.2023 | Saldo    200 | TRANSNECO MATERIAIS DE CONSTRUCAO EM GERAL LTDA ( 226566 )</t>
        </r>
      </text>
    </comment>
    <comment ref="AW127" authorId="0" shapeId="0" xr:uid="{20259803-44EA-4BEC-A46D-553F561AC018}">
      <text>
        <r>
          <rPr>
            <sz val="10"/>
            <color indexed="81"/>
            <rFont val="Lucida Console"/>
            <family val="3"/>
          </rPr>
          <t>Tempo de Estoque (Meses)_x000D_
_x000D_
179,1</t>
        </r>
      </text>
    </comment>
    <comment ref="A128" authorId="0" shapeId="0" xr:uid="{D7BD8CE0-D1F7-47B9-BCB0-5C62929F7222}">
      <text>
        <r>
          <rPr>
            <sz val="10"/>
            <color indexed="81"/>
            <rFont val="Lucida Console"/>
            <family val="3"/>
          </rPr>
          <t>_x000D_
130024</t>
        </r>
      </text>
    </comment>
    <comment ref="B128" authorId="0" shapeId="0" xr:uid="{64649174-337D-48E3-9A4D-2885F767E643}">
      <text>
        <r>
          <rPr>
            <sz val="10"/>
            <color indexed="81"/>
            <rFont val="Lucida Console"/>
            <family val="3"/>
          </rPr>
          <t>DESCRIÇÃO DETALHADA_x000D_
COADOR DE PAPEL P/ CAFE N° 103 - CAIXA COM 30 UNIDADES</t>
        </r>
      </text>
    </comment>
    <comment ref="G128" authorId="0" shapeId="0" xr:uid="{8A966214-9007-4E7E-9FE2-F0F534F073C6}">
      <text>
        <r>
          <rPr>
            <sz val="10"/>
            <color indexed="81"/>
            <rFont val="Lucida Console"/>
            <family val="3"/>
          </rPr>
          <t>_x000D_
Últ estimativa : 5.000_x000D_
Enviada em     : 22.04.2021_x000D_
Ata - Venc     : 178/20 - 20.08.2021</t>
        </r>
      </text>
    </comment>
    <comment ref="W128" authorId="0" shapeId="0" xr:uid="{1DB09AFD-81E1-4085-B1E4-FB6201BAAD19}">
      <text>
        <r>
          <rPr>
            <sz val="10"/>
            <color indexed="81"/>
            <rFont val="Lucida Console"/>
            <family val="3"/>
          </rPr>
          <t>_x000D_
Administrativo</t>
        </r>
      </text>
    </comment>
    <comment ref="X128" authorId="0" shapeId="0" xr:uid="{9D471DF8-CFE9-43FD-A1AE-B739DEAAB102}">
      <text>
        <r>
          <rPr>
            <sz val="10"/>
            <color indexed="81"/>
            <rFont val="Lucida Console"/>
            <family val="3"/>
          </rPr>
          <t>_x000D_
EQUIP.E MAT. P/REFEITORIO, COPA E COZINHA</t>
        </r>
      </text>
    </comment>
    <comment ref="Y128" authorId="0" shapeId="0" xr:uid="{42AAE094-42B9-4037-A9EA-C278A52A75B4}">
      <text>
        <r>
          <rPr>
            <sz val="10"/>
            <color indexed="81"/>
            <rFont val="Lucida Console"/>
            <family val="3"/>
          </rPr>
          <t>_x000D_
BACIAS, PENEIRAS, ESCORREDORES E COADORES</t>
        </r>
      </text>
    </comment>
    <comment ref="AW128" authorId="0" shapeId="0" xr:uid="{CE0EEC52-033F-46A4-B1A6-462B68A6F684}">
      <text>
        <r>
          <rPr>
            <sz val="10"/>
            <color indexed="81"/>
            <rFont val="Lucida Console"/>
            <family val="3"/>
          </rPr>
          <t>Tempo de Estoque (Meses)_x000D_
_x000D_
1.398,0</t>
        </r>
      </text>
    </comment>
    <comment ref="A129" authorId="0" shapeId="0" xr:uid="{53E7E1A7-D1F6-4280-A49E-FDF7297E0ED2}">
      <text>
        <r>
          <rPr>
            <sz val="10"/>
            <color indexed="81"/>
            <rFont val="Lucida Console"/>
            <family val="3"/>
          </rPr>
          <t>_x000D_
119595</t>
        </r>
      </text>
    </comment>
    <comment ref="B129" authorId="0" shapeId="0" xr:uid="{5370EBEC-ED73-4DA6-83AC-B5F655E98204}">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129" authorId="0" shapeId="0" xr:uid="{8FC76CC4-7547-4E48-9846-637E6A0C2C55}">
      <text>
        <r>
          <rPr>
            <sz val="10"/>
            <color indexed="81"/>
            <rFont val="Lucida Console"/>
            <family val="3"/>
          </rPr>
          <t>_x000D_
Últ estimativa : 400_x000D_
Enviada em     : 14.05.2021_x000D_
Ata - Venc     : 216/20 - 24.09.2021</t>
        </r>
      </text>
    </comment>
    <comment ref="W129" authorId="0" shapeId="0" xr:uid="{71B6FF6E-1960-42B2-8997-59031C1C8E33}">
      <text>
        <r>
          <rPr>
            <sz val="10"/>
            <color indexed="81"/>
            <rFont val="Lucida Console"/>
            <family val="3"/>
          </rPr>
          <t>_x000D_
Administrativo</t>
        </r>
      </text>
    </comment>
    <comment ref="X129" authorId="0" shapeId="0" xr:uid="{5923D6A7-2C7B-4473-8609-9DD5C4040DF1}">
      <text>
        <r>
          <rPr>
            <sz val="10"/>
            <color indexed="81"/>
            <rFont val="Lucida Console"/>
            <family val="3"/>
          </rPr>
          <t>_x000D_
VEST., ART.P/ TOUC.E HIG. PES. MAQ., EQUIP., MAT.E ACES.</t>
        </r>
      </text>
    </comment>
    <comment ref="Y129" authorId="0" shapeId="0" xr:uid="{B34F37AF-0DD3-42D5-946E-066BE597B74A}">
      <text>
        <r>
          <rPr>
            <sz val="10"/>
            <color indexed="81"/>
            <rFont val="Lucida Console"/>
            <family val="3"/>
          </rPr>
          <t>_x000D_
PAPEL HIG., ABSORVENTE INT., PAP.TOA., LENCO DE PAPEL</t>
        </r>
      </text>
    </comment>
    <comment ref="AW129" authorId="0" shapeId="0" xr:uid="{D9A361FB-DEB9-42D2-9B73-E8D98A7F5127}">
      <text>
        <r>
          <rPr>
            <sz val="10"/>
            <color indexed="81"/>
            <rFont val="Lucida Console"/>
            <family val="3"/>
          </rPr>
          <t>Tempo de Estoque (Meses)_x000D_
_x000D_
317,0</t>
        </r>
      </text>
    </comment>
    <comment ref="A130" authorId="0" shapeId="0" xr:uid="{6264B964-C89F-4570-9FD5-465CE82FF331}">
      <text>
        <r>
          <rPr>
            <sz val="10"/>
            <color indexed="81"/>
            <rFont val="Lucida Console"/>
            <family val="3"/>
          </rPr>
          <t>_x000D_
125641</t>
        </r>
      </text>
    </comment>
    <comment ref="B130" authorId="0" shapeId="0" xr:uid="{012111D1-C61E-42CC-A8A3-0444728135F2}">
      <text>
        <r>
          <rPr>
            <sz val="10"/>
            <color indexed="81"/>
            <rFont val="Lucida Console"/>
            <family val="3"/>
          </rPr>
          <t>DESCRIÇÃO DETALHADA_x000D_
PAPEL HIGIENICO 30 M X 10 CM, CLASSE 01, FOLHA DUPLA, GOFRADO, COR BRANCA, NEUTRO, MATERIA PRIMA 100% FIBRAS NATURAIS</t>
        </r>
      </text>
    </comment>
    <comment ref="G130" authorId="0" shapeId="0" xr:uid="{9DA13D58-2BC6-40C7-9987-4697889C33FF}">
      <text>
        <r>
          <rPr>
            <sz val="10"/>
            <color indexed="81"/>
            <rFont val="Lucida Console"/>
            <family val="3"/>
          </rPr>
          <t>_x000D_
Últ estimativa : 20.000_x000D_
Enviada em     : 22.04.2021_x000D_
Ata - Venc     : 183/20 - 24.08.2021</t>
        </r>
      </text>
    </comment>
    <comment ref="W130" authorId="0" shapeId="0" xr:uid="{35EFE961-865A-4F3C-906B-C201A4B0D83F}">
      <text>
        <r>
          <rPr>
            <sz val="10"/>
            <color indexed="81"/>
            <rFont val="Lucida Console"/>
            <family val="3"/>
          </rPr>
          <t>_x000D_
Administrativo</t>
        </r>
      </text>
    </comment>
    <comment ref="X130" authorId="0" shapeId="0" xr:uid="{0E1E4EE8-60AA-41B4-A19C-9CBC48B476FF}">
      <text>
        <r>
          <rPr>
            <sz val="10"/>
            <color indexed="81"/>
            <rFont val="Lucida Console"/>
            <family val="3"/>
          </rPr>
          <t>_x000D_
VEST., ART.P/ TOUC.E HIG. PES. MAQ., EQUIP., MAT.E ACES.</t>
        </r>
      </text>
    </comment>
    <comment ref="Y130" authorId="0" shapeId="0" xr:uid="{7960DA41-E842-4A13-AB4C-1AABAEAFD0B7}">
      <text>
        <r>
          <rPr>
            <sz val="10"/>
            <color indexed="81"/>
            <rFont val="Lucida Console"/>
            <family val="3"/>
          </rPr>
          <t>_x000D_
PAPEL HIG., ABSORVENTE INT., PAP.TOA., LENCO DE PAPEL</t>
        </r>
      </text>
    </comment>
    <comment ref="AW130" authorId="0" shapeId="0" xr:uid="{0462F243-DB0D-4E5B-B5AF-348BF1AAAF58}">
      <text>
        <r>
          <rPr>
            <sz val="10"/>
            <color indexed="81"/>
            <rFont val="Lucida Console"/>
            <family val="3"/>
          </rPr>
          <t>Tempo de Estoque (Meses)_x000D_
_x000D_
15.600,0</t>
        </r>
      </text>
    </comment>
    <comment ref="A131" authorId="0" shapeId="0" xr:uid="{0873CD5B-4434-4CCE-B8F6-E05395AD05E9}">
      <text>
        <r>
          <rPr>
            <sz val="10"/>
            <color indexed="81"/>
            <rFont val="Lucida Console"/>
            <family val="3"/>
          </rPr>
          <t>_x000D_
12659</t>
        </r>
      </text>
    </comment>
    <comment ref="B131" authorId="0" shapeId="0" xr:uid="{0A25F306-F2EE-44BF-8705-3D7364CFC5C6}">
      <text>
        <r>
          <rPr>
            <sz val="10"/>
            <color indexed="81"/>
            <rFont val="Lucida Console"/>
            <family val="3"/>
          </rPr>
          <t xml:space="preserve">DESCRIÇÃO DETALHADA_x000D_
PANO P/ COPA ATOALHADO (FELPUDO), 100% ALGODAO - MEDIDAS: 41 X 62 CM </t>
        </r>
      </text>
    </comment>
    <comment ref="G131" authorId="0" shapeId="0" xr:uid="{84EBD216-E51B-4A3C-AD8F-2C21724D05DD}">
      <text>
        <r>
          <rPr>
            <sz val="10"/>
            <color indexed="81"/>
            <rFont val="Lucida Console"/>
            <family val="3"/>
          </rPr>
          <t>_x000D_
Últ estimativa : 2.800_x000D_
Enviada em     : 22.04.2021_x000D_
Ata - Venc     : 178/20 - 20.08.2021</t>
        </r>
      </text>
    </comment>
    <comment ref="W131" authorId="0" shapeId="0" xr:uid="{BCBCC634-E6CF-42C2-A192-3B0D357A2B61}">
      <text>
        <r>
          <rPr>
            <sz val="10"/>
            <color indexed="81"/>
            <rFont val="Lucida Console"/>
            <family val="3"/>
          </rPr>
          <t>_x000D_
Administrativo</t>
        </r>
      </text>
    </comment>
    <comment ref="X131" authorId="0" shapeId="0" xr:uid="{8C12AE0A-FEDA-4698-AAD9-31C56A0EB0DB}">
      <text>
        <r>
          <rPr>
            <sz val="10"/>
            <color indexed="81"/>
            <rFont val="Lucida Console"/>
            <family val="3"/>
          </rPr>
          <t>_x000D_
MAQ.EQUIP.E MATERIAIS P/ HIGIEN.LIMP.POLIM.E LUBR.</t>
        </r>
      </text>
    </comment>
    <comment ref="Y131" authorId="0" shapeId="0" xr:uid="{AC6A8F0C-44DB-4B56-92A2-538F45953EB8}">
      <text>
        <r>
          <rPr>
            <sz val="10"/>
            <color indexed="81"/>
            <rFont val="Lucida Console"/>
            <family val="3"/>
          </rPr>
          <t>_x000D_
PANO PARA CHAO, COPA E FLANELA</t>
        </r>
      </text>
    </comment>
    <comment ref="AW131" authorId="0" shapeId="0" xr:uid="{DDB104C4-B2A3-41F1-AF42-5D079EF65377}">
      <text>
        <r>
          <rPr>
            <sz val="10"/>
            <color indexed="81"/>
            <rFont val="Lucida Console"/>
            <family val="3"/>
          </rPr>
          <t>Tempo de Estoque (Meses)_x000D_
_x000D_
1.371,0</t>
        </r>
      </text>
    </comment>
    <comment ref="A132" authorId="0" shapeId="0" xr:uid="{0986FDAC-CA92-4516-9905-660B7BF1ADC3}">
      <text>
        <r>
          <rPr>
            <sz val="10"/>
            <color indexed="81"/>
            <rFont val="Lucida Console"/>
            <family val="3"/>
          </rPr>
          <t>_x000D_
110578</t>
        </r>
      </text>
    </comment>
    <comment ref="B132" authorId="0" shapeId="0" xr:uid="{57C03540-6D7C-4BA1-A467-6E75ECD9D899}">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32" authorId="0" shapeId="0" xr:uid="{53EA9E2C-38D0-427E-A0AE-B7F9DB253243}">
      <text>
        <r>
          <rPr>
            <sz val="10"/>
            <color indexed="81"/>
            <rFont val="Lucida Console"/>
            <family val="3"/>
          </rPr>
          <t>_x000D_
Últ estimativa : 1.000_x000D_
Enviada em     : 14.05.2021_x000D_
Ata - Venc     : 105/20 - 04.05.2021</t>
        </r>
      </text>
    </comment>
    <comment ref="W132" authorId="0" shapeId="0" xr:uid="{E4A17C24-F98B-487E-A1B2-08431A546293}">
      <text>
        <r>
          <rPr>
            <sz val="10"/>
            <color indexed="81"/>
            <rFont val="Lucida Console"/>
            <family val="3"/>
          </rPr>
          <t>_x000D_
Administrativo</t>
        </r>
      </text>
    </comment>
    <comment ref="X132" authorId="0" shapeId="0" xr:uid="{1D5C8384-D298-4BE5-8630-5414BB1EBCCC}">
      <text>
        <r>
          <rPr>
            <sz val="10"/>
            <color indexed="81"/>
            <rFont val="Lucida Console"/>
            <family val="3"/>
          </rPr>
          <t>_x000D_
MAQ.EQUIP.E MATERIAIS P/ HIGIEN.LIMP.POLIM.E LUBR.</t>
        </r>
      </text>
    </comment>
    <comment ref="Y132" authorId="0" shapeId="0" xr:uid="{38151DFE-F421-484F-9AFE-DE248019B94C}">
      <text>
        <r>
          <rPr>
            <sz val="10"/>
            <color indexed="81"/>
            <rFont val="Lucida Console"/>
            <family val="3"/>
          </rPr>
          <t>_x000D_
SABOES E SAPONACEOS</t>
        </r>
      </text>
    </comment>
    <comment ref="AC132" authorId="0" shapeId="0" xr:uid="{8BF343AE-B4E0-4F7B-BDAE-5F0DCC82CB61}">
      <text>
        <r>
          <rPr>
            <sz val="10"/>
            <color indexed="81"/>
            <rFont val="Lucida Console"/>
            <family val="3"/>
          </rPr>
          <t>_x000D_
AF  7.217/23 | Vc 24.07.2023 | Saldo     95 | MR LICITACOES LTDA ( 222275 )</t>
        </r>
      </text>
    </comment>
    <comment ref="AG132" authorId="0" shapeId="0" xr:uid="{54A9E3F0-8935-4633-8B11-2FF478E3970C}">
      <text>
        <r>
          <rPr>
            <sz val="10"/>
            <color indexed="81"/>
            <rFont val="Lucida Console"/>
            <family val="3"/>
          </rPr>
          <t>_x000D_
AF  7.217/23 | Vc 24.07.2023 | Saldo     95 | MR LICITACOES LTDA ( 222275 )</t>
        </r>
      </text>
    </comment>
    <comment ref="AW132" authorId="0" shapeId="0" xr:uid="{6FFAFD43-A9D1-4F81-89AC-BDF4868CA842}">
      <text>
        <r>
          <rPr>
            <sz val="10"/>
            <color indexed="81"/>
            <rFont val="Lucida Console"/>
            <family val="3"/>
          </rPr>
          <t>Tempo de Estoque (Meses)_x000D_
_x000D_
174,0</t>
        </r>
      </text>
    </comment>
    <comment ref="A133" authorId="0" shapeId="0" xr:uid="{A9898692-0EF8-4EB2-B219-5B4F374BA3C9}">
      <text>
        <r>
          <rPr>
            <sz val="10"/>
            <color indexed="81"/>
            <rFont val="Lucida Console"/>
            <family val="3"/>
          </rPr>
          <t>_x000D_
130695</t>
        </r>
      </text>
    </comment>
    <comment ref="B133" authorId="0" shapeId="0" xr:uid="{BEAD3C25-09AA-411D-B3DD-A3A19F408213}">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133" authorId="0" shapeId="0" xr:uid="{2C7FACAD-EFCD-49CF-ABD1-E375CBCA72BE}">
      <text>
        <r>
          <rPr>
            <sz val="10"/>
            <color indexed="81"/>
            <rFont val="Lucida Console"/>
            <family val="3"/>
          </rPr>
          <t>_x000D_
Últ estimativa : 3.000_x000D_
Enviada em     : 18.08.2020_x000D_
Ata - Venc     : 274/20 - 12.11.2021</t>
        </r>
      </text>
    </comment>
    <comment ref="W133" authorId="0" shapeId="0" xr:uid="{023EEF52-0228-4406-95D6-A73D4AF974D3}">
      <text>
        <r>
          <rPr>
            <sz val="10"/>
            <color indexed="81"/>
            <rFont val="Lucida Console"/>
            <family val="3"/>
          </rPr>
          <t>_x000D_
Administrativo</t>
        </r>
      </text>
    </comment>
    <comment ref="X133" authorId="0" shapeId="0" xr:uid="{96B48519-CCCB-4A7E-87A6-BB9D42747F30}">
      <text>
        <r>
          <rPr>
            <sz val="10"/>
            <color indexed="81"/>
            <rFont val="Lucida Console"/>
            <family val="3"/>
          </rPr>
          <t>_x000D_
VEST., ART.P/ TOUC.E HIG. PES. MAQ., EQUIP., MAT.E ACES.</t>
        </r>
      </text>
    </comment>
    <comment ref="Y133" authorId="0" shapeId="0" xr:uid="{7CDB2923-1881-417D-8481-72257F182B7D}">
      <text>
        <r>
          <rPr>
            <sz val="10"/>
            <color indexed="81"/>
            <rFont val="Lucida Console"/>
            <family val="3"/>
          </rPr>
          <t>_x000D_
PAPEL HIG., ABSORVENTE INT., PAP.TOA., LENCO DE PAPEL</t>
        </r>
      </text>
    </comment>
    <comment ref="AC133" authorId="0" shapeId="0" xr:uid="{C1E5D549-7EFF-4A83-88D6-7B5168EC9342}">
      <text>
        <r>
          <rPr>
            <sz val="10"/>
            <color indexed="81"/>
            <rFont val="Lucida Console"/>
            <family val="3"/>
          </rPr>
          <t>_x000D_
AF  5.519/23 | Vc 12.06.2023 | Saldo  3.000 | ZANCAPEL COMERCIO DE SUPRIMENTOS E SERVICOS EM GERAL LTDA ( 209398 )</t>
        </r>
      </text>
    </comment>
    <comment ref="AG133" authorId="0" shapeId="0" xr:uid="{0F94449C-C004-4E30-8DE6-3A8D9F91C629}">
      <text>
        <r>
          <rPr>
            <sz val="10"/>
            <color indexed="81"/>
            <rFont val="Lucida Console"/>
            <family val="3"/>
          </rPr>
          <t>_x000D_
AF  5.519/23 | Vc 12.06.2023 | Saldo  3.000 | ZANCAPEL COMERCIO DE SUPRIMENTOS E SERVICOS EM GERAL LTDA ( 209398 )</t>
        </r>
      </text>
    </comment>
    <comment ref="AW133" authorId="0" shapeId="0" xr:uid="{D2A69123-341B-4ABE-9A6E-0D650314F46F}">
      <text>
        <r>
          <rPr>
            <sz val="10"/>
            <color indexed="81"/>
            <rFont val="Lucida Console"/>
            <family val="3"/>
          </rPr>
          <t>Tempo de Estoque (Meses)_x000D_
_x000D_
2.964,0</t>
        </r>
      </text>
    </comment>
    <comment ref="A134" authorId="0" shapeId="0" xr:uid="{E4272496-2914-43E7-8EB3-2FD58BCCE5F6}">
      <text>
        <r>
          <rPr>
            <sz val="10"/>
            <color indexed="81"/>
            <rFont val="Lucida Console"/>
            <family val="3"/>
          </rPr>
          <t>_x000D_
10359</t>
        </r>
      </text>
    </comment>
    <comment ref="B134" authorId="0" shapeId="0" xr:uid="{1FC8DA84-EDDC-49DE-A407-759D4EAD997B}">
      <text>
        <r>
          <rPr>
            <sz val="10"/>
            <color indexed="81"/>
            <rFont val="Lucida Console"/>
            <family val="3"/>
          </rPr>
          <t xml:space="preserve">DESCRIÇÃO DETALHADA_x000D_
LEITE EM PO INTEGRAL INSTANTANEO ENRIQUECIDO </t>
        </r>
      </text>
    </comment>
    <comment ref="G134" authorId="0" shapeId="0" xr:uid="{F52E890B-2D14-4CAF-9F57-8A91627F879C}">
      <text>
        <r>
          <rPr>
            <sz val="10"/>
            <color indexed="81"/>
            <rFont val="Lucida Console"/>
            <family val="3"/>
          </rPr>
          <t>_x000D_
Últ estimativa : 3.000_x000D_
Enviada em     : 24.11.2020_x000D_
Ata - Venc     : 81/21 - 17.03.2022</t>
        </r>
      </text>
    </comment>
    <comment ref="W134" authorId="0" shapeId="0" xr:uid="{D2AE7920-66FB-4747-8A82-1DDF4AC7C99C}">
      <text>
        <r>
          <rPr>
            <sz val="10"/>
            <color indexed="81"/>
            <rFont val="Lucida Console"/>
            <family val="3"/>
          </rPr>
          <t>_x000D_
Administrativo</t>
        </r>
      </text>
    </comment>
    <comment ref="X134" authorId="0" shapeId="0" xr:uid="{27C0A037-109E-4D1F-930D-2A7C9BD59C42}">
      <text>
        <r>
          <rPr>
            <sz val="10"/>
            <color indexed="81"/>
            <rFont val="Lucida Console"/>
            <family val="3"/>
          </rPr>
          <t>_x000D_
GENEROS ALIMENTICIOS E BEBIDAS</t>
        </r>
      </text>
    </comment>
    <comment ref="Y134" authorId="0" shapeId="0" xr:uid="{1E4BD631-12BC-42E6-B137-C363370FCD97}">
      <text>
        <r>
          <rPr>
            <sz val="10"/>
            <color indexed="81"/>
            <rFont val="Lucida Console"/>
            <family val="3"/>
          </rPr>
          <t>_x000D_
LEITES</t>
        </r>
      </text>
    </comment>
    <comment ref="AW134" authorId="0" shapeId="0" xr:uid="{3AA589BF-448A-4EE3-B95B-6499177CE59D}">
      <text>
        <r>
          <rPr>
            <sz val="10"/>
            <color indexed="81"/>
            <rFont val="Lucida Console"/>
            <family val="3"/>
          </rPr>
          <t>Tempo de Estoque (Meses)_x000D_
_x000D_
914,0</t>
        </r>
      </text>
    </comment>
    <comment ref="A135" authorId="0" shapeId="0" xr:uid="{8108B128-CF7D-41CE-9BD7-6D482C2303D2}">
      <text>
        <r>
          <rPr>
            <sz val="10"/>
            <color indexed="81"/>
            <rFont val="Lucida Console"/>
            <family val="3"/>
          </rPr>
          <t>_x000D_
14662</t>
        </r>
      </text>
    </comment>
    <comment ref="B135" authorId="0" shapeId="0" xr:uid="{BB6517CF-B7EA-47FA-BEFB-6F96CD23EB73}">
      <text>
        <r>
          <rPr>
            <sz val="10"/>
            <color indexed="81"/>
            <rFont val="Lucida Console"/>
            <family val="3"/>
          </rPr>
          <t>DESCRIÇÃO DETALHADA_x000D_
CIMENTO COMUM CPII-32 - SACO C/ 50KG - O MATERIAL DEVERA SER ENTREGUE EM LOTE PALETIZADO PROTEGIDO COM FILME PLASTICO.</t>
        </r>
      </text>
    </comment>
    <comment ref="G135" authorId="0" shapeId="0" xr:uid="{F91F66F9-2FEF-46A3-AD54-8A2309A7B6D3}">
      <text>
        <r>
          <rPr>
            <sz val="10"/>
            <color indexed="81"/>
            <rFont val="Lucida Console"/>
            <family val="3"/>
          </rPr>
          <t>_x000D_
Últ estimativa : 6.000_x000D_
Enviada em     : 17.06.2021_x000D_
Ata - Venc     : 54/20 - 12.03.2021</t>
        </r>
      </text>
    </comment>
    <comment ref="M135" authorId="0" shapeId="0" xr:uid="{006B02E6-F0FD-4D3A-91AE-2F57D2B688C7}">
      <text>
        <r>
          <rPr>
            <sz val="10"/>
            <color indexed="81"/>
            <rFont val="Lucida Console"/>
            <family val="3"/>
          </rPr>
          <t>_x000D_
Validade necessária em meses =&gt; 2,_x000D_
A partir desta planilha limitado até 01.10.2023</t>
        </r>
      </text>
    </comment>
    <comment ref="W135" authorId="0" shapeId="0" xr:uid="{31CD74E2-667E-4C39-9D15-26A4653E288D}">
      <text>
        <r>
          <rPr>
            <sz val="10"/>
            <color indexed="81"/>
            <rFont val="Lucida Console"/>
            <family val="3"/>
          </rPr>
          <t>_x000D_
DM-Construção</t>
        </r>
      </text>
    </comment>
    <comment ref="X135" authorId="0" shapeId="0" xr:uid="{512B6BF5-6014-4FB7-8F73-02FBE7A24C6D}">
      <text>
        <r>
          <rPr>
            <sz val="10"/>
            <color indexed="81"/>
            <rFont val="Lucida Console"/>
            <family val="3"/>
          </rPr>
          <t>_x000D_
MAT.E EQUIP. P/ CONSTR.CIVIL E CONSERV. DE VIAS PUBL.</t>
        </r>
      </text>
    </comment>
    <comment ref="Y135" authorId="0" shapeId="0" xr:uid="{72632EC3-7AB2-46BF-A03E-8673FFB0365F}">
      <text>
        <r>
          <rPr>
            <sz val="10"/>
            <color indexed="81"/>
            <rFont val="Lucida Console"/>
            <family val="3"/>
          </rPr>
          <t>_x000D_
CIMENTO, CAL E GESSO</t>
        </r>
      </text>
    </comment>
    <comment ref="AC135" authorId="0" shapeId="0" xr:uid="{AD87DF8D-E51D-4E5D-9EEB-26315D2F8BE0}">
      <text>
        <r>
          <rPr>
            <sz val="10"/>
            <color indexed="81"/>
            <rFont val="Lucida Console"/>
            <family val="3"/>
          </rPr>
          <t>_x000D_
AF  8.596/23 | Vc 31.07.2023 | Saldo  1.500 | GUARANI INDUSTRIA, COMERCIO E SERVICOS LTDA ( 6058 )</t>
        </r>
      </text>
    </comment>
    <comment ref="AG135" authorId="0" shapeId="0" xr:uid="{1B557DDC-7A99-420B-AB77-7EAD787C8CAF}">
      <text>
        <r>
          <rPr>
            <sz val="10"/>
            <color indexed="81"/>
            <rFont val="Lucida Console"/>
            <family val="3"/>
          </rPr>
          <t>_x000D_
AF  8.596/23 | Vc 31.07.2023 | Saldo  1.500 | GUARANI INDUSTRIA, COMERCIO E SERVICOS LTDA ( 6058 )</t>
        </r>
      </text>
    </comment>
    <comment ref="AW135" authorId="0" shapeId="0" xr:uid="{15E51B6A-EB64-49F5-ADC0-CE5B333531B6}">
      <text>
        <r>
          <rPr>
            <sz val="10"/>
            <color indexed="81"/>
            <rFont val="Lucida Console"/>
            <family val="3"/>
          </rPr>
          <t>Tempo de Estoque (Meses)_x000D_
_x000D_
1.762,0</t>
        </r>
      </text>
    </comment>
    <comment ref="A136" authorId="0" shapeId="0" xr:uid="{F36A90C1-E718-4C8C-8476-89C9E84DB821}">
      <text>
        <r>
          <rPr>
            <sz val="10"/>
            <color indexed="81"/>
            <rFont val="Lucida Console"/>
            <family val="3"/>
          </rPr>
          <t>_x000D_
10867</t>
        </r>
      </text>
    </comment>
    <comment ref="B136" authorId="0" shapeId="0" xr:uid="{4E182106-90BA-4494-BC0C-6F421FBCCB36}">
      <text>
        <r>
          <rPr>
            <sz val="10"/>
            <color indexed="81"/>
            <rFont val="Lucida Console"/>
            <family val="3"/>
          </rPr>
          <t>DESCRIÇÃO DETALHADA_x000D_
ACUCAR REFINADO AMORFO/MICROCRISTALINO PT C/ 1KG</t>
        </r>
      </text>
    </comment>
    <comment ref="G136" authorId="0" shapeId="0" xr:uid="{84371851-DEB6-4A4E-A381-655AE97A31DB}">
      <text>
        <r>
          <rPr>
            <sz val="10"/>
            <color indexed="81"/>
            <rFont val="Lucida Console"/>
            <family val="3"/>
          </rPr>
          <t>_x000D_
Últ estimativa : 35.000_x000D_
Enviada em     : 11.11.2020_x000D_
Ata - Venc     : 16/21 - 19.01.2022</t>
        </r>
      </text>
    </comment>
    <comment ref="W136" authorId="0" shapeId="0" xr:uid="{BE116557-DDD2-4FD2-9510-EA4A15D4DEE2}">
      <text>
        <r>
          <rPr>
            <sz val="10"/>
            <color indexed="81"/>
            <rFont val="Lucida Console"/>
            <family val="3"/>
          </rPr>
          <t>_x000D_
Administrativo</t>
        </r>
      </text>
    </comment>
    <comment ref="X136" authorId="0" shapeId="0" xr:uid="{F4B604FD-1A40-4604-8603-22B545440F3E}">
      <text>
        <r>
          <rPr>
            <sz val="10"/>
            <color indexed="81"/>
            <rFont val="Lucida Console"/>
            <family val="3"/>
          </rPr>
          <t>_x000D_
GENEROS ALIMENTICIOS E BEBIDAS</t>
        </r>
      </text>
    </comment>
    <comment ref="Y136" authorId="0" shapeId="0" xr:uid="{29C6FCB8-3599-4291-8748-B6A6A4F76088}">
      <text>
        <r>
          <rPr>
            <sz val="10"/>
            <color indexed="81"/>
            <rFont val="Lucida Console"/>
            <family val="3"/>
          </rPr>
          <t>_x000D_
ACUCARES</t>
        </r>
      </text>
    </comment>
    <comment ref="AW136" authorId="0" shapeId="0" xr:uid="{8848CE79-DA01-43F6-A68B-936A12C80527}">
      <text>
        <r>
          <rPr>
            <sz val="10"/>
            <color indexed="81"/>
            <rFont val="Lucida Console"/>
            <family val="3"/>
          </rPr>
          <t>Tempo de Estoque (Meses)_x000D_
_x000D_
22.834,0</t>
        </r>
      </text>
    </comment>
    <comment ref="A137" authorId="0" shapeId="0" xr:uid="{72F0BDE0-DD3C-410E-B2DC-587E22CA857B}">
      <text>
        <r>
          <rPr>
            <sz val="10"/>
            <color indexed="81"/>
            <rFont val="Lucida Console"/>
            <family val="3"/>
          </rPr>
          <t>_x000D_
24371</t>
        </r>
      </text>
    </comment>
    <comment ref="B137" authorId="0" shapeId="0" xr:uid="{0335D905-7D70-4A96-9961-000698DCCE57}">
      <text>
        <r>
          <rPr>
            <sz val="10"/>
            <color indexed="81"/>
            <rFont val="Lucida Console"/>
            <family val="3"/>
          </rPr>
          <t>DESCRIÇÃO DETALHADA_x000D_
BLOCO DE CONCRETO - 15 X 20 X 40 CM</t>
        </r>
      </text>
    </comment>
    <comment ref="G137" authorId="0" shapeId="0" xr:uid="{D5D20648-CFAE-4284-9616-69D029A3ED60}">
      <text>
        <r>
          <rPr>
            <sz val="10"/>
            <color indexed="81"/>
            <rFont val="Lucida Console"/>
            <family val="3"/>
          </rPr>
          <t>_x000D_
Últ estimativa : 35.000_x000D_
Enviada em     : 17.06.2021_x000D_
Ata - Venc     : 224/20 - 01.10.2021</t>
        </r>
      </text>
    </comment>
    <comment ref="W137" authorId="0" shapeId="0" xr:uid="{ED92DDE6-F762-46C7-8196-0ABE607DA2DB}">
      <text>
        <r>
          <rPr>
            <sz val="10"/>
            <color indexed="81"/>
            <rFont val="Lucida Console"/>
            <family val="3"/>
          </rPr>
          <t>_x000D_
DM-Construção</t>
        </r>
      </text>
    </comment>
    <comment ref="X137" authorId="0" shapeId="0" xr:uid="{F4ADE12C-880E-435D-AE98-161A68599F8C}">
      <text>
        <r>
          <rPr>
            <sz val="10"/>
            <color indexed="81"/>
            <rFont val="Lucida Console"/>
            <family val="3"/>
          </rPr>
          <t>_x000D_
MAT.E EQUIP. P/ CONSTR.CIVIL E CONSERV. DE VIAS PUBL.</t>
        </r>
      </text>
    </comment>
    <comment ref="Y137" authorId="0" shapeId="0" xr:uid="{66EFAB38-5140-491B-9190-EDC8670E236D}">
      <text>
        <r>
          <rPr>
            <sz val="10"/>
            <color indexed="81"/>
            <rFont val="Lucida Console"/>
            <family val="3"/>
          </rPr>
          <t>_x000D_
BLOCOS, CANALETAS E ELEMENTOS VAZADOS EM CONCRETO</t>
        </r>
      </text>
    </comment>
    <comment ref="AC137" authorId="0" shapeId="0" xr:uid="{802F8634-A6EC-43F7-85EA-D13CDEEE0F4D}">
      <text>
        <r>
          <rPr>
            <sz val="10"/>
            <color indexed="81"/>
            <rFont val="Lucida Console"/>
            <family val="3"/>
          </rPr>
          <t>_x000D_
AF  6.436/23 | Vc 22.06.2023 | Saldo  5.000 | GUARANI INDUSTRIA, COMERCIO E SERVICOS LTDA ( 6058 )</t>
        </r>
      </text>
    </comment>
    <comment ref="AG137" authorId="0" shapeId="0" xr:uid="{4DAAEF07-3E8F-4B65-8172-0E983F41159D}">
      <text>
        <r>
          <rPr>
            <sz val="10"/>
            <color indexed="81"/>
            <rFont val="Lucida Console"/>
            <family val="3"/>
          </rPr>
          <t>_x000D_
AF  6.436/23 | Vc 22.06.2023 | Saldo  5.000 | GUARANI INDUSTRIA, COMERCIO E SERVICOS LTDA ( 6058 )</t>
        </r>
      </text>
    </comment>
    <comment ref="AW137" authorId="0" shapeId="0" xr:uid="{CA7FC432-035F-4240-87F8-1FA40D99285B}">
      <text>
        <r>
          <rPr>
            <sz val="10"/>
            <color indexed="81"/>
            <rFont val="Lucida Console"/>
            <family val="3"/>
          </rPr>
          <t>Tempo de Estoque (Meses)_x000D_
_x000D_
22.154,0</t>
        </r>
      </text>
    </comment>
    <comment ref="A138" authorId="0" shapeId="0" xr:uid="{6FA8821F-7818-4373-8897-118AA0EE4BAF}">
      <text>
        <r>
          <rPr>
            <sz val="10"/>
            <color indexed="81"/>
            <rFont val="Lucida Console"/>
            <family val="3"/>
          </rPr>
          <t>_x000D_
32534</t>
        </r>
      </text>
    </comment>
    <comment ref="B138" authorId="0" shapeId="0" xr:uid="{501D1F4F-4290-46BA-A513-D69321B09FEF}">
      <text>
        <r>
          <rPr>
            <sz val="10"/>
            <color indexed="81"/>
            <rFont val="Lucida Console"/>
            <family val="3"/>
          </rPr>
          <t>DESCRIÇÃO DETALHADA_x000D_
BLOCO DE CONCRETO - 20 X 20 X 40 CM</t>
        </r>
      </text>
    </comment>
    <comment ref="G138" authorId="0" shapeId="0" xr:uid="{66ECC283-DA43-4F57-8018-7DA4B546714E}">
      <text>
        <r>
          <rPr>
            <sz val="10"/>
            <color indexed="81"/>
            <rFont val="Lucida Console"/>
            <family val="3"/>
          </rPr>
          <t>_x000D_
Últ estimativa : 5.000_x000D_
Enviada em     : 17.06.2021_x000D_
Ata - Venc     : 224/20 - 01.10.2021</t>
        </r>
      </text>
    </comment>
    <comment ref="W138" authorId="0" shapeId="0" xr:uid="{4368E1BD-B63E-4DB6-B234-FFAF40675FD0}">
      <text>
        <r>
          <rPr>
            <sz val="10"/>
            <color indexed="81"/>
            <rFont val="Lucida Console"/>
            <family val="3"/>
          </rPr>
          <t>_x000D_
DM-Construção</t>
        </r>
      </text>
    </comment>
    <comment ref="X138" authorId="0" shapeId="0" xr:uid="{E41FF9F4-4A16-4A75-A4D2-EB34DC62492F}">
      <text>
        <r>
          <rPr>
            <sz val="10"/>
            <color indexed="81"/>
            <rFont val="Lucida Console"/>
            <family val="3"/>
          </rPr>
          <t>_x000D_
MAT.E EQUIP. P/ CONSTR.CIVIL E CONSERV. DE VIAS PUBL.</t>
        </r>
      </text>
    </comment>
    <comment ref="Y138" authorId="0" shapeId="0" xr:uid="{9A397749-F673-4359-A4D1-053BD8639BD6}">
      <text>
        <r>
          <rPr>
            <sz val="10"/>
            <color indexed="81"/>
            <rFont val="Lucida Console"/>
            <family val="3"/>
          </rPr>
          <t>_x000D_
BLOCOS, CANALETAS E ELEMENTOS VAZADOS EM CONCRETO</t>
        </r>
      </text>
    </comment>
    <comment ref="AW138" authorId="0" shapeId="0" xr:uid="{2C9CEE2E-49B9-4332-94B1-AB56C3A31259}">
      <text>
        <r>
          <rPr>
            <sz val="10"/>
            <color indexed="81"/>
            <rFont val="Lucida Console"/>
            <family val="3"/>
          </rPr>
          <t>Tempo de Estoque (Meses)_x000D_
_x000D_
4.399,0</t>
        </r>
      </text>
    </comment>
    <comment ref="A139" authorId="0" shapeId="0" xr:uid="{6C711CDC-CB55-4C4A-AD0C-5D2BA08445C5}">
      <text>
        <r>
          <rPr>
            <sz val="10"/>
            <color indexed="81"/>
            <rFont val="Lucida Console"/>
            <family val="3"/>
          </rPr>
          <t>_x000D_
34801</t>
        </r>
      </text>
    </comment>
    <comment ref="B139" authorId="0" shapeId="0" xr:uid="{E9BB5B69-D8F4-4A4A-B145-E30AE4628144}">
      <text>
        <r>
          <rPr>
            <sz val="10"/>
            <color indexed="81"/>
            <rFont val="Lucida Console"/>
            <family val="3"/>
          </rPr>
          <t>DESCRIÇÃO DETALHADA_x000D_
BLOCO DE CONCRETO - 10 X 20 X 40 CM</t>
        </r>
      </text>
    </comment>
    <comment ref="G139" authorId="0" shapeId="0" xr:uid="{5588AEE6-4B67-4287-9F21-CB90D6BC8530}">
      <text>
        <r>
          <rPr>
            <sz val="10"/>
            <color indexed="81"/>
            <rFont val="Lucida Console"/>
            <family val="3"/>
          </rPr>
          <t>_x000D_
Últ estimativa : 7.000_x000D_
Enviada em     : 17.06.2021_x000D_
Ata - Venc     : 224/20 - 01.10.2021</t>
        </r>
      </text>
    </comment>
    <comment ref="W139" authorId="0" shapeId="0" xr:uid="{21BE0B1D-A845-4B88-9374-923150EC6852}">
      <text>
        <r>
          <rPr>
            <sz val="10"/>
            <color indexed="81"/>
            <rFont val="Lucida Console"/>
            <family val="3"/>
          </rPr>
          <t>_x000D_
DM-Construção</t>
        </r>
      </text>
    </comment>
    <comment ref="X139" authorId="0" shapeId="0" xr:uid="{117ECBE3-738D-4884-8DC2-08FA17AA8344}">
      <text>
        <r>
          <rPr>
            <sz val="10"/>
            <color indexed="81"/>
            <rFont val="Lucida Console"/>
            <family val="3"/>
          </rPr>
          <t>_x000D_
MAT.E EQUIP. P/ CONSTR.CIVIL E CONSERV. DE VIAS PUBL.</t>
        </r>
      </text>
    </comment>
    <comment ref="Y139" authorId="0" shapeId="0" xr:uid="{65DB6854-4F3F-42EF-A78B-69DF19030B43}">
      <text>
        <r>
          <rPr>
            <sz val="10"/>
            <color indexed="81"/>
            <rFont val="Lucida Console"/>
            <family val="3"/>
          </rPr>
          <t>_x000D_
BLOCOS, CANALETAS E ELEMENTOS VAZADOS EM CONCRETO</t>
        </r>
      </text>
    </comment>
    <comment ref="AW139" authorId="0" shapeId="0" xr:uid="{250FB83C-25B8-4B40-BE8B-2A7746A654B2}">
      <text>
        <r>
          <rPr>
            <sz val="10"/>
            <color indexed="81"/>
            <rFont val="Lucida Console"/>
            <family val="3"/>
          </rPr>
          <t>Tempo de Estoque (Meses)_x000D_
_x000D_
2.971,0</t>
        </r>
      </text>
    </comment>
    <comment ref="A140" authorId="0" shapeId="0" xr:uid="{2B9A3D2E-5401-49D2-957C-1EE277E12964}">
      <text>
        <r>
          <rPr>
            <sz val="10"/>
            <color indexed="81"/>
            <rFont val="Lucida Console"/>
            <family val="3"/>
          </rPr>
          <t>_x000D_
64044</t>
        </r>
      </text>
    </comment>
    <comment ref="B140" authorId="0" shapeId="0" xr:uid="{94122F25-D541-4DA0-AE2B-A0887462FDC3}">
      <text>
        <r>
          <rPr>
            <sz val="10"/>
            <color indexed="81"/>
            <rFont val="Lucida Console"/>
            <family val="3"/>
          </rPr>
          <t>DESCRIÇÃO DETALHADA_x000D_
TELA DE ARAME GALVANIZADO - FIO 10 - MALHA 2.1/2" X 2 M DE ALTURA</t>
        </r>
      </text>
    </comment>
    <comment ref="G140" authorId="0" shapeId="0" xr:uid="{F4715D25-A322-492D-A197-B50A53FA21BA}">
      <text>
        <r>
          <rPr>
            <sz val="10"/>
            <color indexed="81"/>
            <rFont val="Lucida Console"/>
            <family val="3"/>
          </rPr>
          <t>_x000D_
Últ estimativa : 400_x000D_
Enviada em     : 14.02.2020_x000D_
Ata - Venc     : 147/20 - 06.07.2021</t>
        </r>
      </text>
    </comment>
    <comment ref="W140" authorId="0" shapeId="0" xr:uid="{27DA1BC6-CB22-43F1-B5DE-D1D93F37F140}">
      <text>
        <r>
          <rPr>
            <sz val="10"/>
            <color indexed="81"/>
            <rFont val="Lucida Console"/>
            <family val="3"/>
          </rPr>
          <t>_x000D_
DM-Construção</t>
        </r>
      </text>
    </comment>
    <comment ref="X140" authorId="0" shapeId="0" xr:uid="{0D32AA3A-7BBC-4F33-A2FC-BD73E7A5064D}">
      <text>
        <r>
          <rPr>
            <sz val="10"/>
            <color indexed="81"/>
            <rFont val="Lucida Console"/>
            <family val="3"/>
          </rPr>
          <t>_x000D_
MAT.E EQUIP. P/ CONSTR.CIVIL E CONSERV. DE VIAS PUBL.</t>
        </r>
      </text>
    </comment>
    <comment ref="Y140" authorId="0" shapeId="0" xr:uid="{0414284F-FA80-405B-B36B-658D75BCD318}">
      <text>
        <r>
          <rPr>
            <sz val="10"/>
            <color indexed="81"/>
            <rFont val="Lucida Console"/>
            <family val="3"/>
          </rPr>
          <t>_x000D_
TELAS DE MALHA FINA, GROSSA, DE ALAMBRADO E MOUROES</t>
        </r>
      </text>
    </comment>
    <comment ref="AW140" authorId="0" shapeId="0" xr:uid="{32828380-3172-4F73-84D9-4D871949E2C1}">
      <text>
        <r>
          <rPr>
            <sz val="10"/>
            <color indexed="81"/>
            <rFont val="Lucida Console"/>
            <family val="3"/>
          </rPr>
          <t>Tempo de Estoque (Meses)_x000D_
_x000D_
320,0</t>
        </r>
      </text>
    </comment>
    <comment ref="A141" authorId="0" shapeId="0" xr:uid="{5FB7107A-4C57-4FDE-A8E5-81266772716B}">
      <text>
        <r>
          <rPr>
            <sz val="10"/>
            <color indexed="81"/>
            <rFont val="Lucida Console"/>
            <family val="3"/>
          </rPr>
          <t>_x000D_
27136</t>
        </r>
      </text>
    </comment>
    <comment ref="B141" authorId="0" shapeId="0" xr:uid="{284FB9C8-DD80-4001-8F7A-1F1765C33EB8}">
      <text>
        <r>
          <rPr>
            <sz val="10"/>
            <color indexed="81"/>
            <rFont val="Lucida Console"/>
            <family val="3"/>
          </rPr>
          <t>DESCRIÇÃO DETALHADA_x000D_
TOUCA DE PROTECAO PARA CABELOS, TIPO COZINHEIRA, EM MATERIAL DESCARTAVEL (TNT) SANFONADA - COR BRANCA</t>
        </r>
      </text>
    </comment>
    <comment ref="G141" authorId="0" shapeId="0" xr:uid="{5AFA6A8E-1DB4-42E4-A4BE-CE1186453587}">
      <text>
        <r>
          <rPr>
            <sz val="10"/>
            <color indexed="81"/>
            <rFont val="Lucida Console"/>
            <family val="3"/>
          </rPr>
          <t>_x000D_
Últ estimativa : 120.000_x000D_
Enviada em     : 10.09.2021_x000D_
Ata - Venc     : 275/20 - 15.11.2021</t>
        </r>
      </text>
    </comment>
    <comment ref="W141" authorId="0" shapeId="0" xr:uid="{A4587F04-38E9-49D1-9641-8E6AC734A76A}">
      <text>
        <r>
          <rPr>
            <sz val="10"/>
            <color indexed="81"/>
            <rFont val="Lucida Console"/>
            <family val="3"/>
          </rPr>
          <t>_x000D_
SegMedTra</t>
        </r>
      </text>
    </comment>
    <comment ref="X141" authorId="0" shapeId="0" xr:uid="{29D252ED-1E1D-4CA6-ACFB-27ACE7E806F4}">
      <text>
        <r>
          <rPr>
            <sz val="10"/>
            <color indexed="81"/>
            <rFont val="Lucida Console"/>
            <family val="3"/>
          </rPr>
          <t>_x000D_
VEST., ART.P/ TOUC.E HIG. PES. MAQ., EQUIP., MAT.E ACES.</t>
        </r>
      </text>
    </comment>
    <comment ref="Y141" authorId="0" shapeId="0" xr:uid="{959C36F3-F289-41F8-9643-89DE016EB25C}">
      <text>
        <r>
          <rPr>
            <sz val="10"/>
            <color indexed="81"/>
            <rFont val="Lucida Console"/>
            <family val="3"/>
          </rPr>
          <t>_x000D_
VESTUARIO MEDICO-HOSPITALAR</t>
        </r>
      </text>
    </comment>
    <comment ref="AW141" authorId="0" shapeId="0" xr:uid="{C8843D56-C79E-47BD-88A6-BCFCD728184F}">
      <text>
        <r>
          <rPr>
            <sz val="10"/>
            <color indexed="81"/>
            <rFont val="Lucida Console"/>
            <family val="3"/>
          </rPr>
          <t>Tempo de Estoque (Meses)_x000D_
_x000D_
45.286,0</t>
        </r>
      </text>
    </comment>
    <comment ref="A142" authorId="0" shapeId="0" xr:uid="{CEA3166F-20AC-4A4D-88B0-EE5C8C0067D1}">
      <text>
        <r>
          <rPr>
            <sz val="10"/>
            <color indexed="81"/>
            <rFont val="Lucida Console"/>
            <family val="3"/>
          </rPr>
          <t>_x000D_
87698</t>
        </r>
      </text>
    </comment>
    <comment ref="B142" authorId="0" shapeId="0" xr:uid="{4400B63F-8B08-438F-B992-901F0B7D80BC}">
      <text>
        <r>
          <rPr>
            <sz val="10"/>
            <color indexed="81"/>
            <rFont val="Lucida Console"/>
            <family val="3"/>
          </rPr>
          <t>DESCRIÇÃO DETALHADA_x000D_
REFIL DE BORRACHA PARA RODO DE ALUMINIO DE 60 CM</t>
        </r>
      </text>
    </comment>
    <comment ref="G142" authorId="0" shapeId="0" xr:uid="{5D5AF0F0-B1A5-44C2-8E30-AE2326B9A1F5}">
      <text>
        <r>
          <rPr>
            <sz val="10"/>
            <color indexed="81"/>
            <rFont val="Lucida Console"/>
            <family val="3"/>
          </rPr>
          <t>_x000D_
Últ estimativa : 10_x000D_
Enviada em     : 19.12.2019_x000D_
Ata - Venc     : 275/20 - 15.11.2021</t>
        </r>
      </text>
    </comment>
    <comment ref="W142" authorId="0" shapeId="0" xr:uid="{1397DAF6-DE4A-40C2-A4B0-B751594DECDA}">
      <text>
        <r>
          <rPr>
            <sz val="10"/>
            <color indexed="81"/>
            <rFont val="Lucida Console"/>
            <family val="3"/>
          </rPr>
          <t>_x000D_
Administrativo</t>
        </r>
      </text>
    </comment>
    <comment ref="X142" authorId="0" shapeId="0" xr:uid="{6F555095-E9A0-40A6-AD37-2878940C864D}">
      <text>
        <r>
          <rPr>
            <sz val="10"/>
            <color indexed="81"/>
            <rFont val="Lucida Console"/>
            <family val="3"/>
          </rPr>
          <t>_x000D_
MAQ.EQUIP.E MATERIAIS P/ HIGIEN.LIMP.POLIM.E LUBR.</t>
        </r>
      </text>
    </comment>
    <comment ref="Y142" authorId="0" shapeId="0" xr:uid="{0CE97DE3-6045-4F00-83BD-3250C70EB441}">
      <text>
        <r>
          <rPr>
            <sz val="10"/>
            <color indexed="81"/>
            <rFont val="Lucida Console"/>
            <family val="3"/>
          </rPr>
          <t>_x000D_
VASSOURAS,ESCOVAS,ESFREGOES,RODOS,DESEMTUP.E ESPAN</t>
        </r>
      </text>
    </comment>
    <comment ref="AW142" authorId="0" shapeId="0" xr:uid="{1955739D-2E16-415D-A663-937D7C2F71AB}">
      <text>
        <r>
          <rPr>
            <sz val="10"/>
            <color indexed="81"/>
            <rFont val="Lucida Console"/>
            <family val="3"/>
          </rPr>
          <t>Tempo de Estoque (Meses)_x000D_
_x000D_
14,0</t>
        </r>
      </text>
    </comment>
    <comment ref="A143" authorId="0" shapeId="0" xr:uid="{00B43512-3FB0-46E5-96CA-914499A9AACE}">
      <text>
        <r>
          <rPr>
            <sz val="10"/>
            <color indexed="81"/>
            <rFont val="Lucida Console"/>
            <family val="3"/>
          </rPr>
          <t>_x000D_
87699</t>
        </r>
      </text>
    </comment>
    <comment ref="B143" authorId="0" shapeId="0" xr:uid="{27DC81E7-783F-4ACB-83C4-E8F30B63C71A}">
      <text>
        <r>
          <rPr>
            <sz val="10"/>
            <color indexed="81"/>
            <rFont val="Lucida Console"/>
            <family val="3"/>
          </rPr>
          <t>DESCRIÇÃO DETALHADA_x000D_
REFIL DE BORRACHA PARA RODO DE ALUMINIO DE 40 CM</t>
        </r>
      </text>
    </comment>
    <comment ref="G143" authorId="0" shapeId="0" xr:uid="{C63F819B-A839-4B11-B5B4-27F6CFEA4885}">
      <text>
        <r>
          <rPr>
            <sz val="10"/>
            <color indexed="81"/>
            <rFont val="Lucida Console"/>
            <family val="3"/>
          </rPr>
          <t>_x000D_
Últ estimativa : 50_x000D_
Enviada em     : 19.12.2019_x000D_
Ata - Venc     : 275/20 - 15.11.2021</t>
        </r>
      </text>
    </comment>
    <comment ref="W143" authorId="0" shapeId="0" xr:uid="{7FCA6B6F-83A4-4BB2-9BD0-DB49ECF8A48D}">
      <text>
        <r>
          <rPr>
            <sz val="10"/>
            <color indexed="81"/>
            <rFont val="Lucida Console"/>
            <family val="3"/>
          </rPr>
          <t>_x000D_
Administrativo</t>
        </r>
      </text>
    </comment>
    <comment ref="X143" authorId="0" shapeId="0" xr:uid="{4F6149D6-06D0-4138-84FA-302E6238976E}">
      <text>
        <r>
          <rPr>
            <sz val="10"/>
            <color indexed="81"/>
            <rFont val="Lucida Console"/>
            <family val="3"/>
          </rPr>
          <t>_x000D_
MAQ.EQUIP.E MATERIAIS P/ HIGIEN.LIMP.POLIM.E LUBR.</t>
        </r>
      </text>
    </comment>
    <comment ref="Y143" authorId="0" shapeId="0" xr:uid="{7601A0F6-0E2E-4A67-B0F0-01FABCDF545A}">
      <text>
        <r>
          <rPr>
            <sz val="10"/>
            <color indexed="81"/>
            <rFont val="Lucida Console"/>
            <family val="3"/>
          </rPr>
          <t>_x000D_
VASSOURAS,ESCOVAS,ESFREGOES,RODOS,DESEMTUP.E ESPAN</t>
        </r>
      </text>
    </comment>
    <comment ref="AW143" authorId="0" shapeId="0" xr:uid="{29C16F83-10A6-4604-9DE9-F99E2A317A3D}">
      <text>
        <r>
          <rPr>
            <sz val="10"/>
            <color indexed="81"/>
            <rFont val="Lucida Console"/>
            <family val="3"/>
          </rPr>
          <t>Tempo de Estoque (Meses)_x000D_
_x000D_
86,0</t>
        </r>
      </text>
    </comment>
    <comment ref="A144" authorId="0" shapeId="0" xr:uid="{0DB9659A-42C2-47D5-95FB-9755AFB0804E}">
      <text>
        <r>
          <rPr>
            <sz val="10"/>
            <color indexed="81"/>
            <rFont val="Lucida Console"/>
            <family val="3"/>
          </rPr>
          <t>_x000D_
9413</t>
        </r>
      </text>
    </comment>
    <comment ref="B144" authorId="0" shapeId="0" xr:uid="{C043F0C4-CC32-4EB8-8FEA-910FEC3F7298}">
      <text>
        <r>
          <rPr>
            <sz val="10"/>
            <color indexed="81"/>
            <rFont val="Lucida Console"/>
            <family val="3"/>
          </rPr>
          <t>DESCRIÇÃO DETALHADA_x000D_
SACO PLASTICO P/ LIXO  CAP. 100 LITROS, COR PRETA - 75 X 105 CM X 0,14 MM OU 140 MICRAS DE ESPESSURA (0,07 MM POR PAREDE)</t>
        </r>
      </text>
    </comment>
    <comment ref="G144" authorId="0" shapeId="0" xr:uid="{7FBA6CC2-B873-45F5-8540-A4EE1D7A62E9}">
      <text>
        <r>
          <rPr>
            <sz val="10"/>
            <color indexed="81"/>
            <rFont val="Lucida Console"/>
            <family val="3"/>
          </rPr>
          <t>_x000D_
Últ estimativa : 20.000_x000D_
Enviada em     : 11.05.2020_x000D_
Ata - Venc     : 159/20 - 02.08.2021</t>
        </r>
      </text>
    </comment>
    <comment ref="W144" authorId="0" shapeId="0" xr:uid="{C68EEDED-64C2-4499-B09E-FA78D6B19718}">
      <text>
        <r>
          <rPr>
            <sz val="10"/>
            <color indexed="81"/>
            <rFont val="Lucida Console"/>
            <family val="3"/>
          </rPr>
          <t>_x000D_
Administrativo</t>
        </r>
      </text>
    </comment>
    <comment ref="X144" authorId="0" shapeId="0" xr:uid="{97B6664F-978B-4CA5-98D5-75A927F7A408}">
      <text>
        <r>
          <rPr>
            <sz val="10"/>
            <color indexed="81"/>
            <rFont val="Lucida Console"/>
            <family val="3"/>
          </rPr>
          <t>_x000D_
MAQ.EQUIP.E MATERIAIS P/ HIGIEN.LIMP.POLIM.E LUBR.</t>
        </r>
      </text>
    </comment>
    <comment ref="Y144" authorId="0" shapeId="0" xr:uid="{D677414C-D70E-4A2F-BC8D-F3356D1A1508}">
      <text>
        <r>
          <rPr>
            <sz val="10"/>
            <color indexed="81"/>
            <rFont val="Lucida Console"/>
            <family val="3"/>
          </rPr>
          <t>_x000D_
ESPONJAS,BALDES,SACOS E CESTOS DE LIXO, ETC</t>
        </r>
      </text>
    </comment>
    <comment ref="AW144" authorId="0" shapeId="0" xr:uid="{74815FA9-526E-419C-A5E4-94BD814773C6}">
      <text>
        <r>
          <rPr>
            <sz val="10"/>
            <color indexed="81"/>
            <rFont val="Lucida Console"/>
            <family val="3"/>
          </rPr>
          <t>Tempo de Estoque (Meses)_x000D_
_x000D_
9.679,0</t>
        </r>
      </text>
    </comment>
    <comment ref="A145" authorId="0" shapeId="0" xr:uid="{14B9D1F2-E8F6-4616-A9EE-4313C6E3EA79}">
      <text>
        <r>
          <rPr>
            <sz val="10"/>
            <color indexed="81"/>
            <rFont val="Lucida Console"/>
            <family val="3"/>
          </rPr>
          <t>_x000D_
91669</t>
        </r>
      </text>
    </comment>
    <comment ref="B145" authorId="0" shapeId="0" xr:uid="{056AB12C-881D-41B1-A554-16B00D644218}">
      <text>
        <r>
          <rPr>
            <sz val="10"/>
            <color indexed="81"/>
            <rFont val="Lucida Console"/>
            <family val="3"/>
          </rPr>
          <t>DESCRIÇÃO DETALHADA_x000D_
SABAO EM PO, EMBALAGEM C/ 01 KG - CARACTERISTICAS: COM AMACIANTE, QUE REMOVA A GORDURA E SUJEIRA COM FACILIDADE.</t>
        </r>
      </text>
    </comment>
    <comment ref="G145" authorId="0" shapeId="0" xr:uid="{3C1B36DC-098D-4B8B-ABBE-37D82CBC3533}">
      <text>
        <r>
          <rPr>
            <sz val="10"/>
            <color indexed="81"/>
            <rFont val="Lucida Console"/>
            <family val="3"/>
          </rPr>
          <t>_x000D_
Últ estimativa : 4.500_x000D_
Enviada em     : 10.09.2021_x000D_
Ata - Venc     : 308/20 - 28.12.2021</t>
        </r>
      </text>
    </comment>
    <comment ref="W145" authorId="0" shapeId="0" xr:uid="{77767027-DF39-485C-80BF-3379286CA82E}">
      <text>
        <r>
          <rPr>
            <sz val="10"/>
            <color indexed="81"/>
            <rFont val="Lucida Console"/>
            <family val="3"/>
          </rPr>
          <t>_x000D_
Administrativo</t>
        </r>
      </text>
    </comment>
    <comment ref="X145" authorId="0" shapeId="0" xr:uid="{6F471309-F034-47BB-BDD3-5578DA812CDB}">
      <text>
        <r>
          <rPr>
            <sz val="10"/>
            <color indexed="81"/>
            <rFont val="Lucida Console"/>
            <family val="3"/>
          </rPr>
          <t>_x000D_
MAQ.EQUIP.E MATERIAIS P/ HIGIEN.LIMP.POLIM.E LUBR.</t>
        </r>
      </text>
    </comment>
    <comment ref="Y145" authorId="0" shapeId="0" xr:uid="{EAEB289F-5C77-4DD7-816B-4178558F9D9E}">
      <text>
        <r>
          <rPr>
            <sz val="10"/>
            <color indexed="81"/>
            <rFont val="Lucida Console"/>
            <family val="3"/>
          </rPr>
          <t>_x000D_
SABOES E SAPONACEOS</t>
        </r>
      </text>
    </comment>
    <comment ref="AW145" authorId="0" shapeId="0" xr:uid="{2CB6BD64-613B-48C7-9B06-13B527FB5C39}">
      <text>
        <r>
          <rPr>
            <sz val="10"/>
            <color indexed="81"/>
            <rFont val="Lucida Console"/>
            <family val="3"/>
          </rPr>
          <t>Tempo de Estoque (Meses)_x000D_
_x000D_
2.293,0</t>
        </r>
      </text>
    </comment>
    <comment ref="A146" authorId="0" shapeId="0" xr:uid="{F5E93E2E-DDDC-45DD-BBBA-D4AAA1831F84}">
      <text>
        <r>
          <rPr>
            <sz val="10"/>
            <color indexed="81"/>
            <rFont val="Lucida Console"/>
            <family val="3"/>
          </rPr>
          <t>_x000D_
10719</t>
        </r>
      </text>
    </comment>
    <comment ref="B146" authorId="0" shapeId="0" xr:uid="{AA4EABB4-2873-4B34-B191-47608039ADA4}">
      <text>
        <r>
          <rPr>
            <sz val="10"/>
            <color indexed="81"/>
            <rFont val="Lucida Console"/>
            <family val="3"/>
          </rPr>
          <t>DESCRIÇÃO DETALHADA_x000D_
CAFE TORRADO E MOIDO - PT C/ 500 G - EMBALAGEM TIJOLINHO</t>
        </r>
      </text>
    </comment>
    <comment ref="G146" authorId="0" shapeId="0" xr:uid="{4176D755-E69A-464A-8393-11669DC391B4}">
      <text>
        <r>
          <rPr>
            <sz val="10"/>
            <color indexed="81"/>
            <rFont val="Lucida Console"/>
            <family val="3"/>
          </rPr>
          <t>_x000D_
Últ estimativa : 60.000_x000D_
Enviada em     : 04.12.2020_x000D_
Ata - Venc     : 85/21 - 23.03.2022</t>
        </r>
      </text>
    </comment>
    <comment ref="W146" authorId="0" shapeId="0" xr:uid="{BC712EBC-D9DC-47AE-AE87-316D7D8F7014}">
      <text>
        <r>
          <rPr>
            <sz val="10"/>
            <color indexed="81"/>
            <rFont val="Lucida Console"/>
            <family val="3"/>
          </rPr>
          <t>_x000D_
Administrativo</t>
        </r>
      </text>
    </comment>
    <comment ref="X146" authorId="0" shapeId="0" xr:uid="{7ACA1995-1C55-4E96-AB81-41AD986C9D61}">
      <text>
        <r>
          <rPr>
            <sz val="10"/>
            <color indexed="81"/>
            <rFont val="Lucida Console"/>
            <family val="3"/>
          </rPr>
          <t>_x000D_
GENEROS ALIMENTICIOS E BEBIDAS</t>
        </r>
      </text>
    </comment>
    <comment ref="Y146" authorId="0" shapeId="0" xr:uid="{FD10A7DB-A294-400D-A18B-CF4BC45B9EE0}">
      <text>
        <r>
          <rPr>
            <sz val="10"/>
            <color indexed="81"/>
            <rFont val="Lucida Console"/>
            <family val="3"/>
          </rPr>
          <t>_x000D_
CONCENTRADOS</t>
        </r>
      </text>
    </comment>
    <comment ref="AC146" authorId="0" shapeId="0" xr:uid="{A53AD5C3-0327-4C0C-8C04-BDFA5294D8CE}">
      <text>
        <r>
          <rPr>
            <sz val="10"/>
            <color indexed="81"/>
            <rFont val="Lucida Console"/>
            <family val="3"/>
          </rPr>
          <t>_x000D_
AF  7.206/23 | Vc 03.07.2023 | Saldo 10.300 | FINO SABOR INDUSTRIA E COMERCIO LTDA ( 20351 )</t>
        </r>
      </text>
    </comment>
    <comment ref="AG146" authorId="0" shapeId="0" xr:uid="{CA66A633-9201-4957-AD89-DD6F1FF990A6}">
      <text>
        <r>
          <rPr>
            <sz val="10"/>
            <color indexed="81"/>
            <rFont val="Lucida Console"/>
            <family val="3"/>
          </rPr>
          <t>_x000D_
AF  7.206/23 | Vc 03.07.2023 | Saldo 10.300 | FINO SABOR INDUSTRIA E COMERCIO LTDA ( 20351 )</t>
        </r>
      </text>
    </comment>
    <comment ref="AW146" authorId="0" shapeId="0" xr:uid="{6D714C22-F7BD-40A3-AD05-9F9020EA0D49}">
      <text>
        <r>
          <rPr>
            <sz val="10"/>
            <color indexed="81"/>
            <rFont val="Lucida Console"/>
            <family val="3"/>
          </rPr>
          <t>Tempo de Estoque (Meses)_x000D_
_x000D_
13.002,0</t>
        </r>
      </text>
    </comment>
    <comment ref="A147" authorId="0" shapeId="0" xr:uid="{A89907A5-B54B-4AEF-9980-DDE66B41EB82}">
      <text>
        <r>
          <rPr>
            <sz val="10"/>
            <color indexed="81"/>
            <rFont val="Lucida Console"/>
            <family val="3"/>
          </rPr>
          <t>_x000D_
14121</t>
        </r>
      </text>
    </comment>
    <comment ref="B147" authorId="0" shapeId="0" xr:uid="{5B4DD3D8-FAF7-471F-9627-38E3B2050107}">
      <text>
        <r>
          <rPr>
            <sz val="10"/>
            <color indexed="81"/>
            <rFont val="Lucida Console"/>
            <family val="3"/>
          </rPr>
          <t>DESCRIÇÃO DETALHADA_x000D_
SACO PLASTICO P/ LIXO - 50 L, COR PRETA - 63 X 80 CM X 0,12 MM OU 120 MICRAS DE ESPESSURA (0,06 MM POR PAREDE)</t>
        </r>
      </text>
    </comment>
    <comment ref="G147" authorId="0" shapeId="0" xr:uid="{61B5CB52-1A07-467A-9298-B365F76753EE}">
      <text>
        <r>
          <rPr>
            <sz val="10"/>
            <color indexed="81"/>
            <rFont val="Lucida Console"/>
            <family val="3"/>
          </rPr>
          <t>_x000D_
Últ estimativa : 14.000_x000D_
Enviada em     : 14.10.2019_x000D_
Ata - Venc     : 93/21 - 29.03.2022</t>
        </r>
      </text>
    </comment>
    <comment ref="W147" authorId="0" shapeId="0" xr:uid="{D4413F1C-6D84-40D5-80AB-3DE5D994042B}">
      <text>
        <r>
          <rPr>
            <sz val="10"/>
            <color indexed="81"/>
            <rFont val="Lucida Console"/>
            <family val="3"/>
          </rPr>
          <t>_x000D_
Administrativo</t>
        </r>
      </text>
    </comment>
    <comment ref="X147" authorId="0" shapeId="0" xr:uid="{4DB3D600-4688-4C3B-90DC-AABBCE5C2F53}">
      <text>
        <r>
          <rPr>
            <sz val="10"/>
            <color indexed="81"/>
            <rFont val="Lucida Console"/>
            <family val="3"/>
          </rPr>
          <t>_x000D_
MAQ.EQUIP.E MATERIAIS P/ HIGIEN.LIMP.POLIM.E LUBR.</t>
        </r>
      </text>
    </comment>
    <comment ref="Y147" authorId="0" shapeId="0" xr:uid="{F8C4BF2C-F7D7-4B01-9A7E-D3EE95C757A3}">
      <text>
        <r>
          <rPr>
            <sz val="10"/>
            <color indexed="81"/>
            <rFont val="Lucida Console"/>
            <family val="3"/>
          </rPr>
          <t>_x000D_
ESPONJAS,BALDES,SACOS E CESTOS DE LIXO, ETC</t>
        </r>
      </text>
    </comment>
    <comment ref="AW147" authorId="0" shapeId="0" xr:uid="{1DFFFA9E-FFE2-4014-93DD-F6A0DE883643}">
      <text>
        <r>
          <rPr>
            <sz val="10"/>
            <color indexed="81"/>
            <rFont val="Lucida Console"/>
            <family val="3"/>
          </rPr>
          <t>Tempo de Estoque (Meses)_x000D_
_x000D_
5.883,0</t>
        </r>
      </text>
    </comment>
    <comment ref="A148" authorId="0" shapeId="0" xr:uid="{2AE414FC-36EA-4764-B08F-34FE8D2FBD39}">
      <text>
        <r>
          <rPr>
            <sz val="10"/>
            <color indexed="81"/>
            <rFont val="Lucida Console"/>
            <family val="3"/>
          </rPr>
          <t>_x000D_
109251</t>
        </r>
      </text>
    </comment>
    <comment ref="B148" authorId="0" shapeId="0" xr:uid="{EAEF0B90-D2B3-4A8F-9B11-E170CC83DF85}">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148" authorId="0" shapeId="0" xr:uid="{9E8505B6-631E-443F-A334-836673A074D0}">
      <text>
        <r>
          <rPr>
            <sz val="10"/>
            <color indexed="81"/>
            <rFont val="Lucida Console"/>
            <family val="3"/>
          </rPr>
          <t>_x000D_
Últ estimativa : 0_x000D_
Enviada em     : 19.10.2018_x000D_
Ata - Venc     : 93/21 - 29.03.2022</t>
        </r>
      </text>
    </comment>
    <comment ref="W148" authorId="0" shapeId="0" xr:uid="{B6F90F8D-FF1C-4994-8892-610173E2BFDA}">
      <text>
        <r>
          <rPr>
            <sz val="10"/>
            <color indexed="81"/>
            <rFont val="Lucida Console"/>
            <family val="3"/>
          </rPr>
          <t>_x000D_
Administrativo</t>
        </r>
      </text>
    </comment>
    <comment ref="X148" authorId="0" shapeId="0" xr:uid="{C567856A-12AD-4360-85F2-22AEE720007B}">
      <text>
        <r>
          <rPr>
            <sz val="10"/>
            <color indexed="81"/>
            <rFont val="Lucida Console"/>
            <family val="3"/>
          </rPr>
          <t>_x000D_
MAQ.EQUIP.E MATERIAIS P/ HIGIEN.LIMP.POLIM.E LUBR.</t>
        </r>
      </text>
    </comment>
    <comment ref="Y148" authorId="0" shapeId="0" xr:uid="{1229255F-90D1-4B58-B0DD-D936B49877E3}">
      <text>
        <r>
          <rPr>
            <sz val="10"/>
            <color indexed="81"/>
            <rFont val="Lucida Console"/>
            <family val="3"/>
          </rPr>
          <t>_x000D_
ESPONJAS,BALDES,SACOS E CESTOS DE LIXO, ETC</t>
        </r>
      </text>
    </comment>
    <comment ref="AW148" authorId="0" shapeId="0" xr:uid="{9B241D21-AD5C-43B7-B4A9-32B8D413CC59}">
      <text>
        <r>
          <rPr>
            <sz val="10"/>
            <color indexed="81"/>
            <rFont val="Lucida Console"/>
            <family val="3"/>
          </rPr>
          <t>Tempo de Estoque (Meses)_x000D_
_x000D_
386,0</t>
        </r>
      </text>
    </comment>
    <comment ref="A149" authorId="0" shapeId="0" xr:uid="{4667091B-B995-4495-B808-2E75808D0CFA}">
      <text>
        <r>
          <rPr>
            <sz val="10"/>
            <color indexed="81"/>
            <rFont val="Lucida Console"/>
            <family val="3"/>
          </rPr>
          <t>_x000D_
96516</t>
        </r>
      </text>
    </comment>
    <comment ref="B149" authorId="0" shapeId="0" xr:uid="{62A8B09B-D8F6-409C-88AA-4F564B3F938A}">
      <text>
        <r>
          <rPr>
            <sz val="10"/>
            <color indexed="81"/>
            <rFont val="Lucida Console"/>
            <family val="3"/>
          </rPr>
          <t>DESCRIÇÃO DETALHADA_x000D_
LUVA DE PROTECAO, CONFECCIONADO EM LATEX, TAMANHO M.</t>
        </r>
      </text>
    </comment>
    <comment ref="G149" authorId="0" shapeId="0" xr:uid="{F4F4A352-7198-473E-95BB-89550F4FA4FE}">
      <text>
        <r>
          <rPr>
            <sz val="10"/>
            <color indexed="81"/>
            <rFont val="Lucida Console"/>
            <family val="3"/>
          </rPr>
          <t>_x000D_
Últ estimativa : 2.100_x000D_
Enviada em     : 19.05.2020_x000D_
Ata - Venc     : 289/20 - 22.11.2021</t>
        </r>
      </text>
    </comment>
    <comment ref="W149" authorId="0" shapeId="0" xr:uid="{8D40DEE9-2AF4-4C6A-9463-F26D27EE8293}">
      <text>
        <r>
          <rPr>
            <sz val="10"/>
            <color indexed="81"/>
            <rFont val="Lucida Console"/>
            <family val="3"/>
          </rPr>
          <t>_x000D_
SegMedTra</t>
        </r>
      </text>
    </comment>
    <comment ref="X149" authorId="0" shapeId="0" xr:uid="{DA6D4164-C345-48D4-9972-CB2F72F941EC}">
      <text>
        <r>
          <rPr>
            <sz val="10"/>
            <color indexed="81"/>
            <rFont val="Lucida Console"/>
            <family val="3"/>
          </rPr>
          <t>_x000D_
EQUIP PROT IND, INST MAT P/ SINAL, CONTR, COMB ...</t>
        </r>
      </text>
    </comment>
    <comment ref="Y149" authorId="0" shapeId="0" xr:uid="{E9741090-4E36-498B-AB49-5E5B0FD3B450}">
      <text>
        <r>
          <rPr>
            <sz val="10"/>
            <color indexed="81"/>
            <rFont val="Lucida Console"/>
            <family val="3"/>
          </rPr>
          <t>_x000D_
CALCADOS, LUVAS, OCULOS, MASCARAS, CAPACETES, CASSETETE</t>
        </r>
      </text>
    </comment>
    <comment ref="AW149" authorId="0" shapeId="0" xr:uid="{CAD920D1-E3E0-4A59-858A-B0D6A0E44BE7}">
      <text>
        <r>
          <rPr>
            <sz val="10"/>
            <color indexed="81"/>
            <rFont val="Lucida Console"/>
            <family val="3"/>
          </rPr>
          <t>Tempo de Estoque (Meses)_x000D_
_x000D_
3.054,0</t>
        </r>
      </text>
    </comment>
    <comment ref="A150" authorId="0" shapeId="0" xr:uid="{45856197-C7B2-4098-93D4-BF492DDB6497}">
      <text>
        <r>
          <rPr>
            <sz val="10"/>
            <color indexed="81"/>
            <rFont val="Lucida Console"/>
            <family val="3"/>
          </rPr>
          <t>_x000D_
98080</t>
        </r>
      </text>
    </comment>
    <comment ref="B150" authorId="0" shapeId="0" xr:uid="{9035D630-0AA3-4C9B-8B76-F4D9B6FE638C}">
      <text>
        <r>
          <rPr>
            <sz val="10"/>
            <color indexed="81"/>
            <rFont val="Lucida Console"/>
            <family val="3"/>
          </rPr>
          <t>DESCRIÇÃO DETALHADA_x000D_
LUVA DE PROTECAO, CONFECCIONADA EM LATEX, TAMANHO G.</t>
        </r>
      </text>
    </comment>
    <comment ref="G150" authorId="0" shapeId="0" xr:uid="{CFB96A75-A1F9-47BC-AA0D-9728959B1A67}">
      <text>
        <r>
          <rPr>
            <sz val="10"/>
            <color indexed="81"/>
            <rFont val="Lucida Console"/>
            <family val="3"/>
          </rPr>
          <t>_x000D_
Últ estimativa : 1.600_x000D_
Enviada em     : 19.05.2020_x000D_
Ata - Venc     : 289/20 - 22.11.2021</t>
        </r>
      </text>
    </comment>
    <comment ref="W150" authorId="0" shapeId="0" xr:uid="{2D60E28B-9577-4CA8-9E23-74DABFDDD43C}">
      <text>
        <r>
          <rPr>
            <sz val="10"/>
            <color indexed="81"/>
            <rFont val="Lucida Console"/>
            <family val="3"/>
          </rPr>
          <t>_x000D_
SegMedTra</t>
        </r>
      </text>
    </comment>
    <comment ref="X150" authorId="0" shapeId="0" xr:uid="{93F0A6C4-C8B6-40A6-B920-A68C2876653D}">
      <text>
        <r>
          <rPr>
            <sz val="10"/>
            <color indexed="81"/>
            <rFont val="Lucida Console"/>
            <family val="3"/>
          </rPr>
          <t>_x000D_
EQUIP PROT IND, INST MAT P/ SINAL, CONTR, COMB ...</t>
        </r>
      </text>
    </comment>
    <comment ref="Y150" authorId="0" shapeId="0" xr:uid="{D9A27110-AB75-49B5-85E3-D610DCA97078}">
      <text>
        <r>
          <rPr>
            <sz val="10"/>
            <color indexed="81"/>
            <rFont val="Lucida Console"/>
            <family val="3"/>
          </rPr>
          <t>_x000D_
ATA DE REGISTRO DE PRECOS</t>
        </r>
      </text>
    </comment>
    <comment ref="AW150" authorId="0" shapeId="0" xr:uid="{7B0851F3-1438-4788-AF98-917461F21DF3}">
      <text>
        <r>
          <rPr>
            <sz val="10"/>
            <color indexed="81"/>
            <rFont val="Lucida Console"/>
            <family val="3"/>
          </rPr>
          <t>Tempo de Estoque (Meses)_x000D_
_x000D_
2.392,0</t>
        </r>
      </text>
    </comment>
    <comment ref="A151" authorId="0" shapeId="0" xr:uid="{E495903A-082E-43D9-BEF9-A0222753D82E}">
      <text>
        <r>
          <rPr>
            <sz val="10"/>
            <color indexed="81"/>
            <rFont val="Lucida Console"/>
            <family val="3"/>
          </rPr>
          <t>_x000D_
39378</t>
        </r>
      </text>
    </comment>
    <comment ref="B151" authorId="0" shapeId="0" xr:uid="{A56D9A12-E54D-4D8B-8C0E-64F6A59B6A0D}">
      <text>
        <r>
          <rPr>
            <sz val="10"/>
            <color indexed="81"/>
            <rFont val="Lucida Console"/>
            <family val="3"/>
          </rPr>
          <t>DESCRIÇÃO DETALHADA_x000D_
HASTE GALVANIZADA - 1/4" X 350 MM - P/ FIXACAO DE TELHA DE FIBROCIMENTO - C/ PORCA, ARRUELA DE ALUMINIO E PLASTICA</t>
        </r>
      </text>
    </comment>
    <comment ref="G151" authorId="0" shapeId="0" xr:uid="{6EFDADAF-2792-4D89-B9D5-6F98516BC65E}">
      <text>
        <r>
          <rPr>
            <sz val="10"/>
            <color indexed="81"/>
            <rFont val="Lucida Console"/>
            <family val="3"/>
          </rPr>
          <t xml:space="preserve">_x000D_
Últ estimativa : 3.000_x000D_
Enviada em     : 22.04.2021_x000D_
Ata - Venc     : /-2000 - </t>
        </r>
      </text>
    </comment>
    <comment ref="O151" authorId="0" shapeId="0" xr:uid="{C9A2B6AA-60DD-4EAF-A394-CB58956A9E54}">
      <text>
        <r>
          <rPr>
            <sz val="10"/>
            <color indexed="81"/>
            <rFont val="Lucida Console"/>
            <family val="3"/>
          </rPr>
          <t>_x000D_
Ata anterior não identificada.</t>
        </r>
      </text>
    </comment>
    <comment ref="W151" authorId="0" shapeId="0" xr:uid="{78097027-3D53-4104-AC90-FCDF4E64618B}">
      <text>
        <r>
          <rPr>
            <sz val="10"/>
            <color indexed="81"/>
            <rFont val="Lucida Console"/>
            <family val="3"/>
          </rPr>
          <t>_x000D_
DM-Construção</t>
        </r>
      </text>
    </comment>
    <comment ref="X151" authorId="0" shapeId="0" xr:uid="{3FAA93FF-1A0A-4F86-8444-F33644EB3B70}">
      <text>
        <r>
          <rPr>
            <sz val="10"/>
            <color indexed="81"/>
            <rFont val="Lucida Console"/>
            <family val="3"/>
          </rPr>
          <t>_x000D_
PARAFUSOS ELEM. VEDACAO UNIAO CONEX . FIXACAO</t>
        </r>
      </text>
    </comment>
    <comment ref="Y151" authorId="0" shapeId="0" xr:uid="{F2532514-2C6A-491D-A0D6-08FE6FFC3D74}">
      <text>
        <r>
          <rPr>
            <sz val="10"/>
            <color indexed="81"/>
            <rFont val="Lucida Console"/>
            <family val="3"/>
          </rPr>
          <t>_x000D_
HASTES</t>
        </r>
      </text>
    </comment>
    <comment ref="AW151" authorId="0" shapeId="0" xr:uid="{D63A4B0F-EFBE-47D3-8864-0F1C4451CFA7}">
      <text>
        <r>
          <rPr>
            <sz val="10"/>
            <color indexed="81"/>
            <rFont val="Lucida Console"/>
            <family val="3"/>
          </rPr>
          <t>Tempo de Estoque (Meses)_x000D_
_x000D_
3.962,0</t>
        </r>
      </text>
    </comment>
    <comment ref="A152" authorId="0" shapeId="0" xr:uid="{66161E75-2316-4E61-B340-F66A77968928}">
      <text>
        <r>
          <rPr>
            <sz val="10"/>
            <color indexed="81"/>
            <rFont val="Lucida Console"/>
            <family val="3"/>
          </rPr>
          <t>_x000D_
11116</t>
        </r>
      </text>
    </comment>
    <comment ref="B152" authorId="0" shapeId="0" xr:uid="{FBE43759-644D-487F-B98C-F1B702CA6BDE}">
      <text>
        <r>
          <rPr>
            <sz val="10"/>
            <color indexed="81"/>
            <rFont val="Lucida Console"/>
            <family val="3"/>
          </rPr>
          <t>DESCRIÇÃO DETALHADA_x000D_
GRAMPO P/ PAPEL N°1 TIPO TRANCADO - CX COM 12 UNID</t>
        </r>
      </text>
    </comment>
    <comment ref="G152" authorId="0" shapeId="0" xr:uid="{82BCF819-863C-4582-BFDA-2C96DDEC9289}">
      <text>
        <r>
          <rPr>
            <sz val="10"/>
            <color indexed="81"/>
            <rFont val="Lucida Console"/>
            <family val="3"/>
          </rPr>
          <t xml:space="preserve">_x000D_
Últ estimativa : 0_x000D_
Enviada em     : 02.03.2020_x000D_
Ata - Venc     : /-2000 - </t>
        </r>
      </text>
    </comment>
    <comment ref="O152" authorId="0" shapeId="0" xr:uid="{20C2831E-7573-48CD-8F62-CD3A7825E0FC}">
      <text>
        <r>
          <rPr>
            <sz val="10"/>
            <color indexed="81"/>
            <rFont val="Lucida Console"/>
            <family val="3"/>
          </rPr>
          <t>_x000D_
Ata anterior não identificada.</t>
        </r>
      </text>
    </comment>
    <comment ref="W152" authorId="0" shapeId="0" xr:uid="{18427151-3521-48F8-907C-2786C642F906}">
      <text>
        <r>
          <rPr>
            <sz val="10"/>
            <color indexed="81"/>
            <rFont val="Lucida Console"/>
            <family val="3"/>
          </rPr>
          <t>_x000D_
Administrativo</t>
        </r>
      </text>
    </comment>
    <comment ref="X152" authorId="0" shapeId="0" xr:uid="{0F020A36-6FE3-48DB-99C0-487755B171AF}">
      <text>
        <r>
          <rPr>
            <sz val="10"/>
            <color indexed="81"/>
            <rFont val="Lucida Console"/>
            <family val="3"/>
          </rPr>
          <t>_x000D_
MAQ., EQUIP., COMP., ACES., MAT. PARA ESCRIT.E ESCOLAR</t>
        </r>
      </text>
    </comment>
    <comment ref="Y152" authorId="0" shapeId="0" xr:uid="{B1394740-4AD8-4D52-952C-D05D3A79190C}">
      <text>
        <r>
          <rPr>
            <sz val="10"/>
            <color indexed="81"/>
            <rFont val="Lucida Console"/>
            <family val="3"/>
          </rPr>
          <t>_x000D_
FURAD.GRAMP.COLCHETE,GRAMPOS,CLIPS,ELAST.BARB.FIT.</t>
        </r>
      </text>
    </comment>
    <comment ref="AW152" authorId="0" shapeId="0" xr:uid="{BE419270-DD8A-456B-A0D4-9FCFD9EEB802}">
      <text>
        <r>
          <rPr>
            <sz val="10"/>
            <color indexed="81"/>
            <rFont val="Lucida Console"/>
            <family val="3"/>
          </rPr>
          <t>Tempo de Estoque (Meses)_x000D_
_x000D_
1.479,0</t>
        </r>
      </text>
    </comment>
    <comment ref="A153" authorId="0" shapeId="0" xr:uid="{791C2918-1435-43EE-8FAA-77A05B5EA877}">
      <text>
        <r>
          <rPr>
            <sz val="10"/>
            <color indexed="81"/>
            <rFont val="Lucida Console"/>
            <family val="3"/>
          </rPr>
          <t>_x000D_
105709</t>
        </r>
      </text>
    </comment>
    <comment ref="B153" authorId="0" shapeId="0" xr:uid="{519AB31D-2046-4B86-9134-AEAC25E4DB93}">
      <text>
        <r>
          <rPr>
            <sz val="10"/>
            <color indexed="81"/>
            <rFont val="Lucida Console"/>
            <family val="3"/>
          </rPr>
          <t>DESCRIÇÃO DETALHADA_x000D_
CAMISA DE BRIM, N° 7, CONFECCIONADA EM TECIDO 100% ALGODAO, NA COR AZUL MARINHO.</t>
        </r>
      </text>
    </comment>
    <comment ref="O153" authorId="0" shapeId="0" xr:uid="{78E139C7-2548-4510-B7E2-7A5AC7A669FA}">
      <text>
        <r>
          <rPr>
            <sz val="10"/>
            <color indexed="81"/>
            <rFont val="Lucida Console"/>
            <family val="3"/>
          </rPr>
          <t>_x000D_
Ata anterior não identificada.</t>
        </r>
      </text>
    </comment>
    <comment ref="W153" authorId="0" shapeId="0" xr:uid="{1EEB8DA4-944E-4A8D-BDB7-1DB246652ECC}">
      <text>
        <r>
          <rPr>
            <sz val="10"/>
            <color indexed="81"/>
            <rFont val="Lucida Console"/>
            <family val="3"/>
          </rPr>
          <t>_x000D_
SegMedTra</t>
        </r>
      </text>
    </comment>
    <comment ref="X153" authorId="0" shapeId="0" xr:uid="{4A967126-E773-43A8-AFE0-21AD5517D43C}">
      <text>
        <r>
          <rPr>
            <sz val="10"/>
            <color indexed="81"/>
            <rFont val="Lucida Console"/>
            <family val="3"/>
          </rPr>
          <t>_x000D_
EQUIP PROT IND, INST MAT P/ SINAL, CONTR, COMB ...</t>
        </r>
      </text>
    </comment>
    <comment ref="Y153" authorId="0" shapeId="0" xr:uid="{B8A78A96-6670-4CCC-A976-09D9071EFB82}">
      <text>
        <r>
          <rPr>
            <sz val="10"/>
            <color indexed="81"/>
            <rFont val="Lucida Console"/>
            <family val="3"/>
          </rPr>
          <t>_x000D_
ATA DE REGISTRO DE PRECOS</t>
        </r>
      </text>
    </comment>
    <comment ref="AW153" authorId="0" shapeId="0" xr:uid="{D30CCA2E-2B7B-4355-BCF0-FFF69F7D3E46}">
      <text>
        <r>
          <rPr>
            <sz val="10"/>
            <color indexed="81"/>
            <rFont val="Lucida Console"/>
            <family val="3"/>
          </rPr>
          <t>Tempo de Estoque (Meses)_x000D_
_x000D_
12,0</t>
        </r>
      </text>
    </comment>
    <comment ref="A154" authorId="0" shapeId="0" xr:uid="{B475650B-703B-496F-9CD5-226C30E00FB8}">
      <text>
        <r>
          <rPr>
            <sz val="10"/>
            <color indexed="81"/>
            <rFont val="Lucida Console"/>
            <family val="3"/>
          </rPr>
          <t>_x000D_
45607</t>
        </r>
      </text>
    </comment>
    <comment ref="B154" authorId="0" shapeId="0" xr:uid="{29AFADAD-85D2-402B-8B78-F273099CD656}">
      <text>
        <r>
          <rPr>
            <sz val="10"/>
            <color indexed="81"/>
            <rFont val="Lucida Console"/>
            <family val="3"/>
          </rPr>
          <t xml:space="preserve">DESCRIÇÃO DETALHADA_x000D_
UNIAO DE PVC COLA MARROM -  25 MM, DE ACORDO COM A NBR 5648 E A MARCA, MEDIDA E NBR DEVERAO VIR LITOGRAFADA NA PECA  </t>
        </r>
      </text>
    </comment>
    <comment ref="G154" authorId="0" shapeId="0" xr:uid="{745948E9-759F-464C-89AE-0F946B68896C}">
      <text>
        <r>
          <rPr>
            <sz val="10"/>
            <color indexed="81"/>
            <rFont val="Lucida Console"/>
            <family val="3"/>
          </rPr>
          <t xml:space="preserve">_x000D_
Últ estimativa : 1.000_x000D_
Enviada em     : 24.11.2020_x000D_
Ata - Venc     : /-2000 - </t>
        </r>
      </text>
    </comment>
    <comment ref="O154" authorId="0" shapeId="0" xr:uid="{747AE90E-8E9C-4A8B-90D7-A03D3E46EFC7}">
      <text>
        <r>
          <rPr>
            <sz val="10"/>
            <color indexed="81"/>
            <rFont val="Lucida Console"/>
            <family val="3"/>
          </rPr>
          <t>_x000D_
Ata anterior não identificada.</t>
        </r>
      </text>
    </comment>
    <comment ref="W154" authorId="0" shapeId="0" xr:uid="{773B6374-D9AC-4085-A7A4-CA12580E8485}">
      <text>
        <r>
          <rPr>
            <sz val="10"/>
            <color indexed="81"/>
            <rFont val="Lucida Console"/>
            <family val="3"/>
          </rPr>
          <t>_x000D_
DM-Hidráulica</t>
        </r>
      </text>
    </comment>
    <comment ref="X154" authorId="0" shapeId="0" xr:uid="{EE9F830C-4846-4F8C-8FF7-AD7FBE82D8C0}">
      <text>
        <r>
          <rPr>
            <sz val="10"/>
            <color indexed="81"/>
            <rFont val="Lucida Console"/>
            <family val="3"/>
          </rPr>
          <t>_x000D_
MATERIAL HIDRAULICO, CANOS, TUBOS, MANGUEIRAS, CONEXOES E ACESS.</t>
        </r>
      </text>
    </comment>
    <comment ref="Y154" authorId="0" shapeId="0" xr:uid="{34C603E4-4998-4974-8ADE-EE2D8CCA5328}">
      <text>
        <r>
          <rPr>
            <sz val="10"/>
            <color indexed="81"/>
            <rFont val="Lucida Console"/>
            <family val="3"/>
          </rPr>
          <t>_x000D_
ADAP. LUVAS.TES CURVAS COTOVELOS PLUGS FLANGES.....</t>
        </r>
      </text>
    </comment>
    <comment ref="AW154" authorId="0" shapeId="0" xr:uid="{F7717BCC-4B96-4447-8410-EC36FD85084B}">
      <text>
        <r>
          <rPr>
            <sz val="10"/>
            <color indexed="81"/>
            <rFont val="Lucida Console"/>
            <family val="3"/>
          </rPr>
          <t>Tempo de Estoque (Meses)_x000D_
_x000D_
762,0</t>
        </r>
      </text>
    </comment>
    <comment ref="A155" authorId="0" shapeId="0" xr:uid="{F65EC2D8-6912-444E-BDC9-107CA3B31C6E}">
      <text>
        <r>
          <rPr>
            <sz val="10"/>
            <color indexed="81"/>
            <rFont val="Lucida Console"/>
            <family val="3"/>
          </rPr>
          <t>_x000D_
138352</t>
        </r>
      </text>
    </comment>
    <comment ref="B155" authorId="0" shapeId="0" xr:uid="{B20A59C3-2FBA-4C7E-BEB1-B05AB649999F}">
      <text>
        <r>
          <rPr>
            <sz val="10"/>
            <color indexed="81"/>
            <rFont val="Lucida Console"/>
            <family val="3"/>
          </rPr>
          <t>DESCRIÇÃO DETALHADA_x000D_
SABAO DESENGRAXANTE, INDICADO PARA DESENGORDURAR E DESENGRAXAR, COM COMPONENTES ABRASIVOS PARA FACILITAR A LIMPEZA - POTE COM 1 KG.</t>
        </r>
      </text>
    </comment>
    <comment ref="G155" authorId="0" shapeId="0" xr:uid="{788DA874-A06C-471A-BDD1-3D615C57C14E}">
      <text>
        <r>
          <rPr>
            <sz val="10"/>
            <color indexed="81"/>
            <rFont val="Lucida Console"/>
            <family val="3"/>
          </rPr>
          <t xml:space="preserve">_x000D_
Últ estimativa : 150_x000D_
Enviada em     : 19.12.2019_x000D_
Ata - Venc     : /-2000 - </t>
        </r>
      </text>
    </comment>
    <comment ref="O155" authorId="0" shapeId="0" xr:uid="{F7EF63CE-98D1-4BFC-A41A-B473EB655786}">
      <text>
        <r>
          <rPr>
            <sz val="10"/>
            <color indexed="81"/>
            <rFont val="Lucida Console"/>
            <family val="3"/>
          </rPr>
          <t>_x000D_
Ata anterior não identificada.</t>
        </r>
      </text>
    </comment>
    <comment ref="W155" authorId="0" shapeId="0" xr:uid="{E9B1B1B1-A864-4CBF-8563-1EDC8C58563C}">
      <text>
        <r>
          <rPr>
            <sz val="10"/>
            <color indexed="81"/>
            <rFont val="Lucida Console"/>
            <family val="3"/>
          </rPr>
          <t>_x000D_
Administrativo</t>
        </r>
      </text>
    </comment>
    <comment ref="X155" authorId="0" shapeId="0" xr:uid="{94CDD3D4-F307-4B7C-8988-87F69EDB3DE9}">
      <text>
        <r>
          <rPr>
            <sz val="10"/>
            <color indexed="81"/>
            <rFont val="Lucida Console"/>
            <family val="3"/>
          </rPr>
          <t>_x000D_
MAQ.EQUIP.E MATERIAIS P/ HIGIEN.LIMP.POLIM.E LUBR.</t>
        </r>
      </text>
    </comment>
    <comment ref="Y155" authorId="0" shapeId="0" xr:uid="{BD1CF383-1523-4061-972B-A9705014E0B5}">
      <text>
        <r>
          <rPr>
            <sz val="10"/>
            <color indexed="81"/>
            <rFont val="Lucida Console"/>
            <family val="3"/>
          </rPr>
          <t>_x000D_
SABOES E SAPONACEOS</t>
        </r>
      </text>
    </comment>
    <comment ref="AW155" authorId="0" shapeId="0" xr:uid="{5832EF6D-51C9-4572-B5C0-69C6E9FD5699}">
      <text>
        <r>
          <rPr>
            <sz val="10"/>
            <color indexed="81"/>
            <rFont val="Lucida Console"/>
            <family val="3"/>
          </rPr>
          <t>Tempo de Estoque (Meses)_x000D_
_x000D_
119,0</t>
        </r>
      </text>
    </comment>
    <comment ref="A156" authorId="0" shapeId="0" xr:uid="{30969C64-CDBB-455E-8D2B-6571A5F18FDD}">
      <text>
        <r>
          <rPr>
            <sz val="10"/>
            <color indexed="81"/>
            <rFont val="Lucida Console"/>
            <family val="3"/>
          </rPr>
          <t>_x000D_
136881</t>
        </r>
      </text>
    </comment>
    <comment ref="B156" authorId="0" shapeId="0" xr:uid="{A5948CB9-7729-4CEC-84E8-3FB74A9972C0}">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156" authorId="0" shapeId="0" xr:uid="{7F475AC9-1CA2-44F9-B8FC-2BE54E8B9776}">
      <text>
        <r>
          <rPr>
            <sz val="10"/>
            <color indexed="81"/>
            <rFont val="Lucida Console"/>
            <family val="3"/>
          </rPr>
          <t>_x000D_
Ata anterior não identificada.</t>
        </r>
      </text>
    </comment>
    <comment ref="W156" authorId="0" shapeId="0" xr:uid="{AADAE964-2E28-4363-8B2B-A41CD86FC34B}">
      <text>
        <r>
          <rPr>
            <sz val="10"/>
            <color indexed="81"/>
            <rFont val="Lucida Console"/>
            <family val="3"/>
          </rPr>
          <t>_x000D_
SegMedTra</t>
        </r>
      </text>
    </comment>
    <comment ref="X156" authorId="0" shapeId="0" xr:uid="{3AA6A710-BABF-49BE-8116-2240A4DD9B81}">
      <text>
        <r>
          <rPr>
            <sz val="10"/>
            <color indexed="81"/>
            <rFont val="Lucida Console"/>
            <family val="3"/>
          </rPr>
          <t>_x000D_
EQUIP PROT IND, INST MAT P/ SINAL, CONTR, COMB ...</t>
        </r>
      </text>
    </comment>
    <comment ref="Y156" authorId="0" shapeId="0" xr:uid="{E31A56B9-C380-453D-B5D6-BA5AFD254E79}">
      <text>
        <r>
          <rPr>
            <sz val="10"/>
            <color indexed="81"/>
            <rFont val="Lucida Console"/>
            <family val="3"/>
          </rPr>
          <t>_x000D_
CALCADOS, LUVAS, OCULOS, MASCARAS, CAPACETES, CASSETETE</t>
        </r>
      </text>
    </comment>
    <comment ref="AW156" authorId="0" shapeId="0" xr:uid="{10C6548E-79C5-4D52-A432-78327C32F58F}">
      <text>
        <r>
          <rPr>
            <sz val="10"/>
            <color indexed="81"/>
            <rFont val="Lucida Console"/>
            <family val="3"/>
          </rPr>
          <t>Tempo de Estoque (Meses)_x000D_
_x000D_
229,0</t>
        </r>
      </text>
    </comment>
    <comment ref="A157" authorId="0" shapeId="0" xr:uid="{41996B45-DFEF-4B7B-8E5C-5F15D725B2CE}">
      <text>
        <r>
          <rPr>
            <sz val="10"/>
            <color indexed="81"/>
            <rFont val="Lucida Console"/>
            <family val="3"/>
          </rPr>
          <t>_x000D_
106544</t>
        </r>
      </text>
    </comment>
    <comment ref="B157" authorId="0" shapeId="0" xr:uid="{35489D2C-1173-4262-AD52-629260DE950C}">
      <text>
        <r>
          <rPr>
            <sz val="10"/>
            <color indexed="81"/>
            <rFont val="Lucida Console"/>
            <family val="3"/>
          </rPr>
          <t>DESCRIÇÃO DETALHADA_x000D_
CHUMBADOR GALVANIZADO CBA  5/16"  X  2.1/4"</t>
        </r>
      </text>
    </comment>
    <comment ref="G157" authorId="0" shapeId="0" xr:uid="{FFE131F4-4BAD-4F99-8119-006CA4722405}">
      <text>
        <r>
          <rPr>
            <sz val="10"/>
            <color indexed="81"/>
            <rFont val="Lucida Console"/>
            <family val="3"/>
          </rPr>
          <t xml:space="preserve">_x000D_
Últ estimativa : 200_x000D_
Enviada em     : 25.09.2019_x000D_
Ata - Venc     : /-2000 - </t>
        </r>
      </text>
    </comment>
    <comment ref="O157" authorId="0" shapeId="0" xr:uid="{32C28E82-A432-4AA6-BE77-DD3823201CCE}">
      <text>
        <r>
          <rPr>
            <sz val="10"/>
            <color indexed="81"/>
            <rFont val="Lucida Console"/>
            <family val="3"/>
          </rPr>
          <t>_x000D_
Ata anterior não identificada.</t>
        </r>
      </text>
    </comment>
    <comment ref="W157" authorId="0" shapeId="0" xr:uid="{DDE4AE93-ED66-4081-8EEA-66A9C5C475B4}">
      <text>
        <r>
          <rPr>
            <sz val="10"/>
            <color indexed="81"/>
            <rFont val="Lucida Console"/>
            <family val="3"/>
          </rPr>
          <t>_x000D_
DM-Construção</t>
        </r>
      </text>
    </comment>
    <comment ref="X157" authorId="0" shapeId="0" xr:uid="{081CA652-9DE5-4213-91AF-562F28EF9D7E}">
      <text>
        <r>
          <rPr>
            <sz val="10"/>
            <color indexed="81"/>
            <rFont val="Lucida Console"/>
            <family val="3"/>
          </rPr>
          <t>_x000D_
PARAFUSOS ELEM. VEDACAO UNIAO CONEX . FIXACAO</t>
        </r>
      </text>
    </comment>
    <comment ref="Y157" authorId="0" shapeId="0" xr:uid="{62EDA461-4345-47BE-9A59-8F20FD5EEF60}">
      <text>
        <r>
          <rPr>
            <sz val="10"/>
            <color indexed="81"/>
            <rFont val="Lucida Console"/>
            <family val="3"/>
          </rPr>
          <t>_x000D_
BUCHAS CHUMBADORES E GANCHOS</t>
        </r>
      </text>
    </comment>
    <comment ref="AW157" authorId="0" shapeId="0" xr:uid="{C29F2597-9FDB-4DF0-B139-ECFBD1026595}">
      <text>
        <r>
          <rPr>
            <sz val="10"/>
            <color indexed="81"/>
            <rFont val="Lucida Console"/>
            <family val="3"/>
          </rPr>
          <t>Tempo de Estoque (Meses)_x000D_
_x000D_
3.000,0</t>
        </r>
      </text>
    </comment>
    <comment ref="A158" authorId="0" shapeId="0" xr:uid="{319046F0-603A-4E26-B9ED-86075FF36B35}">
      <text>
        <r>
          <rPr>
            <sz val="10"/>
            <color indexed="81"/>
            <rFont val="Lucida Console"/>
            <family val="3"/>
          </rPr>
          <t>_x000D_
109986</t>
        </r>
      </text>
    </comment>
    <comment ref="B158" authorId="0" shapeId="0" xr:uid="{503A166B-E06A-4761-8745-44FD33403059}">
      <text>
        <r>
          <rPr>
            <sz val="10"/>
            <color indexed="81"/>
            <rFont val="Lucida Console"/>
            <family val="3"/>
          </rPr>
          <t>DESCRIÇÃO DETALHADA_x000D_
DISCO DE CORTE 14" X 3/16" X 1" DE ACORDO COM AS NORMAS DA ABNT</t>
        </r>
      </text>
    </comment>
    <comment ref="G158" authorId="0" shapeId="0" xr:uid="{D48C5D4D-75CA-44A7-B241-3FD2E047D695}">
      <text>
        <r>
          <rPr>
            <sz val="10"/>
            <color indexed="81"/>
            <rFont val="Lucida Console"/>
            <family val="3"/>
          </rPr>
          <t xml:space="preserve">_x000D_
Últ estimativa : 0_x000D_
Enviada em     : 25.09.2019_x000D_
Ata - Venc     : /-2000 - </t>
        </r>
      </text>
    </comment>
    <comment ref="O158" authorId="0" shapeId="0" xr:uid="{8B56E0EA-6817-47E0-A804-06CB86C6DFB9}">
      <text>
        <r>
          <rPr>
            <sz val="10"/>
            <color indexed="81"/>
            <rFont val="Lucida Console"/>
            <family val="3"/>
          </rPr>
          <t>_x000D_
Ata anterior não identificada.</t>
        </r>
      </text>
    </comment>
    <comment ref="W158" authorId="0" shapeId="0" xr:uid="{38DA0AFE-0A0D-4F46-8191-BFACE12D0C5C}">
      <text>
        <r>
          <rPr>
            <sz val="10"/>
            <color indexed="81"/>
            <rFont val="Lucida Console"/>
            <family val="3"/>
          </rPr>
          <t>_x000D_
DM-Serralheria</t>
        </r>
      </text>
    </comment>
    <comment ref="X158" authorId="0" shapeId="0" xr:uid="{0E04E63F-1D0F-497A-A219-63520C3F285A}">
      <text>
        <r>
          <rPr>
            <sz val="10"/>
            <color indexed="81"/>
            <rFont val="Lucida Console"/>
            <family val="3"/>
          </rPr>
          <t>_x000D_
ABRASIVOS</t>
        </r>
      </text>
    </comment>
    <comment ref="Y158" authorId="0" shapeId="0" xr:uid="{DF5B39C0-CAC9-4062-9929-1D8E7B405457}">
      <text>
        <r>
          <rPr>
            <sz val="10"/>
            <color indexed="81"/>
            <rFont val="Lucida Console"/>
            <family val="3"/>
          </rPr>
          <t>_x000D_
DISCO DE FIBRA</t>
        </r>
      </text>
    </comment>
    <comment ref="AW158" authorId="0" shapeId="0" xr:uid="{6628042D-EC99-47FD-8AD2-CEFC65F829BD}">
      <text>
        <r>
          <rPr>
            <sz val="10"/>
            <color indexed="81"/>
            <rFont val="Lucida Console"/>
            <family val="3"/>
          </rPr>
          <t>Tempo de Estoque (Meses)_x000D_
_x000D_
98,0</t>
        </r>
      </text>
    </comment>
    <comment ref="A159" authorId="0" shapeId="0" xr:uid="{801DF57C-E860-4D73-ACAE-E01B61F59EE1}">
      <text>
        <r>
          <rPr>
            <sz val="10"/>
            <color indexed="81"/>
            <rFont val="Lucida Console"/>
            <family val="3"/>
          </rPr>
          <t>_x000D_
138475</t>
        </r>
      </text>
    </comment>
    <comment ref="B159" authorId="0" shapeId="0" xr:uid="{6211C77C-F4A9-4216-9CCC-28C42D0A68D7}">
      <text>
        <r>
          <rPr>
            <sz val="10"/>
            <color indexed="81"/>
            <rFont val="Lucida Console"/>
            <family val="3"/>
          </rPr>
          <t>DESCRIÇÃO DETALHADA_x000D_
DISCO DE CORTE 14" X 1/8" X 1" DE ACORDO COM AS NORMAS DA ABNT</t>
        </r>
      </text>
    </comment>
    <comment ref="G159" authorId="0" shapeId="0" xr:uid="{AE441987-465E-48F1-BA82-939B932F2F0E}">
      <text>
        <r>
          <rPr>
            <sz val="10"/>
            <color indexed="81"/>
            <rFont val="Lucida Console"/>
            <family val="3"/>
          </rPr>
          <t xml:space="preserve">_x000D_
Últ estimativa : 200_x000D_
Enviada em     : 24.10.2019_x000D_
Ata - Venc     : /-2000 - </t>
        </r>
      </text>
    </comment>
    <comment ref="O159" authorId="0" shapeId="0" xr:uid="{8D11D47D-D5EC-4E83-A6FB-58D0089E570B}">
      <text>
        <r>
          <rPr>
            <sz val="10"/>
            <color indexed="81"/>
            <rFont val="Lucida Console"/>
            <family val="3"/>
          </rPr>
          <t>_x000D_
Ata anterior não identificada.</t>
        </r>
      </text>
    </comment>
    <comment ref="W159" authorId="0" shapeId="0" xr:uid="{8AA340C7-CDE0-4EC0-BD82-7D5DEEF43D0C}">
      <text>
        <r>
          <rPr>
            <sz val="10"/>
            <color indexed="81"/>
            <rFont val="Lucida Console"/>
            <family val="3"/>
          </rPr>
          <t>_x000D_
DM-Serralheria</t>
        </r>
      </text>
    </comment>
    <comment ref="X159" authorId="0" shapeId="0" xr:uid="{89DBD875-E6F4-4E44-893F-45FA25660AA5}">
      <text>
        <r>
          <rPr>
            <sz val="10"/>
            <color indexed="81"/>
            <rFont val="Lucida Console"/>
            <family val="3"/>
          </rPr>
          <t>_x000D_
ABRASIVOS</t>
        </r>
      </text>
    </comment>
    <comment ref="Y159" authorId="0" shapeId="0" xr:uid="{08386F4D-D720-4FA5-A71D-CC8DC7F8B67A}">
      <text>
        <r>
          <rPr>
            <sz val="10"/>
            <color indexed="81"/>
            <rFont val="Lucida Console"/>
            <family val="3"/>
          </rPr>
          <t>_x000D_
DISCO DE FIBRA</t>
        </r>
      </text>
    </comment>
    <comment ref="AW159" authorId="0" shapeId="0" xr:uid="{DC6109CF-1C40-4F51-8F72-43F9E5637548}">
      <text>
        <r>
          <rPr>
            <sz val="10"/>
            <color indexed="81"/>
            <rFont val="Lucida Console"/>
            <family val="3"/>
          </rPr>
          <t>Tempo de Estoque (Meses)_x000D_
_x000D_
155,0</t>
        </r>
      </text>
    </comment>
    <comment ref="A160" authorId="0" shapeId="0" xr:uid="{954BA269-6F32-4152-ACBE-EBD640E5137C}">
      <text>
        <r>
          <rPr>
            <sz val="10"/>
            <color indexed="81"/>
            <rFont val="Lucida Console"/>
            <family val="3"/>
          </rPr>
          <t>_x000D_
140326</t>
        </r>
      </text>
    </comment>
    <comment ref="B160" authorId="0" shapeId="0" xr:uid="{7078B85C-0A03-454A-AFE1-512DB96DFA22}">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160" authorId="0" shapeId="0" xr:uid="{9BB6BC60-B7F3-44A1-98A2-63CE9B4A26B1}">
      <text>
        <r>
          <rPr>
            <sz val="10"/>
            <color indexed="81"/>
            <rFont val="Lucida Console"/>
            <family val="3"/>
          </rPr>
          <t xml:space="preserve">_x000D_
Últ estimativa : 500_x000D_
Enviada em     : 17.12.2020_x000D_
Ata - Venc     : /-2000 - </t>
        </r>
      </text>
    </comment>
    <comment ref="O160" authorId="0" shapeId="0" xr:uid="{E7C2874F-D98F-401F-8896-4425C47A5B97}">
      <text>
        <r>
          <rPr>
            <sz val="10"/>
            <color indexed="81"/>
            <rFont val="Lucida Console"/>
            <family val="3"/>
          </rPr>
          <t>_x000D_
Ata anterior não identificada.</t>
        </r>
      </text>
    </comment>
    <comment ref="W160" authorId="0" shapeId="0" xr:uid="{5C1A9F85-F535-48B7-9745-78368A881A56}">
      <text>
        <r>
          <rPr>
            <sz val="10"/>
            <color indexed="81"/>
            <rFont val="Lucida Console"/>
            <family val="3"/>
          </rPr>
          <t>_x000D_
DM-Construção</t>
        </r>
      </text>
    </comment>
    <comment ref="X160" authorId="0" shapeId="0" xr:uid="{FE18A751-1429-402B-AF61-955E3AEC74D0}">
      <text>
        <r>
          <rPr>
            <sz val="10"/>
            <color indexed="81"/>
            <rFont val="Lucida Console"/>
            <family val="3"/>
          </rPr>
          <t>_x000D_
MAT.E EQUIP. P/ CONSTR.CIVIL E CONSERV. DE VIAS PUBL.</t>
        </r>
      </text>
    </comment>
    <comment ref="Y160" authorId="0" shapeId="0" xr:uid="{44C197FC-6F4D-4CCC-B155-11FF2BF3C375}">
      <text>
        <r>
          <rPr>
            <sz val="10"/>
            <color indexed="81"/>
            <rFont val="Lucida Console"/>
            <family val="3"/>
          </rPr>
          <t>_x000D_
IMPERMEABILIZANTES, ADITIVOS E ADESIVOS</t>
        </r>
      </text>
    </comment>
    <comment ref="AW160" authorId="0" shapeId="0" xr:uid="{D1780CAA-F449-421E-ACB3-39B1F3CF1993}">
      <text>
        <r>
          <rPr>
            <sz val="10"/>
            <color indexed="81"/>
            <rFont val="Lucida Console"/>
            <family val="3"/>
          </rPr>
          <t>Tempo de Estoque (Meses)_x000D_
_x000D_
1.200,0</t>
        </r>
      </text>
    </comment>
    <comment ref="A161" authorId="0" shapeId="0" xr:uid="{2409146D-CC66-4E9D-930F-501EE0032776}">
      <text>
        <r>
          <rPr>
            <sz val="10"/>
            <color indexed="81"/>
            <rFont val="Lucida Console"/>
            <family val="3"/>
          </rPr>
          <t>_x000D_
58436</t>
        </r>
      </text>
    </comment>
    <comment ref="B161" authorId="0" shapeId="0" xr:uid="{BCF8703D-27A1-4801-921C-EE2B53A76201}">
      <text>
        <r>
          <rPr>
            <sz val="10"/>
            <color indexed="81"/>
            <rFont val="Lucida Console"/>
            <family val="3"/>
          </rPr>
          <t>DESCRIÇÃO DETALHADA_x000D_
ROLDANA 2.1/2" COM CAIXA EM "V"</t>
        </r>
      </text>
    </comment>
    <comment ref="G161" authorId="0" shapeId="0" xr:uid="{9D5480D2-06D5-4BEF-BCE9-EBB9963A7E3A}">
      <text>
        <r>
          <rPr>
            <sz val="10"/>
            <color indexed="81"/>
            <rFont val="Lucida Console"/>
            <family val="3"/>
          </rPr>
          <t xml:space="preserve">_x000D_
Últ estimativa : 0_x000D_
Enviada em     : 25.09.2019_x000D_
Ata - Venc     : /-2000 - </t>
        </r>
      </text>
    </comment>
    <comment ref="O161" authorId="0" shapeId="0" xr:uid="{C64BD87E-2916-4EA2-941B-D368CB02EB60}">
      <text>
        <r>
          <rPr>
            <sz val="10"/>
            <color indexed="81"/>
            <rFont val="Lucida Console"/>
            <family val="3"/>
          </rPr>
          <t>_x000D_
Ata anterior não identificada.</t>
        </r>
      </text>
    </comment>
    <comment ref="W161" authorId="0" shapeId="0" xr:uid="{AD083BBB-DABF-441D-98C6-8685AAF66A17}">
      <text>
        <r>
          <rPr>
            <sz val="10"/>
            <color indexed="81"/>
            <rFont val="Lucida Console"/>
            <family val="3"/>
          </rPr>
          <t>_x000D_
DM-Serralheria</t>
        </r>
      </text>
    </comment>
    <comment ref="X161" authorId="0" shapeId="0" xr:uid="{F2D8FCF0-5D79-44DB-9004-BF4A5F20FF47}">
      <text>
        <r>
          <rPr>
            <sz val="10"/>
            <color indexed="81"/>
            <rFont val="Lucida Console"/>
            <family val="3"/>
          </rPr>
          <t>_x000D_
METAIS,LAMINAD.,PERFILADOS E ARTEFATOS METALICOS</t>
        </r>
      </text>
    </comment>
    <comment ref="Y161" authorId="0" shapeId="0" xr:uid="{92FE4810-90BC-4DAA-BFCF-A19C02D3A0FE}">
      <text>
        <r>
          <rPr>
            <sz val="10"/>
            <color indexed="81"/>
            <rFont val="Lucida Console"/>
            <family val="3"/>
          </rPr>
          <t>_x000D_
PERFIS E BARRA</t>
        </r>
      </text>
    </comment>
    <comment ref="AW161" authorId="0" shapeId="0" xr:uid="{936DC8FA-16EC-421D-98F4-CE7C91A57A8E}">
      <text>
        <r>
          <rPr>
            <sz val="10"/>
            <color indexed="81"/>
            <rFont val="Lucida Console"/>
            <family val="3"/>
          </rPr>
          <t>Tempo de Estoque (Meses)_x000D_
_x000D_
427,0</t>
        </r>
      </text>
    </comment>
    <comment ref="A162" authorId="0" shapeId="0" xr:uid="{14982304-D94D-4632-8D1B-FD20F74D9802}">
      <text>
        <r>
          <rPr>
            <sz val="10"/>
            <color indexed="81"/>
            <rFont val="Lucida Console"/>
            <family val="3"/>
          </rPr>
          <t>_x000D_
123618</t>
        </r>
      </text>
    </comment>
    <comment ref="B162" authorId="0" shapeId="0" xr:uid="{AB3DABFF-583E-417F-81C0-6E4607AE6D7F}">
      <text>
        <r>
          <rPr>
            <sz val="10"/>
            <color indexed="81"/>
            <rFont val="Lucida Console"/>
            <family val="3"/>
          </rPr>
          <t>DESCRIÇÃO DETALHADA_x000D_
BARRA CHATA DE ALUMINIO 3/4" X 1/8" - BARRA COM 06 METROS</t>
        </r>
      </text>
    </comment>
    <comment ref="G162" authorId="0" shapeId="0" xr:uid="{51BADB6D-45C3-4542-9900-88E98F2A24F8}">
      <text>
        <r>
          <rPr>
            <sz val="10"/>
            <color indexed="81"/>
            <rFont val="Lucida Console"/>
            <family val="3"/>
          </rPr>
          <t xml:space="preserve">_x000D_
Últ estimativa : 0_x000D_
Enviada em     : 25.09.2019_x000D_
Ata - Venc     : /-2000 - </t>
        </r>
      </text>
    </comment>
    <comment ref="O162" authorId="0" shapeId="0" xr:uid="{031B3C25-31D8-4D92-A741-805CFCC53F6E}">
      <text>
        <r>
          <rPr>
            <sz val="10"/>
            <color indexed="81"/>
            <rFont val="Lucida Console"/>
            <family val="3"/>
          </rPr>
          <t>_x000D_
Ata anterior não identificada.</t>
        </r>
      </text>
    </comment>
    <comment ref="W162" authorId="0" shapeId="0" xr:uid="{D25A0EC8-6D96-48FE-BAB1-B71A1995AABA}">
      <text>
        <r>
          <rPr>
            <sz val="10"/>
            <color indexed="81"/>
            <rFont val="Lucida Console"/>
            <family val="3"/>
          </rPr>
          <t>_x000D_
DM-Serralheria</t>
        </r>
      </text>
    </comment>
    <comment ref="X162" authorId="0" shapeId="0" xr:uid="{D508F322-403F-48CB-89DB-C496C988660F}">
      <text>
        <r>
          <rPr>
            <sz val="10"/>
            <color indexed="81"/>
            <rFont val="Lucida Console"/>
            <family val="3"/>
          </rPr>
          <t>_x000D_
METAIS,LAMINAD.,PERFILADOS E ARTEFATOS METALICOS</t>
        </r>
      </text>
    </comment>
    <comment ref="Y162" authorId="0" shapeId="0" xr:uid="{C719D0D5-0C5D-4277-B962-E83C6F557F0F}">
      <text>
        <r>
          <rPr>
            <sz val="10"/>
            <color indexed="81"/>
            <rFont val="Lucida Console"/>
            <family val="3"/>
          </rPr>
          <t>_x000D_
PERFIS E BARRA</t>
        </r>
      </text>
    </comment>
    <comment ref="AW162" authorId="0" shapeId="0" xr:uid="{0A40C325-6B67-4613-A225-29926414D923}">
      <text>
        <r>
          <rPr>
            <sz val="10"/>
            <color indexed="81"/>
            <rFont val="Lucida Console"/>
            <family val="3"/>
          </rPr>
          <t>Tempo de Estoque (Meses)_x000D_
_x000D_
999,0</t>
        </r>
      </text>
    </comment>
    <comment ref="A163" authorId="0" shapeId="0" xr:uid="{7DFBBAD1-3CE8-440D-B7C7-BB495D85D8DF}">
      <text>
        <r>
          <rPr>
            <sz val="10"/>
            <color indexed="81"/>
            <rFont val="Lucida Console"/>
            <family val="3"/>
          </rPr>
          <t>_x000D_
80387</t>
        </r>
      </text>
    </comment>
    <comment ref="B163" authorId="0" shapeId="0" xr:uid="{C787DA37-11D0-4AD2-8BD9-7418BE688180}">
      <text>
        <r>
          <rPr>
            <sz val="10"/>
            <color indexed="81"/>
            <rFont val="Lucida Console"/>
            <family val="3"/>
          </rPr>
          <t>DESCRIÇÃO DETALHADA_x000D_
DISCO DE CORTE 9" X 1/8" X 7/8"</t>
        </r>
      </text>
    </comment>
    <comment ref="G163" authorId="0" shapeId="0" xr:uid="{5C8C86A7-FB75-47BF-9E2C-B97E1360796E}">
      <text>
        <r>
          <rPr>
            <sz val="10"/>
            <color indexed="81"/>
            <rFont val="Lucida Console"/>
            <family val="3"/>
          </rPr>
          <t xml:space="preserve">_x000D_
Últ estimativa : 400_x000D_
Enviada em     : 25.09.2019_x000D_
Ata - Venc     : /-2000 - </t>
        </r>
      </text>
    </comment>
    <comment ref="O163" authorId="0" shapeId="0" xr:uid="{7D139F08-06BD-4E89-8620-DD6458066033}">
      <text>
        <r>
          <rPr>
            <sz val="10"/>
            <color indexed="81"/>
            <rFont val="Lucida Console"/>
            <family val="3"/>
          </rPr>
          <t>_x000D_
Ata anterior não identificada.</t>
        </r>
      </text>
    </comment>
    <comment ref="W163" authorId="0" shapeId="0" xr:uid="{02193124-A522-40ED-BE03-69D206A7AF3C}">
      <text>
        <r>
          <rPr>
            <sz val="10"/>
            <color indexed="81"/>
            <rFont val="Lucida Console"/>
            <family val="3"/>
          </rPr>
          <t>_x000D_
DM-Serralheria</t>
        </r>
      </text>
    </comment>
    <comment ref="X163" authorId="0" shapeId="0" xr:uid="{434BEC1A-B0C7-4D77-8C5B-A13018687B2E}">
      <text>
        <r>
          <rPr>
            <sz val="10"/>
            <color indexed="81"/>
            <rFont val="Lucida Console"/>
            <family val="3"/>
          </rPr>
          <t>_x000D_
ABRASIVOS</t>
        </r>
      </text>
    </comment>
    <comment ref="Y163" authorId="0" shapeId="0" xr:uid="{34530731-D46A-4F3F-B5ED-0C77FAA74638}">
      <text>
        <r>
          <rPr>
            <sz val="10"/>
            <color indexed="81"/>
            <rFont val="Lucida Console"/>
            <family val="3"/>
          </rPr>
          <t>_x000D_
DISCO DE FIBRA</t>
        </r>
      </text>
    </comment>
    <comment ref="AW163" authorId="0" shapeId="0" xr:uid="{378B57C1-A14D-40FA-BEA1-4C097BF56433}">
      <text>
        <r>
          <rPr>
            <sz val="10"/>
            <color indexed="81"/>
            <rFont val="Lucida Console"/>
            <family val="3"/>
          </rPr>
          <t>Tempo de Estoque (Meses)_x000D_
_x000D_
385,0</t>
        </r>
      </text>
    </comment>
    <comment ref="A164" authorId="0" shapeId="0" xr:uid="{46945174-6617-494C-9C4E-B15E85808649}">
      <text>
        <r>
          <rPr>
            <sz val="10"/>
            <color indexed="81"/>
            <rFont val="Lucida Console"/>
            <family val="3"/>
          </rPr>
          <t>_x000D_
12989</t>
        </r>
      </text>
    </comment>
    <comment ref="B164" authorId="0" shapeId="0" xr:uid="{ABA4733E-1E9A-4BBA-ACF6-5F9541EF82CB}">
      <text>
        <r>
          <rPr>
            <sz val="10"/>
            <color indexed="81"/>
            <rFont val="Lucida Console"/>
            <family val="3"/>
          </rPr>
          <t>DESCRIÇÃO DETALHADA_x000D_
INTERRUPTOR 10A X 250V INTERNO C/ 02 TECLAS C/ PLACA</t>
        </r>
      </text>
    </comment>
    <comment ref="G164" authorId="0" shapeId="0" xr:uid="{2D0B446D-4A28-4AFC-88E3-D0DBB8AC393B}">
      <text>
        <r>
          <rPr>
            <sz val="10"/>
            <color indexed="81"/>
            <rFont val="Lucida Console"/>
            <family val="3"/>
          </rPr>
          <t>_x000D_
Últ estimativa : 600_x000D_
Enviada em     : 30.11.2017_x000D_
Ata - Venc     : 10/17 - 06.02.2018</t>
        </r>
      </text>
    </comment>
    <comment ref="O164" authorId="0" shapeId="0" xr:uid="{72907003-A50D-42ED-9259-15550994F51D}">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164" authorId="0" shapeId="0" xr:uid="{A0903204-2E81-4E2E-AA0A-D88F4D714209}">
      <text>
        <r>
          <rPr>
            <sz val="10"/>
            <color indexed="81"/>
            <rFont val="Lucida Console"/>
            <family val="3"/>
          </rPr>
          <t>_x000D_
DM-Elétrica</t>
        </r>
      </text>
    </comment>
    <comment ref="X164" authorId="0" shapeId="0" xr:uid="{722FF47E-9BF0-406F-867F-854DF81069D7}">
      <text>
        <r>
          <rPr>
            <sz val="10"/>
            <color indexed="81"/>
            <rFont val="Lucida Console"/>
            <family val="3"/>
          </rPr>
          <t>_x000D_
EQUIP. MAT. P/ GERACAO, TRANSM. DISTR. RETIF...</t>
        </r>
      </text>
    </comment>
    <comment ref="Y164" authorId="0" shapeId="0" xr:uid="{7B13E1FA-3F02-4C24-BEC5-ADFD4C5C596C}">
      <text>
        <r>
          <rPr>
            <sz val="10"/>
            <color indexed="81"/>
            <rFont val="Lucida Console"/>
            <family val="3"/>
          </rPr>
          <t>_x000D_
INTERRUPTORES DE USO DOMESTICO E INDUSTRIAL</t>
        </r>
      </text>
    </comment>
    <comment ref="AW164" authorId="0" shapeId="0" xr:uid="{661B5956-B606-4362-B7E8-0D44C3A63773}">
      <text>
        <r>
          <rPr>
            <sz val="10"/>
            <color indexed="81"/>
            <rFont val="Lucida Console"/>
            <family val="3"/>
          </rPr>
          <t>Tempo de Estoque (Meses)_x000D_
_x000D_
300,0</t>
        </r>
      </text>
    </comment>
    <comment ref="A165" authorId="0" shapeId="0" xr:uid="{EBD00EC1-A806-40D0-8A81-0AE5F90C5BDC}">
      <text>
        <r>
          <rPr>
            <sz val="10"/>
            <color indexed="81"/>
            <rFont val="Lucida Console"/>
            <family val="3"/>
          </rPr>
          <t>_x000D_
15271</t>
        </r>
      </text>
    </comment>
    <comment ref="B165" authorId="0" shapeId="0" xr:uid="{350028A8-37FD-4353-9B15-16083748F2FB}">
      <text>
        <r>
          <rPr>
            <sz val="10"/>
            <color indexed="81"/>
            <rFont val="Lucida Console"/>
            <family val="3"/>
          </rPr>
          <t>DESCRIÇÃO DETALHADA_x000D_
CONECTOR A PRESSAO TIPO SPLIT BOLT-SIMPLES/SIMPLES P/ 2CABOS DE COBRE DE 150MM2</t>
        </r>
      </text>
    </comment>
    <comment ref="G165" authorId="0" shapeId="0" xr:uid="{F5F3C974-57E7-4D42-AED0-57845056D4C6}">
      <text>
        <r>
          <rPr>
            <sz val="10"/>
            <color indexed="81"/>
            <rFont val="Lucida Console"/>
            <family val="3"/>
          </rPr>
          <t>_x000D_
Últ estimativa : 60_x000D_
Enviada em     : 30.11.2017_x000D_
Ata - Venc     : 10/17 - 06.02.2018</t>
        </r>
      </text>
    </comment>
    <comment ref="O165" authorId="0" shapeId="0" xr:uid="{23F6A36C-96DF-4908-8BF4-81ACEE83550B}">
      <text>
        <r>
          <rPr>
            <sz val="10"/>
            <color indexed="81"/>
            <rFont val="Lucida Console"/>
            <family val="3"/>
          </rPr>
          <t>_x000D_
Pertencia a ATA nº 10/17_x000D_
Estimativa de Renovação enviada em 30.11.2017 - Qtd 60_x000D_
PP  11/18 lote 10_x000D_
09.04.18 = Processo finalizado. Ata 78/18.</t>
        </r>
      </text>
    </comment>
    <comment ref="W165" authorId="0" shapeId="0" xr:uid="{8338165E-AFF6-484A-ACDE-7B052D3CA615}">
      <text>
        <r>
          <rPr>
            <sz val="10"/>
            <color indexed="81"/>
            <rFont val="Lucida Console"/>
            <family val="3"/>
          </rPr>
          <t>_x000D_
DM-Elétrica</t>
        </r>
      </text>
    </comment>
    <comment ref="X165" authorId="0" shapeId="0" xr:uid="{61AC36F3-DC89-484D-8AC7-C729E586B1E9}">
      <text>
        <r>
          <rPr>
            <sz val="10"/>
            <color indexed="81"/>
            <rFont val="Lucida Console"/>
            <family val="3"/>
          </rPr>
          <t>_x000D_
EQUIP. MAT. P/ GERACAO, TRANSM. DISTR. RETIF...</t>
        </r>
      </text>
    </comment>
    <comment ref="Y165" authorId="0" shapeId="0" xr:uid="{55690AD9-3859-4A6A-8157-62E2B2F0A647}">
      <text>
        <r>
          <rPr>
            <sz val="10"/>
            <color indexed="81"/>
            <rFont val="Lucida Console"/>
            <family val="3"/>
          </rPr>
          <t>_x000D_
CONECTORES</t>
        </r>
      </text>
    </comment>
    <comment ref="AW165" authorId="0" shapeId="0" xr:uid="{C24F4FD8-5EC2-4520-A78D-E065741F72FF}">
      <text>
        <r>
          <rPr>
            <sz val="10"/>
            <color indexed="81"/>
            <rFont val="Lucida Console"/>
            <family val="3"/>
          </rPr>
          <t>Tempo de Estoque (Meses)_x000D_
_x000D_
263,0</t>
        </r>
      </text>
    </comment>
    <comment ref="A166" authorId="0" shapeId="0" xr:uid="{D30AAEBA-B3D2-4A98-8AD7-517EE16776BA}">
      <text>
        <r>
          <rPr>
            <sz val="10"/>
            <color indexed="81"/>
            <rFont val="Lucida Console"/>
            <family val="3"/>
          </rPr>
          <t>_x000D_
15465</t>
        </r>
      </text>
    </comment>
    <comment ref="B166" authorId="0" shapeId="0" xr:uid="{261885F3-FC82-4229-948E-B2B73CCA1B6F}">
      <text>
        <r>
          <rPr>
            <sz val="10"/>
            <color indexed="81"/>
            <rFont val="Lucida Console"/>
            <family val="3"/>
          </rPr>
          <t>DESCRIÇÃO DETALHADA_x000D_
CONECTOR TIPO SPLIT BOLT-SIMPLES/SIMPLES P/ 2 CABOS DE COBRE DE 240MM2</t>
        </r>
      </text>
    </comment>
    <comment ref="G166" authorId="0" shapeId="0" xr:uid="{7868D29C-37E3-4CE1-8E7A-BD7ACCC80DE5}">
      <text>
        <r>
          <rPr>
            <sz val="10"/>
            <color indexed="81"/>
            <rFont val="Lucida Console"/>
            <family val="3"/>
          </rPr>
          <t>_x000D_
Últ estimativa : 60_x000D_
Enviada em     : 30.11.2017_x000D_
Ata - Venc     : 10/17 - 06.02.2018</t>
        </r>
      </text>
    </comment>
    <comment ref="O166" authorId="0" shapeId="0" xr:uid="{60D7F74C-5EB8-4D83-AF89-CC3A0A69F645}">
      <text>
        <r>
          <rPr>
            <sz val="10"/>
            <color indexed="81"/>
            <rFont val="Lucida Console"/>
            <family val="3"/>
          </rPr>
          <t>_x000D_
Pertencia a ATA nº 10/17_x000D_
Estimativa de Renovação enviada em 30.11.2017 - Qtd 60_x000D_
PP  11/18 lote 14_x000D_
09.04.18 = Processo finalizado. Ata 78/18.</t>
        </r>
      </text>
    </comment>
    <comment ref="W166" authorId="0" shapeId="0" xr:uid="{CD5C04BF-DCF8-4090-8D25-1C65F1CCA2D4}">
      <text>
        <r>
          <rPr>
            <sz val="10"/>
            <color indexed="81"/>
            <rFont val="Lucida Console"/>
            <family val="3"/>
          </rPr>
          <t>_x000D_
DM-Elétrica</t>
        </r>
      </text>
    </comment>
    <comment ref="X166" authorId="0" shapeId="0" xr:uid="{585666BD-E126-4602-A564-28877CD7CCFB}">
      <text>
        <r>
          <rPr>
            <sz val="10"/>
            <color indexed="81"/>
            <rFont val="Lucida Console"/>
            <family val="3"/>
          </rPr>
          <t>_x000D_
EQUIP. MAT. P/ GERACAO, TRANSM. DISTR. RETIF...</t>
        </r>
      </text>
    </comment>
    <comment ref="Y166" authorId="0" shapeId="0" xr:uid="{14E0998D-8F2D-4B97-B95D-3FD8E8D96581}">
      <text>
        <r>
          <rPr>
            <sz val="10"/>
            <color indexed="81"/>
            <rFont val="Lucida Console"/>
            <family val="3"/>
          </rPr>
          <t>_x000D_
CONECTORES</t>
        </r>
      </text>
    </comment>
    <comment ref="AW166" authorId="0" shapeId="0" xr:uid="{A2F46492-04EC-43B8-A5FF-5E7F4AA9914C}">
      <text>
        <r>
          <rPr>
            <sz val="10"/>
            <color indexed="81"/>
            <rFont val="Lucida Console"/>
            <family val="3"/>
          </rPr>
          <t>Tempo de Estoque (Meses)_x000D_
_x000D_
135,0</t>
        </r>
      </text>
    </comment>
    <comment ref="A167" authorId="0" shapeId="0" xr:uid="{E0990671-6070-4FC4-B9E0-C1DCB94C0C13}">
      <text>
        <r>
          <rPr>
            <sz val="10"/>
            <color indexed="81"/>
            <rFont val="Lucida Console"/>
            <family val="3"/>
          </rPr>
          <t>_x000D_
15466</t>
        </r>
      </text>
    </comment>
    <comment ref="B167" authorId="0" shapeId="0" xr:uid="{4306CF78-BED9-45F3-8EE5-8B78EE302446}">
      <text>
        <r>
          <rPr>
            <sz val="10"/>
            <color indexed="81"/>
            <rFont val="Lucida Console"/>
            <family val="3"/>
          </rPr>
          <t>DESCRIÇÃO DETALHADA_x000D_
CONECTOR TIPO SPLIT BOLT-SIMPLES/SIMPLES P/ 2 CABOS DE COBRE DE 25MM2</t>
        </r>
      </text>
    </comment>
    <comment ref="G167" authorId="0" shapeId="0" xr:uid="{0F1FB181-6C65-407D-A7BE-BAEC1B3020C7}">
      <text>
        <r>
          <rPr>
            <sz val="10"/>
            <color indexed="81"/>
            <rFont val="Lucida Console"/>
            <family val="3"/>
          </rPr>
          <t>_x000D_
Últ estimativa : 90_x000D_
Enviada em     : 30.11.2017_x000D_
Ata - Venc     : 10/17 - 06.02.2018</t>
        </r>
      </text>
    </comment>
    <comment ref="O167" authorId="0" shapeId="0" xr:uid="{52B9F486-5F9E-4076-B591-94972B8E7255}">
      <text>
        <r>
          <rPr>
            <sz val="10"/>
            <color indexed="81"/>
            <rFont val="Lucida Console"/>
            <family val="3"/>
          </rPr>
          <t>_x000D_
Pertencia a ATA nº 10/17_x000D_
Estimativa de Renovação enviada em 30.11.2017 - Qtd 90_x000D_
PP  11/18 lote 12_x000D_
09.04.18 = Processo finalizado. Ata 78/18.</t>
        </r>
      </text>
    </comment>
    <comment ref="W167" authorId="0" shapeId="0" xr:uid="{7E29859F-F8BB-42C5-8F1D-97B376044D71}">
      <text>
        <r>
          <rPr>
            <sz val="10"/>
            <color indexed="81"/>
            <rFont val="Lucida Console"/>
            <family val="3"/>
          </rPr>
          <t>_x000D_
DM-Elétrica</t>
        </r>
      </text>
    </comment>
    <comment ref="X167" authorId="0" shapeId="0" xr:uid="{3BDFAAC7-39E4-46C1-8C11-B43C8C855155}">
      <text>
        <r>
          <rPr>
            <sz val="10"/>
            <color indexed="81"/>
            <rFont val="Lucida Console"/>
            <family val="3"/>
          </rPr>
          <t>_x000D_
EQUIP. MAT. P/ GERACAO, TRANSM. DISTR. RETIF...</t>
        </r>
      </text>
    </comment>
    <comment ref="Y167" authorId="0" shapeId="0" xr:uid="{B4CDACF4-B115-42F1-8CF5-AE6D87578428}">
      <text>
        <r>
          <rPr>
            <sz val="10"/>
            <color indexed="81"/>
            <rFont val="Lucida Console"/>
            <family val="3"/>
          </rPr>
          <t>_x000D_
CONECTORES</t>
        </r>
      </text>
    </comment>
    <comment ref="AW167" authorId="0" shapeId="0" xr:uid="{A21B9667-83AF-4E5D-8122-B083DA418A03}">
      <text>
        <r>
          <rPr>
            <sz val="10"/>
            <color indexed="81"/>
            <rFont val="Lucida Console"/>
            <family val="3"/>
          </rPr>
          <t>Tempo de Estoque (Meses)_x000D_
_x000D_
192,0</t>
        </r>
      </text>
    </comment>
    <comment ref="A168" authorId="0" shapeId="0" xr:uid="{2649EE34-CF46-405E-98A2-FA545D07AB5C}">
      <text>
        <r>
          <rPr>
            <sz val="10"/>
            <color indexed="81"/>
            <rFont val="Lucida Console"/>
            <family val="3"/>
          </rPr>
          <t>_x000D_
15473</t>
        </r>
      </text>
    </comment>
    <comment ref="B168" authorId="0" shapeId="0" xr:uid="{9C2B27FB-6925-44E5-8C6C-44D2FF5BEEA6}">
      <text>
        <r>
          <rPr>
            <sz val="10"/>
            <color indexed="81"/>
            <rFont val="Lucida Console"/>
            <family val="3"/>
          </rPr>
          <t>DESCRIÇÃO DETALHADA_x000D_
CONECTOR TIPO SPLIT BOLT-SIMPLES/SIMPLES P/ 2 CABOS DE COBRE DE 70MM2</t>
        </r>
      </text>
    </comment>
    <comment ref="G168" authorId="0" shapeId="0" xr:uid="{26C5B16D-1118-491C-A358-819121ED2E51}">
      <text>
        <r>
          <rPr>
            <sz val="10"/>
            <color indexed="81"/>
            <rFont val="Lucida Console"/>
            <family val="3"/>
          </rPr>
          <t>_x000D_
Últ estimativa : 60_x000D_
Enviada em     : 30.11.2017_x000D_
Ata - Venc     : 10/17 - 06.02.2018</t>
        </r>
      </text>
    </comment>
    <comment ref="O168" authorId="0" shapeId="0" xr:uid="{6366E43A-B2B1-42EE-B089-EF130771C371}">
      <text>
        <r>
          <rPr>
            <sz val="10"/>
            <color indexed="81"/>
            <rFont val="Lucida Console"/>
            <family val="3"/>
          </rPr>
          <t>_x000D_
Pertencia a ATA nº 10/17_x000D_
Estimativa de Renovação enviada em 30.11.2017 - Qtd 60_x000D_
PP  11/18 lote 17_x000D_
09.04.18 = Processo finalizado. Ata 78/18.</t>
        </r>
      </text>
    </comment>
    <comment ref="W168" authorId="0" shapeId="0" xr:uid="{4C12727A-FA5C-40BD-93B7-84697E61AEF4}">
      <text>
        <r>
          <rPr>
            <sz val="10"/>
            <color indexed="81"/>
            <rFont val="Lucida Console"/>
            <family val="3"/>
          </rPr>
          <t>_x000D_
DM-Elétrica</t>
        </r>
      </text>
    </comment>
    <comment ref="X168" authorId="0" shapeId="0" xr:uid="{2871DDCE-A524-4FAF-AE24-A61A1007760D}">
      <text>
        <r>
          <rPr>
            <sz val="10"/>
            <color indexed="81"/>
            <rFont val="Lucida Console"/>
            <family val="3"/>
          </rPr>
          <t>_x000D_
EQUIP. MAT. P/ GERACAO, TRANSM. DISTR. RETIF...</t>
        </r>
      </text>
    </comment>
    <comment ref="Y168" authorId="0" shapeId="0" xr:uid="{83148811-4C7C-4788-A446-2C168C7F30AF}">
      <text>
        <r>
          <rPr>
            <sz val="10"/>
            <color indexed="81"/>
            <rFont val="Lucida Console"/>
            <family val="3"/>
          </rPr>
          <t>_x000D_
CONECTORES</t>
        </r>
      </text>
    </comment>
    <comment ref="AW168" authorId="0" shapeId="0" xr:uid="{853E4043-B58E-483D-8E2B-CF85AE69FC5D}">
      <text>
        <r>
          <rPr>
            <sz val="10"/>
            <color indexed="81"/>
            <rFont val="Lucida Console"/>
            <family val="3"/>
          </rPr>
          <t>Tempo de Estoque (Meses)_x000D_
_x000D_
74,0</t>
        </r>
      </text>
    </comment>
    <comment ref="A169" authorId="0" shapeId="0" xr:uid="{22CFF884-B1A5-41FA-A212-C57982C9D372}">
      <text>
        <r>
          <rPr>
            <sz val="10"/>
            <color indexed="81"/>
            <rFont val="Lucida Console"/>
            <family val="3"/>
          </rPr>
          <t>_x000D_
77493</t>
        </r>
      </text>
    </comment>
    <comment ref="B169" authorId="0" shapeId="0" xr:uid="{BD861352-0BD9-4217-8992-0D8253C7337F}">
      <text>
        <r>
          <rPr>
            <sz val="10"/>
            <color indexed="81"/>
            <rFont val="Lucida Console"/>
            <family val="3"/>
          </rPr>
          <t>DESCRIÇÃO DETALHADA_x000D_
CONECTOR TIPO SPLIT BOLT-SIMPLES/SIMPLES P/ 2 CABOS DE COBRE DE 120 MM2</t>
        </r>
      </text>
    </comment>
    <comment ref="G169" authorId="0" shapeId="0" xr:uid="{E6A13FC6-E1DE-422F-BE72-83DE06A4B47D}">
      <text>
        <r>
          <rPr>
            <sz val="10"/>
            <color indexed="81"/>
            <rFont val="Lucida Console"/>
            <family val="3"/>
          </rPr>
          <t>_x000D_
Últ estimativa : 60_x000D_
Enviada em     : 30.11.2017_x000D_
Ata - Venc     : 10/17 - 06.02.2018</t>
        </r>
      </text>
    </comment>
    <comment ref="O169" authorId="0" shapeId="0" xr:uid="{C5749D57-A69C-48B3-B80E-7F71AEC99490}">
      <text>
        <r>
          <rPr>
            <sz val="10"/>
            <color indexed="81"/>
            <rFont val="Lucida Console"/>
            <family val="3"/>
          </rPr>
          <t>_x000D_
Pertencia a ATA nº 10/17_x000D_
Estimativa de Renovação enviada em 30.11.2017 - Qtd 60_x000D_
PP  11/18 lote 42_x000D_
09.04.18 = Processo finalizado. Ata 78/18.</t>
        </r>
      </text>
    </comment>
    <comment ref="W169" authorId="0" shapeId="0" xr:uid="{4E1F2EE1-9B23-400F-A464-E98F84FB5B2A}">
      <text>
        <r>
          <rPr>
            <sz val="10"/>
            <color indexed="81"/>
            <rFont val="Lucida Console"/>
            <family val="3"/>
          </rPr>
          <t>_x000D_
DM-Elétrica</t>
        </r>
      </text>
    </comment>
    <comment ref="X169" authorId="0" shapeId="0" xr:uid="{23AE918A-2400-451D-9964-19A4D9BB846B}">
      <text>
        <r>
          <rPr>
            <sz val="10"/>
            <color indexed="81"/>
            <rFont val="Lucida Console"/>
            <family val="3"/>
          </rPr>
          <t>_x000D_
EQUIP. MAT. P/ GERACAO, TRANSM. DISTR. RETIF...</t>
        </r>
      </text>
    </comment>
    <comment ref="Y169" authorId="0" shapeId="0" xr:uid="{84775A5C-0208-40DB-A3A2-48305D898103}">
      <text>
        <r>
          <rPr>
            <sz val="10"/>
            <color indexed="81"/>
            <rFont val="Lucida Console"/>
            <family val="3"/>
          </rPr>
          <t>_x000D_
CONECTORES</t>
        </r>
      </text>
    </comment>
    <comment ref="AW169" authorId="0" shapeId="0" xr:uid="{6C10A08D-B3F2-4C67-A9D5-1DE16711C9FD}">
      <text>
        <r>
          <rPr>
            <sz val="10"/>
            <color indexed="81"/>
            <rFont val="Lucida Console"/>
            <family val="3"/>
          </rPr>
          <t>Tempo de Estoque (Meses)_x000D_
_x000D_
131,0</t>
        </r>
      </text>
    </comment>
    <comment ref="A170" authorId="0" shapeId="0" xr:uid="{613A39A2-9DEF-4C8F-A859-CF2D14CABC93}">
      <text>
        <r>
          <rPr>
            <sz val="10"/>
            <color indexed="81"/>
            <rFont val="Lucida Console"/>
            <family val="3"/>
          </rPr>
          <t>_x000D_
15475</t>
        </r>
      </text>
    </comment>
    <comment ref="B170" authorId="0" shapeId="0" xr:uid="{110EFE67-9564-48BA-B0C4-48AAAB167A16}">
      <text>
        <r>
          <rPr>
            <sz val="10"/>
            <color indexed="81"/>
            <rFont val="Lucida Console"/>
            <family val="3"/>
          </rPr>
          <t>DESCRIÇÃO DETALHADA_x000D_
CONECTOR TIPO SPLIT BOLT-SIMPLES/SIMPLES P/ 2 CABOS DE COBRE DE 95 MM2</t>
        </r>
      </text>
    </comment>
    <comment ref="G170" authorId="0" shapeId="0" xr:uid="{7C44A59D-3AAF-4C91-8056-E72371904239}">
      <text>
        <r>
          <rPr>
            <sz val="10"/>
            <color indexed="81"/>
            <rFont val="Lucida Console"/>
            <family val="3"/>
          </rPr>
          <t>_x000D_
Últ estimativa : 60_x000D_
Enviada em     : 30.11.2017_x000D_
Ata - Venc     : 10/17 - 06.02.2018</t>
        </r>
      </text>
    </comment>
    <comment ref="O170" authorId="0" shapeId="0" xr:uid="{501108EA-7A29-4852-B225-0667B2812292}">
      <text>
        <r>
          <rPr>
            <sz val="10"/>
            <color indexed="81"/>
            <rFont val="Lucida Console"/>
            <family val="3"/>
          </rPr>
          <t>_x000D_
Pertencia a ATA nº 10/17_x000D_
Estimativa de Renovação enviada em 30.11.2017 - Qtd 60_x000D_
PP  11/18 lote 18_x000D_
09.04.18 = Processo finalizado. Ata 78/18.</t>
        </r>
      </text>
    </comment>
    <comment ref="W170" authorId="0" shapeId="0" xr:uid="{D724A971-2FC4-44C8-ADBE-54AD8169B062}">
      <text>
        <r>
          <rPr>
            <sz val="10"/>
            <color indexed="81"/>
            <rFont val="Lucida Console"/>
            <family val="3"/>
          </rPr>
          <t>_x000D_
DM-Elétrica</t>
        </r>
      </text>
    </comment>
    <comment ref="X170" authorId="0" shapeId="0" xr:uid="{2C4A330E-1D81-444B-BA64-BF16FCC465EA}">
      <text>
        <r>
          <rPr>
            <sz val="10"/>
            <color indexed="81"/>
            <rFont val="Lucida Console"/>
            <family val="3"/>
          </rPr>
          <t>_x000D_
EQUIP. MAT. P/ GERACAO, TRANSM. DISTR. RETIF...</t>
        </r>
      </text>
    </comment>
    <comment ref="Y170" authorId="0" shapeId="0" xr:uid="{5436AB4D-6E27-42BB-85F6-99BA7207FC30}">
      <text>
        <r>
          <rPr>
            <sz val="10"/>
            <color indexed="81"/>
            <rFont val="Lucida Console"/>
            <family val="3"/>
          </rPr>
          <t>_x000D_
CONECTORES</t>
        </r>
      </text>
    </comment>
    <comment ref="AW170" authorId="0" shapeId="0" xr:uid="{7F06B962-1CB8-4988-BAAE-BD9F0C4455D0}">
      <text>
        <r>
          <rPr>
            <sz val="10"/>
            <color indexed="81"/>
            <rFont val="Lucida Console"/>
            <family val="3"/>
          </rPr>
          <t>Tempo de Estoque (Meses)_x000D_
_x000D_
132,0</t>
        </r>
      </text>
    </comment>
    <comment ref="A171" authorId="0" shapeId="0" xr:uid="{9FF22A6E-780C-45F9-AA45-58AEB4AC07ED}">
      <text>
        <r>
          <rPr>
            <sz val="10"/>
            <color indexed="81"/>
            <rFont val="Lucida Console"/>
            <family val="3"/>
          </rPr>
          <t>_x000D_
76806</t>
        </r>
      </text>
    </comment>
    <comment ref="B171" authorId="0" shapeId="0" xr:uid="{1AB68ACC-8E7E-4412-B457-3A77D3A3A594}">
      <text>
        <r>
          <rPr>
            <sz val="10"/>
            <color indexed="81"/>
            <rFont val="Lucida Console"/>
            <family val="3"/>
          </rPr>
          <t>DESCRIÇÃO DETALHADA_x000D_
PERFILADO - 38 X 38 MM, PERFURADO,  C/ 6M DE COMPRIMENTO</t>
        </r>
      </text>
    </comment>
    <comment ref="G171" authorId="0" shapeId="0" xr:uid="{36B954F2-D95C-409F-ADB0-D5CD0A108A41}">
      <text>
        <r>
          <rPr>
            <sz val="10"/>
            <color indexed="81"/>
            <rFont val="Lucida Console"/>
            <family val="3"/>
          </rPr>
          <t>_x000D_
Últ estimativa : 250_x000D_
Enviada em     : 25.09.2019_x000D_
Ata - Venc     : 10/17 - 06.02.2018</t>
        </r>
      </text>
    </comment>
    <comment ref="O171" authorId="0" shapeId="0" xr:uid="{9BE4DBAB-C55A-4CFB-AA96-3CA8563F1A8E}">
      <text>
        <r>
          <rPr>
            <sz val="10"/>
            <color indexed="81"/>
            <rFont val="Lucida Console"/>
            <family val="3"/>
          </rPr>
          <t>_x000D_
Pertencia a ATA nº 10/17_x000D_
Estimativa de Renovação enviada em 25.09.2019 - Qtd 250_x000D_
PE  17/20 lote 25 (Impróspero)_x000D_
19.05.20 = Finalizar, contrato assinado.</t>
        </r>
      </text>
    </comment>
    <comment ref="W171" authorId="0" shapeId="0" xr:uid="{19E429B4-24EC-4863-9871-C9D2B03DEEE7}">
      <text>
        <r>
          <rPr>
            <sz val="10"/>
            <color indexed="81"/>
            <rFont val="Lucida Console"/>
            <family val="3"/>
          </rPr>
          <t>_x000D_
DM-Elétrica</t>
        </r>
      </text>
    </comment>
    <comment ref="X171" authorId="0" shapeId="0" xr:uid="{51C863CA-D8C4-4B8D-824C-71B5FAFB392C}">
      <text>
        <r>
          <rPr>
            <sz val="10"/>
            <color indexed="81"/>
            <rFont val="Lucida Console"/>
            <family val="3"/>
          </rPr>
          <t>_x000D_
METAIS,LAMINAD.,PERFILADOS E ARTEFATOS METALICOS</t>
        </r>
      </text>
    </comment>
    <comment ref="Y171" authorId="0" shapeId="0" xr:uid="{8C048CAB-754F-40CD-8266-56123BF894CA}">
      <text>
        <r>
          <rPr>
            <sz val="10"/>
            <color indexed="81"/>
            <rFont val="Lucida Console"/>
            <family val="3"/>
          </rPr>
          <t>_x000D_
PERFIS E BARRA</t>
        </r>
      </text>
    </comment>
    <comment ref="AW171" authorId="0" shapeId="0" xr:uid="{1025CCCD-5390-437E-9875-5085246BDCBA}">
      <text>
        <r>
          <rPr>
            <sz val="10"/>
            <color indexed="81"/>
            <rFont val="Lucida Console"/>
            <family val="3"/>
          </rPr>
          <t>Tempo de Estoque (Meses)_x000D_
_x000D_
228,0</t>
        </r>
      </text>
    </comment>
    <comment ref="A172" authorId="0" shapeId="0" xr:uid="{EFAE9031-E112-4B88-B51E-BEF333861782}">
      <text>
        <r>
          <rPr>
            <sz val="10"/>
            <color indexed="81"/>
            <rFont val="Lucida Console"/>
            <family val="3"/>
          </rPr>
          <t>_x000D_
15464</t>
        </r>
      </text>
    </comment>
    <comment ref="B172" authorId="0" shapeId="0" xr:uid="{3A15583E-E242-439A-BF2B-D2A50F05BED1}">
      <text>
        <r>
          <rPr>
            <sz val="10"/>
            <color indexed="81"/>
            <rFont val="Lucida Console"/>
            <family val="3"/>
          </rPr>
          <t>DESCRIÇÃO DETALHADA_x000D_
CONECTOR A PRESSAO TIPO SPLIT BOLT-SIMPLES/SIMPLES P/ 2CABOS DE COBRE DE 185MM2</t>
        </r>
      </text>
    </comment>
    <comment ref="G172" authorId="0" shapeId="0" xr:uid="{64802D33-93CA-4521-8CE3-1C658C77AF8B}">
      <text>
        <r>
          <rPr>
            <sz val="10"/>
            <color indexed="81"/>
            <rFont val="Lucida Console"/>
            <family val="3"/>
          </rPr>
          <t>_x000D_
Últ estimativa : 0_x000D_
Enviada em     : 30.11.2017_x000D_
Ata - Venc     : 10/17 - 06.02.2018</t>
        </r>
      </text>
    </comment>
    <comment ref="O172" authorId="0" shapeId="0" xr:uid="{3B0FAF75-88C5-4ED6-9959-7CAB2E14463C}">
      <text>
        <r>
          <rPr>
            <sz val="10"/>
            <color indexed="81"/>
            <rFont val="Lucida Console"/>
            <family val="3"/>
          </rPr>
          <t>_x000D_
Pertencia a ATA nº 10/17_x000D_
Estimativa de Renovação enviada em 30.11.2017 - Qtd _x000D_
PP  11/18 lote _x000D_
09.04.18 = Processo finalizado. Ata 78/18.</t>
        </r>
      </text>
    </comment>
    <comment ref="W172" authorId="0" shapeId="0" xr:uid="{718D4C72-BB3D-4929-AA72-AA7D30B75F60}">
      <text>
        <r>
          <rPr>
            <sz val="10"/>
            <color indexed="81"/>
            <rFont val="Lucida Console"/>
            <family val="3"/>
          </rPr>
          <t>_x000D_
DM-Elétrica</t>
        </r>
      </text>
    </comment>
    <comment ref="X172" authorId="0" shapeId="0" xr:uid="{6FE4816B-B8BE-4D50-BB9F-AFD777C87F5D}">
      <text>
        <r>
          <rPr>
            <sz val="10"/>
            <color indexed="81"/>
            <rFont val="Lucida Console"/>
            <family val="3"/>
          </rPr>
          <t>_x000D_
EQUIP. MAT. P/ GERACAO, TRANSM. DISTR. RETIF...</t>
        </r>
      </text>
    </comment>
    <comment ref="Y172" authorId="0" shapeId="0" xr:uid="{080624B4-B96C-4F7D-8763-4CCB0F010109}">
      <text>
        <r>
          <rPr>
            <sz val="10"/>
            <color indexed="81"/>
            <rFont val="Lucida Console"/>
            <family val="3"/>
          </rPr>
          <t>_x000D_
CONECTORES</t>
        </r>
      </text>
    </comment>
    <comment ref="AW172" authorId="0" shapeId="0" xr:uid="{DF3E8C8E-E08F-4E45-91D7-561B59F6443C}">
      <text>
        <r>
          <rPr>
            <sz val="10"/>
            <color indexed="81"/>
            <rFont val="Lucida Console"/>
            <family val="3"/>
          </rPr>
          <t>Tempo de Estoque (Meses)_x000D_
_x000D_
185,0</t>
        </r>
      </text>
    </comment>
    <comment ref="A173" authorId="0" shapeId="0" xr:uid="{BBAF084B-5C29-43BD-9B44-7AD58C5C07E0}">
      <text>
        <r>
          <rPr>
            <sz val="10"/>
            <color indexed="81"/>
            <rFont val="Lucida Console"/>
            <family val="3"/>
          </rPr>
          <t>_x000D_
12881</t>
        </r>
      </text>
    </comment>
    <comment ref="B173" authorId="0" shapeId="0" xr:uid="{17DC3DC7-5604-4EC8-A5E6-1B0C89664B54}">
      <text>
        <r>
          <rPr>
            <sz val="10"/>
            <color indexed="81"/>
            <rFont val="Lucida Console"/>
            <family val="3"/>
          </rPr>
          <t>DESCRIÇÃO DETALHADA_x000D_
COTOVELO 90° GRAUS EM PVC RIGIDO SOLDAVEL DE 2" (ESGOTO)</t>
        </r>
      </text>
    </comment>
    <comment ref="G173" authorId="0" shapeId="0" xr:uid="{26E11F80-FA46-4960-9A20-F5B48116AF40}">
      <text>
        <r>
          <rPr>
            <sz val="10"/>
            <color indexed="81"/>
            <rFont val="Lucida Console"/>
            <family val="3"/>
          </rPr>
          <t>_x000D_
Últ estimativa : 600_x000D_
Enviada em     : 17.12.2020_x000D_
Ata - Venc     : 101/20 - 27.04.2021</t>
        </r>
      </text>
    </comment>
    <comment ref="O173" authorId="0" shapeId="0" xr:uid="{E07EC3F2-8346-420E-AFC7-2FCCB6AE88B1}">
      <text>
        <r>
          <rPr>
            <sz val="10"/>
            <color indexed="81"/>
            <rFont val="Lucida Console"/>
            <family val="3"/>
          </rPr>
          <t>_x000D_
Pertencia a ATA nº 101/20_x000D_
Estimativa de Renovação enviada em 17.12.2020 - Qtd 600_x000D_
PE  16/20 lote 3_x000D_
18.05.20 = Processo conferido, finalizado.</t>
        </r>
      </text>
    </comment>
    <comment ref="W173" authorId="0" shapeId="0" xr:uid="{52C8635C-EE2B-42AF-911E-6878F36FCAB2}">
      <text>
        <r>
          <rPr>
            <sz val="10"/>
            <color indexed="81"/>
            <rFont val="Lucida Console"/>
            <family val="3"/>
          </rPr>
          <t>_x000D_
DM-Hidráulica</t>
        </r>
      </text>
    </comment>
    <comment ref="X173" authorId="0" shapeId="0" xr:uid="{048F3851-454C-42BC-9FC5-64C226F1327C}">
      <text>
        <r>
          <rPr>
            <sz val="10"/>
            <color indexed="81"/>
            <rFont val="Lucida Console"/>
            <family val="3"/>
          </rPr>
          <t>_x000D_
MATERIAL HIDRAULICO, CANOS, TUBOS, MANGUEIRAS, CONEXOES E ACESS.</t>
        </r>
      </text>
    </comment>
    <comment ref="Y173" authorId="0" shapeId="0" xr:uid="{44308F51-FE44-4363-9FB1-06F2CB01D4B8}">
      <text>
        <r>
          <rPr>
            <sz val="10"/>
            <color indexed="81"/>
            <rFont val="Lucida Console"/>
            <family val="3"/>
          </rPr>
          <t>_x000D_
ADAP. LUVAS.TES CURVAS COTOVELOS PLUGS FLANGES.....</t>
        </r>
      </text>
    </comment>
    <comment ref="AW173" authorId="0" shapeId="0" xr:uid="{DE68B50A-31A1-4A16-9114-A6B064D2700B}">
      <text>
        <r>
          <rPr>
            <sz val="10"/>
            <color indexed="81"/>
            <rFont val="Lucida Console"/>
            <family val="3"/>
          </rPr>
          <t>Tempo de Estoque (Meses)_x000D_
_x000D_
501,0</t>
        </r>
      </text>
    </comment>
    <comment ref="A174" authorId="0" shapeId="0" xr:uid="{D8B05AFD-D349-41B2-974B-31DF30991CCA}">
      <text>
        <r>
          <rPr>
            <sz val="10"/>
            <color indexed="81"/>
            <rFont val="Lucida Console"/>
            <family val="3"/>
          </rPr>
          <t>_x000D_
12886</t>
        </r>
      </text>
    </comment>
    <comment ref="B174" authorId="0" shapeId="0" xr:uid="{7D37DD58-BAEA-47A2-BDEE-440FC62A0477}">
      <text>
        <r>
          <rPr>
            <sz val="10"/>
            <color indexed="81"/>
            <rFont val="Lucida Console"/>
            <family val="3"/>
          </rPr>
          <t>DESCRIÇÃO DETALHADA_x000D_
COTOVELO 90 GRAUS EM PVC RIGIDO SOLDAVEL MARROM- 1.1/2". A MARCA DEVERA VIR LITOGRAFADA NA PECA.</t>
        </r>
      </text>
    </comment>
    <comment ref="G174" authorId="0" shapeId="0" xr:uid="{E12C9238-A2B1-40B1-9F9A-0DDF13EFF016}">
      <text>
        <r>
          <rPr>
            <sz val="10"/>
            <color indexed="81"/>
            <rFont val="Lucida Console"/>
            <family val="3"/>
          </rPr>
          <t>_x000D_
Últ estimativa : 500_x000D_
Enviada em     : 17.12.2020_x000D_
Ata - Venc     : 101/20 - 27.04.2021</t>
        </r>
      </text>
    </comment>
    <comment ref="O174" authorId="0" shapeId="0" xr:uid="{C9925A4A-9C5F-4C10-8DA1-EE1D5863BF1B}">
      <text>
        <r>
          <rPr>
            <sz val="10"/>
            <color indexed="81"/>
            <rFont val="Lucida Console"/>
            <family val="3"/>
          </rPr>
          <t>_x000D_
Pertencia a ATA nº 101/20_x000D_
Estimativa de Renovação enviada em 17.12.2020 - Qtd 500_x000D_
PE  16/20 lote 4_x000D_
18.05.20 = Processo conferido, finalizado.</t>
        </r>
      </text>
    </comment>
    <comment ref="W174" authorId="0" shapeId="0" xr:uid="{A5E5E01C-B0E3-4053-A0AC-A8912B4A4721}">
      <text>
        <r>
          <rPr>
            <sz val="10"/>
            <color indexed="81"/>
            <rFont val="Lucida Console"/>
            <family val="3"/>
          </rPr>
          <t>_x000D_
DM-Hidráulica</t>
        </r>
      </text>
    </comment>
    <comment ref="X174" authorId="0" shapeId="0" xr:uid="{13245DAF-B761-4119-A22E-A30BD06440D2}">
      <text>
        <r>
          <rPr>
            <sz val="10"/>
            <color indexed="81"/>
            <rFont val="Lucida Console"/>
            <family val="3"/>
          </rPr>
          <t>_x000D_
MATERIAL HIDRAULICO, CANOS, TUBOS, MANGUEIRAS, CONEXOES E ACESS.</t>
        </r>
      </text>
    </comment>
    <comment ref="Y174" authorId="0" shapeId="0" xr:uid="{86B73F91-8C76-4135-AC38-85D98C6959A2}">
      <text>
        <r>
          <rPr>
            <sz val="10"/>
            <color indexed="81"/>
            <rFont val="Lucida Console"/>
            <family val="3"/>
          </rPr>
          <t>_x000D_
ADAP. LUVAS.TES CURVAS COTOVELOS PLUGS FLANGES.....</t>
        </r>
      </text>
    </comment>
    <comment ref="AW174" authorId="0" shapeId="0" xr:uid="{413F7880-7F57-4164-805F-D878D8BA4122}">
      <text>
        <r>
          <rPr>
            <sz val="10"/>
            <color indexed="81"/>
            <rFont val="Lucida Console"/>
            <family val="3"/>
          </rPr>
          <t>Tempo de Estoque (Meses)_x000D_
_x000D_
425,0</t>
        </r>
      </text>
    </comment>
    <comment ref="A175" authorId="0" shapeId="0" xr:uid="{6701E986-6E81-4B2A-AD43-9C56A2E3253E}">
      <text>
        <r>
          <rPr>
            <sz val="10"/>
            <color indexed="81"/>
            <rFont val="Lucida Console"/>
            <family val="3"/>
          </rPr>
          <t>_x000D_
12894</t>
        </r>
      </text>
    </comment>
    <comment ref="B175" authorId="0" shapeId="0" xr:uid="{57A23AC8-579B-483F-8776-2052CA58BDFF}">
      <text>
        <r>
          <rPr>
            <sz val="10"/>
            <color indexed="81"/>
            <rFont val="Lucida Console"/>
            <family val="3"/>
          </rPr>
          <t>DESCRIÇÃO DETALHADA_x000D_
COTOVELO 90 GRAUS EM PVC RIGIDO SOLDAVEL MARROM DE 3/4". A MARCA DEVERA VIR LITOGRAFADA NA PECA.</t>
        </r>
      </text>
    </comment>
    <comment ref="G175" authorId="0" shapeId="0" xr:uid="{9B7E0E7B-09F0-47D8-9DDD-BB984E0E3BA0}">
      <text>
        <r>
          <rPr>
            <sz val="10"/>
            <color indexed="81"/>
            <rFont val="Lucida Console"/>
            <family val="3"/>
          </rPr>
          <t>_x000D_
Últ estimativa : 3.000_x000D_
Enviada em     : 17.12.2020_x000D_
Ata - Venc     : 101/20 - 27.04.2021</t>
        </r>
      </text>
    </comment>
    <comment ref="O175" authorId="0" shapeId="0" xr:uid="{50A74A41-93E8-41BD-A3EF-6FAC95BF48FF}">
      <text>
        <r>
          <rPr>
            <sz val="10"/>
            <color indexed="81"/>
            <rFont val="Lucida Console"/>
            <family val="3"/>
          </rPr>
          <t>_x000D_
Pertencia a ATA nº 101/20_x000D_
Estimativa de Renovação enviada em 17.12.2020 - Qtd 3.000_x000D_
PE  16/20 lote 5_x000D_
18.05.20 = Processo conferido, finalizado.</t>
        </r>
      </text>
    </comment>
    <comment ref="W175" authorId="0" shapeId="0" xr:uid="{B84A44BF-F3C4-4E36-8560-FDAB8C45460E}">
      <text>
        <r>
          <rPr>
            <sz val="10"/>
            <color indexed="81"/>
            <rFont val="Lucida Console"/>
            <family val="3"/>
          </rPr>
          <t>_x000D_
DM-Hidráulica</t>
        </r>
      </text>
    </comment>
    <comment ref="X175" authorId="0" shapeId="0" xr:uid="{6F6B3E38-AF9B-43CC-B2E6-65DF64EAAE88}">
      <text>
        <r>
          <rPr>
            <sz val="10"/>
            <color indexed="81"/>
            <rFont val="Lucida Console"/>
            <family val="3"/>
          </rPr>
          <t>_x000D_
MATERIAL HIDRAULICO, CANOS, TUBOS, MANGUEIRAS, CONEXOES E ACESS.</t>
        </r>
      </text>
    </comment>
    <comment ref="Y175" authorId="0" shapeId="0" xr:uid="{3F22FDB0-BBA0-4B74-BDC6-EB0E34D92F69}">
      <text>
        <r>
          <rPr>
            <sz val="10"/>
            <color indexed="81"/>
            <rFont val="Lucida Console"/>
            <family val="3"/>
          </rPr>
          <t>_x000D_
ADAP. LUVAS.TES CURVAS COTOVELOS PLUGS FLANGES.....</t>
        </r>
      </text>
    </comment>
    <comment ref="AW175" authorId="0" shapeId="0" xr:uid="{24F67FA2-03DB-4574-91B3-7144BA69F9B7}">
      <text>
        <r>
          <rPr>
            <sz val="10"/>
            <color indexed="81"/>
            <rFont val="Lucida Console"/>
            <family val="3"/>
          </rPr>
          <t>Tempo de Estoque (Meses)_x000D_
_x000D_
4.371,0</t>
        </r>
      </text>
    </comment>
    <comment ref="A176" authorId="0" shapeId="0" xr:uid="{B2F77268-8DCC-4196-ABF8-438B26D0DDF1}">
      <text>
        <r>
          <rPr>
            <sz val="10"/>
            <color indexed="81"/>
            <rFont val="Lucida Console"/>
            <family val="3"/>
          </rPr>
          <t>_x000D_
12948</t>
        </r>
      </text>
    </comment>
    <comment ref="B176" authorId="0" shapeId="0" xr:uid="{3B425BCD-2299-4A34-A2CD-FC7E2E4168DC}">
      <text>
        <r>
          <rPr>
            <sz val="10"/>
            <color indexed="81"/>
            <rFont val="Lucida Console"/>
            <family val="3"/>
          </rPr>
          <t xml:space="preserve">DESCRIÇÃO DETALHADA_x000D_
LUVA DE PVC RIGIDO SOLDAVEL MARROM DE 2", DE ACORDO COM A NBR 5648 E A MARCA, MEDIDA E NBR DEVERAO VIR LITOGRAFADA NA PECA   </t>
        </r>
      </text>
    </comment>
    <comment ref="G176" authorId="0" shapeId="0" xr:uid="{381A03C1-8767-408C-8F63-240F8C5DDC49}">
      <text>
        <r>
          <rPr>
            <sz val="10"/>
            <color indexed="81"/>
            <rFont val="Lucida Console"/>
            <family val="3"/>
          </rPr>
          <t>_x000D_
Últ estimativa : 30_x000D_
Enviada em     : 17.12.2020_x000D_
Ata - Venc     : 101/20 - 27.04.2021</t>
        </r>
      </text>
    </comment>
    <comment ref="O176" authorId="0" shapeId="0" xr:uid="{A8708BE9-F8ED-4103-AEF4-F918C582188C}">
      <text>
        <r>
          <rPr>
            <sz val="10"/>
            <color indexed="81"/>
            <rFont val="Lucida Console"/>
            <family val="3"/>
          </rPr>
          <t>_x000D_
Pertencia a ATA nº 101/20_x000D_
Estimativa de Renovação enviada em 17.12.2020 - Qtd 30_x000D_
PE  16/20 lote 7_x000D_
18.05.20 = Processo conferido, finalizado.</t>
        </r>
      </text>
    </comment>
    <comment ref="W176" authorId="0" shapeId="0" xr:uid="{B444ACC4-6FDF-4051-BEE5-0A75F0E6D8BE}">
      <text>
        <r>
          <rPr>
            <sz val="10"/>
            <color indexed="81"/>
            <rFont val="Lucida Console"/>
            <family val="3"/>
          </rPr>
          <t>_x000D_
DM-Hidráulica</t>
        </r>
      </text>
    </comment>
    <comment ref="X176" authorId="0" shapeId="0" xr:uid="{9243E6D1-A3CD-4E22-A8E2-D4F3B09D5CE1}">
      <text>
        <r>
          <rPr>
            <sz val="10"/>
            <color indexed="81"/>
            <rFont val="Lucida Console"/>
            <family val="3"/>
          </rPr>
          <t>_x000D_
MATERIAL HIDRAULICO, CANOS, TUBOS, MANGUEIRAS, CONEXOES E ACESS.</t>
        </r>
      </text>
    </comment>
    <comment ref="Y176" authorId="0" shapeId="0" xr:uid="{C825F21D-D585-42E8-A9DF-0A9951FF3A84}">
      <text>
        <r>
          <rPr>
            <sz val="10"/>
            <color indexed="81"/>
            <rFont val="Lucida Console"/>
            <family val="3"/>
          </rPr>
          <t>_x000D_
ADAP. LUVAS.TES CURVAS COTOVELOS PLUGS FLANGES.....</t>
        </r>
      </text>
    </comment>
    <comment ref="AW176" authorId="0" shapeId="0" xr:uid="{0637AEE2-92D7-4034-B163-2F456FAC7486}">
      <text>
        <r>
          <rPr>
            <sz val="10"/>
            <color indexed="81"/>
            <rFont val="Lucida Console"/>
            <family val="3"/>
          </rPr>
          <t>Tempo de Estoque (Meses)_x000D_
_x000D_
40,0</t>
        </r>
      </text>
    </comment>
    <comment ref="A177" authorId="0" shapeId="0" xr:uid="{371E6C39-1C70-4E96-BCA3-57CF82A3343C}">
      <text>
        <r>
          <rPr>
            <sz val="10"/>
            <color indexed="81"/>
            <rFont val="Lucida Console"/>
            <family val="3"/>
          </rPr>
          <t>_x000D_
12950</t>
        </r>
      </text>
    </comment>
    <comment ref="B177" authorId="0" shapeId="0" xr:uid="{56667359-A135-40A5-86EB-600C8F6DB208}">
      <text>
        <r>
          <rPr>
            <sz val="10"/>
            <color indexed="81"/>
            <rFont val="Lucida Console"/>
            <family val="3"/>
          </rPr>
          <t xml:space="preserve">DESCRIÇÃO DETALHADA_x000D_
LUVA DE PVC RIGIDO SOLDAVEL MARROM DE 1.1/2", DE ACORDO COM A NBR 5648 E A MARCA, MEDIDA E NBR DEVERAO VIR LITOGRAFADA NA PECA   </t>
        </r>
      </text>
    </comment>
    <comment ref="G177" authorId="0" shapeId="0" xr:uid="{82399429-4F30-41AF-8121-2C40AFC3EBAD}">
      <text>
        <r>
          <rPr>
            <sz val="10"/>
            <color indexed="81"/>
            <rFont val="Lucida Console"/>
            <family val="3"/>
          </rPr>
          <t>_x000D_
Últ estimativa : 130_x000D_
Enviada em     : 17.12.2020_x000D_
Ata - Venc     : 101/20 - 27.04.2021</t>
        </r>
      </text>
    </comment>
    <comment ref="O177" authorId="0" shapeId="0" xr:uid="{CD510DF1-58DF-4622-9612-08483CA6FC51}">
      <text>
        <r>
          <rPr>
            <sz val="10"/>
            <color indexed="81"/>
            <rFont val="Lucida Console"/>
            <family val="3"/>
          </rPr>
          <t>_x000D_
Pertencia a ATA nº 101/20_x000D_
Estimativa de Renovação enviada em 17.12.2020 - Qtd 130_x000D_
PE  16/20 lote 8_x000D_
18.05.20 = Processo conferido, finalizado.</t>
        </r>
      </text>
    </comment>
    <comment ref="W177" authorId="0" shapeId="0" xr:uid="{A1EED032-6DB0-450E-AE70-23EF837A5B2A}">
      <text>
        <r>
          <rPr>
            <sz val="10"/>
            <color indexed="81"/>
            <rFont val="Lucida Console"/>
            <family val="3"/>
          </rPr>
          <t>_x000D_
DM-Hidráulica</t>
        </r>
      </text>
    </comment>
    <comment ref="X177" authorId="0" shapeId="0" xr:uid="{1BFD270A-D22A-4F66-9DF6-B68CF895DFD7}">
      <text>
        <r>
          <rPr>
            <sz val="10"/>
            <color indexed="81"/>
            <rFont val="Lucida Console"/>
            <family val="3"/>
          </rPr>
          <t>_x000D_
MATERIAL HIDRAULICO, CANOS, TUBOS, MANGUEIRAS, CONEXOES E ACESS.</t>
        </r>
      </text>
    </comment>
    <comment ref="Y177" authorId="0" shapeId="0" xr:uid="{AC877CA7-A54E-4E22-BECD-C166002C3EBA}">
      <text>
        <r>
          <rPr>
            <sz val="10"/>
            <color indexed="81"/>
            <rFont val="Lucida Console"/>
            <family val="3"/>
          </rPr>
          <t>_x000D_
ADAP. LUVAS.TES CURVAS COTOVELOS PLUGS FLANGES.....</t>
        </r>
      </text>
    </comment>
    <comment ref="AW177" authorId="0" shapeId="0" xr:uid="{1A93FD67-54B1-4681-8EC5-A590C8B6DFA5}">
      <text>
        <r>
          <rPr>
            <sz val="10"/>
            <color indexed="81"/>
            <rFont val="Lucida Console"/>
            <family val="3"/>
          </rPr>
          <t>Tempo de Estoque (Meses)_x000D_
_x000D_
251,0</t>
        </r>
      </text>
    </comment>
    <comment ref="A178" authorId="0" shapeId="0" xr:uid="{9D6A131C-67E4-453A-84F4-A1CA3718D5C6}">
      <text>
        <r>
          <rPr>
            <sz val="10"/>
            <color indexed="81"/>
            <rFont val="Lucida Console"/>
            <family val="3"/>
          </rPr>
          <t>_x000D_
12956</t>
        </r>
      </text>
    </comment>
    <comment ref="B178" authorId="0" shapeId="0" xr:uid="{17D081D5-FA42-431B-9D97-29522BC53EF9}">
      <text>
        <r>
          <rPr>
            <sz val="10"/>
            <color indexed="81"/>
            <rFont val="Lucida Console"/>
            <family val="3"/>
          </rPr>
          <t>DESCRIÇÃO DETALHADA_x000D_
LUVA DE PVC RIGIDO SOLDAVEL MARROM DE 3/4". A MARCA DEVERA VIR LITOGRAFADA NA PECA.</t>
        </r>
      </text>
    </comment>
    <comment ref="G178" authorId="0" shapeId="0" xr:uid="{E5B63C11-FFAA-497B-874C-C77C8D24FAF7}">
      <text>
        <r>
          <rPr>
            <sz val="10"/>
            <color indexed="81"/>
            <rFont val="Lucida Console"/>
            <family val="3"/>
          </rPr>
          <t>_x000D_
Últ estimativa : 1.000_x000D_
Enviada em     : 17.12.2020_x000D_
Ata - Venc     : 101/20 - 27.04.2021</t>
        </r>
      </text>
    </comment>
    <comment ref="O178" authorId="0" shapeId="0" xr:uid="{390CC05C-B5C5-4D4D-AB78-E045897C7947}">
      <text>
        <r>
          <rPr>
            <sz val="10"/>
            <color indexed="81"/>
            <rFont val="Lucida Console"/>
            <family val="3"/>
          </rPr>
          <t>_x000D_
Pertencia a ATA nº 101/20_x000D_
Estimativa de Renovação enviada em 17.12.2020 - Qtd 1.000_x000D_
PE  16/20 lote 9_x000D_
18.05.20 = Processo conferido, finalizado.</t>
        </r>
      </text>
    </comment>
    <comment ref="W178" authorId="0" shapeId="0" xr:uid="{FA0CA479-A090-4926-881F-AE8C18FD893C}">
      <text>
        <r>
          <rPr>
            <sz val="10"/>
            <color indexed="81"/>
            <rFont val="Lucida Console"/>
            <family val="3"/>
          </rPr>
          <t>_x000D_
DM-Hidráulica</t>
        </r>
      </text>
    </comment>
    <comment ref="X178" authorId="0" shapeId="0" xr:uid="{49835F19-67EB-42AC-9813-487F83E96614}">
      <text>
        <r>
          <rPr>
            <sz val="10"/>
            <color indexed="81"/>
            <rFont val="Lucida Console"/>
            <family val="3"/>
          </rPr>
          <t>_x000D_
MATERIAL HIDRAULICO, CANOS, TUBOS, MANGUEIRAS, CONEXOES E ACESS.</t>
        </r>
      </text>
    </comment>
    <comment ref="Y178" authorId="0" shapeId="0" xr:uid="{955C1708-6CDE-4691-831B-F73CE6214055}">
      <text>
        <r>
          <rPr>
            <sz val="10"/>
            <color indexed="81"/>
            <rFont val="Lucida Console"/>
            <family val="3"/>
          </rPr>
          <t>_x000D_
ADAP. LUVAS.TES CURVAS COTOVELOS PLUGS FLANGES.....</t>
        </r>
      </text>
    </comment>
    <comment ref="AW178" authorId="0" shapeId="0" xr:uid="{2A942DDA-07DF-4FAF-83DA-AA80BF6EDB30}">
      <text>
        <r>
          <rPr>
            <sz val="10"/>
            <color indexed="81"/>
            <rFont val="Lucida Console"/>
            <family val="3"/>
          </rPr>
          <t>Tempo de Estoque (Meses)_x000D_
_x000D_
1.018,0</t>
        </r>
      </text>
    </comment>
    <comment ref="A179" authorId="0" shapeId="0" xr:uid="{FCC61A19-3ABF-4860-A409-7D162CA5C221}">
      <text>
        <r>
          <rPr>
            <sz val="10"/>
            <color indexed="81"/>
            <rFont val="Lucida Console"/>
            <family val="3"/>
          </rPr>
          <t>_x000D_
13072</t>
        </r>
      </text>
    </comment>
    <comment ref="B179" authorId="0" shapeId="0" xr:uid="{6332D578-62F0-4082-A670-FDB973C25F00}">
      <text>
        <r>
          <rPr>
            <sz val="10"/>
            <color indexed="81"/>
            <rFont val="Lucida Console"/>
            <family val="3"/>
          </rPr>
          <t>DESCRIÇÃO DETALHADA_x000D_
TE EM PVC RIGIDO SOLDAVEL MARROM 3/4". A MARCA DEVERA VIR LITOGRAFADA NA PECA.</t>
        </r>
      </text>
    </comment>
    <comment ref="G179" authorId="0" shapeId="0" xr:uid="{7B620404-ADDC-4876-8CE3-FC6D5C4BEDFF}">
      <text>
        <r>
          <rPr>
            <sz val="10"/>
            <color indexed="81"/>
            <rFont val="Lucida Console"/>
            <family val="3"/>
          </rPr>
          <t>_x000D_
Últ estimativa : 1.000_x000D_
Enviada em     : 17.12.2020_x000D_
Ata - Venc     : 101/20 - 27.04.2021</t>
        </r>
      </text>
    </comment>
    <comment ref="O179" authorId="0" shapeId="0" xr:uid="{D997358D-8571-4E95-8EB9-B628811763BA}">
      <text>
        <r>
          <rPr>
            <sz val="10"/>
            <color indexed="81"/>
            <rFont val="Lucida Console"/>
            <family val="3"/>
          </rPr>
          <t>_x000D_
Pertencia a ATA nº 101/20_x000D_
Estimativa de Renovação enviada em 17.12.2020 - Qtd 1.000_x000D_
PE  16/20 lote 12_x000D_
18.05.20 = Processo conferido, finalizado.</t>
        </r>
      </text>
    </comment>
    <comment ref="W179" authorId="0" shapeId="0" xr:uid="{D4C885EB-AE6C-4E6C-AE8F-121A8B0AC9EC}">
      <text>
        <r>
          <rPr>
            <sz val="10"/>
            <color indexed="81"/>
            <rFont val="Lucida Console"/>
            <family val="3"/>
          </rPr>
          <t>_x000D_
DM-Hidráulica</t>
        </r>
      </text>
    </comment>
    <comment ref="X179" authorId="0" shapeId="0" xr:uid="{33876D20-95B9-4D72-9D94-5DF9CDA0F6D4}">
      <text>
        <r>
          <rPr>
            <sz val="10"/>
            <color indexed="81"/>
            <rFont val="Lucida Console"/>
            <family val="3"/>
          </rPr>
          <t>_x000D_
MATERIAL HIDRAULICO, CANOS, TUBOS, MANGUEIRAS, CONEXOES E ACESS.</t>
        </r>
      </text>
    </comment>
    <comment ref="Y179" authorId="0" shapeId="0" xr:uid="{61FC2BE5-7DAD-45A9-914B-A97F4A7B014A}">
      <text>
        <r>
          <rPr>
            <sz val="10"/>
            <color indexed="81"/>
            <rFont val="Lucida Console"/>
            <family val="3"/>
          </rPr>
          <t>_x000D_
ADAP. LUVAS.TES CURVAS COTOVELOS PLUGS FLANGES.....</t>
        </r>
      </text>
    </comment>
    <comment ref="AW179" authorId="0" shapeId="0" xr:uid="{DFD617D3-DC88-4DE0-902B-FEB3BA32F4D2}">
      <text>
        <r>
          <rPr>
            <sz val="10"/>
            <color indexed="81"/>
            <rFont val="Lucida Console"/>
            <family val="3"/>
          </rPr>
          <t>Tempo de Estoque (Meses)_x000D_
_x000D_
405,0</t>
        </r>
      </text>
    </comment>
    <comment ref="A180" authorId="0" shapeId="0" xr:uid="{36BEA39F-EA27-4179-9E1B-B0D59C03A268}">
      <text>
        <r>
          <rPr>
            <sz val="10"/>
            <color indexed="81"/>
            <rFont val="Lucida Console"/>
            <family val="3"/>
          </rPr>
          <t>_x000D_
13095</t>
        </r>
      </text>
    </comment>
    <comment ref="B180" authorId="0" shapeId="0" xr:uid="{84745EA2-BF42-4AD2-B1E2-A00E945C4C9D}">
      <text>
        <r>
          <rPr>
            <sz val="10"/>
            <color indexed="81"/>
            <rFont val="Lucida Console"/>
            <family val="3"/>
          </rPr>
          <t>DESCRIÇÃO DETALHADA_x000D_
TE DE PVC SOLDAVEL - 1.1/2" - MARROM</t>
        </r>
      </text>
    </comment>
    <comment ref="G180" authorId="0" shapeId="0" xr:uid="{80874E00-6100-4287-8AD1-8F70796223BE}">
      <text>
        <r>
          <rPr>
            <sz val="10"/>
            <color indexed="81"/>
            <rFont val="Lucida Console"/>
            <family val="3"/>
          </rPr>
          <t>_x000D_
Últ estimativa : 150_x000D_
Enviada em     : 17.12.2020_x000D_
Ata - Venc     : 101/20 - 27.04.2021</t>
        </r>
      </text>
    </comment>
    <comment ref="O180" authorId="0" shapeId="0" xr:uid="{0DE107B9-07DC-479E-AAA1-BE70E8B78D08}">
      <text>
        <r>
          <rPr>
            <sz val="10"/>
            <color indexed="81"/>
            <rFont val="Lucida Console"/>
            <family val="3"/>
          </rPr>
          <t>_x000D_
Pertencia a ATA nº 101/20_x000D_
Estimativa de Renovação enviada em 17.12.2020 - Qtd 150_x000D_
PE  16/20 lote 14_x000D_
18.05.20 = Processo conferido, finalizado.</t>
        </r>
      </text>
    </comment>
    <comment ref="W180" authorId="0" shapeId="0" xr:uid="{CDFA94AF-80CE-4CC2-85AF-D6B82175F924}">
      <text>
        <r>
          <rPr>
            <sz val="10"/>
            <color indexed="81"/>
            <rFont val="Lucida Console"/>
            <family val="3"/>
          </rPr>
          <t>_x000D_
DM-Hidráulica</t>
        </r>
      </text>
    </comment>
    <comment ref="X180" authorId="0" shapeId="0" xr:uid="{2E12AE40-8443-4A1D-80CF-818C81A3EA32}">
      <text>
        <r>
          <rPr>
            <sz val="10"/>
            <color indexed="81"/>
            <rFont val="Lucida Console"/>
            <family val="3"/>
          </rPr>
          <t>_x000D_
MATERIAL HIDRAULICO, CANOS, TUBOS, MANGUEIRAS, CONEXOES E ACESS.</t>
        </r>
      </text>
    </comment>
    <comment ref="Y180" authorId="0" shapeId="0" xr:uid="{B29EDAB8-B2CC-4AAE-A26F-CC600897B696}">
      <text>
        <r>
          <rPr>
            <sz val="10"/>
            <color indexed="81"/>
            <rFont val="Lucida Console"/>
            <family val="3"/>
          </rPr>
          <t>_x000D_
ADAP. LUVAS.TES CURVAS COTOVELOS PLUGS FLANGES.....</t>
        </r>
      </text>
    </comment>
    <comment ref="AW180" authorId="0" shapeId="0" xr:uid="{F44D5B19-29E4-4843-AD3D-612516E32030}">
      <text>
        <r>
          <rPr>
            <sz val="10"/>
            <color indexed="81"/>
            <rFont val="Lucida Console"/>
            <family val="3"/>
          </rPr>
          <t>Tempo de Estoque (Meses)_x000D_
_x000D_
252,0</t>
        </r>
      </text>
    </comment>
    <comment ref="A181" authorId="0" shapeId="0" xr:uid="{15E1A50D-C205-4F69-86AC-AA6E3021423A}">
      <text>
        <r>
          <rPr>
            <sz val="10"/>
            <color indexed="81"/>
            <rFont val="Lucida Console"/>
            <family val="3"/>
          </rPr>
          <t>_x000D_
13517</t>
        </r>
      </text>
    </comment>
    <comment ref="B181" authorId="0" shapeId="0" xr:uid="{6CE694AC-455F-4A93-9C20-093A440B81BE}">
      <text>
        <r>
          <rPr>
            <sz val="10"/>
            <color indexed="81"/>
            <rFont val="Lucida Console"/>
            <family val="3"/>
          </rPr>
          <t>DESCRIÇÃO DETALHADA_x000D_
TE DE PVC RIGIDO SOLDAVEL P/ ESGOTO DE 2"</t>
        </r>
      </text>
    </comment>
    <comment ref="G181" authorId="0" shapeId="0" xr:uid="{F37D1315-638D-4568-9F44-9B721A455643}">
      <text>
        <r>
          <rPr>
            <sz val="10"/>
            <color indexed="81"/>
            <rFont val="Lucida Console"/>
            <family val="3"/>
          </rPr>
          <t>_x000D_
Últ estimativa : 150_x000D_
Enviada em     : 17.12.2020_x000D_
Ata - Venc     : 101/20 - 27.04.2021</t>
        </r>
      </text>
    </comment>
    <comment ref="O181" authorId="0" shapeId="0" xr:uid="{38C1CE8F-956D-44D4-AA4D-601E5D7EB3E3}">
      <text>
        <r>
          <rPr>
            <sz val="10"/>
            <color indexed="81"/>
            <rFont val="Lucida Console"/>
            <family val="3"/>
          </rPr>
          <t>_x000D_
Pertencia a ATA nº 101/20_x000D_
Estimativa de Renovação enviada em 17.12.2020 - Qtd 150_x000D_
PE  16/20 lote 22_x000D_
18.05.20 = Processo conferido, finalizado.</t>
        </r>
      </text>
    </comment>
    <comment ref="W181" authorId="0" shapeId="0" xr:uid="{5EF401A1-6C18-42D9-A3F7-366ABDE346B1}">
      <text>
        <r>
          <rPr>
            <sz val="10"/>
            <color indexed="81"/>
            <rFont val="Lucida Console"/>
            <family val="3"/>
          </rPr>
          <t>_x000D_
DM-Hidráulica</t>
        </r>
      </text>
    </comment>
    <comment ref="X181" authorId="0" shapeId="0" xr:uid="{C2995561-5CD4-4EAE-BC4C-4CFCDC48E15F}">
      <text>
        <r>
          <rPr>
            <sz val="10"/>
            <color indexed="81"/>
            <rFont val="Lucida Console"/>
            <family val="3"/>
          </rPr>
          <t>_x000D_
MATERIAL HIDRAULICO, CANOS, TUBOS, MANGUEIRAS, CONEXOES E ACESS.</t>
        </r>
      </text>
    </comment>
    <comment ref="Y181" authorId="0" shapeId="0" xr:uid="{6A229EB7-6B8F-4DA9-962F-3AD7779ADBF0}">
      <text>
        <r>
          <rPr>
            <sz val="10"/>
            <color indexed="81"/>
            <rFont val="Lucida Console"/>
            <family val="3"/>
          </rPr>
          <t>_x000D_
ADAP. LUVAS.TES CURVAS COTOVELOS PLUGS FLANGES.....</t>
        </r>
      </text>
    </comment>
    <comment ref="AW181" authorId="0" shapeId="0" xr:uid="{0D2AF362-9424-4A1C-BECD-6C03A03D0541}">
      <text>
        <r>
          <rPr>
            <sz val="10"/>
            <color indexed="81"/>
            <rFont val="Lucida Console"/>
            <family val="3"/>
          </rPr>
          <t>Tempo de Estoque (Meses)_x000D_
_x000D_
362,0</t>
        </r>
      </text>
    </comment>
    <comment ref="A182" authorId="0" shapeId="0" xr:uid="{65D0AA3A-413F-45E2-9AA5-A154B5849AC7}">
      <text>
        <r>
          <rPr>
            <sz val="10"/>
            <color indexed="81"/>
            <rFont val="Lucida Console"/>
            <family val="3"/>
          </rPr>
          <t>_x000D_
13518</t>
        </r>
      </text>
    </comment>
    <comment ref="B182" authorId="0" shapeId="0" xr:uid="{4220E608-6750-4BCB-ABB5-5A81F271F4B6}">
      <text>
        <r>
          <rPr>
            <sz val="10"/>
            <color indexed="81"/>
            <rFont val="Lucida Console"/>
            <family val="3"/>
          </rPr>
          <t>DESCRIÇÃO DETALHADA_x000D_
TE DE PVC RIGIDO SOLDAVEL P/ ESGOTO DE 4"</t>
        </r>
      </text>
    </comment>
    <comment ref="G182" authorId="0" shapeId="0" xr:uid="{CE0837BC-58A4-49BC-B8FC-6FB82B59A0C3}">
      <text>
        <r>
          <rPr>
            <sz val="10"/>
            <color indexed="81"/>
            <rFont val="Lucida Console"/>
            <family val="3"/>
          </rPr>
          <t>_x000D_
Últ estimativa : 300_x000D_
Enviada em     : 17.12.2020_x000D_
Ata - Venc     : 101/20 - 27.04.2021</t>
        </r>
      </text>
    </comment>
    <comment ref="O182" authorId="0" shapeId="0" xr:uid="{44FA6E70-3805-485A-A66E-FF214089643C}">
      <text>
        <r>
          <rPr>
            <sz val="10"/>
            <color indexed="81"/>
            <rFont val="Lucida Console"/>
            <family val="3"/>
          </rPr>
          <t>_x000D_
Pertencia a ATA nº 101/20_x000D_
Estimativa de Renovação enviada em 17.12.2020 - Qtd 300_x000D_
PE  16/20 lote 23_x000D_
18.05.20 = Processo conferido, finalizado.</t>
        </r>
      </text>
    </comment>
    <comment ref="W182" authorId="0" shapeId="0" xr:uid="{F8BF822D-0729-441F-AF4B-87DA1C5B4746}">
      <text>
        <r>
          <rPr>
            <sz val="10"/>
            <color indexed="81"/>
            <rFont val="Lucida Console"/>
            <family val="3"/>
          </rPr>
          <t>_x000D_
DM-Hidráulica</t>
        </r>
      </text>
    </comment>
    <comment ref="X182" authorId="0" shapeId="0" xr:uid="{188BF84C-B2F4-47F4-8C8C-60F388AC2D8C}">
      <text>
        <r>
          <rPr>
            <sz val="10"/>
            <color indexed="81"/>
            <rFont val="Lucida Console"/>
            <family val="3"/>
          </rPr>
          <t>_x000D_
MATERIAL HIDRAULICO, CANOS, TUBOS, MANGUEIRAS, CONEXOES E ACESS.</t>
        </r>
      </text>
    </comment>
    <comment ref="Y182" authorId="0" shapeId="0" xr:uid="{135C486E-3AFC-4A69-B5D8-9D6FEF0B2D7F}">
      <text>
        <r>
          <rPr>
            <sz val="10"/>
            <color indexed="81"/>
            <rFont val="Lucida Console"/>
            <family val="3"/>
          </rPr>
          <t>_x000D_
ADAP. LUVAS.TES CURVAS COTOVELOS PLUGS FLANGES.....</t>
        </r>
      </text>
    </comment>
    <comment ref="AW182" authorId="0" shapeId="0" xr:uid="{CA20030E-4BF9-49D1-9FF1-C6BC8BB57E09}">
      <text>
        <r>
          <rPr>
            <sz val="10"/>
            <color indexed="81"/>
            <rFont val="Lucida Console"/>
            <family val="3"/>
          </rPr>
          <t>Tempo de Estoque (Meses)_x000D_
_x000D_
175,0</t>
        </r>
      </text>
    </comment>
    <comment ref="A183" authorId="0" shapeId="0" xr:uid="{507C999F-4C8B-4BA5-8B4D-326E86C62F57}">
      <text>
        <r>
          <rPr>
            <sz val="10"/>
            <color indexed="81"/>
            <rFont val="Lucida Console"/>
            <family val="3"/>
          </rPr>
          <t>_x000D_
16956</t>
        </r>
      </text>
    </comment>
    <comment ref="B183" authorId="0" shapeId="0" xr:uid="{AF0500B9-8663-4F59-8CFD-E436BFB2A053}">
      <text>
        <r>
          <rPr>
            <sz val="10"/>
            <color indexed="81"/>
            <rFont val="Lucida Console"/>
            <family val="3"/>
          </rPr>
          <t>DESCRIÇÃO DETALHADA_x000D_
PLUG EM PVC RIGIDO ROSCAVEL DE 3/4"</t>
        </r>
      </text>
    </comment>
    <comment ref="G183" authorId="0" shapeId="0" xr:uid="{6AE8C3D3-9571-4505-9CA8-7ABB6508FFE5}">
      <text>
        <r>
          <rPr>
            <sz val="10"/>
            <color indexed="81"/>
            <rFont val="Lucida Console"/>
            <family val="3"/>
          </rPr>
          <t>_x000D_
Últ estimativa : 150_x000D_
Enviada em     : 17.12.2020_x000D_
Ata - Venc     : 101/20 - 27.04.2021</t>
        </r>
      </text>
    </comment>
    <comment ref="O183" authorId="0" shapeId="0" xr:uid="{FBD5ED5B-3A4C-4E3B-82BA-D8DEBB40C96F}">
      <text>
        <r>
          <rPr>
            <sz val="10"/>
            <color indexed="81"/>
            <rFont val="Lucida Console"/>
            <family val="3"/>
          </rPr>
          <t>_x000D_
Pertencia a ATA nº 101/20_x000D_
Estimativa de Renovação enviada em 17.12.2020 - Qtd 150_x000D_
PE  16/20 lote 28_x000D_
18.05.20 = Processo conferido, finalizado.</t>
        </r>
      </text>
    </comment>
    <comment ref="W183" authorId="0" shapeId="0" xr:uid="{95497D57-126E-4838-899C-225B360436D0}">
      <text>
        <r>
          <rPr>
            <sz val="10"/>
            <color indexed="81"/>
            <rFont val="Lucida Console"/>
            <family val="3"/>
          </rPr>
          <t>_x000D_
DM-Hidráulica</t>
        </r>
      </text>
    </comment>
    <comment ref="X183" authorId="0" shapeId="0" xr:uid="{A7A837E5-90DA-4E80-9A8D-76EBA2D8396F}">
      <text>
        <r>
          <rPr>
            <sz val="10"/>
            <color indexed="81"/>
            <rFont val="Lucida Console"/>
            <family val="3"/>
          </rPr>
          <t>_x000D_
MATERIAL HIDRAULICO, CANOS, TUBOS, MANGUEIRAS, CONEXOES E ACESS.</t>
        </r>
      </text>
    </comment>
    <comment ref="Y183" authorId="0" shapeId="0" xr:uid="{5E5C2F90-84E3-4BE3-9A2A-58D78EAB933B}">
      <text>
        <r>
          <rPr>
            <sz val="10"/>
            <color indexed="81"/>
            <rFont val="Lucida Console"/>
            <family val="3"/>
          </rPr>
          <t>_x000D_
ADAP. LUVAS.TES CURVAS COTOVELOS PLUGS FLANGES.....</t>
        </r>
      </text>
    </comment>
    <comment ref="AW183" authorId="0" shapeId="0" xr:uid="{A379BD09-9287-4F3F-8A36-5796BFE3D75A}">
      <text>
        <r>
          <rPr>
            <sz val="10"/>
            <color indexed="81"/>
            <rFont val="Lucida Console"/>
            <family val="3"/>
          </rPr>
          <t>Tempo de Estoque (Meses)_x000D_
_x000D_
143,0</t>
        </r>
      </text>
    </comment>
    <comment ref="A184" authorId="0" shapeId="0" xr:uid="{2D8C6B99-578D-4456-80A3-88AED8200EF5}">
      <text>
        <r>
          <rPr>
            <sz val="10"/>
            <color indexed="81"/>
            <rFont val="Lucida Console"/>
            <family val="3"/>
          </rPr>
          <t>_x000D_
16978</t>
        </r>
      </text>
    </comment>
    <comment ref="B184" authorId="0" shapeId="0" xr:uid="{F15CDC86-7350-491D-93C9-56A9F4A98CBC}">
      <text>
        <r>
          <rPr>
            <sz val="10"/>
            <color indexed="81"/>
            <rFont val="Lucida Console"/>
            <family val="3"/>
          </rPr>
          <t>DESCRIÇÃO DETALHADA_x000D_
PLUG EM PVC RIGIDO ROSCAVEL DE 1/2"</t>
        </r>
      </text>
    </comment>
    <comment ref="G184" authorId="0" shapeId="0" xr:uid="{8207FF30-050B-4D00-B23B-362C0ED45CA7}">
      <text>
        <r>
          <rPr>
            <sz val="10"/>
            <color indexed="81"/>
            <rFont val="Lucida Console"/>
            <family val="3"/>
          </rPr>
          <t>_x000D_
Últ estimativa : 500_x000D_
Enviada em     : 17.12.2020_x000D_
Ata - Venc     : 101/20 - 27.04.2021</t>
        </r>
      </text>
    </comment>
    <comment ref="O184" authorId="0" shapeId="0" xr:uid="{F02C24D0-3575-4AB6-B871-925F2ED6402A}">
      <text>
        <r>
          <rPr>
            <sz val="10"/>
            <color indexed="81"/>
            <rFont val="Lucida Console"/>
            <family val="3"/>
          </rPr>
          <t>_x000D_
Pertencia a ATA nº 101/20_x000D_
Estimativa de Renovação enviada em 17.12.2020 - Qtd 500_x000D_
PE  16/20 lote 29_x000D_
18.05.20 = Processo conferido, finalizado.</t>
        </r>
      </text>
    </comment>
    <comment ref="W184" authorId="0" shapeId="0" xr:uid="{C3A40675-A615-4DD9-B385-5E1FD9991FFA}">
      <text>
        <r>
          <rPr>
            <sz val="10"/>
            <color indexed="81"/>
            <rFont val="Lucida Console"/>
            <family val="3"/>
          </rPr>
          <t>_x000D_
DM-Hidráulica</t>
        </r>
      </text>
    </comment>
    <comment ref="X184" authorId="0" shapeId="0" xr:uid="{04162D08-09B0-4E6A-A725-D98BAEF93FDD}">
      <text>
        <r>
          <rPr>
            <sz val="10"/>
            <color indexed="81"/>
            <rFont val="Lucida Console"/>
            <family val="3"/>
          </rPr>
          <t>_x000D_
MATERIAL HIDRAULICO, CANOS, TUBOS, MANGUEIRAS, CONEXOES E ACESS.</t>
        </r>
      </text>
    </comment>
    <comment ref="Y184" authorId="0" shapeId="0" xr:uid="{6926AD13-445C-43FB-92B4-ADFAE1004E83}">
      <text>
        <r>
          <rPr>
            <sz val="10"/>
            <color indexed="81"/>
            <rFont val="Lucida Console"/>
            <family val="3"/>
          </rPr>
          <t>_x000D_
ADAP. LUVAS.TES CURVAS COTOVELOS PLUGS FLANGES.....</t>
        </r>
      </text>
    </comment>
    <comment ref="AW184" authorId="0" shapeId="0" xr:uid="{59EF1CA3-6B58-4104-9AF2-08ADAFBB7058}">
      <text>
        <r>
          <rPr>
            <sz val="10"/>
            <color indexed="81"/>
            <rFont val="Lucida Console"/>
            <family val="3"/>
          </rPr>
          <t>Tempo de Estoque (Meses)_x000D_
_x000D_
868,0</t>
        </r>
      </text>
    </comment>
    <comment ref="A185" authorId="0" shapeId="0" xr:uid="{F8BBB60E-5AEB-4DA5-8872-C1FB07BCDD37}">
      <text>
        <r>
          <rPr>
            <sz val="10"/>
            <color indexed="81"/>
            <rFont val="Lucida Console"/>
            <family val="3"/>
          </rPr>
          <t>_x000D_
28306</t>
        </r>
      </text>
    </comment>
    <comment ref="B185" authorId="0" shapeId="0" xr:uid="{BF395513-2107-4559-8C57-DAA988094066}">
      <text>
        <r>
          <rPr>
            <sz val="10"/>
            <color indexed="81"/>
            <rFont val="Lucida Console"/>
            <family val="3"/>
          </rPr>
          <t xml:space="preserve">DESCRIÇÃO DETALHADA_x000D_
UNIAO PVC COLA MARROM DE 1.1/2", DE ACORDO COM A NORMA NBR 5648 E A MARCA DEVERA VIR LITOGRAFADA NA PECA </t>
        </r>
      </text>
    </comment>
    <comment ref="G185" authorId="0" shapeId="0" xr:uid="{06CD6A61-E44C-4BF8-B723-047DCB7968A4}">
      <text>
        <r>
          <rPr>
            <sz val="10"/>
            <color indexed="81"/>
            <rFont val="Lucida Console"/>
            <family val="3"/>
          </rPr>
          <t>_x000D_
Últ estimativa : 80_x000D_
Enviada em     : 17.12.2020_x000D_
Ata - Venc     : 101/20 - 27.04.2021</t>
        </r>
      </text>
    </comment>
    <comment ref="O185" authorId="0" shapeId="0" xr:uid="{8784DC72-083C-4A77-8617-7BA9243B61D6}">
      <text>
        <r>
          <rPr>
            <sz val="10"/>
            <color indexed="81"/>
            <rFont val="Lucida Console"/>
            <family val="3"/>
          </rPr>
          <t>_x000D_
Pertencia a ATA nº 101/20_x000D_
Estimativa de Renovação enviada em 17.12.2020 - Qtd 80_x000D_
PE  16/20 lote 32_x000D_
18.05.20 = Processo conferido, finalizado.</t>
        </r>
      </text>
    </comment>
    <comment ref="W185" authorId="0" shapeId="0" xr:uid="{A4930489-F4BB-4660-A38B-CB5AE3BD65BB}">
      <text>
        <r>
          <rPr>
            <sz val="10"/>
            <color indexed="81"/>
            <rFont val="Lucida Console"/>
            <family val="3"/>
          </rPr>
          <t>_x000D_
DM-Hidráulica</t>
        </r>
      </text>
    </comment>
    <comment ref="X185" authorId="0" shapeId="0" xr:uid="{B3E3013C-8736-46BF-A7A7-82728B3A1D2C}">
      <text>
        <r>
          <rPr>
            <sz val="10"/>
            <color indexed="81"/>
            <rFont val="Lucida Console"/>
            <family val="3"/>
          </rPr>
          <t>_x000D_
MATERIAL HIDRAULICO, CANOS, TUBOS, MANGUEIRAS, CONEXOES E ACESS.</t>
        </r>
      </text>
    </comment>
    <comment ref="Y185" authorId="0" shapeId="0" xr:uid="{1FCE0568-6201-4769-AFC8-7A6EB97C885F}">
      <text>
        <r>
          <rPr>
            <sz val="10"/>
            <color indexed="81"/>
            <rFont val="Lucida Console"/>
            <family val="3"/>
          </rPr>
          <t>_x000D_
ADAP. LUVAS.TES CURVAS COTOVELOS PLUGS FLANGES.....</t>
        </r>
      </text>
    </comment>
    <comment ref="AW185" authorId="0" shapeId="0" xr:uid="{38686E9A-A896-4F86-8694-FE2C25AA49D0}">
      <text>
        <r>
          <rPr>
            <sz val="10"/>
            <color indexed="81"/>
            <rFont val="Lucida Console"/>
            <family val="3"/>
          </rPr>
          <t>Tempo de Estoque (Meses)_x000D_
_x000D_
153,0</t>
        </r>
      </text>
    </comment>
    <comment ref="A186" authorId="0" shapeId="0" xr:uid="{1CA8D7E6-A835-44FA-B8EC-69C9D6C75498}">
      <text>
        <r>
          <rPr>
            <sz val="10"/>
            <color indexed="81"/>
            <rFont val="Lucida Console"/>
            <family val="3"/>
          </rPr>
          <t>_x000D_
28308</t>
        </r>
      </text>
    </comment>
    <comment ref="B186" authorId="0" shapeId="0" xr:uid="{401D2B1D-C87D-45F1-894A-4C3A4F3F89E1}">
      <text>
        <r>
          <rPr>
            <sz val="10"/>
            <color indexed="81"/>
            <rFont val="Lucida Console"/>
            <family val="3"/>
          </rPr>
          <t>DESCRIÇÃO DETALHADA_x000D_
UNIAO PVC COLA MARROM DE 1", DE ACORDO COM A NORMA NBR 5648 E A MARCA DEVERA VIR LITOGRAFADA NA PECA</t>
        </r>
      </text>
    </comment>
    <comment ref="G186" authorId="0" shapeId="0" xr:uid="{EE465999-FE64-439C-9CB3-BE850A8C3436}">
      <text>
        <r>
          <rPr>
            <sz val="10"/>
            <color indexed="81"/>
            <rFont val="Lucida Console"/>
            <family val="3"/>
          </rPr>
          <t>_x000D_
Últ estimativa : 50_x000D_
Enviada em     : 17.12.2020_x000D_
Ata - Venc     : 101/20 - 27.04.2021</t>
        </r>
      </text>
    </comment>
    <comment ref="O186" authorId="0" shapeId="0" xr:uid="{7124A196-307B-4AFF-A3F9-3BD2A01DEAE7}">
      <text>
        <r>
          <rPr>
            <sz val="10"/>
            <color indexed="81"/>
            <rFont val="Lucida Console"/>
            <family val="3"/>
          </rPr>
          <t>_x000D_
Pertencia a ATA nº 101/20_x000D_
Estimativa de Renovação enviada em 17.12.2020 - Qtd 50_x000D_
PE  16/20 lote 33_x000D_
18.05.20 = Processo conferido, finalizado.</t>
        </r>
      </text>
    </comment>
    <comment ref="W186" authorId="0" shapeId="0" xr:uid="{5BBD9F4B-4F23-432F-9DD3-5B4DF65C5FB4}">
      <text>
        <r>
          <rPr>
            <sz val="10"/>
            <color indexed="81"/>
            <rFont val="Lucida Console"/>
            <family val="3"/>
          </rPr>
          <t>_x000D_
DM-Hidráulica</t>
        </r>
      </text>
    </comment>
    <comment ref="X186" authorId="0" shapeId="0" xr:uid="{51A0CD8E-CD93-4878-900C-CE671798F4BD}">
      <text>
        <r>
          <rPr>
            <sz val="10"/>
            <color indexed="81"/>
            <rFont val="Lucida Console"/>
            <family val="3"/>
          </rPr>
          <t>_x000D_
MATERIAL HIDRAULICO, CANOS, TUBOS, MANGUEIRAS, CONEXOES E ACESS.</t>
        </r>
      </text>
    </comment>
    <comment ref="Y186" authorId="0" shapeId="0" xr:uid="{DE99598D-8ACD-4A07-A592-82B4C94E408D}">
      <text>
        <r>
          <rPr>
            <sz val="10"/>
            <color indexed="81"/>
            <rFont val="Lucida Console"/>
            <family val="3"/>
          </rPr>
          <t>_x000D_
ADAP. LUVAS.TES CURVAS COTOVELOS PLUGS FLANGES.....</t>
        </r>
      </text>
    </comment>
    <comment ref="AW186" authorId="0" shapeId="0" xr:uid="{405275EF-3311-4B7E-9814-6381493993EA}">
      <text>
        <r>
          <rPr>
            <sz val="10"/>
            <color indexed="81"/>
            <rFont val="Lucida Console"/>
            <family val="3"/>
          </rPr>
          <t>Tempo de Estoque (Meses)_x000D_
_x000D_
94,0</t>
        </r>
      </text>
    </comment>
    <comment ref="A187" authorId="0" shapeId="0" xr:uid="{7E14767B-B9AE-4E82-BFCF-019011483EB8}">
      <text>
        <r>
          <rPr>
            <sz val="10"/>
            <color indexed="81"/>
            <rFont val="Lucida Console"/>
            <family val="3"/>
          </rPr>
          <t>_x000D_
52994</t>
        </r>
      </text>
    </comment>
    <comment ref="B187" authorId="0" shapeId="0" xr:uid="{0B7B69E6-5FCE-4B2A-945A-662EE88E9B70}">
      <text>
        <r>
          <rPr>
            <sz val="10"/>
            <color indexed="81"/>
            <rFont val="Lucida Console"/>
            <family val="3"/>
          </rPr>
          <t>DESCRIÇÃO DETALHADA_x000D_
LUVA DE REDUCAO EM PVC MARROM DE 1.1/2" X 1.1/4". A MARCA DEVERA VIR LITOGRAFADA NA PECA.</t>
        </r>
      </text>
    </comment>
    <comment ref="G187" authorId="0" shapeId="0" xr:uid="{67A4E671-E593-428B-92FC-E67DEF7ADE80}">
      <text>
        <r>
          <rPr>
            <sz val="10"/>
            <color indexed="81"/>
            <rFont val="Lucida Console"/>
            <family val="3"/>
          </rPr>
          <t>_x000D_
Últ estimativa : 100_x000D_
Enviada em     : 17.12.2020_x000D_
Ata - Venc     : 101/20 - 27.04.2021</t>
        </r>
      </text>
    </comment>
    <comment ref="O187" authorId="0" shapeId="0" xr:uid="{B32BE348-A8A2-4F94-98D7-2732E779A011}">
      <text>
        <r>
          <rPr>
            <sz val="10"/>
            <color indexed="81"/>
            <rFont val="Lucida Console"/>
            <family val="3"/>
          </rPr>
          <t>_x000D_
Pertencia a ATA nº 101/20_x000D_
Estimativa de Renovação enviada em 17.12.2020 - Qtd 100_x000D_
PE  16/20 lote 39_x000D_
18.05.20 = Processo conferido, finalizado.</t>
        </r>
      </text>
    </comment>
    <comment ref="W187" authorId="0" shapeId="0" xr:uid="{2560C3B8-5DF0-43D4-8CA9-C60CB1CEE0F0}">
      <text>
        <r>
          <rPr>
            <sz val="10"/>
            <color indexed="81"/>
            <rFont val="Lucida Console"/>
            <family val="3"/>
          </rPr>
          <t>_x000D_
DM-Hidráulica</t>
        </r>
      </text>
    </comment>
    <comment ref="X187" authorId="0" shapeId="0" xr:uid="{5D1BB4E5-1BCE-4D71-A295-99D6D728D8F5}">
      <text>
        <r>
          <rPr>
            <sz val="10"/>
            <color indexed="81"/>
            <rFont val="Lucida Console"/>
            <family val="3"/>
          </rPr>
          <t>_x000D_
MATERIAL HIDRAULICO, CANOS, TUBOS, MANGUEIRAS, CONEXOES E ACESS.</t>
        </r>
      </text>
    </comment>
    <comment ref="Y187" authorId="0" shapeId="0" xr:uid="{6A2D3DCA-5976-4A9E-9739-A09DABB099F2}">
      <text>
        <r>
          <rPr>
            <sz val="10"/>
            <color indexed="81"/>
            <rFont val="Lucida Console"/>
            <family val="3"/>
          </rPr>
          <t>_x000D_
ADAP. LUVAS.TES CURVAS COTOVELOS PLUGS FLANGES.....</t>
        </r>
      </text>
    </comment>
    <comment ref="AW187" authorId="0" shapeId="0" xr:uid="{F349EFEC-7198-4DE9-A964-4FC518196721}">
      <text>
        <r>
          <rPr>
            <sz val="10"/>
            <color indexed="81"/>
            <rFont val="Lucida Console"/>
            <family val="3"/>
          </rPr>
          <t>Tempo de Estoque (Meses)_x000D_
_x000D_
164,0</t>
        </r>
      </text>
    </comment>
    <comment ref="A188" authorId="0" shapeId="0" xr:uid="{FEB680F6-C9DB-44C5-AD82-380C044E804B}">
      <text>
        <r>
          <rPr>
            <sz val="10"/>
            <color indexed="81"/>
            <rFont val="Lucida Console"/>
            <family val="3"/>
          </rPr>
          <t>_x000D_
61201</t>
        </r>
      </text>
    </comment>
    <comment ref="B188" authorId="0" shapeId="0" xr:uid="{A82102E9-EECB-4D4E-9D72-0371D3A21E8A}">
      <text>
        <r>
          <rPr>
            <sz val="10"/>
            <color indexed="81"/>
            <rFont val="Lucida Console"/>
            <family val="3"/>
          </rPr>
          <t xml:space="preserve">DESCRIÇÃO DETALHADA_x000D_
LUVA DE PVC SOLDAVEL / ROSQUEAVEL AZUL - 3/4", DE ACORDO COM A NORMA NBR 5648 E A MARCA DEVERA VIR LITOGRAFADA NA PECA   </t>
        </r>
      </text>
    </comment>
    <comment ref="G188" authorId="0" shapeId="0" xr:uid="{77D16ADD-152E-4658-84BA-0D01F5B48ECE}">
      <text>
        <r>
          <rPr>
            <sz val="10"/>
            <color indexed="81"/>
            <rFont val="Lucida Console"/>
            <family val="3"/>
          </rPr>
          <t>_x000D_
Últ estimativa : 200_x000D_
Enviada em     : 17.12.2020_x000D_
Ata - Venc     : 101/20 - 27.04.2021</t>
        </r>
      </text>
    </comment>
    <comment ref="O188" authorId="0" shapeId="0" xr:uid="{E72AB2CD-FA89-4867-A23D-B007AB43AD24}">
      <text>
        <r>
          <rPr>
            <sz val="10"/>
            <color indexed="81"/>
            <rFont val="Lucida Console"/>
            <family val="3"/>
          </rPr>
          <t>_x000D_
Pertencia a ATA nº 101/20_x000D_
Estimativa de Renovação enviada em 17.12.2020 - Qtd 200_x000D_
PE  16/20 lote 63_x000D_
18.05.20 = Processo conferido, finalizado.</t>
        </r>
      </text>
    </comment>
    <comment ref="W188" authorId="0" shapeId="0" xr:uid="{EDE6CAB0-A570-47AC-9541-9B6A8524EE37}">
      <text>
        <r>
          <rPr>
            <sz val="10"/>
            <color indexed="81"/>
            <rFont val="Lucida Console"/>
            <family val="3"/>
          </rPr>
          <t>_x000D_
DM-Hidráulica</t>
        </r>
      </text>
    </comment>
    <comment ref="X188" authorId="0" shapeId="0" xr:uid="{2A971780-634D-4F02-8786-E1A8D53465FF}">
      <text>
        <r>
          <rPr>
            <sz val="10"/>
            <color indexed="81"/>
            <rFont val="Lucida Console"/>
            <family val="3"/>
          </rPr>
          <t>_x000D_
MATERIAL HIDRAULICO, CANOS, TUBOS, MANGUEIRAS, CONEXOES E ACESS.</t>
        </r>
      </text>
    </comment>
    <comment ref="Y188" authorId="0" shapeId="0" xr:uid="{C6361094-5E1C-483E-98DF-40827F957CCB}">
      <text>
        <r>
          <rPr>
            <sz val="10"/>
            <color indexed="81"/>
            <rFont val="Lucida Console"/>
            <family val="3"/>
          </rPr>
          <t>_x000D_
ADAP. LUVAS.TES CURVAS COTOVELOS PLUGS FLANGES.....</t>
        </r>
      </text>
    </comment>
    <comment ref="AW188" authorId="0" shapeId="0" xr:uid="{84A7D90F-4157-4D1C-B8C9-4679D69EA39E}">
      <text>
        <r>
          <rPr>
            <sz val="10"/>
            <color indexed="81"/>
            <rFont val="Lucida Console"/>
            <family val="3"/>
          </rPr>
          <t>Tempo de Estoque (Meses)_x000D_
_x000D_
1.260,0</t>
        </r>
      </text>
    </comment>
    <comment ref="A189" authorId="0" shapeId="0" xr:uid="{20D067B7-821C-4D34-9B64-855D9BC1F31F}">
      <text>
        <r>
          <rPr>
            <sz val="10"/>
            <color indexed="81"/>
            <rFont val="Lucida Console"/>
            <family val="3"/>
          </rPr>
          <t>_x000D_
77109</t>
        </r>
      </text>
    </comment>
    <comment ref="B189" authorId="0" shapeId="0" xr:uid="{8F23B1D5-735F-4ACB-BC95-6D17971B4C58}">
      <text>
        <r>
          <rPr>
            <sz val="10"/>
            <color indexed="81"/>
            <rFont val="Lucida Console"/>
            <family val="3"/>
          </rPr>
          <t>DESCRIÇÃO DETALHADA_x000D_
CAP EM PVC DE 3/4 PARA AGUA MARROM - 25MM - DE ACORDO COM A NBR 5648, SENDO QUE A MARCA, MEDIDA E NBR DEVERAO VIR LITOGRAFADA NA PECA</t>
        </r>
      </text>
    </comment>
    <comment ref="G189" authorId="0" shapeId="0" xr:uid="{4D034EA9-C82B-44A3-B71A-C755212A361D}">
      <text>
        <r>
          <rPr>
            <sz val="10"/>
            <color indexed="81"/>
            <rFont val="Lucida Console"/>
            <family val="3"/>
          </rPr>
          <t>_x000D_
Últ estimativa : 200_x000D_
Enviada em     : 17.12.2020_x000D_
Ata - Venc     : 101/20 - 27.04.2021</t>
        </r>
      </text>
    </comment>
    <comment ref="O189" authorId="0" shapeId="0" xr:uid="{7201AF40-9210-4CD5-8C47-9146973F0DC4}">
      <text>
        <r>
          <rPr>
            <sz val="10"/>
            <color indexed="81"/>
            <rFont val="Lucida Console"/>
            <family val="3"/>
          </rPr>
          <t>_x000D_
Pertencia a ATA nº 101/20_x000D_
Estimativa de Renovação enviada em 17.12.2020 - Qtd 200_x000D_
PE  16/20 lote 71_x000D_
18.05.20 = Processo conferido, finalizado.</t>
        </r>
      </text>
    </comment>
    <comment ref="W189" authorId="0" shapeId="0" xr:uid="{B8C4C988-EE9F-44CA-937D-132CE950E858}">
      <text>
        <r>
          <rPr>
            <sz val="10"/>
            <color indexed="81"/>
            <rFont val="Lucida Console"/>
            <family val="3"/>
          </rPr>
          <t>_x000D_
DM-Hidráulica</t>
        </r>
      </text>
    </comment>
    <comment ref="X189" authorId="0" shapeId="0" xr:uid="{02AE1E0B-5E02-4723-8BC4-7C75DA62DB30}">
      <text>
        <r>
          <rPr>
            <sz val="10"/>
            <color indexed="81"/>
            <rFont val="Lucida Console"/>
            <family val="3"/>
          </rPr>
          <t>_x000D_
MATERIAL HIDRAULICO, CANOS, TUBOS, MANGUEIRAS, CONEXOES E ACESS.</t>
        </r>
      </text>
    </comment>
    <comment ref="Y189" authorId="0" shapeId="0" xr:uid="{903626EA-A1DF-42AB-AFCA-113A9A69A6F1}">
      <text>
        <r>
          <rPr>
            <sz val="10"/>
            <color indexed="81"/>
            <rFont val="Lucida Console"/>
            <family val="3"/>
          </rPr>
          <t>_x000D_
ADAP. LUVAS.TES CURVAS COTOVELOS PLUGS FLANGES.....</t>
        </r>
      </text>
    </comment>
    <comment ref="AW189" authorId="0" shapeId="0" xr:uid="{471CDE98-BDFE-432F-A0E9-8A605A99E7F5}">
      <text>
        <r>
          <rPr>
            <sz val="10"/>
            <color indexed="81"/>
            <rFont val="Lucida Console"/>
            <family val="3"/>
          </rPr>
          <t>Tempo de Estoque (Meses)_x000D_
_x000D_
181,0</t>
        </r>
      </text>
    </comment>
    <comment ref="A190" authorId="0" shapeId="0" xr:uid="{A743911C-B302-4303-B053-5AAF225D46B3}">
      <text>
        <r>
          <rPr>
            <sz val="10"/>
            <color indexed="81"/>
            <rFont val="Lucida Console"/>
            <family val="3"/>
          </rPr>
          <t>_x000D_
95121</t>
        </r>
      </text>
    </comment>
    <comment ref="B190" authorId="0" shapeId="0" xr:uid="{5B8BC3F0-7811-4EBA-8212-347AC02A52C4}">
      <text>
        <r>
          <rPr>
            <sz val="10"/>
            <color indexed="81"/>
            <rFont val="Lucida Console"/>
            <family val="3"/>
          </rPr>
          <t xml:space="preserve">DESCRIÇÃO DETALHADA_x000D_
JOELHO 45° DE PVC SOLDAVEL PARA AGUA, MARROM, 25 MM, DE ACORDO COM A NORMA NBR 5648 E A MARCA DEVERA VIR LITOGRAFADA NA PECA </t>
        </r>
      </text>
    </comment>
    <comment ref="G190" authorId="0" shapeId="0" xr:uid="{4DC6A5EB-9F52-4A6F-8532-5E4685B206A9}">
      <text>
        <r>
          <rPr>
            <sz val="10"/>
            <color indexed="81"/>
            <rFont val="Lucida Console"/>
            <family val="3"/>
          </rPr>
          <t>_x000D_
Últ estimativa : 300_x000D_
Enviada em     : 17.12.2020_x000D_
Ata - Venc     : 101/20 - 27.04.2021</t>
        </r>
      </text>
    </comment>
    <comment ref="O190" authorId="0" shapeId="0" xr:uid="{10BCEC99-DF5E-4D70-8591-143A2694A44D}">
      <text>
        <r>
          <rPr>
            <sz val="10"/>
            <color indexed="81"/>
            <rFont val="Lucida Console"/>
            <family val="3"/>
          </rPr>
          <t>_x000D_
Pertencia a ATA nº 101/20_x000D_
Estimativa de Renovação enviada em 17.12.2020 - Qtd 300_x000D_
PE  16/20 lote 83_x000D_
18.05.20 = Processo conferido, finalizado.</t>
        </r>
      </text>
    </comment>
    <comment ref="W190" authorId="0" shapeId="0" xr:uid="{BB1EFD10-5E4D-4AC3-AFFF-9D3542A24033}">
      <text>
        <r>
          <rPr>
            <sz val="10"/>
            <color indexed="81"/>
            <rFont val="Lucida Console"/>
            <family val="3"/>
          </rPr>
          <t>_x000D_
DM-Hidráulica</t>
        </r>
      </text>
    </comment>
    <comment ref="X190" authorId="0" shapeId="0" xr:uid="{13F47E61-81AE-46ED-AACC-BA09C93610F3}">
      <text>
        <r>
          <rPr>
            <sz val="10"/>
            <color indexed="81"/>
            <rFont val="Lucida Console"/>
            <family val="3"/>
          </rPr>
          <t>_x000D_
MATERIAL HIDRAULICO, CANOS, TUBOS, MANGUEIRAS, CONEXOES E ACESS.</t>
        </r>
      </text>
    </comment>
    <comment ref="Y190" authorId="0" shapeId="0" xr:uid="{9A4AFC19-C8E3-42BE-A486-2F03EB93569E}">
      <text>
        <r>
          <rPr>
            <sz val="10"/>
            <color indexed="81"/>
            <rFont val="Lucida Console"/>
            <family val="3"/>
          </rPr>
          <t>_x000D_
ADAP. LUVAS.TES CURVAS COTOVELOS PLUGS FLANGES.....</t>
        </r>
      </text>
    </comment>
    <comment ref="AW190" authorId="0" shapeId="0" xr:uid="{C21B6614-F6B4-4368-AB2C-C5C8F5B01A8E}">
      <text>
        <r>
          <rPr>
            <sz val="10"/>
            <color indexed="81"/>
            <rFont val="Lucida Console"/>
            <family val="3"/>
          </rPr>
          <t>Tempo de Estoque (Meses)_x000D_
_x000D_
200,0</t>
        </r>
      </text>
    </comment>
    <comment ref="A191" authorId="0" shapeId="0" xr:uid="{CA49E52B-5A29-4E3C-AB7F-22EB02CEC8EF}">
      <text>
        <r>
          <rPr>
            <sz val="10"/>
            <color indexed="81"/>
            <rFont val="Lucida Console"/>
            <family val="3"/>
          </rPr>
          <t>_x000D_
15051</t>
        </r>
      </text>
    </comment>
    <comment ref="B191" authorId="0" shapeId="0" xr:uid="{64AC0A17-0980-4624-A479-8A1510006D2D}">
      <text>
        <r>
          <rPr>
            <sz val="10"/>
            <color indexed="81"/>
            <rFont val="Lucida Console"/>
            <family val="3"/>
          </rPr>
          <t>DESCRIÇÃO DETALHADA_x000D_
RALO SIFONADO EM PVC DE 100 X 40 MM (1 1/2")</t>
        </r>
      </text>
    </comment>
    <comment ref="G191" authorId="0" shapeId="0" xr:uid="{70388C61-3D00-4ED2-BA99-5C735B5C1DDC}">
      <text>
        <r>
          <rPr>
            <sz val="10"/>
            <color indexed="81"/>
            <rFont val="Lucida Console"/>
            <family val="3"/>
          </rPr>
          <t>_x000D_
Últ estimativa : 100_x000D_
Enviada em     : 17.12.2020_x000D_
Ata - Venc     : 101/20 - 27.04.2021</t>
        </r>
      </text>
    </comment>
    <comment ref="O191" authorId="0" shapeId="0" xr:uid="{AA31D017-A01F-4C69-8BB6-3A9E4D601764}">
      <text>
        <r>
          <rPr>
            <sz val="10"/>
            <color indexed="81"/>
            <rFont val="Lucida Console"/>
            <family val="3"/>
          </rPr>
          <t>_x000D_
Pertencia a ATA nº 101/20_x000D_
Estimativa de Renovação enviada em 17.12.2020 - Qtd 100_x000D_
PE  16/20 lote _x000D_
18.05.20 = Processo conferido, finalizado.</t>
        </r>
      </text>
    </comment>
    <comment ref="W191" authorId="0" shapeId="0" xr:uid="{4FAE4B1E-E467-4430-8BF0-8E3C31D4817E}">
      <text>
        <r>
          <rPr>
            <sz val="10"/>
            <color indexed="81"/>
            <rFont val="Lucida Console"/>
            <family val="3"/>
          </rPr>
          <t>_x000D_
DM-Hidráulica</t>
        </r>
      </text>
    </comment>
    <comment ref="X191" authorId="0" shapeId="0" xr:uid="{80133641-7B11-44C9-B1DB-144E24F43C94}">
      <text>
        <r>
          <rPr>
            <sz val="10"/>
            <color indexed="81"/>
            <rFont val="Lucida Console"/>
            <family val="3"/>
          </rPr>
          <t>_x000D_
MATERIAL HIDRAULICO, CANOS, TUBOS, MANGUEIRAS, CONEXOES E ACESS.</t>
        </r>
      </text>
    </comment>
    <comment ref="Y191" authorId="0" shapeId="0" xr:uid="{CFC166CB-221E-4A2F-8C7A-933D80FE4B9D}">
      <text>
        <r>
          <rPr>
            <sz val="10"/>
            <color indexed="81"/>
            <rFont val="Lucida Console"/>
            <family val="3"/>
          </rPr>
          <t>_x000D_
RALOS SIFOES E CAIXAS</t>
        </r>
      </text>
    </comment>
    <comment ref="AW191" authorId="0" shapeId="0" xr:uid="{2AE6C57F-345B-4396-9BB9-F39C6561F90F}">
      <text>
        <r>
          <rPr>
            <sz val="10"/>
            <color indexed="81"/>
            <rFont val="Lucida Console"/>
            <family val="3"/>
          </rPr>
          <t>Tempo de Estoque (Meses)_x000D_
_x000D_
51,0</t>
        </r>
      </text>
    </comment>
    <comment ref="A192" authorId="0" shapeId="0" xr:uid="{26CE60D0-5ADA-425C-91C7-27D2508C0B29}">
      <text>
        <r>
          <rPr>
            <sz val="10"/>
            <color indexed="81"/>
            <rFont val="Lucida Console"/>
            <family val="3"/>
          </rPr>
          <t>_x000D_
63031</t>
        </r>
      </text>
    </comment>
    <comment ref="B192" authorId="0" shapeId="0" xr:uid="{7F46DA40-5D57-4171-987D-1367C1FDF1B5}">
      <text>
        <r>
          <rPr>
            <sz val="10"/>
            <color indexed="81"/>
            <rFont val="Lucida Console"/>
            <family val="3"/>
          </rPr>
          <t xml:space="preserve">DESCRIÇÃO DETALHADA_x000D_
SIFAO SANFONADO UNIVERSAL </t>
        </r>
      </text>
    </comment>
    <comment ref="G192" authorId="0" shapeId="0" xr:uid="{E9AA5E54-4961-4E57-BFC4-74914F018B36}">
      <text>
        <r>
          <rPr>
            <sz val="10"/>
            <color indexed="81"/>
            <rFont val="Lucida Console"/>
            <family val="3"/>
          </rPr>
          <t>_x000D_
Últ estimativa : 1.000_x000D_
Enviada em     : 17.12.2020_x000D_
Ata - Venc     : 101/20 - 27.04.2021</t>
        </r>
      </text>
    </comment>
    <comment ref="O192" authorId="0" shapeId="0" xr:uid="{067CE283-B7E7-4380-ADF9-79CE66230CBC}">
      <text>
        <r>
          <rPr>
            <sz val="10"/>
            <color indexed="81"/>
            <rFont val="Lucida Console"/>
            <family val="3"/>
          </rPr>
          <t xml:space="preserve">_x000D_
Pertencia a ATA nº 101/20_x000D_
Estimativa de Renovação enviada em 17.12.2020 - Qtd 1.000_x000D_
PE 182/21 lote _x000D_
 = </t>
        </r>
      </text>
    </comment>
    <comment ref="W192" authorId="0" shapeId="0" xr:uid="{D8D88A27-5F87-4561-8456-E3A562453AFB}">
      <text>
        <r>
          <rPr>
            <sz val="10"/>
            <color indexed="81"/>
            <rFont val="Lucida Console"/>
            <family val="3"/>
          </rPr>
          <t>_x000D_
DM-Hidráulica</t>
        </r>
      </text>
    </comment>
    <comment ref="X192" authorId="0" shapeId="0" xr:uid="{3D81AD68-BE8B-46BB-89EF-82B45E75119C}">
      <text>
        <r>
          <rPr>
            <sz val="10"/>
            <color indexed="81"/>
            <rFont val="Lucida Console"/>
            <family val="3"/>
          </rPr>
          <t>_x000D_
MATERIAL HIDRAULICO, CANOS, TUBOS, MANGUEIRAS, CONEXOES E ACESS.</t>
        </r>
      </text>
    </comment>
    <comment ref="Y192" authorId="0" shapeId="0" xr:uid="{F2870EDB-3D18-43D8-9578-2330F1E260F9}">
      <text>
        <r>
          <rPr>
            <sz val="10"/>
            <color indexed="81"/>
            <rFont val="Lucida Console"/>
            <family val="3"/>
          </rPr>
          <t>_x000D_
RALOS SIFOES E CAIXAS</t>
        </r>
      </text>
    </comment>
    <comment ref="AW192" authorId="0" shapeId="0" xr:uid="{79E549CA-722F-4BD8-8700-162620F489A2}">
      <text>
        <r>
          <rPr>
            <sz val="10"/>
            <color indexed="81"/>
            <rFont val="Lucida Console"/>
            <family val="3"/>
          </rPr>
          <t>Tempo de Estoque (Meses)_x000D_
_x000D_
644,0</t>
        </r>
      </text>
    </comment>
    <comment ref="A193" authorId="0" shapeId="0" xr:uid="{AC5FAB62-814D-488F-B7A1-8DB22FC3D117}">
      <text>
        <r>
          <rPr>
            <sz val="10"/>
            <color indexed="81"/>
            <rFont val="Lucida Console"/>
            <family val="3"/>
          </rPr>
          <t>_x000D_
13161</t>
        </r>
      </text>
    </comment>
    <comment ref="B193" authorId="0" shapeId="0" xr:uid="{73BC5C7E-6869-4329-9AF0-A783B729965C}">
      <text>
        <r>
          <rPr>
            <sz val="10"/>
            <color indexed="81"/>
            <rFont val="Lucida Console"/>
            <family val="3"/>
          </rPr>
          <t>DESCRIÇÃO DETALHADA_x000D_
TORNEIRA DE MESA, EM LATAO CROMADO, 1/2", P/ LAVATORIO</t>
        </r>
      </text>
    </comment>
    <comment ref="G193" authorId="0" shapeId="0" xr:uid="{ED6E91D7-6E8D-41AA-BF50-8C7F5D913457}">
      <text>
        <r>
          <rPr>
            <sz val="10"/>
            <color indexed="81"/>
            <rFont val="Lucida Console"/>
            <family val="3"/>
          </rPr>
          <t>_x000D_
Últ estimativa : 250_x000D_
Enviada em     : 17.12.2020_x000D_
Ata - Venc     : 101/20 - 27.04.2021</t>
        </r>
      </text>
    </comment>
    <comment ref="O193" authorId="0" shapeId="0" xr:uid="{9203E684-4213-4050-850E-EA2AE34AB3CF}">
      <text>
        <r>
          <rPr>
            <sz val="10"/>
            <color indexed="81"/>
            <rFont val="Lucida Console"/>
            <family val="3"/>
          </rPr>
          <t>_x000D_
Pertencia a ATA nº 101/20_x000D_
Estimativa de Renovação enviada em 17.12.2020 - Qtd 250_x000D_
PE  16/20 lote 18_x000D_
18.05.20 = Processo conferido, finalizado.</t>
        </r>
      </text>
    </comment>
    <comment ref="W193" authorId="0" shapeId="0" xr:uid="{BEC10591-92F8-4588-A263-26A7B5230009}">
      <text>
        <r>
          <rPr>
            <sz val="10"/>
            <color indexed="81"/>
            <rFont val="Lucida Console"/>
            <family val="3"/>
          </rPr>
          <t>_x000D_
DM-Hidráulica</t>
        </r>
      </text>
    </comment>
    <comment ref="X193" authorId="0" shapeId="0" xr:uid="{75ADD32F-180B-4689-96AD-01C55E410463}">
      <text>
        <r>
          <rPr>
            <sz val="10"/>
            <color indexed="81"/>
            <rFont val="Lucida Console"/>
            <family val="3"/>
          </rPr>
          <t>_x000D_
MATERIAL HIDRAULICO, CANOS, TUBOS, MANGUEIRAS, CONEXOES E ACESS.</t>
        </r>
      </text>
    </comment>
    <comment ref="Y193" authorId="0" shapeId="0" xr:uid="{79D530D2-0E71-4A03-9AED-0272ABC83F75}">
      <text>
        <r>
          <rPr>
            <sz val="10"/>
            <color indexed="81"/>
            <rFont val="Lucida Console"/>
            <family val="3"/>
          </rPr>
          <t>_x000D_
TORNEIRAS VOLANTES CANOPLAS E ACESS. P/ MANGUEIRA</t>
        </r>
      </text>
    </comment>
    <comment ref="AW193" authorId="0" shapeId="0" xr:uid="{CC0A364B-7B8F-4401-A4CD-C9FA11BA5AC3}">
      <text>
        <r>
          <rPr>
            <sz val="10"/>
            <color indexed="81"/>
            <rFont val="Lucida Console"/>
            <family val="3"/>
          </rPr>
          <t>Tempo de Estoque (Meses)_x000D_
_x000D_
156,0</t>
        </r>
      </text>
    </comment>
    <comment ref="A194" authorId="0" shapeId="0" xr:uid="{9898EE73-2481-44FA-8A29-A5277964F301}">
      <text>
        <r>
          <rPr>
            <sz val="10"/>
            <color indexed="81"/>
            <rFont val="Lucida Console"/>
            <family val="3"/>
          </rPr>
          <t>_x000D_
88856</t>
        </r>
      </text>
    </comment>
    <comment ref="B194" authorId="0" shapeId="0" xr:uid="{F10263F6-D15C-4310-8821-C6E39EE43C75}">
      <text>
        <r>
          <rPr>
            <sz val="10"/>
            <color indexed="81"/>
            <rFont val="Lucida Console"/>
            <family val="3"/>
          </rPr>
          <t>DESCRIÇÃO DETALHADA_x000D_
BARRA DE FERRO TEE 1 X 1/8 - BARRA COM 06 METROS</t>
        </r>
      </text>
    </comment>
    <comment ref="G194" authorId="0" shapeId="0" xr:uid="{C54B0336-88E4-4043-B311-9F449D1C2B82}">
      <text>
        <r>
          <rPr>
            <sz val="10"/>
            <color indexed="81"/>
            <rFont val="Lucida Console"/>
            <family val="3"/>
          </rPr>
          <t>_x000D_
Últ estimativa : 400_x000D_
Enviada em     : 19.05.2021_x000D_
Ata - Venc     : 104/20 - 03.05.2021</t>
        </r>
      </text>
    </comment>
    <comment ref="O194" authorId="0" shapeId="0" xr:uid="{113D9320-07B6-494C-83D1-A3F17745520D}">
      <text>
        <r>
          <rPr>
            <sz val="10"/>
            <color indexed="81"/>
            <rFont val="Lucida Console"/>
            <family val="3"/>
          </rPr>
          <t>_x000D_
Pertencia a ATA nº 104/20_x000D_
Estimativa de Renovação enviada em 19.05.2021 - Qtd 400_x000D_
PE  17/20 lote _x000D_
19.05.20 = Finalizar, contrato assinado.</t>
        </r>
      </text>
    </comment>
    <comment ref="W194" authorId="0" shapeId="0" xr:uid="{38B0043C-2EF1-4C16-8463-871A7BDE5D2D}">
      <text>
        <r>
          <rPr>
            <sz val="10"/>
            <color indexed="81"/>
            <rFont val="Lucida Console"/>
            <family val="3"/>
          </rPr>
          <t>_x000D_
DM-Serralheria</t>
        </r>
      </text>
    </comment>
    <comment ref="X194" authorId="0" shapeId="0" xr:uid="{FF0502FE-D51F-4A9D-A029-87F1A2C6D669}">
      <text>
        <r>
          <rPr>
            <sz val="10"/>
            <color indexed="81"/>
            <rFont val="Lucida Console"/>
            <family val="3"/>
          </rPr>
          <t>_x000D_
METAIS,LAMINAD.,PERFILADOS E ARTEFATOS METALICOS</t>
        </r>
      </text>
    </comment>
    <comment ref="Y194" authorId="0" shapeId="0" xr:uid="{169ABFE5-457D-43B4-B85D-7D757F17DD8D}">
      <text>
        <r>
          <rPr>
            <sz val="10"/>
            <color indexed="81"/>
            <rFont val="Lucida Console"/>
            <family val="3"/>
          </rPr>
          <t>_x000D_
PERFIS E BARRA</t>
        </r>
      </text>
    </comment>
    <comment ref="AW194" authorId="0" shapeId="0" xr:uid="{7FB76B3B-AA73-4F48-9144-A1190A7BD1FF}">
      <text>
        <r>
          <rPr>
            <sz val="10"/>
            <color indexed="81"/>
            <rFont val="Lucida Console"/>
            <family val="3"/>
          </rPr>
          <t>Tempo de Estoque (Meses)_x000D_
_x000D_
450,0</t>
        </r>
      </text>
    </comment>
    <comment ref="A195" authorId="0" shapeId="0" xr:uid="{FF686B2A-9FD8-4501-B90B-44FDD3010486}">
      <text>
        <r>
          <rPr>
            <sz val="10"/>
            <color indexed="81"/>
            <rFont val="Lucida Console"/>
            <family val="3"/>
          </rPr>
          <t>_x000D_
66168</t>
        </r>
      </text>
    </comment>
    <comment ref="B195" authorId="0" shapeId="0" xr:uid="{346F099F-B6C6-4160-8EF9-6F5F50A1A7F5}">
      <text>
        <r>
          <rPr>
            <sz val="10"/>
            <color indexed="81"/>
            <rFont val="Lucida Console"/>
            <family val="3"/>
          </rPr>
          <t>DESCRIÇÃO DETALHADA_x000D_
TUBO QUADRADO DE METALON 20MM X 20MM X 1,5MM - BARRA COM 06 METROS</t>
        </r>
      </text>
    </comment>
    <comment ref="G195" authorId="0" shapeId="0" xr:uid="{783FD103-DCC1-47B8-884F-640F9FFE3AE1}">
      <text>
        <r>
          <rPr>
            <sz val="10"/>
            <color indexed="81"/>
            <rFont val="Lucida Console"/>
            <family val="3"/>
          </rPr>
          <t>_x000D_
Últ estimativa : 500_x000D_
Enviada em     : 19.05.2021_x000D_
Ata - Venc     : 104/20 - 03.05.2021</t>
        </r>
      </text>
    </comment>
    <comment ref="O195" authorId="0" shapeId="0" xr:uid="{1593EA37-9A1F-46DB-9278-B6C110695557}">
      <text>
        <r>
          <rPr>
            <sz val="10"/>
            <color indexed="81"/>
            <rFont val="Lucida Console"/>
            <family val="3"/>
          </rPr>
          <t>_x000D_
Pertencia a ATA nº 104/20_x000D_
Estimativa de Renovação enviada em 19.05.2021 - Qtd 500_x000D_
PE  17/20 lote _x000D_
19.05.20 = Finalizar, contrato assinado.</t>
        </r>
      </text>
    </comment>
    <comment ref="W195" authorId="0" shapeId="0" xr:uid="{252F876C-4A4F-4365-AC0C-46404EA16D13}">
      <text>
        <r>
          <rPr>
            <sz val="10"/>
            <color indexed="81"/>
            <rFont val="Lucida Console"/>
            <family val="3"/>
          </rPr>
          <t>_x000D_
DM-Serralheria</t>
        </r>
      </text>
    </comment>
    <comment ref="X195" authorId="0" shapeId="0" xr:uid="{AAAA8FF3-E787-4E57-8C55-005DA9165750}">
      <text>
        <r>
          <rPr>
            <sz val="10"/>
            <color indexed="81"/>
            <rFont val="Lucida Console"/>
            <family val="3"/>
          </rPr>
          <t>_x000D_
METAIS,LAMINAD.,PERFILADOS E ARTEFATOS METALICOS</t>
        </r>
      </text>
    </comment>
    <comment ref="Y195" authorId="0" shapeId="0" xr:uid="{30576E73-A972-45D0-95B0-373269553BE1}">
      <text>
        <r>
          <rPr>
            <sz val="10"/>
            <color indexed="81"/>
            <rFont val="Lucida Console"/>
            <family val="3"/>
          </rPr>
          <t>_x000D_
TUBOS MECANICOS</t>
        </r>
      </text>
    </comment>
    <comment ref="AC195" authorId="0" shapeId="0" xr:uid="{E7F85843-E621-43EA-B428-B946CF988156}">
      <text>
        <r>
          <rPr>
            <sz val="10"/>
            <color indexed="81"/>
            <rFont val="Lucida Console"/>
            <family val="3"/>
          </rPr>
          <t>_x000D_
AF  8.863/23 | Vc 21.08.2023 | Saldo    300 | TELAFER COMERCIO DE TELAS E FERRAGENS LTDA ( 196490 )</t>
        </r>
      </text>
    </comment>
    <comment ref="AG195" authorId="0" shapeId="0" xr:uid="{0FE03212-793C-4440-92CB-C0463A18F5E3}">
      <text>
        <r>
          <rPr>
            <sz val="10"/>
            <color indexed="81"/>
            <rFont val="Lucida Console"/>
            <family val="3"/>
          </rPr>
          <t>_x000D_
AF  8.863/23 | Vc 21.08.2023 | Saldo    300 | TELAFER COMERCIO DE TELAS E FERRAGENS LTDA ( 196490 )</t>
        </r>
      </text>
    </comment>
    <comment ref="AW195" authorId="0" shapeId="0" xr:uid="{A35E13EE-15BC-4CF5-BED7-BE0BB38B8301}">
      <text>
        <r>
          <rPr>
            <sz val="10"/>
            <color indexed="81"/>
            <rFont val="Lucida Console"/>
            <family val="3"/>
          </rPr>
          <t>Tempo de Estoque (Meses)_x000D_
_x000D_
692,0</t>
        </r>
      </text>
    </comment>
    <comment ref="A196" authorId="0" shapeId="0" xr:uid="{4F57E58A-5CC8-4521-9C98-197BBE2430F6}">
      <text>
        <r>
          <rPr>
            <sz val="10"/>
            <color indexed="81"/>
            <rFont val="Lucida Console"/>
            <family val="3"/>
          </rPr>
          <t>_x000D_
60517</t>
        </r>
      </text>
    </comment>
    <comment ref="B196" authorId="0" shapeId="0" xr:uid="{6880599B-CA99-4AB5-8523-6F981628B884}">
      <text>
        <r>
          <rPr>
            <sz val="10"/>
            <color indexed="81"/>
            <rFont val="Lucida Console"/>
            <family val="3"/>
          </rPr>
          <t>DESCRIÇÃO DETALHADA_x000D_
FERRO REDONDO DE 5/8" - BARRA COM 06 METROS (FERRO MECANICO)</t>
        </r>
      </text>
    </comment>
    <comment ref="G196" authorId="0" shapeId="0" xr:uid="{89FACFFA-D969-42D3-B2DF-AD4EC0AACEE3}">
      <text>
        <r>
          <rPr>
            <sz val="10"/>
            <color indexed="81"/>
            <rFont val="Lucida Console"/>
            <family val="3"/>
          </rPr>
          <t>_x000D_
Últ estimativa : 200_x000D_
Enviada em     : 28.01.2021_x000D_
Ata - Venc     : 104/20 - 03.05.2021</t>
        </r>
      </text>
    </comment>
    <comment ref="O196" authorId="0" shapeId="0" xr:uid="{DC2D9026-D49C-47AC-8746-4D692F4968CE}">
      <text>
        <r>
          <rPr>
            <sz val="10"/>
            <color indexed="81"/>
            <rFont val="Lucida Console"/>
            <family val="3"/>
          </rPr>
          <t>_x000D_
Pertencia a ATA nº 104/20_x000D_
Estimativa de Renovação enviada em 28.01.2021 - Qtd 200_x000D_
PE  17/20 lote _x000D_
19.05.20 = Finalizar, contrato assinado.</t>
        </r>
      </text>
    </comment>
    <comment ref="W196" authorId="0" shapeId="0" xr:uid="{8E7EE76A-11C1-4529-A8DC-B1F7EBC6DEB0}">
      <text>
        <r>
          <rPr>
            <sz val="10"/>
            <color indexed="81"/>
            <rFont val="Lucida Console"/>
            <family val="3"/>
          </rPr>
          <t>_x000D_
DM-Construção</t>
        </r>
      </text>
    </comment>
    <comment ref="X196" authorId="0" shapeId="0" xr:uid="{FEB6C19A-83C4-43C9-8AB1-88C69AC658B5}">
      <text>
        <r>
          <rPr>
            <sz val="10"/>
            <color indexed="81"/>
            <rFont val="Lucida Console"/>
            <family val="3"/>
          </rPr>
          <t>_x000D_
MAT.E EQUIP. P/ CONSTR.CIVIL E CONSERV. DE VIAS PUBL.</t>
        </r>
      </text>
    </comment>
    <comment ref="Y196" authorId="0" shapeId="0" xr:uid="{7A981594-5A85-40BB-AE47-BBC409EB6A6B}">
      <text>
        <r>
          <rPr>
            <sz val="10"/>
            <color indexed="81"/>
            <rFont val="Lucida Console"/>
            <family val="3"/>
          </rPr>
          <t>_x000D_
FERRAGENS E AFINS</t>
        </r>
      </text>
    </comment>
    <comment ref="AW196" authorId="0" shapeId="0" xr:uid="{9816C536-0D6B-4F94-B44B-974D870A167F}">
      <text>
        <r>
          <rPr>
            <sz val="10"/>
            <color indexed="81"/>
            <rFont val="Lucida Console"/>
            <family val="3"/>
          </rPr>
          <t>Tempo de Estoque (Meses)_x000D_
_x000D_
1.781,0</t>
        </r>
      </text>
    </comment>
    <comment ref="A197" authorId="0" shapeId="0" xr:uid="{6FE3CE5A-7CE6-4FFC-8D7A-28A900B5D711}">
      <text>
        <r>
          <rPr>
            <sz val="10"/>
            <color indexed="81"/>
            <rFont val="Lucida Console"/>
            <family val="3"/>
          </rPr>
          <t>_x000D_
87348</t>
        </r>
      </text>
    </comment>
    <comment ref="B197" authorId="0" shapeId="0" xr:uid="{36039013-AF70-4732-98AB-C244D26150D0}">
      <text>
        <r>
          <rPr>
            <sz val="10"/>
            <color indexed="81"/>
            <rFont val="Lucida Console"/>
            <family val="3"/>
          </rPr>
          <t>DESCRIÇÃO DETALHADA_x000D_
FERRO CHATO 1/2" X 1/4" - BARRA C/ 06 METROS</t>
        </r>
      </text>
    </comment>
    <comment ref="G197" authorId="0" shapeId="0" xr:uid="{1E931B1D-2EE8-4DCF-838A-54F7C91D458B}">
      <text>
        <r>
          <rPr>
            <sz val="10"/>
            <color indexed="81"/>
            <rFont val="Lucida Console"/>
            <family val="3"/>
          </rPr>
          <t>_x000D_
Últ estimativa : 0_x000D_
Enviada em     : 28.01.2021_x000D_
Ata - Venc     : 104/20 - 03.05.2021</t>
        </r>
      </text>
    </comment>
    <comment ref="O197" authorId="0" shapeId="0" xr:uid="{B1726B7B-E382-46F5-BB82-BDA2B3ED0A96}">
      <text>
        <r>
          <rPr>
            <sz val="10"/>
            <color indexed="81"/>
            <rFont val="Lucida Console"/>
            <family val="3"/>
          </rPr>
          <t>_x000D_
Pertencia a ATA nº 104/20_x000D_
Estimativa de Renovação enviada em 28.01.2021 - Qtd _x000D_
PE  17/20 lote _x000D_
19.05.20 = Finalizar, contrato assinado.</t>
        </r>
      </text>
    </comment>
    <comment ref="W197" authorId="0" shapeId="0" xr:uid="{69F40D53-8FC9-4DF8-9813-6E322C51D7FE}">
      <text>
        <r>
          <rPr>
            <sz val="10"/>
            <color indexed="81"/>
            <rFont val="Lucida Console"/>
            <family val="3"/>
          </rPr>
          <t>_x000D_
DM-Construção</t>
        </r>
      </text>
    </comment>
    <comment ref="X197" authorId="0" shapeId="0" xr:uid="{6FDC6DD9-4BE6-4207-BB2B-753C457F5DDD}">
      <text>
        <r>
          <rPr>
            <sz val="10"/>
            <color indexed="81"/>
            <rFont val="Lucida Console"/>
            <family val="3"/>
          </rPr>
          <t>_x000D_
MAT.E EQUIP. P/ CONSTR.CIVIL E CONSERV. DE VIAS PUBL.</t>
        </r>
      </text>
    </comment>
    <comment ref="Y197" authorId="0" shapeId="0" xr:uid="{5D0DA0F0-D4BC-422F-AED7-2AC5EAD231AE}">
      <text>
        <r>
          <rPr>
            <sz val="10"/>
            <color indexed="81"/>
            <rFont val="Lucida Console"/>
            <family val="3"/>
          </rPr>
          <t>_x000D_
FERRAGENS E AFINS</t>
        </r>
      </text>
    </comment>
    <comment ref="AW197" authorId="0" shapeId="0" xr:uid="{954CF43E-453F-4DF6-9E39-3F0A17B2F817}">
      <text>
        <r>
          <rPr>
            <sz val="10"/>
            <color indexed="81"/>
            <rFont val="Lucida Console"/>
            <family val="3"/>
          </rPr>
          <t>Tempo de Estoque (Meses)_x000D_
_x000D_
832,0</t>
        </r>
      </text>
    </comment>
    <comment ref="A198" authorId="0" shapeId="0" xr:uid="{8C781CED-22D8-4B00-A612-13BF469FB47C}">
      <text>
        <r>
          <rPr>
            <sz val="10"/>
            <color indexed="81"/>
            <rFont val="Lucida Console"/>
            <family val="3"/>
          </rPr>
          <t>_x000D_
13221</t>
        </r>
      </text>
    </comment>
    <comment ref="B198" authorId="0" shapeId="0" xr:uid="{32F6163F-251D-489B-B34A-9A78159840C1}">
      <text>
        <r>
          <rPr>
            <sz val="10"/>
            <color indexed="81"/>
            <rFont val="Lucida Console"/>
            <family val="3"/>
          </rPr>
          <t>DESCRIÇÃO DETALHADA_x000D_
PARAFUSO GALVANIZADO P/ FIXACAO DE TELHAS MODULADAS - 5/16 X 110 MM</t>
        </r>
      </text>
    </comment>
    <comment ref="G198" authorId="0" shapeId="0" xr:uid="{B5CA45AE-14AA-486C-9EFD-8997F0FCBE37}">
      <text>
        <r>
          <rPr>
            <sz val="10"/>
            <color indexed="81"/>
            <rFont val="Lucida Console"/>
            <family val="3"/>
          </rPr>
          <t>_x000D_
Últ estimativa : 0_x000D_
Enviada em     : 28.01.2021_x000D_
Ata - Venc     : 104/20 - 03.05.2021</t>
        </r>
      </text>
    </comment>
    <comment ref="O198" authorId="0" shapeId="0" xr:uid="{B2A08D57-0040-45E9-ABD5-2687F6700AD7}">
      <text>
        <r>
          <rPr>
            <sz val="10"/>
            <color indexed="81"/>
            <rFont val="Lucida Console"/>
            <family val="3"/>
          </rPr>
          <t>_x000D_
Pertencia a ATA nº 104/20_x000D_
Estimativa de Renovação enviada em 28.01.2021 - Qtd _x000D_
PE  17/20 lote 1_x000D_
19.05.20 = Finalizar, contrato assinado.</t>
        </r>
      </text>
    </comment>
    <comment ref="W198" authorId="0" shapeId="0" xr:uid="{77064985-6FE1-40A1-B047-E3BD66F36BEC}">
      <text>
        <r>
          <rPr>
            <sz val="10"/>
            <color indexed="81"/>
            <rFont val="Lucida Console"/>
            <family val="3"/>
          </rPr>
          <t>_x000D_
DM-Construção</t>
        </r>
      </text>
    </comment>
    <comment ref="X198" authorId="0" shapeId="0" xr:uid="{4F1C48A4-6761-425E-AD9B-8942A0598161}">
      <text>
        <r>
          <rPr>
            <sz val="10"/>
            <color indexed="81"/>
            <rFont val="Lucida Console"/>
            <family val="3"/>
          </rPr>
          <t>_x000D_
PARAFUSOS ELEM. VEDACAO UNIAO CONEX . FIXACAO</t>
        </r>
      </text>
    </comment>
    <comment ref="Y198" authorId="0" shapeId="0" xr:uid="{3DF3BFC8-8CE0-4239-8196-01BE4F48C0DC}">
      <text>
        <r>
          <rPr>
            <sz val="10"/>
            <color indexed="81"/>
            <rFont val="Lucida Console"/>
            <family val="3"/>
          </rPr>
          <t>_x000D_
HASTES</t>
        </r>
      </text>
    </comment>
    <comment ref="AW198" authorId="0" shapeId="0" xr:uid="{E5733788-830E-4CDC-81CD-FCFE0DCDF9FE}">
      <text>
        <r>
          <rPr>
            <sz val="10"/>
            <color indexed="81"/>
            <rFont val="Lucida Console"/>
            <family val="3"/>
          </rPr>
          <t>Tempo de Estoque (Meses)_x000D_
_x000D_
1.994,0</t>
        </r>
      </text>
    </comment>
    <comment ref="A199" authorId="0" shapeId="0" xr:uid="{F0F85618-EB04-4359-B598-32E0D038FB96}">
      <text>
        <r>
          <rPr>
            <sz val="10"/>
            <color indexed="81"/>
            <rFont val="Lucida Console"/>
            <family val="3"/>
          </rPr>
          <t>_x000D_
13222</t>
        </r>
      </text>
    </comment>
    <comment ref="B199" authorId="0" shapeId="0" xr:uid="{3FFBB9EC-371B-45B9-885B-6109D9394F49}">
      <text>
        <r>
          <rPr>
            <sz val="10"/>
            <color indexed="81"/>
            <rFont val="Lucida Console"/>
            <family val="3"/>
          </rPr>
          <t>DESCRIÇÃO DETALHADA_x000D_
PARAFUSO GALVANIZADO P/ FIXACAO DE TELHAS MODULADAS - 8 X 150 MM</t>
        </r>
      </text>
    </comment>
    <comment ref="G199" authorId="0" shapeId="0" xr:uid="{A6085AD5-C20C-4FB0-8112-2800B9AF5F2A}">
      <text>
        <r>
          <rPr>
            <sz val="10"/>
            <color indexed="81"/>
            <rFont val="Lucida Console"/>
            <family val="3"/>
          </rPr>
          <t>_x000D_
Últ estimativa : 0_x000D_
Enviada em     : 28.01.2021_x000D_
Ata - Venc     : 104/20 - 03.05.2021</t>
        </r>
      </text>
    </comment>
    <comment ref="O199" authorId="0" shapeId="0" xr:uid="{B71962CA-7155-43EE-9385-7302CAE856D4}">
      <text>
        <r>
          <rPr>
            <sz val="10"/>
            <color indexed="81"/>
            <rFont val="Lucida Console"/>
            <family val="3"/>
          </rPr>
          <t>_x000D_
Pertencia a ATA nº 104/20_x000D_
Estimativa de Renovação enviada em 28.01.2021 - Qtd _x000D_
PE  17/20 lote 2_x000D_
19.05.20 = Finalizar, contrato assinado.</t>
        </r>
      </text>
    </comment>
    <comment ref="W199" authorId="0" shapeId="0" xr:uid="{AB432465-0F5B-492C-9113-A2600F14F439}">
      <text>
        <r>
          <rPr>
            <sz val="10"/>
            <color indexed="81"/>
            <rFont val="Lucida Console"/>
            <family val="3"/>
          </rPr>
          <t>_x000D_
DM-Construção</t>
        </r>
      </text>
    </comment>
    <comment ref="X199" authorId="0" shapeId="0" xr:uid="{BCE224E0-1710-49ED-B442-F05DBC08C399}">
      <text>
        <r>
          <rPr>
            <sz val="10"/>
            <color indexed="81"/>
            <rFont val="Lucida Console"/>
            <family val="3"/>
          </rPr>
          <t>_x000D_
PARAFUSOS ELEM. VEDACAO UNIAO CONEX . FIXACAO</t>
        </r>
      </text>
    </comment>
    <comment ref="Y199" authorId="0" shapeId="0" xr:uid="{36FA6D21-1AD2-4A65-A1D8-9676E939C595}">
      <text>
        <r>
          <rPr>
            <sz val="10"/>
            <color indexed="81"/>
            <rFont val="Lucida Console"/>
            <family val="3"/>
          </rPr>
          <t>_x000D_
HASTES</t>
        </r>
      </text>
    </comment>
    <comment ref="AW199" authorId="0" shapeId="0" xr:uid="{31FFBBD2-63C8-472B-9E86-82E106A2EE18}">
      <text>
        <r>
          <rPr>
            <sz val="10"/>
            <color indexed="81"/>
            <rFont val="Lucida Console"/>
            <family val="3"/>
          </rPr>
          <t>Tempo de Estoque (Meses)_x000D_
_x000D_
1.141,0</t>
        </r>
      </text>
    </comment>
    <comment ref="A200" authorId="0" shapeId="0" xr:uid="{94995896-5498-4C5F-8DE4-F1A7AA6DAC57}">
      <text>
        <r>
          <rPr>
            <sz val="10"/>
            <color indexed="81"/>
            <rFont val="Lucida Console"/>
            <family val="3"/>
          </rPr>
          <t>_x000D_
37528</t>
        </r>
      </text>
    </comment>
    <comment ref="B200" authorId="0" shapeId="0" xr:uid="{46352470-382E-438E-BAC2-F4FBAA955333}">
      <text>
        <r>
          <rPr>
            <sz val="10"/>
            <color indexed="81"/>
            <rFont val="Lucida Console"/>
            <family val="3"/>
          </rPr>
          <t>DESCRIÇÃO DETALHADA_x000D_
PARAFUSO CABECA REDONDA P/ FIXACAO DE VASO SANITARIO - 4,5MM X 3" - C/ BUCHA E ARRUELA</t>
        </r>
      </text>
    </comment>
    <comment ref="G200" authorId="0" shapeId="0" xr:uid="{94EC50DE-E520-4426-80AB-0961604687E7}">
      <text>
        <r>
          <rPr>
            <sz val="10"/>
            <color indexed="81"/>
            <rFont val="Lucida Console"/>
            <family val="3"/>
          </rPr>
          <t>_x000D_
Últ estimativa : 0_x000D_
Enviada em     : 28.01.2021_x000D_
Ata - Venc     : 104/20 - 03.05.2021</t>
        </r>
      </text>
    </comment>
    <comment ref="O200" authorId="0" shapeId="0" xr:uid="{F6074952-2663-453C-AC3C-B2A02BB4D10C}">
      <text>
        <r>
          <rPr>
            <sz val="10"/>
            <color indexed="81"/>
            <rFont val="Lucida Console"/>
            <family val="3"/>
          </rPr>
          <t>_x000D_
Pertencia a ATA nº 104/20_x000D_
Estimativa de Renovação enviada em 28.01.2021 - Qtd _x000D_
PE  17/20 lote _x000D_
19.05.20 = Finalizar, contrato assinado.</t>
        </r>
      </text>
    </comment>
    <comment ref="W200" authorId="0" shapeId="0" xr:uid="{F65B758B-0CB5-424C-957C-131D99CE2292}">
      <text>
        <r>
          <rPr>
            <sz val="10"/>
            <color indexed="81"/>
            <rFont val="Lucida Console"/>
            <family val="3"/>
          </rPr>
          <t>_x000D_
DM-Construção</t>
        </r>
      </text>
    </comment>
    <comment ref="X200" authorId="0" shapeId="0" xr:uid="{51E5836C-C91D-4758-9AFD-871CA872D09C}">
      <text>
        <r>
          <rPr>
            <sz val="10"/>
            <color indexed="81"/>
            <rFont val="Lucida Console"/>
            <family val="3"/>
          </rPr>
          <t>_x000D_
PARAFUSOS ELEM. VEDACAO UNIAO CONEX . FIXACAO</t>
        </r>
      </text>
    </comment>
    <comment ref="Y200" authorId="0" shapeId="0" xr:uid="{CAEC2DD0-70E1-4657-A9F0-3FDA0D70EB04}">
      <text>
        <r>
          <rPr>
            <sz val="10"/>
            <color indexed="81"/>
            <rFont val="Lucida Console"/>
            <family val="3"/>
          </rPr>
          <t>_x000D_
HASTES</t>
        </r>
      </text>
    </comment>
    <comment ref="AW200" authorId="0" shapeId="0" xr:uid="{AA8C1965-CC36-44D5-8899-15AD2D79D68E}">
      <text>
        <r>
          <rPr>
            <sz val="10"/>
            <color indexed="81"/>
            <rFont val="Lucida Console"/>
            <family val="3"/>
          </rPr>
          <t>Tempo de Estoque (Meses)_x000D_
_x000D_
983,0</t>
        </r>
      </text>
    </comment>
    <comment ref="A201" authorId="0" shapeId="0" xr:uid="{19B4D164-94BC-4A7D-ACE6-58D9552F80A0}">
      <text>
        <r>
          <rPr>
            <sz val="10"/>
            <color indexed="81"/>
            <rFont val="Lucida Console"/>
            <family val="3"/>
          </rPr>
          <t>_x000D_
64626</t>
        </r>
      </text>
    </comment>
    <comment ref="B201" authorId="0" shapeId="0" xr:uid="{3C75FA70-B0DD-4C61-8B12-8495015798CF}">
      <text>
        <r>
          <rPr>
            <sz val="10"/>
            <color indexed="81"/>
            <rFont val="Lucida Console"/>
            <family val="3"/>
          </rPr>
          <t>DESCRIÇÃO DETALHADA_x000D_
FERRO CHATO - 1.1/2" X 1/4" - BARRA COM 06 METROS</t>
        </r>
      </text>
    </comment>
    <comment ref="G201" authorId="0" shapeId="0" xr:uid="{163C4C16-83DD-4446-9BC3-864115C0DD48}">
      <text>
        <r>
          <rPr>
            <sz val="10"/>
            <color indexed="81"/>
            <rFont val="Lucida Console"/>
            <family val="3"/>
          </rPr>
          <t>_x000D_
Últ estimativa : 700_x000D_
Enviada em     : 28.01.2021_x000D_
Ata - Venc     : 104/20 - 03.05.2021</t>
        </r>
      </text>
    </comment>
    <comment ref="O201" authorId="0" shapeId="0" xr:uid="{18100B8A-1332-44FC-ABC9-DA059540C356}">
      <text>
        <r>
          <rPr>
            <sz val="10"/>
            <color indexed="81"/>
            <rFont val="Lucida Console"/>
            <family val="3"/>
          </rPr>
          <t>_x000D_
Pertencia a ATA nº 104/20_x000D_
Estimativa de Renovação enviada em 28.01.2021 - Qtd 700_x000D_
PE  17/20 lote _x000D_
19.05.20 = Finalizar, contrato assinado.</t>
        </r>
      </text>
    </comment>
    <comment ref="W201" authorId="0" shapeId="0" xr:uid="{0B35DA17-2C80-4A8F-AB05-C994BBFE4458}">
      <text>
        <r>
          <rPr>
            <sz val="10"/>
            <color indexed="81"/>
            <rFont val="Lucida Console"/>
            <family val="3"/>
          </rPr>
          <t>_x000D_
DM-Construção</t>
        </r>
      </text>
    </comment>
    <comment ref="X201" authorId="0" shapeId="0" xr:uid="{C9A61B32-0ED6-4B26-B98E-61411F660C42}">
      <text>
        <r>
          <rPr>
            <sz val="10"/>
            <color indexed="81"/>
            <rFont val="Lucida Console"/>
            <family val="3"/>
          </rPr>
          <t>_x000D_
METAIS,LAMINAD.,PERFILADOS E ARTEFATOS METALICOS</t>
        </r>
      </text>
    </comment>
    <comment ref="Y201" authorId="0" shapeId="0" xr:uid="{D7F8A87B-91D7-465E-A161-5F3251C724BA}">
      <text>
        <r>
          <rPr>
            <sz val="10"/>
            <color indexed="81"/>
            <rFont val="Lucida Console"/>
            <family val="3"/>
          </rPr>
          <t>_x000D_
FERROS E ACOS AVULSOS</t>
        </r>
      </text>
    </comment>
    <comment ref="AC201" authorId="0" shapeId="0" xr:uid="{DA5BCB2A-A095-4F67-8BC5-CD695D33EBBC}">
      <text>
        <r>
          <rPr>
            <sz val="10"/>
            <color indexed="81"/>
            <rFont val="Lucida Console"/>
            <family val="3"/>
          </rPr>
          <t>_x000D_
AF  8.862/23 | Vc 21.08.2023 | Saldo    500 | MEGAFER COMERCIO DE FERRO E ACO LTDA ( 60363 )</t>
        </r>
      </text>
    </comment>
    <comment ref="AG201" authorId="0" shapeId="0" xr:uid="{3D729596-1CD3-4805-BA41-DD6968AFA75E}">
      <text>
        <r>
          <rPr>
            <sz val="10"/>
            <color indexed="81"/>
            <rFont val="Lucida Console"/>
            <family val="3"/>
          </rPr>
          <t>_x000D_
AF  8.862/23 | Vc 21.08.2023 | Saldo    500 | MEGAFER COMERCIO DE FERRO E ACO LTDA ( 60363 )</t>
        </r>
      </text>
    </comment>
    <comment ref="AW201" authorId="0" shapeId="0" xr:uid="{1960ED29-6A23-4CCA-A32D-1CA0FC913779}">
      <text>
        <r>
          <rPr>
            <sz val="10"/>
            <color indexed="81"/>
            <rFont val="Lucida Console"/>
            <family val="3"/>
          </rPr>
          <t>Tempo de Estoque (Meses)_x000D_
_x000D_
2.603,0</t>
        </r>
      </text>
    </comment>
    <comment ref="A202" authorId="0" shapeId="0" xr:uid="{25E0D4FA-D4CD-4AFE-BDA2-B43CAD7252E1}">
      <text>
        <r>
          <rPr>
            <sz val="10"/>
            <color indexed="81"/>
            <rFont val="Lucida Console"/>
            <family val="3"/>
          </rPr>
          <t>_x000D_
13556</t>
        </r>
      </text>
    </comment>
    <comment ref="B202" authorId="0" shapeId="0" xr:uid="{97383738-FED6-4FCB-A20F-C0DF8E81DDD0}">
      <text>
        <r>
          <rPr>
            <sz val="10"/>
            <color indexed="81"/>
            <rFont val="Lucida Console"/>
            <family val="3"/>
          </rPr>
          <t>DESCRIÇÃO DETALHADA_x000D_
TUBO DE FERRO GALVANIZADO 4" BR C/ 6 M</t>
        </r>
      </text>
    </comment>
    <comment ref="G202" authorId="0" shapeId="0" xr:uid="{E52AD702-25EA-4B65-98C2-A0075DEEB70B}">
      <text>
        <r>
          <rPr>
            <sz val="10"/>
            <color indexed="81"/>
            <rFont val="Lucida Console"/>
            <family val="3"/>
          </rPr>
          <t>_x000D_
Últ estimativa : 0_x000D_
Enviada em     : 28.01.2021_x000D_
Ata - Venc     : 104/20 - 03.05.2021</t>
        </r>
      </text>
    </comment>
    <comment ref="O202" authorId="0" shapeId="0" xr:uid="{0752AA16-A645-41B3-BFBE-6ECE5E2FC473}">
      <text>
        <r>
          <rPr>
            <sz val="10"/>
            <color indexed="81"/>
            <rFont val="Lucida Console"/>
            <family val="3"/>
          </rPr>
          <t>_x000D_
Pertencia a ATA nº 104/20_x000D_
Estimativa de Renovação enviada em 28.01.2021 - Qtd _x000D_
PE  17/20 lote _x000D_
19.05.20 = Finalizar, contrato assinado.</t>
        </r>
      </text>
    </comment>
    <comment ref="W202" authorId="0" shapeId="0" xr:uid="{4057F086-C978-49C8-AFA0-697F1D16A06B}">
      <text>
        <r>
          <rPr>
            <sz val="10"/>
            <color indexed="81"/>
            <rFont val="Lucida Console"/>
            <family val="3"/>
          </rPr>
          <t>_x000D_
DM-Serralheria</t>
        </r>
      </text>
    </comment>
    <comment ref="X202" authorId="0" shapeId="0" xr:uid="{3E0FD137-B6D5-4827-844E-9C6E6F841041}">
      <text>
        <r>
          <rPr>
            <sz val="10"/>
            <color indexed="81"/>
            <rFont val="Lucida Console"/>
            <family val="3"/>
          </rPr>
          <t>_x000D_
METAIS,LAMINAD.,PERFILADOS E ARTEFATOS METALICOS</t>
        </r>
      </text>
    </comment>
    <comment ref="Y202" authorId="0" shapeId="0" xr:uid="{69E6E021-55B3-46E5-8A0A-B42C5F88141A}">
      <text>
        <r>
          <rPr>
            <sz val="10"/>
            <color indexed="81"/>
            <rFont val="Lucida Console"/>
            <family val="3"/>
          </rPr>
          <t>_x000D_
BARRAS DE ACO ESPECIFICOS P/ USOS VARIADOS</t>
        </r>
      </text>
    </comment>
    <comment ref="AW202" authorId="0" shapeId="0" xr:uid="{F02247CB-11C6-4032-A85F-49B4C324109B}">
      <text>
        <r>
          <rPr>
            <sz val="10"/>
            <color indexed="81"/>
            <rFont val="Lucida Console"/>
            <family val="3"/>
          </rPr>
          <t>Tempo de Estoque (Meses)_x000D_
_x000D_
44,0</t>
        </r>
      </text>
    </comment>
    <comment ref="A203" authorId="0" shapeId="0" xr:uid="{88BC916C-30A0-4B85-BA64-146D271980C0}">
      <text>
        <r>
          <rPr>
            <sz val="10"/>
            <color indexed="81"/>
            <rFont val="Lucida Console"/>
            <family val="3"/>
          </rPr>
          <t>_x000D_
44398</t>
        </r>
      </text>
    </comment>
    <comment ref="B203" authorId="0" shapeId="0" xr:uid="{C848CC06-44D9-429D-92F9-A097B6092F5C}">
      <text>
        <r>
          <rPr>
            <sz val="10"/>
            <color indexed="81"/>
            <rFont val="Lucida Console"/>
            <family val="3"/>
          </rPr>
          <t>DESCRIÇÃO DETALHADA_x000D_
TUBO DE FERRO TIPO METALON, 40 X 20 X 1,5 MM, BARRA COM 6 M</t>
        </r>
      </text>
    </comment>
    <comment ref="G203" authorId="0" shapeId="0" xr:uid="{B50075C3-8B05-4413-B59A-163D1C688999}">
      <text>
        <r>
          <rPr>
            <sz val="10"/>
            <color indexed="81"/>
            <rFont val="Lucida Console"/>
            <family val="3"/>
          </rPr>
          <t>_x000D_
Últ estimativa : 600_x000D_
Enviada em     : 28.01.2021_x000D_
Ata - Venc     : 104/20 - 03.05.2021</t>
        </r>
      </text>
    </comment>
    <comment ref="O203" authorId="0" shapeId="0" xr:uid="{40B0FC27-8241-47E8-858D-13195F50A9D7}">
      <text>
        <r>
          <rPr>
            <sz val="10"/>
            <color indexed="81"/>
            <rFont val="Lucida Console"/>
            <family val="3"/>
          </rPr>
          <t>_x000D_
Pertencia a ATA nº 104/20_x000D_
Estimativa de Renovação enviada em 28.01.2021 - Qtd 600_x000D_
PE  17/20 lote _x000D_
19.05.20 = Finalizar, contrato assinado.</t>
        </r>
      </text>
    </comment>
    <comment ref="W203" authorId="0" shapeId="0" xr:uid="{66EC88BF-D402-4908-9130-E6E554234E45}">
      <text>
        <r>
          <rPr>
            <sz val="10"/>
            <color indexed="81"/>
            <rFont val="Lucida Console"/>
            <family val="3"/>
          </rPr>
          <t>_x000D_
DM-Serralheria</t>
        </r>
      </text>
    </comment>
    <comment ref="X203" authorId="0" shapeId="0" xr:uid="{4FAA9C35-2E12-46A8-8565-2D70C13B7F4C}">
      <text>
        <r>
          <rPr>
            <sz val="10"/>
            <color indexed="81"/>
            <rFont val="Lucida Console"/>
            <family val="3"/>
          </rPr>
          <t>_x000D_
METAIS,LAMINAD.,PERFILADOS E ARTEFATOS METALICOS</t>
        </r>
      </text>
    </comment>
    <comment ref="Y203" authorId="0" shapeId="0" xr:uid="{16063C94-DA21-4A75-B17F-8684C30A4BA8}">
      <text>
        <r>
          <rPr>
            <sz val="10"/>
            <color indexed="81"/>
            <rFont val="Lucida Console"/>
            <family val="3"/>
          </rPr>
          <t>_x000D_
BARRAS DE ACO ESPECIFICOS P/ USOS VARIADOS</t>
        </r>
      </text>
    </comment>
    <comment ref="AW203" authorId="0" shapeId="0" xr:uid="{393640E5-2CE1-4D5F-A662-F73F443FB61B}">
      <text>
        <r>
          <rPr>
            <sz val="10"/>
            <color indexed="81"/>
            <rFont val="Lucida Console"/>
            <family val="3"/>
          </rPr>
          <t>Tempo de Estoque (Meses)_x000D_
_x000D_
1.454,0</t>
        </r>
      </text>
    </comment>
    <comment ref="A204" authorId="0" shapeId="0" xr:uid="{5EE3B4A6-250A-45A3-B6BE-ED70AD215B67}">
      <text>
        <r>
          <rPr>
            <sz val="10"/>
            <color indexed="81"/>
            <rFont val="Lucida Console"/>
            <family val="3"/>
          </rPr>
          <t>_x000D_
54552</t>
        </r>
      </text>
    </comment>
    <comment ref="B204" authorId="0" shapeId="0" xr:uid="{01EC82CF-CEBB-4F96-968E-C81DD51E9098}">
      <text>
        <r>
          <rPr>
            <sz val="10"/>
            <color indexed="81"/>
            <rFont val="Lucida Console"/>
            <family val="3"/>
          </rPr>
          <t>DESCRIÇÃO DETALHADA_x000D_
TUBO DE FERRO METALON - 50 X 50 X 1,5MM - BARRA COM 6 METROS</t>
        </r>
      </text>
    </comment>
    <comment ref="G204" authorId="0" shapeId="0" xr:uid="{0CD3F0B3-DC31-4A33-8EBC-CBF292423E65}">
      <text>
        <r>
          <rPr>
            <sz val="10"/>
            <color indexed="81"/>
            <rFont val="Lucida Console"/>
            <family val="3"/>
          </rPr>
          <t>_x000D_
Últ estimativa : 300_x000D_
Enviada em     : 28.01.2021_x000D_
Ata - Venc     : 104/20 - 03.05.2021</t>
        </r>
      </text>
    </comment>
    <comment ref="O204" authorId="0" shapeId="0" xr:uid="{35364528-9E45-4F0A-9598-E5DED396AE50}">
      <text>
        <r>
          <rPr>
            <sz val="10"/>
            <color indexed="81"/>
            <rFont val="Lucida Console"/>
            <family val="3"/>
          </rPr>
          <t>_x000D_
Pertencia a ATA nº 104/20_x000D_
Estimativa de Renovação enviada em 28.01.2021 - Qtd 300_x000D_
PE  17/20 lote _x000D_
19.05.20 = Finalizar, contrato assinado.</t>
        </r>
      </text>
    </comment>
    <comment ref="W204" authorId="0" shapeId="0" xr:uid="{E66433E2-6142-4DF0-8AA9-9D0C6B963AAE}">
      <text>
        <r>
          <rPr>
            <sz val="10"/>
            <color indexed="81"/>
            <rFont val="Lucida Console"/>
            <family val="3"/>
          </rPr>
          <t>_x000D_
DM-Serralheria</t>
        </r>
      </text>
    </comment>
    <comment ref="X204" authorId="0" shapeId="0" xr:uid="{3E877E2D-B599-475D-847C-5AB88CCCA25F}">
      <text>
        <r>
          <rPr>
            <sz val="10"/>
            <color indexed="81"/>
            <rFont val="Lucida Console"/>
            <family val="3"/>
          </rPr>
          <t>_x000D_
METAIS,LAMINAD.,PERFILADOS E ARTEFATOS METALICOS</t>
        </r>
      </text>
    </comment>
    <comment ref="Y204" authorId="0" shapeId="0" xr:uid="{251E4857-2BDD-43CF-8F00-098B95AEF105}">
      <text>
        <r>
          <rPr>
            <sz val="10"/>
            <color indexed="81"/>
            <rFont val="Lucida Console"/>
            <family val="3"/>
          </rPr>
          <t>_x000D_
BARRAS DE ACO ESPECIFICOS P/ USOS VARIADOS</t>
        </r>
      </text>
    </comment>
    <comment ref="AW204" authorId="0" shapeId="0" xr:uid="{4D62437B-936C-4693-BC1A-3F7FB1A4F76D}">
      <text>
        <r>
          <rPr>
            <sz val="10"/>
            <color indexed="81"/>
            <rFont val="Lucida Console"/>
            <family val="3"/>
          </rPr>
          <t>Tempo de Estoque (Meses)_x000D_
_x000D_
805,0</t>
        </r>
      </text>
    </comment>
    <comment ref="A205" authorId="0" shapeId="0" xr:uid="{E314876B-9F0A-4652-9530-51740A4DBB20}">
      <text>
        <r>
          <rPr>
            <sz val="10"/>
            <color indexed="81"/>
            <rFont val="Lucida Console"/>
            <family val="3"/>
          </rPr>
          <t>_x000D_
101867</t>
        </r>
      </text>
    </comment>
    <comment ref="B205" authorId="0" shapeId="0" xr:uid="{AA85B066-A67C-4518-A0FC-919982312E74}">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205" authorId="0" shapeId="0" xr:uid="{1E993FE6-618E-4C41-BC30-AC9C6E4CB734}">
      <text>
        <r>
          <rPr>
            <sz val="10"/>
            <color indexed="81"/>
            <rFont val="Lucida Console"/>
            <family val="3"/>
          </rPr>
          <t>_x000D_
Últ estimativa : 50_x000D_
Enviada em     : 28.01.2021_x000D_
Ata - Venc     : 104/20 - 03.05.2021</t>
        </r>
      </text>
    </comment>
    <comment ref="O205" authorId="0" shapeId="0" xr:uid="{C1698F56-6F83-4F94-80D0-7D48343DD8F2}">
      <text>
        <r>
          <rPr>
            <sz val="10"/>
            <color indexed="81"/>
            <rFont val="Lucida Console"/>
            <family val="3"/>
          </rPr>
          <t>_x000D_
Pertencia a ATA nº 104/20_x000D_
Estimativa de Renovação enviada em 28.01.2021 - Qtd 50_x000D_
PE  17/20 lote _x000D_
19.05.20 = Finalizar, contrato assinado.</t>
        </r>
      </text>
    </comment>
    <comment ref="W205" authorId="0" shapeId="0" xr:uid="{CFCEC2F3-94DA-4FEE-B13A-21DDAEACBB2F}">
      <text>
        <r>
          <rPr>
            <sz val="10"/>
            <color indexed="81"/>
            <rFont val="Lucida Console"/>
            <family val="3"/>
          </rPr>
          <t>_x000D_
DM-Serralheria</t>
        </r>
      </text>
    </comment>
    <comment ref="X205" authorId="0" shapeId="0" xr:uid="{60A8C60B-E2D3-4989-87EC-0AA22FBC3938}">
      <text>
        <r>
          <rPr>
            <sz val="10"/>
            <color indexed="81"/>
            <rFont val="Lucida Console"/>
            <family val="3"/>
          </rPr>
          <t>_x000D_
METAIS,LAMINAD.,PERFILADOS E ARTEFATOS METALICOS</t>
        </r>
      </text>
    </comment>
    <comment ref="Y205" authorId="0" shapeId="0" xr:uid="{2718CB9A-E3A9-410D-AB34-8D889E8A1E1D}">
      <text>
        <r>
          <rPr>
            <sz val="10"/>
            <color indexed="81"/>
            <rFont val="Lucida Console"/>
            <family val="3"/>
          </rPr>
          <t>_x000D_
BARRAS DE ACO ESPECIFICOS P/ USOS VARIADOS</t>
        </r>
      </text>
    </comment>
    <comment ref="AW205" authorId="0" shapeId="0" xr:uid="{FEA27DA0-CDDD-4B27-A9F0-FD29A0063542}">
      <text>
        <r>
          <rPr>
            <sz val="10"/>
            <color indexed="81"/>
            <rFont val="Lucida Console"/>
            <family val="3"/>
          </rPr>
          <t>Tempo de Estoque (Meses)_x000D_
_x000D_
81,0</t>
        </r>
      </text>
    </comment>
    <comment ref="A206" authorId="0" shapeId="0" xr:uid="{CC6A5B23-F29C-4F90-9B50-822D9CA595D5}">
      <text>
        <r>
          <rPr>
            <sz val="10"/>
            <color indexed="81"/>
            <rFont val="Lucida Console"/>
            <family val="3"/>
          </rPr>
          <t>_x000D_
101868</t>
        </r>
      </text>
    </comment>
    <comment ref="B206" authorId="0" shapeId="0" xr:uid="{CC0C391C-CB12-4463-83E8-563D9826D6F3}">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06" authorId="0" shapeId="0" xr:uid="{10923C49-57FE-407C-8296-1B6D3918A58B}">
      <text>
        <r>
          <rPr>
            <sz val="10"/>
            <color indexed="81"/>
            <rFont val="Lucida Console"/>
            <family val="3"/>
          </rPr>
          <t>_x000D_
Últ estimativa : 0_x000D_
Enviada em     : 28.01.2021_x000D_
Ata - Venc     : 104/20 - 03.05.2021</t>
        </r>
      </text>
    </comment>
    <comment ref="O206" authorId="0" shapeId="0" xr:uid="{8D244BFE-A31D-43D5-8AB4-2DA7775DD49D}">
      <text>
        <r>
          <rPr>
            <sz val="10"/>
            <color indexed="81"/>
            <rFont val="Lucida Console"/>
            <family val="3"/>
          </rPr>
          <t>_x000D_
Pertencia a ATA nº 104/20_x000D_
Estimativa de Renovação enviada em 28.01.2021 - Qtd _x000D_
PE  17/20 lote _x000D_
19.05.20 = Finalizar, contrato assinado.</t>
        </r>
      </text>
    </comment>
    <comment ref="W206" authorId="0" shapeId="0" xr:uid="{1351E3E6-2AB7-4648-88E6-F64D98FDC6CD}">
      <text>
        <r>
          <rPr>
            <sz val="10"/>
            <color indexed="81"/>
            <rFont val="Lucida Console"/>
            <family val="3"/>
          </rPr>
          <t>_x000D_
DM-Serralheria</t>
        </r>
      </text>
    </comment>
    <comment ref="X206" authorId="0" shapeId="0" xr:uid="{2936F14D-2CF2-4A8C-9B4B-5D21684B406D}">
      <text>
        <r>
          <rPr>
            <sz val="10"/>
            <color indexed="81"/>
            <rFont val="Lucida Console"/>
            <family val="3"/>
          </rPr>
          <t>_x000D_
METAIS,LAMINAD.,PERFILADOS E ARTEFATOS METALICOS</t>
        </r>
      </text>
    </comment>
    <comment ref="Y206" authorId="0" shapeId="0" xr:uid="{21035364-BF4C-4376-9219-A078C9C879E4}">
      <text>
        <r>
          <rPr>
            <sz val="10"/>
            <color indexed="81"/>
            <rFont val="Lucida Console"/>
            <family val="3"/>
          </rPr>
          <t>_x000D_
BARRAS DE ACO ESPECIFICOS P/ USOS VARIADOS</t>
        </r>
      </text>
    </comment>
    <comment ref="AW206" authorId="0" shapeId="0" xr:uid="{E52C409E-2160-4EF9-8A90-3B306CAEF96E}">
      <text>
        <r>
          <rPr>
            <sz val="10"/>
            <color indexed="81"/>
            <rFont val="Lucida Console"/>
            <family val="3"/>
          </rPr>
          <t>Tempo de Estoque (Meses)_x000D_
_x000D_
1.239,0</t>
        </r>
      </text>
    </comment>
    <comment ref="A207" authorId="0" shapeId="0" xr:uid="{3717831A-3330-4E5A-AF68-2E35DDF58B16}">
      <text>
        <r>
          <rPr>
            <sz val="10"/>
            <color indexed="81"/>
            <rFont val="Lucida Console"/>
            <family val="3"/>
          </rPr>
          <t>_x000D_
102276</t>
        </r>
      </text>
    </comment>
    <comment ref="B207" authorId="0" shapeId="0" xr:uid="{F8C53EFF-C2B5-442B-9004-D9E8F5F87C2F}">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07" authorId="0" shapeId="0" xr:uid="{30E3EF4C-7E2C-423C-8E44-7E957EF02E1F}">
      <text>
        <r>
          <rPr>
            <sz val="10"/>
            <color indexed="81"/>
            <rFont val="Lucida Console"/>
            <family val="3"/>
          </rPr>
          <t>_x000D_
Últ estimativa : 100_x000D_
Enviada em     : 28.01.2021_x000D_
Ata - Venc     : 104/20 - 03.05.2021</t>
        </r>
      </text>
    </comment>
    <comment ref="O207" authorId="0" shapeId="0" xr:uid="{8D11CC43-8B5D-489B-8E49-08DCC0676DBD}">
      <text>
        <r>
          <rPr>
            <sz val="10"/>
            <color indexed="81"/>
            <rFont val="Lucida Console"/>
            <family val="3"/>
          </rPr>
          <t>_x000D_
Pertencia a ATA nº 104/20_x000D_
Estimativa de Renovação enviada em 28.01.2021 - Qtd 100_x000D_
PE  17/20 lote _x000D_
19.05.20 = Finalizar, contrato assinado.</t>
        </r>
      </text>
    </comment>
    <comment ref="W207" authorId="0" shapeId="0" xr:uid="{557F6E37-B095-4BF6-BA38-F3E8421E2531}">
      <text>
        <r>
          <rPr>
            <sz val="10"/>
            <color indexed="81"/>
            <rFont val="Lucida Console"/>
            <family val="3"/>
          </rPr>
          <t>_x000D_
DM-Serralheria</t>
        </r>
      </text>
    </comment>
    <comment ref="X207" authorId="0" shapeId="0" xr:uid="{0BA5202A-11EB-4B9F-88B1-D76D76CFB49B}">
      <text>
        <r>
          <rPr>
            <sz val="10"/>
            <color indexed="81"/>
            <rFont val="Lucida Console"/>
            <family val="3"/>
          </rPr>
          <t>_x000D_
METAIS,LAMINAD.,PERFILADOS E ARTEFATOS METALICOS</t>
        </r>
      </text>
    </comment>
    <comment ref="Y207" authorId="0" shapeId="0" xr:uid="{998EB8E6-276B-47DD-96B8-13886B2E4E86}">
      <text>
        <r>
          <rPr>
            <sz val="10"/>
            <color indexed="81"/>
            <rFont val="Lucida Console"/>
            <family val="3"/>
          </rPr>
          <t>_x000D_
BARRAS DE ACO ESPECIFICOS P/ USOS VARIADOS</t>
        </r>
      </text>
    </comment>
    <comment ref="AW207" authorId="0" shapeId="0" xr:uid="{3AD4E387-50C0-4239-B262-060E0A0B5A28}">
      <text>
        <r>
          <rPr>
            <sz val="10"/>
            <color indexed="81"/>
            <rFont val="Lucida Console"/>
            <family val="3"/>
          </rPr>
          <t>Tempo de Estoque (Meses)_x000D_
_x000D_
256,0</t>
        </r>
      </text>
    </comment>
    <comment ref="A208" authorId="0" shapeId="0" xr:uid="{7B65B5AD-DD4A-4AA8-8EE5-50F2CBC03550}">
      <text>
        <r>
          <rPr>
            <sz val="10"/>
            <color indexed="81"/>
            <rFont val="Lucida Console"/>
            <family val="3"/>
          </rPr>
          <t>_x000D_
102279</t>
        </r>
      </text>
    </comment>
    <comment ref="B208" authorId="0" shapeId="0" xr:uid="{B9B87253-A068-4A7D-A4F3-663C5882ABB8}">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08" authorId="0" shapeId="0" xr:uid="{019C9320-4F4B-4B6A-83DF-2AA0FB650E7F}">
      <text>
        <r>
          <rPr>
            <sz val="10"/>
            <color indexed="81"/>
            <rFont val="Lucida Console"/>
            <family val="3"/>
          </rPr>
          <t>_x000D_
Últ estimativa : 0_x000D_
Enviada em     : 28.01.2021_x000D_
Ata - Venc     : 104/20 - 03.05.2021</t>
        </r>
      </text>
    </comment>
    <comment ref="O208" authorId="0" shapeId="0" xr:uid="{789F5985-B203-4632-960E-096E50CBC342}">
      <text>
        <r>
          <rPr>
            <sz val="10"/>
            <color indexed="81"/>
            <rFont val="Lucida Console"/>
            <family val="3"/>
          </rPr>
          <t>_x000D_
Pertencia a ATA nº 104/20_x000D_
Estimativa de Renovação enviada em 28.01.2021 - Qtd _x000D_
PE  17/20 lote _x000D_
19.05.20 = Finalizar, contrato assinado.</t>
        </r>
      </text>
    </comment>
    <comment ref="W208" authorId="0" shapeId="0" xr:uid="{94977AB8-2996-43C9-A77C-872CC38117A3}">
      <text>
        <r>
          <rPr>
            <sz val="10"/>
            <color indexed="81"/>
            <rFont val="Lucida Console"/>
            <family val="3"/>
          </rPr>
          <t>_x000D_
DM-Serralheria</t>
        </r>
      </text>
    </comment>
    <comment ref="X208" authorId="0" shapeId="0" xr:uid="{278B5C4D-6B80-4C60-836E-0FCB6B9F1880}">
      <text>
        <r>
          <rPr>
            <sz val="10"/>
            <color indexed="81"/>
            <rFont val="Lucida Console"/>
            <family val="3"/>
          </rPr>
          <t>_x000D_
METAIS,LAMINAD.,PERFILADOS E ARTEFATOS METALICOS</t>
        </r>
      </text>
    </comment>
    <comment ref="Y208" authorId="0" shapeId="0" xr:uid="{D8B8C8E4-BFF0-40BE-B3EC-BA1FF5BAEE70}">
      <text>
        <r>
          <rPr>
            <sz val="10"/>
            <color indexed="81"/>
            <rFont val="Lucida Console"/>
            <family val="3"/>
          </rPr>
          <t>_x000D_
BARRAS DE ACO ESPECIFICOS P/ USOS VARIADOS</t>
        </r>
      </text>
    </comment>
    <comment ref="AW208" authorId="0" shapeId="0" xr:uid="{4D9B0FA4-7FEA-4B9B-84FE-BCFDC8691567}">
      <text>
        <r>
          <rPr>
            <sz val="10"/>
            <color indexed="81"/>
            <rFont val="Lucida Console"/>
            <family val="3"/>
          </rPr>
          <t>Tempo de Estoque (Meses)_x000D_
_x000D_
330,0</t>
        </r>
      </text>
    </comment>
    <comment ref="A209" authorId="0" shapeId="0" xr:uid="{1C74B6F2-3C1E-4E22-B135-210F7E76A51A}">
      <text>
        <r>
          <rPr>
            <sz val="10"/>
            <color indexed="81"/>
            <rFont val="Lucida Console"/>
            <family val="3"/>
          </rPr>
          <t>_x000D_
12763</t>
        </r>
      </text>
    </comment>
    <comment ref="B209" authorId="0" shapeId="0" xr:uid="{8116CA39-F6AD-4F4C-8CA7-F0963FF6D6A6}">
      <text>
        <r>
          <rPr>
            <sz val="10"/>
            <color indexed="81"/>
            <rFont val="Lucida Console"/>
            <family val="3"/>
          </rPr>
          <t>DESCRIÇÃO DETALHADA_x000D_
CAL HIDRATADA - SACO COM 20 KG</t>
        </r>
      </text>
    </comment>
    <comment ref="G209" authorId="0" shapeId="0" xr:uid="{BA9145D8-5A02-4E31-9C6F-C9C05ADF3502}">
      <text>
        <r>
          <rPr>
            <sz val="10"/>
            <color indexed="81"/>
            <rFont val="Lucida Console"/>
            <family val="3"/>
          </rPr>
          <t>_x000D_
Últ estimativa : 700_x000D_
Enviada em     : 08.09.2020_x000D_
Ata - Venc     : 105/21 - 07.04.2022</t>
        </r>
      </text>
    </comment>
    <comment ref="O209" authorId="0" shapeId="0" xr:uid="{C7034E06-3A37-4EDA-BA70-A8DB2D2ADC6A}">
      <text>
        <r>
          <rPr>
            <sz val="10"/>
            <color indexed="81"/>
            <rFont val="Lucida Console"/>
            <family val="3"/>
          </rPr>
          <t>_x000D_
Pertencia a ATA nº 105/21_x000D_
Estimativa de Renovação enviada em 08.09.2020 - Qtd 700_x000D_
PE  26/21 lote _x000D_
16.03.21 = Processo finalizado. Ata 105/21.</t>
        </r>
      </text>
    </comment>
    <comment ref="W209" authorId="0" shapeId="0" xr:uid="{DF71CA0D-F7B6-4157-BE57-8B684099AE1D}">
      <text>
        <r>
          <rPr>
            <sz val="10"/>
            <color indexed="81"/>
            <rFont val="Lucida Console"/>
            <family val="3"/>
          </rPr>
          <t>_x000D_
DM-Construção</t>
        </r>
      </text>
    </comment>
    <comment ref="X209" authorId="0" shapeId="0" xr:uid="{F604D14A-8332-42A1-B4D2-D97D0375044D}">
      <text>
        <r>
          <rPr>
            <sz val="10"/>
            <color indexed="81"/>
            <rFont val="Lucida Console"/>
            <family val="3"/>
          </rPr>
          <t>_x000D_
MAT.E EQUIP. P/ CONSTR.CIVIL E CONSERV. DE VIAS PUBL.</t>
        </r>
      </text>
    </comment>
    <comment ref="Y209" authorId="0" shapeId="0" xr:uid="{D139CA7E-5106-4AFB-A867-23B95D6FF9E5}">
      <text>
        <r>
          <rPr>
            <sz val="10"/>
            <color indexed="81"/>
            <rFont val="Lucida Console"/>
            <family val="3"/>
          </rPr>
          <t>_x000D_
CIMENTO, CAL E GESSO</t>
        </r>
      </text>
    </comment>
    <comment ref="AW209" authorId="0" shapeId="0" xr:uid="{B6DA9140-DA83-48CE-A1F5-B33F7DA8493E}">
      <text>
        <r>
          <rPr>
            <sz val="10"/>
            <color indexed="81"/>
            <rFont val="Lucida Console"/>
            <family val="3"/>
          </rPr>
          <t>Tempo de Estoque (Meses)_x000D_
_x000D_
1.060,0</t>
        </r>
      </text>
    </comment>
    <comment ref="A210" authorId="0" shapeId="0" xr:uid="{4557E672-8AA4-44BF-9F63-944646325453}">
      <text>
        <r>
          <rPr>
            <sz val="10"/>
            <color indexed="81"/>
            <rFont val="Lucida Console"/>
            <family val="3"/>
          </rPr>
          <t>_x000D_
26282</t>
        </r>
      </text>
    </comment>
    <comment ref="B210" authorId="0" shapeId="0" xr:uid="{0D6B895F-583E-45F0-B9EF-B74FDDC8F8C3}">
      <text>
        <r>
          <rPr>
            <sz val="10"/>
            <color indexed="81"/>
            <rFont val="Lucida Console"/>
            <family val="3"/>
          </rPr>
          <t>DESCRIÇÃO DETALHADA_x000D_
CAIXILHO DE FERRO PERFILADO - DE CORRER - 1,20 X 2,00 M</t>
        </r>
      </text>
    </comment>
    <comment ref="G210" authorId="0" shapeId="0" xr:uid="{F41DF705-304D-41A1-83F6-C0299C8837C7}">
      <text>
        <r>
          <rPr>
            <sz val="10"/>
            <color indexed="81"/>
            <rFont val="Lucida Console"/>
            <family val="3"/>
          </rPr>
          <t>_x000D_
Últ estimativa : 0_x000D_
Enviada em     : 08.09.2020_x000D_
Ata - Venc     : 105/21 - 07.04.2022</t>
        </r>
      </text>
    </comment>
    <comment ref="O210" authorId="0" shapeId="0" xr:uid="{355D2EEC-967B-43F9-B5AC-2A76BF9217E9}">
      <text>
        <r>
          <rPr>
            <sz val="10"/>
            <color indexed="81"/>
            <rFont val="Lucida Console"/>
            <family val="3"/>
          </rPr>
          <t>_x000D_
Pertencia a ATA nº 105/21_x000D_
Estimativa de Renovação enviada em 08.09.2020 - Qtd _x000D_
PE  26/21 lote _x000D_
16.03.21 = Processo finalizado. Ata 105/21.</t>
        </r>
      </text>
    </comment>
    <comment ref="W210" authorId="0" shapeId="0" xr:uid="{A1BCBF46-ABCA-492C-B906-9B1C2F2CF345}">
      <text>
        <r>
          <rPr>
            <sz val="10"/>
            <color indexed="81"/>
            <rFont val="Lucida Console"/>
            <family val="3"/>
          </rPr>
          <t>_x000D_
DM-Construção</t>
        </r>
      </text>
    </comment>
    <comment ref="X210" authorId="0" shapeId="0" xr:uid="{53867ADA-F306-48BD-93A2-61F36272884B}">
      <text>
        <r>
          <rPr>
            <sz val="10"/>
            <color indexed="81"/>
            <rFont val="Lucida Console"/>
            <family val="3"/>
          </rPr>
          <t>_x000D_
MAT.E EQUIP. P/ CONSTR.CIVIL E CONSERV. DE VIAS PUBL.</t>
        </r>
      </text>
    </comment>
    <comment ref="Y210" authorId="0" shapeId="0" xr:uid="{211ADBD4-443E-4219-83C7-E00C626CDE37}">
      <text>
        <r>
          <rPr>
            <sz val="10"/>
            <color indexed="81"/>
            <rFont val="Lucida Console"/>
            <family val="3"/>
          </rPr>
          <t>_x000D_
CAIXILHOS, JANELAS E VITROS</t>
        </r>
      </text>
    </comment>
    <comment ref="AW210" authorId="0" shapeId="0" xr:uid="{6261F0AE-BFF0-4BA1-B5FE-C7F62BA9DDCD}">
      <text>
        <r>
          <rPr>
            <sz val="10"/>
            <color indexed="81"/>
            <rFont val="Lucida Console"/>
            <family val="3"/>
          </rPr>
          <t>Tempo de Estoque (Meses)_x000D_
_x000D_
19,0</t>
        </r>
      </text>
    </comment>
    <comment ref="A211" authorId="0" shapeId="0" xr:uid="{F677E3B2-05C8-4EF8-9344-E8FFEEC8C9B8}">
      <text>
        <r>
          <rPr>
            <sz val="10"/>
            <color indexed="81"/>
            <rFont val="Lucida Console"/>
            <family val="3"/>
          </rPr>
          <t>_x000D_
34214</t>
        </r>
      </text>
    </comment>
    <comment ref="B211" authorId="0" shapeId="0" xr:uid="{15BA8606-012D-44EB-95B0-C8D248389F04}">
      <text>
        <r>
          <rPr>
            <sz val="10"/>
            <color indexed="81"/>
            <rFont val="Lucida Console"/>
            <family val="3"/>
          </rPr>
          <t>DESCRIÇÃO DETALHADA_x000D_
CAIXILHO DE FERRO PERFILADO DE CORRER, S/ GRADE - MEDIDAS:1,20 X 1,50M</t>
        </r>
      </text>
    </comment>
    <comment ref="G211" authorId="0" shapeId="0" xr:uid="{244FDA00-518C-4280-8F62-248093507816}">
      <text>
        <r>
          <rPr>
            <sz val="10"/>
            <color indexed="81"/>
            <rFont val="Lucida Console"/>
            <family val="3"/>
          </rPr>
          <t>_x000D_
Últ estimativa : 0_x000D_
Enviada em     : 08.09.2020_x000D_
Ata - Venc     : 105/21 - 07.04.2022</t>
        </r>
      </text>
    </comment>
    <comment ref="O211" authorId="0" shapeId="0" xr:uid="{1F1F4EEF-8A7A-4D47-952C-BFFAFBCBB472}">
      <text>
        <r>
          <rPr>
            <sz val="10"/>
            <color indexed="81"/>
            <rFont val="Lucida Console"/>
            <family val="3"/>
          </rPr>
          <t>_x000D_
Pertencia a ATA nº 105/21_x000D_
Estimativa de Renovação enviada em 08.09.2020 - Qtd _x000D_
PE  26/21 lote _x000D_
16.03.21 = Processo finalizado. Ata 105/21.</t>
        </r>
      </text>
    </comment>
    <comment ref="W211" authorId="0" shapeId="0" xr:uid="{7530E168-DB8A-40F5-BBF0-ADE58120D714}">
      <text>
        <r>
          <rPr>
            <sz val="10"/>
            <color indexed="81"/>
            <rFont val="Lucida Console"/>
            <family val="3"/>
          </rPr>
          <t>_x000D_
DM-Construção</t>
        </r>
      </text>
    </comment>
    <comment ref="X211" authorId="0" shapeId="0" xr:uid="{9A72DC57-447C-4638-A890-D1C3527C39D4}">
      <text>
        <r>
          <rPr>
            <sz val="10"/>
            <color indexed="81"/>
            <rFont val="Lucida Console"/>
            <family val="3"/>
          </rPr>
          <t>_x000D_
MAT.E EQUIP. P/ CONSTR.CIVIL E CONSERV. DE VIAS PUBL.</t>
        </r>
      </text>
    </comment>
    <comment ref="Y211" authorId="0" shapeId="0" xr:uid="{9C34D731-AF7A-4F30-A9A9-D7E5E752D115}">
      <text>
        <r>
          <rPr>
            <sz val="10"/>
            <color indexed="81"/>
            <rFont val="Lucida Console"/>
            <family val="3"/>
          </rPr>
          <t>_x000D_
CAIXILHOS, JANELAS E VITROS</t>
        </r>
      </text>
    </comment>
    <comment ref="AW211" authorId="0" shapeId="0" xr:uid="{15953BA5-B4DE-4D3F-ADE7-22A72EE57B48}">
      <text>
        <r>
          <rPr>
            <sz val="10"/>
            <color indexed="81"/>
            <rFont val="Lucida Console"/>
            <family val="3"/>
          </rPr>
          <t>Tempo de Estoque (Meses)_x000D_
_x000D_
21,0</t>
        </r>
      </text>
    </comment>
    <comment ref="A212" authorId="0" shapeId="0" xr:uid="{E9358AFE-9922-464A-9FDF-CE2E2EFD4C2A}">
      <text>
        <r>
          <rPr>
            <sz val="10"/>
            <color indexed="81"/>
            <rFont val="Lucida Console"/>
            <family val="3"/>
          </rPr>
          <t>_x000D_
115841</t>
        </r>
      </text>
    </comment>
    <comment ref="B212" authorId="0" shapeId="0" xr:uid="{20135078-FE87-42D8-A973-516CFC6DFD30}">
      <text>
        <r>
          <rPr>
            <sz val="10"/>
            <color indexed="81"/>
            <rFont val="Lucida Console"/>
            <family val="3"/>
          </rPr>
          <t>DESCRIÇÃO DETALHADA_x000D_
VITRO DE CORRER EM ALUMINIO COM VIDROS E GRADE EM ALUMINIO FOSCO MEDINDO: 1,50 X 1,20M</t>
        </r>
      </text>
    </comment>
    <comment ref="G212" authorId="0" shapeId="0" xr:uid="{AAF94BC3-286D-48F0-B8C9-0CB3163B90F3}">
      <text>
        <r>
          <rPr>
            <sz val="10"/>
            <color indexed="81"/>
            <rFont val="Lucida Console"/>
            <family val="3"/>
          </rPr>
          <t>_x000D_
Últ estimativa : 30_x000D_
Enviada em     : 14.02.2020_x000D_
Ata - Venc     : 105/21 - 07.04.2022</t>
        </r>
      </text>
    </comment>
    <comment ref="O212" authorId="0" shapeId="0" xr:uid="{74B4F375-1249-4429-BB90-8EC8BDDA115F}">
      <text>
        <r>
          <rPr>
            <sz val="10"/>
            <color indexed="81"/>
            <rFont val="Lucida Console"/>
            <family val="3"/>
          </rPr>
          <t>_x000D_
Pertencia a ATA nº 105/21_x000D_
Estimativa de Renovação enviada em 14.02.2020 - Qtd 30_x000D_
PE  26/21 lote _x000D_
16.03.21 = Processo finalizado. Ata 105/21.</t>
        </r>
      </text>
    </comment>
    <comment ref="W212" authorId="0" shapeId="0" xr:uid="{933FDFF9-7222-42CF-A80F-61B46D4CE2CF}">
      <text>
        <r>
          <rPr>
            <sz val="10"/>
            <color indexed="81"/>
            <rFont val="Lucida Console"/>
            <family val="3"/>
          </rPr>
          <t>_x000D_
DM-Construção</t>
        </r>
      </text>
    </comment>
    <comment ref="X212" authorId="0" shapeId="0" xr:uid="{BA019C22-7ED1-4937-891D-0F9604B42854}">
      <text>
        <r>
          <rPr>
            <sz val="10"/>
            <color indexed="81"/>
            <rFont val="Lucida Console"/>
            <family val="3"/>
          </rPr>
          <t>_x000D_
MAT.E EQUIP. P/ CONSTR.CIVIL E CONSERV. DE VIAS PUBL.</t>
        </r>
      </text>
    </comment>
    <comment ref="Y212" authorId="0" shapeId="0" xr:uid="{0ED3FFEF-6A9A-4EFC-AC7D-F491A37D20DF}">
      <text>
        <r>
          <rPr>
            <sz val="10"/>
            <color indexed="81"/>
            <rFont val="Lucida Console"/>
            <family val="3"/>
          </rPr>
          <t>_x000D_
CAIXILHOS, JANELAS E VITROS</t>
        </r>
      </text>
    </comment>
    <comment ref="AW212" authorId="0" shapeId="0" xr:uid="{624E501A-32F4-403B-8444-B835ED52FE4A}">
      <text>
        <r>
          <rPr>
            <sz val="10"/>
            <color indexed="81"/>
            <rFont val="Lucida Console"/>
            <family val="3"/>
          </rPr>
          <t>Tempo de Estoque (Meses)_x000D_
_x000D_
14,0</t>
        </r>
      </text>
    </comment>
    <comment ref="A213" authorId="0" shapeId="0" xr:uid="{2F553713-422F-4E67-9BE1-3C938A6EC138}">
      <text>
        <r>
          <rPr>
            <sz val="10"/>
            <color indexed="81"/>
            <rFont val="Lucida Console"/>
            <family val="3"/>
          </rPr>
          <t>_x000D_
133433</t>
        </r>
      </text>
    </comment>
    <comment ref="B213" authorId="0" shapeId="0" xr:uid="{64FA7E1E-5183-4D26-B131-51B98AE3217A}">
      <text>
        <r>
          <rPr>
            <sz val="10"/>
            <color indexed="81"/>
            <rFont val="Lucida Console"/>
            <family val="3"/>
          </rPr>
          <t>DESCRIÇÃO DETALHADA_x000D_
TELA EM ACO INOX 304, MALHA 14, DIAMETRO DO FIO 0,25 MM, LARGURA 1.200 MM (PODENDO VARIAR +/- 50 MM) - ROLO COM 30 METROS.</t>
        </r>
      </text>
    </comment>
    <comment ref="G213" authorId="0" shapeId="0" xr:uid="{0B121EA2-8D45-4298-A903-93AE7F1B0832}">
      <text>
        <r>
          <rPr>
            <sz val="10"/>
            <color indexed="81"/>
            <rFont val="Lucida Console"/>
            <family val="3"/>
          </rPr>
          <t>_x000D_
Últ estimativa : 40_x000D_
Enviada em     : 19.05.2021_x000D_
Ata - Venc     : 109/17 - 01.07.2018</t>
        </r>
      </text>
    </comment>
    <comment ref="O213" authorId="0" shapeId="0" xr:uid="{C7919FF9-87BF-48BB-9273-11E70DA7AEA7}">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13" authorId="0" shapeId="0" xr:uid="{EE9ECB67-85A5-4E80-8CC0-0274D6253083}">
      <text>
        <r>
          <rPr>
            <sz val="10"/>
            <color indexed="81"/>
            <rFont val="Lucida Console"/>
            <family val="3"/>
          </rPr>
          <t>_x000D_
DM-Construção</t>
        </r>
      </text>
    </comment>
    <comment ref="X213" authorId="0" shapeId="0" xr:uid="{2F31DB29-333D-49DB-9FD4-0CB6B1B6C9CA}">
      <text>
        <r>
          <rPr>
            <sz val="10"/>
            <color indexed="81"/>
            <rFont val="Lucida Console"/>
            <family val="3"/>
          </rPr>
          <t>_x000D_
MAT.E EQUIP. P/ CONSTR.CIVIL E CONSERV. DE VIAS PUBL.</t>
        </r>
      </text>
    </comment>
    <comment ref="Y213" authorId="0" shapeId="0" xr:uid="{E79FB176-0CDB-44D3-AF56-4A52432FAD94}">
      <text>
        <r>
          <rPr>
            <sz val="10"/>
            <color indexed="81"/>
            <rFont val="Lucida Console"/>
            <family val="3"/>
          </rPr>
          <t>_x000D_
TELAS DE MALHA FINA, GROSSA, DE ALAMBRADO E MOUROES</t>
        </r>
      </text>
    </comment>
    <comment ref="AW213" authorId="0" shapeId="0" xr:uid="{57BD02FF-DED6-42A1-BC33-76563527E7D4}">
      <text>
        <r>
          <rPr>
            <sz val="10"/>
            <color indexed="81"/>
            <rFont val="Lucida Console"/>
            <family val="3"/>
          </rPr>
          <t>Tempo de Estoque (Meses)_x000D_
_x000D_
153,0</t>
        </r>
      </text>
    </comment>
    <comment ref="A214" authorId="0" shapeId="0" xr:uid="{BD1BBF8F-07D5-4135-913A-45F4F18B2DB5}">
      <text>
        <r>
          <rPr>
            <sz val="10"/>
            <color indexed="81"/>
            <rFont val="Lucida Console"/>
            <family val="3"/>
          </rPr>
          <t>_x000D_
121126</t>
        </r>
      </text>
    </comment>
    <comment ref="B214" authorId="0" shapeId="0" xr:uid="{DFAA7F11-744A-4065-BFA5-20D09F674FB9}">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14" authorId="0" shapeId="0" xr:uid="{9E36529D-E33F-40DE-8418-396779CF03ED}">
      <text>
        <r>
          <rPr>
            <sz val="10"/>
            <color indexed="81"/>
            <rFont val="Lucida Console"/>
            <family val="3"/>
          </rPr>
          <t>_x000D_
Últ estimativa : 100.000_x000D_
Enviada em     : 28.01.2021_x000D_
Ata - Venc     : 111/20 - 20.05.2021</t>
        </r>
      </text>
    </comment>
    <comment ref="O214" authorId="0" shapeId="0" xr:uid="{B9AE5AFA-E302-4532-A8DE-F9D91C6DE75F}">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14" authorId="0" shapeId="0" xr:uid="{1B076245-EAAB-420D-A8C9-577F546E93E4}">
      <text>
        <r>
          <rPr>
            <sz val="10"/>
            <color indexed="81"/>
            <rFont val="Lucida Console"/>
            <family val="3"/>
          </rPr>
          <t>_x000D_
SegMedTra</t>
        </r>
      </text>
    </comment>
    <comment ref="X214" authorId="0" shapeId="0" xr:uid="{FBB7F7B0-268C-4F29-92D8-BE1C83C2F6E7}">
      <text>
        <r>
          <rPr>
            <sz val="10"/>
            <color indexed="81"/>
            <rFont val="Lucida Console"/>
            <family val="3"/>
          </rPr>
          <t>_x000D_
VEST., ART.P/ TOUC.E HIG. PES. MAQ., EQUIP., MAT.E ACES.</t>
        </r>
      </text>
    </comment>
    <comment ref="Y214" authorId="0" shapeId="0" xr:uid="{3B37F7BD-6DE0-4E7E-8E55-60E5473BD322}">
      <text>
        <r>
          <rPr>
            <sz val="10"/>
            <color indexed="81"/>
            <rFont val="Lucida Console"/>
            <family val="3"/>
          </rPr>
          <t>_x000D_
VESTUARIO MEDICO-HOSPITALAR</t>
        </r>
      </text>
    </comment>
    <comment ref="AW214" authorId="0" shapeId="0" xr:uid="{96CDBA63-F6A2-4E77-A2CE-5201B06F4E7C}">
      <text>
        <r>
          <rPr>
            <sz val="10"/>
            <color indexed="81"/>
            <rFont val="Lucida Console"/>
            <family val="3"/>
          </rPr>
          <t>Tempo de Estoque (Meses)_x000D_
_x000D_
200.000,0</t>
        </r>
      </text>
    </comment>
    <comment ref="A215" authorId="0" shapeId="0" xr:uid="{6B70A297-2666-4887-9B6E-BBBA15A6594F}">
      <text>
        <r>
          <rPr>
            <sz val="10"/>
            <color indexed="81"/>
            <rFont val="Lucida Console"/>
            <family val="3"/>
          </rPr>
          <t>_x000D_
19842</t>
        </r>
      </text>
    </comment>
    <comment ref="B215" authorId="0" shapeId="0" xr:uid="{9303E052-9F38-450F-A44C-5322B143EF00}">
      <text>
        <r>
          <rPr>
            <sz val="10"/>
            <color indexed="81"/>
            <rFont val="Lucida Console"/>
            <family val="3"/>
          </rPr>
          <t>DESCRIÇÃO DETALHADA_x000D_
PROTETOR DE CABELO TIPO REDE EM NYLON PRETA</t>
        </r>
      </text>
    </comment>
    <comment ref="G215" authorId="0" shapeId="0" xr:uid="{7ACAC246-CF86-491F-B8F8-CA9C2CD86B70}">
      <text>
        <r>
          <rPr>
            <sz val="10"/>
            <color indexed="81"/>
            <rFont val="Lucida Console"/>
            <family val="3"/>
          </rPr>
          <t>_x000D_
Últ estimativa : 10.000_x000D_
Enviada em     : 28.01.2021_x000D_
Ata - Venc     : 111/20 - 20.05.2021</t>
        </r>
      </text>
    </comment>
    <comment ref="O215" authorId="0" shapeId="0" xr:uid="{03222E28-43EC-4968-9D52-15A780225C1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15" authorId="0" shapeId="0" xr:uid="{9618EFF7-3EF8-4BFF-99AC-CF9ADD671216}">
      <text>
        <r>
          <rPr>
            <sz val="10"/>
            <color indexed="81"/>
            <rFont val="Lucida Console"/>
            <family val="3"/>
          </rPr>
          <t>_x000D_
SegMedTra</t>
        </r>
      </text>
    </comment>
    <comment ref="X215" authorId="0" shapeId="0" xr:uid="{4F38C86B-7306-4A3D-B954-BECFFB0D67CD}">
      <text>
        <r>
          <rPr>
            <sz val="10"/>
            <color indexed="81"/>
            <rFont val="Lucida Console"/>
            <family val="3"/>
          </rPr>
          <t>_x000D_
VEST., ART.P/ TOUC.E HIG. PES. MAQ., EQUIP., MAT.E ACES.</t>
        </r>
      </text>
    </comment>
    <comment ref="Y215" authorId="0" shapeId="0" xr:uid="{BF7E88AE-ED4A-4662-9688-494C345DD247}">
      <text>
        <r>
          <rPr>
            <sz val="10"/>
            <color indexed="81"/>
            <rFont val="Lucida Console"/>
            <family val="3"/>
          </rPr>
          <t>_x000D_
VESTUARIO DE USO EM FUNCIONARIOS</t>
        </r>
      </text>
    </comment>
    <comment ref="AW215" authorId="0" shapeId="0" xr:uid="{978B1B04-6E1C-4D95-9132-81B38FC6DB86}">
      <text>
        <r>
          <rPr>
            <sz val="10"/>
            <color indexed="81"/>
            <rFont val="Lucida Console"/>
            <family val="3"/>
          </rPr>
          <t>Tempo de Estoque (Meses)_x000D_
_x000D_
2.800,0</t>
        </r>
      </text>
    </comment>
    <comment ref="A216" authorId="0" shapeId="0" xr:uid="{A5FB8119-A589-4ACE-917D-2F3E8D4A1C41}">
      <text>
        <r>
          <rPr>
            <sz val="10"/>
            <color indexed="81"/>
            <rFont val="Lucida Console"/>
            <family val="3"/>
          </rPr>
          <t>_x000D_
77823</t>
        </r>
      </text>
    </comment>
    <comment ref="B216" authorId="0" shapeId="0" xr:uid="{9710FB35-5B4E-4730-B2B7-FE541BD8B029}">
      <text>
        <r>
          <rPr>
            <sz val="10"/>
            <color indexed="81"/>
            <rFont val="Lucida Console"/>
            <family val="3"/>
          </rPr>
          <t>DESCRIÇÃO DETALHADA_x000D_
RODO DE ALUMINIO DE 60 CM C/ CABO DE ALUMINIO MEDINDO APROXIMADAMENTE 1,30 M  - BORRACHA UNICA E SUBSTITUIVEL (VARIACAO +/- 05 CM DO CABO)</t>
        </r>
      </text>
    </comment>
    <comment ref="G216" authorId="0" shapeId="0" xr:uid="{39C3A6F5-F050-46DF-91D5-713912A64235}">
      <text>
        <r>
          <rPr>
            <sz val="10"/>
            <color indexed="81"/>
            <rFont val="Lucida Console"/>
            <family val="3"/>
          </rPr>
          <t>_x000D_
Últ estimativa : 0_x000D_
Enviada em     : 28.01.2021_x000D_
Ata - Venc     : 111/20 - 20.05.2021</t>
        </r>
      </text>
    </comment>
    <comment ref="O216" authorId="0" shapeId="0" xr:uid="{3E67EBAB-B120-4DA2-8654-A2F53A2D7F5B}">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16" authorId="0" shapeId="0" xr:uid="{3628135C-74FB-4839-93D6-9E3D9F93FF8D}">
      <text>
        <r>
          <rPr>
            <sz val="10"/>
            <color indexed="81"/>
            <rFont val="Lucida Console"/>
            <family val="3"/>
          </rPr>
          <t>_x000D_
Administrativo</t>
        </r>
      </text>
    </comment>
    <comment ref="X216" authorId="0" shapeId="0" xr:uid="{88E718FC-E7FA-4348-A4CF-E9A51E939760}">
      <text>
        <r>
          <rPr>
            <sz val="10"/>
            <color indexed="81"/>
            <rFont val="Lucida Console"/>
            <family val="3"/>
          </rPr>
          <t>_x000D_
MAQ.EQUIP.E MATERIAIS P/ HIGIEN.LIMP.POLIM.E LUBR.</t>
        </r>
      </text>
    </comment>
    <comment ref="Y216" authorId="0" shapeId="0" xr:uid="{BB8D3CEE-7C65-409D-9303-4C2DFEC42410}">
      <text>
        <r>
          <rPr>
            <sz val="10"/>
            <color indexed="81"/>
            <rFont val="Lucida Console"/>
            <family val="3"/>
          </rPr>
          <t>_x000D_
VASSOURAS,ESCOVAS,ESFREGOES,RODOS,DESEMTUP.E ESPAN</t>
        </r>
      </text>
    </comment>
    <comment ref="AW216" authorId="0" shapeId="0" xr:uid="{8EF8498E-5941-4C8E-A47D-48D29E9E7F9A}">
      <text>
        <r>
          <rPr>
            <sz val="10"/>
            <color indexed="81"/>
            <rFont val="Lucida Console"/>
            <family val="3"/>
          </rPr>
          <t>Tempo de Estoque (Meses)_x000D_
_x000D_
37,0</t>
        </r>
      </text>
    </comment>
    <comment ref="A217" authorId="0" shapeId="0" xr:uid="{64C2C4FE-E4EE-4DB3-BAAB-3BA8B1ADE8DB}">
      <text>
        <r>
          <rPr>
            <sz val="10"/>
            <color indexed="81"/>
            <rFont val="Lucida Console"/>
            <family val="3"/>
          </rPr>
          <t>_x000D_
122304</t>
        </r>
      </text>
    </comment>
    <comment ref="B217" authorId="0" shapeId="0" xr:uid="{A26BF694-8BE9-4B6E-A804-88AFE9FF8472}">
      <text>
        <r>
          <rPr>
            <sz val="10"/>
            <color indexed="81"/>
            <rFont val="Lucida Console"/>
            <family val="3"/>
          </rPr>
          <t>DESCRIÇÃO DETALHADA_x000D_
DISCO DE CORTE 4 1/2" DE DIAMETRO EXTERNO, 01 MM DE ESPESSURA E 7/8" DE DIAMETRO DE FURO</t>
        </r>
      </text>
    </comment>
    <comment ref="G217" authorId="0" shapeId="0" xr:uid="{DD5DC68A-9B9B-4FB2-8151-DD3D8CF09ED3}">
      <text>
        <r>
          <rPr>
            <sz val="10"/>
            <color indexed="81"/>
            <rFont val="Lucida Console"/>
            <family val="3"/>
          </rPr>
          <t>_x000D_
Últ estimativa : 1.100_x000D_
Enviada em     : 25.09.2019_x000D_
Ata - Venc     : 114/18 - 07.06.2019</t>
        </r>
      </text>
    </comment>
    <comment ref="O217" authorId="0" shapeId="0" xr:uid="{80A21B89-DEA9-4EBF-B8F8-88387A61D128}">
      <text>
        <r>
          <rPr>
            <sz val="10"/>
            <color indexed="81"/>
            <rFont val="Lucida Console"/>
            <family val="3"/>
          </rPr>
          <t>_x000D_
Pertencia a ATA nº 114/18_x000D_
Estimativa de Renovação enviada em 25.09.2019 - Qtd 1.100_x000D_
PE  17/20 lote 55_x000D_
19.05.20 = Finalizar, contrato assinado.</t>
        </r>
      </text>
    </comment>
    <comment ref="W217" authorId="0" shapeId="0" xr:uid="{45BEEFA2-1FB3-429D-A4AE-9E2857457D5B}">
      <text>
        <r>
          <rPr>
            <sz val="10"/>
            <color indexed="81"/>
            <rFont val="Lucida Console"/>
            <family val="3"/>
          </rPr>
          <t>_x000D_
DM-Serralheria</t>
        </r>
      </text>
    </comment>
    <comment ref="X217" authorId="0" shapeId="0" xr:uid="{1D0E0FCE-9AC4-45A9-9852-4EFD1E002D84}">
      <text>
        <r>
          <rPr>
            <sz val="10"/>
            <color indexed="81"/>
            <rFont val="Lucida Console"/>
            <family val="3"/>
          </rPr>
          <t>_x000D_
ABRASIVOS</t>
        </r>
      </text>
    </comment>
    <comment ref="Y217" authorId="0" shapeId="0" xr:uid="{80791771-C345-42A4-8790-D5315E5DDEB0}">
      <text>
        <r>
          <rPr>
            <sz val="10"/>
            <color indexed="81"/>
            <rFont val="Lucida Console"/>
            <family val="3"/>
          </rPr>
          <t>_x000D_
DISCO DE FIBRA</t>
        </r>
      </text>
    </comment>
    <comment ref="AW217" authorId="0" shapeId="0" xr:uid="{71870550-F777-4762-BE75-3AA7480AA58D}">
      <text>
        <r>
          <rPr>
            <sz val="10"/>
            <color indexed="81"/>
            <rFont val="Lucida Console"/>
            <family val="3"/>
          </rPr>
          <t>Tempo de Estoque (Meses)_x000D_
_x000D_
4.000,0</t>
        </r>
      </text>
    </comment>
    <comment ref="A218" authorId="0" shapeId="0" xr:uid="{4538B07A-BCD6-4BA7-B94A-43922352EDAB}">
      <text>
        <r>
          <rPr>
            <sz val="10"/>
            <color indexed="81"/>
            <rFont val="Lucida Console"/>
            <family val="3"/>
          </rPr>
          <t>_x000D_
115807</t>
        </r>
      </text>
    </comment>
    <comment ref="B218" authorId="0" shapeId="0" xr:uid="{7A724C31-32A4-4F78-BD99-4D82B23A3F0D}">
      <text>
        <r>
          <rPr>
            <sz val="10"/>
            <color indexed="81"/>
            <rFont val="Lucida Console"/>
            <family val="3"/>
          </rPr>
          <t>DESCRIÇÃO DETALHADA_x000D_
CHAPA EM MDF CARVALHO 2 FACES, MEDINDO 2,75 X 1,83 M X 15 MM DE ESPESSURA</t>
        </r>
      </text>
    </comment>
    <comment ref="G218" authorId="0" shapeId="0" xr:uid="{6B0AC27F-5862-40C6-A9F9-2752CB64B897}">
      <text>
        <r>
          <rPr>
            <sz val="10"/>
            <color indexed="81"/>
            <rFont val="Lucida Console"/>
            <family val="3"/>
          </rPr>
          <t>_x000D_
Últ estimativa : 0_x000D_
Enviada em     : 28.01.2021_x000D_
Ata - Venc     : 115/20 - 26.05.2021</t>
        </r>
      </text>
    </comment>
    <comment ref="O218" authorId="0" shapeId="0" xr:uid="{AD5BC0CC-AECA-490F-9450-A8E6F5A29EAD}">
      <text>
        <r>
          <rPr>
            <sz val="10"/>
            <color indexed="81"/>
            <rFont val="Lucida Console"/>
            <family val="3"/>
          </rPr>
          <t>_x000D_
Pertencia a ATA nº 115/20_x000D_
Estimativa de Renovação enviada em 28.01.2021 - Qtd _x000D_
PE  56/21 lote _x000D_
22.04.21 = Processo finalizado. Ata 131/21.</t>
        </r>
      </text>
    </comment>
    <comment ref="W218" authorId="0" shapeId="0" xr:uid="{BF4D2B14-3834-4B04-856E-326F641E7613}">
      <text>
        <r>
          <rPr>
            <sz val="10"/>
            <color indexed="81"/>
            <rFont val="Lucida Console"/>
            <family val="3"/>
          </rPr>
          <t>_x000D_
DM-Marcenaria</t>
        </r>
      </text>
    </comment>
    <comment ref="X218" authorId="0" shapeId="0" xr:uid="{8C51266B-E963-4E64-88F5-D5A5CF38CC7C}">
      <text>
        <r>
          <rPr>
            <sz val="10"/>
            <color indexed="81"/>
            <rFont val="Lucida Console"/>
            <family val="3"/>
          </rPr>
          <t>_x000D_
MADEIRAS,LAMINADOS,COMPENSADOS E AGLOMERADOS</t>
        </r>
      </text>
    </comment>
    <comment ref="Y218" authorId="0" shapeId="0" xr:uid="{B870D54F-3525-4E07-86F7-EB87593A43EF}">
      <text>
        <r>
          <rPr>
            <sz val="10"/>
            <color indexed="81"/>
            <rFont val="Lucida Console"/>
            <family val="3"/>
          </rPr>
          <t>_x000D_
CHAPAS COMPENSADAS RESINADAS/PLASTIFICADAS</t>
        </r>
      </text>
    </comment>
    <comment ref="AW218" authorId="0" shapeId="0" xr:uid="{005288CE-88C4-4D92-A09F-0737FF489DCF}">
      <text>
        <r>
          <rPr>
            <sz val="10"/>
            <color indexed="81"/>
            <rFont val="Lucida Console"/>
            <family val="3"/>
          </rPr>
          <t>Tempo de Estoque (Meses)_x000D_
_x000D_
170,0</t>
        </r>
      </text>
    </comment>
    <comment ref="A219" authorId="0" shapeId="0" xr:uid="{623379B7-3E24-4EA3-B807-2DD056CC6A44}">
      <text>
        <r>
          <rPr>
            <sz val="10"/>
            <color indexed="81"/>
            <rFont val="Lucida Console"/>
            <family val="3"/>
          </rPr>
          <t>_x000D_
126044</t>
        </r>
      </text>
    </comment>
    <comment ref="B219" authorId="0" shapeId="0" xr:uid="{C6CA6239-04E5-4C9E-964D-00E58E4D0FD3}">
      <text>
        <r>
          <rPr>
            <sz val="10"/>
            <color indexed="81"/>
            <rFont val="Lucida Console"/>
            <family val="3"/>
          </rPr>
          <t xml:space="preserve">DESCRIÇÃO DETALHADA_x000D_
CHAPA EM MDF ULTRA TX, BRANCO, DUAS FACES COM PROTECAO CONTRA UMIDADE E CUPIM. MEDINDO: 2,75M X 1,83M X 18MM. </t>
        </r>
      </text>
    </comment>
    <comment ref="G219" authorId="0" shapeId="0" xr:uid="{40997878-0366-43B4-8420-A1072A6C3235}">
      <text>
        <r>
          <rPr>
            <sz val="10"/>
            <color indexed="81"/>
            <rFont val="Lucida Console"/>
            <family val="3"/>
          </rPr>
          <t>_x000D_
Últ estimativa : 0_x000D_
Enviada em     : 28.01.2021_x000D_
Ata - Venc     : 115/20 - 26.05.2021</t>
        </r>
      </text>
    </comment>
    <comment ref="O219" authorId="0" shapeId="0" xr:uid="{71E597CA-56A9-48BB-9477-C88873B2CDE4}">
      <text>
        <r>
          <rPr>
            <sz val="10"/>
            <color indexed="81"/>
            <rFont val="Lucida Console"/>
            <family val="3"/>
          </rPr>
          <t>_x000D_
Pertencia a ATA nº 115/20_x000D_
Estimativa de Renovação enviada em 28.01.2021 - Qtd _x000D_
PE  56/21 lote _x000D_
22.04.21 = Processo finalizado. Ata 131/21.</t>
        </r>
      </text>
    </comment>
    <comment ref="W219" authorId="0" shapeId="0" xr:uid="{ADAF5D41-2BB0-4272-BE1D-A57F40DE04B3}">
      <text>
        <r>
          <rPr>
            <sz val="10"/>
            <color indexed="81"/>
            <rFont val="Lucida Console"/>
            <family val="3"/>
          </rPr>
          <t>_x000D_
DM-Marcenaria</t>
        </r>
      </text>
    </comment>
    <comment ref="X219" authorId="0" shapeId="0" xr:uid="{51655BF9-083B-4588-BD43-30AC06096EC9}">
      <text>
        <r>
          <rPr>
            <sz val="10"/>
            <color indexed="81"/>
            <rFont val="Lucida Console"/>
            <family val="3"/>
          </rPr>
          <t>_x000D_
MADEIRAS,LAMINADOS,COMPENSADOS E AGLOMERADOS</t>
        </r>
      </text>
    </comment>
    <comment ref="Y219" authorId="0" shapeId="0" xr:uid="{30454B3F-4137-4F70-B3E0-0820A422A264}">
      <text>
        <r>
          <rPr>
            <sz val="10"/>
            <color indexed="81"/>
            <rFont val="Lucida Console"/>
            <family val="3"/>
          </rPr>
          <t>_x000D_
CHAPAS COMPENSADAS RESINADAS/PLASTIFICADAS</t>
        </r>
      </text>
    </comment>
    <comment ref="AW219" authorId="0" shapeId="0" xr:uid="{DBA30F63-6C6C-4C83-90D9-C03FCFB34732}">
      <text>
        <r>
          <rPr>
            <sz val="10"/>
            <color indexed="81"/>
            <rFont val="Lucida Console"/>
            <family val="3"/>
          </rPr>
          <t>Tempo de Estoque (Meses)_x000D_
_x000D_
172,0</t>
        </r>
      </text>
    </comment>
    <comment ref="A220" authorId="0" shapeId="0" xr:uid="{7B23AFE1-4057-4642-B231-C83F4F7E4F5E}">
      <text>
        <r>
          <rPr>
            <sz val="10"/>
            <color indexed="81"/>
            <rFont val="Lucida Console"/>
            <family val="3"/>
          </rPr>
          <t>_x000D_
82996</t>
        </r>
      </text>
    </comment>
    <comment ref="B220" authorId="0" shapeId="0" xr:uid="{DCE9EE51-D222-454D-92F3-A01D0F8C5629}">
      <text>
        <r>
          <rPr>
            <sz val="10"/>
            <color indexed="81"/>
            <rFont val="Lucida Console"/>
            <family val="3"/>
          </rPr>
          <t>DESCRIÇÃO DETALHADA_x000D_
GONZO COM CHUMBADOR N. 3 (65MM)</t>
        </r>
      </text>
    </comment>
    <comment ref="G220" authorId="0" shapeId="0" xr:uid="{EF697C09-8C7F-416F-93B5-82BD3BE3434B}">
      <text>
        <r>
          <rPr>
            <sz val="10"/>
            <color indexed="81"/>
            <rFont val="Lucida Console"/>
            <family val="3"/>
          </rPr>
          <t>_x000D_
Últ estimativa : 0_x000D_
Enviada em     : 28.01.2021_x000D_
Ata - Venc     : 121/20 - 31.05.2021</t>
        </r>
      </text>
    </comment>
    <comment ref="O220" authorId="0" shapeId="0" xr:uid="{0CE81950-829B-4D46-8970-A7D443CFEDE7}">
      <text>
        <r>
          <rPr>
            <sz val="10"/>
            <color indexed="81"/>
            <rFont val="Lucida Console"/>
            <family val="3"/>
          </rPr>
          <t>_x000D_
Pertencia a ATA nº 121/20_x000D_
Estimativa de Renovação enviada em 28.01.2021 - Qtd _x000D_
PE  32/20 lote _x000D_
05.06.20 = Finalizar - Contrato assinado</t>
        </r>
      </text>
    </comment>
    <comment ref="W220" authorId="0" shapeId="0" xr:uid="{93964C79-39CF-4F96-91E6-2DB84E829E17}">
      <text>
        <r>
          <rPr>
            <sz val="10"/>
            <color indexed="81"/>
            <rFont val="Lucida Console"/>
            <family val="3"/>
          </rPr>
          <t>_x000D_
DM-Construção</t>
        </r>
      </text>
    </comment>
    <comment ref="X220" authorId="0" shapeId="0" xr:uid="{966D80E8-8EB0-4855-B7CE-DEBC7644CBDD}">
      <text>
        <r>
          <rPr>
            <sz val="10"/>
            <color indexed="81"/>
            <rFont val="Lucida Console"/>
            <family val="3"/>
          </rPr>
          <t>_x000D_
MAT.E EQUIP. P/ CONSTR.CIVIL E CONSERV. DE VIAS PUBL.</t>
        </r>
      </text>
    </comment>
    <comment ref="Y220" authorId="0" shapeId="0" xr:uid="{C3D32378-DB73-4B8B-B8EF-CA3E2DD5D329}">
      <text>
        <r>
          <rPr>
            <sz val="10"/>
            <color indexed="81"/>
            <rFont val="Lucida Console"/>
            <family val="3"/>
          </rPr>
          <t>_x000D_
FECHADURAS, DOBRADICAS E MACANETAS</t>
        </r>
      </text>
    </comment>
    <comment ref="AW220" authorId="0" shapeId="0" xr:uid="{3CBF1E99-BED7-4307-9B01-8847D336CD58}">
      <text>
        <r>
          <rPr>
            <sz val="10"/>
            <color indexed="81"/>
            <rFont val="Lucida Console"/>
            <family val="3"/>
          </rPr>
          <t>Tempo de Estoque (Meses)_x000D_
_x000D_
480,0</t>
        </r>
      </text>
    </comment>
    <comment ref="A221" authorId="0" shapeId="0" xr:uid="{13FAC2C5-C842-4C4B-A7AF-4BEEB7A79BA4}">
      <text>
        <r>
          <rPr>
            <sz val="10"/>
            <color indexed="81"/>
            <rFont val="Lucida Console"/>
            <family val="3"/>
          </rPr>
          <t>_x000D_
15436</t>
        </r>
      </text>
    </comment>
    <comment ref="B221" authorId="0" shapeId="0" xr:uid="{A0CFC2A0-BD83-4A8A-8410-C74FCC8920E0}">
      <text>
        <r>
          <rPr>
            <sz val="10"/>
            <color indexed="81"/>
            <rFont val="Lucida Console"/>
            <family val="3"/>
          </rPr>
          <t>DESCRIÇÃO DETALHADA_x000D_
FECHADURA DE EMBUTIR C/ TAMBOR - EXTERNA</t>
        </r>
      </text>
    </comment>
    <comment ref="G221" authorId="0" shapeId="0" xr:uid="{2BA958CE-4A28-4B0F-A4F7-A72168238B48}">
      <text>
        <r>
          <rPr>
            <sz val="10"/>
            <color indexed="81"/>
            <rFont val="Lucida Console"/>
            <family val="3"/>
          </rPr>
          <t>_x000D_
Últ estimativa : 300_x000D_
Enviada em     : 28.01.2021_x000D_
Ata - Venc     : 121/20 - 31.05.2021</t>
        </r>
      </text>
    </comment>
    <comment ref="O221" authorId="0" shapeId="0" xr:uid="{E3EED459-6366-4D7B-B7A6-4D10D6E9C8A7}">
      <text>
        <r>
          <rPr>
            <sz val="10"/>
            <color indexed="81"/>
            <rFont val="Lucida Console"/>
            <family val="3"/>
          </rPr>
          <t>_x000D_
Pertencia a ATA nº 121/20_x000D_
Estimativa de Renovação enviada em 28.01.2021 - Qtd 300_x000D_
PE  32/20 lote _x000D_
05.06.20 = Finalizar - Contrato assinado</t>
        </r>
      </text>
    </comment>
    <comment ref="W221" authorId="0" shapeId="0" xr:uid="{3D6EB36E-6367-45EA-A289-D62E588D9185}">
      <text>
        <r>
          <rPr>
            <sz val="10"/>
            <color indexed="81"/>
            <rFont val="Lucida Console"/>
            <family val="3"/>
          </rPr>
          <t>_x000D_
DM-Construção</t>
        </r>
      </text>
    </comment>
    <comment ref="X221" authorId="0" shapeId="0" xr:uid="{2559C37C-C686-432B-A0A5-D7E63DEAEA1D}">
      <text>
        <r>
          <rPr>
            <sz val="10"/>
            <color indexed="81"/>
            <rFont val="Lucida Console"/>
            <family val="3"/>
          </rPr>
          <t>_x000D_
MAT.E EQUIP. P/ CONSTR.CIVIL E CONSERV. DE VIAS PUBL.</t>
        </r>
      </text>
    </comment>
    <comment ref="Y221" authorId="0" shapeId="0" xr:uid="{A63C38ED-2CA2-48DE-AB68-729DD91EFCA6}">
      <text>
        <r>
          <rPr>
            <sz val="10"/>
            <color indexed="81"/>
            <rFont val="Lucida Console"/>
            <family val="3"/>
          </rPr>
          <t>_x000D_
FECHADURAS INTERNAS E EXTERNAS</t>
        </r>
      </text>
    </comment>
    <comment ref="AW221" authorId="0" shapeId="0" xr:uid="{90080B4E-327D-4CA5-B6A0-577541441BD6}">
      <text>
        <r>
          <rPr>
            <sz val="10"/>
            <color indexed="81"/>
            <rFont val="Lucida Console"/>
            <family val="3"/>
          </rPr>
          <t>Tempo de Estoque (Meses)_x000D_
_x000D_
600,0</t>
        </r>
      </text>
    </comment>
    <comment ref="A222" authorId="0" shapeId="0" xr:uid="{6A9903EF-F39A-438F-AD40-4673D4DB5985}">
      <text>
        <r>
          <rPr>
            <sz val="10"/>
            <color indexed="81"/>
            <rFont val="Lucida Console"/>
            <family val="3"/>
          </rPr>
          <t>_x000D_
13180</t>
        </r>
      </text>
    </comment>
    <comment ref="B222" authorId="0" shapeId="0" xr:uid="{21C2BB42-B380-45A2-ABE2-DFF6CB4D8A2B}">
      <text>
        <r>
          <rPr>
            <sz val="10"/>
            <color indexed="81"/>
            <rFont val="Lucida Console"/>
            <family val="3"/>
          </rPr>
          <t>DESCRIÇÃO DETALHADA_x000D_
CADEADO DE LATAO - 30 MM</t>
        </r>
      </text>
    </comment>
    <comment ref="G222" authorId="0" shapeId="0" xr:uid="{895DBD9F-09C6-457C-B768-65975A4057E6}">
      <text>
        <r>
          <rPr>
            <sz val="10"/>
            <color indexed="81"/>
            <rFont val="Lucida Console"/>
            <family val="3"/>
          </rPr>
          <t>_x000D_
Últ estimativa : 0_x000D_
Enviada em     : 28.01.2021_x000D_
Ata - Venc     : 121/20 - 31.05.2021</t>
        </r>
      </text>
    </comment>
    <comment ref="O222" authorId="0" shapeId="0" xr:uid="{27C8CC95-4DF8-41F2-8A46-B83086C43BFD}">
      <text>
        <r>
          <rPr>
            <sz val="10"/>
            <color indexed="81"/>
            <rFont val="Lucida Console"/>
            <family val="3"/>
          </rPr>
          <t>_x000D_
Pertencia a ATA nº 121/20_x000D_
Estimativa de Renovação enviada em 28.01.2021 - Qtd _x000D_
PE  32/20 lote _x000D_
05.06.20 = Finalizar - Contrato assinado</t>
        </r>
      </text>
    </comment>
    <comment ref="W222" authorId="0" shapeId="0" xr:uid="{E09490E8-247D-45CC-9E39-3011291DDB73}">
      <text>
        <r>
          <rPr>
            <sz val="10"/>
            <color indexed="81"/>
            <rFont val="Lucida Console"/>
            <family val="3"/>
          </rPr>
          <t>_x000D_
Administrativo</t>
        </r>
      </text>
    </comment>
    <comment ref="X222" authorId="0" shapeId="0" xr:uid="{5142DF0C-AECC-40A2-82B6-1BD771F56ED7}">
      <text>
        <r>
          <rPr>
            <sz val="10"/>
            <color indexed="81"/>
            <rFont val="Lucida Console"/>
            <family val="3"/>
          </rPr>
          <t>_x000D_
MAT.E EQUIP. P/ CONSTR.CIVIL E CONSERV. DE VIAS PUBL.</t>
        </r>
      </text>
    </comment>
    <comment ref="Y222" authorId="0" shapeId="0" xr:uid="{D61D1F38-8137-45F7-83DD-7833C7C154A3}">
      <text>
        <r>
          <rPr>
            <sz val="10"/>
            <color indexed="81"/>
            <rFont val="Lucida Console"/>
            <family val="3"/>
          </rPr>
          <t>_x000D_
CADEADOS</t>
        </r>
      </text>
    </comment>
    <comment ref="AW222" authorId="0" shapeId="0" xr:uid="{28102FEC-A105-47B0-8868-FBBD7A66C2B8}">
      <text>
        <r>
          <rPr>
            <sz val="10"/>
            <color indexed="81"/>
            <rFont val="Lucida Console"/>
            <family val="3"/>
          </rPr>
          <t>Tempo de Estoque (Meses)_x000D_
_x000D_
300,0</t>
        </r>
      </text>
    </comment>
    <comment ref="A223" authorId="0" shapeId="0" xr:uid="{1F2C697D-0594-452B-B6AD-CDD7D34FABF6}">
      <text>
        <r>
          <rPr>
            <sz val="10"/>
            <color indexed="81"/>
            <rFont val="Lucida Console"/>
            <family val="3"/>
          </rPr>
          <t>_x000D_
13181</t>
        </r>
      </text>
    </comment>
    <comment ref="B223" authorId="0" shapeId="0" xr:uid="{F32B5364-F650-4111-A486-C3B4AF461270}">
      <text>
        <r>
          <rPr>
            <sz val="10"/>
            <color indexed="81"/>
            <rFont val="Lucida Console"/>
            <family val="3"/>
          </rPr>
          <t>DESCRIÇÃO DETALHADA_x000D_
CADEADO DE LATAO - 50 MM</t>
        </r>
      </text>
    </comment>
    <comment ref="G223" authorId="0" shapeId="0" xr:uid="{3222384A-386E-40FB-8430-CA0734C0829E}">
      <text>
        <r>
          <rPr>
            <sz val="10"/>
            <color indexed="81"/>
            <rFont val="Lucida Console"/>
            <family val="3"/>
          </rPr>
          <t>_x000D_
Últ estimativa : 0_x000D_
Enviada em     : 28.01.2021_x000D_
Ata - Venc     : 121/20 - 31.05.2021</t>
        </r>
      </text>
    </comment>
    <comment ref="O223" authorId="0" shapeId="0" xr:uid="{BF933BB8-7322-4DDC-9B00-74538AC499D4}">
      <text>
        <r>
          <rPr>
            <sz val="10"/>
            <color indexed="81"/>
            <rFont val="Lucida Console"/>
            <family val="3"/>
          </rPr>
          <t>_x000D_
Pertencia a ATA nº 121/20_x000D_
Estimativa de Renovação enviada em 28.01.2021 - Qtd _x000D_
PE  32/20 lote _x000D_
05.06.20 = Finalizar - Contrato assinado</t>
        </r>
      </text>
    </comment>
    <comment ref="W223" authorId="0" shapeId="0" xr:uid="{8430FAE5-D36E-45D0-8B94-EFAB49B989C7}">
      <text>
        <r>
          <rPr>
            <sz val="10"/>
            <color indexed="81"/>
            <rFont val="Lucida Console"/>
            <family val="3"/>
          </rPr>
          <t>_x000D_
Administrativo</t>
        </r>
      </text>
    </comment>
    <comment ref="X223" authorId="0" shapeId="0" xr:uid="{82126E0B-F419-4A22-9EB0-2D8E6B77D910}">
      <text>
        <r>
          <rPr>
            <sz val="10"/>
            <color indexed="81"/>
            <rFont val="Lucida Console"/>
            <family val="3"/>
          </rPr>
          <t>_x000D_
MAT.E EQUIP. P/ CONSTR.CIVIL E CONSERV. DE VIAS PUBL.</t>
        </r>
      </text>
    </comment>
    <comment ref="Y223" authorId="0" shapeId="0" xr:uid="{0E70C237-0266-40F4-97D0-06C2598C4071}">
      <text>
        <r>
          <rPr>
            <sz val="10"/>
            <color indexed="81"/>
            <rFont val="Lucida Console"/>
            <family val="3"/>
          </rPr>
          <t>_x000D_
CADEADOS</t>
        </r>
      </text>
    </comment>
    <comment ref="AW223" authorId="0" shapeId="0" xr:uid="{5A34C292-F560-41C6-8E6C-5A95362C278D}">
      <text>
        <r>
          <rPr>
            <sz val="10"/>
            <color indexed="81"/>
            <rFont val="Lucida Console"/>
            <family val="3"/>
          </rPr>
          <t>Tempo de Estoque (Meses)_x000D_
_x000D_
267,0</t>
        </r>
      </text>
    </comment>
    <comment ref="A224" authorId="0" shapeId="0" xr:uid="{08F6EABD-D91F-4736-A850-7D1FC655C603}">
      <text>
        <r>
          <rPr>
            <sz val="10"/>
            <color indexed="81"/>
            <rFont val="Lucida Console"/>
            <family val="3"/>
          </rPr>
          <t>_x000D_
17704</t>
        </r>
      </text>
    </comment>
    <comment ref="B224" authorId="0" shapeId="0" xr:uid="{7ABB23E6-686A-47DB-BE76-20BEE0A23B81}">
      <text>
        <r>
          <rPr>
            <sz val="10"/>
            <color indexed="81"/>
            <rFont val="Lucida Console"/>
            <family val="3"/>
          </rPr>
          <t>DESCRIÇÃO DETALHADA_x000D_
CADEADO DE LATAO - 40 MM</t>
        </r>
      </text>
    </comment>
    <comment ref="G224" authorId="0" shapeId="0" xr:uid="{A0ADDEE8-C6DA-421C-B534-21F8ACA1AF6D}">
      <text>
        <r>
          <rPr>
            <sz val="10"/>
            <color indexed="81"/>
            <rFont val="Lucida Console"/>
            <family val="3"/>
          </rPr>
          <t>_x000D_
Últ estimativa : 0_x000D_
Enviada em     : 28.01.2021_x000D_
Ata - Venc     : 121/20 - 31.05.2021</t>
        </r>
      </text>
    </comment>
    <comment ref="O224" authorId="0" shapeId="0" xr:uid="{823896EF-B891-4985-B607-EF3B2B5FE42B}">
      <text>
        <r>
          <rPr>
            <sz val="10"/>
            <color indexed="81"/>
            <rFont val="Lucida Console"/>
            <family val="3"/>
          </rPr>
          <t>_x000D_
Pertencia a ATA nº 121/20_x000D_
Estimativa de Renovação enviada em 28.01.2021 - Qtd _x000D_
PE  32/20 lote _x000D_
05.06.20 = Finalizar - Contrato assinado</t>
        </r>
      </text>
    </comment>
    <comment ref="W224" authorId="0" shapeId="0" xr:uid="{5F6C5D2F-4E5A-4ADC-B4B4-34E99D2693E3}">
      <text>
        <r>
          <rPr>
            <sz val="10"/>
            <color indexed="81"/>
            <rFont val="Lucida Console"/>
            <family val="3"/>
          </rPr>
          <t>_x000D_
Administrativo</t>
        </r>
      </text>
    </comment>
    <comment ref="X224" authorId="0" shapeId="0" xr:uid="{4DA525F7-2F18-41F5-8F30-274FA468AF9A}">
      <text>
        <r>
          <rPr>
            <sz val="10"/>
            <color indexed="81"/>
            <rFont val="Lucida Console"/>
            <family val="3"/>
          </rPr>
          <t>_x000D_
MAT.E EQUIP. P/ CONSTR.CIVIL E CONSERV. DE VIAS PUBL.</t>
        </r>
      </text>
    </comment>
    <comment ref="Y224" authorId="0" shapeId="0" xr:uid="{A7F9BD7E-19DA-4ADF-A614-5AB9E4BDB724}">
      <text>
        <r>
          <rPr>
            <sz val="10"/>
            <color indexed="81"/>
            <rFont val="Lucida Console"/>
            <family val="3"/>
          </rPr>
          <t>_x000D_
CADEADOS</t>
        </r>
      </text>
    </comment>
    <comment ref="AW224" authorId="0" shapeId="0" xr:uid="{C0568346-EB4F-488D-B4DE-17BE7A416748}">
      <text>
        <r>
          <rPr>
            <sz val="10"/>
            <color indexed="81"/>
            <rFont val="Lucida Console"/>
            <family val="3"/>
          </rPr>
          <t>Tempo de Estoque (Meses)_x000D_
_x000D_
237,0</t>
        </r>
      </text>
    </comment>
    <comment ref="A225" authorId="0" shapeId="0" xr:uid="{9D0D6BB9-7334-4A2E-9968-398A17812965}">
      <text>
        <r>
          <rPr>
            <sz val="10"/>
            <color indexed="81"/>
            <rFont val="Lucida Console"/>
            <family val="3"/>
          </rPr>
          <t>_x000D_
110895</t>
        </r>
      </text>
    </comment>
    <comment ref="B225" authorId="0" shapeId="0" xr:uid="{6B93D7B5-5335-4F15-902C-4BD02DAFC653}">
      <text>
        <r>
          <rPr>
            <sz val="10"/>
            <color indexed="81"/>
            <rFont val="Lucida Console"/>
            <family val="3"/>
          </rPr>
          <t>DESCRIÇÃO DETALHADA_x000D_
INTERRUPTOR 10A X 250V INTERNO C/ 01 TECLA PARALELA COM PLACA 4 X 2.</t>
        </r>
      </text>
    </comment>
    <comment ref="G225" authorId="0" shapeId="0" xr:uid="{2D6D8C5E-CB26-4BD2-84BC-7EF4DA448EA8}">
      <text>
        <r>
          <rPr>
            <sz val="10"/>
            <color indexed="81"/>
            <rFont val="Lucida Console"/>
            <family val="3"/>
          </rPr>
          <t>_x000D_
Últ estimativa : 200_x000D_
Enviada em     : 17.01.2020_x000D_
Ata - Venc     : 126/19 - 06.05.2020</t>
        </r>
      </text>
    </comment>
    <comment ref="O225" authorId="0" shapeId="0" xr:uid="{A30280B0-C305-47F5-AC36-4C9BA647816D}">
      <text>
        <r>
          <rPr>
            <sz val="10"/>
            <color indexed="81"/>
            <rFont val="Lucida Console"/>
            <family val="3"/>
          </rPr>
          <t>_x000D_
Pertencia a ATA nº 126/19_x000D_
Estimativa de Renovação enviada em 17.01.2020 - Qtd 200_x000D_
PE 153/20 lote 1 (Impróspero)_x000D_
16.09.20 = Finalizado</t>
        </r>
      </text>
    </comment>
    <comment ref="W225" authorId="0" shapeId="0" xr:uid="{2071A79E-9950-482E-A6D5-CE932410BFBA}">
      <text>
        <r>
          <rPr>
            <sz val="10"/>
            <color indexed="81"/>
            <rFont val="Lucida Console"/>
            <family val="3"/>
          </rPr>
          <t>_x000D_
DM-Elétrica</t>
        </r>
      </text>
    </comment>
    <comment ref="X225" authorId="0" shapeId="0" xr:uid="{6CDBEEAE-7D41-4233-B578-E215BB7AE825}">
      <text>
        <r>
          <rPr>
            <sz val="10"/>
            <color indexed="81"/>
            <rFont val="Lucida Console"/>
            <family val="3"/>
          </rPr>
          <t>_x000D_
EQUIP. MAT. P/ GERACAO, TRANSM. DISTR. RETIF...</t>
        </r>
      </text>
    </comment>
    <comment ref="Y225" authorId="0" shapeId="0" xr:uid="{981CBB31-73E5-4D0C-900C-DAE4780B414A}">
      <text>
        <r>
          <rPr>
            <sz val="10"/>
            <color indexed="81"/>
            <rFont val="Lucida Console"/>
            <family val="3"/>
          </rPr>
          <t>_x000D_
INTERRUPTORES DE USO DOMESTICO E INDUSTRIAL</t>
        </r>
      </text>
    </comment>
    <comment ref="AW225" authorId="0" shapeId="0" xr:uid="{FD2AC308-6E2E-4DAE-A9DF-2F95D400A204}">
      <text>
        <r>
          <rPr>
            <sz val="10"/>
            <color indexed="81"/>
            <rFont val="Lucida Console"/>
            <family val="3"/>
          </rPr>
          <t>Tempo de Estoque (Meses)_x000D_
_x000D_
223,0</t>
        </r>
      </text>
    </comment>
    <comment ref="A226" authorId="0" shapeId="0" xr:uid="{0FEB1E1F-4DE1-4996-B0C7-D6F08997B0FB}">
      <text>
        <r>
          <rPr>
            <sz val="10"/>
            <color indexed="81"/>
            <rFont val="Lucida Console"/>
            <family val="3"/>
          </rPr>
          <t>_x000D_
110896</t>
        </r>
      </text>
    </comment>
    <comment ref="B226" authorId="0" shapeId="0" xr:uid="{FFB04EC6-3FC1-4216-9E78-DEE649EE0D94}">
      <text>
        <r>
          <rPr>
            <sz val="10"/>
            <color indexed="81"/>
            <rFont val="Lucida Console"/>
            <family val="3"/>
          </rPr>
          <t>DESCRIÇÃO DETALHADA_x000D_
INTERRUPTOR 10A X 250V INTERNO C/ 03 TECLAS PARALELAS C/ PLACA 4 X 2.</t>
        </r>
      </text>
    </comment>
    <comment ref="G226" authorId="0" shapeId="0" xr:uid="{9B683926-3E63-43A2-B768-1D64A106F48A}">
      <text>
        <r>
          <rPr>
            <sz val="10"/>
            <color indexed="81"/>
            <rFont val="Lucida Console"/>
            <family val="3"/>
          </rPr>
          <t>_x000D_
Últ estimativa : 50_x000D_
Enviada em     : 17.01.2020_x000D_
Ata - Venc     : 126/19 - 06.05.2020</t>
        </r>
      </text>
    </comment>
    <comment ref="O226" authorId="0" shapeId="0" xr:uid="{5732E3A2-77AF-4DDA-B2EB-8C3C6527C14D}">
      <text>
        <r>
          <rPr>
            <sz val="10"/>
            <color indexed="81"/>
            <rFont val="Lucida Console"/>
            <family val="3"/>
          </rPr>
          <t>_x000D_
Pertencia a ATA nº 126/19_x000D_
Estimativa de Renovação enviada em 17.01.2020 - Qtd 50_x000D_
PE 153/20 lote 1 (Impróspero)_x000D_
16.09.20 = Finalizado</t>
        </r>
      </text>
    </comment>
    <comment ref="W226" authorId="0" shapeId="0" xr:uid="{DD0D4643-A447-4121-B6E5-50BB564AF52D}">
      <text>
        <r>
          <rPr>
            <sz val="10"/>
            <color indexed="81"/>
            <rFont val="Lucida Console"/>
            <family val="3"/>
          </rPr>
          <t>_x000D_
DM-Elétrica</t>
        </r>
      </text>
    </comment>
    <comment ref="X226" authorId="0" shapeId="0" xr:uid="{F812DD2D-6296-444E-AD8D-913CEAA5DCC8}">
      <text>
        <r>
          <rPr>
            <sz val="10"/>
            <color indexed="81"/>
            <rFont val="Lucida Console"/>
            <family val="3"/>
          </rPr>
          <t>_x000D_
EQUIP. MAT. P/ GERACAO, TRANSM. DISTR. RETIF...</t>
        </r>
      </text>
    </comment>
    <comment ref="Y226" authorId="0" shapeId="0" xr:uid="{BA3AC551-7EAE-4BBE-BEDA-CB64785E9EA2}">
      <text>
        <r>
          <rPr>
            <sz val="10"/>
            <color indexed="81"/>
            <rFont val="Lucida Console"/>
            <family val="3"/>
          </rPr>
          <t>_x000D_
INTERRUPTORES DE USO DOMESTICO E INDUSTRIAL</t>
        </r>
      </text>
    </comment>
    <comment ref="AW226" authorId="0" shapeId="0" xr:uid="{7D0C3343-C95D-467D-B4D3-81AF43C19352}">
      <text>
        <r>
          <rPr>
            <sz val="10"/>
            <color indexed="81"/>
            <rFont val="Lucida Console"/>
            <family val="3"/>
          </rPr>
          <t>Tempo de Estoque (Meses)_x000D_
_x000D_
42,0</t>
        </r>
      </text>
    </comment>
    <comment ref="A227" authorId="0" shapeId="0" xr:uid="{13535580-AC7D-4BC9-B8E8-BE967B7D1240}">
      <text>
        <r>
          <rPr>
            <sz val="10"/>
            <color indexed="81"/>
            <rFont val="Lucida Console"/>
            <family val="3"/>
          </rPr>
          <t>_x000D_
112158</t>
        </r>
      </text>
    </comment>
    <comment ref="B227" authorId="0" shapeId="0" xr:uid="{D61AD2D1-7611-4A82-ABFD-A950AF121CD5}">
      <text>
        <r>
          <rPr>
            <sz val="10"/>
            <color indexed="81"/>
            <rFont val="Lucida Console"/>
            <family val="3"/>
          </rPr>
          <t>DESCRIÇÃO DETALHADA_x000D_
INTERRUPTOR 10A X 250V COM 1 TECLA PARALELA MAIS 1 TOMADA 2P+T PADRAO NBR 14136 DE 20A/250V DE EMBUTIR COM ESPELHO PARA CAIXA</t>
        </r>
      </text>
    </comment>
    <comment ref="G227" authorId="0" shapeId="0" xr:uid="{4B21CD63-BB38-47BE-81F4-EAB4ECB34588}">
      <text>
        <r>
          <rPr>
            <sz val="10"/>
            <color indexed="81"/>
            <rFont val="Lucida Console"/>
            <family val="3"/>
          </rPr>
          <t>_x000D_
Últ estimativa : 200_x000D_
Enviada em     : 17.01.2020_x000D_
Ata - Venc     : 126/19 - 06.05.2020</t>
        </r>
      </text>
    </comment>
    <comment ref="O227" authorId="0" shapeId="0" xr:uid="{5278F765-DDC6-4042-B1E7-227052962124}">
      <text>
        <r>
          <rPr>
            <sz val="10"/>
            <color indexed="81"/>
            <rFont val="Lucida Console"/>
            <family val="3"/>
          </rPr>
          <t>_x000D_
Pertencia a ATA nº 126/19_x000D_
Estimativa de Renovação enviada em 17.01.2020 - Qtd 200_x000D_
PE 153/20 lote 1 (Impróspero)_x000D_
16.09.20 = Finalizado</t>
        </r>
      </text>
    </comment>
    <comment ref="W227" authorId="0" shapeId="0" xr:uid="{9222F920-8329-4EDE-9845-2B617F887557}">
      <text>
        <r>
          <rPr>
            <sz val="10"/>
            <color indexed="81"/>
            <rFont val="Lucida Console"/>
            <family val="3"/>
          </rPr>
          <t>_x000D_
DM-Elétrica</t>
        </r>
      </text>
    </comment>
    <comment ref="X227" authorId="0" shapeId="0" xr:uid="{4CA6F4E6-98BA-4AB3-A9B7-D9A5AC461B29}">
      <text>
        <r>
          <rPr>
            <sz val="10"/>
            <color indexed="81"/>
            <rFont val="Lucida Console"/>
            <family val="3"/>
          </rPr>
          <t>_x000D_
EQUIP. MAT. P/ GERACAO, TRANSM. DISTR. RETIF...</t>
        </r>
      </text>
    </comment>
    <comment ref="Y227" authorId="0" shapeId="0" xr:uid="{792CBDAE-094F-4535-B27F-098C6B387815}">
      <text>
        <r>
          <rPr>
            <sz val="10"/>
            <color indexed="81"/>
            <rFont val="Lucida Console"/>
            <family val="3"/>
          </rPr>
          <t>_x000D_
INTERRUPTORES DE USO DOMESTICO E INDUSTRIAL</t>
        </r>
      </text>
    </comment>
    <comment ref="AW227" authorId="0" shapeId="0" xr:uid="{2EAFA40F-AA44-4EED-AE67-D4BE6B214A76}">
      <text>
        <r>
          <rPr>
            <sz val="10"/>
            <color indexed="81"/>
            <rFont val="Lucida Console"/>
            <family val="3"/>
          </rPr>
          <t>Tempo de Estoque (Meses)_x000D_
_x000D_
248,0</t>
        </r>
      </text>
    </comment>
    <comment ref="A228" authorId="0" shapeId="0" xr:uid="{C228407E-7171-402C-96B3-60B423BBF56A}">
      <text>
        <r>
          <rPr>
            <sz val="10"/>
            <color indexed="81"/>
            <rFont val="Lucida Console"/>
            <family val="3"/>
          </rPr>
          <t>_x000D_
112159</t>
        </r>
      </text>
    </comment>
    <comment ref="B228" authorId="0" shapeId="0" xr:uid="{E7AFF52B-7EDE-44D0-9E72-740EDE4EAA7F}">
      <text>
        <r>
          <rPr>
            <sz val="10"/>
            <color indexed="81"/>
            <rFont val="Lucida Console"/>
            <family val="3"/>
          </rPr>
          <t>DESCRIÇÃO DETALHADA_x000D_
INTERRUPTOR 10A X 250V COM 2 TECLAS PARALELAS MAIS 1 TOMADA 2P + T PADRAO NBR 14136 DE 20A/250V DE EMBUTIR COM ESPELHO PARA CAIXA 4X2</t>
        </r>
      </text>
    </comment>
    <comment ref="G228" authorId="0" shapeId="0" xr:uid="{162AD3B2-5412-4B9D-AED2-F8D3BFF2534C}">
      <text>
        <r>
          <rPr>
            <sz val="10"/>
            <color indexed="81"/>
            <rFont val="Lucida Console"/>
            <family val="3"/>
          </rPr>
          <t>_x000D_
Últ estimativa : 220_x000D_
Enviada em     : 17.01.2020_x000D_
Ata - Venc     : 126/19 - 06.05.2020</t>
        </r>
      </text>
    </comment>
    <comment ref="O228" authorId="0" shapeId="0" xr:uid="{DF665352-5A87-4149-A894-E8A2F17B6FB6}">
      <text>
        <r>
          <rPr>
            <sz val="10"/>
            <color indexed="81"/>
            <rFont val="Lucida Console"/>
            <family val="3"/>
          </rPr>
          <t>_x000D_
Pertencia a ATA nº 126/19_x000D_
Estimativa de Renovação enviada em 17.01.2020 - Qtd 220_x000D_
PE 153/20 lote 1 (Impróspero)_x000D_
16.09.20 = Finalizado</t>
        </r>
      </text>
    </comment>
    <comment ref="W228" authorId="0" shapeId="0" xr:uid="{D8C605EF-EE8C-4733-ADEC-B834FF2B91EA}">
      <text>
        <r>
          <rPr>
            <sz val="10"/>
            <color indexed="81"/>
            <rFont val="Lucida Console"/>
            <family val="3"/>
          </rPr>
          <t>_x000D_
DM-Elétrica</t>
        </r>
      </text>
    </comment>
    <comment ref="X228" authorId="0" shapeId="0" xr:uid="{48F9D670-652D-4386-ABD8-83B2E3506C77}">
      <text>
        <r>
          <rPr>
            <sz val="10"/>
            <color indexed="81"/>
            <rFont val="Lucida Console"/>
            <family val="3"/>
          </rPr>
          <t>_x000D_
EQUIP. MAT. P/ GERACAO, TRANSM. DISTR. RETIF...</t>
        </r>
      </text>
    </comment>
    <comment ref="Y228" authorId="0" shapeId="0" xr:uid="{19C3E7AB-8644-4446-A047-5C42EAED93E7}">
      <text>
        <r>
          <rPr>
            <sz val="10"/>
            <color indexed="81"/>
            <rFont val="Lucida Console"/>
            <family val="3"/>
          </rPr>
          <t>_x000D_
INTERRUPTORES DE USO DOMESTICO E INDUSTRIAL</t>
        </r>
      </text>
    </comment>
    <comment ref="AW228" authorId="0" shapeId="0" xr:uid="{F7D82265-A07D-4C79-8D91-B77A22D35603}">
      <text>
        <r>
          <rPr>
            <sz val="10"/>
            <color indexed="81"/>
            <rFont val="Lucida Console"/>
            <family val="3"/>
          </rPr>
          <t>Tempo de Estoque (Meses)_x000D_
_x000D_
306,0</t>
        </r>
      </text>
    </comment>
    <comment ref="A229" authorId="0" shapeId="0" xr:uid="{92553B05-C7D9-4EB6-A4F7-76AD392D79EC}">
      <text>
        <r>
          <rPr>
            <sz val="10"/>
            <color indexed="81"/>
            <rFont val="Lucida Console"/>
            <family val="3"/>
          </rPr>
          <t>_x000D_
112162</t>
        </r>
      </text>
    </comment>
    <comment ref="B229" authorId="0" shapeId="0" xr:uid="{2188F879-6204-46AF-A0BA-9EFC0D862BBC}">
      <text>
        <r>
          <rPr>
            <sz val="10"/>
            <color indexed="81"/>
            <rFont val="Lucida Console"/>
            <family val="3"/>
          </rPr>
          <t>DESCRIÇÃO DETALHADA_x000D_
PLUG MOVEL 2P + T 90° PADRAO NBR 14136 DE 20A/250V GIGANTE</t>
        </r>
      </text>
    </comment>
    <comment ref="G229" authorId="0" shapeId="0" xr:uid="{C9996342-D550-4679-84A7-AF8B2798AE98}">
      <text>
        <r>
          <rPr>
            <sz val="10"/>
            <color indexed="81"/>
            <rFont val="Lucida Console"/>
            <family val="3"/>
          </rPr>
          <t>_x000D_
Últ estimativa : 360_x000D_
Enviada em     : 17.01.2020_x000D_
Ata - Venc     : 126/19 - 06.05.2020</t>
        </r>
      </text>
    </comment>
    <comment ref="O229" authorId="0" shapeId="0" xr:uid="{3EEC9B95-DBDB-415F-A0B5-A4233189211F}">
      <text>
        <r>
          <rPr>
            <sz val="10"/>
            <color indexed="81"/>
            <rFont val="Lucida Console"/>
            <family val="3"/>
          </rPr>
          <t>_x000D_
Pertencia a ATA nº 126/19_x000D_
Estimativa de Renovação enviada em 17.01.2020 - Qtd 360_x000D_
PE 153/20 lote 4 (Impróspero)_x000D_
16.09.20 = Finalizado</t>
        </r>
      </text>
    </comment>
    <comment ref="W229" authorId="0" shapeId="0" xr:uid="{7C0B08CB-678C-48AA-83AF-6294FE12EF0A}">
      <text>
        <r>
          <rPr>
            <sz val="10"/>
            <color indexed="81"/>
            <rFont val="Lucida Console"/>
            <family val="3"/>
          </rPr>
          <t>_x000D_
DM-Elétrica</t>
        </r>
      </text>
    </comment>
    <comment ref="X229" authorId="0" shapeId="0" xr:uid="{4D534353-E401-40DA-8804-CF8346146D54}">
      <text>
        <r>
          <rPr>
            <sz val="10"/>
            <color indexed="81"/>
            <rFont val="Lucida Console"/>
            <family val="3"/>
          </rPr>
          <t>_x000D_
EQUIP. MAT. P/ GERACAO, TRANSM. DISTR. RETIF...</t>
        </r>
      </text>
    </comment>
    <comment ref="Y229" authorId="0" shapeId="0" xr:uid="{55F7722D-3E8A-4618-84C1-5FAD9118ECD7}">
      <text>
        <r>
          <rPr>
            <sz val="10"/>
            <color indexed="81"/>
            <rFont val="Lucida Console"/>
            <family val="3"/>
          </rPr>
          <t>_x000D_
INTERRUPTORES DE USO DOMESTICO E INDUSTRIAL</t>
        </r>
      </text>
    </comment>
    <comment ref="AW229" authorId="0" shapeId="0" xr:uid="{3F0452CD-87B6-429A-A72C-C2057C01A96C}">
      <text>
        <r>
          <rPr>
            <sz val="10"/>
            <color indexed="81"/>
            <rFont val="Lucida Console"/>
            <family val="3"/>
          </rPr>
          <t>Tempo de Estoque (Meses)_x000D_
_x000D_
313,0</t>
        </r>
      </text>
    </comment>
    <comment ref="A230" authorId="0" shapeId="0" xr:uid="{4C68A7DB-8618-4BB7-A492-EC5AC8F76E25}">
      <text>
        <r>
          <rPr>
            <sz val="10"/>
            <color indexed="81"/>
            <rFont val="Lucida Console"/>
            <family val="3"/>
          </rPr>
          <t>_x000D_
112163</t>
        </r>
      </text>
    </comment>
    <comment ref="B230" authorId="0" shapeId="0" xr:uid="{CB3EF4BC-F366-4900-8B00-369960BC7283}">
      <text>
        <r>
          <rPr>
            <sz val="10"/>
            <color indexed="81"/>
            <rFont val="Lucida Console"/>
            <family val="3"/>
          </rPr>
          <t>DESCRIÇÃO DETALHADA_x000D_
PLUG MOVEL 2P + T 90° PADRAO NBR 14136 DE 10A/250V GIGANTE</t>
        </r>
      </text>
    </comment>
    <comment ref="G230" authorId="0" shapeId="0" xr:uid="{49658462-2AB4-47A3-BE02-043FAC186F2D}">
      <text>
        <r>
          <rPr>
            <sz val="10"/>
            <color indexed="81"/>
            <rFont val="Lucida Console"/>
            <family val="3"/>
          </rPr>
          <t>_x000D_
Últ estimativa : 1.000_x000D_
Enviada em     : 17.01.2020_x000D_
Ata - Venc     : 126/19 - 06.05.2020</t>
        </r>
      </text>
    </comment>
    <comment ref="O230" authorId="0" shapeId="0" xr:uid="{4C421D24-4F0F-4602-9474-2B867B5BB02F}">
      <text>
        <r>
          <rPr>
            <sz val="10"/>
            <color indexed="81"/>
            <rFont val="Lucida Console"/>
            <family val="3"/>
          </rPr>
          <t>_x000D_
Pertencia a ATA nº 126/19_x000D_
Estimativa de Renovação enviada em 17.01.2020 - Qtd 1.000_x000D_
PE 153/20 lote 4 (Impróspero)_x000D_
16.09.20 = Finalizado</t>
        </r>
      </text>
    </comment>
    <comment ref="W230" authorId="0" shapeId="0" xr:uid="{25F8FD1F-AF0B-4AF5-84F8-BC33C88FA1A0}">
      <text>
        <r>
          <rPr>
            <sz val="10"/>
            <color indexed="81"/>
            <rFont val="Lucida Console"/>
            <family val="3"/>
          </rPr>
          <t>_x000D_
DM-Elétrica</t>
        </r>
      </text>
    </comment>
    <comment ref="X230" authorId="0" shapeId="0" xr:uid="{E0B4E1F3-C497-4680-B4F9-9A502626994E}">
      <text>
        <r>
          <rPr>
            <sz val="10"/>
            <color indexed="81"/>
            <rFont val="Lucida Console"/>
            <family val="3"/>
          </rPr>
          <t>_x000D_
EQUIP. MAT. P/ GERACAO, TRANSM. DISTR. RETIF...</t>
        </r>
      </text>
    </comment>
    <comment ref="Y230" authorId="0" shapeId="0" xr:uid="{C069DFB9-7545-4C50-8992-FD9CE0C081E4}">
      <text>
        <r>
          <rPr>
            <sz val="10"/>
            <color indexed="81"/>
            <rFont val="Lucida Console"/>
            <family val="3"/>
          </rPr>
          <t>_x000D_
INTERRUPTORES DE USO DOMESTICO E INDUSTRIAL</t>
        </r>
      </text>
    </comment>
    <comment ref="AW230" authorId="0" shapeId="0" xr:uid="{8B8760C2-BF01-4000-9F84-C1A66B1E7F1D}">
      <text>
        <r>
          <rPr>
            <sz val="10"/>
            <color indexed="81"/>
            <rFont val="Lucida Console"/>
            <family val="3"/>
          </rPr>
          <t>Tempo de Estoque (Meses)_x000D_
_x000D_
1.209,0</t>
        </r>
      </text>
    </comment>
    <comment ref="A231" authorId="0" shapeId="0" xr:uid="{98C6267D-3304-409C-BD70-CAA97BDD3FA5}">
      <text>
        <r>
          <rPr>
            <sz val="10"/>
            <color indexed="81"/>
            <rFont val="Lucida Console"/>
            <family val="3"/>
          </rPr>
          <t>_x000D_
108393</t>
        </r>
      </text>
    </comment>
    <comment ref="B231" authorId="0" shapeId="0" xr:uid="{81AB5568-46A2-4027-A1E4-DF7E0D8F580B}">
      <text>
        <r>
          <rPr>
            <sz val="10"/>
            <color indexed="81"/>
            <rFont val="Lucida Console"/>
            <family val="3"/>
          </rPr>
          <t>DESCRIÇÃO DETALHADA_x000D_
INTERRUPTOR DIFERENCIAL RESIDUAL BIPOLAR ELETROMECANICO NORMA IEC 61008 TENSAO MINIMA 240V CORRENTE NOMINAL 40 AMPERES SENSIBILIDADE 30 MA</t>
        </r>
      </text>
    </comment>
    <comment ref="G231" authorId="0" shapeId="0" xr:uid="{32595628-FCB7-41F2-9D36-870ABB8C98B1}">
      <text>
        <r>
          <rPr>
            <sz val="10"/>
            <color indexed="81"/>
            <rFont val="Lucida Console"/>
            <family val="3"/>
          </rPr>
          <t>_x000D_
Últ estimativa : 100_x000D_
Enviada em     : 17.01.2020_x000D_
Ata - Venc     : 126/19 - 06.05.2020</t>
        </r>
      </text>
    </comment>
    <comment ref="O231" authorId="0" shapeId="0" xr:uid="{2231EC61-0772-45F4-8653-7ED98FB35D51}">
      <text>
        <r>
          <rPr>
            <sz val="10"/>
            <color indexed="81"/>
            <rFont val="Lucida Console"/>
            <family val="3"/>
          </rPr>
          <t>_x000D_
Pertencia a ATA nº 126/19_x000D_
Estimativa de Renovação enviada em 17.01.2020 - Qtd 100_x000D_
PE 153/20 lote 1 (Impróspero)_x000D_
16.09.20 = Finalizado</t>
        </r>
      </text>
    </comment>
    <comment ref="W231" authorId="0" shapeId="0" xr:uid="{7D7102C3-2B9E-44F0-A324-054804EB95B1}">
      <text>
        <r>
          <rPr>
            <sz val="10"/>
            <color indexed="81"/>
            <rFont val="Lucida Console"/>
            <family val="3"/>
          </rPr>
          <t>_x000D_
DM-Elétrica</t>
        </r>
      </text>
    </comment>
    <comment ref="X231" authorId="0" shapeId="0" xr:uid="{E50FE11D-A62F-4E58-9413-E6CB38A5A5A8}">
      <text>
        <r>
          <rPr>
            <sz val="10"/>
            <color indexed="81"/>
            <rFont val="Lucida Console"/>
            <family val="3"/>
          </rPr>
          <t>_x000D_
EQUIP. MAT. P/ GERACAO, TRANSM. DISTR. RETIF...</t>
        </r>
      </text>
    </comment>
    <comment ref="Y231" authorId="0" shapeId="0" xr:uid="{0C95A8E1-67E9-426B-ACCA-A9C34504BC20}">
      <text>
        <r>
          <rPr>
            <sz val="10"/>
            <color indexed="81"/>
            <rFont val="Lucida Console"/>
            <family val="3"/>
          </rPr>
          <t>_x000D_
DISJUNTORES</t>
        </r>
      </text>
    </comment>
    <comment ref="AW231" authorId="0" shapeId="0" xr:uid="{BBD27BD6-2571-49E9-A2FF-24929439A5A3}">
      <text>
        <r>
          <rPr>
            <sz val="10"/>
            <color indexed="81"/>
            <rFont val="Lucida Console"/>
            <family val="3"/>
          </rPr>
          <t>Tempo de Estoque (Meses)_x000D_
_x000D_
161,0</t>
        </r>
      </text>
    </comment>
    <comment ref="A232" authorId="0" shapeId="0" xr:uid="{37A8C07C-DFC0-4F45-A20F-785BC60054AE}">
      <text>
        <r>
          <rPr>
            <sz val="10"/>
            <color indexed="81"/>
            <rFont val="Lucida Console"/>
            <family val="3"/>
          </rPr>
          <t>_x000D_
12971</t>
        </r>
      </text>
    </comment>
    <comment ref="B232" authorId="0" shapeId="0" xr:uid="{6BCBB82A-A92A-4190-9936-BE3C4865A6D6}">
      <text>
        <r>
          <rPr>
            <sz val="10"/>
            <color indexed="81"/>
            <rFont val="Lucida Console"/>
            <family val="3"/>
          </rPr>
          <t>DESCRIÇÃO DETALHADA_x000D_
CAIXA DE PASSAGEM RETANGULAR 2 X 4 - EM PVC</t>
        </r>
      </text>
    </comment>
    <comment ref="G232" authorId="0" shapeId="0" xr:uid="{1C56795B-7AD2-45BC-B16D-6AEDB23702DA}">
      <text>
        <r>
          <rPr>
            <sz val="10"/>
            <color indexed="81"/>
            <rFont val="Lucida Console"/>
            <family val="3"/>
          </rPr>
          <t>_x000D_
Últ estimativa : 250_x000D_
Enviada em     : 17.01.2020_x000D_
Ata - Venc     : 126/19 - 06.05.2020</t>
        </r>
      </text>
    </comment>
    <comment ref="O232" authorId="0" shapeId="0" xr:uid="{2607D905-987F-4A83-B240-F01C54F91B48}">
      <text>
        <r>
          <rPr>
            <sz val="10"/>
            <color indexed="81"/>
            <rFont val="Lucida Console"/>
            <family val="3"/>
          </rPr>
          <t>_x000D_
Pertencia a ATA nº 126/19_x000D_
Estimativa de Renovação enviada em 17.01.2020 - Qtd 250_x000D_
PE 153/20 lote 2 (Impróspero)_x000D_
16.09.20 = Finalizado</t>
        </r>
      </text>
    </comment>
    <comment ref="W232" authorId="0" shapeId="0" xr:uid="{8FFE3310-CA96-428A-B0BA-40657A8E3C25}">
      <text>
        <r>
          <rPr>
            <sz val="10"/>
            <color indexed="81"/>
            <rFont val="Lucida Console"/>
            <family val="3"/>
          </rPr>
          <t>_x000D_
DM-Elétrica</t>
        </r>
      </text>
    </comment>
    <comment ref="X232" authorId="0" shapeId="0" xr:uid="{A66D5636-3708-4591-A665-3B977BB846B6}">
      <text>
        <r>
          <rPr>
            <sz val="10"/>
            <color indexed="81"/>
            <rFont val="Lucida Console"/>
            <family val="3"/>
          </rPr>
          <t>_x000D_
EQUIP. MAT. P/ GERACAO, TRANSM. DISTR. RETIF...</t>
        </r>
      </text>
    </comment>
    <comment ref="Y232" authorId="0" shapeId="0" xr:uid="{C7EB334F-0D6A-4A92-A684-4E534EC4AD89}">
      <text>
        <r>
          <rPr>
            <sz val="10"/>
            <color indexed="81"/>
            <rFont val="Lucida Console"/>
            <family val="3"/>
          </rPr>
          <t>_x000D_
CAIXAS</t>
        </r>
      </text>
    </comment>
    <comment ref="AW232" authorId="0" shapeId="0" xr:uid="{D77005A4-BD08-4C0C-BB5D-8496C1920535}">
      <text>
        <r>
          <rPr>
            <sz val="10"/>
            <color indexed="81"/>
            <rFont val="Lucida Console"/>
            <family val="3"/>
          </rPr>
          <t>Tempo de Estoque (Meses)_x000D_
_x000D_
401,0</t>
        </r>
      </text>
    </comment>
    <comment ref="A233" authorId="0" shapeId="0" xr:uid="{B3D8350C-E467-4167-9D77-E0972F6258AE}">
      <text>
        <r>
          <rPr>
            <sz val="10"/>
            <color indexed="81"/>
            <rFont val="Lucida Console"/>
            <family val="3"/>
          </rPr>
          <t>_x000D_
14885</t>
        </r>
      </text>
    </comment>
    <comment ref="B233" authorId="0" shapeId="0" xr:uid="{5FF50B48-D7AC-4F25-BE65-9E03E21EA628}">
      <text>
        <r>
          <rPr>
            <sz val="10"/>
            <color indexed="81"/>
            <rFont val="Lucida Console"/>
            <family val="3"/>
          </rPr>
          <t>DESCRIÇÃO DETALHADA_x000D_
ELETRODUTO FLEXIVEL CORRUGADO DE 1.1/2"</t>
        </r>
      </text>
    </comment>
    <comment ref="G233" authorId="0" shapeId="0" xr:uid="{26C02230-506F-48EB-9226-0BF6C8CA3648}">
      <text>
        <r>
          <rPr>
            <sz val="10"/>
            <color indexed="81"/>
            <rFont val="Lucida Console"/>
            <family val="3"/>
          </rPr>
          <t>_x000D_
Últ estimativa : 300_x000D_
Enviada em     : 17.01.2020_x000D_
Ata - Venc     : 126/19 - 06.05.2020</t>
        </r>
      </text>
    </comment>
    <comment ref="O233" authorId="0" shapeId="0" xr:uid="{8B46A506-F766-454C-9ECD-F3DC24B70BF4}">
      <text>
        <r>
          <rPr>
            <sz val="10"/>
            <color indexed="81"/>
            <rFont val="Lucida Console"/>
            <family val="3"/>
          </rPr>
          <t>_x000D_
Pertencia a ATA nº 126/19_x000D_
Estimativa de Renovação enviada em 17.01.2020 - Qtd 300_x000D_
PE 153/20 lote 7 (Impróspero)_x000D_
16.09.20 = Finalizado</t>
        </r>
      </text>
    </comment>
    <comment ref="W233" authorId="0" shapeId="0" xr:uid="{5B98A708-2BB0-429B-804B-9F4E9DB447FA}">
      <text>
        <r>
          <rPr>
            <sz val="10"/>
            <color indexed="81"/>
            <rFont val="Lucida Console"/>
            <family val="3"/>
          </rPr>
          <t>_x000D_
DM-Elétrica</t>
        </r>
      </text>
    </comment>
    <comment ref="X233" authorId="0" shapeId="0" xr:uid="{1F20C399-1AA9-44A0-9B5C-317F3386A6CE}">
      <text>
        <r>
          <rPr>
            <sz val="10"/>
            <color indexed="81"/>
            <rFont val="Lucida Console"/>
            <family val="3"/>
          </rPr>
          <t>_x000D_
EQUIP. MAT. P/ GERACAO, TRANSM. DISTR. RETIF...</t>
        </r>
      </text>
    </comment>
    <comment ref="Y233" authorId="0" shapeId="0" xr:uid="{9BF3A707-9C10-4CFC-A89C-6CC8469E1EC7}">
      <text>
        <r>
          <rPr>
            <sz val="10"/>
            <color indexed="81"/>
            <rFont val="Lucida Console"/>
            <family val="3"/>
          </rPr>
          <t>_x000D_
ELETRODUTOS E ACESSORIOS</t>
        </r>
      </text>
    </comment>
    <comment ref="AW233" authorId="0" shapeId="0" xr:uid="{8614EF21-A441-499E-9330-687A4FA1448F}">
      <text>
        <r>
          <rPr>
            <sz val="10"/>
            <color indexed="81"/>
            <rFont val="Lucida Console"/>
            <family val="3"/>
          </rPr>
          <t>Tempo de Estoque (Meses)_x000D_
_x000D_
100,0</t>
        </r>
      </text>
    </comment>
    <comment ref="A234" authorId="0" shapeId="0" xr:uid="{247EA8AA-5B7B-441A-895B-16C0B51E6BAB}">
      <text>
        <r>
          <rPr>
            <sz val="10"/>
            <color indexed="81"/>
            <rFont val="Lucida Console"/>
            <family val="3"/>
          </rPr>
          <t>_x000D_
14887</t>
        </r>
      </text>
    </comment>
    <comment ref="B234" authorId="0" shapeId="0" xr:uid="{C8950644-715F-4F5F-9F15-D6246CFDA8E8}">
      <text>
        <r>
          <rPr>
            <sz val="10"/>
            <color indexed="81"/>
            <rFont val="Lucida Console"/>
            <family val="3"/>
          </rPr>
          <t>DESCRIÇÃO DETALHADA_x000D_
ELETRODUTO FLEXIVEL CORRUGADO DE 2"</t>
        </r>
      </text>
    </comment>
    <comment ref="G234" authorId="0" shapeId="0" xr:uid="{F44301EC-141C-442F-A5E1-847FBE3DCAF2}">
      <text>
        <r>
          <rPr>
            <sz val="10"/>
            <color indexed="81"/>
            <rFont val="Lucida Console"/>
            <family val="3"/>
          </rPr>
          <t>_x000D_
Últ estimativa : 700_x000D_
Enviada em     : 17.01.2020_x000D_
Ata - Venc     : 126/19 - 06.05.2020</t>
        </r>
      </text>
    </comment>
    <comment ref="O234" authorId="0" shapeId="0" xr:uid="{68253F7A-0ED2-4354-9EEF-3017666AB23C}">
      <text>
        <r>
          <rPr>
            <sz val="10"/>
            <color indexed="81"/>
            <rFont val="Lucida Console"/>
            <family val="3"/>
          </rPr>
          <t>_x000D_
Pertencia a ATA nº 126/19_x000D_
Estimativa de Renovação enviada em 17.01.2020 - Qtd 700_x000D_
PE 153/20 lote 7 (Impróspero)_x000D_
16.09.20 = Finalizado</t>
        </r>
      </text>
    </comment>
    <comment ref="W234" authorId="0" shapeId="0" xr:uid="{CADC2E61-BF38-4725-AE43-F57FEA42D757}">
      <text>
        <r>
          <rPr>
            <sz val="10"/>
            <color indexed="81"/>
            <rFont val="Lucida Console"/>
            <family val="3"/>
          </rPr>
          <t>_x000D_
DM-Elétrica</t>
        </r>
      </text>
    </comment>
    <comment ref="X234" authorId="0" shapeId="0" xr:uid="{E248D5DA-A452-4471-9668-64C7F99BCC45}">
      <text>
        <r>
          <rPr>
            <sz val="10"/>
            <color indexed="81"/>
            <rFont val="Lucida Console"/>
            <family val="3"/>
          </rPr>
          <t>_x000D_
EQUIP. MAT. P/ GERACAO, TRANSM. DISTR. RETIF...</t>
        </r>
      </text>
    </comment>
    <comment ref="Y234" authorId="0" shapeId="0" xr:uid="{228C0233-F3BD-4252-BF71-B6ABE98F2863}">
      <text>
        <r>
          <rPr>
            <sz val="10"/>
            <color indexed="81"/>
            <rFont val="Lucida Console"/>
            <family val="3"/>
          </rPr>
          <t>_x000D_
ELETRODUTOS E ACESSORIOS</t>
        </r>
      </text>
    </comment>
    <comment ref="AW234" authorId="0" shapeId="0" xr:uid="{94DB95A7-1952-41B0-BF88-1C4C6EEDFF7E}">
      <text>
        <r>
          <rPr>
            <sz val="10"/>
            <color indexed="81"/>
            <rFont val="Lucida Console"/>
            <family val="3"/>
          </rPr>
          <t>Tempo de Estoque (Meses)_x000D_
_x000D_
300,0</t>
        </r>
      </text>
    </comment>
    <comment ref="A235" authorId="0" shapeId="0" xr:uid="{FB71D719-3EF1-4E22-ACC3-E74A8ACD7168}">
      <text>
        <r>
          <rPr>
            <sz val="10"/>
            <color indexed="81"/>
            <rFont val="Lucida Console"/>
            <family val="3"/>
          </rPr>
          <t>_x000D_
106414</t>
        </r>
      </text>
    </comment>
    <comment ref="B235" authorId="0" shapeId="0" xr:uid="{0F942EE1-1FC9-41BB-8558-054DB25C5473}">
      <text>
        <r>
          <rPr>
            <sz val="10"/>
            <color indexed="81"/>
            <rFont val="Lucida Console"/>
            <family val="3"/>
          </rPr>
          <t>DESCRIÇÃO DETALHADA_x000D_
CONDULETE EM LIGA DE ALUMINIO FUNDIDO TIPO "MULTIPLO" - Ø  3/4" - S/VEDACAO</t>
        </r>
      </text>
    </comment>
    <comment ref="G235" authorId="0" shapeId="0" xr:uid="{D2E516E6-2803-42A7-A581-8DBFDA4B5778}">
      <text>
        <r>
          <rPr>
            <sz val="10"/>
            <color indexed="81"/>
            <rFont val="Lucida Console"/>
            <family val="3"/>
          </rPr>
          <t>_x000D_
Últ estimativa : 1.300_x000D_
Enviada em     : 17.01.2020_x000D_
Ata - Venc     : 126/19 - 06.05.2020</t>
        </r>
      </text>
    </comment>
    <comment ref="O235" authorId="0" shapeId="0" xr:uid="{9E5EC56A-E435-4534-AF2E-840A057E7CAB}">
      <text>
        <r>
          <rPr>
            <sz val="10"/>
            <color indexed="81"/>
            <rFont val="Lucida Console"/>
            <family val="3"/>
          </rPr>
          <t>_x000D_
Pertencia a ATA nº 126/19_x000D_
Estimativa de Renovação enviada em 17.01.2020 - Qtd 1.300_x000D_
PE 153/20 lote 2 (Impróspero)_x000D_
16.09.20 = Finalizado</t>
        </r>
      </text>
    </comment>
    <comment ref="W235" authorId="0" shapeId="0" xr:uid="{59613D7D-423B-4D4E-97C5-C4C997439956}">
      <text>
        <r>
          <rPr>
            <sz val="10"/>
            <color indexed="81"/>
            <rFont val="Lucida Console"/>
            <family val="3"/>
          </rPr>
          <t>_x000D_
DM-Elétrica</t>
        </r>
      </text>
    </comment>
    <comment ref="X235" authorId="0" shapeId="0" xr:uid="{1DFDBC5E-A459-402D-BD99-03A0CC74FA79}">
      <text>
        <r>
          <rPr>
            <sz val="10"/>
            <color indexed="81"/>
            <rFont val="Lucida Console"/>
            <family val="3"/>
          </rPr>
          <t>_x000D_
EQUIP. MAT. P/ GERACAO, TRANSM. DISTR. RETIF...</t>
        </r>
      </text>
    </comment>
    <comment ref="Y235" authorId="0" shapeId="0" xr:uid="{8B2FA885-F816-457D-B8A0-5B020D06D2B4}">
      <text>
        <r>
          <rPr>
            <sz val="10"/>
            <color indexed="81"/>
            <rFont val="Lucida Console"/>
            <family val="3"/>
          </rPr>
          <t>_x000D_
ELETRODUTOS E ACESSORIOS</t>
        </r>
      </text>
    </comment>
    <comment ref="AW235" authorId="0" shapeId="0" xr:uid="{8F8FE11A-AB08-4F77-BDEF-751BD3FE5EB9}">
      <text>
        <r>
          <rPr>
            <sz val="10"/>
            <color indexed="81"/>
            <rFont val="Lucida Console"/>
            <family val="3"/>
          </rPr>
          <t>Tempo de Estoque (Meses)_x000D_
_x000D_
3.812,0</t>
        </r>
      </text>
    </comment>
    <comment ref="A236" authorId="0" shapeId="0" xr:uid="{672F63EF-AAD0-4D44-9BE2-FB2DAC59CD66}">
      <text>
        <r>
          <rPr>
            <sz val="10"/>
            <color indexed="81"/>
            <rFont val="Lucida Console"/>
            <family val="3"/>
          </rPr>
          <t>_x000D_
111806</t>
        </r>
      </text>
    </comment>
    <comment ref="B236" authorId="0" shapeId="0" xr:uid="{DA456ED8-FF57-421A-A4CF-34D5159729A2}">
      <text>
        <r>
          <rPr>
            <sz val="10"/>
            <color indexed="81"/>
            <rFont val="Lucida Console"/>
            <family val="3"/>
          </rPr>
          <t xml:space="preserve">DESCRIÇÃO DETALHADA_x000D_
TAMPA PARA CONDULETE DE PVC 3/4" CEGA </t>
        </r>
      </text>
    </comment>
    <comment ref="G236" authorId="0" shapeId="0" xr:uid="{9F4D0F1E-CA94-4595-8857-EF9539EE1E11}">
      <text>
        <r>
          <rPr>
            <sz val="10"/>
            <color indexed="81"/>
            <rFont val="Lucida Console"/>
            <family val="3"/>
          </rPr>
          <t>_x000D_
Últ estimativa : 700_x000D_
Enviada em     : 17.01.2020_x000D_
Ata - Venc     : 126/19 - 06.05.2020</t>
        </r>
      </text>
    </comment>
    <comment ref="O236" authorId="0" shapeId="0" xr:uid="{FF06025F-E56C-4495-A515-785E86FECE3D}">
      <text>
        <r>
          <rPr>
            <sz val="10"/>
            <color indexed="81"/>
            <rFont val="Lucida Console"/>
            <family val="3"/>
          </rPr>
          <t>_x000D_
Pertencia a ATA nº 126/19_x000D_
Estimativa de Renovação enviada em 17.01.2020 - Qtd 700_x000D_
PE 153/20 lote 2 (Impróspero)_x000D_
16.09.20 = Finalizado</t>
        </r>
      </text>
    </comment>
    <comment ref="W236" authorId="0" shapeId="0" xr:uid="{BC072D46-56B1-45A9-9BA2-825D71C9121D}">
      <text>
        <r>
          <rPr>
            <sz val="10"/>
            <color indexed="81"/>
            <rFont val="Lucida Console"/>
            <family val="3"/>
          </rPr>
          <t>_x000D_
DM-Elétrica</t>
        </r>
      </text>
    </comment>
    <comment ref="X236" authorId="0" shapeId="0" xr:uid="{D8E4BAB0-DD90-4FA0-B678-AFAAA20B6ACC}">
      <text>
        <r>
          <rPr>
            <sz val="10"/>
            <color indexed="81"/>
            <rFont val="Lucida Console"/>
            <family val="3"/>
          </rPr>
          <t>_x000D_
EQUIP. MAT. P/ GERACAO, TRANSM. DISTR. RETIF...</t>
        </r>
      </text>
    </comment>
    <comment ref="Y236" authorId="0" shapeId="0" xr:uid="{056E371D-5268-4AAB-9BCC-D293721B6561}">
      <text>
        <r>
          <rPr>
            <sz val="10"/>
            <color indexed="81"/>
            <rFont val="Lucida Console"/>
            <family val="3"/>
          </rPr>
          <t>_x000D_
ELETRODUTOS E ACESSORIOS</t>
        </r>
      </text>
    </comment>
    <comment ref="AW236" authorId="0" shapeId="0" xr:uid="{E0B6DAF0-0C21-4BEE-8F72-BB547423ED32}">
      <text>
        <r>
          <rPr>
            <sz val="10"/>
            <color indexed="81"/>
            <rFont val="Lucida Console"/>
            <family val="3"/>
          </rPr>
          <t>Tempo de Estoque (Meses)_x000D_
_x000D_
2.000,0</t>
        </r>
      </text>
    </comment>
    <comment ref="A237" authorId="0" shapeId="0" xr:uid="{E72DC0D2-A79E-4507-AC60-D1E0DA477D3A}">
      <text>
        <r>
          <rPr>
            <sz val="10"/>
            <color indexed="81"/>
            <rFont val="Lucida Console"/>
            <family val="3"/>
          </rPr>
          <t>_x000D_
128815</t>
        </r>
      </text>
    </comment>
    <comment ref="B237" authorId="0" shapeId="0" xr:uid="{32D03145-A7A9-4B6A-8B81-25AA37E16CA8}">
      <text>
        <r>
          <rPr>
            <sz val="10"/>
            <color indexed="81"/>
            <rFont val="Lucida Console"/>
            <family val="3"/>
          </rPr>
          <t>DESCRIÇÃO DETALHADA_x000D_
TAMPAO DE PVC PARA CONDULETE DE 3/4"</t>
        </r>
      </text>
    </comment>
    <comment ref="G237" authorId="0" shapeId="0" xr:uid="{2050F2A8-4218-4B0A-98AF-969C19526ECF}">
      <text>
        <r>
          <rPr>
            <sz val="10"/>
            <color indexed="81"/>
            <rFont val="Lucida Console"/>
            <family val="3"/>
          </rPr>
          <t>_x000D_
Últ estimativa : 3.000_x000D_
Enviada em     : 17.01.2020_x000D_
Ata - Venc     : 126/19 - 06.05.2020</t>
        </r>
      </text>
    </comment>
    <comment ref="O237" authorId="0" shapeId="0" xr:uid="{F09FCBDA-0A29-4E94-B4A5-35A55DAEE9EB}">
      <text>
        <r>
          <rPr>
            <sz val="10"/>
            <color indexed="81"/>
            <rFont val="Lucida Console"/>
            <family val="3"/>
          </rPr>
          <t>_x000D_
Pertencia a ATA nº 126/19_x000D_
Estimativa de Renovação enviada em 17.01.2020 - Qtd 3.000_x000D_
PE 153/20 lote 2 (Impróspero)_x000D_
16.09.20 = Finalizado</t>
        </r>
      </text>
    </comment>
    <comment ref="W237" authorId="0" shapeId="0" xr:uid="{C2F3FFE8-2945-4571-AA51-91398FAFBDD3}">
      <text>
        <r>
          <rPr>
            <sz val="10"/>
            <color indexed="81"/>
            <rFont val="Lucida Console"/>
            <family val="3"/>
          </rPr>
          <t>_x000D_
DM-Elétrica</t>
        </r>
      </text>
    </comment>
    <comment ref="X237" authorId="0" shapeId="0" xr:uid="{1CA8AB8F-E6DF-4CB4-9558-23AB3026EAA0}">
      <text>
        <r>
          <rPr>
            <sz val="10"/>
            <color indexed="81"/>
            <rFont val="Lucida Console"/>
            <family val="3"/>
          </rPr>
          <t>_x000D_
EQUIP. MAT. P/ GERACAO, TRANSM. DISTR. RETIF...</t>
        </r>
      </text>
    </comment>
    <comment ref="Y237" authorId="0" shapeId="0" xr:uid="{131744A4-4572-4CA2-8363-0FB1610FB208}">
      <text>
        <r>
          <rPr>
            <sz val="10"/>
            <color indexed="81"/>
            <rFont val="Lucida Console"/>
            <family val="3"/>
          </rPr>
          <t>_x000D_
ELETRODUTOS E ACESSORIOS</t>
        </r>
      </text>
    </comment>
    <comment ref="AW237" authorId="0" shapeId="0" xr:uid="{D2475850-897F-4A23-B777-E60FE190DF74}">
      <text>
        <r>
          <rPr>
            <sz val="10"/>
            <color indexed="81"/>
            <rFont val="Lucida Console"/>
            <family val="3"/>
          </rPr>
          <t>Tempo de Estoque (Meses)_x000D_
_x000D_
5.691,0</t>
        </r>
      </text>
    </comment>
    <comment ref="A238" authorId="0" shapeId="0" xr:uid="{8D994EFF-FFE7-4E66-BBFA-560391059676}">
      <text>
        <r>
          <rPr>
            <sz val="10"/>
            <color indexed="81"/>
            <rFont val="Lucida Console"/>
            <family val="3"/>
          </rPr>
          <t>_x000D_
128816</t>
        </r>
      </text>
    </comment>
    <comment ref="B238" authorId="0" shapeId="0" xr:uid="{C755B4DF-127A-4895-81C1-A355CD1105B9}">
      <text>
        <r>
          <rPr>
            <sz val="10"/>
            <color indexed="81"/>
            <rFont val="Lucida Console"/>
            <family val="3"/>
          </rPr>
          <t>DESCRIÇÃO DETALHADA_x000D_
TAMPAO DE PVC PARA CONDULETE DE 1.1/2"</t>
        </r>
      </text>
    </comment>
    <comment ref="G238" authorId="0" shapeId="0" xr:uid="{31B5596F-D5FD-4C62-BEBC-A3D6D3D692E0}">
      <text>
        <r>
          <rPr>
            <sz val="10"/>
            <color indexed="81"/>
            <rFont val="Lucida Console"/>
            <family val="3"/>
          </rPr>
          <t>_x000D_
Últ estimativa : 100_x000D_
Enviada em     : 17.01.2020_x000D_
Ata - Venc     : 126/19 - 06.05.2020</t>
        </r>
      </text>
    </comment>
    <comment ref="O238" authorId="0" shapeId="0" xr:uid="{8D2537E1-0930-4650-A1FD-EC01867C6E9E}">
      <text>
        <r>
          <rPr>
            <sz val="10"/>
            <color indexed="81"/>
            <rFont val="Lucida Console"/>
            <family val="3"/>
          </rPr>
          <t>_x000D_
Pertencia a ATA nº 126/19_x000D_
Estimativa de Renovação enviada em 17.01.2020 - Qtd 100_x000D_
PE 153/20 lote 2 (Impróspero)_x000D_
16.09.20 = Finalizado</t>
        </r>
      </text>
    </comment>
    <comment ref="W238" authorId="0" shapeId="0" xr:uid="{DFB63FB5-8247-4A84-A092-C78C4ED497BD}">
      <text>
        <r>
          <rPr>
            <sz val="10"/>
            <color indexed="81"/>
            <rFont val="Lucida Console"/>
            <family val="3"/>
          </rPr>
          <t>_x000D_
DM-Elétrica</t>
        </r>
      </text>
    </comment>
    <comment ref="X238" authorId="0" shapeId="0" xr:uid="{1702CC76-FE1C-4EA9-AEA1-7457C24A857F}">
      <text>
        <r>
          <rPr>
            <sz val="10"/>
            <color indexed="81"/>
            <rFont val="Lucida Console"/>
            <family val="3"/>
          </rPr>
          <t>_x000D_
EQUIP. MAT. P/ GERACAO, TRANSM. DISTR. RETIF...</t>
        </r>
      </text>
    </comment>
    <comment ref="Y238" authorId="0" shapeId="0" xr:uid="{CDCEE158-4C96-4C3A-8CFF-E3DE604EBDE5}">
      <text>
        <r>
          <rPr>
            <sz val="10"/>
            <color indexed="81"/>
            <rFont val="Lucida Console"/>
            <family val="3"/>
          </rPr>
          <t>_x000D_
ELETRODUTOS E ACESSORIOS</t>
        </r>
      </text>
    </comment>
    <comment ref="AW238" authorId="0" shapeId="0" xr:uid="{D2F4CA01-64B6-4D0B-81F6-2E34E0F460DA}">
      <text>
        <r>
          <rPr>
            <sz val="10"/>
            <color indexed="81"/>
            <rFont val="Lucida Console"/>
            <family val="3"/>
          </rPr>
          <t>Tempo de Estoque (Meses)_x000D_
_x000D_
805,0</t>
        </r>
      </text>
    </comment>
    <comment ref="A239" authorId="0" shapeId="0" xr:uid="{9BD39F70-A4BB-4FE6-AC90-3A956112DA3F}">
      <text>
        <r>
          <rPr>
            <sz val="10"/>
            <color indexed="81"/>
            <rFont val="Lucida Console"/>
            <family val="3"/>
          </rPr>
          <t>_x000D_
129991</t>
        </r>
      </text>
    </comment>
    <comment ref="B239" authorId="0" shapeId="0" xr:uid="{56D7901D-90AE-4BC8-B277-ECD86E14D8C4}">
      <text>
        <r>
          <rPr>
            <sz val="10"/>
            <color indexed="81"/>
            <rFont val="Lucida Console"/>
            <family val="3"/>
          </rPr>
          <t>DESCRIÇÃO DETALHADA_x000D_
ELETRODUTO CORRUGADO EM PEAD (POLIETILENO DE ALTA DENSIDADE) PARA PROTECAO DE CABOS SUBTERRANEOS - DIAMETRO 110MM (4")</t>
        </r>
      </text>
    </comment>
    <comment ref="G239" authorId="0" shapeId="0" xr:uid="{0BD69E81-B980-413B-94B5-84E312DF2FDB}">
      <text>
        <r>
          <rPr>
            <sz val="10"/>
            <color indexed="81"/>
            <rFont val="Lucida Console"/>
            <family val="3"/>
          </rPr>
          <t>_x000D_
Últ estimativa : 600_x000D_
Enviada em     : 17.01.2020_x000D_
Ata - Venc     : 126/19 - 06.05.2020</t>
        </r>
      </text>
    </comment>
    <comment ref="O239" authorId="0" shapeId="0" xr:uid="{1C22A65E-963F-44CF-8781-AFEE554C17B6}">
      <text>
        <r>
          <rPr>
            <sz val="10"/>
            <color indexed="81"/>
            <rFont val="Lucida Console"/>
            <family val="3"/>
          </rPr>
          <t>_x000D_
Pertencia a ATA nº 126/19_x000D_
Estimativa de Renovação enviada em 17.01.2020 - Qtd 600_x000D_
PE 153/20 lote 7 (Impróspero)_x000D_
16.09.20 = Finalizado</t>
        </r>
      </text>
    </comment>
    <comment ref="W239" authorId="0" shapeId="0" xr:uid="{E4914482-70B8-4CA0-A7E7-0B7D41649AB0}">
      <text>
        <r>
          <rPr>
            <sz val="10"/>
            <color indexed="81"/>
            <rFont val="Lucida Console"/>
            <family val="3"/>
          </rPr>
          <t>_x000D_
DM-Elétrica</t>
        </r>
      </text>
    </comment>
    <comment ref="X239" authorId="0" shapeId="0" xr:uid="{18C82BA5-1695-4B3F-A0BC-84CFC4DAFA29}">
      <text>
        <r>
          <rPr>
            <sz val="10"/>
            <color indexed="81"/>
            <rFont val="Lucida Console"/>
            <family val="3"/>
          </rPr>
          <t>_x000D_
EQUIP. MAT. P/ GERACAO, TRANSM. DISTR. RETIF...</t>
        </r>
      </text>
    </comment>
    <comment ref="Y239" authorId="0" shapeId="0" xr:uid="{EC09D630-590D-40CC-819D-F27EE895B6A6}">
      <text>
        <r>
          <rPr>
            <sz val="10"/>
            <color indexed="81"/>
            <rFont val="Lucida Console"/>
            <family val="3"/>
          </rPr>
          <t>_x000D_
ELETRODUTOS E ACESSORIOS</t>
        </r>
      </text>
    </comment>
    <comment ref="AW239" authorId="0" shapeId="0" xr:uid="{B642B3A9-AF9B-4931-9907-865B088B399D}">
      <text>
        <r>
          <rPr>
            <sz val="10"/>
            <color indexed="81"/>
            <rFont val="Lucida Console"/>
            <family val="3"/>
          </rPr>
          <t>Tempo de Estoque (Meses)_x000D_
_x000D_
374,0</t>
        </r>
      </text>
    </comment>
    <comment ref="A240" authorId="0" shapeId="0" xr:uid="{B49E2399-0AC1-4C35-AE30-6E04FB2F1EC9}">
      <text>
        <r>
          <rPr>
            <sz val="10"/>
            <color indexed="81"/>
            <rFont val="Lucida Console"/>
            <family val="3"/>
          </rPr>
          <t>_x000D_
128818</t>
        </r>
      </text>
    </comment>
    <comment ref="B240" authorId="0" shapeId="0" xr:uid="{BD51627A-E0DA-4477-8172-D5EC2A0981A9}">
      <text>
        <r>
          <rPr>
            <sz val="10"/>
            <color indexed="81"/>
            <rFont val="Lucida Console"/>
            <family val="3"/>
          </rPr>
          <t>DESCRIÇÃO DETALHADA_x000D_
CONECTOR DE ALUMINIO PARA CONDULETE MULTIPLO DE 3/4"</t>
        </r>
      </text>
    </comment>
    <comment ref="G240" authorId="0" shapeId="0" xr:uid="{8B6037B1-2711-4D83-BB14-64EFCF9CF4A9}">
      <text>
        <r>
          <rPr>
            <sz val="10"/>
            <color indexed="81"/>
            <rFont val="Lucida Console"/>
            <family val="3"/>
          </rPr>
          <t>_x000D_
Últ estimativa : 1.500_x000D_
Enviada em     : 17.01.2020_x000D_
Ata - Venc     : 126/19 - 06.05.2020</t>
        </r>
      </text>
    </comment>
    <comment ref="O240" authorId="0" shapeId="0" xr:uid="{E2FFFA76-2E78-48AB-A0BB-15D2AC3560F8}">
      <text>
        <r>
          <rPr>
            <sz val="10"/>
            <color indexed="81"/>
            <rFont val="Lucida Console"/>
            <family val="3"/>
          </rPr>
          <t>_x000D_
Pertencia a ATA nº 126/19_x000D_
Estimativa de Renovação enviada em 17.01.2020 - Qtd 1.500_x000D_
PE 153/20 lote 2 (Impróspero)_x000D_
16.09.20 = Finalizado</t>
        </r>
      </text>
    </comment>
    <comment ref="W240" authorId="0" shapeId="0" xr:uid="{F4A369D1-56BF-4AE5-B935-63359904E3EA}">
      <text>
        <r>
          <rPr>
            <sz val="10"/>
            <color indexed="81"/>
            <rFont val="Lucida Console"/>
            <family val="3"/>
          </rPr>
          <t>_x000D_
DM-Elétrica</t>
        </r>
      </text>
    </comment>
    <comment ref="X240" authorId="0" shapeId="0" xr:uid="{CAF8B116-8EA5-4B7B-813F-B24E700FE050}">
      <text>
        <r>
          <rPr>
            <sz val="10"/>
            <color indexed="81"/>
            <rFont val="Lucida Console"/>
            <family val="3"/>
          </rPr>
          <t>_x000D_
EQUIP. MAT. P/ GERACAO, TRANSM. DISTR. RETIF...</t>
        </r>
      </text>
    </comment>
    <comment ref="Y240" authorId="0" shapeId="0" xr:uid="{229F51F0-1EED-4008-9AB0-6CBAEC78904B}">
      <text>
        <r>
          <rPr>
            <sz val="10"/>
            <color indexed="81"/>
            <rFont val="Lucida Console"/>
            <family val="3"/>
          </rPr>
          <t>_x000D_
CONECTORES</t>
        </r>
      </text>
    </comment>
    <comment ref="AW240" authorId="0" shapeId="0" xr:uid="{5132AC88-97F1-4A90-A231-4296E29AF1A2}">
      <text>
        <r>
          <rPr>
            <sz val="10"/>
            <color indexed="81"/>
            <rFont val="Lucida Console"/>
            <family val="3"/>
          </rPr>
          <t>Tempo de Estoque (Meses)_x000D_
_x000D_
4.255,0</t>
        </r>
      </text>
    </comment>
    <comment ref="A241" authorId="0" shapeId="0" xr:uid="{C303A749-B168-4CB4-9577-3AE812546C50}">
      <text>
        <r>
          <rPr>
            <sz val="10"/>
            <color indexed="81"/>
            <rFont val="Lucida Console"/>
            <family val="3"/>
          </rPr>
          <t>_x000D_
128819</t>
        </r>
      </text>
    </comment>
    <comment ref="B241" authorId="0" shapeId="0" xr:uid="{CF5FE74C-CC4A-4ECC-9965-A2C7A64320C9}">
      <text>
        <r>
          <rPr>
            <sz val="10"/>
            <color indexed="81"/>
            <rFont val="Lucida Console"/>
            <family val="3"/>
          </rPr>
          <t>DESCRIÇÃO DETALHADA_x000D_
CONECTOR DE ALUMINIO PARA CONDULETE MULTIPLO DE 1.1/2"</t>
        </r>
      </text>
    </comment>
    <comment ref="G241" authorId="0" shapeId="0" xr:uid="{B0804228-AF29-4ABF-B9D5-5D0AB31CC7E2}">
      <text>
        <r>
          <rPr>
            <sz val="10"/>
            <color indexed="81"/>
            <rFont val="Lucida Console"/>
            <family val="3"/>
          </rPr>
          <t>_x000D_
Últ estimativa : 150_x000D_
Enviada em     : 17.01.2020_x000D_
Ata - Venc     : 126/19 - 06.05.2020</t>
        </r>
      </text>
    </comment>
    <comment ref="O241" authorId="0" shapeId="0" xr:uid="{B3813AC2-51DE-44C9-9DBC-2F100A5784E7}">
      <text>
        <r>
          <rPr>
            <sz val="10"/>
            <color indexed="81"/>
            <rFont val="Lucida Console"/>
            <family val="3"/>
          </rPr>
          <t>_x000D_
Pertencia a ATA nº 126/19_x000D_
Estimativa de Renovação enviada em 17.01.2020 - Qtd 150_x000D_
PE 153/20 lote 2 (Impróspero)_x000D_
16.09.20 = Finalizado</t>
        </r>
      </text>
    </comment>
    <comment ref="W241" authorId="0" shapeId="0" xr:uid="{61D3EFDC-4C8E-403D-BC7A-822592418822}">
      <text>
        <r>
          <rPr>
            <sz val="10"/>
            <color indexed="81"/>
            <rFont val="Lucida Console"/>
            <family val="3"/>
          </rPr>
          <t>_x000D_
DM-Elétrica</t>
        </r>
      </text>
    </comment>
    <comment ref="X241" authorId="0" shapeId="0" xr:uid="{71D6179D-45F6-4F59-B414-16BC281C2F00}">
      <text>
        <r>
          <rPr>
            <sz val="10"/>
            <color indexed="81"/>
            <rFont val="Lucida Console"/>
            <family val="3"/>
          </rPr>
          <t>_x000D_
EQUIP. MAT. P/ GERACAO, TRANSM. DISTR. RETIF...</t>
        </r>
      </text>
    </comment>
    <comment ref="Y241" authorId="0" shapeId="0" xr:uid="{5D7AA052-2B3B-4CC2-83F0-E20F5F5D5C87}">
      <text>
        <r>
          <rPr>
            <sz val="10"/>
            <color indexed="81"/>
            <rFont val="Lucida Console"/>
            <family val="3"/>
          </rPr>
          <t>_x000D_
CONECTORES</t>
        </r>
      </text>
    </comment>
    <comment ref="AW241" authorId="0" shapeId="0" xr:uid="{8712A16D-4C0F-4015-A3D9-A653814B168A}">
      <text>
        <r>
          <rPr>
            <sz val="10"/>
            <color indexed="81"/>
            <rFont val="Lucida Console"/>
            <family val="3"/>
          </rPr>
          <t>Tempo de Estoque (Meses)_x000D_
_x000D_
351,0</t>
        </r>
      </text>
    </comment>
    <comment ref="A242" authorId="0" shapeId="0" xr:uid="{15E46CA0-595A-45AC-9410-5809C46BF4A6}">
      <text>
        <r>
          <rPr>
            <sz val="10"/>
            <color indexed="81"/>
            <rFont val="Lucida Console"/>
            <family val="3"/>
          </rPr>
          <t>_x000D_
15664</t>
        </r>
      </text>
    </comment>
    <comment ref="B242" authorId="0" shapeId="0" xr:uid="{66FE5E90-47FE-4B9C-9FE5-D526EFDD0E97}">
      <text>
        <r>
          <rPr>
            <sz val="10"/>
            <color indexed="81"/>
            <rFont val="Lucida Console"/>
            <family val="3"/>
          </rPr>
          <t>DESCRIÇÃO DETALHADA_x000D_
TERMINAL DE COMPRESSAO TIPO OLHAL P/ CABO DE COBRE 10MM2 C/1 FURO DE FIXACAO DE COMPRESSAO</t>
        </r>
      </text>
    </comment>
    <comment ref="G242" authorId="0" shapeId="0" xr:uid="{319AF59B-BB60-4D26-AE2D-413D00262520}">
      <text>
        <r>
          <rPr>
            <sz val="10"/>
            <color indexed="81"/>
            <rFont val="Lucida Console"/>
            <family val="3"/>
          </rPr>
          <t>_x000D_
Últ estimativa : 50_x000D_
Enviada em     : 17.01.2020_x000D_
Ata - Venc     : 126/19 - 06.05.2020</t>
        </r>
      </text>
    </comment>
    <comment ref="O242" authorId="0" shapeId="0" xr:uid="{1E26AD2B-DEF9-4DE6-A879-5A6A70F972A1}">
      <text>
        <r>
          <rPr>
            <sz val="10"/>
            <color indexed="81"/>
            <rFont val="Lucida Console"/>
            <family val="3"/>
          </rPr>
          <t>_x000D_
Pertencia a ATA nº 126/19_x000D_
Estimativa de Renovação enviada em 17.01.2020 - Qtd 50_x000D_
PE 153/20 lote 5 (Impróspero)_x000D_
16.09.20 = Finalizado</t>
        </r>
      </text>
    </comment>
    <comment ref="W242" authorId="0" shapeId="0" xr:uid="{27D2B86F-467D-47F6-A595-92786DD9C006}">
      <text>
        <r>
          <rPr>
            <sz val="10"/>
            <color indexed="81"/>
            <rFont val="Lucida Console"/>
            <family val="3"/>
          </rPr>
          <t>_x000D_
DM-Elétrica</t>
        </r>
      </text>
    </comment>
    <comment ref="X242" authorId="0" shapeId="0" xr:uid="{37D22C47-A3D9-4AAA-9973-B3D86CD7DAEB}">
      <text>
        <r>
          <rPr>
            <sz val="10"/>
            <color indexed="81"/>
            <rFont val="Lucida Console"/>
            <family val="3"/>
          </rPr>
          <t>_x000D_
EQUIP. MAT. P/ GERACAO, TRANSM. DISTR. RETIF...</t>
        </r>
      </text>
    </comment>
    <comment ref="Y242" authorId="0" shapeId="0" xr:uid="{559A50B2-F23B-4C4D-A096-071346F370EC}">
      <text>
        <r>
          <rPr>
            <sz val="10"/>
            <color indexed="81"/>
            <rFont val="Lucida Console"/>
            <family val="3"/>
          </rPr>
          <t>_x000D_
TERMINAIS</t>
        </r>
      </text>
    </comment>
    <comment ref="AW242" authorId="0" shapeId="0" xr:uid="{E027020A-38EB-46ED-BDFC-70AA795CA03B}">
      <text>
        <r>
          <rPr>
            <sz val="10"/>
            <color indexed="81"/>
            <rFont val="Lucida Console"/>
            <family val="3"/>
          </rPr>
          <t>Tempo de Estoque (Meses)_x000D_
_x000D_
54,0</t>
        </r>
      </text>
    </comment>
    <comment ref="A243" authorId="0" shapeId="0" xr:uid="{28E4B664-FB8E-4917-88AF-241213CDB774}">
      <text>
        <r>
          <rPr>
            <sz val="10"/>
            <color indexed="81"/>
            <rFont val="Lucida Console"/>
            <family val="3"/>
          </rPr>
          <t>_x000D_
15673</t>
        </r>
      </text>
    </comment>
    <comment ref="B243" authorId="0" shapeId="0" xr:uid="{1F34291D-712C-404E-85EA-6715C37E143B}">
      <text>
        <r>
          <rPr>
            <sz val="10"/>
            <color indexed="81"/>
            <rFont val="Lucida Console"/>
            <family val="3"/>
          </rPr>
          <t>DESCRIÇÃO DETALHADA_x000D_
TERMINAL DE COMPRESSAO TIPO OLHAL P/ CABO DE  COBRE 35MM2C/ 1 FURO DE FIXACAO DE COMPRESSAO</t>
        </r>
      </text>
    </comment>
    <comment ref="G243" authorId="0" shapeId="0" xr:uid="{5767681E-60CC-4D5E-BF31-F0C6A9AFBB98}">
      <text>
        <r>
          <rPr>
            <sz val="10"/>
            <color indexed="81"/>
            <rFont val="Lucida Console"/>
            <family val="3"/>
          </rPr>
          <t>_x000D_
Últ estimativa : 50_x000D_
Enviada em     : 17.01.2020_x000D_
Ata - Venc     : 126/19 - 06.05.2020</t>
        </r>
      </text>
    </comment>
    <comment ref="O243" authorId="0" shapeId="0" xr:uid="{1DFBD4BC-3BCE-40F1-9EEF-2FCFF6294D26}">
      <text>
        <r>
          <rPr>
            <sz val="10"/>
            <color indexed="81"/>
            <rFont val="Lucida Console"/>
            <family val="3"/>
          </rPr>
          <t>_x000D_
Pertencia a ATA nº 126/19_x000D_
Estimativa de Renovação enviada em 17.01.2020 - Qtd 50_x000D_
PE 153/20 lote 5 (Impróspero)_x000D_
16.09.20 = Finalizado</t>
        </r>
      </text>
    </comment>
    <comment ref="W243" authorId="0" shapeId="0" xr:uid="{78548761-C8C8-4442-9D43-311CAB518D74}">
      <text>
        <r>
          <rPr>
            <sz val="10"/>
            <color indexed="81"/>
            <rFont val="Lucida Console"/>
            <family val="3"/>
          </rPr>
          <t>_x000D_
DM-Elétrica</t>
        </r>
      </text>
    </comment>
    <comment ref="X243" authorId="0" shapeId="0" xr:uid="{A1A54897-614B-4DFB-98F3-A00450C765FA}">
      <text>
        <r>
          <rPr>
            <sz val="10"/>
            <color indexed="81"/>
            <rFont val="Lucida Console"/>
            <family val="3"/>
          </rPr>
          <t>_x000D_
EQUIP. MAT. P/ GERACAO, TRANSM. DISTR. RETIF...</t>
        </r>
      </text>
    </comment>
    <comment ref="Y243" authorId="0" shapeId="0" xr:uid="{5EA34552-C114-437E-AD8D-775A317E43EE}">
      <text>
        <r>
          <rPr>
            <sz val="10"/>
            <color indexed="81"/>
            <rFont val="Lucida Console"/>
            <family val="3"/>
          </rPr>
          <t>_x000D_
TERMINAIS</t>
        </r>
      </text>
    </comment>
    <comment ref="AW243" authorId="0" shapeId="0" xr:uid="{D98E0EA7-FF32-4A2F-8945-5332C5F98FF8}">
      <text>
        <r>
          <rPr>
            <sz val="10"/>
            <color indexed="81"/>
            <rFont val="Lucida Console"/>
            <family val="3"/>
          </rPr>
          <t>Tempo de Estoque (Meses)_x000D_
_x000D_
158,0</t>
        </r>
      </text>
    </comment>
    <comment ref="A244" authorId="0" shapeId="0" xr:uid="{435D9F78-2991-47E3-A63E-36796311244D}">
      <text>
        <r>
          <rPr>
            <sz val="10"/>
            <color indexed="81"/>
            <rFont val="Lucida Console"/>
            <family val="3"/>
          </rPr>
          <t>_x000D_
15680</t>
        </r>
      </text>
    </comment>
    <comment ref="B244" authorId="0" shapeId="0" xr:uid="{7F24D181-9BDF-4D87-B4F0-BB12A36F6B73}">
      <text>
        <r>
          <rPr>
            <sz val="10"/>
            <color indexed="81"/>
            <rFont val="Lucida Console"/>
            <family val="3"/>
          </rPr>
          <t>DESCRIÇÃO DETALHADA_x000D_
TERMINAL DE COMPRESSAO TIPO OLHAL P/ CABO DE COBRE 70MM2 C/1 FURO 3/8" DE FIXACAO E 1 DE COMPRESSAO</t>
        </r>
      </text>
    </comment>
    <comment ref="G244" authorId="0" shapeId="0" xr:uid="{544794C8-6D2F-434F-8FE3-7364CD74A352}">
      <text>
        <r>
          <rPr>
            <sz val="10"/>
            <color indexed="81"/>
            <rFont val="Lucida Console"/>
            <family val="3"/>
          </rPr>
          <t>_x000D_
Últ estimativa : 50_x000D_
Enviada em     : 17.01.2020_x000D_
Ata - Venc     : 126/19 - 06.05.2020</t>
        </r>
      </text>
    </comment>
    <comment ref="O244" authorId="0" shapeId="0" xr:uid="{DB24EB52-B173-4DFB-91E1-8E892AF89B04}">
      <text>
        <r>
          <rPr>
            <sz val="10"/>
            <color indexed="81"/>
            <rFont val="Lucida Console"/>
            <family val="3"/>
          </rPr>
          <t>_x000D_
Pertencia a ATA nº 126/19_x000D_
Estimativa de Renovação enviada em 17.01.2020 - Qtd 50_x000D_
PE 153/20 lote 5 (Impróspero)_x000D_
16.09.20 = Finalizado</t>
        </r>
      </text>
    </comment>
    <comment ref="W244" authorId="0" shapeId="0" xr:uid="{093D5ABF-46BF-4CB4-8CAA-6D0D962FFE8E}">
      <text>
        <r>
          <rPr>
            <sz val="10"/>
            <color indexed="81"/>
            <rFont val="Lucida Console"/>
            <family val="3"/>
          </rPr>
          <t>_x000D_
DM-Elétrica</t>
        </r>
      </text>
    </comment>
    <comment ref="X244" authorId="0" shapeId="0" xr:uid="{7BF856B9-6E66-4293-AB50-17A4B31CD943}">
      <text>
        <r>
          <rPr>
            <sz val="10"/>
            <color indexed="81"/>
            <rFont val="Lucida Console"/>
            <family val="3"/>
          </rPr>
          <t>_x000D_
EQUIP. MAT. P/ GERACAO, TRANSM. DISTR. RETIF...</t>
        </r>
      </text>
    </comment>
    <comment ref="Y244" authorId="0" shapeId="0" xr:uid="{64A841E4-CD47-4AF7-AF0A-8B3AC713D393}">
      <text>
        <r>
          <rPr>
            <sz val="10"/>
            <color indexed="81"/>
            <rFont val="Lucida Console"/>
            <family val="3"/>
          </rPr>
          <t>_x000D_
TERMINAIS</t>
        </r>
      </text>
    </comment>
    <comment ref="AW244" authorId="0" shapeId="0" xr:uid="{BD3653E5-6080-42F5-95C5-FCCB5710F2B4}">
      <text>
        <r>
          <rPr>
            <sz val="10"/>
            <color indexed="81"/>
            <rFont val="Lucida Console"/>
            <family val="3"/>
          </rPr>
          <t>Tempo de Estoque (Meses)_x000D_
_x000D_
482,0</t>
        </r>
      </text>
    </comment>
    <comment ref="A245" authorId="0" shapeId="0" xr:uid="{4BD87504-C938-429D-A515-932ACCDE6FDB}">
      <text>
        <r>
          <rPr>
            <sz val="10"/>
            <color indexed="81"/>
            <rFont val="Lucida Console"/>
            <family val="3"/>
          </rPr>
          <t>_x000D_
103344</t>
        </r>
      </text>
    </comment>
    <comment ref="B245" authorId="0" shapeId="0" xr:uid="{45E367AA-64F2-48C7-A8F1-61F54B259B45}">
      <text>
        <r>
          <rPr>
            <sz val="10"/>
            <color indexed="81"/>
            <rFont val="Lucida Console"/>
            <family val="3"/>
          </rPr>
          <t>DESCRIÇÃO DETALHADA_x000D_
TERMINAL A PRESSAO POR ALICATE BITOLA 16,0MM - TIPO ANEL</t>
        </r>
      </text>
    </comment>
    <comment ref="G245" authorId="0" shapeId="0" xr:uid="{DD2825DF-6932-4EF2-9BE7-E896D51FA872}">
      <text>
        <r>
          <rPr>
            <sz val="10"/>
            <color indexed="81"/>
            <rFont val="Lucida Console"/>
            <family val="3"/>
          </rPr>
          <t>_x000D_
Últ estimativa : 50_x000D_
Enviada em     : 17.01.2020_x000D_
Ata - Venc     : 126/19 - 06.05.2020</t>
        </r>
      </text>
    </comment>
    <comment ref="O245" authorId="0" shapeId="0" xr:uid="{05BFC4F4-9597-4857-931F-BF24D5D6349F}">
      <text>
        <r>
          <rPr>
            <sz val="10"/>
            <color indexed="81"/>
            <rFont val="Lucida Console"/>
            <family val="3"/>
          </rPr>
          <t>_x000D_
Pertencia a ATA nº 126/19_x000D_
Estimativa de Renovação enviada em 17.01.2020 - Qtd 50_x000D_
PE 153/20 lote 5 (Impróspero)_x000D_
16.09.20 = Finalizado</t>
        </r>
      </text>
    </comment>
    <comment ref="W245" authorId="0" shapeId="0" xr:uid="{6C9DAB92-9EBE-4268-9913-984128CC3FDB}">
      <text>
        <r>
          <rPr>
            <sz val="10"/>
            <color indexed="81"/>
            <rFont val="Lucida Console"/>
            <family val="3"/>
          </rPr>
          <t>_x000D_
DM-Elétrica</t>
        </r>
      </text>
    </comment>
    <comment ref="X245" authorId="0" shapeId="0" xr:uid="{02539317-AE85-4E38-849D-3C30F4A08863}">
      <text>
        <r>
          <rPr>
            <sz val="10"/>
            <color indexed="81"/>
            <rFont val="Lucida Console"/>
            <family val="3"/>
          </rPr>
          <t>_x000D_
EQUIP. MAT. P/ GERACAO, TRANSM. DISTR. RETIF...</t>
        </r>
      </text>
    </comment>
    <comment ref="Y245" authorId="0" shapeId="0" xr:uid="{E498526E-27B5-46FE-BFB0-73352F6A0922}">
      <text>
        <r>
          <rPr>
            <sz val="10"/>
            <color indexed="81"/>
            <rFont val="Lucida Console"/>
            <family val="3"/>
          </rPr>
          <t>_x000D_
TERMINAIS</t>
        </r>
      </text>
    </comment>
    <comment ref="AW245" authorId="0" shapeId="0" xr:uid="{FB6A3BDE-D32C-4BD2-979B-4552FADD0371}">
      <text>
        <r>
          <rPr>
            <sz val="10"/>
            <color indexed="81"/>
            <rFont val="Lucida Console"/>
            <family val="3"/>
          </rPr>
          <t>Tempo de Estoque (Meses)_x000D_
_x000D_
516,0</t>
        </r>
      </text>
    </comment>
    <comment ref="A246" authorId="0" shapeId="0" xr:uid="{22D64566-344F-41D4-9352-13965A124BCF}">
      <text>
        <r>
          <rPr>
            <sz val="10"/>
            <color indexed="81"/>
            <rFont val="Lucida Console"/>
            <family val="3"/>
          </rPr>
          <t>_x000D_
14754</t>
        </r>
      </text>
    </comment>
    <comment ref="B246" authorId="0" shapeId="0" xr:uid="{962D06CA-2473-4013-AD60-FB96F612DABC}">
      <text>
        <r>
          <rPr>
            <sz val="10"/>
            <color indexed="81"/>
            <rFont val="Lucida Console"/>
            <family val="3"/>
          </rPr>
          <t>DESCRIÇÃO DETALHADA_x000D_
FITA ISOLANTE 19 MM X 10 M DE AUTO FUSAO (ALTA TENSAO) -PRETA</t>
        </r>
      </text>
    </comment>
    <comment ref="G246" authorId="0" shapeId="0" xr:uid="{6E14280E-AF0D-487A-9753-51814F693A51}">
      <text>
        <r>
          <rPr>
            <sz val="10"/>
            <color indexed="81"/>
            <rFont val="Lucida Console"/>
            <family val="3"/>
          </rPr>
          <t>_x000D_
Últ estimativa : 150_x000D_
Enviada em     : 17.01.2020_x000D_
Ata - Venc     : 126/19 - 06.05.2020</t>
        </r>
      </text>
    </comment>
    <comment ref="O246" authorId="0" shapeId="0" xr:uid="{DA620032-11C5-4E22-A75F-5B6F0A31C4DB}">
      <text>
        <r>
          <rPr>
            <sz val="10"/>
            <color indexed="81"/>
            <rFont val="Lucida Console"/>
            <family val="3"/>
          </rPr>
          <t>_x000D_
Pertencia a ATA nº 126/19_x000D_
Estimativa de Renovação enviada em 17.01.2020 - Qtd 150_x000D_
PE 153/20 lote 6 (Impróspero)_x000D_
16.09.20 = Finalizado</t>
        </r>
      </text>
    </comment>
    <comment ref="W246" authorId="0" shapeId="0" xr:uid="{4D3CDA72-1AA2-47E6-907D-0083A3D81FFF}">
      <text>
        <r>
          <rPr>
            <sz val="10"/>
            <color indexed="81"/>
            <rFont val="Lucida Console"/>
            <family val="3"/>
          </rPr>
          <t>_x000D_
DM-Elétrica</t>
        </r>
      </text>
    </comment>
    <comment ref="X246" authorId="0" shapeId="0" xr:uid="{B58721BB-9E21-4119-9C4D-1434EEC9A993}">
      <text>
        <r>
          <rPr>
            <sz val="10"/>
            <color indexed="81"/>
            <rFont val="Lucida Console"/>
            <family val="3"/>
          </rPr>
          <t>_x000D_
EQUIP. MAT. P/ GERACAO, TRANSM. DISTR. RETIF...</t>
        </r>
      </text>
    </comment>
    <comment ref="Y246" authorId="0" shapeId="0" xr:uid="{7FEB7F04-CFF6-413D-9E8C-B0301014BC34}">
      <text>
        <r>
          <rPr>
            <sz val="10"/>
            <color indexed="81"/>
            <rFont val="Lucida Console"/>
            <family val="3"/>
          </rPr>
          <t>_x000D_
ISOLADORES ELETRICOS E MATERIAIS PARA...</t>
        </r>
      </text>
    </comment>
    <comment ref="AW246" authorId="0" shapeId="0" xr:uid="{77CDC895-22F5-44B1-BAB4-7137E5096A5C}">
      <text>
        <r>
          <rPr>
            <sz val="10"/>
            <color indexed="81"/>
            <rFont val="Lucida Console"/>
            <family val="3"/>
          </rPr>
          <t>Tempo de Estoque (Meses)_x000D_
_x000D_
61,0</t>
        </r>
      </text>
    </comment>
    <comment ref="A247" authorId="0" shapeId="0" xr:uid="{C9883D3A-816A-4527-98B0-9EF858070778}">
      <text>
        <r>
          <rPr>
            <sz val="10"/>
            <color indexed="81"/>
            <rFont val="Lucida Console"/>
            <family val="3"/>
          </rPr>
          <t>_x000D_
14013</t>
        </r>
      </text>
    </comment>
    <comment ref="B247" authorId="0" shapeId="0" xr:uid="{516F8DE2-0583-4815-BD8A-9B975D0001EB}">
      <text>
        <r>
          <rPr>
            <sz val="10"/>
            <color indexed="81"/>
            <rFont val="Lucida Console"/>
            <family val="3"/>
          </rPr>
          <t>DESCRIÇÃO DETALHADA_x000D_
ABRACADEIRA GALVANIZADA TIPO D DE 3/4", COM PARAFUSO E PORCA</t>
        </r>
      </text>
    </comment>
    <comment ref="G247" authorId="0" shapeId="0" xr:uid="{05B13534-187F-4353-92E6-78A90661C203}">
      <text>
        <r>
          <rPr>
            <sz val="10"/>
            <color indexed="81"/>
            <rFont val="Lucida Console"/>
            <family val="3"/>
          </rPr>
          <t>_x000D_
Últ estimativa : 1.000_x000D_
Enviada em     : 17.01.2020_x000D_
Ata - Venc     : 126/19 - 06.05.2020</t>
        </r>
      </text>
    </comment>
    <comment ref="O247" authorId="0" shapeId="0" xr:uid="{9BE26B7E-B32C-4DD4-8EC4-079F81B66230}">
      <text>
        <r>
          <rPr>
            <sz val="10"/>
            <color indexed="81"/>
            <rFont val="Lucida Console"/>
            <family val="3"/>
          </rPr>
          <t>_x000D_
Pertencia a ATA nº 126/19_x000D_
Estimativa de Renovação enviada em 17.01.2020 - Qtd 1.000_x000D_
PE 153/20 lote 5 (Impróspero)_x000D_
16.09.20 = Finalizado</t>
        </r>
      </text>
    </comment>
    <comment ref="W247" authorId="0" shapeId="0" xr:uid="{002B866D-8CED-45B1-9BC7-D8CE1E8E8221}">
      <text>
        <r>
          <rPr>
            <sz val="10"/>
            <color indexed="81"/>
            <rFont val="Lucida Console"/>
            <family val="3"/>
          </rPr>
          <t>_x000D_
DM-Elétrica</t>
        </r>
      </text>
    </comment>
    <comment ref="X247" authorId="0" shapeId="0" xr:uid="{9A4EE997-2B51-4AA3-81A3-6BF6C253286F}">
      <text>
        <r>
          <rPr>
            <sz val="10"/>
            <color indexed="81"/>
            <rFont val="Lucida Console"/>
            <family val="3"/>
          </rPr>
          <t>_x000D_
EQUIP. MAT. P/ GERACAO, TRANSM. DISTR. RETIF...</t>
        </r>
      </text>
    </comment>
    <comment ref="Y247" authorId="0" shapeId="0" xr:uid="{DBD0993E-0589-490D-B2FD-55B1218B5945}">
      <text>
        <r>
          <rPr>
            <sz val="10"/>
            <color indexed="81"/>
            <rFont val="Lucida Console"/>
            <family val="3"/>
          </rPr>
          <t>_x000D_
BRACADEIRAS E CINTAS</t>
        </r>
      </text>
    </comment>
    <comment ref="AW247" authorId="0" shapeId="0" xr:uid="{9C98B974-9EF5-4B6E-99EB-0ED8A83C434B}">
      <text>
        <r>
          <rPr>
            <sz val="10"/>
            <color indexed="81"/>
            <rFont val="Lucida Console"/>
            <family val="3"/>
          </rPr>
          <t>Tempo de Estoque (Meses)_x000D_
_x000D_
1.390,0</t>
        </r>
      </text>
    </comment>
    <comment ref="A248" authorId="0" shapeId="0" xr:uid="{7C82D5A0-308B-49B5-B211-E8F7ACD5D636}">
      <text>
        <r>
          <rPr>
            <sz val="10"/>
            <color indexed="81"/>
            <rFont val="Lucida Console"/>
            <family val="3"/>
          </rPr>
          <t>_x000D_
119180</t>
        </r>
      </text>
    </comment>
    <comment ref="B248" authorId="0" shapeId="0" xr:uid="{6B3870CF-7411-48A0-A4BE-850FBC1BC41B}">
      <text>
        <r>
          <rPr>
            <sz val="10"/>
            <color indexed="81"/>
            <rFont val="Lucida Console"/>
            <family val="3"/>
          </rPr>
          <t>DESCRIÇÃO DETALHADA_x000D_
INTERRUPTOR 10A/250V COM 2 TECLAS PARALELAS MAIS 1 TOMADA 2P + T PADRAO NBR 14136 DE 10A/250V DE EMBUTIR COM ESPELHO COR CINZA PARA CAIXA 4X2</t>
        </r>
      </text>
    </comment>
    <comment ref="G248" authorId="0" shapeId="0" xr:uid="{0386436D-6B57-4A30-A76E-BFC549E16B0C}">
      <text>
        <r>
          <rPr>
            <sz val="10"/>
            <color indexed="81"/>
            <rFont val="Lucida Console"/>
            <family val="3"/>
          </rPr>
          <t>_x000D_
Últ estimativa : 100_x000D_
Enviada em     : 17.01.2020_x000D_
Ata - Venc     : 126/19 - 06.05.2020</t>
        </r>
      </text>
    </comment>
    <comment ref="O248" authorId="0" shapeId="0" xr:uid="{2764FD8F-7C04-4AEC-9DD9-43A0EEE0037E}">
      <text>
        <r>
          <rPr>
            <sz val="10"/>
            <color indexed="81"/>
            <rFont val="Lucida Console"/>
            <family val="3"/>
          </rPr>
          <t>_x000D_
Pertencia a ATA nº 126/19_x000D_
Estimativa de Renovação enviada em 17.01.2020 - Qtd 100_x000D_
PE 153/20 lote _x000D_
16.09.20 = Finalizado</t>
        </r>
      </text>
    </comment>
    <comment ref="W248" authorId="0" shapeId="0" xr:uid="{D6033129-7342-47CF-8412-0E2AB3E4CEA7}">
      <text>
        <r>
          <rPr>
            <sz val="10"/>
            <color indexed="81"/>
            <rFont val="Lucida Console"/>
            <family val="3"/>
          </rPr>
          <t>_x000D_
DM-Elétrica</t>
        </r>
      </text>
    </comment>
    <comment ref="X248" authorId="0" shapeId="0" xr:uid="{1123E075-2213-4720-AFE1-25895E9EB31F}">
      <text>
        <r>
          <rPr>
            <sz val="10"/>
            <color indexed="81"/>
            <rFont val="Lucida Console"/>
            <family val="3"/>
          </rPr>
          <t>_x000D_
EQUIP. MAT. P/ GERACAO, TRANSM. DISTR. RETIF...</t>
        </r>
      </text>
    </comment>
    <comment ref="Y248" authorId="0" shapeId="0" xr:uid="{86C64388-5C4D-45E1-B4B7-05F7C215EC22}">
      <text>
        <r>
          <rPr>
            <sz val="10"/>
            <color indexed="81"/>
            <rFont val="Lucida Console"/>
            <family val="3"/>
          </rPr>
          <t>_x000D_
TOMADAS DE USO DOMESTICO E INDUSTRIAL</t>
        </r>
      </text>
    </comment>
    <comment ref="AW248" authorId="0" shapeId="0" xr:uid="{0486420D-8553-4355-A989-187174B6A0A2}">
      <text>
        <r>
          <rPr>
            <sz val="10"/>
            <color indexed="81"/>
            <rFont val="Lucida Console"/>
            <family val="3"/>
          </rPr>
          <t>Tempo de Estoque (Meses)_x000D_
_x000D_
157,0</t>
        </r>
      </text>
    </comment>
    <comment ref="A249" authorId="0" shapeId="0" xr:uid="{E7CA8621-0CDF-4EB0-9E2D-DB0A8BBF35F6}">
      <text>
        <r>
          <rPr>
            <sz val="10"/>
            <color indexed="81"/>
            <rFont val="Lucida Console"/>
            <family val="3"/>
          </rPr>
          <t>_x000D_
78399</t>
        </r>
      </text>
    </comment>
    <comment ref="B249" authorId="0" shapeId="0" xr:uid="{8AC5D23A-728A-4E84-9993-583429BFD9AF}">
      <text>
        <r>
          <rPr>
            <sz val="10"/>
            <color indexed="81"/>
            <rFont val="Lucida Console"/>
            <family val="3"/>
          </rPr>
          <t>DESCRIÇÃO DETALHADA_x000D_
ABRACADEIRA GALVANIZADA TIPO D  - 1.1/2"</t>
        </r>
      </text>
    </comment>
    <comment ref="G249" authorId="0" shapeId="0" xr:uid="{EBF87413-CBDA-4683-918E-E9C894C4E208}">
      <text>
        <r>
          <rPr>
            <sz val="10"/>
            <color indexed="81"/>
            <rFont val="Lucida Console"/>
            <family val="3"/>
          </rPr>
          <t>_x000D_
Últ estimativa : 100_x000D_
Enviada em     : 17.01.2020_x000D_
Ata - Venc     : 126/19 - 06.05.2020</t>
        </r>
      </text>
    </comment>
    <comment ref="O249" authorId="0" shapeId="0" xr:uid="{4111B220-7A23-4939-AD42-BF8B86F97AD3}">
      <text>
        <r>
          <rPr>
            <sz val="10"/>
            <color indexed="81"/>
            <rFont val="Lucida Console"/>
            <family val="3"/>
          </rPr>
          <t>_x000D_
Pertencia a ATA nº 126/19_x000D_
Estimativa de Renovação enviada em 17.01.2020 - Qtd 100_x000D_
PE 153/20 lote _x000D_
16.09.20 = Finalizado</t>
        </r>
      </text>
    </comment>
    <comment ref="W249" authorId="0" shapeId="0" xr:uid="{05FBA64E-77C7-4ADF-BFC2-C673C5342265}">
      <text>
        <r>
          <rPr>
            <sz val="10"/>
            <color indexed="81"/>
            <rFont val="Lucida Console"/>
            <family val="3"/>
          </rPr>
          <t>_x000D_
DM-Elétrica</t>
        </r>
      </text>
    </comment>
    <comment ref="X249" authorId="0" shapeId="0" xr:uid="{57D2F198-1EC3-4BCE-A568-960BE08E0B44}">
      <text>
        <r>
          <rPr>
            <sz val="10"/>
            <color indexed="81"/>
            <rFont val="Lucida Console"/>
            <family val="3"/>
          </rPr>
          <t>_x000D_
EQUIP. MAT. P/ GERACAO, TRANSM. DISTR. RETIF...</t>
        </r>
      </text>
    </comment>
    <comment ref="Y249" authorId="0" shapeId="0" xr:uid="{AF3C52C0-A3CF-4395-AC67-0F9A81485806}">
      <text>
        <r>
          <rPr>
            <sz val="10"/>
            <color indexed="81"/>
            <rFont val="Lucida Console"/>
            <family val="3"/>
          </rPr>
          <t>_x000D_
BRACADEIRAS E CINTAS</t>
        </r>
      </text>
    </comment>
    <comment ref="AW249" authorId="0" shapeId="0" xr:uid="{9CB31D64-CEC3-488A-8ABE-AA3555A0E025}">
      <text>
        <r>
          <rPr>
            <sz val="10"/>
            <color indexed="81"/>
            <rFont val="Lucida Console"/>
            <family val="3"/>
          </rPr>
          <t>Tempo de Estoque (Meses)_x000D_
_x000D_
325,0</t>
        </r>
      </text>
    </comment>
    <comment ref="A250" authorId="0" shapeId="0" xr:uid="{9AB259D4-C61E-4C73-AE35-9A567723C88B}">
      <text>
        <r>
          <rPr>
            <sz val="10"/>
            <color indexed="81"/>
            <rFont val="Lucida Console"/>
            <family val="3"/>
          </rPr>
          <t>_x000D_
57900</t>
        </r>
      </text>
    </comment>
    <comment ref="B250" authorId="0" shapeId="0" xr:uid="{A4A4027A-0B77-4494-8D5C-238EAEAFEA1C}">
      <text>
        <r>
          <rPr>
            <sz val="10"/>
            <color indexed="81"/>
            <rFont val="Lucida Console"/>
            <family val="3"/>
          </rPr>
          <t>DESCRIÇÃO DETALHADA_x000D_
TINTA BETUMINOSA PARA IMPERMEABILIZACAO DE ALVENARIA - LATA COM 18 LITROS</t>
        </r>
      </text>
    </comment>
    <comment ref="G250" authorId="0" shapeId="0" xr:uid="{C5A292DC-C5DE-4F40-B92A-60B8CA3ACFC8}">
      <text>
        <r>
          <rPr>
            <sz val="10"/>
            <color indexed="81"/>
            <rFont val="Lucida Console"/>
            <family val="3"/>
          </rPr>
          <t>_x000D_
Últ estimativa : 100_x000D_
Enviada em     : 20.01.2020_x000D_
Ata - Venc     : 130/19 - 11.05.2020</t>
        </r>
      </text>
    </comment>
    <comment ref="O250" authorId="0" shapeId="0" xr:uid="{5502B856-9A3C-4454-A8A1-F085049767F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250" authorId="0" shapeId="0" xr:uid="{63A9D110-0BAA-44FC-AC9F-783B5497A19C}">
      <text>
        <r>
          <rPr>
            <sz val="10"/>
            <color indexed="81"/>
            <rFont val="Lucida Console"/>
            <family val="3"/>
          </rPr>
          <t>_x000D_
DM-Pintura</t>
        </r>
      </text>
    </comment>
    <comment ref="X250" authorId="0" shapeId="0" xr:uid="{3339F52D-8241-4B47-8E70-EA25BDFC8A21}">
      <text>
        <r>
          <rPr>
            <sz val="10"/>
            <color indexed="81"/>
            <rFont val="Lucida Console"/>
            <family val="3"/>
          </rPr>
          <t>_x000D_
EQUIP. E MATERIAIS P/PINTURAS E IMPERMEABILIZACAO</t>
        </r>
      </text>
    </comment>
    <comment ref="Y250" authorId="0" shapeId="0" xr:uid="{1B000865-0AAF-46C6-A349-865F17EBF707}">
      <text>
        <r>
          <rPr>
            <sz val="10"/>
            <color indexed="81"/>
            <rFont val="Lucida Console"/>
            <family val="3"/>
          </rPr>
          <t>_x000D_
TINTAS BETUMINOSAS E ANTI-CORROSIVAS</t>
        </r>
      </text>
    </comment>
    <comment ref="AW250" authorId="0" shapeId="0" xr:uid="{FCB313EE-AD1E-4865-840B-9F0FB32CF98F}">
      <text>
        <r>
          <rPr>
            <sz val="10"/>
            <color indexed="81"/>
            <rFont val="Lucida Console"/>
            <family val="3"/>
          </rPr>
          <t>Tempo de Estoque (Meses)_x000D_
_x000D_
30,0</t>
        </r>
      </text>
    </comment>
    <comment ref="A251" authorId="0" shapeId="0" xr:uid="{425AAF89-ED83-4974-ACBB-F22A2FA0430D}">
      <text>
        <r>
          <rPr>
            <sz val="10"/>
            <color indexed="81"/>
            <rFont val="Lucida Console"/>
            <family val="3"/>
          </rPr>
          <t>_x000D_
75334</t>
        </r>
      </text>
    </comment>
    <comment ref="B251" authorId="0" shapeId="0" xr:uid="{BB49BC6D-5195-428D-8FC3-2589158EF27B}">
      <text>
        <r>
          <rPr>
            <sz val="10"/>
            <color indexed="81"/>
            <rFont val="Lucida Console"/>
            <family val="3"/>
          </rPr>
          <t>DESCRIÇÃO DETALHADA_x000D_
CHAPA EM MDF, BRANCO, 02 FACES - MED. 2,75 M X 1,83 M X 15 MM</t>
        </r>
      </text>
    </comment>
    <comment ref="G251" authorId="0" shapeId="0" xr:uid="{821274CC-A4EB-483D-8129-C7F384D084ED}">
      <text>
        <r>
          <rPr>
            <sz val="10"/>
            <color indexed="81"/>
            <rFont val="Lucida Console"/>
            <family val="3"/>
          </rPr>
          <t>_x000D_
Últ estimativa : 1.500_x000D_
Enviada em     : 28.01.2021_x000D_
Ata - Venc     : 131/21 - 06.05.2022</t>
        </r>
      </text>
    </comment>
    <comment ref="O251" authorId="0" shapeId="0" xr:uid="{5056FA67-ED79-4D1A-B15D-132D7B24FD3E}">
      <text>
        <r>
          <rPr>
            <sz val="10"/>
            <color indexed="81"/>
            <rFont val="Lucida Console"/>
            <family val="3"/>
          </rPr>
          <t>_x000D_
Pertencia a ATA nº 131/21_x000D_
Estimativa de Renovação enviada em 28.01.2021 - Qtd 1.500_x000D_
PE  56/21 lote _x000D_
22.04.21 = Processo finalizado. Ata 131/21.</t>
        </r>
      </text>
    </comment>
    <comment ref="W251" authorId="0" shapeId="0" xr:uid="{EE945C21-487C-48F3-9C4D-A0B76182ED9C}">
      <text>
        <r>
          <rPr>
            <sz val="10"/>
            <color indexed="81"/>
            <rFont val="Lucida Console"/>
            <family val="3"/>
          </rPr>
          <t>_x000D_
DM-Marcenaria</t>
        </r>
      </text>
    </comment>
    <comment ref="X251" authorId="0" shapeId="0" xr:uid="{8A9A95C0-CEAE-4ECE-B369-F3C3261A81F3}">
      <text>
        <r>
          <rPr>
            <sz val="10"/>
            <color indexed="81"/>
            <rFont val="Lucida Console"/>
            <family val="3"/>
          </rPr>
          <t>_x000D_
MADEIRAS,LAMINADOS,COMPENSADOS E AGLOMERADOS</t>
        </r>
      </text>
    </comment>
    <comment ref="Y251" authorId="0" shapeId="0" xr:uid="{AA095174-5A4F-42A5-8E4B-13C1D78B3B3D}">
      <text>
        <r>
          <rPr>
            <sz val="10"/>
            <color indexed="81"/>
            <rFont val="Lucida Console"/>
            <family val="3"/>
          </rPr>
          <t>_x000D_
CHAPAS COMPENSADAS RESINADAS/PLASTIFICADAS</t>
        </r>
      </text>
    </comment>
    <comment ref="AW251" authorId="0" shapeId="0" xr:uid="{4D83FA84-68EF-40AA-8D70-2216ED4973C8}">
      <text>
        <r>
          <rPr>
            <sz val="10"/>
            <color indexed="81"/>
            <rFont val="Lucida Console"/>
            <family val="3"/>
          </rPr>
          <t>Tempo de Estoque (Meses)_x000D_
_x000D_
467,0</t>
        </r>
      </text>
    </comment>
    <comment ref="A252" authorId="0" shapeId="0" xr:uid="{31F28B8D-219F-4C93-B0FB-03E0039EB27D}">
      <text>
        <r>
          <rPr>
            <sz val="10"/>
            <color indexed="81"/>
            <rFont val="Lucida Console"/>
            <family val="3"/>
          </rPr>
          <t>_x000D_
119554</t>
        </r>
      </text>
    </comment>
    <comment ref="B252" authorId="0" shapeId="0" xr:uid="{08A8A53E-0541-49D7-9DBE-842991CEF776}">
      <text>
        <r>
          <rPr>
            <sz val="10"/>
            <color indexed="81"/>
            <rFont val="Lucida Console"/>
            <family val="3"/>
          </rPr>
          <t>DESCRIÇÃO DETALHADA_x000D_
CHAPA EM MDF ALTO BRILHO - MEDIDAS: 2,75 X 1,86 M X 15 MM DE ESPESSURA</t>
        </r>
      </text>
    </comment>
    <comment ref="G252" authorId="0" shapeId="0" xr:uid="{B879A98F-B117-4E8F-8F59-CB4CC687B983}">
      <text>
        <r>
          <rPr>
            <sz val="10"/>
            <color indexed="81"/>
            <rFont val="Lucida Console"/>
            <family val="3"/>
          </rPr>
          <t>_x000D_
Últ estimativa : 300_x000D_
Enviada em     : 28.01.2021_x000D_
Ata - Venc     : 131/21 - 06.05.2022</t>
        </r>
      </text>
    </comment>
    <comment ref="O252" authorId="0" shapeId="0" xr:uid="{523B6598-768D-43A1-9F98-75AA8A0255BC}">
      <text>
        <r>
          <rPr>
            <sz val="10"/>
            <color indexed="81"/>
            <rFont val="Lucida Console"/>
            <family val="3"/>
          </rPr>
          <t>_x000D_
Pertencia a ATA nº 131/21_x000D_
Estimativa de Renovação enviada em 28.01.2021 - Qtd 300_x000D_
PE  56/21 lote _x000D_
22.04.21 = Processo finalizado. Ata 131/21.</t>
        </r>
      </text>
    </comment>
    <comment ref="W252" authorId="0" shapeId="0" xr:uid="{39A44644-F67E-4A8A-822B-76FB96668CF6}">
      <text>
        <r>
          <rPr>
            <sz val="10"/>
            <color indexed="81"/>
            <rFont val="Lucida Console"/>
            <family val="3"/>
          </rPr>
          <t>_x000D_
DM-Marcenaria</t>
        </r>
      </text>
    </comment>
    <comment ref="X252" authorId="0" shapeId="0" xr:uid="{04353E0E-FB21-47D8-823B-3CD8C2910F38}">
      <text>
        <r>
          <rPr>
            <sz val="10"/>
            <color indexed="81"/>
            <rFont val="Lucida Console"/>
            <family val="3"/>
          </rPr>
          <t>_x000D_
MADEIRAS,LAMINADOS,COMPENSADOS E AGLOMERADOS</t>
        </r>
      </text>
    </comment>
    <comment ref="Y252" authorId="0" shapeId="0" xr:uid="{D0B537DE-20AF-40CA-9CD2-51A4BAFD768E}">
      <text>
        <r>
          <rPr>
            <sz val="10"/>
            <color indexed="81"/>
            <rFont val="Lucida Console"/>
            <family val="3"/>
          </rPr>
          <t>_x000D_
CHAPAS DE MADEIRA AGLOMERADA E COMPENSADAS</t>
        </r>
      </text>
    </comment>
    <comment ref="AW252" authorId="0" shapeId="0" xr:uid="{247B2025-7EE6-4CA0-A463-A318656F4571}">
      <text>
        <r>
          <rPr>
            <sz val="10"/>
            <color indexed="81"/>
            <rFont val="Lucida Console"/>
            <family val="3"/>
          </rPr>
          <t>Tempo de Estoque (Meses)_x000D_
_x000D_
188,0</t>
        </r>
      </text>
    </comment>
    <comment ref="A253" authorId="0" shapeId="0" xr:uid="{E7405EA4-538D-4250-A65C-3839ED39C41C}">
      <text>
        <r>
          <rPr>
            <sz val="10"/>
            <color indexed="81"/>
            <rFont val="Lucida Console"/>
            <family val="3"/>
          </rPr>
          <t>_x000D_
78181</t>
        </r>
      </text>
    </comment>
    <comment ref="B253" authorId="0" shapeId="0" xr:uid="{9DE8981D-AB42-4279-A4FC-FF27A1D02171}">
      <text>
        <r>
          <rPr>
            <sz val="10"/>
            <color indexed="81"/>
            <rFont val="Lucida Console"/>
            <family val="3"/>
          </rPr>
          <t>DESCRIÇÃO DETALHADA_x000D_
PASTA PARA LIMPEZA DE ALUMINIO, POTE COM 500 GRAMAS - VALIDADE MINIMA DE 12 MESES</t>
        </r>
      </text>
    </comment>
    <comment ref="G253" authorId="0" shapeId="0" xr:uid="{46973379-31D6-4653-B086-A963B44A8896}">
      <text>
        <r>
          <rPr>
            <sz val="10"/>
            <color indexed="81"/>
            <rFont val="Lucida Console"/>
            <family val="3"/>
          </rPr>
          <t>_x000D_
Últ estimativa : 0_x000D_
Enviada em     : 06.10.2020_x000D_
Ata - Venc     : 14/20 - 22.01.2021</t>
        </r>
      </text>
    </comment>
    <comment ref="O253" authorId="0" shapeId="0" xr:uid="{78C45CFE-F915-48CA-B56E-D1390CC29A8B}">
      <text>
        <r>
          <rPr>
            <sz val="10"/>
            <color indexed="81"/>
            <rFont val="Lucida Console"/>
            <family val="3"/>
          </rPr>
          <t>_x000D_
Pertencia a ATA nº 14/20_x000D_
Estimativa de Renovação enviada em 06.10.2020 - Qtd _x000D_
PP 236/19 lote _x000D_
30.01.20 = Finalizar - contrato assinado</t>
        </r>
      </text>
    </comment>
    <comment ref="W253" authorId="0" shapeId="0" xr:uid="{38FDAE4F-F165-44E0-8D24-459ACADFA4F2}">
      <text>
        <r>
          <rPr>
            <sz val="10"/>
            <color indexed="81"/>
            <rFont val="Lucida Console"/>
            <family val="3"/>
          </rPr>
          <t>_x000D_
Administrativo</t>
        </r>
      </text>
    </comment>
    <comment ref="X253" authorId="0" shapeId="0" xr:uid="{38EC62A1-701A-4329-A0C7-F9E3077AC80B}">
      <text>
        <r>
          <rPr>
            <sz val="10"/>
            <color indexed="81"/>
            <rFont val="Lucida Console"/>
            <family val="3"/>
          </rPr>
          <t>_x000D_
MAQ.EQUIP.E MATERIAIS P/ HIGIEN.LIMP.POLIM.E LUBR.</t>
        </r>
      </text>
    </comment>
    <comment ref="Y253" authorId="0" shapeId="0" xr:uid="{31227E41-52D1-4D48-AE2A-E3ED125E7F54}">
      <text>
        <r>
          <rPr>
            <sz val="10"/>
            <color indexed="81"/>
            <rFont val="Lucida Console"/>
            <family val="3"/>
          </rPr>
          <t>_x000D_
PRODUTOS DE LIMPEZA</t>
        </r>
      </text>
    </comment>
    <comment ref="AC253" authorId="0" shapeId="0" xr:uid="{A0EA0A58-8EA4-4C7D-AE56-50086AACB9C4}">
      <text>
        <r>
          <rPr>
            <sz val="10"/>
            <color indexed="81"/>
            <rFont val="Lucida Console"/>
            <family val="3"/>
          </rPr>
          <t>_x000D_
AF  9.091/23 | Vc 21.08.2023 | Saldo    200 | ORLA DISTRIBUIDORA DE PRODUTOS LTDA ( 18334 )</t>
        </r>
      </text>
    </comment>
    <comment ref="AG253" authorId="0" shapeId="0" xr:uid="{E21BFEB4-67F8-49DC-B06B-BD43F536A942}">
      <text>
        <r>
          <rPr>
            <sz val="10"/>
            <color indexed="81"/>
            <rFont val="Lucida Console"/>
            <family val="3"/>
          </rPr>
          <t>_x000D_
AF  9.091/23 | Vc 21.08.2023 | Saldo    200 | ORLA DISTRIBUIDORA DE PRODUTOS LTDA ( 18334 )</t>
        </r>
      </text>
    </comment>
    <comment ref="AW253" authorId="0" shapeId="0" xr:uid="{D9CBEE63-7489-4F41-A2B1-8C82AFC8F723}">
      <text>
        <r>
          <rPr>
            <sz val="10"/>
            <color indexed="81"/>
            <rFont val="Lucida Console"/>
            <family val="3"/>
          </rPr>
          <t>Tempo de Estoque (Meses)_x000D_
_x000D_
200,0</t>
        </r>
      </text>
    </comment>
    <comment ref="A254" authorId="0" shapeId="0" xr:uid="{2BE5CEA1-1ABB-4FCA-8466-18AFB9CAFB4E}">
      <text>
        <r>
          <rPr>
            <sz val="10"/>
            <color indexed="81"/>
            <rFont val="Lucida Console"/>
            <family val="3"/>
          </rPr>
          <t>_x000D_
128288</t>
        </r>
      </text>
    </comment>
    <comment ref="B254" authorId="0" shapeId="0" xr:uid="{99A21979-6BF1-4580-B0F7-62A239D5811A}">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254" authorId="0" shapeId="0" xr:uid="{5AB792AE-071C-4A93-9364-3ABFD4FA0CAA}">
      <text>
        <r>
          <rPr>
            <sz val="10"/>
            <color indexed="81"/>
            <rFont val="Lucida Console"/>
            <family val="3"/>
          </rPr>
          <t>_x000D_
Últ estimativa : 30_x000D_
Enviada em     : 22.04.2021_x000D_
Ata - Venc     : 143/20 - 01.07.2021</t>
        </r>
      </text>
    </comment>
    <comment ref="O254" authorId="0" shapeId="0" xr:uid="{4EC8D04D-681F-4FDA-AABE-F52527BF800C}">
      <text>
        <r>
          <rPr>
            <sz val="10"/>
            <color indexed="81"/>
            <rFont val="Lucida Console"/>
            <family val="3"/>
          </rPr>
          <t>_x000D_
Pertencia a ATA nº 143/20_x000D_
Estimativa de Renovação enviada em 22.04.2021 - Qtd 30_x000D_
PE  28/20 lote 19_x000D_
08.07.20 = Finalizar - contrato assinado</t>
        </r>
      </text>
    </comment>
    <comment ref="W254" authorId="0" shapeId="0" xr:uid="{A7E4EAB9-F82A-424D-9040-B85D20CA9DE9}">
      <text>
        <r>
          <rPr>
            <sz val="10"/>
            <color indexed="81"/>
            <rFont val="Lucida Console"/>
            <family val="3"/>
          </rPr>
          <t>_x000D_
DM-Pintura</t>
        </r>
      </text>
    </comment>
    <comment ref="X254" authorId="0" shapeId="0" xr:uid="{5D7FC6C6-65A6-4344-9AAF-143650D799C1}">
      <text>
        <r>
          <rPr>
            <sz val="10"/>
            <color indexed="81"/>
            <rFont val="Lucida Console"/>
            <family val="3"/>
          </rPr>
          <t>_x000D_
EQUIP. E MATERIAIS P/PINTURAS E IMPERMEABILIZACAO</t>
        </r>
      </text>
    </comment>
    <comment ref="Y254" authorId="0" shapeId="0" xr:uid="{EA30C032-D3F2-400B-9FF3-22D6DA31315F}">
      <text>
        <r>
          <rPr>
            <sz val="10"/>
            <color indexed="81"/>
            <rFont val="Lucida Console"/>
            <family val="3"/>
          </rPr>
          <t>_x000D_
SELADORES</t>
        </r>
      </text>
    </comment>
    <comment ref="AC254" authorId="0" shapeId="0" xr:uid="{DA4E7CB0-91FB-4B2A-8EF0-1383F67DC8D6}">
      <text>
        <r>
          <rPr>
            <sz val="10"/>
            <color indexed="81"/>
            <rFont val="Lucida Console"/>
            <family val="3"/>
          </rPr>
          <t>_x000D_
AF 14.002/22 | Vc 10.11.2022 | Saldo     20 | ALINE NICACIO ( 158489 )</t>
        </r>
      </text>
    </comment>
    <comment ref="AG254" authorId="0" shapeId="0" xr:uid="{BCBC94D1-298C-4C42-A2E1-1051355E04A0}">
      <text>
        <r>
          <rPr>
            <sz val="10"/>
            <color indexed="81"/>
            <rFont val="Lucida Console"/>
            <family val="3"/>
          </rPr>
          <t>_x000D_
AF 14.002/22 | Vc 10.11.2022 | Saldo     20 | ALINE NICACIO ( 158489 )</t>
        </r>
      </text>
    </comment>
    <comment ref="AW254" authorId="0" shapeId="0" xr:uid="{2F6025BE-96FB-4E23-883A-18DF99A5573B}">
      <text>
        <r>
          <rPr>
            <sz val="10"/>
            <color indexed="81"/>
            <rFont val="Lucida Console"/>
            <family val="3"/>
          </rPr>
          <t>Tempo de Estoque (Meses)_x000D_
_x000D_
50,0</t>
        </r>
      </text>
    </comment>
    <comment ref="A255" authorId="0" shapeId="0" xr:uid="{2A39B1DC-1387-468A-BD85-6B14FAEBC6F3}">
      <text>
        <r>
          <rPr>
            <sz val="10"/>
            <color indexed="81"/>
            <rFont val="Lucida Console"/>
            <family val="3"/>
          </rPr>
          <t>_x000D_
11448</t>
        </r>
      </text>
    </comment>
    <comment ref="B255" authorId="0" shapeId="0" xr:uid="{BAAB2B3A-B6E3-429E-93EA-450C105BFF1F}">
      <text>
        <r>
          <rPr>
            <sz val="10"/>
            <color indexed="81"/>
            <rFont val="Lucida Console"/>
            <family val="3"/>
          </rPr>
          <t>DESCRIÇÃO DETALHADA_x000D_
CORRETIVO LIQUIDO A BASE DE AGUA - FR C/ 18 ML</t>
        </r>
      </text>
    </comment>
    <comment ref="G255" authorId="0" shapeId="0" xr:uid="{815DCA5C-CA69-41A7-ACC4-219D544C3A22}">
      <text>
        <r>
          <rPr>
            <sz val="10"/>
            <color indexed="81"/>
            <rFont val="Lucida Console"/>
            <family val="3"/>
          </rPr>
          <t>_x000D_
Últ estimativa : 1.500_x000D_
Enviada em     : 19.12.2019_x000D_
Ata - Venc     : 143/21 - 20.05.2022</t>
        </r>
      </text>
    </comment>
    <comment ref="O255" authorId="0" shapeId="0" xr:uid="{FAF98A91-6A91-482A-B06B-28A73EF34FE3}">
      <text>
        <r>
          <rPr>
            <sz val="10"/>
            <color indexed="81"/>
            <rFont val="Lucida Console"/>
            <family val="3"/>
          </rPr>
          <t>_x000D_
Pertencia a ATA nº 143/21_x000D_
Estimativa de Renovação enviada em 19.12.2019 - Qtd 1.500_x000D_
PE  61/21 lote _x000D_
30.04.21 = Finalizado. Ata 143/20</t>
        </r>
      </text>
    </comment>
    <comment ref="W255" authorId="0" shapeId="0" xr:uid="{B20685CB-DAA9-44C4-BE1C-99EEAEC5530C}">
      <text>
        <r>
          <rPr>
            <sz val="10"/>
            <color indexed="81"/>
            <rFont val="Lucida Console"/>
            <family val="3"/>
          </rPr>
          <t>_x000D_
Pedagógico</t>
        </r>
      </text>
    </comment>
    <comment ref="X255" authorId="0" shapeId="0" xr:uid="{DDEF891C-173E-4388-A903-C3FE7ADE7C30}">
      <text>
        <r>
          <rPr>
            <sz val="10"/>
            <color indexed="81"/>
            <rFont val="Lucida Console"/>
            <family val="3"/>
          </rPr>
          <t>_x000D_
MAQ., EQUIP., COMP., ACES., MAT. PARA ESCRIT.E ESCOLAR</t>
        </r>
      </text>
    </comment>
    <comment ref="Y255" authorId="0" shapeId="0" xr:uid="{FC3732FD-DC88-42F8-8F66-2FDC1DEC0BEC}">
      <text>
        <r>
          <rPr>
            <sz val="10"/>
            <color indexed="81"/>
            <rFont val="Lucida Console"/>
            <family val="3"/>
          </rPr>
          <t>_x000D_
LAPIS, BORRACHA, APONTADORES, REGUAS E CORRETIVOS P/ ESCRIT.</t>
        </r>
      </text>
    </comment>
    <comment ref="AW255" authorId="0" shapeId="0" xr:uid="{355DBF47-C744-4EB5-898F-EA144CE9EFB1}">
      <text>
        <r>
          <rPr>
            <sz val="10"/>
            <color indexed="81"/>
            <rFont val="Lucida Console"/>
            <family val="3"/>
          </rPr>
          <t>Tempo de Estoque (Meses)_x000D_
_x000D_
682,0</t>
        </r>
      </text>
    </comment>
    <comment ref="A256" authorId="0" shapeId="0" xr:uid="{A175F221-4E56-401C-B24E-86847BDEB18A}">
      <text>
        <r>
          <rPr>
            <sz val="10"/>
            <color indexed="81"/>
            <rFont val="Lucida Console"/>
            <family val="3"/>
          </rPr>
          <t>_x000D_
17454</t>
        </r>
      </text>
    </comment>
    <comment ref="B256" authorId="0" shapeId="0" xr:uid="{358E92BC-F2FE-4C11-8EED-3748D270532C}">
      <text>
        <r>
          <rPr>
            <sz val="10"/>
            <color indexed="81"/>
            <rFont val="Lucida Console"/>
            <family val="3"/>
          </rPr>
          <t>DESCRIÇÃO DETALHADA_x000D_
PAPEL ESPELHO - 65 X 50 CM - ROSA</t>
        </r>
      </text>
    </comment>
    <comment ref="G256" authorId="0" shapeId="0" xr:uid="{F7EC32F0-F455-4AA5-B6C0-2D640C9ED41A}">
      <text>
        <r>
          <rPr>
            <sz val="10"/>
            <color indexed="81"/>
            <rFont val="Lucida Console"/>
            <family val="3"/>
          </rPr>
          <t>_x000D_
Últ estimativa : 12.000_x000D_
Enviada em     : 19.12.2019_x000D_
Ata - Venc     : 143/21 - 20.05.2022</t>
        </r>
      </text>
    </comment>
    <comment ref="O256" authorId="0" shapeId="0" xr:uid="{4995198D-CF7E-43C1-8B77-F9A06FBA0A6A}">
      <text>
        <r>
          <rPr>
            <sz val="10"/>
            <color indexed="81"/>
            <rFont val="Lucida Console"/>
            <family val="3"/>
          </rPr>
          <t>_x000D_
Pertencia a ATA nº 143/21_x000D_
Estimativa de Renovação enviada em 19.12.2019 - Qtd 12.000_x000D_
PE  61/21 lote _x000D_
30.04.21 = Finalizado. Ata 143/20</t>
        </r>
      </text>
    </comment>
    <comment ref="W256" authorId="0" shapeId="0" xr:uid="{7F5E629B-0C30-472D-A0F2-78841EE2918C}">
      <text>
        <r>
          <rPr>
            <sz val="10"/>
            <color indexed="81"/>
            <rFont val="Lucida Console"/>
            <family val="3"/>
          </rPr>
          <t>_x000D_
Pedagógico</t>
        </r>
      </text>
    </comment>
    <comment ref="X256" authorId="0" shapeId="0" xr:uid="{DD497819-CB4C-44C7-9F69-DF8F1E1FCEA6}">
      <text>
        <r>
          <rPr>
            <sz val="10"/>
            <color indexed="81"/>
            <rFont val="Lucida Console"/>
            <family val="3"/>
          </rPr>
          <t>_x000D_
MAQ. E EQUIP. P/ IND. GRAFICA COMP. ACESS. E PAPEI</t>
        </r>
      </text>
    </comment>
    <comment ref="Y256" authorId="0" shapeId="0" xr:uid="{725EF838-1A7B-4E85-B401-20224AF1A389}">
      <text>
        <r>
          <rPr>
            <sz val="10"/>
            <color indexed="81"/>
            <rFont val="Lucida Console"/>
            <family val="3"/>
          </rPr>
          <t>_x000D_
PAPEIS P/ EMBALAGEM E DECORATIVOS</t>
        </r>
      </text>
    </comment>
    <comment ref="AW256" authorId="0" shapeId="0" xr:uid="{DC3010A8-CCB0-4C40-9DE7-85C066F4A59C}">
      <text>
        <r>
          <rPr>
            <sz val="10"/>
            <color indexed="81"/>
            <rFont val="Lucida Console"/>
            <family val="3"/>
          </rPr>
          <t>Tempo de Estoque (Meses)_x000D_
_x000D_
3.420,0</t>
        </r>
      </text>
    </comment>
    <comment ref="A257" authorId="0" shapeId="0" xr:uid="{F7EFFE57-0554-47E3-A1FE-E034C3837BF1}">
      <text>
        <r>
          <rPr>
            <sz val="10"/>
            <color indexed="81"/>
            <rFont val="Lucida Console"/>
            <family val="3"/>
          </rPr>
          <t>_x000D_
24476</t>
        </r>
      </text>
    </comment>
    <comment ref="B257" authorId="0" shapeId="0" xr:uid="{210201D0-4565-4917-BC54-5322AF4AE536}">
      <text>
        <r>
          <rPr>
            <sz val="10"/>
            <color indexed="81"/>
            <rFont val="Lucida Console"/>
            <family val="3"/>
          </rPr>
          <t>DESCRIÇÃO DETALHADA_x000D_
PAPEL CREPOM - RL C/ 48 X 200 CM - AZUL ESCURO</t>
        </r>
      </text>
    </comment>
    <comment ref="G257" authorId="0" shapeId="0" xr:uid="{9AB68074-3810-471F-8677-0A7FE5BB35F0}">
      <text>
        <r>
          <rPr>
            <sz val="10"/>
            <color indexed="81"/>
            <rFont val="Lucida Console"/>
            <family val="3"/>
          </rPr>
          <t>_x000D_
Últ estimativa : 10.000_x000D_
Enviada em     : 19.12.2019_x000D_
Ata - Venc     : 143/21 - 20.05.2022</t>
        </r>
      </text>
    </comment>
    <comment ref="O257" authorId="0" shapeId="0" xr:uid="{276F27F1-FD2B-42C3-9F53-4190298B4D54}">
      <text>
        <r>
          <rPr>
            <sz val="10"/>
            <color indexed="81"/>
            <rFont val="Lucida Console"/>
            <family val="3"/>
          </rPr>
          <t>_x000D_
Pertencia a ATA nº 143/21_x000D_
Estimativa de Renovação enviada em 19.12.2019 - Qtd 10.000_x000D_
PE  61/21 lote _x000D_
30.04.21 = Finalizado. Ata 143/20</t>
        </r>
      </text>
    </comment>
    <comment ref="W257" authorId="0" shapeId="0" xr:uid="{E3015EB0-BE94-4994-B415-A68E40A14837}">
      <text>
        <r>
          <rPr>
            <sz val="10"/>
            <color indexed="81"/>
            <rFont val="Lucida Console"/>
            <family val="3"/>
          </rPr>
          <t>_x000D_
Pedagógico</t>
        </r>
      </text>
    </comment>
    <comment ref="X257" authorId="0" shapeId="0" xr:uid="{EBCD1FDF-BE5B-4E5E-9141-7FE80648088A}">
      <text>
        <r>
          <rPr>
            <sz val="10"/>
            <color indexed="81"/>
            <rFont val="Lucida Console"/>
            <family val="3"/>
          </rPr>
          <t>_x000D_
MAQ. E EQUIP. P/ IND. GRAFICA COMP. ACESS. E PAPEI</t>
        </r>
      </text>
    </comment>
    <comment ref="Y257" authorId="0" shapeId="0" xr:uid="{3DF50053-A818-4C67-8EAF-4D8C5952DE29}">
      <text>
        <r>
          <rPr>
            <sz val="10"/>
            <color indexed="81"/>
            <rFont val="Lucida Console"/>
            <family val="3"/>
          </rPr>
          <t>_x000D_
PAPEIS P/ EMBALAGEM E DECORATIVOS</t>
        </r>
      </text>
    </comment>
    <comment ref="AW257" authorId="0" shapeId="0" xr:uid="{2921B7CC-BAA5-4EDB-98C8-FF3423C87BDF}">
      <text>
        <r>
          <rPr>
            <sz val="10"/>
            <color indexed="81"/>
            <rFont val="Lucida Console"/>
            <family val="3"/>
          </rPr>
          <t>Tempo de Estoque (Meses)_x000D_
_x000D_
3.416,0</t>
        </r>
      </text>
    </comment>
    <comment ref="A258" authorId="0" shapeId="0" xr:uid="{48E53916-2399-49FF-A1BA-EAE78D9C85CD}">
      <text>
        <r>
          <rPr>
            <sz val="10"/>
            <color indexed="81"/>
            <rFont val="Lucida Console"/>
            <family val="3"/>
          </rPr>
          <t>_x000D_
25559</t>
        </r>
      </text>
    </comment>
    <comment ref="B258" authorId="0" shapeId="0" xr:uid="{4A73851F-C129-48C2-8431-D1BCE1249250}">
      <text>
        <r>
          <rPr>
            <sz val="10"/>
            <color indexed="81"/>
            <rFont val="Lucida Console"/>
            <family val="3"/>
          </rPr>
          <t>DESCRIÇÃO DETALHADA_x000D_
PAPEL LAMINADO - 50 X 60 CM - DOURADO - AS MEDIDAS PODERAO VARIAR +/- 5 CM</t>
        </r>
      </text>
    </comment>
    <comment ref="G258" authorId="0" shapeId="0" xr:uid="{C2E251DE-C766-4CD6-8364-B08FD3394D9D}">
      <text>
        <r>
          <rPr>
            <sz val="10"/>
            <color indexed="81"/>
            <rFont val="Lucida Console"/>
            <family val="3"/>
          </rPr>
          <t>_x000D_
Últ estimativa : 10.000_x000D_
Enviada em     : 19.12.2019_x000D_
Ata - Venc     : 143/21 - 20.05.2022</t>
        </r>
      </text>
    </comment>
    <comment ref="O258" authorId="0" shapeId="0" xr:uid="{7DA3EC79-BB19-4385-B2D9-4151A662E580}">
      <text>
        <r>
          <rPr>
            <sz val="10"/>
            <color indexed="81"/>
            <rFont val="Lucida Console"/>
            <family val="3"/>
          </rPr>
          <t>_x000D_
Pertencia a ATA nº 143/21_x000D_
Estimativa de Renovação enviada em 19.12.2019 - Qtd 10.000_x000D_
PE  61/21 lote _x000D_
30.04.21 = Finalizado. Ata 143/20</t>
        </r>
      </text>
    </comment>
    <comment ref="W258" authorId="0" shapeId="0" xr:uid="{FFF7C705-1805-4370-B6EE-B996DAC1A621}">
      <text>
        <r>
          <rPr>
            <sz val="10"/>
            <color indexed="81"/>
            <rFont val="Lucida Console"/>
            <family val="3"/>
          </rPr>
          <t>_x000D_
Pedagógico</t>
        </r>
      </text>
    </comment>
    <comment ref="X258" authorId="0" shapeId="0" xr:uid="{1A51AB30-E1C4-404A-890F-CC5130F6FFC1}">
      <text>
        <r>
          <rPr>
            <sz val="10"/>
            <color indexed="81"/>
            <rFont val="Lucida Console"/>
            <family val="3"/>
          </rPr>
          <t>_x000D_
MAQ. E EQUIP. P/ IND. GRAFICA COMP. ACESS. E PAPEI</t>
        </r>
      </text>
    </comment>
    <comment ref="Y258" authorId="0" shapeId="0" xr:uid="{3A75E944-EB1E-4162-BB97-C38CB30C9C05}">
      <text>
        <r>
          <rPr>
            <sz val="10"/>
            <color indexed="81"/>
            <rFont val="Lucida Console"/>
            <family val="3"/>
          </rPr>
          <t>_x000D_
PAPEIS P/ EMBALAGEM E DECORATIVOS</t>
        </r>
      </text>
    </comment>
    <comment ref="AW258" authorId="0" shapeId="0" xr:uid="{BA900F04-FF21-4CCD-88DB-7E9E88C8AE94}">
      <text>
        <r>
          <rPr>
            <sz val="10"/>
            <color indexed="81"/>
            <rFont val="Lucida Console"/>
            <family val="3"/>
          </rPr>
          <t>Tempo de Estoque (Meses)_x000D_
_x000D_
5.288,0</t>
        </r>
      </text>
    </comment>
    <comment ref="A259" authorId="0" shapeId="0" xr:uid="{CBBF58A7-4395-4A27-A76E-4C777D5EF5F5}">
      <text>
        <r>
          <rPr>
            <sz val="10"/>
            <color indexed="81"/>
            <rFont val="Lucida Console"/>
            <family val="3"/>
          </rPr>
          <t>_x000D_
27137</t>
        </r>
      </text>
    </comment>
    <comment ref="B259" authorId="0" shapeId="0" xr:uid="{45FEFB2C-BC3D-44BA-A6BC-1E37CEAAFCB9}">
      <text>
        <r>
          <rPr>
            <sz val="10"/>
            <color indexed="81"/>
            <rFont val="Lucida Console"/>
            <family val="3"/>
          </rPr>
          <t>DESCRIÇÃO DETALHADA_x000D_
PAPEL LAMINADO - 50 X 60 CM - VERDE</t>
        </r>
      </text>
    </comment>
    <comment ref="G259" authorId="0" shapeId="0" xr:uid="{7238E929-357E-4377-A2B6-4E5005927EB6}">
      <text>
        <r>
          <rPr>
            <sz val="10"/>
            <color indexed="81"/>
            <rFont val="Lucida Console"/>
            <family val="3"/>
          </rPr>
          <t>_x000D_
Últ estimativa : 10.000_x000D_
Enviada em     : 19.12.2019_x000D_
Ata - Venc     : 143/21 - 20.05.2022</t>
        </r>
      </text>
    </comment>
    <comment ref="O259" authorId="0" shapeId="0" xr:uid="{3A8E39D3-4CA9-4558-88EF-1F04285788F1}">
      <text>
        <r>
          <rPr>
            <sz val="10"/>
            <color indexed="81"/>
            <rFont val="Lucida Console"/>
            <family val="3"/>
          </rPr>
          <t>_x000D_
Pertencia a ATA nº 143/21_x000D_
Estimativa de Renovação enviada em 19.12.2019 - Qtd 10.000_x000D_
PE  61/21 lote _x000D_
30.04.21 = Finalizado. Ata 143/20</t>
        </r>
      </text>
    </comment>
    <comment ref="W259" authorId="0" shapeId="0" xr:uid="{ADBF9B39-7198-4352-ACF5-58BC3781EB76}">
      <text>
        <r>
          <rPr>
            <sz val="10"/>
            <color indexed="81"/>
            <rFont val="Lucida Console"/>
            <family val="3"/>
          </rPr>
          <t>_x000D_
Pedagógico</t>
        </r>
      </text>
    </comment>
    <comment ref="X259" authorId="0" shapeId="0" xr:uid="{3D67AC8D-BCD9-4F43-B3CA-9D7E75860691}">
      <text>
        <r>
          <rPr>
            <sz val="10"/>
            <color indexed="81"/>
            <rFont val="Lucida Console"/>
            <family val="3"/>
          </rPr>
          <t>_x000D_
MAQ. E EQUIP. P/ IND. GRAFICA COMP. ACESS. E PAPEI</t>
        </r>
      </text>
    </comment>
    <comment ref="Y259" authorId="0" shapeId="0" xr:uid="{C0A39A97-4143-4BA0-84DD-9788374820DA}">
      <text>
        <r>
          <rPr>
            <sz val="10"/>
            <color indexed="81"/>
            <rFont val="Lucida Console"/>
            <family val="3"/>
          </rPr>
          <t>_x000D_
PAPEIS P/ EMBALAGEM E DECORATIVOS</t>
        </r>
      </text>
    </comment>
    <comment ref="AW259" authorId="0" shapeId="0" xr:uid="{AD45BB21-57B1-4647-A031-F4B3B399D948}">
      <text>
        <r>
          <rPr>
            <sz val="10"/>
            <color indexed="81"/>
            <rFont val="Lucida Console"/>
            <family val="3"/>
          </rPr>
          <t>Tempo de Estoque (Meses)_x000D_
_x000D_
10.030,0</t>
        </r>
      </text>
    </comment>
    <comment ref="A260" authorId="0" shapeId="0" xr:uid="{820A7110-706F-44A0-B5A3-26F9EC1CE832}">
      <text>
        <r>
          <rPr>
            <sz val="10"/>
            <color indexed="81"/>
            <rFont val="Lucida Console"/>
            <family val="3"/>
          </rPr>
          <t>_x000D_
27138</t>
        </r>
      </text>
    </comment>
    <comment ref="B260" authorId="0" shapeId="0" xr:uid="{0F3FC816-F59E-41C5-B1C1-1C24D1DD35EB}">
      <text>
        <r>
          <rPr>
            <sz val="10"/>
            <color indexed="81"/>
            <rFont val="Lucida Console"/>
            <family val="3"/>
          </rPr>
          <t>DESCRIÇÃO DETALHADA_x000D_
PAPEL LAMINADO - 50 X 60 CM - AZUL</t>
        </r>
      </text>
    </comment>
    <comment ref="G260" authorId="0" shapeId="0" xr:uid="{1E98C7C0-F468-419A-8346-B20DE2DC7931}">
      <text>
        <r>
          <rPr>
            <sz val="10"/>
            <color indexed="81"/>
            <rFont val="Lucida Console"/>
            <family val="3"/>
          </rPr>
          <t>_x000D_
Últ estimativa : 10.000_x000D_
Enviada em     : 19.12.2019_x000D_
Ata - Venc     : 143/21 - 20.05.2022</t>
        </r>
      </text>
    </comment>
    <comment ref="O260" authorId="0" shapeId="0" xr:uid="{3C60DBF0-85E9-4DFB-9669-F97B31D3EA64}">
      <text>
        <r>
          <rPr>
            <sz val="10"/>
            <color indexed="81"/>
            <rFont val="Lucida Console"/>
            <family val="3"/>
          </rPr>
          <t>_x000D_
Pertencia a ATA nº 143/21_x000D_
Estimativa de Renovação enviada em 19.12.2019 - Qtd 10.000_x000D_
PE  61/21 lote _x000D_
30.04.21 = Finalizado. Ata 143/20</t>
        </r>
      </text>
    </comment>
    <comment ref="W260" authorId="0" shapeId="0" xr:uid="{4BDB166A-1CA6-45A4-8BAB-5269F7F117B3}">
      <text>
        <r>
          <rPr>
            <sz val="10"/>
            <color indexed="81"/>
            <rFont val="Lucida Console"/>
            <family val="3"/>
          </rPr>
          <t>_x000D_
Pedagógico</t>
        </r>
      </text>
    </comment>
    <comment ref="X260" authorId="0" shapeId="0" xr:uid="{FB4A583D-73D1-4B30-ADB0-D7FFAAFDB2EE}">
      <text>
        <r>
          <rPr>
            <sz val="10"/>
            <color indexed="81"/>
            <rFont val="Lucida Console"/>
            <family val="3"/>
          </rPr>
          <t>_x000D_
MAQ. E EQUIP. P/ IND. GRAFICA COMP. ACESS. E PAPEI</t>
        </r>
      </text>
    </comment>
    <comment ref="Y260" authorId="0" shapeId="0" xr:uid="{F8D212DD-CE4F-4805-A8F2-39A6BCA12278}">
      <text>
        <r>
          <rPr>
            <sz val="10"/>
            <color indexed="81"/>
            <rFont val="Lucida Console"/>
            <family val="3"/>
          </rPr>
          <t>_x000D_
PAPEIS P/ EMBALAGEM E DECORATIVOS</t>
        </r>
      </text>
    </comment>
    <comment ref="AW260" authorId="0" shapeId="0" xr:uid="{56B91346-C88E-4236-855D-DB8631C757DA}">
      <text>
        <r>
          <rPr>
            <sz val="10"/>
            <color indexed="81"/>
            <rFont val="Lucida Console"/>
            <family val="3"/>
          </rPr>
          <t>Tempo de Estoque (Meses)_x000D_
_x000D_
8.964,0</t>
        </r>
      </text>
    </comment>
    <comment ref="A261" authorId="0" shapeId="0" xr:uid="{0CB6D887-89C1-464D-A29A-EC2EF8DC0CEE}">
      <text>
        <r>
          <rPr>
            <sz val="10"/>
            <color indexed="81"/>
            <rFont val="Lucida Console"/>
            <family val="3"/>
          </rPr>
          <t>_x000D_
27139</t>
        </r>
      </text>
    </comment>
    <comment ref="B261" authorId="0" shapeId="0" xr:uid="{0D935B17-561E-4F28-B9AC-67DCBF84AC51}">
      <text>
        <r>
          <rPr>
            <sz val="10"/>
            <color indexed="81"/>
            <rFont val="Lucida Console"/>
            <family val="3"/>
          </rPr>
          <t>DESCRIÇÃO DETALHADA_x000D_
PAPEL LAMINADO - 50 X 60 CM - VERMELHO (VARIACAO +/- 05 CM)</t>
        </r>
      </text>
    </comment>
    <comment ref="G261" authorId="0" shapeId="0" xr:uid="{E478FAC4-CA10-45A7-B89D-A1C740E87548}">
      <text>
        <r>
          <rPr>
            <sz val="10"/>
            <color indexed="81"/>
            <rFont val="Lucida Console"/>
            <family val="3"/>
          </rPr>
          <t>_x000D_
Últ estimativa : 10.000_x000D_
Enviada em     : 19.12.2019_x000D_
Ata - Venc     : 143/21 - 20.05.2022</t>
        </r>
      </text>
    </comment>
    <comment ref="O261" authorId="0" shapeId="0" xr:uid="{6ECAF4FD-8EF7-4CDF-AA8A-3F44459CEC10}">
      <text>
        <r>
          <rPr>
            <sz val="10"/>
            <color indexed="81"/>
            <rFont val="Lucida Console"/>
            <family val="3"/>
          </rPr>
          <t>_x000D_
Pertencia a ATA nº 143/21_x000D_
Estimativa de Renovação enviada em 19.12.2019 - Qtd 10.000_x000D_
PE  61/21 lote _x000D_
30.04.21 = Finalizado. Ata 143/20</t>
        </r>
      </text>
    </comment>
    <comment ref="W261" authorId="0" shapeId="0" xr:uid="{7FB8340D-7CEB-4C68-9567-870B95EC3C1E}">
      <text>
        <r>
          <rPr>
            <sz val="10"/>
            <color indexed="81"/>
            <rFont val="Lucida Console"/>
            <family val="3"/>
          </rPr>
          <t>_x000D_
Pedagógico</t>
        </r>
      </text>
    </comment>
    <comment ref="X261" authorId="0" shapeId="0" xr:uid="{1DA8561A-848A-4E1C-A907-8E896B9613F8}">
      <text>
        <r>
          <rPr>
            <sz val="10"/>
            <color indexed="81"/>
            <rFont val="Lucida Console"/>
            <family val="3"/>
          </rPr>
          <t>_x000D_
MAQ. E EQUIP. P/ IND. GRAFICA COMP. ACESS. E PAPEI</t>
        </r>
      </text>
    </comment>
    <comment ref="Y261" authorId="0" shapeId="0" xr:uid="{4AA5DD38-03EC-4CE8-841D-CBBD139D94D8}">
      <text>
        <r>
          <rPr>
            <sz val="10"/>
            <color indexed="81"/>
            <rFont val="Lucida Console"/>
            <family val="3"/>
          </rPr>
          <t>_x000D_
PAPEIS P/ EMBALAGEM E DECORATIVOS</t>
        </r>
      </text>
    </comment>
    <comment ref="AW261" authorId="0" shapeId="0" xr:uid="{9152A938-1840-49B5-860D-C9A16FEE660D}">
      <text>
        <r>
          <rPr>
            <sz val="10"/>
            <color indexed="81"/>
            <rFont val="Lucida Console"/>
            <family val="3"/>
          </rPr>
          <t>Tempo de Estoque (Meses)_x000D_
_x000D_
8.768,0</t>
        </r>
      </text>
    </comment>
    <comment ref="A262" authorId="0" shapeId="0" xr:uid="{A2273D03-EF9C-466A-B084-3019ACEB8C97}">
      <text>
        <r>
          <rPr>
            <sz val="10"/>
            <color indexed="81"/>
            <rFont val="Lucida Console"/>
            <family val="3"/>
          </rPr>
          <t>_x000D_
27140</t>
        </r>
      </text>
    </comment>
    <comment ref="B262" authorId="0" shapeId="0" xr:uid="{2AA39B5C-CF23-41E0-BC39-F960DB50B883}">
      <text>
        <r>
          <rPr>
            <sz val="10"/>
            <color indexed="81"/>
            <rFont val="Lucida Console"/>
            <family val="3"/>
          </rPr>
          <t>DESCRIÇÃO DETALHADA_x000D_
PAPEL LAMINADO - 50 X 60 CM - PRATA</t>
        </r>
      </text>
    </comment>
    <comment ref="G262" authorId="0" shapeId="0" xr:uid="{95C0A921-6673-43BC-8C09-CB58B7A4AA5E}">
      <text>
        <r>
          <rPr>
            <sz val="10"/>
            <color indexed="81"/>
            <rFont val="Lucida Console"/>
            <family val="3"/>
          </rPr>
          <t>_x000D_
Últ estimativa : 10.000_x000D_
Enviada em     : 19.12.2019_x000D_
Ata - Venc     : 143/21 - 20.05.2022</t>
        </r>
      </text>
    </comment>
    <comment ref="O262" authorId="0" shapeId="0" xr:uid="{A9D9D426-09B3-4931-8ED1-9D22D1E6CCD0}">
      <text>
        <r>
          <rPr>
            <sz val="10"/>
            <color indexed="81"/>
            <rFont val="Lucida Console"/>
            <family val="3"/>
          </rPr>
          <t>_x000D_
Pertencia a ATA nº 143/21_x000D_
Estimativa de Renovação enviada em 19.12.2019 - Qtd 10.000_x000D_
PE  61/21 lote _x000D_
30.04.21 = Finalizado. Ata 143/20</t>
        </r>
      </text>
    </comment>
    <comment ref="W262" authorId="0" shapeId="0" xr:uid="{969719DA-6B4F-4263-BA7B-FB7CA7F64DFA}">
      <text>
        <r>
          <rPr>
            <sz val="10"/>
            <color indexed="81"/>
            <rFont val="Lucida Console"/>
            <family val="3"/>
          </rPr>
          <t>_x000D_
Pedagógico</t>
        </r>
      </text>
    </comment>
    <comment ref="X262" authorId="0" shapeId="0" xr:uid="{D4D93039-8E50-473D-A43E-3E50995D8763}">
      <text>
        <r>
          <rPr>
            <sz val="10"/>
            <color indexed="81"/>
            <rFont val="Lucida Console"/>
            <family val="3"/>
          </rPr>
          <t>_x000D_
MAQ. E EQUIP. P/ IND. GRAFICA COMP. ACESS. E PAPEI</t>
        </r>
      </text>
    </comment>
    <comment ref="Y262" authorId="0" shapeId="0" xr:uid="{E973DC03-790E-47F4-9B6D-56FC945B921B}">
      <text>
        <r>
          <rPr>
            <sz val="10"/>
            <color indexed="81"/>
            <rFont val="Lucida Console"/>
            <family val="3"/>
          </rPr>
          <t>_x000D_
PAPEIS P/ EMBALAGEM E DECORATIVOS</t>
        </r>
      </text>
    </comment>
    <comment ref="AW262" authorId="0" shapeId="0" xr:uid="{FB21529E-4299-45A8-9286-93D8110731B7}">
      <text>
        <r>
          <rPr>
            <sz val="10"/>
            <color indexed="81"/>
            <rFont val="Lucida Console"/>
            <family val="3"/>
          </rPr>
          <t>Tempo de Estoque (Meses)_x000D_
_x000D_
5.196,0</t>
        </r>
      </text>
    </comment>
    <comment ref="A263" authorId="0" shapeId="0" xr:uid="{7178593A-87DC-4872-822C-DD3F0507C7BD}">
      <text>
        <r>
          <rPr>
            <sz val="10"/>
            <color indexed="81"/>
            <rFont val="Lucida Console"/>
            <family val="3"/>
          </rPr>
          <t>_x000D_
93454</t>
        </r>
      </text>
    </comment>
    <comment ref="B263" authorId="0" shapeId="0" xr:uid="{2195B910-91CD-452C-8240-74E352BE91FE}">
      <text>
        <r>
          <rPr>
            <sz val="10"/>
            <color indexed="81"/>
            <rFont val="Lucida Console"/>
            <family val="3"/>
          </rPr>
          <t>DESCRIÇÃO DETALHADA_x000D_
PAPEL ESPELHO BRILHANTE (DOBRADURA), MEDINDO 48 X 66 CM - COR: AZUL ESCURO</t>
        </r>
      </text>
    </comment>
    <comment ref="G263" authorId="0" shapeId="0" xr:uid="{FA2606BB-2DAE-4F93-B2F6-23C88CECE1CE}">
      <text>
        <r>
          <rPr>
            <sz val="10"/>
            <color indexed="81"/>
            <rFont val="Lucida Console"/>
            <family val="3"/>
          </rPr>
          <t>_x000D_
Últ estimativa : 14.000_x000D_
Enviada em     : 19.12.2019_x000D_
Ata - Venc     : 143/21 - 20.05.2022</t>
        </r>
      </text>
    </comment>
    <comment ref="O263" authorId="0" shapeId="0" xr:uid="{A3457617-836E-4377-A9EF-1827D9B62FF1}">
      <text>
        <r>
          <rPr>
            <sz val="10"/>
            <color indexed="81"/>
            <rFont val="Lucida Console"/>
            <family val="3"/>
          </rPr>
          <t>_x000D_
Pertencia a ATA nº 143/21_x000D_
Estimativa de Renovação enviada em 19.12.2019 - Qtd 14.000_x000D_
PE  61/21 lote _x000D_
30.04.21 = Finalizado. Ata 143/20</t>
        </r>
      </text>
    </comment>
    <comment ref="W263" authorId="0" shapeId="0" xr:uid="{59D98C53-EA94-4740-AB6A-9BCB0151756E}">
      <text>
        <r>
          <rPr>
            <sz val="10"/>
            <color indexed="81"/>
            <rFont val="Lucida Console"/>
            <family val="3"/>
          </rPr>
          <t>_x000D_
Pedagógico</t>
        </r>
      </text>
    </comment>
    <comment ref="X263" authorId="0" shapeId="0" xr:uid="{A6F31C2B-7E2D-4DB8-9C1F-6B8A49C216AC}">
      <text>
        <r>
          <rPr>
            <sz val="10"/>
            <color indexed="81"/>
            <rFont val="Lucida Console"/>
            <family val="3"/>
          </rPr>
          <t>_x000D_
MAQ. E EQUIP. P/ IND. GRAFICA COMP. ACESS. E PAPEI</t>
        </r>
      </text>
    </comment>
    <comment ref="Y263" authorId="0" shapeId="0" xr:uid="{30236356-4077-4F78-A586-B6701D9EDF8D}">
      <text>
        <r>
          <rPr>
            <sz val="10"/>
            <color indexed="81"/>
            <rFont val="Lucida Console"/>
            <family val="3"/>
          </rPr>
          <t>_x000D_
PAPEIS P/ EMBALAGEM E DECORATIVOS</t>
        </r>
      </text>
    </comment>
    <comment ref="AW263" authorId="0" shapeId="0" xr:uid="{1A028754-05C8-4608-900B-300221AF9C2D}">
      <text>
        <r>
          <rPr>
            <sz val="10"/>
            <color indexed="81"/>
            <rFont val="Lucida Console"/>
            <family val="3"/>
          </rPr>
          <t>Tempo de Estoque (Meses)_x000D_
_x000D_
3.500,0</t>
        </r>
      </text>
    </comment>
    <comment ref="A264" authorId="0" shapeId="0" xr:uid="{974692DC-4074-4B1D-B58F-C76C213DD508}">
      <text>
        <r>
          <rPr>
            <sz val="10"/>
            <color indexed="81"/>
            <rFont val="Lucida Console"/>
            <family val="3"/>
          </rPr>
          <t>_x000D_
12623</t>
        </r>
      </text>
    </comment>
    <comment ref="B264" authorId="0" shapeId="0" xr:uid="{2F3EEAE1-AC30-4B7E-887A-213DB8D5F8F4}">
      <text>
        <r>
          <rPr>
            <sz val="10"/>
            <color indexed="81"/>
            <rFont val="Lucida Console"/>
            <family val="3"/>
          </rPr>
          <t>DESCRIÇÃO DETALHADA_x000D_
CARTOLINA - BRANCA  - 50 X 66 CM - 180 G/M2</t>
        </r>
      </text>
    </comment>
    <comment ref="G264" authorId="0" shapeId="0" xr:uid="{7DD54ACD-C531-4C21-92A3-9F23BAD6AB33}">
      <text>
        <r>
          <rPr>
            <sz val="10"/>
            <color indexed="81"/>
            <rFont val="Lucida Console"/>
            <family val="3"/>
          </rPr>
          <t>_x000D_
Últ estimativa : 40.000_x000D_
Enviada em     : 19.12.2019_x000D_
Ata - Venc     : 143/21 - 20.05.2022</t>
        </r>
      </text>
    </comment>
    <comment ref="O264" authorId="0" shapeId="0" xr:uid="{8EC20641-6F18-41F4-BF86-61AFA9DA45B7}">
      <text>
        <r>
          <rPr>
            <sz val="10"/>
            <color indexed="81"/>
            <rFont val="Lucida Console"/>
            <family val="3"/>
          </rPr>
          <t>_x000D_
Pertencia a ATA nº 143/21_x000D_
Estimativa de Renovação enviada em 19.12.2019 - Qtd 40.000_x000D_
PE  61/21 lote _x000D_
30.04.21 = Finalizado. Ata 143/20</t>
        </r>
      </text>
    </comment>
    <comment ref="W264" authorId="0" shapeId="0" xr:uid="{A7677E50-3A80-42AF-AF17-155108895ABC}">
      <text>
        <r>
          <rPr>
            <sz val="10"/>
            <color indexed="81"/>
            <rFont val="Lucida Console"/>
            <family val="3"/>
          </rPr>
          <t>_x000D_
Pedagógico</t>
        </r>
      </text>
    </comment>
    <comment ref="X264" authorId="0" shapeId="0" xr:uid="{F5E50C62-05C6-45E4-92BE-7EA066820762}">
      <text>
        <r>
          <rPr>
            <sz val="10"/>
            <color indexed="81"/>
            <rFont val="Lucida Console"/>
            <family val="3"/>
          </rPr>
          <t>_x000D_
MAQ. E EQUIP. P/ IND. GRAFICA COMP. ACESS. E PAPEI</t>
        </r>
      </text>
    </comment>
    <comment ref="Y264" authorId="0" shapeId="0" xr:uid="{400E035A-A12A-4B2D-9926-2F2351403BCB}">
      <text>
        <r>
          <rPr>
            <sz val="10"/>
            <color indexed="81"/>
            <rFont val="Lucida Console"/>
            <family val="3"/>
          </rPr>
          <t>_x000D_
CARTOES E CARTOLINA</t>
        </r>
      </text>
    </comment>
    <comment ref="AW264" authorId="0" shapeId="0" xr:uid="{63D7D516-2F03-474E-9F01-D89CE9E137C3}">
      <text>
        <r>
          <rPr>
            <sz val="10"/>
            <color indexed="81"/>
            <rFont val="Lucida Console"/>
            <family val="3"/>
          </rPr>
          <t>Tempo de Estoque (Meses)_x000D_
_x000D_
57.846,0</t>
        </r>
      </text>
    </comment>
    <comment ref="A265" authorId="0" shapeId="0" xr:uid="{72FBFD7E-C89A-4A9E-9B4D-B81DCA062438}">
      <text>
        <r>
          <rPr>
            <sz val="10"/>
            <color indexed="81"/>
            <rFont val="Lucida Console"/>
            <family val="3"/>
          </rPr>
          <t>_x000D_
23687</t>
        </r>
      </text>
    </comment>
    <comment ref="B265" authorId="0" shapeId="0" xr:uid="{2A3F96B0-9319-4842-9697-92A50FD58599}">
      <text>
        <r>
          <rPr>
            <sz val="10"/>
            <color indexed="81"/>
            <rFont val="Lucida Console"/>
            <family val="3"/>
          </rPr>
          <t>DESCRIÇÃO DETALHADA_x000D_
CARTOLINA - AZUL CLARO - 50 X 66 CM - 180 G/M2</t>
        </r>
      </text>
    </comment>
    <comment ref="G265" authorId="0" shapeId="0" xr:uid="{D47AC83B-BEF7-4823-B96B-E2A1BF4A41E2}">
      <text>
        <r>
          <rPr>
            <sz val="10"/>
            <color indexed="81"/>
            <rFont val="Lucida Console"/>
            <family val="3"/>
          </rPr>
          <t>_x000D_
Últ estimativa : 25.000_x000D_
Enviada em     : 19.12.2019_x000D_
Ata - Venc     : 143/21 - 20.05.2022</t>
        </r>
      </text>
    </comment>
    <comment ref="O265" authorId="0" shapeId="0" xr:uid="{EB758349-C546-41AA-BC1E-EFBC1D75C551}">
      <text>
        <r>
          <rPr>
            <sz val="10"/>
            <color indexed="81"/>
            <rFont val="Lucida Console"/>
            <family val="3"/>
          </rPr>
          <t>_x000D_
Pertencia a ATA nº 143/21_x000D_
Estimativa de Renovação enviada em 19.12.2019 - Qtd 25.000_x000D_
PE  61/21 lote _x000D_
30.04.21 = Finalizado. Ata 143/20</t>
        </r>
      </text>
    </comment>
    <comment ref="W265" authorId="0" shapeId="0" xr:uid="{5043DF4B-07C1-498D-98DC-81734BD897F7}">
      <text>
        <r>
          <rPr>
            <sz val="10"/>
            <color indexed="81"/>
            <rFont val="Lucida Console"/>
            <family val="3"/>
          </rPr>
          <t>_x000D_
Pedagógico</t>
        </r>
      </text>
    </comment>
    <comment ref="X265" authorId="0" shapeId="0" xr:uid="{CF77BDB1-0039-4813-AFEF-8C1696E5FC59}">
      <text>
        <r>
          <rPr>
            <sz val="10"/>
            <color indexed="81"/>
            <rFont val="Lucida Console"/>
            <family val="3"/>
          </rPr>
          <t>_x000D_
MAQ. E EQUIP. P/ IND. GRAFICA COMP. ACESS. E PAPEI</t>
        </r>
      </text>
    </comment>
    <comment ref="Y265" authorId="0" shapeId="0" xr:uid="{7DD54437-2B79-4E35-A706-39023DF0CD13}">
      <text>
        <r>
          <rPr>
            <sz val="10"/>
            <color indexed="81"/>
            <rFont val="Lucida Console"/>
            <family val="3"/>
          </rPr>
          <t>_x000D_
CARTOES E CARTOLINA</t>
        </r>
      </text>
    </comment>
    <comment ref="AW265" authorId="0" shapeId="0" xr:uid="{2DFEDF3B-65C0-4D43-A28B-668A6BC02CE5}">
      <text>
        <r>
          <rPr>
            <sz val="10"/>
            <color indexed="81"/>
            <rFont val="Lucida Console"/>
            <family val="3"/>
          </rPr>
          <t>Tempo de Estoque (Meses)_x000D_
_x000D_
11.853,0</t>
        </r>
      </text>
    </comment>
    <comment ref="A266" authorId="0" shapeId="0" xr:uid="{38FAA283-8BFC-4FFD-9707-87B758E67267}">
      <text>
        <r>
          <rPr>
            <sz val="10"/>
            <color indexed="81"/>
            <rFont val="Lucida Console"/>
            <family val="3"/>
          </rPr>
          <t>_x000D_
23692</t>
        </r>
      </text>
    </comment>
    <comment ref="B266" authorId="0" shapeId="0" xr:uid="{C205EA90-9BEC-487A-AD7B-4B9A4DB5FCDF}">
      <text>
        <r>
          <rPr>
            <sz val="10"/>
            <color indexed="81"/>
            <rFont val="Lucida Console"/>
            <family val="3"/>
          </rPr>
          <t>DESCRIÇÃO DETALHADA_x000D_
CARTOLINA - ROSA - 50 X 66 CM - 180 G/M2</t>
        </r>
      </text>
    </comment>
    <comment ref="G266" authorId="0" shapeId="0" xr:uid="{D0AE864B-905E-4CAF-B52D-3C4FE0F40153}">
      <text>
        <r>
          <rPr>
            <sz val="10"/>
            <color indexed="81"/>
            <rFont val="Lucida Console"/>
            <family val="3"/>
          </rPr>
          <t>_x000D_
Últ estimativa : 25.000_x000D_
Enviada em     : 19.12.2019_x000D_
Ata - Venc     : 143/21 - 20.05.2022</t>
        </r>
      </text>
    </comment>
    <comment ref="O266" authorId="0" shapeId="0" xr:uid="{8E07E364-5362-40ED-B614-53C79D154D17}">
      <text>
        <r>
          <rPr>
            <sz val="10"/>
            <color indexed="81"/>
            <rFont val="Lucida Console"/>
            <family val="3"/>
          </rPr>
          <t>_x000D_
Pertencia a ATA nº 143/21_x000D_
Estimativa de Renovação enviada em 19.12.2019 - Qtd 25.000_x000D_
PE  61/21 lote _x000D_
30.04.21 = Finalizado. Ata 143/20</t>
        </r>
      </text>
    </comment>
    <comment ref="W266" authorId="0" shapeId="0" xr:uid="{6732C821-FA47-4074-9BA3-6924E9A885A3}">
      <text>
        <r>
          <rPr>
            <sz val="10"/>
            <color indexed="81"/>
            <rFont val="Lucida Console"/>
            <family val="3"/>
          </rPr>
          <t>_x000D_
Pedagógico</t>
        </r>
      </text>
    </comment>
    <comment ref="X266" authorId="0" shapeId="0" xr:uid="{C11E7230-10CE-40C3-9BD4-3C5D94B06023}">
      <text>
        <r>
          <rPr>
            <sz val="10"/>
            <color indexed="81"/>
            <rFont val="Lucida Console"/>
            <family val="3"/>
          </rPr>
          <t>_x000D_
MAQ. E EQUIP. P/ IND. GRAFICA COMP. ACESS. E PAPEI</t>
        </r>
      </text>
    </comment>
    <comment ref="Y266" authorId="0" shapeId="0" xr:uid="{FD4D0B50-E218-4D5C-AA7D-7CA8EA4A9A66}">
      <text>
        <r>
          <rPr>
            <sz val="10"/>
            <color indexed="81"/>
            <rFont val="Lucida Console"/>
            <family val="3"/>
          </rPr>
          <t>_x000D_
CARTOES E CARTOLINA</t>
        </r>
      </text>
    </comment>
    <comment ref="AW266" authorId="0" shapeId="0" xr:uid="{C17E5BED-C178-46B2-8519-38282FF30B0D}">
      <text>
        <r>
          <rPr>
            <sz val="10"/>
            <color indexed="81"/>
            <rFont val="Lucida Console"/>
            <family val="3"/>
          </rPr>
          <t>Tempo de Estoque (Meses)_x000D_
_x000D_
14.223,0</t>
        </r>
      </text>
    </comment>
    <comment ref="A267" authorId="0" shapeId="0" xr:uid="{1553F3A1-1768-405F-89DC-D45BB3EF452C}">
      <text>
        <r>
          <rPr>
            <sz val="10"/>
            <color indexed="81"/>
            <rFont val="Lucida Console"/>
            <family val="3"/>
          </rPr>
          <t>_x000D_
47447</t>
        </r>
      </text>
    </comment>
    <comment ref="B267" authorId="0" shapeId="0" xr:uid="{D239117B-8B68-433C-A3E8-411EB2F6E55E}">
      <text>
        <r>
          <rPr>
            <sz val="10"/>
            <color indexed="81"/>
            <rFont val="Lucida Console"/>
            <family val="3"/>
          </rPr>
          <t>DESCRIÇÃO DETALHADA_x000D_
CARTOLINA - VERDE CLARO - 50 X 66 CM - GRAMATURA 180G/M2</t>
        </r>
      </text>
    </comment>
    <comment ref="G267" authorId="0" shapeId="0" xr:uid="{7069D152-F5BD-4FCE-B63C-09E00B0BE899}">
      <text>
        <r>
          <rPr>
            <sz val="10"/>
            <color indexed="81"/>
            <rFont val="Lucida Console"/>
            <family val="3"/>
          </rPr>
          <t>_x000D_
Últ estimativa : 25.000_x000D_
Enviada em     : 19.12.2019_x000D_
Ata - Venc     : 143/21 - 20.05.2022</t>
        </r>
      </text>
    </comment>
    <comment ref="O267" authorId="0" shapeId="0" xr:uid="{584D85C8-049C-43C5-82AE-743A7670BBBA}">
      <text>
        <r>
          <rPr>
            <sz val="10"/>
            <color indexed="81"/>
            <rFont val="Lucida Console"/>
            <family val="3"/>
          </rPr>
          <t>_x000D_
Pertencia a ATA nº 143/21_x000D_
Estimativa de Renovação enviada em 19.12.2019 - Qtd 25.000_x000D_
PE  61/21 lote _x000D_
30.04.21 = Finalizado. Ata 143/20</t>
        </r>
      </text>
    </comment>
    <comment ref="W267" authorId="0" shapeId="0" xr:uid="{504B06DC-93C5-4E98-BE53-2543DB48A462}">
      <text>
        <r>
          <rPr>
            <sz val="10"/>
            <color indexed="81"/>
            <rFont val="Lucida Console"/>
            <family val="3"/>
          </rPr>
          <t>_x000D_
Pedagógico</t>
        </r>
      </text>
    </comment>
    <comment ref="X267" authorId="0" shapeId="0" xr:uid="{4561FEFE-147A-4EE9-83CB-859F7B0B915C}">
      <text>
        <r>
          <rPr>
            <sz val="10"/>
            <color indexed="81"/>
            <rFont val="Lucida Console"/>
            <family val="3"/>
          </rPr>
          <t>_x000D_
MAQ. E EQUIP. P/ IND. GRAFICA COMP. ACESS. E PAPEI</t>
        </r>
      </text>
    </comment>
    <comment ref="Y267" authorId="0" shapeId="0" xr:uid="{203B07D6-98A2-4589-91AC-AEE3A59472E3}">
      <text>
        <r>
          <rPr>
            <sz val="10"/>
            <color indexed="81"/>
            <rFont val="Lucida Console"/>
            <family val="3"/>
          </rPr>
          <t>_x000D_
CARTOES E CARTOLINA</t>
        </r>
      </text>
    </comment>
    <comment ref="AW267" authorId="0" shapeId="0" xr:uid="{67C2B6A8-2E6F-42BE-99D5-3599C84E9761}">
      <text>
        <r>
          <rPr>
            <sz val="10"/>
            <color indexed="81"/>
            <rFont val="Lucida Console"/>
            <family val="3"/>
          </rPr>
          <t>Tempo de Estoque (Meses)_x000D_
_x000D_
15.291,0</t>
        </r>
      </text>
    </comment>
    <comment ref="A268" authorId="0" shapeId="0" xr:uid="{270C3C30-F100-4F3C-9362-581F202D79BF}">
      <text>
        <r>
          <rPr>
            <sz val="10"/>
            <color indexed="81"/>
            <rFont val="Lucida Console"/>
            <family val="3"/>
          </rPr>
          <t>_x000D_
70379</t>
        </r>
      </text>
    </comment>
    <comment ref="B268" authorId="0" shapeId="0" xr:uid="{168FF3EA-5DE7-4C62-9306-80BCB3D3456E}">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68" authorId="0" shapeId="0" xr:uid="{65D2048E-61BE-43A0-9A00-FBB389C21340}">
      <text>
        <r>
          <rPr>
            <sz val="10"/>
            <color indexed="81"/>
            <rFont val="Lucida Console"/>
            <family val="3"/>
          </rPr>
          <t>_x000D_
Últ estimativa : 1.500_x000D_
Enviada em     : 19.12.2019_x000D_
Ata - Venc     : 143/21 - 20.05.2022</t>
        </r>
      </text>
    </comment>
    <comment ref="O268" authorId="0" shapeId="0" xr:uid="{FA5A8A3C-C536-4C35-8E42-8D26F13F1A9B}">
      <text>
        <r>
          <rPr>
            <sz val="10"/>
            <color indexed="81"/>
            <rFont val="Lucida Console"/>
            <family val="3"/>
          </rPr>
          <t>_x000D_
Pertencia a ATA nº 143/21_x000D_
Estimativa de Renovação enviada em 19.12.2019 - Qtd 1.500_x000D_
PE  61/21 lote _x000D_
30.04.21 = Finalizado. Ata 143/20</t>
        </r>
      </text>
    </comment>
    <comment ref="W268" authorId="0" shapeId="0" xr:uid="{12372DF6-C848-4F08-AFF8-F881F5660A90}">
      <text>
        <r>
          <rPr>
            <sz val="10"/>
            <color indexed="81"/>
            <rFont val="Lucida Console"/>
            <family val="3"/>
          </rPr>
          <t>_x000D_
Pedagógico</t>
        </r>
      </text>
    </comment>
    <comment ref="X268" authorId="0" shapeId="0" xr:uid="{2DB09426-A909-4C5F-9DF5-5FBE930480DC}">
      <text>
        <r>
          <rPr>
            <sz val="10"/>
            <color indexed="81"/>
            <rFont val="Lucida Console"/>
            <family val="3"/>
          </rPr>
          <t>_x000D_
MAQ. E EQUIP. P/ IND. GRAFICA COMP. ACESS. E PAPEI</t>
        </r>
      </text>
    </comment>
    <comment ref="Y268" authorId="0" shapeId="0" xr:uid="{A15B867D-4DBB-4A8E-A07E-6FE9B074F536}">
      <text>
        <r>
          <rPr>
            <sz val="10"/>
            <color indexed="81"/>
            <rFont val="Lucida Console"/>
            <family val="3"/>
          </rPr>
          <t>_x000D_
PAPEIS PARA ESCRITORIO</t>
        </r>
      </text>
    </comment>
    <comment ref="AW268" authorId="0" shapeId="0" xr:uid="{24E7CE85-F80E-4EB6-A19A-94BC150B65C3}">
      <text>
        <r>
          <rPr>
            <sz val="10"/>
            <color indexed="81"/>
            <rFont val="Lucida Console"/>
            <family val="3"/>
          </rPr>
          <t>Tempo de Estoque (Meses)_x000D_
_x000D_
2.414,0</t>
        </r>
      </text>
    </comment>
    <comment ref="A269" authorId="0" shapeId="0" xr:uid="{C1E2E78A-0116-4E69-B0E3-07B0105EC1CB}">
      <text>
        <r>
          <rPr>
            <sz val="10"/>
            <color indexed="81"/>
            <rFont val="Lucida Console"/>
            <family val="3"/>
          </rPr>
          <t>_x000D_
92907</t>
        </r>
      </text>
    </comment>
    <comment ref="B269" authorId="0" shapeId="0" xr:uid="{848EBB52-FA44-4606-96A3-65CBCFA7ECF5}">
      <text>
        <r>
          <rPr>
            <sz val="10"/>
            <color indexed="81"/>
            <rFont val="Lucida Console"/>
            <family val="3"/>
          </rPr>
          <t>DESCRIÇÃO DETALHADA_x000D_
PAPEL SULFITE A4, 210 X 297, 75G, NA COR ROSA - PACOTE COM 500 FOLHAS</t>
        </r>
      </text>
    </comment>
    <comment ref="G269" authorId="0" shapeId="0" xr:uid="{41DF6906-99FE-40A9-A134-0E46ACFED79E}">
      <text>
        <r>
          <rPr>
            <sz val="10"/>
            <color indexed="81"/>
            <rFont val="Lucida Console"/>
            <family val="3"/>
          </rPr>
          <t>_x000D_
Últ estimativa : 3.000_x000D_
Enviada em     : 19.12.2019_x000D_
Ata - Venc     : 143/21 - 20.05.2022</t>
        </r>
      </text>
    </comment>
    <comment ref="O269" authorId="0" shapeId="0" xr:uid="{8BAAF43A-DD0F-48FF-A1AD-204292EA3F3B}">
      <text>
        <r>
          <rPr>
            <sz val="10"/>
            <color indexed="81"/>
            <rFont val="Lucida Console"/>
            <family val="3"/>
          </rPr>
          <t>_x000D_
Pertencia a ATA nº 143/21_x000D_
Estimativa de Renovação enviada em 19.12.2019 - Qtd 3.000_x000D_
PE  61/21 lote _x000D_
30.04.21 = Finalizado. Ata 143/20</t>
        </r>
      </text>
    </comment>
    <comment ref="W269" authorId="0" shapeId="0" xr:uid="{49F41276-8910-4A45-BC9E-597085462453}">
      <text>
        <r>
          <rPr>
            <sz val="10"/>
            <color indexed="81"/>
            <rFont val="Lucida Console"/>
            <family val="3"/>
          </rPr>
          <t>_x000D_
Pedagógico</t>
        </r>
      </text>
    </comment>
    <comment ref="X269" authorId="0" shapeId="0" xr:uid="{B92F64E4-CD0A-49F3-BD9F-D000FA15C7E6}">
      <text>
        <r>
          <rPr>
            <sz val="10"/>
            <color indexed="81"/>
            <rFont val="Lucida Console"/>
            <family val="3"/>
          </rPr>
          <t>_x000D_
MAQ. E EQUIP. P/ IND. GRAFICA COMP. ACESS. E PAPEI</t>
        </r>
      </text>
    </comment>
    <comment ref="Y269" authorId="0" shapeId="0" xr:uid="{5D0BA383-EB62-49B9-844A-C6FCBDFF92DE}">
      <text>
        <r>
          <rPr>
            <sz val="10"/>
            <color indexed="81"/>
            <rFont val="Lucida Console"/>
            <family val="3"/>
          </rPr>
          <t>_x000D_
PAPEIS PARA ESCRITORIO</t>
        </r>
      </text>
    </comment>
    <comment ref="AW269" authorId="0" shapeId="0" xr:uid="{3773FB5D-BAFA-4D08-81DD-35E1DF68D9CC}">
      <text>
        <r>
          <rPr>
            <sz val="10"/>
            <color indexed="81"/>
            <rFont val="Lucida Console"/>
            <family val="3"/>
          </rPr>
          <t>Tempo de Estoque (Meses)_x000D_
_x000D_
2.972,0</t>
        </r>
      </text>
    </comment>
    <comment ref="A270" authorId="0" shapeId="0" xr:uid="{FE6623DE-FED5-49A1-B6C5-F772A0FC7B9B}">
      <text>
        <r>
          <rPr>
            <sz val="10"/>
            <color indexed="81"/>
            <rFont val="Lucida Console"/>
            <family val="3"/>
          </rPr>
          <t>_x000D_
92908</t>
        </r>
      </text>
    </comment>
    <comment ref="B270" authorId="0" shapeId="0" xr:uid="{E6E174CF-D2A4-4267-8CAB-BE63EF68309A}">
      <text>
        <r>
          <rPr>
            <sz val="10"/>
            <color indexed="81"/>
            <rFont val="Lucida Console"/>
            <family val="3"/>
          </rPr>
          <t>DESCRIÇÃO DETALHADA_x000D_
PAPEL SULFITE A4, 210 X 297, 75G, NA COR AZUL - PACOTE COM 500 FOLHAS</t>
        </r>
      </text>
    </comment>
    <comment ref="G270" authorId="0" shapeId="0" xr:uid="{6ED3DC2F-78D4-4398-9800-8F0E2487E895}">
      <text>
        <r>
          <rPr>
            <sz val="10"/>
            <color indexed="81"/>
            <rFont val="Lucida Console"/>
            <family val="3"/>
          </rPr>
          <t>_x000D_
Últ estimativa : 3.000_x000D_
Enviada em     : 19.12.2019_x000D_
Ata - Venc     : 143/21 - 20.05.2022</t>
        </r>
      </text>
    </comment>
    <comment ref="O270" authorId="0" shapeId="0" xr:uid="{42194E80-1907-4574-AD96-7BE12EB96191}">
      <text>
        <r>
          <rPr>
            <sz val="10"/>
            <color indexed="81"/>
            <rFont val="Lucida Console"/>
            <family val="3"/>
          </rPr>
          <t>_x000D_
Pertencia a ATA nº 143/21_x000D_
Estimativa de Renovação enviada em 19.12.2019 - Qtd 3.000_x000D_
PE  61/21 lote _x000D_
30.04.21 = Finalizado. Ata 143/20</t>
        </r>
      </text>
    </comment>
    <comment ref="W270" authorId="0" shapeId="0" xr:uid="{FFF5F703-9451-4F28-A59B-C8255E97B633}">
      <text>
        <r>
          <rPr>
            <sz val="10"/>
            <color indexed="81"/>
            <rFont val="Lucida Console"/>
            <family val="3"/>
          </rPr>
          <t>_x000D_
Pedagógico</t>
        </r>
      </text>
    </comment>
    <comment ref="X270" authorId="0" shapeId="0" xr:uid="{55C725A8-1639-4766-8E3A-1CDC4A742954}">
      <text>
        <r>
          <rPr>
            <sz val="10"/>
            <color indexed="81"/>
            <rFont val="Lucida Console"/>
            <family val="3"/>
          </rPr>
          <t>_x000D_
MAQ. E EQUIP. P/ IND. GRAFICA COMP. ACESS. E PAPEI</t>
        </r>
      </text>
    </comment>
    <comment ref="Y270" authorId="0" shapeId="0" xr:uid="{D4A59460-9094-4684-8906-B1ED737C678D}">
      <text>
        <r>
          <rPr>
            <sz val="10"/>
            <color indexed="81"/>
            <rFont val="Lucida Console"/>
            <family val="3"/>
          </rPr>
          <t>_x000D_
PAPEIS PARA ESCRITORIO</t>
        </r>
      </text>
    </comment>
    <comment ref="AW270" authorId="0" shapeId="0" xr:uid="{F8D7BB05-F949-4FAE-9DAD-65F12A89A120}">
      <text>
        <r>
          <rPr>
            <sz val="10"/>
            <color indexed="81"/>
            <rFont val="Lucida Console"/>
            <family val="3"/>
          </rPr>
          <t>Tempo de Estoque (Meses)_x000D_
_x000D_
2.478,0</t>
        </r>
      </text>
    </comment>
    <comment ref="A271" authorId="0" shapeId="0" xr:uid="{ABDB4FFF-C06F-4140-8C53-33552B1CBF76}">
      <text>
        <r>
          <rPr>
            <sz val="10"/>
            <color indexed="81"/>
            <rFont val="Lucida Console"/>
            <family val="3"/>
          </rPr>
          <t>_x000D_
130624</t>
        </r>
      </text>
    </comment>
    <comment ref="B271" authorId="0" shapeId="0" xr:uid="{5D6A3248-F856-4574-BB6A-4D5F51A709FB}">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71" authorId="0" shapeId="0" xr:uid="{0E8329E0-D778-49A0-BE2B-1470CD25957F}">
      <text>
        <r>
          <rPr>
            <sz val="10"/>
            <color indexed="81"/>
            <rFont val="Lucida Console"/>
            <family val="3"/>
          </rPr>
          <t>_x000D_
Últ estimativa : 32.000_x000D_
Enviada em     : 19.12.2019_x000D_
Ata - Venc     : 143/21 - 20.05.2022</t>
        </r>
      </text>
    </comment>
    <comment ref="O271" authorId="0" shapeId="0" xr:uid="{4123AC92-7B94-44B3-99B0-50DD1F44C1DD}">
      <text>
        <r>
          <rPr>
            <sz val="10"/>
            <color indexed="81"/>
            <rFont val="Lucida Console"/>
            <family val="3"/>
          </rPr>
          <t>_x000D_
Pertencia a ATA nº 143/21_x000D_
Estimativa de Renovação enviada em 19.12.2019 - Qtd 32.000_x000D_
PE  61/21 lote _x000D_
30.04.21 = Finalizado. Ata 143/20</t>
        </r>
      </text>
    </comment>
    <comment ref="W271" authorId="0" shapeId="0" xr:uid="{82C5F637-9367-48A7-8A6F-F98FBBCF7A8D}">
      <text>
        <r>
          <rPr>
            <sz val="10"/>
            <color indexed="81"/>
            <rFont val="Lucida Console"/>
            <family val="3"/>
          </rPr>
          <t>_x000D_
Pedagógico</t>
        </r>
      </text>
    </comment>
    <comment ref="X271" authorId="0" shapeId="0" xr:uid="{7A15B259-47FD-4084-8644-07F84384C0D1}">
      <text>
        <r>
          <rPr>
            <sz val="10"/>
            <color indexed="81"/>
            <rFont val="Lucida Console"/>
            <family val="3"/>
          </rPr>
          <t>_x000D_
MAQ. E EQUIP. P/ IND. GRAFICA COMP. ACESS. E PAPEI</t>
        </r>
      </text>
    </comment>
    <comment ref="Y271" authorId="0" shapeId="0" xr:uid="{181B63FE-9CBB-4AA0-AB97-C95157AC92FA}">
      <text>
        <r>
          <rPr>
            <sz val="10"/>
            <color indexed="81"/>
            <rFont val="Lucida Console"/>
            <family val="3"/>
          </rPr>
          <t>_x000D_
PAPEIS PARA ESCRITORIO</t>
        </r>
      </text>
    </comment>
    <comment ref="AW271" authorId="0" shapeId="0" xr:uid="{FE23A1D5-45AB-42F7-9D2B-CAD45116B177}">
      <text>
        <r>
          <rPr>
            <sz val="10"/>
            <color indexed="81"/>
            <rFont val="Lucida Console"/>
            <family val="3"/>
          </rPr>
          <t>Tempo de Estoque (Meses)_x000D_
_x000D_
10.912,0</t>
        </r>
      </text>
    </comment>
    <comment ref="A272" authorId="0" shapeId="0" xr:uid="{FAF6F501-F124-49D4-B37C-AEE0CE682DCE}">
      <text>
        <r>
          <rPr>
            <sz val="10"/>
            <color indexed="81"/>
            <rFont val="Lucida Console"/>
            <family val="3"/>
          </rPr>
          <t>_x000D_
132303</t>
        </r>
      </text>
    </comment>
    <comment ref="B272" authorId="0" shapeId="0" xr:uid="{768CC110-B5B1-49BB-8838-A5E75EE83550}">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72" authorId="0" shapeId="0" xr:uid="{50D5AA9A-BE28-4D1E-A51B-E74AFF1E6328}">
      <text>
        <r>
          <rPr>
            <sz val="10"/>
            <color indexed="81"/>
            <rFont val="Lucida Console"/>
            <family val="3"/>
          </rPr>
          <t>_x000D_
Últ estimativa : 25.000_x000D_
Enviada em     : 19.12.2019_x000D_
Ata - Venc     : 143/21 - 20.05.2022</t>
        </r>
      </text>
    </comment>
    <comment ref="O272" authorId="0" shapeId="0" xr:uid="{6C1764C4-025B-493C-B02E-58BC6D93DAF4}">
      <text>
        <r>
          <rPr>
            <sz val="10"/>
            <color indexed="81"/>
            <rFont val="Lucida Console"/>
            <family val="3"/>
          </rPr>
          <t>_x000D_
Pertencia a ATA nº 143/21_x000D_
Estimativa de Renovação enviada em 19.12.2019 - Qtd 25.000_x000D_
PE  61/21 lote _x000D_
30.04.21 = Finalizado. Ata 143/20</t>
        </r>
      </text>
    </comment>
    <comment ref="W272" authorId="0" shapeId="0" xr:uid="{2D617DCC-85C9-4EF6-8A22-99AB623534F5}">
      <text>
        <r>
          <rPr>
            <sz val="10"/>
            <color indexed="81"/>
            <rFont val="Lucida Console"/>
            <family val="3"/>
          </rPr>
          <t>_x000D_
Pedagógico</t>
        </r>
      </text>
    </comment>
    <comment ref="X272" authorId="0" shapeId="0" xr:uid="{F6EEE707-92BD-4159-878D-CCFA1A240571}">
      <text>
        <r>
          <rPr>
            <sz val="10"/>
            <color indexed="81"/>
            <rFont val="Lucida Console"/>
            <family val="3"/>
          </rPr>
          <t>_x000D_
MAQ. E EQUIP. P/ IND. GRAFICA COMP. ACESS. E PAPEI</t>
        </r>
      </text>
    </comment>
    <comment ref="Y272" authorId="0" shapeId="0" xr:uid="{095F17E6-78D0-47D6-B994-F43CC7A636B9}">
      <text>
        <r>
          <rPr>
            <sz val="10"/>
            <color indexed="81"/>
            <rFont val="Lucida Console"/>
            <family val="3"/>
          </rPr>
          <t>_x000D_
PAPEIS PARA ESCRITORIO</t>
        </r>
      </text>
    </comment>
    <comment ref="AW272" authorId="0" shapeId="0" xr:uid="{6C8D2922-3FD5-43C5-A822-01AC20F8F2F5}">
      <text>
        <r>
          <rPr>
            <sz val="10"/>
            <color indexed="81"/>
            <rFont val="Lucida Console"/>
            <family val="3"/>
          </rPr>
          <t>Tempo de Estoque (Meses)_x000D_
_x000D_
11.014,0</t>
        </r>
      </text>
    </comment>
    <comment ref="A273" authorId="0" shapeId="0" xr:uid="{C154014C-1E32-4C05-BF32-8D6B57FE3C68}">
      <text>
        <r>
          <rPr>
            <sz val="10"/>
            <color indexed="81"/>
            <rFont val="Lucida Console"/>
            <family val="3"/>
          </rPr>
          <t>_x000D_
10302</t>
        </r>
      </text>
    </comment>
    <comment ref="B273" authorId="0" shapeId="0" xr:uid="{6F7BD0C6-46D4-4FA9-AEBD-43FE7D058206}">
      <text>
        <r>
          <rPr>
            <sz val="10"/>
            <color indexed="81"/>
            <rFont val="Lucida Console"/>
            <family val="3"/>
          </rPr>
          <t>DESCRIÇÃO DETALHADA_x000D_
PAPEL P/ REPROGRAFIA 210 X 297 MM - AMARELO GR 75GR</t>
        </r>
      </text>
    </comment>
    <comment ref="G273" authorId="0" shapeId="0" xr:uid="{10877A19-8E45-442E-9990-E18AB8C5622A}">
      <text>
        <r>
          <rPr>
            <sz val="10"/>
            <color indexed="81"/>
            <rFont val="Lucida Console"/>
            <family val="3"/>
          </rPr>
          <t>_x000D_
Últ estimativa : 3.000_x000D_
Enviada em     : 19.12.2019_x000D_
Ata - Venc     : 143/21 - 20.05.2022</t>
        </r>
      </text>
    </comment>
    <comment ref="O273" authorId="0" shapeId="0" xr:uid="{FE2973A8-468E-4881-A26E-FB4BEF5A1977}">
      <text>
        <r>
          <rPr>
            <sz val="10"/>
            <color indexed="81"/>
            <rFont val="Lucida Console"/>
            <family val="3"/>
          </rPr>
          <t>_x000D_
Pertencia a ATA nº 143/21_x000D_
Estimativa de Renovação enviada em 19.12.2019 - Qtd 3.000_x000D_
PE  61/21 lote _x000D_
30.04.21 = Finalizado. Ata 143/20</t>
        </r>
      </text>
    </comment>
    <comment ref="W273" authorId="0" shapeId="0" xr:uid="{68AFDA40-7A84-4913-90B1-B1FFC564B4A9}">
      <text>
        <r>
          <rPr>
            <sz val="10"/>
            <color indexed="81"/>
            <rFont val="Lucida Console"/>
            <family val="3"/>
          </rPr>
          <t>_x000D_
Pedagógico</t>
        </r>
      </text>
    </comment>
    <comment ref="X273" authorId="0" shapeId="0" xr:uid="{3FF460AC-F637-4B92-BEFC-451D41838650}">
      <text>
        <r>
          <rPr>
            <sz val="10"/>
            <color indexed="81"/>
            <rFont val="Lucida Console"/>
            <family val="3"/>
          </rPr>
          <t>_x000D_
MAQ. E EQUIP. P/ IND. GRAFICA COMP. ACESS. E PAPEI</t>
        </r>
      </text>
    </comment>
    <comment ref="Y273" authorId="0" shapeId="0" xr:uid="{3EB2D716-F197-4930-855D-BFF11D1A9282}">
      <text>
        <r>
          <rPr>
            <sz val="10"/>
            <color indexed="81"/>
            <rFont val="Lucida Console"/>
            <family val="3"/>
          </rPr>
          <t>_x000D_
PAPEIS PARA COPIADORAS EM GERAL</t>
        </r>
      </text>
    </comment>
    <comment ref="AW273" authorId="0" shapeId="0" xr:uid="{BE9011D4-8BCE-42D1-8E9A-3E44DA78AFC7}">
      <text>
        <r>
          <rPr>
            <sz val="10"/>
            <color indexed="81"/>
            <rFont val="Lucida Console"/>
            <family val="3"/>
          </rPr>
          <t>Tempo de Estoque (Meses)_x000D_
_x000D_
8.202,0</t>
        </r>
      </text>
    </comment>
    <comment ref="A274" authorId="0" shapeId="0" xr:uid="{0FD45311-C647-4AD0-9A8F-1150D362452A}">
      <text>
        <r>
          <rPr>
            <sz val="10"/>
            <color indexed="81"/>
            <rFont val="Lucida Console"/>
            <family val="3"/>
          </rPr>
          <t>_x000D_
83838</t>
        </r>
      </text>
    </comment>
    <comment ref="B274" authorId="0" shapeId="0" xr:uid="{D2499E66-79CB-4A69-94D4-2CF3103891B4}">
      <text>
        <r>
          <rPr>
            <sz val="10"/>
            <color indexed="81"/>
            <rFont val="Lucida Console"/>
            <family val="3"/>
          </rPr>
          <t>DESCRIÇÃO DETALHADA_x000D_
LUVA DE LATEX NATURAL, PARA PROCEDIMENTO, FORMATO ANATOMICO, AMBIDESTRA, TAMANHO M - CAIXA COM 100 UNIDADES</t>
        </r>
      </text>
    </comment>
    <comment ref="G274" authorId="0" shapeId="0" xr:uid="{3AD5EF00-DF46-4468-AE60-3DB2AF6C6319}">
      <text>
        <r>
          <rPr>
            <sz val="10"/>
            <color indexed="81"/>
            <rFont val="Lucida Console"/>
            <family val="3"/>
          </rPr>
          <t>_x000D_
Últ estimativa : 32.000_x000D_
Enviada em     : 19.05.2020_x000D_
Ata - Venc     : 145/19 - 10.06.2020</t>
        </r>
      </text>
    </comment>
    <comment ref="O274" authorId="0" shapeId="0" xr:uid="{271CA9A7-6B4C-48CA-B13A-1065D4AA555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74" authorId="0" shapeId="0" xr:uid="{68AF3D5C-5AAF-4A96-9931-330D55336C3D}">
      <text>
        <r>
          <rPr>
            <sz val="10"/>
            <color indexed="81"/>
            <rFont val="Lucida Console"/>
            <family val="3"/>
          </rPr>
          <t>_x000D_
SegMedTra</t>
        </r>
      </text>
    </comment>
    <comment ref="X274" authorId="0" shapeId="0" xr:uid="{53CC2B3A-0CE0-4C7F-88CB-EB5008666E97}">
      <text>
        <r>
          <rPr>
            <sz val="10"/>
            <color indexed="81"/>
            <rFont val="Lucida Console"/>
            <family val="3"/>
          </rPr>
          <t>_x000D_
EQUIP PROT IND, INST MAT P/ SINAL, CONTR, COMB ...</t>
        </r>
      </text>
    </comment>
    <comment ref="Y274" authorId="0" shapeId="0" xr:uid="{0E9CDE66-F55D-4061-8A5D-67BB5BDA8878}">
      <text>
        <r>
          <rPr>
            <sz val="10"/>
            <color indexed="81"/>
            <rFont val="Lucida Console"/>
            <family val="3"/>
          </rPr>
          <t>_x000D_
CALCADOS, LUVAS, OCULOS, MASCARAS, CAPACETES, CASSETETE</t>
        </r>
      </text>
    </comment>
    <comment ref="AW274" authorId="0" shapeId="0" xr:uid="{14722825-B1A1-473C-BCCE-D5FFCBDDACBD}">
      <text>
        <r>
          <rPr>
            <sz val="10"/>
            <color indexed="81"/>
            <rFont val="Lucida Console"/>
            <family val="3"/>
          </rPr>
          <t>Tempo de Estoque (Meses)_x000D_
_x000D_
9.020,0</t>
        </r>
      </text>
    </comment>
    <comment ref="A275" authorId="0" shapeId="0" xr:uid="{30B4E31F-2477-42B6-83BE-4DBE54872187}">
      <text>
        <r>
          <rPr>
            <sz val="10"/>
            <color indexed="81"/>
            <rFont val="Lucida Console"/>
            <family val="3"/>
          </rPr>
          <t>_x000D_
42566</t>
        </r>
      </text>
    </comment>
    <comment ref="B275" authorId="0" shapeId="0" xr:uid="{E191F875-8FDF-4C13-8CF6-3375E6E62A23}">
      <text>
        <r>
          <rPr>
            <sz val="10"/>
            <color indexed="81"/>
            <rFont val="Lucida Console"/>
            <family val="3"/>
          </rPr>
          <t>DESCRIÇÃO DETALHADA_x000D_
FOLHA DE PORTA - EM IMBUIA - 0,92 X 2,10 M</t>
        </r>
      </text>
    </comment>
    <comment ref="G275" authorId="0" shapeId="0" xr:uid="{EEA3618C-80A3-4446-A650-B10C2A011DDE}">
      <text>
        <r>
          <rPr>
            <sz val="10"/>
            <color indexed="81"/>
            <rFont val="Lucida Console"/>
            <family val="3"/>
          </rPr>
          <t>_x000D_
Últ estimativa : 30_x000D_
Enviada em     : 24.11.2020_x000D_
Ata - Venc     : 145/21 - 26.05.2022</t>
        </r>
      </text>
    </comment>
    <comment ref="O275" authorId="0" shapeId="0" xr:uid="{0BC3D588-6275-4D09-82CB-63DB81BEC870}">
      <text>
        <r>
          <rPr>
            <sz val="10"/>
            <color indexed="81"/>
            <rFont val="Lucida Console"/>
            <family val="3"/>
          </rPr>
          <t>_x000D_
Pertencia a ATA nº 145/21_x000D_
Estimativa de Renovação enviada em 24.11.2020 - Qtd 30_x000D_
PE  56/21 lote _x000D_
22.04.21 = Processo finalizado. Ata 131/21.</t>
        </r>
      </text>
    </comment>
    <comment ref="W275" authorId="0" shapeId="0" xr:uid="{22FA6989-8545-492F-A779-FE4E9686C18B}">
      <text>
        <r>
          <rPr>
            <sz val="10"/>
            <color indexed="81"/>
            <rFont val="Lucida Console"/>
            <family val="3"/>
          </rPr>
          <t>_x000D_
DM-Construção</t>
        </r>
      </text>
    </comment>
    <comment ref="X275" authorId="0" shapeId="0" xr:uid="{A3345918-B622-4006-890C-8D58D54B05F7}">
      <text>
        <r>
          <rPr>
            <sz val="10"/>
            <color indexed="81"/>
            <rFont val="Lucida Console"/>
            <family val="3"/>
          </rPr>
          <t>_x000D_
MAT.E EQUIP. P/ CONSTR.CIVIL E CONSERV. DE VIAS PUBL.</t>
        </r>
      </text>
    </comment>
    <comment ref="Y275" authorId="0" shapeId="0" xr:uid="{996DCC84-1BA0-43E4-903E-CC3540B59E2E}">
      <text>
        <r>
          <rPr>
            <sz val="10"/>
            <color indexed="81"/>
            <rFont val="Lucida Console"/>
            <family val="3"/>
          </rPr>
          <t>_x000D_
PORTAS, BATENTES E GUARNICOES DE MADEIRA, FERRO, METAL</t>
        </r>
      </text>
    </comment>
    <comment ref="AW275" authorId="0" shapeId="0" xr:uid="{E3AA2600-62A3-44E6-9F31-6AAF7431EFC6}">
      <text>
        <r>
          <rPr>
            <sz val="10"/>
            <color indexed="81"/>
            <rFont val="Lucida Console"/>
            <family val="3"/>
          </rPr>
          <t>Tempo de Estoque (Meses)_x000D_
_x000D_
49,0</t>
        </r>
      </text>
    </comment>
    <comment ref="A276" authorId="0" shapeId="0" xr:uid="{07835326-C78E-4E0F-800D-3F550EF807D7}">
      <text>
        <r>
          <rPr>
            <sz val="10"/>
            <color indexed="81"/>
            <rFont val="Lucida Console"/>
            <family val="3"/>
          </rPr>
          <t>_x000D_
49033</t>
        </r>
      </text>
    </comment>
    <comment ref="B276" authorId="0" shapeId="0" xr:uid="{B9DDD175-8514-4B1A-915E-48AC029ECE8A}">
      <text>
        <r>
          <rPr>
            <sz val="10"/>
            <color indexed="81"/>
            <rFont val="Lucida Console"/>
            <family val="3"/>
          </rPr>
          <t>DESCRIÇÃO DETALHADA_x000D_
FOLHA DE PORTA EM IMBUIA - MED: 0,82 X 2,10 M</t>
        </r>
      </text>
    </comment>
    <comment ref="G276" authorId="0" shapeId="0" xr:uid="{B5C3BF1E-5584-48A4-A532-241DC9D49407}">
      <text>
        <r>
          <rPr>
            <sz val="10"/>
            <color indexed="81"/>
            <rFont val="Lucida Console"/>
            <family val="3"/>
          </rPr>
          <t>_x000D_
Últ estimativa : 40_x000D_
Enviada em     : 24.11.2020_x000D_
Ata - Venc     : 145/21 - 26.05.2022</t>
        </r>
      </text>
    </comment>
    <comment ref="O276" authorId="0" shapeId="0" xr:uid="{66BB43BE-4213-446E-9EBE-888C93C0A06A}">
      <text>
        <r>
          <rPr>
            <sz val="10"/>
            <color indexed="81"/>
            <rFont val="Lucida Console"/>
            <family val="3"/>
          </rPr>
          <t>_x000D_
Pertencia a ATA nº 145/21_x000D_
Estimativa de Renovação enviada em 24.11.2020 - Qtd 40_x000D_
PE  56/21 lote _x000D_
22.04.21 = Processo finalizado. Ata 131/21.</t>
        </r>
      </text>
    </comment>
    <comment ref="W276" authorId="0" shapeId="0" xr:uid="{6CD30C4B-96E6-43E7-B0C4-0C3263FC2F55}">
      <text>
        <r>
          <rPr>
            <sz val="10"/>
            <color indexed="81"/>
            <rFont val="Lucida Console"/>
            <family val="3"/>
          </rPr>
          <t>_x000D_
DM-Construção</t>
        </r>
      </text>
    </comment>
    <comment ref="X276" authorId="0" shapeId="0" xr:uid="{6CC44697-FDEB-44A4-BEF4-F408976D89FC}">
      <text>
        <r>
          <rPr>
            <sz val="10"/>
            <color indexed="81"/>
            <rFont val="Lucida Console"/>
            <family val="3"/>
          </rPr>
          <t>_x000D_
MAT.E EQUIP. P/ CONSTR.CIVIL E CONSERV. DE VIAS PUBL.</t>
        </r>
      </text>
    </comment>
    <comment ref="Y276" authorId="0" shapeId="0" xr:uid="{01121D1F-373E-4DC7-A9D6-75E7814215E0}">
      <text>
        <r>
          <rPr>
            <sz val="10"/>
            <color indexed="81"/>
            <rFont val="Lucida Console"/>
            <family val="3"/>
          </rPr>
          <t>_x000D_
PORTAS, BATENTES E GUARNICOES DE MADEIRA, FERRO, METAL</t>
        </r>
      </text>
    </comment>
    <comment ref="AW276" authorId="0" shapeId="0" xr:uid="{9E7535A1-EB2F-49C6-BCC0-591EA2E0DDEA}">
      <text>
        <r>
          <rPr>
            <sz val="10"/>
            <color indexed="81"/>
            <rFont val="Lucida Console"/>
            <family val="3"/>
          </rPr>
          <t>Tempo de Estoque (Meses)_x000D_
_x000D_
32,0</t>
        </r>
      </text>
    </comment>
    <comment ref="A277" authorId="0" shapeId="0" xr:uid="{82FDE7F7-9385-4ED8-BC44-F4137EF0D849}">
      <text>
        <r>
          <rPr>
            <sz val="10"/>
            <color indexed="81"/>
            <rFont val="Lucida Console"/>
            <family val="3"/>
          </rPr>
          <t>_x000D_
50591</t>
        </r>
      </text>
    </comment>
    <comment ref="B277" authorId="0" shapeId="0" xr:uid="{40DB6873-7F4A-4001-B689-667CB6494DF8}">
      <text>
        <r>
          <rPr>
            <sz val="10"/>
            <color indexed="81"/>
            <rFont val="Lucida Console"/>
            <family val="3"/>
          </rPr>
          <t>DESCRIÇÃO DETALHADA_x000D_
FOLHA DE PORTA EM IMBUIA - MED: 0,72 X 2,10 M</t>
        </r>
      </text>
    </comment>
    <comment ref="G277" authorId="0" shapeId="0" xr:uid="{8B338FED-E415-4D2D-9CD1-2986D3A6B038}">
      <text>
        <r>
          <rPr>
            <sz val="10"/>
            <color indexed="81"/>
            <rFont val="Lucida Console"/>
            <family val="3"/>
          </rPr>
          <t>_x000D_
Últ estimativa : 0_x000D_
Enviada em     : 24.11.2020_x000D_
Ata - Venc     : 145/21 - 26.05.2022</t>
        </r>
      </text>
    </comment>
    <comment ref="O277" authorId="0" shapeId="0" xr:uid="{004E958C-386D-4E8F-BA27-E714BB420994}">
      <text>
        <r>
          <rPr>
            <sz val="10"/>
            <color indexed="81"/>
            <rFont val="Lucida Console"/>
            <family val="3"/>
          </rPr>
          <t>_x000D_
Pertencia a ATA nº 145/21_x000D_
Estimativa de Renovação enviada em 24.11.2020 - Qtd _x000D_
PE  56/21 lote _x000D_
22.04.21 = Processo finalizado. Ata 131/21.</t>
        </r>
      </text>
    </comment>
    <comment ref="W277" authorId="0" shapeId="0" xr:uid="{9B57977B-0CBE-4FCF-A296-9953601D7934}">
      <text>
        <r>
          <rPr>
            <sz val="10"/>
            <color indexed="81"/>
            <rFont val="Lucida Console"/>
            <family val="3"/>
          </rPr>
          <t>_x000D_
DM-Construção</t>
        </r>
      </text>
    </comment>
    <comment ref="X277" authorId="0" shapeId="0" xr:uid="{05594E76-76BE-49CE-AC06-7AA5BA1E03D4}">
      <text>
        <r>
          <rPr>
            <sz val="10"/>
            <color indexed="81"/>
            <rFont val="Lucida Console"/>
            <family val="3"/>
          </rPr>
          <t>_x000D_
MAT.E EQUIP. P/ CONSTR.CIVIL E CONSERV. DE VIAS PUBL.</t>
        </r>
      </text>
    </comment>
    <comment ref="Y277" authorId="0" shapeId="0" xr:uid="{AE50C38C-A94F-4975-92CD-3E752B160703}">
      <text>
        <r>
          <rPr>
            <sz val="10"/>
            <color indexed="81"/>
            <rFont val="Lucida Console"/>
            <family val="3"/>
          </rPr>
          <t>_x000D_
PORTAS, BATENTES E GUARNICOES DE MADEIRA, FERRO, METAL</t>
        </r>
      </text>
    </comment>
    <comment ref="AW277" authorId="0" shapeId="0" xr:uid="{79A15AC7-1B33-4C4E-8E17-383D0AB1CEFD}">
      <text>
        <r>
          <rPr>
            <sz val="10"/>
            <color indexed="81"/>
            <rFont val="Lucida Console"/>
            <family val="3"/>
          </rPr>
          <t>Tempo de Estoque (Meses)_x000D_
_x000D_
30,0</t>
        </r>
      </text>
    </comment>
    <comment ref="A278" authorId="0" shapeId="0" xr:uid="{2A085DA8-B1E7-437E-AF41-695BF82ECAA7}">
      <text>
        <r>
          <rPr>
            <sz val="10"/>
            <color indexed="81"/>
            <rFont val="Lucida Console"/>
            <family val="3"/>
          </rPr>
          <t>_x000D_
56519</t>
        </r>
      </text>
    </comment>
    <comment ref="B278" authorId="0" shapeId="0" xr:uid="{23ADFB09-A234-4F9E-8FD3-7C23673B21D3}">
      <text>
        <r>
          <rPr>
            <sz val="10"/>
            <color indexed="81"/>
            <rFont val="Lucida Console"/>
            <family val="3"/>
          </rPr>
          <t>DESCRIÇÃO DETALHADA_x000D_
FOLHA DE PORTA TIPO MEXICANA - MED.: 0,82 X 2,10 M</t>
        </r>
      </text>
    </comment>
    <comment ref="G278" authorId="0" shapeId="0" xr:uid="{DBA133D1-1239-4B95-8846-2C7A74D4BAF4}">
      <text>
        <r>
          <rPr>
            <sz val="10"/>
            <color indexed="81"/>
            <rFont val="Lucida Console"/>
            <family val="3"/>
          </rPr>
          <t>_x000D_
Últ estimativa : 30_x000D_
Enviada em     : 24.11.2020_x000D_
Ata - Venc     : 145/21 - 26.05.2022</t>
        </r>
      </text>
    </comment>
    <comment ref="O278" authorId="0" shapeId="0" xr:uid="{C9954011-F0C3-4085-8F4A-8DA78A9DEEFF}">
      <text>
        <r>
          <rPr>
            <sz val="10"/>
            <color indexed="81"/>
            <rFont val="Lucida Console"/>
            <family val="3"/>
          </rPr>
          <t>_x000D_
Pertencia a ATA nº 145/21_x000D_
Estimativa de Renovação enviada em 24.11.2020 - Qtd 30_x000D_
PE  56/21 lote _x000D_
22.04.21 = Processo finalizado. Ata 131/21.</t>
        </r>
      </text>
    </comment>
    <comment ref="W278" authorId="0" shapeId="0" xr:uid="{319A4B54-D03F-499E-834D-F283AE0C7E55}">
      <text>
        <r>
          <rPr>
            <sz val="10"/>
            <color indexed="81"/>
            <rFont val="Lucida Console"/>
            <family val="3"/>
          </rPr>
          <t>_x000D_
DM-Construção</t>
        </r>
      </text>
    </comment>
    <comment ref="X278" authorId="0" shapeId="0" xr:uid="{EA50EA8A-5715-4737-B9B7-C8A090FA2D1A}">
      <text>
        <r>
          <rPr>
            <sz val="10"/>
            <color indexed="81"/>
            <rFont val="Lucida Console"/>
            <family val="3"/>
          </rPr>
          <t>_x000D_
MAT.E EQUIP. P/ CONSTR.CIVIL E CONSERV. DE VIAS PUBL.</t>
        </r>
      </text>
    </comment>
    <comment ref="Y278" authorId="0" shapeId="0" xr:uid="{4B2662EE-30BA-4344-906D-BF7BA414D275}">
      <text>
        <r>
          <rPr>
            <sz val="10"/>
            <color indexed="81"/>
            <rFont val="Lucida Console"/>
            <family val="3"/>
          </rPr>
          <t>_x000D_
PORTAS, BATENTES E GUARNICOES DE MADEIRA, FERRO, METAL</t>
        </r>
      </text>
    </comment>
    <comment ref="AW278" authorId="0" shapeId="0" xr:uid="{0B6C70CB-1EC9-42A7-B46B-F8DC496643BF}">
      <text>
        <r>
          <rPr>
            <sz val="10"/>
            <color indexed="81"/>
            <rFont val="Lucida Console"/>
            <family val="3"/>
          </rPr>
          <t>Tempo de Estoque (Meses)_x000D_
_x000D_
41,0</t>
        </r>
      </text>
    </comment>
    <comment ref="A279" authorId="0" shapeId="0" xr:uid="{759A7F09-3CE0-4005-B49A-5EC5B4FEC754}">
      <text>
        <r>
          <rPr>
            <sz val="10"/>
            <color indexed="81"/>
            <rFont val="Lucida Console"/>
            <family val="3"/>
          </rPr>
          <t>_x000D_
56520</t>
        </r>
      </text>
    </comment>
    <comment ref="B279" authorId="0" shapeId="0" xr:uid="{EBEC648D-5355-4798-8F8D-89E0591E6D62}">
      <text>
        <r>
          <rPr>
            <sz val="10"/>
            <color indexed="81"/>
            <rFont val="Lucida Console"/>
            <family val="3"/>
          </rPr>
          <t>DESCRIÇÃO DETALHADA_x000D_
FOLHA DE PORTA TIPO MEXICANA - MED.: 0,92 X 2,10 M</t>
        </r>
      </text>
    </comment>
    <comment ref="G279" authorId="0" shapeId="0" xr:uid="{1D943FA6-A9F7-4F8F-B913-24151449ACF5}">
      <text>
        <r>
          <rPr>
            <sz val="10"/>
            <color indexed="81"/>
            <rFont val="Lucida Console"/>
            <family val="3"/>
          </rPr>
          <t>_x000D_
Últ estimativa : 50_x000D_
Enviada em     : 24.11.2020_x000D_
Ata - Venc     : 145/21 - 26.05.2022</t>
        </r>
      </text>
    </comment>
    <comment ref="O279" authorId="0" shapeId="0" xr:uid="{63542D56-42BC-43EA-92DA-65D928BE04E0}">
      <text>
        <r>
          <rPr>
            <sz val="10"/>
            <color indexed="81"/>
            <rFont val="Lucida Console"/>
            <family val="3"/>
          </rPr>
          <t>_x000D_
Pertencia a ATA nº 145/21_x000D_
Estimativa de Renovação enviada em 24.11.2020 - Qtd 50_x000D_
PE  56/21 lote _x000D_
22.04.21 = Processo finalizado. Ata 131/21.</t>
        </r>
      </text>
    </comment>
    <comment ref="W279" authorId="0" shapeId="0" xr:uid="{F9F05F3F-938F-4ABB-A7E0-B13520A01C87}">
      <text>
        <r>
          <rPr>
            <sz val="10"/>
            <color indexed="81"/>
            <rFont val="Lucida Console"/>
            <family val="3"/>
          </rPr>
          <t>_x000D_
DM-Construção</t>
        </r>
      </text>
    </comment>
    <comment ref="X279" authorId="0" shapeId="0" xr:uid="{805F6D98-715B-4A57-B939-B595ECB6C9E1}">
      <text>
        <r>
          <rPr>
            <sz val="10"/>
            <color indexed="81"/>
            <rFont val="Lucida Console"/>
            <family val="3"/>
          </rPr>
          <t>_x000D_
MAT.E EQUIP. P/ CONSTR.CIVIL E CONSERV. DE VIAS PUBL.</t>
        </r>
      </text>
    </comment>
    <comment ref="Y279" authorId="0" shapeId="0" xr:uid="{F9C84902-C0E5-47E6-BF06-57282AE109EC}">
      <text>
        <r>
          <rPr>
            <sz val="10"/>
            <color indexed="81"/>
            <rFont val="Lucida Console"/>
            <family val="3"/>
          </rPr>
          <t>_x000D_
PORTAS, BATENTES E GUARNICOES DE MADEIRA, FERRO, METAL</t>
        </r>
      </text>
    </comment>
    <comment ref="AW279" authorId="0" shapeId="0" xr:uid="{622A946C-67EA-4FD9-9488-ABE2CE6A3C35}">
      <text>
        <r>
          <rPr>
            <sz val="10"/>
            <color indexed="81"/>
            <rFont val="Lucida Console"/>
            <family val="3"/>
          </rPr>
          <t>Tempo de Estoque (Meses)_x000D_
_x000D_
53,0</t>
        </r>
      </text>
    </comment>
    <comment ref="A280" authorId="0" shapeId="0" xr:uid="{69CE8BD1-9134-4D43-8F64-582F376806F3}">
      <text>
        <r>
          <rPr>
            <sz val="10"/>
            <color indexed="81"/>
            <rFont val="Lucida Console"/>
            <family val="3"/>
          </rPr>
          <t>_x000D_
78307</t>
        </r>
      </text>
    </comment>
    <comment ref="B280" authorId="0" shapeId="0" xr:uid="{0BC96EDC-2AE9-45A4-B000-30D5D8597B11}">
      <text>
        <r>
          <rPr>
            <sz val="10"/>
            <color indexed="81"/>
            <rFont val="Lucida Console"/>
            <family val="3"/>
          </rPr>
          <t>DESCRIÇÃO DETALHADA_x000D_
FOLHA DE PORTA DE IMBUIA - MED. 1,02 X 2,10 M</t>
        </r>
      </text>
    </comment>
    <comment ref="G280" authorId="0" shapeId="0" xr:uid="{8040A814-278E-4145-AF27-9E30FE29E237}">
      <text>
        <r>
          <rPr>
            <sz val="10"/>
            <color indexed="81"/>
            <rFont val="Lucida Console"/>
            <family val="3"/>
          </rPr>
          <t>_x000D_
Últ estimativa : 0_x000D_
Enviada em     : 24.11.2020_x000D_
Ata - Venc     : 145/21 - 26.05.2022</t>
        </r>
      </text>
    </comment>
    <comment ref="O280" authorId="0" shapeId="0" xr:uid="{D551C092-606E-4C93-BDFB-FDB4AA0B9BB9}">
      <text>
        <r>
          <rPr>
            <sz val="10"/>
            <color indexed="81"/>
            <rFont val="Lucida Console"/>
            <family val="3"/>
          </rPr>
          <t>_x000D_
Pertencia a ATA nº 145/21_x000D_
Estimativa de Renovação enviada em 24.11.2020 - Qtd _x000D_
PE  56/21 lote _x000D_
22.04.21 = Processo finalizado. Ata 131/21.</t>
        </r>
      </text>
    </comment>
    <comment ref="W280" authorId="0" shapeId="0" xr:uid="{98A76123-77DA-4A36-8454-0A4911CD1512}">
      <text>
        <r>
          <rPr>
            <sz val="10"/>
            <color indexed="81"/>
            <rFont val="Lucida Console"/>
            <family val="3"/>
          </rPr>
          <t>_x000D_
DM-Construção</t>
        </r>
      </text>
    </comment>
    <comment ref="X280" authorId="0" shapeId="0" xr:uid="{227C99AF-062F-4FAD-9A1B-D60036AD45D3}">
      <text>
        <r>
          <rPr>
            <sz val="10"/>
            <color indexed="81"/>
            <rFont val="Lucida Console"/>
            <family val="3"/>
          </rPr>
          <t>_x000D_
MAT.E EQUIP. P/ CONSTR.CIVIL E CONSERV. DE VIAS PUBL.</t>
        </r>
      </text>
    </comment>
    <comment ref="Y280" authorId="0" shapeId="0" xr:uid="{3141E961-61D7-44BF-B257-E0792896B6BF}">
      <text>
        <r>
          <rPr>
            <sz val="10"/>
            <color indexed="81"/>
            <rFont val="Lucida Console"/>
            <family val="3"/>
          </rPr>
          <t>_x000D_
PORTAS, BATENTES E GUARNICOES DE MADEIRA, FERRO, METAL</t>
        </r>
      </text>
    </comment>
    <comment ref="AW280" authorId="0" shapeId="0" xr:uid="{D76EB9B2-5BE3-4428-94D3-B84A750630FF}">
      <text>
        <r>
          <rPr>
            <sz val="10"/>
            <color indexed="81"/>
            <rFont val="Lucida Console"/>
            <family val="3"/>
          </rPr>
          <t>Tempo de Estoque (Meses)_x000D_
_x000D_
34,0</t>
        </r>
      </text>
    </comment>
    <comment ref="A281" authorId="0" shapeId="0" xr:uid="{D5F73501-3067-4E80-9AF3-116205514C9C}">
      <text>
        <r>
          <rPr>
            <sz val="10"/>
            <color indexed="81"/>
            <rFont val="Lucida Console"/>
            <family val="3"/>
          </rPr>
          <t>_x000D_
77562</t>
        </r>
      </text>
    </comment>
    <comment ref="B281" authorId="0" shapeId="0" xr:uid="{8E70E68E-84BC-4F06-9CA6-F3B1D600414A}">
      <text>
        <r>
          <rPr>
            <sz val="10"/>
            <color indexed="81"/>
            <rFont val="Lucida Console"/>
            <family val="3"/>
          </rPr>
          <t>DESCRIÇÃO DETALHADA_x000D_
SARRAFO DE CEDRINHO DE 1ª, 25 X 100 M/M, BRUTO DE 4,00 M COMPRIMENTO</t>
        </r>
      </text>
    </comment>
    <comment ref="G281" authorId="0" shapeId="0" xr:uid="{FECFDF10-4C76-4E1E-9720-FF63BC28881D}">
      <text>
        <r>
          <rPr>
            <sz val="10"/>
            <color indexed="81"/>
            <rFont val="Lucida Console"/>
            <family val="3"/>
          </rPr>
          <t>_x000D_
Últ estimativa : 5.000_x000D_
Enviada em     : 24.11.2020_x000D_
Ata - Venc     : 145/21 - 26.05.2022</t>
        </r>
      </text>
    </comment>
    <comment ref="O281" authorId="0" shapeId="0" xr:uid="{C9EFD9A6-5F08-4D67-8332-FE45A9C884A5}">
      <text>
        <r>
          <rPr>
            <sz val="10"/>
            <color indexed="81"/>
            <rFont val="Lucida Console"/>
            <family val="3"/>
          </rPr>
          <t>_x000D_
Pertencia a ATA nº 145/21_x000D_
Estimativa de Renovação enviada em 24.11.2020 - Qtd 5.000_x000D_
PE  56/21 lote _x000D_
22.04.21 = Processo finalizado. Ata 131/21.</t>
        </r>
      </text>
    </comment>
    <comment ref="W281" authorId="0" shapeId="0" xr:uid="{2430264D-DA4C-432B-A477-FD5183B5C5F4}">
      <text>
        <r>
          <rPr>
            <sz val="10"/>
            <color indexed="81"/>
            <rFont val="Lucida Console"/>
            <family val="3"/>
          </rPr>
          <t>_x000D_
DM-Construção</t>
        </r>
      </text>
    </comment>
    <comment ref="X281" authorId="0" shapeId="0" xr:uid="{AE1A2307-6BD3-4199-A2AC-94BAE3CBDC75}">
      <text>
        <r>
          <rPr>
            <sz val="10"/>
            <color indexed="81"/>
            <rFont val="Lucida Console"/>
            <family val="3"/>
          </rPr>
          <t>_x000D_
MADEIRAS,LAMINADOS,COMPENSADOS E AGLOMERADOS</t>
        </r>
      </text>
    </comment>
    <comment ref="Y281" authorId="0" shapeId="0" xr:uid="{02B7BCAB-E009-48FA-9FE0-3B04BE3D0466}">
      <text>
        <r>
          <rPr>
            <sz val="10"/>
            <color indexed="81"/>
            <rFont val="Lucida Console"/>
            <family val="3"/>
          </rPr>
          <t>_x000D_
TABUAS,RIPAS , SARRAFOS , PRANCHINHAS E REFORCOS</t>
        </r>
      </text>
    </comment>
    <comment ref="AW281" authorId="0" shapeId="0" xr:uid="{28FCE38A-5EBE-4DA2-AB0D-84F46B7755C5}">
      <text>
        <r>
          <rPr>
            <sz val="10"/>
            <color indexed="81"/>
            <rFont val="Lucida Console"/>
            <family val="3"/>
          </rPr>
          <t>Tempo de Estoque (Meses)_x000D_
_x000D_
9.431,0</t>
        </r>
      </text>
    </comment>
    <comment ref="A282" authorId="0" shapeId="0" xr:uid="{C7EBE52E-4516-448F-8BFC-66264F4446A0}">
      <text>
        <r>
          <rPr>
            <sz val="10"/>
            <color indexed="81"/>
            <rFont val="Lucida Console"/>
            <family val="3"/>
          </rPr>
          <t>_x000D_
118427</t>
        </r>
      </text>
    </comment>
    <comment ref="B282" authorId="0" shapeId="0" xr:uid="{68A7C139-9D74-4673-B287-477D1F739E1A}">
      <text>
        <r>
          <rPr>
            <sz val="10"/>
            <color indexed="81"/>
            <rFont val="Lucida Console"/>
            <family val="3"/>
          </rPr>
          <t>DESCRIÇÃO DETALHADA_x000D_
TABUA DE CAMBARA DE 1ª, 25 X 300 MM, BRUTA, PECAS ENTRE 4,00 E 5,00 METROS COMPRIMENTO.</t>
        </r>
      </text>
    </comment>
    <comment ref="G282" authorId="0" shapeId="0" xr:uid="{A8ED4920-ABEE-4A14-A3E8-670CE424FF73}">
      <text>
        <r>
          <rPr>
            <sz val="10"/>
            <color indexed="81"/>
            <rFont val="Lucida Console"/>
            <family val="3"/>
          </rPr>
          <t>_x000D_
Últ estimativa : 3.000_x000D_
Enviada em     : 24.11.2020_x000D_
Ata - Venc     : 145/21 - 26.05.2022</t>
        </r>
      </text>
    </comment>
    <comment ref="O282" authorId="0" shapeId="0" xr:uid="{B72183E5-DE7F-43DC-AE17-DDECA5C45580}">
      <text>
        <r>
          <rPr>
            <sz val="10"/>
            <color indexed="81"/>
            <rFont val="Lucida Console"/>
            <family val="3"/>
          </rPr>
          <t xml:space="preserve">_x000D_
Pertencia a ATA nº 145/21_x000D_
Estimativa de Renovação enviada em 24.11.2020 - Qtd 3.000_x000D_
PE  89/22 lote _x000D_
 = </t>
        </r>
      </text>
    </comment>
    <comment ref="W282" authorId="0" shapeId="0" xr:uid="{8245A656-8DB6-410D-895D-D11555788717}">
      <text>
        <r>
          <rPr>
            <sz val="10"/>
            <color indexed="81"/>
            <rFont val="Lucida Console"/>
            <family val="3"/>
          </rPr>
          <t>_x000D_
DM-Construção</t>
        </r>
      </text>
    </comment>
    <comment ref="X282" authorId="0" shapeId="0" xr:uid="{A4882362-120D-42B4-B472-9D60C5E1DE77}">
      <text>
        <r>
          <rPr>
            <sz val="10"/>
            <color indexed="81"/>
            <rFont val="Lucida Console"/>
            <family val="3"/>
          </rPr>
          <t>_x000D_
MADEIRAS,LAMINADOS,COMPENSADOS E AGLOMERADOS</t>
        </r>
      </text>
    </comment>
    <comment ref="Y282" authorId="0" shapeId="0" xr:uid="{0307A1CC-F07F-4C13-B9D6-F15C3DB2738C}">
      <text>
        <r>
          <rPr>
            <sz val="10"/>
            <color indexed="81"/>
            <rFont val="Lucida Console"/>
            <family val="3"/>
          </rPr>
          <t>_x000D_
TABUAS,RIPAS , SARRAFOS , PRANCHINHAS E REFORCOS</t>
        </r>
      </text>
    </comment>
    <comment ref="AW282" authorId="0" shapeId="0" xr:uid="{B445AFB2-FF83-4BD0-87EF-71AF13BF1375}">
      <text>
        <r>
          <rPr>
            <sz val="10"/>
            <color indexed="81"/>
            <rFont val="Lucida Console"/>
            <family val="3"/>
          </rPr>
          <t>Tempo de Estoque (Meses)_x000D_
_x000D_
3.231,0</t>
        </r>
      </text>
    </comment>
    <comment ref="A283" authorId="0" shapeId="0" xr:uid="{99B42C68-27EE-45C7-9C9C-291859A94B93}">
      <text>
        <r>
          <rPr>
            <sz val="10"/>
            <color indexed="81"/>
            <rFont val="Lucida Console"/>
            <family val="3"/>
          </rPr>
          <t>_x000D_
134556</t>
        </r>
      </text>
    </comment>
    <comment ref="B283" authorId="0" shapeId="0" xr:uid="{CD3EA0CE-C87E-4DD2-BD8B-BA82203DD977}">
      <text>
        <r>
          <rPr>
            <sz val="10"/>
            <color indexed="81"/>
            <rFont val="Lucida Console"/>
            <family val="3"/>
          </rPr>
          <t>DESCRIÇÃO DETALHADA_x000D_
FITA DE BORDA CARVALHO MALVA OU SIMILAR, MEDINDO: 22 MM X 0,45 MM X 20 M.</t>
        </r>
      </text>
    </comment>
    <comment ref="G283" authorId="0" shapeId="0" xr:uid="{4F4C2697-3772-4A90-AA87-74B45D472F49}">
      <text>
        <r>
          <rPr>
            <sz val="10"/>
            <color indexed="81"/>
            <rFont val="Lucida Console"/>
            <family val="3"/>
          </rPr>
          <t>_x000D_
Últ estimativa : 40_x000D_
Enviada em     : 24.11.2020_x000D_
Ata - Venc     : 145/21 - 26.05.2022</t>
        </r>
      </text>
    </comment>
    <comment ref="O283" authorId="0" shapeId="0" xr:uid="{CA1EB42E-7CB9-439A-8857-20B3E0AF8E11}">
      <text>
        <r>
          <rPr>
            <sz val="10"/>
            <color indexed="81"/>
            <rFont val="Lucida Console"/>
            <family val="3"/>
          </rPr>
          <t xml:space="preserve">_x000D_
Pertencia a ATA nº 145/21_x000D_
Estimativa de Renovação enviada em 24.11.2020 - Qtd 40_x000D_
PE  89/22 lote _x000D_
 = </t>
        </r>
      </text>
    </comment>
    <comment ref="W283" authorId="0" shapeId="0" xr:uid="{E3D79446-9D70-4A84-A890-6C8BFFB58361}">
      <text>
        <r>
          <rPr>
            <sz val="10"/>
            <color indexed="81"/>
            <rFont val="Lucida Console"/>
            <family val="3"/>
          </rPr>
          <t>_x000D_
DM-Construção</t>
        </r>
      </text>
    </comment>
    <comment ref="X283" authorId="0" shapeId="0" xr:uid="{95D35A98-3A27-436A-A9D9-E95951F89A1A}">
      <text>
        <r>
          <rPr>
            <sz val="10"/>
            <color indexed="81"/>
            <rFont val="Lucida Console"/>
            <family val="3"/>
          </rPr>
          <t>_x000D_
MADEIRAS,LAMINADOS,COMPENSADOS E AGLOMERADOS</t>
        </r>
      </text>
    </comment>
    <comment ref="Y283" authorId="0" shapeId="0" xr:uid="{CAFC89D7-65F4-420D-8FC6-9353947AF219}">
      <text>
        <r>
          <rPr>
            <sz val="10"/>
            <color indexed="81"/>
            <rFont val="Lucida Console"/>
            <family val="3"/>
          </rPr>
          <t>_x000D_
TABUAS,RIPAS , SARRAFOS , PRANCHINHAS E REFORCOS</t>
        </r>
      </text>
    </comment>
    <comment ref="AW283" authorId="0" shapeId="0" xr:uid="{75091D9C-A9C0-41B2-A940-C14846004C04}">
      <text>
        <r>
          <rPr>
            <sz val="10"/>
            <color indexed="81"/>
            <rFont val="Lucida Console"/>
            <family val="3"/>
          </rPr>
          <t>Tempo de Estoque (Meses)_x000D_
_x000D_
600,0</t>
        </r>
      </text>
    </comment>
    <comment ref="A284" authorId="0" shapeId="0" xr:uid="{A99C4357-7374-4329-A1B2-607F9DB215BA}">
      <text>
        <r>
          <rPr>
            <sz val="10"/>
            <color indexed="81"/>
            <rFont val="Lucida Console"/>
            <family val="3"/>
          </rPr>
          <t>_x000D_
74907</t>
        </r>
      </text>
    </comment>
    <comment ref="B284" authorId="0" shapeId="0" xr:uid="{BEE0E4CC-9786-4EA9-8EC6-9057794F0148}">
      <text>
        <r>
          <rPr>
            <sz val="10"/>
            <color indexed="81"/>
            <rFont val="Lucida Console"/>
            <family val="3"/>
          </rPr>
          <t>DESCRIÇÃO DETALHADA_x000D_
VIGA DE GARAPEIRA BRUTA - MEDIDAS: 06 CM X 16 CM X 5,50 M</t>
        </r>
      </text>
    </comment>
    <comment ref="G284" authorId="0" shapeId="0" xr:uid="{A70C643B-5685-4C37-B7F0-91EF3412896D}">
      <text>
        <r>
          <rPr>
            <sz val="10"/>
            <color indexed="81"/>
            <rFont val="Lucida Console"/>
            <family val="3"/>
          </rPr>
          <t>_x000D_
Últ estimativa : 200_x000D_
Enviada em     : 24.11.2020_x000D_
Ata - Venc     : 145/21 - 26.05.2022</t>
        </r>
      </text>
    </comment>
    <comment ref="O284" authorId="0" shapeId="0" xr:uid="{DDAF3956-AE02-4118-98E4-98CE4BF25E40}">
      <text>
        <r>
          <rPr>
            <sz val="10"/>
            <color indexed="81"/>
            <rFont val="Lucida Console"/>
            <family val="3"/>
          </rPr>
          <t>_x000D_
Pertencia a ATA nº 145/21_x000D_
Estimativa de Renovação enviada em 24.11.2020 - Qtd 200_x000D_
PE  56/21 lote _x000D_
22.04.21 = Processo finalizado. Ata 131/21.</t>
        </r>
      </text>
    </comment>
    <comment ref="W284" authorId="0" shapeId="0" xr:uid="{1AAF3B0F-F1BC-48E8-BA95-6AA8D303D6BF}">
      <text>
        <r>
          <rPr>
            <sz val="10"/>
            <color indexed="81"/>
            <rFont val="Lucida Console"/>
            <family val="3"/>
          </rPr>
          <t>_x000D_
DM-Construção</t>
        </r>
      </text>
    </comment>
    <comment ref="X284" authorId="0" shapeId="0" xr:uid="{2511DCBA-5A1B-4209-A3CA-6FEA3B4FF39B}">
      <text>
        <r>
          <rPr>
            <sz val="10"/>
            <color indexed="81"/>
            <rFont val="Lucida Console"/>
            <family val="3"/>
          </rPr>
          <t>_x000D_
MADEIRAS,LAMINADOS,COMPENSADOS E AGLOMERADOS</t>
        </r>
      </text>
    </comment>
    <comment ref="Y284" authorId="0" shapeId="0" xr:uid="{68C1CBAC-9032-4F7D-B0B0-DDEC0B6FADD9}">
      <text>
        <r>
          <rPr>
            <sz val="10"/>
            <color indexed="81"/>
            <rFont val="Lucida Console"/>
            <family val="3"/>
          </rPr>
          <t>_x000D_
PONTALETES, CAIBROS, PRANCHAS E VIGAS</t>
        </r>
      </text>
    </comment>
    <comment ref="AW284" authorId="0" shapeId="0" xr:uid="{9DDBB723-27A9-403F-B54B-44D2EA08AD7F}">
      <text>
        <r>
          <rPr>
            <sz val="10"/>
            <color indexed="81"/>
            <rFont val="Lucida Console"/>
            <family val="3"/>
          </rPr>
          <t>Tempo de Estoque (Meses)_x000D_
_x000D_
31,0</t>
        </r>
      </text>
    </comment>
    <comment ref="A285" authorId="0" shapeId="0" xr:uid="{DE72FCE7-FD5D-4E96-9124-D0B220EF21E2}">
      <text>
        <r>
          <rPr>
            <sz val="10"/>
            <color indexed="81"/>
            <rFont val="Lucida Console"/>
            <family val="3"/>
          </rPr>
          <t>_x000D_
77556</t>
        </r>
      </text>
    </comment>
    <comment ref="B285" authorId="0" shapeId="0" xr:uid="{7A528CE2-7EB1-4747-892E-C9D1C2EE48D8}">
      <text>
        <r>
          <rPr>
            <sz val="10"/>
            <color indexed="81"/>
            <rFont val="Lucida Console"/>
            <family val="3"/>
          </rPr>
          <t>DESCRIÇÃO DETALHADA_x000D_
VIGA DE GARAPEIRA BRUTA - MEDIDAS: 06 CM X 16 CM X 4,50 M</t>
        </r>
      </text>
    </comment>
    <comment ref="G285" authorId="0" shapeId="0" xr:uid="{5D926C42-1072-4ABF-8DA9-D7E316AC188E}">
      <text>
        <r>
          <rPr>
            <sz val="10"/>
            <color indexed="81"/>
            <rFont val="Lucida Console"/>
            <family val="3"/>
          </rPr>
          <t>_x000D_
Últ estimativa : 100_x000D_
Enviada em     : 24.11.2020_x000D_
Ata - Venc     : 145/21 - 26.05.2022</t>
        </r>
      </text>
    </comment>
    <comment ref="O285" authorId="0" shapeId="0" xr:uid="{65F3BABE-742C-401E-803D-2DF52E5B2BE8}">
      <text>
        <r>
          <rPr>
            <sz val="10"/>
            <color indexed="81"/>
            <rFont val="Lucida Console"/>
            <family val="3"/>
          </rPr>
          <t>_x000D_
Pertencia a ATA nº 145/21_x000D_
Estimativa de Renovação enviada em 24.11.2020 - Qtd 100_x000D_
PE  56/21 lote _x000D_
22.04.21 = Processo finalizado. Ata 131/21.</t>
        </r>
      </text>
    </comment>
    <comment ref="W285" authorId="0" shapeId="0" xr:uid="{78B597AB-671F-48C9-ADE8-19DC6027FD9B}">
      <text>
        <r>
          <rPr>
            <sz val="10"/>
            <color indexed="81"/>
            <rFont val="Lucida Console"/>
            <family val="3"/>
          </rPr>
          <t>_x000D_
DM-Construção</t>
        </r>
      </text>
    </comment>
    <comment ref="X285" authorId="0" shapeId="0" xr:uid="{13787D6A-6A14-48E9-8D93-364502766602}">
      <text>
        <r>
          <rPr>
            <sz val="10"/>
            <color indexed="81"/>
            <rFont val="Lucida Console"/>
            <family val="3"/>
          </rPr>
          <t>_x000D_
MADEIRAS,LAMINADOS,COMPENSADOS E AGLOMERADOS</t>
        </r>
      </text>
    </comment>
    <comment ref="Y285" authorId="0" shapeId="0" xr:uid="{5A980448-A502-4F28-B579-CE798B7F14DB}">
      <text>
        <r>
          <rPr>
            <sz val="10"/>
            <color indexed="81"/>
            <rFont val="Lucida Console"/>
            <family val="3"/>
          </rPr>
          <t>_x000D_
PONTALETES, CAIBROS, PRANCHAS E VIGAS</t>
        </r>
      </text>
    </comment>
    <comment ref="AW285" authorId="0" shapeId="0" xr:uid="{676C64E6-486D-4DFC-B776-654279FA5887}">
      <text>
        <r>
          <rPr>
            <sz val="10"/>
            <color indexed="81"/>
            <rFont val="Lucida Console"/>
            <family val="3"/>
          </rPr>
          <t>Tempo de Estoque (Meses)_x000D_
_x000D_
87,0</t>
        </r>
      </text>
    </comment>
    <comment ref="A286" authorId="0" shapeId="0" xr:uid="{442DBB4D-E2B7-41FE-B958-F50354640FDA}">
      <text>
        <r>
          <rPr>
            <sz val="10"/>
            <color indexed="81"/>
            <rFont val="Lucida Console"/>
            <family val="3"/>
          </rPr>
          <t>_x000D_
135013</t>
        </r>
      </text>
    </comment>
    <comment ref="B286" authorId="0" shapeId="0" xr:uid="{FF4DF431-66CA-427D-9A77-2EA32016967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86" authorId="0" shapeId="0" xr:uid="{19AAC2DE-532D-463E-AA29-4EEB64F0E8B6}">
      <text>
        <r>
          <rPr>
            <sz val="10"/>
            <color indexed="81"/>
            <rFont val="Lucida Console"/>
            <family val="3"/>
          </rPr>
          <t>_x000D_
Pertencia a ATA nº 151/19_x000D_
Estimativa de Renovação enviada em  - Qtd _x000D_
PE   7/19 lote _x000D_
23.07.19 = Processo finalizado</t>
        </r>
      </text>
    </comment>
    <comment ref="W286" authorId="0" shapeId="0" xr:uid="{F33217BE-71C9-40C1-A2BA-62E48C4D9F88}">
      <text>
        <r>
          <rPr>
            <sz val="10"/>
            <color indexed="81"/>
            <rFont val="Lucida Console"/>
            <family val="3"/>
          </rPr>
          <t>_x000D_
SegMedTra</t>
        </r>
      </text>
    </comment>
    <comment ref="X286" authorId="0" shapeId="0" xr:uid="{CD75F59F-8510-4B15-A1A9-57D3BF46A2DF}">
      <text>
        <r>
          <rPr>
            <sz val="10"/>
            <color indexed="81"/>
            <rFont val="Lucida Console"/>
            <family val="3"/>
          </rPr>
          <t>_x000D_
EQUIP PROT IND, INST MAT P/ SINAL, CONTR, COMB ...</t>
        </r>
      </text>
    </comment>
    <comment ref="Y286" authorId="0" shapeId="0" xr:uid="{D92D5E68-28EF-4E1E-9134-34FA9D6DAE57}">
      <text>
        <r>
          <rPr>
            <sz val="10"/>
            <color indexed="81"/>
            <rFont val="Lucida Console"/>
            <family val="3"/>
          </rPr>
          <t>_x000D_
CALCADOS, LUVAS, OCULOS, MASCARAS, CAPACETES, CASSETETE</t>
        </r>
      </text>
    </comment>
    <comment ref="AW286" authorId="0" shapeId="0" xr:uid="{0C47A593-3CF9-42D2-8878-2FB84581DA40}">
      <text>
        <r>
          <rPr>
            <sz val="10"/>
            <color indexed="81"/>
            <rFont val="Lucida Console"/>
            <family val="3"/>
          </rPr>
          <t>Tempo de Estoque (Meses)_x000D_
_x000D_
1,0</t>
        </r>
      </text>
    </comment>
    <comment ref="A287" authorId="0" shapeId="0" xr:uid="{ABBF96E6-BADE-48F4-8AA7-72B2FF382F36}">
      <text>
        <r>
          <rPr>
            <sz val="10"/>
            <color indexed="81"/>
            <rFont val="Lucida Console"/>
            <family val="3"/>
          </rPr>
          <t>_x000D_
135014</t>
        </r>
      </text>
    </comment>
    <comment ref="B287" authorId="0" shapeId="0" xr:uid="{C3F597C9-C9DD-4B13-A977-C6959BD5D4DF}">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87" authorId="0" shapeId="0" xr:uid="{83AD9B49-D399-4A4A-AC18-018617C08FC1}">
      <text>
        <r>
          <rPr>
            <sz val="10"/>
            <color indexed="81"/>
            <rFont val="Lucida Console"/>
            <family val="3"/>
          </rPr>
          <t>_x000D_
Pertencia a ATA nº 151/19_x000D_
Estimativa de Renovação enviada em  - Qtd _x000D_
PE   7/19 lote _x000D_
23.07.19 = Processo finalizado</t>
        </r>
      </text>
    </comment>
    <comment ref="W287" authorId="0" shapeId="0" xr:uid="{48C65E99-66C5-4182-8BDE-970DDFBF7B94}">
      <text>
        <r>
          <rPr>
            <sz val="10"/>
            <color indexed="81"/>
            <rFont val="Lucida Console"/>
            <family val="3"/>
          </rPr>
          <t>_x000D_
SegMedTra</t>
        </r>
      </text>
    </comment>
    <comment ref="X287" authorId="0" shapeId="0" xr:uid="{558035FD-EA41-4384-8891-28E9CE01EFBB}">
      <text>
        <r>
          <rPr>
            <sz val="10"/>
            <color indexed="81"/>
            <rFont val="Lucida Console"/>
            <family val="3"/>
          </rPr>
          <t>_x000D_
EQUIP PROT IND, INST MAT P/ SINAL, CONTR, COMB ...</t>
        </r>
      </text>
    </comment>
    <comment ref="Y287" authorId="0" shapeId="0" xr:uid="{BAD4381D-D4F5-45CE-B4D8-1E978734E086}">
      <text>
        <r>
          <rPr>
            <sz val="10"/>
            <color indexed="81"/>
            <rFont val="Lucida Console"/>
            <family val="3"/>
          </rPr>
          <t>_x000D_
CALCADOS, LUVAS, OCULOS, MASCARAS, CAPACETES, CASSETETE</t>
        </r>
      </text>
    </comment>
    <comment ref="AW287" authorId="0" shapeId="0" xr:uid="{948F48E7-F94E-4210-B650-486363FAFA04}">
      <text>
        <r>
          <rPr>
            <sz val="10"/>
            <color indexed="81"/>
            <rFont val="Lucida Console"/>
            <family val="3"/>
          </rPr>
          <t>Tempo de Estoque (Meses)_x000D_
_x000D_
0,0</t>
        </r>
      </text>
    </comment>
    <comment ref="A288" authorId="0" shapeId="0" xr:uid="{38A2B552-DF1A-444B-803E-C4655926D34C}">
      <text>
        <r>
          <rPr>
            <sz val="10"/>
            <color indexed="81"/>
            <rFont val="Lucida Console"/>
            <family val="3"/>
          </rPr>
          <t>_x000D_
106914</t>
        </r>
      </text>
    </comment>
    <comment ref="B288" authorId="0" shapeId="0" xr:uid="{0367E216-120F-4255-8472-92A810C023C0}">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88" authorId="0" shapeId="0" xr:uid="{4693E62E-7A14-4A86-B0F9-17D167472F56}">
      <text>
        <r>
          <rPr>
            <sz val="10"/>
            <color indexed="81"/>
            <rFont val="Lucida Console"/>
            <family val="3"/>
          </rPr>
          <t>_x000D_
Pertencia a ATA nº 151/19_x000D_
Estimativa de Renovação enviada em  - Qtd _x000D_
PE   7/19 lote _x000D_
23.07.19 = Processo finalizado</t>
        </r>
      </text>
    </comment>
    <comment ref="W288" authorId="0" shapeId="0" xr:uid="{852BB57A-60B3-414A-AEA9-DA2120933F30}">
      <text>
        <r>
          <rPr>
            <sz val="10"/>
            <color indexed="81"/>
            <rFont val="Lucida Console"/>
            <family val="3"/>
          </rPr>
          <t>_x000D_
SegMedTra</t>
        </r>
      </text>
    </comment>
    <comment ref="X288" authorId="0" shapeId="0" xr:uid="{A669C2B8-DE6E-427C-8381-3BB435302860}">
      <text>
        <r>
          <rPr>
            <sz val="10"/>
            <color indexed="81"/>
            <rFont val="Lucida Console"/>
            <family val="3"/>
          </rPr>
          <t>_x000D_
EQUIP PROT IND, INST MAT P/ SINAL, CONTR, COMB ...</t>
        </r>
      </text>
    </comment>
    <comment ref="Y288" authorId="0" shapeId="0" xr:uid="{225126BE-3B02-48AD-BE8E-B179E767FFCE}">
      <text>
        <r>
          <rPr>
            <sz val="10"/>
            <color indexed="81"/>
            <rFont val="Lucida Console"/>
            <family val="3"/>
          </rPr>
          <t>_x000D_
CALCADOS, LUVAS, OCULOS, MASCARAS, CAPACETES, CASSETETE</t>
        </r>
      </text>
    </comment>
    <comment ref="AW288" authorId="0" shapeId="0" xr:uid="{8FB07DD6-0035-443D-9360-AD5B9B369FFF}">
      <text>
        <r>
          <rPr>
            <sz val="10"/>
            <color indexed="81"/>
            <rFont val="Lucida Console"/>
            <family val="3"/>
          </rPr>
          <t>Tempo de Estoque (Meses)_x000D_
_x000D_
3,0</t>
        </r>
      </text>
    </comment>
    <comment ref="A289" authorId="0" shapeId="0" xr:uid="{D5053111-E319-470E-A641-CA187F8E8F56}">
      <text>
        <r>
          <rPr>
            <sz val="10"/>
            <color indexed="81"/>
            <rFont val="Lucida Console"/>
            <family val="3"/>
          </rPr>
          <t>_x000D_
106916</t>
        </r>
      </text>
    </comment>
    <comment ref="B289" authorId="0" shapeId="0" xr:uid="{A16DC1DC-F201-41B3-B894-B92D6A26F4C3}">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89" authorId="0" shapeId="0" xr:uid="{A3A2FF2F-979E-489D-838B-1CF145FB3767}">
      <text>
        <r>
          <rPr>
            <sz val="10"/>
            <color indexed="81"/>
            <rFont val="Lucida Console"/>
            <family val="3"/>
          </rPr>
          <t>_x000D_
Pertencia a ATA nº 151/19_x000D_
Estimativa de Renovação enviada em  - Qtd _x000D_
PE   7/19 lote _x000D_
23.07.19 = Processo finalizado</t>
        </r>
      </text>
    </comment>
    <comment ref="W289" authorId="0" shapeId="0" xr:uid="{6D0D7F46-972A-438B-BF26-3A5CF4A1047A}">
      <text>
        <r>
          <rPr>
            <sz val="10"/>
            <color indexed="81"/>
            <rFont val="Lucida Console"/>
            <family val="3"/>
          </rPr>
          <t>_x000D_
SegMedTra</t>
        </r>
      </text>
    </comment>
    <comment ref="X289" authorId="0" shapeId="0" xr:uid="{AD14BFFF-36C4-41A5-A55F-10F7FB663CEF}">
      <text>
        <r>
          <rPr>
            <sz val="10"/>
            <color indexed="81"/>
            <rFont val="Lucida Console"/>
            <family val="3"/>
          </rPr>
          <t>_x000D_
EQUIP PROT IND, INST MAT P/ SINAL, CONTR, COMB ...</t>
        </r>
      </text>
    </comment>
    <comment ref="Y289" authorId="0" shapeId="0" xr:uid="{9313964C-03F8-42B6-A9D2-32D05C175D74}">
      <text>
        <r>
          <rPr>
            <sz val="10"/>
            <color indexed="81"/>
            <rFont val="Lucida Console"/>
            <family val="3"/>
          </rPr>
          <t>_x000D_
CALCADOS, LUVAS, OCULOS, MASCARAS, CAPACETES, CASSETETE</t>
        </r>
      </text>
    </comment>
    <comment ref="AW289" authorId="0" shapeId="0" xr:uid="{601A8B89-B1CB-40BD-89D0-EED8E77BC3A3}">
      <text>
        <r>
          <rPr>
            <sz val="10"/>
            <color indexed="81"/>
            <rFont val="Lucida Console"/>
            <family val="3"/>
          </rPr>
          <t>Tempo de Estoque (Meses)_x000D_
_x000D_
8,0</t>
        </r>
      </text>
    </comment>
    <comment ref="A290" authorId="0" shapeId="0" xr:uid="{F91EF21E-97FF-4430-979C-C8F3AB67FAFC}">
      <text>
        <r>
          <rPr>
            <sz val="10"/>
            <color indexed="81"/>
            <rFont val="Lucida Console"/>
            <family val="3"/>
          </rPr>
          <t>_x000D_
106917</t>
        </r>
      </text>
    </comment>
    <comment ref="B290" authorId="0" shapeId="0" xr:uid="{7AC32CBD-6AF4-40D2-B3EA-2A01197815ED}">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90" authorId="0" shapeId="0" xr:uid="{A4F24F23-2C0B-480D-8695-15263B11AA47}">
      <text>
        <r>
          <rPr>
            <sz val="10"/>
            <color indexed="81"/>
            <rFont val="Lucida Console"/>
            <family val="3"/>
          </rPr>
          <t>_x000D_
Pertencia a ATA nº 151/19_x000D_
Estimativa de Renovação enviada em  - Qtd _x000D_
PE   7/19 lote _x000D_
23.07.19 = Processo finalizado</t>
        </r>
      </text>
    </comment>
    <comment ref="W290" authorId="0" shapeId="0" xr:uid="{5E859D2B-E522-430B-9EB2-67121D640ECE}">
      <text>
        <r>
          <rPr>
            <sz val="10"/>
            <color indexed="81"/>
            <rFont val="Lucida Console"/>
            <family val="3"/>
          </rPr>
          <t>_x000D_
SegMedTra</t>
        </r>
      </text>
    </comment>
    <comment ref="X290" authorId="0" shapeId="0" xr:uid="{C0D15D5B-F4FB-493E-A318-415E278ECA50}">
      <text>
        <r>
          <rPr>
            <sz val="10"/>
            <color indexed="81"/>
            <rFont val="Lucida Console"/>
            <family val="3"/>
          </rPr>
          <t>_x000D_
EQUIP PROT IND, INST MAT P/ SINAL, CONTR, COMB ...</t>
        </r>
      </text>
    </comment>
    <comment ref="Y290" authorId="0" shapeId="0" xr:uid="{87F3FCC5-C121-4464-9F8F-2F31ADC0D581}">
      <text>
        <r>
          <rPr>
            <sz val="10"/>
            <color indexed="81"/>
            <rFont val="Lucida Console"/>
            <family val="3"/>
          </rPr>
          <t>_x000D_
CALCADOS, LUVAS, OCULOS, MASCARAS, CAPACETES, CASSETETE</t>
        </r>
      </text>
    </comment>
    <comment ref="AW290" authorId="0" shapeId="0" xr:uid="{BE5115E1-CB7D-4C0C-966D-CD902449C786}">
      <text>
        <r>
          <rPr>
            <sz val="10"/>
            <color indexed="81"/>
            <rFont val="Lucida Console"/>
            <family val="3"/>
          </rPr>
          <t>Tempo de Estoque (Meses)_x000D_
_x000D_
4,0</t>
        </r>
      </text>
    </comment>
    <comment ref="A291" authorId="0" shapeId="0" xr:uid="{56EF21CD-87B6-4ABD-98C7-A06F241497A3}">
      <text>
        <r>
          <rPr>
            <sz val="10"/>
            <color indexed="81"/>
            <rFont val="Lucida Console"/>
            <family val="3"/>
          </rPr>
          <t>_x000D_
106918</t>
        </r>
      </text>
    </comment>
    <comment ref="B291" authorId="0" shapeId="0" xr:uid="{8999AB9E-5623-4363-A4EB-CFB43E18207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91" authorId="0" shapeId="0" xr:uid="{F32EB688-6DC2-4184-BA16-04169AA73863}">
      <text>
        <r>
          <rPr>
            <sz val="10"/>
            <color indexed="81"/>
            <rFont val="Lucida Console"/>
            <family val="3"/>
          </rPr>
          <t>_x000D_
Pertencia a ATA nº 151/19_x000D_
Estimativa de Renovação enviada em  - Qtd _x000D_
PE   7/19 lote _x000D_
23.07.19 = Processo finalizado</t>
        </r>
      </text>
    </comment>
    <comment ref="W291" authorId="0" shapeId="0" xr:uid="{D41BE47C-A17E-4710-9749-FC19C1DAA900}">
      <text>
        <r>
          <rPr>
            <sz val="10"/>
            <color indexed="81"/>
            <rFont val="Lucida Console"/>
            <family val="3"/>
          </rPr>
          <t>_x000D_
SegMedTra</t>
        </r>
      </text>
    </comment>
    <comment ref="X291" authorId="0" shapeId="0" xr:uid="{8ABBD3D0-3151-4377-B18F-27EFD03AA628}">
      <text>
        <r>
          <rPr>
            <sz val="10"/>
            <color indexed="81"/>
            <rFont val="Lucida Console"/>
            <family val="3"/>
          </rPr>
          <t>_x000D_
EQUIP PROT IND, INST MAT P/ SINAL, CONTR, COMB ...</t>
        </r>
      </text>
    </comment>
    <comment ref="Y291" authorId="0" shapeId="0" xr:uid="{72CA0858-F7A3-4785-B08F-62A66B99C046}">
      <text>
        <r>
          <rPr>
            <sz val="10"/>
            <color indexed="81"/>
            <rFont val="Lucida Console"/>
            <family val="3"/>
          </rPr>
          <t>_x000D_
CALCADOS, LUVAS, OCULOS, MASCARAS, CAPACETES, CASSETETE</t>
        </r>
      </text>
    </comment>
    <comment ref="AW291" authorId="0" shapeId="0" xr:uid="{EC23C205-4C97-4B8B-A251-671D79A389EF}">
      <text>
        <r>
          <rPr>
            <sz val="10"/>
            <color indexed="81"/>
            <rFont val="Lucida Console"/>
            <family val="3"/>
          </rPr>
          <t>Tempo de Estoque (Meses)_x000D_
_x000D_
8,0</t>
        </r>
      </text>
    </comment>
    <comment ref="A292" authorId="0" shapeId="0" xr:uid="{5C842193-76DE-41A9-9932-3C77BA16B1E0}">
      <text>
        <r>
          <rPr>
            <sz val="10"/>
            <color indexed="81"/>
            <rFont val="Lucida Console"/>
            <family val="3"/>
          </rPr>
          <t>_x000D_
106919</t>
        </r>
      </text>
    </comment>
    <comment ref="B292" authorId="0" shapeId="0" xr:uid="{0FB2159F-A0D5-4980-ABC4-CAD61859CDC4}">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92" authorId="0" shapeId="0" xr:uid="{1B8F9A29-EB21-4C41-8077-E2D684CC2A9C}">
      <text>
        <r>
          <rPr>
            <sz val="10"/>
            <color indexed="81"/>
            <rFont val="Lucida Console"/>
            <family val="3"/>
          </rPr>
          <t>_x000D_
Pertencia a ATA nº 151/19_x000D_
Estimativa de Renovação enviada em  - Qtd _x000D_
PE   7/19 lote _x000D_
23.07.19 = Processo finalizado</t>
        </r>
      </text>
    </comment>
    <comment ref="W292" authorId="0" shapeId="0" xr:uid="{CED99743-8094-43EE-96FB-A797EA1B3263}">
      <text>
        <r>
          <rPr>
            <sz val="10"/>
            <color indexed="81"/>
            <rFont val="Lucida Console"/>
            <family val="3"/>
          </rPr>
          <t>_x000D_
SegMedTra</t>
        </r>
      </text>
    </comment>
    <comment ref="X292" authorId="0" shapeId="0" xr:uid="{75117CB5-1405-4941-9FBB-1D27314F08F8}">
      <text>
        <r>
          <rPr>
            <sz val="10"/>
            <color indexed="81"/>
            <rFont val="Lucida Console"/>
            <family val="3"/>
          </rPr>
          <t>_x000D_
EQUIP PROT IND, INST MAT P/ SINAL, CONTR, COMB ...</t>
        </r>
      </text>
    </comment>
    <comment ref="Y292" authorId="0" shapeId="0" xr:uid="{6C46E0BF-9649-4BA3-ADCE-21CE6DF35C24}">
      <text>
        <r>
          <rPr>
            <sz val="10"/>
            <color indexed="81"/>
            <rFont val="Lucida Console"/>
            <family val="3"/>
          </rPr>
          <t>_x000D_
CALCADOS, LUVAS, OCULOS, MASCARAS, CAPACETES, CASSETETE</t>
        </r>
      </text>
    </comment>
    <comment ref="AW292" authorId="0" shapeId="0" xr:uid="{E09C23AB-1FC7-4193-B061-65A41E5F1A9E}">
      <text>
        <r>
          <rPr>
            <sz val="10"/>
            <color indexed="81"/>
            <rFont val="Lucida Console"/>
            <family val="3"/>
          </rPr>
          <t>Tempo de Estoque (Meses)_x000D_
_x000D_
3,0</t>
        </r>
      </text>
    </comment>
    <comment ref="A293" authorId="0" shapeId="0" xr:uid="{8073B152-FD77-427D-9210-BB7738E0F82D}">
      <text>
        <r>
          <rPr>
            <sz val="10"/>
            <color indexed="81"/>
            <rFont val="Lucida Console"/>
            <family val="3"/>
          </rPr>
          <t>_x000D_
14977</t>
        </r>
      </text>
    </comment>
    <comment ref="B293" authorId="0" shapeId="0" xr:uid="{45EFB177-2BEA-4A18-A178-569CD5BE020C}">
      <text>
        <r>
          <rPr>
            <sz val="10"/>
            <color indexed="81"/>
            <rFont val="Lucida Console"/>
            <family val="3"/>
          </rPr>
          <t>DESCRIÇÃO DETALHADA_x000D_
TAMPO E ASSENTO P/ VASO SANITARIO ( INFANTIL )</t>
        </r>
      </text>
    </comment>
    <comment ref="G293" authorId="0" shapeId="0" xr:uid="{7EDED38B-B3E9-4645-8BCB-9B569C741BB9}">
      <text>
        <r>
          <rPr>
            <sz val="10"/>
            <color indexed="81"/>
            <rFont val="Lucida Console"/>
            <family val="3"/>
          </rPr>
          <t>_x000D_
Últ estimativa : 200_x000D_
Enviada em     : 22.04.2021_x000D_
Ata - Venc     : 154/19 - 23.06.2020</t>
        </r>
      </text>
    </comment>
    <comment ref="O293" authorId="0" shapeId="0" xr:uid="{98928D12-749D-4698-9D0A-073C8AD96AFC}">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93" authorId="0" shapeId="0" xr:uid="{896896B9-2E58-4D58-99AC-BB26BD75FCEE}">
      <text>
        <r>
          <rPr>
            <sz val="10"/>
            <color indexed="81"/>
            <rFont val="Lucida Console"/>
            <family val="3"/>
          </rPr>
          <t>_x000D_
DM-Construção</t>
        </r>
      </text>
    </comment>
    <comment ref="X293" authorId="0" shapeId="0" xr:uid="{75D1D723-A8C7-44BF-B044-397AF27AB64D}">
      <text>
        <r>
          <rPr>
            <sz val="10"/>
            <color indexed="81"/>
            <rFont val="Lucida Console"/>
            <family val="3"/>
          </rPr>
          <t>_x000D_
MAT.E EQUIP. P/ CONSTR.CIVIL E CONSERV. DE VIAS PUBL.</t>
        </r>
      </text>
    </comment>
    <comment ref="Y293" authorId="0" shapeId="0" xr:uid="{CEEDA021-596F-4600-BE13-5742A2291EF0}">
      <text>
        <r>
          <rPr>
            <sz val="10"/>
            <color indexed="81"/>
            <rFont val="Lucida Console"/>
            <family val="3"/>
          </rPr>
          <t>_x000D_
TAMPOS, ASSENTOS, SABONET. PAPELEIRAS E PORTA-TOALHAS</t>
        </r>
      </text>
    </comment>
    <comment ref="AW293" authorId="0" shapeId="0" xr:uid="{B5D7770D-AE5D-4202-BAEF-6CEF4660CC81}">
      <text>
        <r>
          <rPr>
            <sz val="10"/>
            <color indexed="81"/>
            <rFont val="Lucida Console"/>
            <family val="3"/>
          </rPr>
          <t>Tempo de Estoque (Meses)_x000D_
_x000D_
200,0</t>
        </r>
      </text>
    </comment>
    <comment ref="A294" authorId="0" shapeId="0" xr:uid="{69FA7302-0C4A-4F2B-BB23-DD0114AAFAFE}">
      <text>
        <r>
          <rPr>
            <sz val="10"/>
            <color indexed="81"/>
            <rFont val="Lucida Console"/>
            <family val="3"/>
          </rPr>
          <t>_x000D_
20037</t>
        </r>
      </text>
    </comment>
    <comment ref="B294" authorId="0" shapeId="0" xr:uid="{233DFFF7-3234-402B-950C-7C7E8FF72495}">
      <text>
        <r>
          <rPr>
            <sz val="10"/>
            <color indexed="81"/>
            <rFont val="Lucida Console"/>
            <family val="3"/>
          </rPr>
          <t>DESCRIÇÃO DETALHADA_x000D_
BROCA DE ACO RAPIDO HELICOIDAL DE 3/8" COM HASTE CILINDRICA</t>
        </r>
      </text>
    </comment>
    <comment ref="G294" authorId="0" shapeId="0" xr:uid="{0EC7F22F-4965-4E23-BC3A-48A0001801F5}">
      <text>
        <r>
          <rPr>
            <sz val="10"/>
            <color indexed="81"/>
            <rFont val="Lucida Console"/>
            <family val="3"/>
          </rPr>
          <t>_x000D_
Últ estimativa : 50_x000D_
Enviada em     : 14.02.2020_x000D_
Ata - Venc     : 155/19 - 26.06.2020</t>
        </r>
      </text>
    </comment>
    <comment ref="O294" authorId="0" shapeId="0" xr:uid="{F24EB76B-898D-445E-9E5C-A75357A26765}">
      <text>
        <r>
          <rPr>
            <sz val="10"/>
            <color indexed="81"/>
            <rFont val="Lucida Console"/>
            <family val="3"/>
          </rPr>
          <t>_x000D_
Pertencia a ATA nº 155/19_x000D_
Estimativa de Renovação enviada em 14.02.2020 - Qtd 50_x000D_
PE  28/19 lote _x000D_
24.07.19 = Processo conferido, finalizado.</t>
        </r>
      </text>
    </comment>
    <comment ref="W294" authorId="0" shapeId="0" xr:uid="{81D0002D-BC21-4A64-BBF4-DB058EE3FFBE}">
      <text>
        <r>
          <rPr>
            <sz val="10"/>
            <color indexed="81"/>
            <rFont val="Lucida Console"/>
            <family val="3"/>
          </rPr>
          <t>_x000D_
DM-Serralheria</t>
        </r>
      </text>
    </comment>
    <comment ref="X294" authorId="0" shapeId="0" xr:uid="{18CA31AE-0FC9-40B5-ACDD-BE5498674981}">
      <text>
        <r>
          <rPr>
            <sz val="10"/>
            <color indexed="81"/>
            <rFont val="Lucida Console"/>
            <family val="3"/>
          </rPr>
          <t>_x000D_
FERRAMENTAS MAQ.FERRAMENTAS,ELETR.PECAS E ACESSORI</t>
        </r>
      </text>
    </comment>
    <comment ref="Y294" authorId="0" shapeId="0" xr:uid="{181A2E28-56F2-441C-A179-DD015B278DDA}">
      <text>
        <r>
          <rPr>
            <sz val="10"/>
            <color indexed="81"/>
            <rFont val="Lucida Console"/>
            <family val="3"/>
          </rPr>
          <t>_x000D_
BROCAS</t>
        </r>
      </text>
    </comment>
    <comment ref="AW294" authorId="0" shapeId="0" xr:uid="{C9E32710-95FA-4658-8499-FD132C0C9687}">
      <text>
        <r>
          <rPr>
            <sz val="10"/>
            <color indexed="81"/>
            <rFont val="Lucida Console"/>
            <family val="3"/>
          </rPr>
          <t>Tempo de Estoque (Meses)_x000D_
_x000D_
158,0</t>
        </r>
      </text>
    </comment>
    <comment ref="A295" authorId="0" shapeId="0" xr:uid="{9A50AD01-8EC1-4205-9C6D-1ED4B5CC4C56}">
      <text>
        <r>
          <rPr>
            <sz val="10"/>
            <color indexed="81"/>
            <rFont val="Lucida Console"/>
            <family val="3"/>
          </rPr>
          <t>_x000D_
14737</t>
        </r>
      </text>
    </comment>
    <comment ref="B295" authorId="0" shapeId="0" xr:uid="{5A7DED91-AC37-498F-AB98-74C5DDEA9E19}">
      <text>
        <r>
          <rPr>
            <sz val="10"/>
            <color indexed="81"/>
            <rFont val="Lucida Console"/>
            <family val="3"/>
          </rPr>
          <t>DESCRIÇÃO DETALHADA_x000D_
TINTA ACRILICA P/ DEMARCACAO DE SOLO - BALDE C/ 18 L - PRETA - PADRAO DER 3.09</t>
        </r>
      </text>
    </comment>
    <comment ref="G295" authorId="0" shapeId="0" xr:uid="{3174B9AC-0C7B-4D9B-BAA8-15459EB3B197}">
      <text>
        <r>
          <rPr>
            <sz val="10"/>
            <color indexed="81"/>
            <rFont val="Lucida Console"/>
            <family val="3"/>
          </rPr>
          <t>_x000D_
Últ estimativa : 10_x000D_
Enviada em     : 10.03.2020_x000D_
Ata - Venc     : 156/20 - 29.07.2021</t>
        </r>
      </text>
    </comment>
    <comment ref="O295" authorId="0" shapeId="0" xr:uid="{3B84B717-ACD6-4F5D-A3E2-C5CC923000FB}">
      <text>
        <r>
          <rPr>
            <sz val="10"/>
            <color indexed="81"/>
            <rFont val="Lucida Console"/>
            <family val="3"/>
          </rPr>
          <t>_x000D_
Pertencia a ATA nº 156/20_x000D_
Estimativa de Renovação enviada em 10.03.2020 - Qtd 10_x000D_
PE  31/19 lote 1_x000D_
10.07.19 = Finalizar - contrato assinado</t>
        </r>
      </text>
    </comment>
    <comment ref="W295" authorId="0" shapeId="0" xr:uid="{EB063206-51B0-4700-849A-FADE394ED1D0}">
      <text>
        <r>
          <rPr>
            <sz val="10"/>
            <color indexed="81"/>
            <rFont val="Lucida Console"/>
            <family val="3"/>
          </rPr>
          <t>_x000D_
DM-Pintura</t>
        </r>
      </text>
    </comment>
    <comment ref="X295" authorId="0" shapeId="0" xr:uid="{8DD515EF-95B3-459A-A1A8-E87A3209D42C}">
      <text>
        <r>
          <rPr>
            <sz val="10"/>
            <color indexed="81"/>
            <rFont val="Lucida Console"/>
            <family val="3"/>
          </rPr>
          <t>_x000D_
EQUIP. E MATERIAIS P/PINTURAS E IMPERMEABILIZACAO</t>
        </r>
      </text>
    </comment>
    <comment ref="Y295" authorId="0" shapeId="0" xr:uid="{9E2E2110-8148-4E56-8AD0-80E3DC1FF5AB}">
      <text>
        <r>
          <rPr>
            <sz val="10"/>
            <color indexed="81"/>
            <rFont val="Lucida Console"/>
            <family val="3"/>
          </rPr>
          <t>_x000D_
VERNIZES PRIMERS E TINTAS PARA SOLO</t>
        </r>
      </text>
    </comment>
    <comment ref="AW295" authorId="0" shapeId="0" xr:uid="{D0836DE3-BC40-4305-A9A3-41854D79A145}">
      <text>
        <r>
          <rPr>
            <sz val="10"/>
            <color indexed="81"/>
            <rFont val="Lucida Console"/>
            <family val="3"/>
          </rPr>
          <t>Tempo de Estoque (Meses)_x000D_
_x000D_
33,0</t>
        </r>
      </text>
    </comment>
    <comment ref="A296" authorId="0" shapeId="0" xr:uid="{2DF73AA8-520C-46D8-89B7-14EC29E04254}">
      <text>
        <r>
          <rPr>
            <sz val="10"/>
            <color indexed="81"/>
            <rFont val="Lucida Console"/>
            <family val="3"/>
          </rPr>
          <t>_x000D_
20760</t>
        </r>
      </text>
    </comment>
    <comment ref="B296" authorId="0" shapeId="0" xr:uid="{44AA7BBA-B63E-44F4-843F-1C05982743FF}">
      <text>
        <r>
          <rPr>
            <sz val="10"/>
            <color indexed="81"/>
            <rFont val="Lucida Console"/>
            <family val="3"/>
          </rPr>
          <t>DESCRIÇÃO DETALHADA_x000D_
TINTA ACRILICA P/ DEMARCACAO DE SOLO - BALDE C/ 18 LITROS - BRANCA - PADRAO DER 3.09</t>
        </r>
      </text>
    </comment>
    <comment ref="G296" authorId="0" shapeId="0" xr:uid="{F4A8CF67-36EE-4F17-AE50-F92F6900437D}">
      <text>
        <r>
          <rPr>
            <sz val="10"/>
            <color indexed="81"/>
            <rFont val="Lucida Console"/>
            <family val="3"/>
          </rPr>
          <t>_x000D_
Últ estimativa : 150_x000D_
Enviada em     : 10.03.2020_x000D_
Ata - Venc     : 156/20 - 29.07.2021</t>
        </r>
      </text>
    </comment>
    <comment ref="O296" authorId="0" shapeId="0" xr:uid="{DB79D4CD-BC7C-4ACC-925E-E71B32C74770}">
      <text>
        <r>
          <rPr>
            <sz val="10"/>
            <color indexed="81"/>
            <rFont val="Lucida Console"/>
            <family val="3"/>
          </rPr>
          <t>_x000D_
Pertencia a ATA nº 156/20_x000D_
Estimativa de Renovação enviada em 10.03.2020 - Qtd 150_x000D_
PE  31/19 lote 2_x000D_
10.07.19 = Finalizar - contrato assinado</t>
        </r>
      </text>
    </comment>
    <comment ref="W296" authorId="0" shapeId="0" xr:uid="{1EDF5812-F359-4EC9-A4AB-3F7E7E73A251}">
      <text>
        <r>
          <rPr>
            <sz val="10"/>
            <color indexed="81"/>
            <rFont val="Lucida Console"/>
            <family val="3"/>
          </rPr>
          <t>_x000D_
DM-Pintura</t>
        </r>
      </text>
    </comment>
    <comment ref="X296" authorId="0" shapeId="0" xr:uid="{12AE3B25-CCCA-4BD9-8D45-1EA856E04BFA}">
      <text>
        <r>
          <rPr>
            <sz val="10"/>
            <color indexed="81"/>
            <rFont val="Lucida Console"/>
            <family val="3"/>
          </rPr>
          <t>_x000D_
EQUIP. E MATERIAIS P/PINTURAS E IMPERMEABILIZACAO</t>
        </r>
      </text>
    </comment>
    <comment ref="Y296" authorId="0" shapeId="0" xr:uid="{1A5FC577-02D8-499F-A255-C85127BE533B}">
      <text>
        <r>
          <rPr>
            <sz val="10"/>
            <color indexed="81"/>
            <rFont val="Lucida Console"/>
            <family val="3"/>
          </rPr>
          <t>_x000D_
VERNIZES PRIMERS E TINTAS PARA SOLO</t>
        </r>
      </text>
    </comment>
    <comment ref="AW296" authorId="0" shapeId="0" xr:uid="{C8D61EC9-F368-42E7-8AC6-2850713689C1}">
      <text>
        <r>
          <rPr>
            <sz val="10"/>
            <color indexed="81"/>
            <rFont val="Lucida Console"/>
            <family val="3"/>
          </rPr>
          <t>Tempo de Estoque (Meses)_x000D_
_x000D_
105,0</t>
        </r>
      </text>
    </comment>
    <comment ref="A297" authorId="0" shapeId="0" xr:uid="{F3BCF7CA-A821-4D34-A691-51FB29C351F7}">
      <text>
        <r>
          <rPr>
            <sz val="10"/>
            <color indexed="81"/>
            <rFont val="Lucida Console"/>
            <family val="3"/>
          </rPr>
          <t>_x000D_
20763</t>
        </r>
      </text>
    </comment>
    <comment ref="B297" authorId="0" shapeId="0" xr:uid="{0DCBA676-1BB0-433B-9533-F46A05B8D4D1}">
      <text>
        <r>
          <rPr>
            <sz val="10"/>
            <color indexed="81"/>
            <rFont val="Lucida Console"/>
            <family val="3"/>
          </rPr>
          <t>DESCRIÇÃO DETALHADA_x000D_
TINTA ACRILICA P/ DEMARCACAO DO SOLO - BALDE COM 18 LITROS - AMARELA - PADRAO DER 3.09</t>
        </r>
      </text>
    </comment>
    <comment ref="G297" authorId="0" shapeId="0" xr:uid="{04AFF78E-0190-478B-910A-3C8F3E69E372}">
      <text>
        <r>
          <rPr>
            <sz val="10"/>
            <color indexed="81"/>
            <rFont val="Lucida Console"/>
            <family val="3"/>
          </rPr>
          <t>_x000D_
Últ estimativa : 50_x000D_
Enviada em     : 10.03.2020_x000D_
Ata - Venc     : 156/20 - 29.07.2021</t>
        </r>
      </text>
    </comment>
    <comment ref="O297" authorId="0" shapeId="0" xr:uid="{223EE500-64AE-443C-BC9D-F112F43E1005}">
      <text>
        <r>
          <rPr>
            <sz val="10"/>
            <color indexed="81"/>
            <rFont val="Lucida Console"/>
            <family val="3"/>
          </rPr>
          <t>_x000D_
Pertencia a ATA nº 156/20_x000D_
Estimativa de Renovação enviada em 10.03.2020 - Qtd 50_x000D_
PE  31/19 lote 3_x000D_
10.07.19 = Finalizar - contrato assinado</t>
        </r>
      </text>
    </comment>
    <comment ref="W297" authorId="0" shapeId="0" xr:uid="{921D8D04-F0ED-436F-8537-49074CBFAC34}">
      <text>
        <r>
          <rPr>
            <sz val="10"/>
            <color indexed="81"/>
            <rFont val="Lucida Console"/>
            <family val="3"/>
          </rPr>
          <t>_x000D_
DM-Pintura</t>
        </r>
      </text>
    </comment>
    <comment ref="X297" authorId="0" shapeId="0" xr:uid="{091B1DDE-3DC5-43A0-A4D7-22994C487FC0}">
      <text>
        <r>
          <rPr>
            <sz val="10"/>
            <color indexed="81"/>
            <rFont val="Lucida Console"/>
            <family val="3"/>
          </rPr>
          <t>_x000D_
EQUIP. E MATERIAIS P/PINTURAS E IMPERMEABILIZACAO</t>
        </r>
      </text>
    </comment>
    <comment ref="Y297" authorId="0" shapeId="0" xr:uid="{6FE7C11B-008A-4D3E-9B06-4ECA873680D2}">
      <text>
        <r>
          <rPr>
            <sz val="10"/>
            <color indexed="81"/>
            <rFont val="Lucida Console"/>
            <family val="3"/>
          </rPr>
          <t>_x000D_
VERNIZES PRIMERS E TINTAS PARA SOLO</t>
        </r>
      </text>
    </comment>
    <comment ref="AW297" authorId="0" shapeId="0" xr:uid="{C8FEC49C-30EC-437B-A881-772D6471AAFA}">
      <text>
        <r>
          <rPr>
            <sz val="10"/>
            <color indexed="81"/>
            <rFont val="Lucida Console"/>
            <family val="3"/>
          </rPr>
          <t>Tempo de Estoque (Meses)_x000D_
_x000D_
57,0</t>
        </r>
      </text>
    </comment>
    <comment ref="A298" authorId="0" shapeId="0" xr:uid="{32702884-8BC2-421D-9DDC-EF1C3F67D3FA}">
      <text>
        <r>
          <rPr>
            <sz val="10"/>
            <color indexed="81"/>
            <rFont val="Lucida Console"/>
            <family val="3"/>
          </rPr>
          <t>_x000D_
69229</t>
        </r>
      </text>
    </comment>
    <comment ref="B298" authorId="0" shapeId="0" xr:uid="{785BE38C-6727-4EC0-A68F-C7349A87DA4C}">
      <text>
        <r>
          <rPr>
            <sz val="10"/>
            <color indexed="81"/>
            <rFont val="Lucida Console"/>
            <family val="3"/>
          </rPr>
          <t>DESCRIÇÃO DETALHADA_x000D_
TINTA ACRILICA P/ DEMARCACAO DE SOLO - BALDE C/ 18 LITROS - AZUL - PADRAO DER 3.09</t>
        </r>
      </text>
    </comment>
    <comment ref="G298" authorId="0" shapeId="0" xr:uid="{2ABFD3DA-4DBD-4FE9-B4BD-9B8EE84FC4FB}">
      <text>
        <r>
          <rPr>
            <sz val="10"/>
            <color indexed="81"/>
            <rFont val="Lucida Console"/>
            <family val="3"/>
          </rPr>
          <t>_x000D_
Últ estimativa : 150_x000D_
Enviada em     : 10.03.2020_x000D_
Ata - Venc     : 156/20 - 29.07.2021</t>
        </r>
      </text>
    </comment>
    <comment ref="O298" authorId="0" shapeId="0" xr:uid="{7017DC3C-16F2-4FE2-A3E2-14B99F5946EC}">
      <text>
        <r>
          <rPr>
            <sz val="10"/>
            <color indexed="81"/>
            <rFont val="Lucida Console"/>
            <family val="3"/>
          </rPr>
          <t>_x000D_
Pertencia a ATA nº 156/20_x000D_
Estimativa de Renovação enviada em 10.03.2020 - Qtd 150_x000D_
PE  31/19 lote 6_x000D_
10.07.19 = Finalizar - contrato assinado</t>
        </r>
      </text>
    </comment>
    <comment ref="W298" authorId="0" shapeId="0" xr:uid="{E87B059E-397E-4F57-8F39-4783403BB965}">
      <text>
        <r>
          <rPr>
            <sz val="10"/>
            <color indexed="81"/>
            <rFont val="Lucida Console"/>
            <family val="3"/>
          </rPr>
          <t>_x000D_
DM-Pintura</t>
        </r>
      </text>
    </comment>
    <comment ref="X298" authorId="0" shapeId="0" xr:uid="{274D1A1F-9140-44D6-9C82-EF0AAD5EF662}">
      <text>
        <r>
          <rPr>
            <sz val="10"/>
            <color indexed="81"/>
            <rFont val="Lucida Console"/>
            <family val="3"/>
          </rPr>
          <t>_x000D_
EQUIP. E MATERIAIS P/PINTURAS E IMPERMEABILIZACAO</t>
        </r>
      </text>
    </comment>
    <comment ref="Y298" authorId="0" shapeId="0" xr:uid="{16D1BDA4-CE6B-42B9-8C26-F410A50294A4}">
      <text>
        <r>
          <rPr>
            <sz val="10"/>
            <color indexed="81"/>
            <rFont val="Lucida Console"/>
            <family val="3"/>
          </rPr>
          <t>_x000D_
VERNIZES PRIMERS E TINTAS PARA SOLO</t>
        </r>
      </text>
    </comment>
    <comment ref="AW298" authorId="0" shapeId="0" xr:uid="{24F4F62E-5DE3-453E-995F-D97C4C1CB4D3}">
      <text>
        <r>
          <rPr>
            <sz val="10"/>
            <color indexed="81"/>
            <rFont val="Lucida Console"/>
            <family val="3"/>
          </rPr>
          <t>Tempo de Estoque (Meses)_x000D_
_x000D_
134,0</t>
        </r>
      </text>
    </comment>
    <comment ref="A299" authorId="0" shapeId="0" xr:uid="{35E0C690-E9FE-4A8A-9DA7-B0F79A36BEC7}">
      <text>
        <r>
          <rPr>
            <sz val="10"/>
            <color indexed="81"/>
            <rFont val="Lucida Console"/>
            <family val="3"/>
          </rPr>
          <t>_x000D_
87586</t>
        </r>
      </text>
    </comment>
    <comment ref="B299" authorId="0" shapeId="0" xr:uid="{8A07347A-C835-4D27-A7F3-8A56A0F662A7}">
      <text>
        <r>
          <rPr>
            <sz val="10"/>
            <color indexed="81"/>
            <rFont val="Lucida Console"/>
            <family val="3"/>
          </rPr>
          <t>DESCRIÇÃO DETALHADA_x000D_
TINTA ACRILICA P/ DEMARCACAO DE SOLO - BALDE C/ 18 L - VERMELHA - PADRAO DER 3.09</t>
        </r>
      </text>
    </comment>
    <comment ref="G299" authorId="0" shapeId="0" xr:uid="{3F00D1D5-05A4-4B29-9EFB-85065C1307BC}">
      <text>
        <r>
          <rPr>
            <sz val="10"/>
            <color indexed="81"/>
            <rFont val="Lucida Console"/>
            <family val="3"/>
          </rPr>
          <t>_x000D_
Últ estimativa : 10_x000D_
Enviada em     : 10.03.2020_x000D_
Ata - Venc     : 156/20 - 29.07.2021</t>
        </r>
      </text>
    </comment>
    <comment ref="O299" authorId="0" shapeId="0" xr:uid="{1CEBCC1C-7ED9-4F60-8227-A12C477A40C0}">
      <text>
        <r>
          <rPr>
            <sz val="10"/>
            <color indexed="81"/>
            <rFont val="Lucida Console"/>
            <family val="3"/>
          </rPr>
          <t>_x000D_
Pertencia a ATA nº 156/20_x000D_
Estimativa de Renovação enviada em 10.03.2020 - Qtd 10_x000D_
PE  31/19 lote 8_x000D_
10.07.19 = Finalizar - contrato assinado</t>
        </r>
      </text>
    </comment>
    <comment ref="W299" authorId="0" shapeId="0" xr:uid="{69B64948-9F40-41E2-9A1D-B2CE345482E6}">
      <text>
        <r>
          <rPr>
            <sz val="10"/>
            <color indexed="81"/>
            <rFont val="Lucida Console"/>
            <family val="3"/>
          </rPr>
          <t>_x000D_
DM-Pintura</t>
        </r>
      </text>
    </comment>
    <comment ref="X299" authorId="0" shapeId="0" xr:uid="{84022073-E2C4-40E0-9443-CB315BB7A336}">
      <text>
        <r>
          <rPr>
            <sz val="10"/>
            <color indexed="81"/>
            <rFont val="Lucida Console"/>
            <family val="3"/>
          </rPr>
          <t>_x000D_
EQUIP. E MATERIAIS P/PINTURAS E IMPERMEABILIZACAO</t>
        </r>
      </text>
    </comment>
    <comment ref="Y299" authorId="0" shapeId="0" xr:uid="{4380BF0B-F8D2-4659-A1C6-50A35B576951}">
      <text>
        <r>
          <rPr>
            <sz val="10"/>
            <color indexed="81"/>
            <rFont val="Lucida Console"/>
            <family val="3"/>
          </rPr>
          <t>_x000D_
VERNIZES PRIMERS E TINTAS PARA SOLO</t>
        </r>
      </text>
    </comment>
    <comment ref="AW299" authorId="0" shapeId="0" xr:uid="{73DFF30A-8CD6-481B-A71D-9BBE6928BF70}">
      <text>
        <r>
          <rPr>
            <sz val="10"/>
            <color indexed="81"/>
            <rFont val="Lucida Console"/>
            <family val="3"/>
          </rPr>
          <t>Tempo de Estoque (Meses)_x000D_
_x000D_
25,0</t>
        </r>
      </text>
    </comment>
    <comment ref="A300" authorId="0" shapeId="0" xr:uid="{449D02A2-4EA2-49EA-987F-4EFD5EFE262C}">
      <text>
        <r>
          <rPr>
            <sz val="10"/>
            <color indexed="81"/>
            <rFont val="Lucida Console"/>
            <family val="3"/>
          </rPr>
          <t>_x000D_
23778</t>
        </r>
      </text>
    </comment>
    <comment ref="B300" authorId="0" shapeId="0" xr:uid="{097876FB-D492-4EE0-B452-00CF8D5A35EB}">
      <text>
        <r>
          <rPr>
            <sz val="10"/>
            <color indexed="81"/>
            <rFont val="Lucida Console"/>
            <family val="3"/>
          </rPr>
          <t>DESCRIÇÃO DETALHADA_x000D_
SOLVENTE P/ TINTA DE DEMARCACAO VIARIA -BALDE C/ 18 LITROS - TIPO DER 3.09</t>
        </r>
      </text>
    </comment>
    <comment ref="G300" authorId="0" shapeId="0" xr:uid="{6A6BEC05-8A33-4585-B258-75F84F8ECE6E}">
      <text>
        <r>
          <rPr>
            <sz val="10"/>
            <color indexed="81"/>
            <rFont val="Lucida Console"/>
            <family val="3"/>
          </rPr>
          <t>_x000D_
Últ estimativa : 200_x000D_
Enviada em     : 10.03.2020_x000D_
Ata - Venc     : 156/20 - 29.07.2021</t>
        </r>
      </text>
    </comment>
    <comment ref="O300" authorId="0" shapeId="0" xr:uid="{4500BB22-E185-4E06-97DD-DAA3F868363F}">
      <text>
        <r>
          <rPr>
            <sz val="10"/>
            <color indexed="81"/>
            <rFont val="Lucida Console"/>
            <family val="3"/>
          </rPr>
          <t>_x000D_
Pertencia a ATA nº 156/20_x000D_
Estimativa de Renovação enviada em 10.03.2020 - Qtd 200_x000D_
PE  31/19 lote 4_x000D_
10.07.19 = Finalizar - contrato assinado</t>
        </r>
      </text>
    </comment>
    <comment ref="W300" authorId="0" shapeId="0" xr:uid="{B0DB9889-DD95-43F9-AD05-FF1FE36BF9B7}">
      <text>
        <r>
          <rPr>
            <sz val="10"/>
            <color indexed="81"/>
            <rFont val="Lucida Console"/>
            <family val="3"/>
          </rPr>
          <t>_x000D_
DM-Pintura</t>
        </r>
      </text>
    </comment>
    <comment ref="X300" authorId="0" shapeId="0" xr:uid="{8CE4B8C4-21C1-4802-BDB8-552AEF94A75B}">
      <text>
        <r>
          <rPr>
            <sz val="10"/>
            <color indexed="81"/>
            <rFont val="Lucida Console"/>
            <family val="3"/>
          </rPr>
          <t>_x000D_
EQUIP. E MATERIAIS P/PINTURAS E IMPERMEABILIZACAO</t>
        </r>
      </text>
    </comment>
    <comment ref="Y300" authorId="0" shapeId="0" xr:uid="{753F601E-10FB-4179-B497-28E1E3057F3F}">
      <text>
        <r>
          <rPr>
            <sz val="10"/>
            <color indexed="81"/>
            <rFont val="Lucida Console"/>
            <family val="3"/>
          </rPr>
          <t>_x000D_
REMOVED.,DILUENT.,DECAPANTES MATER.P/LIMP. E PINT.</t>
        </r>
      </text>
    </comment>
    <comment ref="AW300" authorId="0" shapeId="0" xr:uid="{CC25E461-4065-4AC7-8906-90D21C591CB3}">
      <text>
        <r>
          <rPr>
            <sz val="10"/>
            <color indexed="81"/>
            <rFont val="Lucida Console"/>
            <family val="3"/>
          </rPr>
          <t>Tempo de Estoque (Meses)_x000D_
_x000D_
157,0</t>
        </r>
      </text>
    </comment>
    <comment ref="A301" authorId="0" shapeId="0" xr:uid="{0FED25AA-0B37-4FAB-B40E-D0723E9A873D}">
      <text>
        <r>
          <rPr>
            <sz val="10"/>
            <color indexed="81"/>
            <rFont val="Lucida Console"/>
            <family val="3"/>
          </rPr>
          <t>_x000D_
114430</t>
        </r>
      </text>
    </comment>
    <comment ref="B301" authorId="0" shapeId="0" xr:uid="{D77AED23-3E7C-4CB4-AB5F-CB8CBE8202EA}">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01" authorId="0" shapeId="0" xr:uid="{003C87E1-7DBD-4E86-A210-CDE76079B98B}">
      <text>
        <r>
          <rPr>
            <sz val="10"/>
            <color indexed="81"/>
            <rFont val="Lucida Console"/>
            <family val="3"/>
          </rPr>
          <t>_x000D_
Últ estimativa : 300_x000D_
Enviada em     : 05.03.2020_x000D_
Ata - Venc     : 158/20 - 30.07.2021</t>
        </r>
      </text>
    </comment>
    <comment ref="O301" authorId="0" shapeId="0" xr:uid="{77732E28-B663-430A-A744-946AC9B12124}">
      <text>
        <r>
          <rPr>
            <sz val="10"/>
            <color indexed="81"/>
            <rFont val="Lucida Console"/>
            <family val="3"/>
          </rPr>
          <t>_x000D_
Pertencia a ATA nº 158/20_x000D_
Estimativa de Renovação enviada em 05.03.2020 - Qtd 300_x000D_
PE 108/20 lote _x000D_
16.07.20 = Finalizado</t>
        </r>
      </text>
    </comment>
    <comment ref="W301" authorId="0" shapeId="0" xr:uid="{B419F0F2-5589-458B-A1CA-B3072C8998E8}">
      <text>
        <r>
          <rPr>
            <sz val="10"/>
            <color indexed="81"/>
            <rFont val="Lucida Console"/>
            <family val="3"/>
          </rPr>
          <t>_x000D_
Administrativo</t>
        </r>
      </text>
    </comment>
    <comment ref="X301" authorId="0" shapeId="0" xr:uid="{2E5FBE2D-C0C1-43C6-AB9A-0A2265210242}">
      <text>
        <r>
          <rPr>
            <sz val="10"/>
            <color indexed="81"/>
            <rFont val="Lucida Console"/>
            <family val="3"/>
          </rPr>
          <t>_x000D_
VEST., ART.P/ TOUC.E HIG. PES. MAQ., EQUIP., MAT.E ACES.</t>
        </r>
      </text>
    </comment>
    <comment ref="Y301" authorId="0" shapeId="0" xr:uid="{D89BD75B-DCB8-46E4-A2EF-2800D76FB7F6}">
      <text>
        <r>
          <rPr>
            <sz val="10"/>
            <color indexed="81"/>
            <rFont val="Lucida Console"/>
            <family val="3"/>
          </rPr>
          <t>_x000D_
ART. P/ HIG.PES., TOUCADOR, BEL., MAQUIA. E ADORNOS</t>
        </r>
      </text>
    </comment>
    <comment ref="AW301" authorId="0" shapeId="0" xr:uid="{7F157E26-8138-4D66-B2E5-B8B05B43FE2E}">
      <text>
        <r>
          <rPr>
            <sz val="10"/>
            <color indexed="81"/>
            <rFont val="Lucida Console"/>
            <family val="3"/>
          </rPr>
          <t>Tempo de Estoque (Meses)_x000D_
_x000D_
225,0</t>
        </r>
      </text>
    </comment>
    <comment ref="A302" authorId="0" shapeId="0" xr:uid="{66D3267C-2131-4FF2-8853-E5DBC50EDC5E}">
      <text>
        <r>
          <rPr>
            <sz val="10"/>
            <color indexed="81"/>
            <rFont val="Lucida Console"/>
            <family val="3"/>
          </rPr>
          <t>_x000D_
81493</t>
        </r>
      </text>
    </comment>
    <comment ref="B302" authorId="0" shapeId="0" xr:uid="{66EC0623-953B-46BE-B837-71A6F251059E}">
      <text>
        <r>
          <rPr>
            <sz val="10"/>
            <color indexed="81"/>
            <rFont val="Lucida Console"/>
            <family val="3"/>
          </rPr>
          <t>DESCRIÇÃO DETALHADA_x000D_
MASSA PLASTICA A BASE DE RECURSOS POLIESTERES - LATA C/ 700 GR</t>
        </r>
      </text>
    </comment>
    <comment ref="G302" authorId="0" shapeId="0" xr:uid="{82EFA22B-441C-42CF-819B-C78AC5DC3E0B}">
      <text>
        <r>
          <rPr>
            <sz val="10"/>
            <color indexed="81"/>
            <rFont val="Lucida Console"/>
            <family val="3"/>
          </rPr>
          <t>_x000D_
Últ estimativa : 200_x000D_
Enviada em     : 24.10.2019_x000D_
Ata - Venc     : 16/19 - 29.01.2020</t>
        </r>
      </text>
    </comment>
    <comment ref="O302" authorId="0" shapeId="0" xr:uid="{E721D005-E641-4E07-B4ED-B8BD3BA8AEEA}">
      <text>
        <r>
          <rPr>
            <sz val="10"/>
            <color indexed="81"/>
            <rFont val="Lucida Console"/>
            <family val="3"/>
          </rPr>
          <t>_x000D_
Pertencia a ATA nº 16/19_x000D_
Estimativa de Renovação enviada em 24.10.2019 - Qtd 200_x000D_
PE 147/20 lote 11 (Impróspero)_x000D_
04.09.20 = Finalizado. Ata 254/20</t>
        </r>
      </text>
    </comment>
    <comment ref="W302" authorId="0" shapeId="0" xr:uid="{30B9EB8B-0C69-4906-8F07-135CE03F68A0}">
      <text>
        <r>
          <rPr>
            <sz val="10"/>
            <color indexed="81"/>
            <rFont val="Lucida Console"/>
            <family val="3"/>
          </rPr>
          <t>_x000D_
DM-Pintura</t>
        </r>
      </text>
    </comment>
    <comment ref="X302" authorId="0" shapeId="0" xr:uid="{CDC030DD-0651-4989-AE8D-86B43434C14C}">
      <text>
        <r>
          <rPr>
            <sz val="10"/>
            <color indexed="81"/>
            <rFont val="Lucida Console"/>
            <family val="3"/>
          </rPr>
          <t>_x000D_
EQUIP. E MATERIAIS P/PINTURAS E IMPERMEABILIZACAO</t>
        </r>
      </text>
    </comment>
    <comment ref="Y302" authorId="0" shapeId="0" xr:uid="{174D5DF0-E225-44B4-A328-06F2F1EDC5B6}">
      <text>
        <r>
          <rPr>
            <sz val="10"/>
            <color indexed="81"/>
            <rFont val="Lucida Console"/>
            <family val="3"/>
          </rPr>
          <t>_x000D_
MATERIAIS COMPLEMENTARES A PINTURA</t>
        </r>
      </text>
    </comment>
    <comment ref="AW302" authorId="0" shapeId="0" xr:uid="{56AE781F-1701-4D8D-A90F-448693590ECB}">
      <text>
        <r>
          <rPr>
            <sz val="10"/>
            <color indexed="81"/>
            <rFont val="Lucida Console"/>
            <family val="3"/>
          </rPr>
          <t>Tempo de Estoque (Meses)_x000D_
_x000D_
52,0</t>
        </r>
      </text>
    </comment>
    <comment ref="A303" authorId="0" shapeId="0" xr:uid="{048EC2E1-B9D5-48AA-B1F0-F5A1645B0103}">
      <text>
        <r>
          <rPr>
            <sz val="10"/>
            <color indexed="81"/>
            <rFont val="Lucida Console"/>
            <family val="3"/>
          </rPr>
          <t>_x000D_
20135</t>
        </r>
      </text>
    </comment>
    <comment ref="B303" authorId="0" shapeId="0" xr:uid="{D4DCA2A8-E03F-47C0-AE46-EB3E2677BF43}">
      <text>
        <r>
          <rPr>
            <sz val="10"/>
            <color indexed="81"/>
            <rFont val="Lucida Console"/>
            <family val="3"/>
          </rPr>
          <t>DESCRIÇÃO DETALHADA_x000D_
CHAPA DE ACO CARBONO GALVANIZADO ZINCADO N°22 ESP=0,80 MM -2 X 1</t>
        </r>
      </text>
    </comment>
    <comment ref="G303" authorId="0" shapeId="0" xr:uid="{99109C7D-A728-45B0-8A32-193E8516CAB1}">
      <text>
        <r>
          <rPr>
            <sz val="10"/>
            <color indexed="81"/>
            <rFont val="Lucida Console"/>
            <family val="3"/>
          </rPr>
          <t>_x000D_
Últ estimativa : 350_x000D_
Enviada em     : 19.05.2021_x000D_
Ata - Venc     : 16/20 - 27.01.2021</t>
        </r>
      </text>
    </comment>
    <comment ref="O303" authorId="0" shapeId="0" xr:uid="{94CC5529-346D-4138-A938-3980C4BF08AA}">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303" authorId="0" shapeId="0" xr:uid="{8AF478F6-FB5B-43FE-8380-26BF217ED8C5}">
      <text>
        <r>
          <rPr>
            <sz val="10"/>
            <color indexed="81"/>
            <rFont val="Lucida Console"/>
            <family val="3"/>
          </rPr>
          <t>_x000D_
DM-Serralheria</t>
        </r>
      </text>
    </comment>
    <comment ref="X303" authorId="0" shapeId="0" xr:uid="{F3AE44CF-6DA6-4E74-9D4A-D53115DD2349}">
      <text>
        <r>
          <rPr>
            <sz val="10"/>
            <color indexed="81"/>
            <rFont val="Lucida Console"/>
            <family val="3"/>
          </rPr>
          <t>_x000D_
METAIS,LAMINAD.,PERFILADOS E ARTEFATOS METALICOS</t>
        </r>
      </text>
    </comment>
    <comment ref="Y303" authorId="0" shapeId="0" xr:uid="{4E764063-63E6-4754-A75E-B08EB6770847}">
      <text>
        <r>
          <rPr>
            <sz val="10"/>
            <color indexed="81"/>
            <rFont val="Lucida Console"/>
            <family val="3"/>
          </rPr>
          <t>_x000D_
CHAPAS</t>
        </r>
      </text>
    </comment>
    <comment ref="AC303" authorId="0" shapeId="0" xr:uid="{2602DCC4-C418-4D11-BB64-1635A3866366}">
      <text>
        <r>
          <rPr>
            <sz val="10"/>
            <color indexed="81"/>
            <rFont val="Lucida Console"/>
            <family val="3"/>
          </rPr>
          <t>_x000D_
AF  8.862/23 | Vc 21.08.2023 | Saldo    300 | MEGAFER COMERCIO DE FERRO E ACO LTDA ( 60363 )</t>
        </r>
      </text>
    </comment>
    <comment ref="AG303" authorId="0" shapeId="0" xr:uid="{E4C3881D-6933-4A61-83D0-8EA4EA63CF17}">
      <text>
        <r>
          <rPr>
            <sz val="10"/>
            <color indexed="81"/>
            <rFont val="Lucida Console"/>
            <family val="3"/>
          </rPr>
          <t>_x000D_
AF  8.862/23 | Vc 21.08.2023 | Saldo    300 | MEGAFER COMERCIO DE FERRO E ACO LTDA ( 60363 )</t>
        </r>
      </text>
    </comment>
    <comment ref="AW303" authorId="0" shapeId="0" xr:uid="{A0329924-937E-40F6-A88D-504D09C2A3DC}">
      <text>
        <r>
          <rPr>
            <sz val="10"/>
            <color indexed="81"/>
            <rFont val="Lucida Console"/>
            <family val="3"/>
          </rPr>
          <t>Tempo de Estoque (Meses)_x000D_
_x000D_
300,0</t>
        </r>
      </text>
    </comment>
    <comment ref="A304" authorId="0" shapeId="0" xr:uid="{79029A05-A759-4820-BF5A-5957C79A835D}">
      <text>
        <r>
          <rPr>
            <sz val="10"/>
            <color indexed="81"/>
            <rFont val="Lucida Console"/>
            <family val="3"/>
          </rPr>
          <t>_x000D_
64253</t>
        </r>
      </text>
    </comment>
    <comment ref="B304" authorId="0" shapeId="0" xr:uid="{DF6E4137-A5F9-4A77-9E7B-AD0550EC185A}">
      <text>
        <r>
          <rPr>
            <sz val="10"/>
            <color indexed="81"/>
            <rFont val="Lucida Console"/>
            <family val="3"/>
          </rPr>
          <t>DESCRIÇÃO DETALHADA_x000D_
TUBO QUADRADO DE METALON - 1" X 1" X 1,5 MM - BARRA COM 06 METROS</t>
        </r>
      </text>
    </comment>
    <comment ref="G304" authorId="0" shapeId="0" xr:uid="{08D161E3-C7E4-4595-A742-E36EF63F91D7}">
      <text>
        <r>
          <rPr>
            <sz val="10"/>
            <color indexed="81"/>
            <rFont val="Lucida Console"/>
            <family val="3"/>
          </rPr>
          <t>_x000D_
Últ estimativa : 850_x000D_
Enviada em     : 19.05.2021_x000D_
Ata - Venc     : 16/20 - 27.01.2021</t>
        </r>
      </text>
    </comment>
    <comment ref="O304" authorId="0" shapeId="0" xr:uid="{2ED4DEA7-2A61-45CF-903F-08C0C9494C7C}">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04" authorId="0" shapeId="0" xr:uid="{7BB4421B-68D3-4AF1-9A69-DA483BF9F1C4}">
      <text>
        <r>
          <rPr>
            <sz val="10"/>
            <color indexed="81"/>
            <rFont val="Lucida Console"/>
            <family val="3"/>
          </rPr>
          <t>_x000D_
DM-Serralheria</t>
        </r>
      </text>
    </comment>
    <comment ref="X304" authorId="0" shapeId="0" xr:uid="{3353F50F-D35F-40FE-8B93-E2838E5353FF}">
      <text>
        <r>
          <rPr>
            <sz val="10"/>
            <color indexed="81"/>
            <rFont val="Lucida Console"/>
            <family val="3"/>
          </rPr>
          <t>_x000D_
METAIS,LAMINAD.,PERFILADOS E ARTEFATOS METALICOS</t>
        </r>
      </text>
    </comment>
    <comment ref="Y304" authorId="0" shapeId="0" xr:uid="{5B395FE0-6FCB-4B01-9FB7-8AB813CFC9E2}">
      <text>
        <r>
          <rPr>
            <sz val="10"/>
            <color indexed="81"/>
            <rFont val="Lucida Console"/>
            <family val="3"/>
          </rPr>
          <t>_x000D_
TUBOS MECANICOS</t>
        </r>
      </text>
    </comment>
    <comment ref="AW304" authorId="0" shapeId="0" xr:uid="{8230A412-6445-47C8-91A3-A23F80331060}">
      <text>
        <r>
          <rPr>
            <sz val="10"/>
            <color indexed="81"/>
            <rFont val="Lucida Console"/>
            <family val="3"/>
          </rPr>
          <t>Tempo de Estoque (Meses)_x000D_
_x000D_
2.118,0</t>
        </r>
      </text>
    </comment>
    <comment ref="A305" authorId="0" shapeId="0" xr:uid="{F9C2864E-5EDF-4648-B9E6-243529F0DB46}">
      <text>
        <r>
          <rPr>
            <sz val="10"/>
            <color indexed="81"/>
            <rFont val="Lucida Console"/>
            <family val="3"/>
          </rPr>
          <t>_x000D_
64610</t>
        </r>
      </text>
    </comment>
    <comment ref="B305" authorId="0" shapeId="0" xr:uid="{3A9E9750-E1AD-4D48-BB70-F1C7CF13D72C}">
      <text>
        <r>
          <rPr>
            <sz val="10"/>
            <color indexed="81"/>
            <rFont val="Lucida Console"/>
            <family val="3"/>
          </rPr>
          <t>DESCRIÇÃO DETALHADA_x000D_
CHAPA DE ACO CARBONO GALVANIZADO ZINCADO N. 24 - ESP = 0,64MM - 2 X 1</t>
        </r>
      </text>
    </comment>
    <comment ref="G305" authorId="0" shapeId="0" xr:uid="{24AEF4CF-3C1F-4E1D-B699-8B20CD725BFC}">
      <text>
        <r>
          <rPr>
            <sz val="10"/>
            <color indexed="81"/>
            <rFont val="Lucida Console"/>
            <family val="3"/>
          </rPr>
          <t>_x000D_
Últ estimativa : 200_x000D_
Enviada em     : 23.09.2020_x000D_
Ata - Venc     : 16/20 - 27.01.2021</t>
        </r>
      </text>
    </comment>
    <comment ref="O305" authorId="0" shapeId="0" xr:uid="{3EF6AD8C-981D-4FA6-BB73-641F0C9CBCF1}">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05" authorId="0" shapeId="0" xr:uid="{1C40D0EE-20C5-4D09-8E37-AFEE7D445957}">
      <text>
        <r>
          <rPr>
            <sz val="10"/>
            <color indexed="81"/>
            <rFont val="Lucida Console"/>
            <family val="3"/>
          </rPr>
          <t>_x000D_
DM-Serralheria</t>
        </r>
      </text>
    </comment>
    <comment ref="X305" authorId="0" shapeId="0" xr:uid="{1B85DADF-A7D9-49FD-8AD9-29DBEBD1577A}">
      <text>
        <r>
          <rPr>
            <sz val="10"/>
            <color indexed="81"/>
            <rFont val="Lucida Console"/>
            <family val="3"/>
          </rPr>
          <t>_x000D_
METAIS,LAMINAD.,PERFILADOS E ARTEFATOS METALICOS</t>
        </r>
      </text>
    </comment>
    <comment ref="Y305" authorId="0" shapeId="0" xr:uid="{9E2D40FA-006E-479D-8567-FAC0CD8EB026}">
      <text>
        <r>
          <rPr>
            <sz val="10"/>
            <color indexed="81"/>
            <rFont val="Lucida Console"/>
            <family val="3"/>
          </rPr>
          <t>_x000D_
CHAPAS</t>
        </r>
      </text>
    </comment>
    <comment ref="AC305" authorId="0" shapeId="0" xr:uid="{5503102E-3873-473E-AF2E-D1AA7FC1AC92}">
      <text>
        <r>
          <rPr>
            <sz val="10"/>
            <color indexed="81"/>
            <rFont val="Lucida Console"/>
            <family val="3"/>
          </rPr>
          <t>_x000D_
AF  8.864/23 | Vc 21.08.2023 | Saldo  1.000 | MEGAFER COMERCIO DE FERRO E ACO LTDA ( 60363 )</t>
        </r>
      </text>
    </comment>
    <comment ref="AG305" authorId="0" shapeId="0" xr:uid="{9B76E809-0F9A-4274-B66D-163805AA7F3C}">
      <text>
        <r>
          <rPr>
            <sz val="10"/>
            <color indexed="81"/>
            <rFont val="Lucida Console"/>
            <family val="3"/>
          </rPr>
          <t>_x000D_
AF  8.864/23 | Vc 21.08.2023 | Saldo  1.000 | MEGAFER COMERCIO DE FERRO E ACO LTDA ( 60363 )</t>
        </r>
      </text>
    </comment>
    <comment ref="AW305" authorId="0" shapeId="0" xr:uid="{291497CE-AD8A-42A6-BE4B-13DA29DAA3B8}">
      <text>
        <r>
          <rPr>
            <sz val="10"/>
            <color indexed="81"/>
            <rFont val="Lucida Console"/>
            <family val="3"/>
          </rPr>
          <t>Tempo de Estoque (Meses)_x000D_
_x000D_
1.000,0</t>
        </r>
      </text>
    </comment>
    <comment ref="A306" authorId="0" shapeId="0" xr:uid="{088B7C10-72DF-4AAB-9E33-A4C649D1FFA4}">
      <text>
        <r>
          <rPr>
            <sz val="10"/>
            <color indexed="81"/>
            <rFont val="Lucida Console"/>
            <family val="3"/>
          </rPr>
          <t>_x000D_
116751</t>
        </r>
      </text>
    </comment>
    <comment ref="B306" authorId="0" shapeId="0" xr:uid="{B9610BAB-493C-4667-B717-4BA9E60B8645}">
      <text>
        <r>
          <rPr>
            <sz val="10"/>
            <color indexed="81"/>
            <rFont val="Lucida Console"/>
            <family val="3"/>
          </rPr>
          <t>DESCRIÇÃO DETALHADA_x000D_
PERFIL TEE, CHAPA DOBRADA, 25 MM X 25 MM - BARRA COM 03 METROS</t>
        </r>
      </text>
    </comment>
    <comment ref="G306" authorId="0" shapeId="0" xr:uid="{1C22FE3B-6593-40C2-8B82-A8FD54416AE6}">
      <text>
        <r>
          <rPr>
            <sz val="10"/>
            <color indexed="81"/>
            <rFont val="Lucida Console"/>
            <family val="3"/>
          </rPr>
          <t>_x000D_
Últ estimativa : 0_x000D_
Enviada em     : 23.09.2020_x000D_
Ata - Venc     : 16/20 - 27.01.2021</t>
        </r>
      </text>
    </comment>
    <comment ref="O306" authorId="0" shapeId="0" xr:uid="{7A05BFA1-0F77-4F35-A8B5-D34D65C4A77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6" authorId="0" shapeId="0" xr:uid="{F42937AA-455C-453B-B168-2EFE61CFA2DC}">
      <text>
        <r>
          <rPr>
            <sz val="10"/>
            <color indexed="81"/>
            <rFont val="Lucida Console"/>
            <family val="3"/>
          </rPr>
          <t>_x000D_
DM-Serralheria</t>
        </r>
      </text>
    </comment>
    <comment ref="X306" authorId="0" shapeId="0" xr:uid="{04CE694C-69DF-4538-9B72-68A135672D03}">
      <text>
        <r>
          <rPr>
            <sz val="10"/>
            <color indexed="81"/>
            <rFont val="Lucida Console"/>
            <family val="3"/>
          </rPr>
          <t>_x000D_
METAIS,LAMINAD.,PERFILADOS E ARTEFATOS METALICOS</t>
        </r>
      </text>
    </comment>
    <comment ref="Y306" authorId="0" shapeId="0" xr:uid="{3F51BDF2-84B7-4AB6-888B-A111EB7D4CC1}">
      <text>
        <r>
          <rPr>
            <sz val="10"/>
            <color indexed="81"/>
            <rFont val="Lucida Console"/>
            <family val="3"/>
          </rPr>
          <t>_x000D_
PERFIS E BARRA</t>
        </r>
      </text>
    </comment>
    <comment ref="AW306" authorId="0" shapeId="0" xr:uid="{7DB88C5F-3C8F-4B11-BD2B-72FA902F1A28}">
      <text>
        <r>
          <rPr>
            <sz val="10"/>
            <color indexed="81"/>
            <rFont val="Lucida Console"/>
            <family val="3"/>
          </rPr>
          <t>Tempo de Estoque (Meses)_x000D_
_x000D_
906,0</t>
        </r>
      </text>
    </comment>
    <comment ref="A307" authorId="0" shapeId="0" xr:uid="{D824C133-116A-450D-8B83-D1EF88F23ED1}">
      <text>
        <r>
          <rPr>
            <sz val="10"/>
            <color indexed="81"/>
            <rFont val="Lucida Console"/>
            <family val="3"/>
          </rPr>
          <t>_x000D_
116754</t>
        </r>
      </text>
    </comment>
    <comment ref="B307" authorId="0" shapeId="0" xr:uid="{EB35480D-B248-4323-BDAC-8B35D5FDB507}">
      <text>
        <r>
          <rPr>
            <sz val="10"/>
            <color indexed="81"/>
            <rFont val="Lucida Console"/>
            <family val="3"/>
          </rPr>
          <t>DESCRIÇÃO DETALHADA_x000D_
PERFIL CADEIRA CHAPA DOBRADA 30 MM X 25 MM - BARRA COM 03 METROS</t>
        </r>
      </text>
    </comment>
    <comment ref="G307" authorId="0" shapeId="0" xr:uid="{F7C30802-D7A5-4B93-9ACF-E30D1AC9B985}">
      <text>
        <r>
          <rPr>
            <sz val="10"/>
            <color indexed="81"/>
            <rFont val="Lucida Console"/>
            <family val="3"/>
          </rPr>
          <t>_x000D_
Últ estimativa : 0_x000D_
Enviada em     : 23.09.2020_x000D_
Ata - Venc     : 16/20 - 27.01.2021</t>
        </r>
      </text>
    </comment>
    <comment ref="O307" authorId="0" shapeId="0" xr:uid="{EE7E9E51-4FD4-4976-AAF2-408C1FCAA73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7" authorId="0" shapeId="0" xr:uid="{0773A665-6A54-4608-8DAE-D947DAA89E5E}">
      <text>
        <r>
          <rPr>
            <sz val="10"/>
            <color indexed="81"/>
            <rFont val="Lucida Console"/>
            <family val="3"/>
          </rPr>
          <t>_x000D_
DM-Serralheria</t>
        </r>
      </text>
    </comment>
    <comment ref="X307" authorId="0" shapeId="0" xr:uid="{ACEF4D10-CD3D-4084-8AD9-B84D8BAF6510}">
      <text>
        <r>
          <rPr>
            <sz val="10"/>
            <color indexed="81"/>
            <rFont val="Lucida Console"/>
            <family val="3"/>
          </rPr>
          <t>_x000D_
METAIS,LAMINAD.,PERFILADOS E ARTEFATOS METALICOS</t>
        </r>
      </text>
    </comment>
    <comment ref="Y307" authorId="0" shapeId="0" xr:uid="{E7F575CD-77B1-409E-956E-C582F5AAB857}">
      <text>
        <r>
          <rPr>
            <sz val="10"/>
            <color indexed="81"/>
            <rFont val="Lucida Console"/>
            <family val="3"/>
          </rPr>
          <t>_x000D_
PERFIS E BARRA</t>
        </r>
      </text>
    </comment>
    <comment ref="AW307" authorId="0" shapeId="0" xr:uid="{B20BF1A0-DE88-4865-8FE7-7A3F298F13E5}">
      <text>
        <r>
          <rPr>
            <sz val="10"/>
            <color indexed="81"/>
            <rFont val="Lucida Console"/>
            <family val="3"/>
          </rPr>
          <t>Tempo de Estoque (Meses)_x000D_
_x000D_
365,0</t>
        </r>
      </text>
    </comment>
    <comment ref="A308" authorId="0" shapeId="0" xr:uid="{2518AA83-FA52-4C08-902B-5AE3F88F93DD}">
      <text>
        <r>
          <rPr>
            <sz val="10"/>
            <color indexed="81"/>
            <rFont val="Lucida Console"/>
            <family val="3"/>
          </rPr>
          <t>_x000D_
13192</t>
        </r>
      </text>
    </comment>
    <comment ref="B308" authorId="0" shapeId="0" xr:uid="{E032C64B-78FD-47DC-B01B-4595AC7CF921}">
      <text>
        <r>
          <rPr>
            <sz val="10"/>
            <color indexed="81"/>
            <rFont val="Lucida Console"/>
            <family val="3"/>
          </rPr>
          <t>DESCRIÇÃO DETALHADA_x000D_
VASO SANITARIO SIFONADO CONVENCIONAL DE LOUÇA PADRAO POPULAR NA COR BRANCA</t>
        </r>
      </text>
    </comment>
    <comment ref="G308" authorId="0" shapeId="0" xr:uid="{9906B939-5D13-434C-949E-3813EED8A542}">
      <text>
        <r>
          <rPr>
            <sz val="10"/>
            <color indexed="81"/>
            <rFont val="Lucida Console"/>
            <family val="3"/>
          </rPr>
          <t>_x000D_
Últ estimativa : 50_x000D_
Enviada em     : 17.12.2020_x000D_
Ata - Venc     : 161/21 - 06.07.2022</t>
        </r>
      </text>
    </comment>
    <comment ref="O308" authorId="0" shapeId="0" xr:uid="{8686527B-3A50-43DD-866E-972C4A454726}">
      <text>
        <r>
          <rPr>
            <sz val="10"/>
            <color indexed="81"/>
            <rFont val="Lucida Console"/>
            <family val="3"/>
          </rPr>
          <t>_x000D_
Pertencia a ATA nº 161/21_x000D_
Estimativa de Renovação enviada em 17.12.2020 - Qtd 50_x000D_
PE  88/21 lote _x000D_
01.06.21 = Processo finalizado. Ata 161/21</t>
        </r>
      </text>
    </comment>
    <comment ref="W308" authorId="0" shapeId="0" xr:uid="{BF35C10E-1F20-4E3A-8166-5F6BD5053B2E}">
      <text>
        <r>
          <rPr>
            <sz val="10"/>
            <color indexed="81"/>
            <rFont val="Lucida Console"/>
            <family val="3"/>
          </rPr>
          <t>_x000D_
DM-Construção</t>
        </r>
      </text>
    </comment>
    <comment ref="X308" authorId="0" shapeId="0" xr:uid="{9017CE0E-E55C-4803-BD92-D4D5D4E18471}">
      <text>
        <r>
          <rPr>
            <sz val="10"/>
            <color indexed="81"/>
            <rFont val="Lucida Console"/>
            <family val="3"/>
          </rPr>
          <t>_x000D_
MAT.E EQUIP. P/ CONSTR.CIVIL E CONSERV. DE VIAS PUBL.</t>
        </r>
      </text>
    </comment>
    <comment ref="Y308" authorId="0" shapeId="0" xr:uid="{18988451-56CE-48C2-BE8E-36236434E438}">
      <text>
        <r>
          <rPr>
            <sz val="10"/>
            <color indexed="81"/>
            <rFont val="Lucida Console"/>
            <family val="3"/>
          </rPr>
          <t>_x000D_
BACIAS SANITARIAS E MICTORIOS</t>
        </r>
      </text>
    </comment>
    <comment ref="AC308" authorId="0" shapeId="0" xr:uid="{477E783C-44B9-43C9-8DE1-506076A3CE15}">
      <text>
        <r>
          <rPr>
            <sz val="10"/>
            <color indexed="81"/>
            <rFont val="Lucida Console"/>
            <family val="3"/>
          </rPr>
          <t>_x000D_
AF  8.937/23 | Vc 24.08.2023 | Saldo     80 | NOG. COM VARIEDADES LTDA ( 148457 )</t>
        </r>
      </text>
    </comment>
    <comment ref="AG308" authorId="0" shapeId="0" xr:uid="{51528AA3-2DF0-42FA-885C-2AA79B09265E}">
      <text>
        <r>
          <rPr>
            <sz val="10"/>
            <color indexed="81"/>
            <rFont val="Lucida Console"/>
            <family val="3"/>
          </rPr>
          <t>_x000D_
AF  8.937/23 | Vc 24.08.2023 | Saldo     80 | NOG. COM VARIEDADES LTDA ( 148457 )</t>
        </r>
      </text>
    </comment>
    <comment ref="AW308" authorId="0" shapeId="0" xr:uid="{FBA1C8C1-5BF7-4CEF-BC05-34D5390F0BB9}">
      <text>
        <r>
          <rPr>
            <sz val="10"/>
            <color indexed="81"/>
            <rFont val="Lucida Console"/>
            <family val="3"/>
          </rPr>
          <t>Tempo de Estoque (Meses)_x000D_
_x000D_
80,0</t>
        </r>
      </text>
    </comment>
    <comment ref="A309" authorId="0" shapeId="0" xr:uid="{8D14DC92-3DD1-4559-9608-21477682EF7C}">
      <text>
        <r>
          <rPr>
            <sz val="10"/>
            <color indexed="81"/>
            <rFont val="Lucida Console"/>
            <family val="3"/>
          </rPr>
          <t>_x000D_
77110</t>
        </r>
      </text>
    </comment>
    <comment ref="B309" authorId="0" shapeId="0" xr:uid="{F71531F0-2EFE-4CE9-8ED5-5E298EDA768B}">
      <text>
        <r>
          <rPr>
            <sz val="10"/>
            <color indexed="81"/>
            <rFont val="Lucida Console"/>
            <family val="3"/>
          </rPr>
          <t>DESCRIÇÃO DETALHADA_x000D_
CAP EM PVC DE 1 PARA AGUA MARROM - 32MM, DE ACORDO COM NBR 5648 E A MARCA, MEDIDA E NBR DEVERAO VIR LITROGRAFA NA PECA</t>
        </r>
      </text>
    </comment>
    <comment ref="G309" authorId="0" shapeId="0" xr:uid="{204F2281-D1FA-426A-A124-313E53EDA372}">
      <text>
        <r>
          <rPr>
            <sz val="10"/>
            <color indexed="81"/>
            <rFont val="Lucida Console"/>
            <family val="3"/>
          </rPr>
          <t>_x000D_
Últ estimativa : 0_x000D_
Enviada em     : 17.12.2020_x000D_
Ata - Venc     : 161/21 - 06.07.2022</t>
        </r>
      </text>
    </comment>
    <comment ref="O309" authorId="0" shapeId="0" xr:uid="{DD98C720-9F85-4F6F-BDA5-4193A60FA4D3}">
      <text>
        <r>
          <rPr>
            <sz val="10"/>
            <color indexed="81"/>
            <rFont val="Lucida Console"/>
            <family val="3"/>
          </rPr>
          <t>_x000D_
Pertencia a ATA nº 161/21_x000D_
Estimativa de Renovação enviada em 17.12.2020 - Qtd _x000D_
PE  88/21 lote _x000D_
01.06.21 = Processo finalizado. Ata 161/21</t>
        </r>
      </text>
    </comment>
    <comment ref="W309" authorId="0" shapeId="0" xr:uid="{E9CCC8F3-E822-4E8F-A3C0-82C7BA66DA93}">
      <text>
        <r>
          <rPr>
            <sz val="10"/>
            <color indexed="81"/>
            <rFont val="Lucida Console"/>
            <family val="3"/>
          </rPr>
          <t>_x000D_
DM-Hidráulica</t>
        </r>
      </text>
    </comment>
    <comment ref="X309" authorId="0" shapeId="0" xr:uid="{24537026-BE63-490A-BB94-DE3777BEB757}">
      <text>
        <r>
          <rPr>
            <sz val="10"/>
            <color indexed="81"/>
            <rFont val="Lucida Console"/>
            <family val="3"/>
          </rPr>
          <t>_x000D_
MATERIAL HIDRAULICO, CANOS, TUBOS, MANGUEIRAS, CONEXOES E ACESS.</t>
        </r>
      </text>
    </comment>
    <comment ref="Y309" authorId="0" shapeId="0" xr:uid="{80B57A7B-1EA0-4916-A06B-12680BCF0F68}">
      <text>
        <r>
          <rPr>
            <sz val="10"/>
            <color indexed="81"/>
            <rFont val="Lucida Console"/>
            <family val="3"/>
          </rPr>
          <t>_x000D_
ADAP. LUVAS.TES CURVAS COTOVELOS PLUGS FLANGES.....</t>
        </r>
      </text>
    </comment>
    <comment ref="AW309" authorId="0" shapeId="0" xr:uid="{64DC2C3F-4CEF-49F7-BF2E-C97ED5F4F1DF}">
      <text>
        <r>
          <rPr>
            <sz val="10"/>
            <color indexed="81"/>
            <rFont val="Lucida Console"/>
            <family val="3"/>
          </rPr>
          <t>Tempo de Estoque (Meses)_x000D_
_x000D_
228,0</t>
        </r>
      </text>
    </comment>
    <comment ref="A310" authorId="0" shapeId="0" xr:uid="{86AD59BD-72E4-4E9B-8E02-F5A17C66976F}">
      <text>
        <r>
          <rPr>
            <sz val="10"/>
            <color indexed="81"/>
            <rFont val="Lucida Console"/>
            <family val="3"/>
          </rPr>
          <t>_x000D_
13063</t>
        </r>
      </text>
    </comment>
    <comment ref="B310" authorId="0" shapeId="0" xr:uid="{ACB91A4F-E11F-414E-854D-F4B27360FD3E}">
      <text>
        <r>
          <rPr>
            <sz val="10"/>
            <color indexed="81"/>
            <rFont val="Lucida Console"/>
            <family val="3"/>
          </rPr>
          <t>DESCRIÇÃO DETALHADA_x000D_
COLA P/ TUBO PVC - BISNAGA C/ 75 GR</t>
        </r>
      </text>
    </comment>
    <comment ref="G310" authorId="0" shapeId="0" xr:uid="{76859DC1-F5DC-4C6E-B53B-3451DAF66E2C}">
      <text>
        <r>
          <rPr>
            <sz val="10"/>
            <color indexed="81"/>
            <rFont val="Lucida Console"/>
            <family val="3"/>
          </rPr>
          <t>_x000D_
Últ estimativa : 1.500_x000D_
Enviada em     : 17.12.2020_x000D_
Ata - Venc     : 161/21 - 06.07.2022</t>
        </r>
      </text>
    </comment>
    <comment ref="O310" authorId="0" shapeId="0" xr:uid="{4CF76C68-6CDF-41AA-B8C5-C0A67C87953A}">
      <text>
        <r>
          <rPr>
            <sz val="10"/>
            <color indexed="81"/>
            <rFont val="Lucida Console"/>
            <family val="3"/>
          </rPr>
          <t>_x000D_
Pertencia a ATA nº 161/21_x000D_
Estimativa de Renovação enviada em 17.12.2020 - Qtd 1.500_x000D_
PE  88/21 lote _x000D_
01.06.21 = Processo finalizado. Ata 161/21</t>
        </r>
      </text>
    </comment>
    <comment ref="W310" authorId="0" shapeId="0" xr:uid="{F2AE4C7C-F98C-4DD4-9A1D-D1212C141270}">
      <text>
        <r>
          <rPr>
            <sz val="10"/>
            <color indexed="81"/>
            <rFont val="Lucida Console"/>
            <family val="3"/>
          </rPr>
          <t>_x000D_
DM-Hidráulica</t>
        </r>
      </text>
    </comment>
    <comment ref="X310" authorId="0" shapeId="0" xr:uid="{000FB36E-76C7-4006-8F07-E71C943E94A3}">
      <text>
        <r>
          <rPr>
            <sz val="10"/>
            <color indexed="81"/>
            <rFont val="Lucida Console"/>
            <family val="3"/>
          </rPr>
          <t>_x000D_
MATERIAL HIDRAULICO, CANOS, TUBOS, MANGUEIRAS, CONEXOES E ACESS.</t>
        </r>
      </text>
    </comment>
    <comment ref="Y310" authorId="0" shapeId="0" xr:uid="{542B2A48-766D-4731-AC94-1FA7F8B7CDD9}">
      <text>
        <r>
          <rPr>
            <sz val="10"/>
            <color indexed="81"/>
            <rFont val="Lucida Console"/>
            <family val="3"/>
          </rPr>
          <t>_x000D_
VEDADORES ABRACADEIRAS E COLAS P/ TUBULACAO</t>
        </r>
      </text>
    </comment>
    <comment ref="AW310" authorId="0" shapeId="0" xr:uid="{C79AC6CB-A450-45A4-A6A9-4F96C40B08C6}">
      <text>
        <r>
          <rPr>
            <sz val="10"/>
            <color indexed="81"/>
            <rFont val="Lucida Console"/>
            <family val="3"/>
          </rPr>
          <t>Tempo de Estoque (Meses)_x000D_
_x000D_
1.323,0</t>
        </r>
      </text>
    </comment>
    <comment ref="A311" authorId="0" shapeId="0" xr:uid="{4D8A89CD-A545-420C-865A-5E2277D99502}">
      <text>
        <r>
          <rPr>
            <sz val="10"/>
            <color indexed="81"/>
            <rFont val="Lucida Console"/>
            <family val="3"/>
          </rPr>
          <t>_x000D_
13064</t>
        </r>
      </text>
    </comment>
    <comment ref="B311" authorId="0" shapeId="0" xr:uid="{6DF6E942-C9A5-4298-8D54-F74AD4219CDC}">
      <text>
        <r>
          <rPr>
            <sz val="10"/>
            <color indexed="81"/>
            <rFont val="Lucida Console"/>
            <family val="3"/>
          </rPr>
          <t>DESCRIÇÃO DETALHADA_x000D_
FITA DE TEFLON P/ VEDACAO HIDRAULICA (VEDA ROSCA) - 18 MM X 25 M, TEMPERATURA: -90°C A + 240°C, -PH: 0 A 14, -100% PTFE</t>
        </r>
      </text>
    </comment>
    <comment ref="G311" authorId="0" shapeId="0" xr:uid="{02EA2111-5721-4A1A-9626-6D9EDB806D16}">
      <text>
        <r>
          <rPr>
            <sz val="10"/>
            <color indexed="81"/>
            <rFont val="Lucida Console"/>
            <family val="3"/>
          </rPr>
          <t>_x000D_
Últ estimativa : 2.000_x000D_
Enviada em     : 17.12.2020_x000D_
Ata - Venc     : 161/21 - 06.07.2022</t>
        </r>
      </text>
    </comment>
    <comment ref="O311" authorId="0" shapeId="0" xr:uid="{62A9AC15-479A-4F82-A1A7-458DEBD63EA4}">
      <text>
        <r>
          <rPr>
            <sz val="10"/>
            <color indexed="81"/>
            <rFont val="Lucida Console"/>
            <family val="3"/>
          </rPr>
          <t>_x000D_
Pertencia a ATA nº 161/21_x000D_
Estimativa de Renovação enviada em 17.12.2020 - Qtd 2.000_x000D_
PE  88/21 lote _x000D_
01.06.21 = Processo finalizado. Ata 161/21</t>
        </r>
      </text>
    </comment>
    <comment ref="W311" authorId="0" shapeId="0" xr:uid="{9C5EC919-7997-4B29-8CEB-C97B64BCC1C4}">
      <text>
        <r>
          <rPr>
            <sz val="10"/>
            <color indexed="81"/>
            <rFont val="Lucida Console"/>
            <family val="3"/>
          </rPr>
          <t>_x000D_
DM-Hidráulica</t>
        </r>
      </text>
    </comment>
    <comment ref="X311" authorId="0" shapeId="0" xr:uid="{BCEB1900-AE2A-41B4-AEA8-2C34F84EA39F}">
      <text>
        <r>
          <rPr>
            <sz val="10"/>
            <color indexed="81"/>
            <rFont val="Lucida Console"/>
            <family val="3"/>
          </rPr>
          <t>_x000D_
MATERIAL HIDRAULICO, CANOS, TUBOS, MANGUEIRAS, CONEXOES E ACESS.</t>
        </r>
      </text>
    </comment>
    <comment ref="Y311" authorId="0" shapeId="0" xr:uid="{B60466CD-82D4-41AC-8FD2-5827485FFCF0}">
      <text>
        <r>
          <rPr>
            <sz val="10"/>
            <color indexed="81"/>
            <rFont val="Lucida Console"/>
            <family val="3"/>
          </rPr>
          <t>_x000D_
VEDADORES ABRACADEIRAS E COLAS P/ TUBULACAO</t>
        </r>
      </text>
    </comment>
    <comment ref="AW311" authorId="0" shapeId="0" xr:uid="{2986B5F8-EFBB-4CAA-B478-57EE982C7CA9}">
      <text>
        <r>
          <rPr>
            <sz val="10"/>
            <color indexed="81"/>
            <rFont val="Lucida Console"/>
            <family val="3"/>
          </rPr>
          <t>Tempo de Estoque (Meses)_x000D_
_x000D_
1.177,0</t>
        </r>
      </text>
    </comment>
    <comment ref="A312" authorId="0" shapeId="0" xr:uid="{31DD5148-4B82-4E67-98A1-79599A58FF9D}">
      <text>
        <r>
          <rPr>
            <sz val="10"/>
            <color indexed="81"/>
            <rFont val="Lucida Console"/>
            <family val="3"/>
          </rPr>
          <t>_x000D_
13165</t>
        </r>
      </text>
    </comment>
    <comment ref="B312" authorId="0" shapeId="0" xr:uid="{ABDDB27A-0244-49DD-9BB8-347E810DE826}">
      <text>
        <r>
          <rPr>
            <sz val="10"/>
            <color indexed="81"/>
            <rFont val="Lucida Console"/>
            <family val="3"/>
          </rPr>
          <t>DESCRIÇÃO DETALHADA_x000D_
TORNEIRA DE PAREDE PARA PIA, 1/2" X 18 CM, CORPO E REGISTRO EM LATAO CROMADO, SEM ADAPTADOR</t>
        </r>
      </text>
    </comment>
    <comment ref="G312" authorId="0" shapeId="0" xr:uid="{099BD173-3141-4E2C-B4E4-741AD17BC714}">
      <text>
        <r>
          <rPr>
            <sz val="10"/>
            <color indexed="81"/>
            <rFont val="Lucida Console"/>
            <family val="3"/>
          </rPr>
          <t>_x000D_
Últ estimativa : 500_x000D_
Enviada em     : 17.12.2020_x000D_
Ata - Venc     : 161/21 - 06.07.2022</t>
        </r>
      </text>
    </comment>
    <comment ref="O312" authorId="0" shapeId="0" xr:uid="{FDFA840E-7CCF-4754-86D1-EF858F9E2F19}">
      <text>
        <r>
          <rPr>
            <sz val="10"/>
            <color indexed="81"/>
            <rFont val="Lucida Console"/>
            <family val="3"/>
          </rPr>
          <t>_x000D_
Pertencia a ATA nº 161/21_x000D_
Estimativa de Renovação enviada em 17.12.2020 - Qtd 500_x000D_
PE  88/21 lote _x000D_
01.06.21 = Processo finalizado. Ata 161/21</t>
        </r>
      </text>
    </comment>
    <comment ref="W312" authorId="0" shapeId="0" xr:uid="{08ABA200-662D-4F94-89BD-2129286C53A0}">
      <text>
        <r>
          <rPr>
            <sz val="10"/>
            <color indexed="81"/>
            <rFont val="Lucida Console"/>
            <family val="3"/>
          </rPr>
          <t>_x000D_
DM-Hidráulica</t>
        </r>
      </text>
    </comment>
    <comment ref="X312" authorId="0" shapeId="0" xr:uid="{E49848A3-1424-443E-A681-DCF2A9B21BCA}">
      <text>
        <r>
          <rPr>
            <sz val="10"/>
            <color indexed="81"/>
            <rFont val="Lucida Console"/>
            <family val="3"/>
          </rPr>
          <t>_x000D_
MATERIAL HIDRAULICO, CANOS, TUBOS, MANGUEIRAS, CONEXOES E ACESS.</t>
        </r>
      </text>
    </comment>
    <comment ref="Y312" authorId="0" shapeId="0" xr:uid="{03CBC64B-97C1-4FF1-AE24-DF411BABBAF1}">
      <text>
        <r>
          <rPr>
            <sz val="10"/>
            <color indexed="81"/>
            <rFont val="Lucida Console"/>
            <family val="3"/>
          </rPr>
          <t>_x000D_
TORNEIRAS VOLANTES CANOPLAS E ACESS. P/ MANGUEIRA</t>
        </r>
      </text>
    </comment>
    <comment ref="AW312" authorId="0" shapeId="0" xr:uid="{5A12DAA6-0B29-45D3-8B78-E3C82460C9FD}">
      <text>
        <r>
          <rPr>
            <sz val="10"/>
            <color indexed="81"/>
            <rFont val="Lucida Console"/>
            <family val="3"/>
          </rPr>
          <t>Tempo de Estoque (Meses)_x000D_
_x000D_
232,0</t>
        </r>
      </text>
    </comment>
    <comment ref="A313" authorId="0" shapeId="0" xr:uid="{F1378317-9718-49EC-A5F9-954855A395AF}">
      <text>
        <r>
          <rPr>
            <sz val="10"/>
            <color indexed="81"/>
            <rFont val="Lucida Console"/>
            <family val="3"/>
          </rPr>
          <t>_x000D_
111524</t>
        </r>
      </text>
    </comment>
    <comment ref="B313" authorId="0" shapeId="0" xr:uid="{2EDEE0CE-9EE1-4F55-8B7F-A598EF500097}">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313" authorId="0" shapeId="0" xr:uid="{F4710C9D-599D-47DC-9815-2DFBAEBDCEA6}">
      <text>
        <r>
          <rPr>
            <sz val="10"/>
            <color indexed="81"/>
            <rFont val="Lucida Console"/>
            <family val="3"/>
          </rPr>
          <t>_x000D_
Últ estimativa : 400_x000D_
Enviada em     : 17.12.2020_x000D_
Ata - Venc     : 161/21 - 06.07.2022</t>
        </r>
      </text>
    </comment>
    <comment ref="O313" authorId="0" shapeId="0" xr:uid="{BB46F11B-BFEF-4B9E-B1E7-08DE52A7824E}">
      <text>
        <r>
          <rPr>
            <sz val="10"/>
            <color indexed="81"/>
            <rFont val="Lucida Console"/>
            <family val="3"/>
          </rPr>
          <t>_x000D_
Pertencia a ATA nº 161/21_x000D_
Estimativa de Renovação enviada em 17.12.2020 - Qtd 400_x000D_
PE  88/21 lote _x000D_
01.06.21 = Processo finalizado. Ata 161/21</t>
        </r>
      </text>
    </comment>
    <comment ref="W313" authorId="0" shapeId="0" xr:uid="{784C5B34-2DA4-46CA-839F-07088AE43190}">
      <text>
        <r>
          <rPr>
            <sz val="10"/>
            <color indexed="81"/>
            <rFont val="Lucida Console"/>
            <family val="3"/>
          </rPr>
          <t>_x000D_
DM-Hidráulica</t>
        </r>
      </text>
    </comment>
    <comment ref="X313" authorId="0" shapeId="0" xr:uid="{2E9EA2C4-E39B-4613-B3D1-290FE50FFF86}">
      <text>
        <r>
          <rPr>
            <sz val="10"/>
            <color indexed="81"/>
            <rFont val="Lucida Console"/>
            <family val="3"/>
          </rPr>
          <t>_x000D_
MATERIAL HIDRAULICO, CANOS, TUBOS, MANGUEIRAS, CONEXOES E ACESS.</t>
        </r>
      </text>
    </comment>
    <comment ref="Y313" authorId="0" shapeId="0" xr:uid="{4EFFBDEC-A95A-462D-9BA9-8D6D81736A8F}">
      <text>
        <r>
          <rPr>
            <sz val="10"/>
            <color indexed="81"/>
            <rFont val="Lucida Console"/>
            <family val="3"/>
          </rPr>
          <t>_x000D_
TORNEIRAS VOLANTES CANOPLAS E ACESS. P/ MANGUEIRA</t>
        </r>
      </text>
    </comment>
    <comment ref="AW313" authorId="0" shapeId="0" xr:uid="{6FDCC0C8-0B8F-4C52-A41B-34A3F2E5A851}">
      <text>
        <r>
          <rPr>
            <sz val="10"/>
            <color indexed="81"/>
            <rFont val="Lucida Console"/>
            <family val="3"/>
          </rPr>
          <t>Tempo de Estoque (Meses)_x000D_
_x000D_
227,0</t>
        </r>
      </text>
    </comment>
    <comment ref="A314" authorId="0" shapeId="0" xr:uid="{C9456792-8C3A-46FF-8D60-6DFBE6F8E3B0}">
      <text>
        <r>
          <rPr>
            <sz val="10"/>
            <color indexed="81"/>
            <rFont val="Lucida Console"/>
            <family val="3"/>
          </rPr>
          <t>_x000D_
13120</t>
        </r>
      </text>
    </comment>
    <comment ref="B314" authorId="0" shapeId="0" xr:uid="{672B458C-00ED-444D-8CD4-7A40E90A6C77}">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14" authorId="0" shapeId="0" xr:uid="{CFBDBECD-A1C2-4919-AABA-328114818DA3}">
      <text>
        <r>
          <rPr>
            <sz val="10"/>
            <color indexed="81"/>
            <rFont val="Lucida Console"/>
            <family val="3"/>
          </rPr>
          <t>_x000D_
Últ estimativa : 50_x000D_
Enviada em     : 17.12.2020_x000D_
Ata - Venc     : 161/21 - 06.07.2022</t>
        </r>
      </text>
    </comment>
    <comment ref="O314" authorId="0" shapeId="0" xr:uid="{AE03A297-7BD8-4D71-BE9C-7ED626358A2F}">
      <text>
        <r>
          <rPr>
            <sz val="10"/>
            <color indexed="81"/>
            <rFont val="Lucida Console"/>
            <family val="3"/>
          </rPr>
          <t>_x000D_
Pertencia a ATA nº 161/21_x000D_
Estimativa de Renovação enviada em 17.12.2020 - Qtd 50_x000D_
PE  88/21 lote _x000D_
01.06.21 = Processo finalizado. Ata 161/21</t>
        </r>
      </text>
    </comment>
    <comment ref="W314" authorId="0" shapeId="0" xr:uid="{3E251DA7-6132-4BAC-B875-849BA1EC6179}">
      <text>
        <r>
          <rPr>
            <sz val="10"/>
            <color indexed="81"/>
            <rFont val="Lucida Console"/>
            <family val="3"/>
          </rPr>
          <t>_x000D_
DM-Hidráulica</t>
        </r>
      </text>
    </comment>
    <comment ref="X314" authorId="0" shapeId="0" xr:uid="{93923269-73E6-4FAD-AD33-5A57C5DC2B3A}">
      <text>
        <r>
          <rPr>
            <sz val="10"/>
            <color indexed="81"/>
            <rFont val="Lucida Console"/>
            <family val="3"/>
          </rPr>
          <t>_x000D_
MATERIAL HIDRAULICO, CANOS, TUBOS, MANGUEIRAS, CONEXOES E ACESS.</t>
        </r>
      </text>
    </comment>
    <comment ref="Y314" authorId="0" shapeId="0" xr:uid="{2EFD51A3-DAF5-49F3-A135-ED392F8A17CA}">
      <text>
        <r>
          <rPr>
            <sz val="10"/>
            <color indexed="81"/>
            <rFont val="Lucida Console"/>
            <family val="3"/>
          </rPr>
          <t>_x000D_
REGISTROS VALVULAS E BOIAS</t>
        </r>
      </text>
    </comment>
    <comment ref="AW314" authorId="0" shapeId="0" xr:uid="{9DDB3646-3C89-4611-9051-B898DE7871C5}">
      <text>
        <r>
          <rPr>
            <sz val="10"/>
            <color indexed="81"/>
            <rFont val="Lucida Console"/>
            <family val="3"/>
          </rPr>
          <t>Tempo de Estoque (Meses)_x000D_
_x000D_
54,0</t>
        </r>
      </text>
    </comment>
    <comment ref="A315" authorId="0" shapeId="0" xr:uid="{232FF393-A2AD-4A4D-BDFA-D0E14405BB8D}">
      <text>
        <r>
          <rPr>
            <sz val="10"/>
            <color indexed="81"/>
            <rFont val="Lucida Console"/>
            <family val="3"/>
          </rPr>
          <t>_x000D_
15085</t>
        </r>
      </text>
    </comment>
    <comment ref="B315" authorId="0" shapeId="0" xr:uid="{2647231D-A8F3-4A7E-A8CD-34BC4A885DF3}">
      <text>
        <r>
          <rPr>
            <sz val="10"/>
            <color indexed="81"/>
            <rFont val="Lucida Console"/>
            <family val="3"/>
          </rPr>
          <t>DESCRIÇÃO DETALHADA_x000D_
PINO P/ TORNEIRA - 1/2" - VEDANTE</t>
        </r>
      </text>
    </comment>
    <comment ref="G315" authorId="0" shapeId="0" xr:uid="{C55035C0-13A1-48D3-BE36-2828AE98130B}">
      <text>
        <r>
          <rPr>
            <sz val="10"/>
            <color indexed="81"/>
            <rFont val="Lucida Console"/>
            <family val="3"/>
          </rPr>
          <t>_x000D_
Últ estimativa : 0_x000D_
Enviada em     : 17.12.2020_x000D_
Ata - Venc     : 161/21 - 06.07.2022</t>
        </r>
      </text>
    </comment>
    <comment ref="O315" authorId="0" shapeId="0" xr:uid="{C8144D3E-C453-4E92-8A76-FFC8067EB411}">
      <text>
        <r>
          <rPr>
            <sz val="10"/>
            <color indexed="81"/>
            <rFont val="Lucida Console"/>
            <family val="3"/>
          </rPr>
          <t>_x000D_
Pertencia a ATA nº 161/21_x000D_
Estimativa de Renovação enviada em 17.12.2020 - Qtd _x000D_
PE  88/21 lote _x000D_
01.06.21 = Processo finalizado. Ata 161/21</t>
        </r>
      </text>
    </comment>
    <comment ref="W315" authorId="0" shapeId="0" xr:uid="{0EA3028F-E519-44A0-953A-C3AE400ED0F7}">
      <text>
        <r>
          <rPr>
            <sz val="10"/>
            <color indexed="81"/>
            <rFont val="Lucida Console"/>
            <family val="3"/>
          </rPr>
          <t>_x000D_
DM-Hidráulica</t>
        </r>
      </text>
    </comment>
    <comment ref="X315" authorId="0" shapeId="0" xr:uid="{AAA8D49A-60E7-48DE-971C-57EAA4552C90}">
      <text>
        <r>
          <rPr>
            <sz val="10"/>
            <color indexed="81"/>
            <rFont val="Lucida Console"/>
            <family val="3"/>
          </rPr>
          <t>_x000D_
MATERIAL HIDRAULICO, CANOS, TUBOS, MANGUEIRAS, CONEXOES E ACESS.</t>
        </r>
      </text>
    </comment>
    <comment ref="Y315" authorId="0" shapeId="0" xr:uid="{6B4CFF45-5BFA-4F12-ADF9-656675B533A9}">
      <text>
        <r>
          <rPr>
            <sz val="10"/>
            <color indexed="81"/>
            <rFont val="Lucida Console"/>
            <family val="3"/>
          </rPr>
          <t>_x000D_
REGISTROS VALVULAS E BOIAS</t>
        </r>
      </text>
    </comment>
    <comment ref="AW315" authorId="0" shapeId="0" xr:uid="{81CC6978-3C9F-46B8-9DF0-A752B150C9DC}">
      <text>
        <r>
          <rPr>
            <sz val="10"/>
            <color indexed="81"/>
            <rFont val="Lucida Console"/>
            <family val="3"/>
          </rPr>
          <t>Tempo de Estoque (Meses)_x000D_
_x000D_
559,0</t>
        </r>
      </text>
    </comment>
    <comment ref="A316" authorId="0" shapeId="0" xr:uid="{090CC400-12CB-4AC3-A7BE-1277DC96C478}">
      <text>
        <r>
          <rPr>
            <sz val="10"/>
            <color indexed="81"/>
            <rFont val="Lucida Console"/>
            <family val="3"/>
          </rPr>
          <t>_x000D_
27760</t>
        </r>
      </text>
    </comment>
    <comment ref="B316" authorId="0" shapeId="0" xr:uid="{6697F899-67E3-464C-A4E0-4BC430CC5CAC}">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16" authorId="0" shapeId="0" xr:uid="{93EE452F-DEFB-42E2-9606-820F23380B31}">
      <text>
        <r>
          <rPr>
            <sz val="10"/>
            <color indexed="81"/>
            <rFont val="Lucida Console"/>
            <family val="3"/>
          </rPr>
          <t>_x000D_
Últ estimativa : 50_x000D_
Enviada em     : 17.12.2020_x000D_
Ata - Venc     : 161/21 - 06.07.2022</t>
        </r>
      </text>
    </comment>
    <comment ref="O316" authorId="0" shapeId="0" xr:uid="{D1F6D596-5566-4561-A6B1-B877A4F6F22E}">
      <text>
        <r>
          <rPr>
            <sz val="10"/>
            <color indexed="81"/>
            <rFont val="Lucida Console"/>
            <family val="3"/>
          </rPr>
          <t>_x000D_
Pertencia a ATA nº 161/21_x000D_
Estimativa de Renovação enviada em 17.12.2020 - Qtd 50_x000D_
PE  88/21 lote _x000D_
01.06.21 = Processo finalizado. Ata 161/21</t>
        </r>
      </text>
    </comment>
    <comment ref="W316" authorId="0" shapeId="0" xr:uid="{D17F1F65-A5A3-448F-B1D6-EFF83344924A}">
      <text>
        <r>
          <rPr>
            <sz val="10"/>
            <color indexed="81"/>
            <rFont val="Lucida Console"/>
            <family val="3"/>
          </rPr>
          <t>_x000D_
DM-Hidráulica</t>
        </r>
      </text>
    </comment>
    <comment ref="X316" authorId="0" shapeId="0" xr:uid="{A8FDD5A7-382F-4633-8574-9DCE3FD32942}">
      <text>
        <r>
          <rPr>
            <sz val="10"/>
            <color indexed="81"/>
            <rFont val="Lucida Console"/>
            <family val="3"/>
          </rPr>
          <t>_x000D_
MATERIAL HIDRAULICO, CANOS, TUBOS, MANGUEIRAS, CONEXOES E ACESS.</t>
        </r>
      </text>
    </comment>
    <comment ref="Y316" authorId="0" shapeId="0" xr:uid="{CD5D4081-E4E8-4C57-AB3E-16C0EFBA00D1}">
      <text>
        <r>
          <rPr>
            <sz val="10"/>
            <color indexed="81"/>
            <rFont val="Lucida Console"/>
            <family val="3"/>
          </rPr>
          <t>_x000D_
REGISTROS VALVULAS E BOIAS</t>
        </r>
      </text>
    </comment>
    <comment ref="AW316" authorId="0" shapeId="0" xr:uid="{43838A10-3CC8-4A01-947C-5C186469F563}">
      <text>
        <r>
          <rPr>
            <sz val="10"/>
            <color indexed="81"/>
            <rFont val="Lucida Console"/>
            <family val="3"/>
          </rPr>
          <t>Tempo de Estoque (Meses)_x000D_
_x000D_
48,0</t>
        </r>
      </text>
    </comment>
    <comment ref="A317" authorId="0" shapeId="0" xr:uid="{3AA87AFE-299C-425B-99A9-EEA59099E3C5}">
      <text>
        <r>
          <rPr>
            <sz val="10"/>
            <color indexed="81"/>
            <rFont val="Lucida Console"/>
            <family val="3"/>
          </rPr>
          <t>_x000D_
35224</t>
        </r>
      </text>
    </comment>
    <comment ref="B317" authorId="0" shapeId="0" xr:uid="{A4DCE16E-7505-4848-940D-8C476E673877}">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17" authorId="0" shapeId="0" xr:uid="{029B3847-2847-43D0-85C1-C6119BE1E412}">
      <text>
        <r>
          <rPr>
            <sz val="10"/>
            <color indexed="81"/>
            <rFont val="Lucida Console"/>
            <family val="3"/>
          </rPr>
          <t>_x000D_
Últ estimativa : 20_x000D_
Enviada em     : 17.12.2020_x000D_
Ata - Venc     : 161/21 - 06.07.2022</t>
        </r>
      </text>
    </comment>
    <comment ref="O317" authorId="0" shapeId="0" xr:uid="{9007FE60-AD46-4D42-A855-97928DCB08FE}">
      <text>
        <r>
          <rPr>
            <sz val="10"/>
            <color indexed="81"/>
            <rFont val="Lucida Console"/>
            <family val="3"/>
          </rPr>
          <t>_x000D_
Pertencia a ATA nº 161/21_x000D_
Estimativa de Renovação enviada em 17.12.2020 - Qtd 20_x000D_
PE  88/21 lote _x000D_
01.06.21 = Processo finalizado. Ata 161/21</t>
        </r>
      </text>
    </comment>
    <comment ref="W317" authorId="0" shapeId="0" xr:uid="{24548DED-B27C-4088-B333-C45E1D26EFAC}">
      <text>
        <r>
          <rPr>
            <sz val="10"/>
            <color indexed="81"/>
            <rFont val="Lucida Console"/>
            <family val="3"/>
          </rPr>
          <t>_x000D_
DM-Hidráulica</t>
        </r>
      </text>
    </comment>
    <comment ref="X317" authorId="0" shapeId="0" xr:uid="{3C003F4A-61FC-481C-A779-7DD308418430}">
      <text>
        <r>
          <rPr>
            <sz val="10"/>
            <color indexed="81"/>
            <rFont val="Lucida Console"/>
            <family val="3"/>
          </rPr>
          <t>_x000D_
MATERIAL HIDRAULICO, CANOS, TUBOS, MANGUEIRAS, CONEXOES E ACESS.</t>
        </r>
      </text>
    </comment>
    <comment ref="Y317" authorId="0" shapeId="0" xr:uid="{A3AA3708-1168-417F-B33F-FE1BD094A89F}">
      <text>
        <r>
          <rPr>
            <sz val="10"/>
            <color indexed="81"/>
            <rFont val="Lucida Console"/>
            <family val="3"/>
          </rPr>
          <t>_x000D_
REGISTROS VALVULAS E BOIAS</t>
        </r>
      </text>
    </comment>
    <comment ref="AW317" authorId="0" shapeId="0" xr:uid="{6B780879-F926-4DBC-B619-B3ABD2E84AD4}">
      <text>
        <r>
          <rPr>
            <sz val="10"/>
            <color indexed="81"/>
            <rFont val="Lucida Console"/>
            <family val="3"/>
          </rPr>
          <t>Tempo de Estoque (Meses)_x000D_
_x000D_
20,0</t>
        </r>
      </text>
    </comment>
    <comment ref="A318" authorId="0" shapeId="0" xr:uid="{2A15AECA-C43F-429D-A93B-8B5593B478D9}">
      <text>
        <r>
          <rPr>
            <sz val="10"/>
            <color indexed="81"/>
            <rFont val="Lucida Console"/>
            <family val="3"/>
          </rPr>
          <t>_x000D_
65173</t>
        </r>
      </text>
    </comment>
    <comment ref="B318" authorId="0" shapeId="0" xr:uid="{9C5E3007-515E-4363-9417-6A6AF7F7B0C4}">
      <text>
        <r>
          <rPr>
            <sz val="10"/>
            <color indexed="81"/>
            <rFont val="Lucida Console"/>
            <family val="3"/>
          </rPr>
          <t>DESCRIÇÃO DETALHADA_x000D_
REPARO COMPLETO UNIVERSAL PARA DESCARGA -  CAIXA  ACOPLADA</t>
        </r>
      </text>
    </comment>
    <comment ref="G318" authorId="0" shapeId="0" xr:uid="{307BFF60-8281-4E81-B71D-E2DAA9F5F24A}">
      <text>
        <r>
          <rPr>
            <sz val="10"/>
            <color indexed="81"/>
            <rFont val="Lucida Console"/>
            <family val="3"/>
          </rPr>
          <t>_x000D_
Últ estimativa : 150_x000D_
Enviada em     : 17.12.2020_x000D_
Ata - Venc     : 161/21 - 06.07.2022</t>
        </r>
      </text>
    </comment>
    <comment ref="O318" authorId="0" shapeId="0" xr:uid="{68E24A33-3756-44FE-8927-CABF2B8C514F}">
      <text>
        <r>
          <rPr>
            <sz val="10"/>
            <color indexed="81"/>
            <rFont val="Lucida Console"/>
            <family val="3"/>
          </rPr>
          <t>_x000D_
Pertencia a ATA nº 161/21_x000D_
Estimativa de Renovação enviada em 17.12.2020 - Qtd 150_x000D_
PE  88/21 lote _x000D_
01.06.21 = Processo finalizado. Ata 161/21</t>
        </r>
      </text>
    </comment>
    <comment ref="W318" authorId="0" shapeId="0" xr:uid="{4818405C-759D-4B18-9EDD-C5FCB1727284}">
      <text>
        <r>
          <rPr>
            <sz val="10"/>
            <color indexed="81"/>
            <rFont val="Lucida Console"/>
            <family val="3"/>
          </rPr>
          <t>_x000D_
DM-Hidráulica</t>
        </r>
      </text>
    </comment>
    <comment ref="X318" authorId="0" shapeId="0" xr:uid="{2210D780-06CE-4D4B-9392-80BE2C08373A}">
      <text>
        <r>
          <rPr>
            <sz val="10"/>
            <color indexed="81"/>
            <rFont val="Lucida Console"/>
            <family val="3"/>
          </rPr>
          <t>_x000D_
MATERIAL HIDRAULICO, CANOS, TUBOS, MANGUEIRAS, CONEXOES E ACESS.</t>
        </r>
      </text>
    </comment>
    <comment ref="Y318" authorId="0" shapeId="0" xr:uid="{0D207AE1-F940-4DDA-AA10-2BEFB9673F5D}">
      <text>
        <r>
          <rPr>
            <sz val="10"/>
            <color indexed="81"/>
            <rFont val="Lucida Console"/>
            <family val="3"/>
          </rPr>
          <t>_x000D_
REGISTROS VALVULAS E BOIAS</t>
        </r>
      </text>
    </comment>
    <comment ref="AW318" authorId="0" shapeId="0" xr:uid="{31A51824-9DD9-4D23-90DF-AD112B659EC6}">
      <text>
        <r>
          <rPr>
            <sz val="10"/>
            <color indexed="81"/>
            <rFont val="Lucida Console"/>
            <family val="3"/>
          </rPr>
          <t>Tempo de Estoque (Meses)_x000D_
_x000D_
104,0</t>
        </r>
      </text>
    </comment>
    <comment ref="A319" authorId="0" shapeId="0" xr:uid="{C2CF137C-C90A-4B47-B189-99445EBD20AC}">
      <text>
        <r>
          <rPr>
            <sz val="10"/>
            <color indexed="81"/>
            <rFont val="Lucida Console"/>
            <family val="3"/>
          </rPr>
          <t>_x000D_
81563</t>
        </r>
      </text>
    </comment>
    <comment ref="B319" authorId="0" shapeId="0" xr:uid="{877AB087-EDFA-4ECA-A3A2-241C24B63C9B}">
      <text>
        <r>
          <rPr>
            <sz val="10"/>
            <color indexed="81"/>
            <rFont val="Lucida Console"/>
            <family val="3"/>
          </rPr>
          <t>DESCRIÇÃO DETALHADA_x000D_
REPARO P/ VALVULA DE DESCARGA - MARCA LORENZETTI - P-20</t>
        </r>
      </text>
    </comment>
    <comment ref="G319" authorId="0" shapeId="0" xr:uid="{5CC484AD-20AC-4D9B-A114-50BD8EE51283}">
      <text>
        <r>
          <rPr>
            <sz val="10"/>
            <color indexed="81"/>
            <rFont val="Lucida Console"/>
            <family val="3"/>
          </rPr>
          <t>_x000D_
Últ estimativa : 0_x000D_
Enviada em     : 17.12.2020_x000D_
Ata - Venc     : 161/21 - 06.07.2022</t>
        </r>
      </text>
    </comment>
    <comment ref="O319" authorId="0" shapeId="0" xr:uid="{9A3E2D7B-B10A-4625-AD28-D86A7CC565C6}">
      <text>
        <r>
          <rPr>
            <sz val="10"/>
            <color indexed="81"/>
            <rFont val="Lucida Console"/>
            <family val="3"/>
          </rPr>
          <t>_x000D_
Pertencia a ATA nº 161/21_x000D_
Estimativa de Renovação enviada em 17.12.2020 - Qtd _x000D_
PE  88/21 lote _x000D_
01.06.21 = Processo finalizado. Ata 161/21</t>
        </r>
      </text>
    </comment>
    <comment ref="W319" authorId="0" shapeId="0" xr:uid="{DA64F647-3798-4F8C-9D2E-D47A6750971F}">
      <text>
        <r>
          <rPr>
            <sz val="10"/>
            <color indexed="81"/>
            <rFont val="Lucida Console"/>
            <family val="3"/>
          </rPr>
          <t>_x000D_
DM-Hidráulica</t>
        </r>
      </text>
    </comment>
    <comment ref="X319" authorId="0" shapeId="0" xr:uid="{C674A459-EBED-44A5-8C26-0965A85370A5}">
      <text>
        <r>
          <rPr>
            <sz val="10"/>
            <color indexed="81"/>
            <rFont val="Lucida Console"/>
            <family val="3"/>
          </rPr>
          <t>_x000D_
MATERIAL HIDRAULICO, CANOS, TUBOS, MANGUEIRAS, CONEXOES E ACESS.</t>
        </r>
      </text>
    </comment>
    <comment ref="Y319" authorId="0" shapeId="0" xr:uid="{5CCB4993-C68B-42C0-8D6E-15891E1CEB35}">
      <text>
        <r>
          <rPr>
            <sz val="10"/>
            <color indexed="81"/>
            <rFont val="Lucida Console"/>
            <family val="3"/>
          </rPr>
          <t>_x000D_
REGISTROS VALVULAS E BOIAS</t>
        </r>
      </text>
    </comment>
    <comment ref="AW319" authorId="0" shapeId="0" xr:uid="{1D64BB2B-4131-4C21-9695-7A532605D307}">
      <text>
        <r>
          <rPr>
            <sz val="10"/>
            <color indexed="81"/>
            <rFont val="Lucida Console"/>
            <family val="3"/>
          </rPr>
          <t>Tempo de Estoque (Meses)_x000D_
_x000D_
47,0</t>
        </r>
      </text>
    </comment>
    <comment ref="A320" authorId="0" shapeId="0" xr:uid="{7C67D23A-B198-4E2D-8A89-8F201441F273}">
      <text>
        <r>
          <rPr>
            <sz val="10"/>
            <color indexed="81"/>
            <rFont val="Lucida Console"/>
            <family val="3"/>
          </rPr>
          <t>_x000D_
81564</t>
        </r>
      </text>
    </comment>
    <comment ref="B320" authorId="0" shapeId="0" xr:uid="{89B1B74B-8A3C-4BEF-AAF8-63D492696E1B}">
      <text>
        <r>
          <rPr>
            <sz val="10"/>
            <color indexed="81"/>
            <rFont val="Lucida Console"/>
            <family val="3"/>
          </rPr>
          <t>DESCRIÇÃO DETALHADA_x000D_
REPARO P/ VALVULA DE DESCARGA - MARCA LORENZETTI - P-21</t>
        </r>
      </text>
    </comment>
    <comment ref="G320" authorId="0" shapeId="0" xr:uid="{A2B3E22D-6A08-434E-A957-0B44C0448099}">
      <text>
        <r>
          <rPr>
            <sz val="10"/>
            <color indexed="81"/>
            <rFont val="Lucida Console"/>
            <family val="3"/>
          </rPr>
          <t>_x000D_
Últ estimativa : 0_x000D_
Enviada em     : 17.12.2020_x000D_
Ata - Venc     : 161/21 - 06.07.2022</t>
        </r>
      </text>
    </comment>
    <comment ref="O320" authorId="0" shapeId="0" xr:uid="{2999EACF-5D60-42CA-8DB0-2EB08EC6DFCC}">
      <text>
        <r>
          <rPr>
            <sz val="10"/>
            <color indexed="81"/>
            <rFont val="Lucida Console"/>
            <family val="3"/>
          </rPr>
          <t>_x000D_
Pertencia a ATA nº 161/21_x000D_
Estimativa de Renovação enviada em 17.12.2020 - Qtd _x000D_
PE  88/21 lote _x000D_
01.06.21 = Processo finalizado. Ata 161/21</t>
        </r>
      </text>
    </comment>
    <comment ref="W320" authorId="0" shapeId="0" xr:uid="{F38BB508-8CCB-493F-8776-48B1C7CA5452}">
      <text>
        <r>
          <rPr>
            <sz val="10"/>
            <color indexed="81"/>
            <rFont val="Lucida Console"/>
            <family val="3"/>
          </rPr>
          <t>_x000D_
DM-Hidráulica</t>
        </r>
      </text>
    </comment>
    <comment ref="X320" authorId="0" shapeId="0" xr:uid="{D90D703C-97E2-4005-B3B4-7470F03CA43F}">
      <text>
        <r>
          <rPr>
            <sz val="10"/>
            <color indexed="81"/>
            <rFont val="Lucida Console"/>
            <family val="3"/>
          </rPr>
          <t>_x000D_
MATERIAL HIDRAULICO, CANOS, TUBOS, MANGUEIRAS, CONEXOES E ACESS.</t>
        </r>
      </text>
    </comment>
    <comment ref="Y320" authorId="0" shapeId="0" xr:uid="{51665079-0C05-402D-AB8D-D26BC770EAD2}">
      <text>
        <r>
          <rPr>
            <sz val="10"/>
            <color indexed="81"/>
            <rFont val="Lucida Console"/>
            <family val="3"/>
          </rPr>
          <t>_x000D_
REGISTROS VALVULAS E BOIAS</t>
        </r>
      </text>
    </comment>
    <comment ref="AW320" authorId="0" shapeId="0" xr:uid="{A1598969-C2D5-4E45-BD49-BEB042C6AD6E}">
      <text>
        <r>
          <rPr>
            <sz val="10"/>
            <color indexed="81"/>
            <rFont val="Lucida Console"/>
            <family val="3"/>
          </rPr>
          <t>Tempo de Estoque (Meses)_x000D_
_x000D_
11,0</t>
        </r>
      </text>
    </comment>
    <comment ref="A321" authorId="0" shapeId="0" xr:uid="{3A35F055-8B09-4EF5-B8B5-24A12BD38EF8}">
      <text>
        <r>
          <rPr>
            <sz val="10"/>
            <color indexed="81"/>
            <rFont val="Lucida Console"/>
            <family val="3"/>
          </rPr>
          <t>_x000D_
81565</t>
        </r>
      </text>
    </comment>
    <comment ref="B321" authorId="0" shapeId="0" xr:uid="{3888B5C7-3106-48C0-BA96-17BFBF67ADF0}">
      <text>
        <r>
          <rPr>
            <sz val="10"/>
            <color indexed="81"/>
            <rFont val="Lucida Console"/>
            <family val="3"/>
          </rPr>
          <t>DESCRIÇÃO DETALHADA_x000D_
REPARO P/ VALVULA DE DESCARGA - MARCA LORENZETTI - P-41</t>
        </r>
      </text>
    </comment>
    <comment ref="G321" authorId="0" shapeId="0" xr:uid="{B9BCE767-0604-4598-9F77-0113C31F7D6C}">
      <text>
        <r>
          <rPr>
            <sz val="10"/>
            <color indexed="81"/>
            <rFont val="Lucida Console"/>
            <family val="3"/>
          </rPr>
          <t>_x000D_
Últ estimativa : 20_x000D_
Enviada em     : 17.12.2020_x000D_
Ata - Venc     : 161/21 - 06.07.2022</t>
        </r>
      </text>
    </comment>
    <comment ref="O321" authorId="0" shapeId="0" xr:uid="{B8D22342-2FD0-41E2-BCD0-1A7C183D9D9A}">
      <text>
        <r>
          <rPr>
            <sz val="10"/>
            <color indexed="81"/>
            <rFont val="Lucida Console"/>
            <family val="3"/>
          </rPr>
          <t>_x000D_
Pertencia a ATA nº 161/21_x000D_
Estimativa de Renovação enviada em 17.12.2020 - Qtd 20_x000D_
PE  88/21 lote _x000D_
01.06.21 = Processo finalizado. Ata 161/21</t>
        </r>
      </text>
    </comment>
    <comment ref="W321" authorId="0" shapeId="0" xr:uid="{D0C97C70-D675-49B0-8280-2B9DF67F1A54}">
      <text>
        <r>
          <rPr>
            <sz val="10"/>
            <color indexed="81"/>
            <rFont val="Lucida Console"/>
            <family val="3"/>
          </rPr>
          <t>_x000D_
DM-Hidráulica</t>
        </r>
      </text>
    </comment>
    <comment ref="X321" authorId="0" shapeId="0" xr:uid="{4E83DD26-A6A4-4443-9CD4-079D9B9DDCE9}">
      <text>
        <r>
          <rPr>
            <sz val="10"/>
            <color indexed="81"/>
            <rFont val="Lucida Console"/>
            <family val="3"/>
          </rPr>
          <t>_x000D_
MATERIAL HIDRAULICO, CANOS, TUBOS, MANGUEIRAS, CONEXOES E ACESS.</t>
        </r>
      </text>
    </comment>
    <comment ref="Y321" authorId="0" shapeId="0" xr:uid="{03153CD7-49BE-408E-A010-75812892FF64}">
      <text>
        <r>
          <rPr>
            <sz val="10"/>
            <color indexed="81"/>
            <rFont val="Lucida Console"/>
            <family val="3"/>
          </rPr>
          <t>_x000D_
REGISTROS VALVULAS E BOIAS</t>
        </r>
      </text>
    </comment>
    <comment ref="AW321" authorId="0" shapeId="0" xr:uid="{204A6631-8BB3-4DA1-AA71-592BD16AD51D}">
      <text>
        <r>
          <rPr>
            <sz val="10"/>
            <color indexed="81"/>
            <rFont val="Lucida Console"/>
            <family val="3"/>
          </rPr>
          <t>Tempo de Estoque (Meses)_x000D_
_x000D_
19,0</t>
        </r>
      </text>
    </comment>
    <comment ref="A322" authorId="0" shapeId="0" xr:uid="{B36104ED-7BE1-4926-91B3-E5279561FB9B}">
      <text>
        <r>
          <rPr>
            <sz val="10"/>
            <color indexed="81"/>
            <rFont val="Lucida Console"/>
            <family val="3"/>
          </rPr>
          <t>_x000D_
52946</t>
        </r>
      </text>
    </comment>
    <comment ref="B322" authorId="0" shapeId="0" xr:uid="{411E56B9-ED1B-43E2-96D1-9C44DCA3895D}">
      <text>
        <r>
          <rPr>
            <sz val="10"/>
            <color indexed="81"/>
            <rFont val="Lucida Console"/>
            <family val="3"/>
          </rPr>
          <t>DESCRIÇÃO DETALHADA_x000D_
CAIXILHO DE FERRO PERFILADO, BASCULANTE - MEDIDAS: 0,80 X 0,60M</t>
        </r>
      </text>
    </comment>
    <comment ref="G322" authorId="0" shapeId="0" xr:uid="{2BA826A3-6DBD-4721-9847-E7FEE217EAFC}">
      <text>
        <r>
          <rPr>
            <sz val="10"/>
            <color indexed="81"/>
            <rFont val="Lucida Console"/>
            <family val="3"/>
          </rPr>
          <t>_x000D_
Últ estimativa : 40_x000D_
Enviada em     : 14.02.2020_x000D_
Ata - Venc     : 166/20 - 10.08.2021</t>
        </r>
      </text>
    </comment>
    <comment ref="O322" authorId="0" shapeId="0" xr:uid="{BA6643B9-4561-4FB0-BDEE-49A82D9C0BF8}">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22" authorId="0" shapeId="0" xr:uid="{B0854287-C79D-4902-9787-C7DE0011D4AB}">
      <text>
        <r>
          <rPr>
            <sz val="10"/>
            <color indexed="81"/>
            <rFont val="Lucida Console"/>
            <family val="3"/>
          </rPr>
          <t>_x000D_
DM-Construção</t>
        </r>
      </text>
    </comment>
    <comment ref="X322" authorId="0" shapeId="0" xr:uid="{455D51B7-4E5F-4CA8-9161-A28657D818D4}">
      <text>
        <r>
          <rPr>
            <sz val="10"/>
            <color indexed="81"/>
            <rFont val="Lucida Console"/>
            <family val="3"/>
          </rPr>
          <t>_x000D_
MAT.E EQUIP. P/ CONSTR.CIVIL E CONSERV. DE VIAS PUBL.</t>
        </r>
      </text>
    </comment>
    <comment ref="Y322" authorId="0" shapeId="0" xr:uid="{5158367F-1B65-4948-9B17-6A81C8C97A43}">
      <text>
        <r>
          <rPr>
            <sz val="10"/>
            <color indexed="81"/>
            <rFont val="Lucida Console"/>
            <family val="3"/>
          </rPr>
          <t>_x000D_
CAIXILHOS, JANELAS E VITROS</t>
        </r>
      </text>
    </comment>
    <comment ref="AW322" authorId="0" shapeId="0" xr:uid="{ED461B88-BB02-4E7B-AC9D-3A72DFCC180E}">
      <text>
        <r>
          <rPr>
            <sz val="10"/>
            <color indexed="81"/>
            <rFont val="Lucida Console"/>
            <family val="3"/>
          </rPr>
          <t>Tempo de Estoque (Meses)_x000D_
_x000D_
34,0</t>
        </r>
      </text>
    </comment>
    <comment ref="A323" authorId="0" shapeId="0" xr:uid="{B13B4A78-6AA9-4D50-9FAC-7240CDAE9C1D}">
      <text>
        <r>
          <rPr>
            <sz val="10"/>
            <color indexed="81"/>
            <rFont val="Lucida Console"/>
            <family val="3"/>
          </rPr>
          <t>_x000D_
123131</t>
        </r>
      </text>
    </comment>
    <comment ref="B323" authorId="0" shapeId="0" xr:uid="{15DEA77D-2F8A-4CA2-BCDC-70E3E30AE569}">
      <text>
        <r>
          <rPr>
            <sz val="10"/>
            <color indexed="81"/>
            <rFont val="Lucida Console"/>
            <family val="3"/>
          </rPr>
          <t>DESCRIÇÃO DETALHADA_x000D_
PERFIL GUIA SUPERIOR 0,50 M DE ALTURA X 0,50 M DE LARGURA DE CIMA X 0,25 M DE LARGURA DE BAIXO X 0,8 DE BERAL, CHAPA 16 - BARRA COM 3 METROS</t>
        </r>
      </text>
    </comment>
    <comment ref="G323" authorId="0" shapeId="0" xr:uid="{1F9469A6-0E2B-4030-9639-B92E5996344A}">
      <text>
        <r>
          <rPr>
            <sz val="10"/>
            <color indexed="81"/>
            <rFont val="Lucida Console"/>
            <family val="3"/>
          </rPr>
          <t>_x000D_
Últ estimativa : 300_x000D_
Enviada em     : 14.02.2020_x000D_
Ata - Venc     : 166/20 - 10.08.2021</t>
        </r>
      </text>
    </comment>
    <comment ref="O323" authorId="0" shapeId="0" xr:uid="{5DF93343-9C0C-4F79-87E4-16E293572FF7}">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23" authorId="0" shapeId="0" xr:uid="{49530BA3-347B-4FC9-A834-136CCE2D8EA4}">
      <text>
        <r>
          <rPr>
            <sz val="10"/>
            <color indexed="81"/>
            <rFont val="Lucida Console"/>
            <family val="3"/>
          </rPr>
          <t>_x000D_
DM-Serralheria</t>
        </r>
      </text>
    </comment>
    <comment ref="X323" authorId="0" shapeId="0" xr:uid="{0D8E4D97-C884-4D57-9B59-16EF1B4AA12B}">
      <text>
        <r>
          <rPr>
            <sz val="10"/>
            <color indexed="81"/>
            <rFont val="Lucida Console"/>
            <family val="3"/>
          </rPr>
          <t>_x000D_
METAIS,LAMINAD.,PERFILADOS E ARTEFATOS METALICOS</t>
        </r>
      </text>
    </comment>
    <comment ref="Y323" authorId="0" shapeId="0" xr:uid="{CF32ABB6-1731-4468-A3D6-97942F9F7969}">
      <text>
        <r>
          <rPr>
            <sz val="10"/>
            <color indexed="81"/>
            <rFont val="Lucida Console"/>
            <family val="3"/>
          </rPr>
          <t>_x000D_
PERFIS E BARRA</t>
        </r>
      </text>
    </comment>
    <comment ref="AW323" authorId="0" shapeId="0" xr:uid="{B05AB833-2E0A-4A7B-B123-0F7C125D2A89}">
      <text>
        <r>
          <rPr>
            <sz val="10"/>
            <color indexed="81"/>
            <rFont val="Lucida Console"/>
            <family val="3"/>
          </rPr>
          <t>Tempo de Estoque (Meses)_x000D_
_x000D_
332,0</t>
        </r>
      </text>
    </comment>
    <comment ref="A324" authorId="0" shapeId="0" xr:uid="{1F3049F7-D4C8-43DC-9BFD-D164181E8ADC}">
      <text>
        <r>
          <rPr>
            <sz val="10"/>
            <color indexed="81"/>
            <rFont val="Lucida Console"/>
            <family val="3"/>
          </rPr>
          <t>_x000D_
123132</t>
        </r>
      </text>
    </comment>
    <comment ref="B324" authorId="0" shapeId="0" xr:uid="{D1E966CB-DC56-4519-B7BC-842F0468563C}">
      <text>
        <r>
          <rPr>
            <sz val="10"/>
            <color indexed="81"/>
            <rFont val="Lucida Console"/>
            <family val="3"/>
          </rPr>
          <t>DESCRIÇÃO DETALHADA_x000D_
PERFIL GUIA INFERIOR - MEDIDAS: 100 CM DE LARGURA TOTAL X 2,5 CM DE ALTURA, CHAPA 16 - BARRA COM 3 METROS</t>
        </r>
      </text>
    </comment>
    <comment ref="G324" authorId="0" shapeId="0" xr:uid="{44CC83BC-2892-4417-8C3C-4EFCC0EF4B8E}">
      <text>
        <r>
          <rPr>
            <sz val="10"/>
            <color indexed="81"/>
            <rFont val="Lucida Console"/>
            <family val="3"/>
          </rPr>
          <t>_x000D_
Últ estimativa : 200_x000D_
Enviada em     : 14.02.2020_x000D_
Ata - Venc     : 166/20 - 10.08.2021</t>
        </r>
      </text>
    </comment>
    <comment ref="O324" authorId="0" shapeId="0" xr:uid="{3A277CE0-8E82-43BD-8CE6-D83F290DAE48}">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24" authorId="0" shapeId="0" xr:uid="{B85C23B2-8975-4E92-BFCC-22B3F17898FB}">
      <text>
        <r>
          <rPr>
            <sz val="10"/>
            <color indexed="81"/>
            <rFont val="Lucida Console"/>
            <family val="3"/>
          </rPr>
          <t>_x000D_
DM-Serralheria</t>
        </r>
      </text>
    </comment>
    <comment ref="X324" authorId="0" shapeId="0" xr:uid="{C362B185-61E2-4FDB-B297-67D8B6840CC9}">
      <text>
        <r>
          <rPr>
            <sz val="10"/>
            <color indexed="81"/>
            <rFont val="Lucida Console"/>
            <family val="3"/>
          </rPr>
          <t>_x000D_
METAIS,LAMINAD.,PERFILADOS E ARTEFATOS METALICOS</t>
        </r>
      </text>
    </comment>
    <comment ref="Y324" authorId="0" shapeId="0" xr:uid="{795234E4-CCF4-430C-AEC9-50BE87275240}">
      <text>
        <r>
          <rPr>
            <sz val="10"/>
            <color indexed="81"/>
            <rFont val="Lucida Console"/>
            <family val="3"/>
          </rPr>
          <t>_x000D_
PERFIS E BARRA</t>
        </r>
      </text>
    </comment>
    <comment ref="AW324" authorId="0" shapeId="0" xr:uid="{C7641E9D-466E-42F7-8C0B-AB0F76B5C59E}">
      <text>
        <r>
          <rPr>
            <sz val="10"/>
            <color indexed="81"/>
            <rFont val="Lucida Console"/>
            <family val="3"/>
          </rPr>
          <t>Tempo de Estoque (Meses)_x000D_
_x000D_
527,0</t>
        </r>
      </text>
    </comment>
    <comment ref="A325" authorId="0" shapeId="0" xr:uid="{1739A1DB-FE19-48F3-9CBF-6127851C48BC}">
      <text>
        <r>
          <rPr>
            <sz val="10"/>
            <color indexed="81"/>
            <rFont val="Lucida Console"/>
            <family val="3"/>
          </rPr>
          <t>_x000D_
123133</t>
        </r>
      </text>
    </comment>
    <comment ref="B325" authorId="0" shapeId="0" xr:uid="{85AE5D2E-D498-4ECC-95C4-EB0A947BAE1A}">
      <text>
        <r>
          <rPr>
            <sz val="10"/>
            <color indexed="81"/>
            <rFont val="Lucida Console"/>
            <family val="3"/>
          </rPr>
          <t>DESCRIÇÃO DETALHADA_x000D_
PERFIL TAMPA GUIA SUPERIOR 0,50 M DE LARGURA COM UMA DOBRA DE 0,10 MM, CHAPA 16 - BARRA COM 3 METROS</t>
        </r>
      </text>
    </comment>
    <comment ref="G325" authorId="0" shapeId="0" xr:uid="{E80BAA82-95CB-44A5-A646-95C7DEB14BE5}">
      <text>
        <r>
          <rPr>
            <sz val="10"/>
            <color indexed="81"/>
            <rFont val="Lucida Console"/>
            <family val="3"/>
          </rPr>
          <t>_x000D_
Últ estimativa : 300_x000D_
Enviada em     : 14.02.2020_x000D_
Ata - Venc     : 166/20 - 10.08.2021</t>
        </r>
      </text>
    </comment>
    <comment ref="O325" authorId="0" shapeId="0" xr:uid="{F236F669-3535-4E2E-8682-2E90DAEE0F02}">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25" authorId="0" shapeId="0" xr:uid="{2AAECDFF-6150-4200-8EA9-E3ED0C382F57}">
      <text>
        <r>
          <rPr>
            <sz val="10"/>
            <color indexed="81"/>
            <rFont val="Lucida Console"/>
            <family val="3"/>
          </rPr>
          <t>_x000D_
DM-Serralheria</t>
        </r>
      </text>
    </comment>
    <comment ref="X325" authorId="0" shapeId="0" xr:uid="{49184ED0-B745-4B7E-A5A3-9DC4B04E7EEE}">
      <text>
        <r>
          <rPr>
            <sz val="10"/>
            <color indexed="81"/>
            <rFont val="Lucida Console"/>
            <family val="3"/>
          </rPr>
          <t>_x000D_
METAIS,LAMINAD.,PERFILADOS E ARTEFATOS METALICOS</t>
        </r>
      </text>
    </comment>
    <comment ref="Y325" authorId="0" shapeId="0" xr:uid="{697F6F1E-D9C7-43A4-9ED7-D53C085F1AF1}">
      <text>
        <r>
          <rPr>
            <sz val="10"/>
            <color indexed="81"/>
            <rFont val="Lucida Console"/>
            <family val="3"/>
          </rPr>
          <t>_x000D_
PERFIS E BARRA</t>
        </r>
      </text>
    </comment>
    <comment ref="AW325" authorId="0" shapeId="0" xr:uid="{D28F18E0-C3E2-461D-A7CD-7B08695A01D6}">
      <text>
        <r>
          <rPr>
            <sz val="10"/>
            <color indexed="81"/>
            <rFont val="Lucida Console"/>
            <family val="3"/>
          </rPr>
          <t>Tempo de Estoque (Meses)_x000D_
_x000D_
382,0</t>
        </r>
      </text>
    </comment>
    <comment ref="A326" authorId="0" shapeId="0" xr:uid="{12E407B9-A9E9-41DB-88C3-97AFBFD3A3A0}">
      <text>
        <r>
          <rPr>
            <sz val="10"/>
            <color indexed="81"/>
            <rFont val="Lucida Console"/>
            <family val="3"/>
          </rPr>
          <t>_x000D_
114822</t>
        </r>
      </text>
    </comment>
    <comment ref="B326" authorId="0" shapeId="0" xr:uid="{550C83F5-0DD6-455D-A08F-8ECF220943D7}">
      <text>
        <r>
          <rPr>
            <sz val="10"/>
            <color indexed="81"/>
            <rFont val="Lucida Console"/>
            <family val="3"/>
          </rPr>
          <t>DESCRIÇÃO DETALHADA_x000D_
TUBO DE PVC SOLDAVEL, 10" 250MM X 6M PARA ESGOTO NA COR BRANCA</t>
        </r>
      </text>
    </comment>
    <comment ref="G326" authorId="0" shapeId="0" xr:uid="{BFE5670F-5B0F-4B9F-A3FB-5371D0CBA364}">
      <text>
        <r>
          <rPr>
            <sz val="10"/>
            <color indexed="81"/>
            <rFont val="Lucida Console"/>
            <family val="3"/>
          </rPr>
          <t>_x000D_
Últ estimativa : 100_x000D_
Enviada em     : 25.09.2019_x000D_
Ata - Venc     : 169/17 - 05.10.2018</t>
        </r>
      </text>
    </comment>
    <comment ref="O326" authorId="0" shapeId="0" xr:uid="{51984A4D-451C-4DED-AD48-580598C33A14}">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26" authorId="0" shapeId="0" xr:uid="{DB5EF5E7-FE93-4F19-8DA0-CDE7B627A374}">
      <text>
        <r>
          <rPr>
            <sz val="10"/>
            <color indexed="81"/>
            <rFont val="Lucida Console"/>
            <family val="3"/>
          </rPr>
          <t>_x000D_
DM-Hidráulica</t>
        </r>
      </text>
    </comment>
    <comment ref="X326" authorId="0" shapeId="0" xr:uid="{546CA934-8830-4613-8960-A4F1A6DD2D65}">
      <text>
        <r>
          <rPr>
            <sz val="10"/>
            <color indexed="81"/>
            <rFont val="Lucida Console"/>
            <family val="3"/>
          </rPr>
          <t>_x000D_
MATERIAL HIDRAULICO, CANOS, TUBOS, MANGUEIRAS, CONEXOES E ACESS.</t>
        </r>
      </text>
    </comment>
    <comment ref="Y326" authorId="0" shapeId="0" xr:uid="{1131D2E6-203C-4BBE-B04B-8C0D16318EF1}">
      <text>
        <r>
          <rPr>
            <sz val="10"/>
            <color indexed="81"/>
            <rFont val="Lucida Console"/>
            <family val="3"/>
          </rPr>
          <t>_x000D_
ADAP. LUVAS.TES CURVAS COTOVELOS PLUGS FLANGES.....</t>
        </r>
      </text>
    </comment>
    <comment ref="AW326" authorId="0" shapeId="0" xr:uid="{7326EA2C-B2A7-4D64-B625-DB18F81D293E}">
      <text>
        <r>
          <rPr>
            <sz val="10"/>
            <color indexed="81"/>
            <rFont val="Lucida Console"/>
            <family val="3"/>
          </rPr>
          <t>Tempo de Estoque (Meses)_x000D_
_x000D_
42,0</t>
        </r>
      </text>
    </comment>
    <comment ref="A327" authorId="0" shapeId="0" xr:uid="{616EBD8C-759C-47F8-B715-C3E976F28324}">
      <text>
        <r>
          <rPr>
            <sz val="10"/>
            <color indexed="81"/>
            <rFont val="Lucida Console"/>
            <family val="3"/>
          </rPr>
          <t>_x000D_
88726</t>
        </r>
      </text>
    </comment>
    <comment ref="B327" authorId="0" shapeId="0" xr:uid="{074FED61-6F4D-444C-A7CD-69D3D9D61A6F}">
      <text>
        <r>
          <rPr>
            <sz val="10"/>
            <color indexed="81"/>
            <rFont val="Lucida Console"/>
            <family val="3"/>
          </rPr>
          <t>DESCRIÇÃO DETALHADA_x000D_
DISJUNTOR NORMA DIN CURVA C PADRAO, BIPOLAR, 10 AMPERES</t>
        </r>
      </text>
    </comment>
    <comment ref="G327" authorId="0" shapeId="0" xr:uid="{820CF0F6-C8DD-42C2-BADE-A8B3F0E3A457}">
      <text>
        <r>
          <rPr>
            <sz val="10"/>
            <color indexed="81"/>
            <rFont val="Lucida Console"/>
            <family val="3"/>
          </rPr>
          <t>_x000D_
Últ estimativa : 120_x000D_
Enviada em     : 23.09.2020_x000D_
Ata - Venc     : 17/20 - 29.01.2021</t>
        </r>
      </text>
    </comment>
    <comment ref="O327" authorId="0" shapeId="0" xr:uid="{EAC791F4-DB1B-49AE-91AD-DBDE0293C308}">
      <text>
        <r>
          <rPr>
            <sz val="10"/>
            <color indexed="81"/>
            <rFont val="Lucida Console"/>
            <family val="3"/>
          </rPr>
          <t>_x000D_
Pertencia a ATA nº 17/20_x000D_
Estimativa de Renovação enviada em 23.09.2020 - Qtd 120_x000D_
PP 241/19 lote _x000D_
21.02.20 = Processo conferido, finalizado.</t>
        </r>
      </text>
    </comment>
    <comment ref="W327" authorId="0" shapeId="0" xr:uid="{1A7168AB-EE8F-4ADE-B418-4B1ADB0D5C64}">
      <text>
        <r>
          <rPr>
            <sz val="10"/>
            <color indexed="81"/>
            <rFont val="Lucida Console"/>
            <family val="3"/>
          </rPr>
          <t>_x000D_
DM-Elétrica</t>
        </r>
      </text>
    </comment>
    <comment ref="X327" authorId="0" shapeId="0" xr:uid="{6F78C156-0B95-448F-8DD5-93FD3E5C784D}">
      <text>
        <r>
          <rPr>
            <sz val="10"/>
            <color indexed="81"/>
            <rFont val="Lucida Console"/>
            <family val="3"/>
          </rPr>
          <t>_x000D_
EQUIP. MAT. P/ GERACAO, TRANSM. DISTR. RETIF...</t>
        </r>
      </text>
    </comment>
    <comment ref="Y327" authorId="0" shapeId="0" xr:uid="{6EA1D9BF-6529-4CF0-8EB2-E39CC1C8E262}">
      <text>
        <r>
          <rPr>
            <sz val="10"/>
            <color indexed="81"/>
            <rFont val="Lucida Console"/>
            <family val="3"/>
          </rPr>
          <t>_x000D_
DISJUNTORES</t>
        </r>
      </text>
    </comment>
    <comment ref="AW327" authorId="0" shapeId="0" xr:uid="{15A9C641-BA82-44C4-880B-A627881464A6}">
      <text>
        <r>
          <rPr>
            <sz val="10"/>
            <color indexed="81"/>
            <rFont val="Lucida Console"/>
            <family val="3"/>
          </rPr>
          <t>Tempo de Estoque (Meses)_x000D_
_x000D_
150,0</t>
        </r>
      </text>
    </comment>
    <comment ref="A328" authorId="0" shapeId="0" xr:uid="{6340B3FF-8A4D-4470-A1D7-5235C5A59D76}">
      <text>
        <r>
          <rPr>
            <sz val="10"/>
            <color indexed="81"/>
            <rFont val="Lucida Console"/>
            <family val="3"/>
          </rPr>
          <t>_x000D_
88727</t>
        </r>
      </text>
    </comment>
    <comment ref="B328" authorId="0" shapeId="0" xr:uid="{76726980-3728-48D2-BD46-CD85538BFF70}">
      <text>
        <r>
          <rPr>
            <sz val="10"/>
            <color indexed="81"/>
            <rFont val="Lucida Console"/>
            <family val="3"/>
          </rPr>
          <t>DESCRIÇÃO DETALHADA_x000D_
DISJUNTOR NORMA DIN CURVA C PADRAO, BIPOLAR, 20 AMPERES</t>
        </r>
      </text>
    </comment>
    <comment ref="G328" authorId="0" shapeId="0" xr:uid="{A597ADBB-81F5-408F-9FB5-2A636804689B}">
      <text>
        <r>
          <rPr>
            <sz val="10"/>
            <color indexed="81"/>
            <rFont val="Lucida Console"/>
            <family val="3"/>
          </rPr>
          <t>_x000D_
Últ estimativa : 300_x000D_
Enviada em     : 23.09.2020_x000D_
Ata - Venc     : 17/20 - 29.01.2021</t>
        </r>
      </text>
    </comment>
    <comment ref="O328" authorId="0" shapeId="0" xr:uid="{49A279A8-CFDD-4790-968E-3187692E19DA}">
      <text>
        <r>
          <rPr>
            <sz val="10"/>
            <color indexed="81"/>
            <rFont val="Lucida Console"/>
            <family val="3"/>
          </rPr>
          <t>_x000D_
Pertencia a ATA nº 17/20_x000D_
Estimativa de Renovação enviada em 23.09.2020 - Qtd 300_x000D_
PP 241/19 lote _x000D_
21.02.20 = Processo conferido, finalizado.</t>
        </r>
      </text>
    </comment>
    <comment ref="W328" authorId="0" shapeId="0" xr:uid="{E0295CB8-673B-4B10-AA44-8ACD0F8B7F99}">
      <text>
        <r>
          <rPr>
            <sz val="10"/>
            <color indexed="81"/>
            <rFont val="Lucida Console"/>
            <family val="3"/>
          </rPr>
          <t>_x000D_
DM-Elétrica</t>
        </r>
      </text>
    </comment>
    <comment ref="X328" authorId="0" shapeId="0" xr:uid="{9307B2CE-94F5-4155-A507-46812E6E2DA1}">
      <text>
        <r>
          <rPr>
            <sz val="10"/>
            <color indexed="81"/>
            <rFont val="Lucida Console"/>
            <family val="3"/>
          </rPr>
          <t>_x000D_
EQUIP. MAT. P/ GERACAO, TRANSM. DISTR. RETIF...</t>
        </r>
      </text>
    </comment>
    <comment ref="Y328" authorId="0" shapeId="0" xr:uid="{1EC86B82-628C-47CA-B667-A7C23657DC24}">
      <text>
        <r>
          <rPr>
            <sz val="10"/>
            <color indexed="81"/>
            <rFont val="Lucida Console"/>
            <family val="3"/>
          </rPr>
          <t>_x000D_
DISJUNTORES</t>
        </r>
      </text>
    </comment>
    <comment ref="AW328" authorId="0" shapeId="0" xr:uid="{E654BB29-5E15-440D-82F9-B82AE42C40E6}">
      <text>
        <r>
          <rPr>
            <sz val="10"/>
            <color indexed="81"/>
            <rFont val="Lucida Console"/>
            <family val="3"/>
          </rPr>
          <t>Tempo de Estoque (Meses)_x000D_
_x000D_
248,0</t>
        </r>
      </text>
    </comment>
    <comment ref="A329" authorId="0" shapeId="0" xr:uid="{9DE57BD2-B0C5-4DDF-A639-4A47C1A3EE84}">
      <text>
        <r>
          <rPr>
            <sz val="10"/>
            <color indexed="81"/>
            <rFont val="Lucida Console"/>
            <family val="3"/>
          </rPr>
          <t>_x000D_
88728</t>
        </r>
      </text>
    </comment>
    <comment ref="B329" authorId="0" shapeId="0" xr:uid="{909869DE-0890-4803-AAA6-CCBFDDB7AD37}">
      <text>
        <r>
          <rPr>
            <sz val="10"/>
            <color indexed="81"/>
            <rFont val="Lucida Console"/>
            <family val="3"/>
          </rPr>
          <t>DESCRIÇÃO DETALHADA_x000D_
DISJUNTOR NORMA DIN CURVA C PADRAO, BIPOLAR, 32 AMPERES</t>
        </r>
      </text>
    </comment>
    <comment ref="G329" authorId="0" shapeId="0" xr:uid="{5AEE0915-75C8-47CF-8922-88DB21299FB9}">
      <text>
        <r>
          <rPr>
            <sz val="10"/>
            <color indexed="81"/>
            <rFont val="Lucida Console"/>
            <family val="3"/>
          </rPr>
          <t>_x000D_
Últ estimativa : 250_x000D_
Enviada em     : 23.09.2020_x000D_
Ata - Venc     : 17/20 - 29.01.2021</t>
        </r>
      </text>
    </comment>
    <comment ref="O329" authorId="0" shapeId="0" xr:uid="{363E11BB-B3DE-4607-AF9F-470C893B2694}">
      <text>
        <r>
          <rPr>
            <sz val="10"/>
            <color indexed="81"/>
            <rFont val="Lucida Console"/>
            <family val="3"/>
          </rPr>
          <t>_x000D_
Pertencia a ATA nº 17/20_x000D_
Estimativa de Renovação enviada em 23.09.2020 - Qtd 250_x000D_
PP 241/19 lote _x000D_
21.02.20 = Processo conferido, finalizado.</t>
        </r>
      </text>
    </comment>
    <comment ref="W329" authorId="0" shapeId="0" xr:uid="{B035F8B9-CBC0-4DD0-AA56-BE494F198384}">
      <text>
        <r>
          <rPr>
            <sz val="10"/>
            <color indexed="81"/>
            <rFont val="Lucida Console"/>
            <family val="3"/>
          </rPr>
          <t>_x000D_
DM-Elétrica</t>
        </r>
      </text>
    </comment>
    <comment ref="X329" authorId="0" shapeId="0" xr:uid="{16774063-5395-4763-99B9-3B6D344AACE5}">
      <text>
        <r>
          <rPr>
            <sz val="10"/>
            <color indexed="81"/>
            <rFont val="Lucida Console"/>
            <family val="3"/>
          </rPr>
          <t>_x000D_
EQUIP. MAT. P/ GERACAO, TRANSM. DISTR. RETIF...</t>
        </r>
      </text>
    </comment>
    <comment ref="Y329" authorId="0" shapeId="0" xr:uid="{050F1978-A2A2-4E13-93EA-72020A5FCC91}">
      <text>
        <r>
          <rPr>
            <sz val="10"/>
            <color indexed="81"/>
            <rFont val="Lucida Console"/>
            <family val="3"/>
          </rPr>
          <t>_x000D_
DISJUNTORES</t>
        </r>
      </text>
    </comment>
    <comment ref="AW329" authorId="0" shapeId="0" xr:uid="{2721A133-19E9-4AF8-A2FF-5B1CC4A68C2D}">
      <text>
        <r>
          <rPr>
            <sz val="10"/>
            <color indexed="81"/>
            <rFont val="Lucida Console"/>
            <family val="3"/>
          </rPr>
          <t>Tempo de Estoque (Meses)_x000D_
_x000D_
186,0</t>
        </r>
      </text>
    </comment>
    <comment ref="A330" authorId="0" shapeId="0" xr:uid="{AE968B2E-9481-4B2B-BE14-0F892D6A4C63}">
      <text>
        <r>
          <rPr>
            <sz val="10"/>
            <color indexed="81"/>
            <rFont val="Lucida Console"/>
            <family val="3"/>
          </rPr>
          <t>_x000D_
88730</t>
        </r>
      </text>
    </comment>
    <comment ref="B330" authorId="0" shapeId="0" xr:uid="{59C039D0-5500-4653-8ADC-E6D9FC63CDCB}">
      <text>
        <r>
          <rPr>
            <sz val="10"/>
            <color indexed="81"/>
            <rFont val="Lucida Console"/>
            <family val="3"/>
          </rPr>
          <t>DESCRIÇÃO DETALHADA_x000D_
DISJUNTOR NORMA DIN CURVA C PADRAO, BIPOLAR, 50 AMPERES</t>
        </r>
      </text>
    </comment>
    <comment ref="G330" authorId="0" shapeId="0" xr:uid="{EC9AB9EE-F946-4DC9-B2D3-5C3776A893A3}">
      <text>
        <r>
          <rPr>
            <sz val="10"/>
            <color indexed="81"/>
            <rFont val="Lucida Console"/>
            <family val="3"/>
          </rPr>
          <t>_x000D_
Últ estimativa : 20_x000D_
Enviada em     : 23.09.2020_x000D_
Ata - Venc     : 17/20 - 29.01.2021</t>
        </r>
      </text>
    </comment>
    <comment ref="O330" authorId="0" shapeId="0" xr:uid="{DAACDD3C-BB0D-4254-9369-CFFB72D9777C}">
      <text>
        <r>
          <rPr>
            <sz val="10"/>
            <color indexed="81"/>
            <rFont val="Lucida Console"/>
            <family val="3"/>
          </rPr>
          <t>_x000D_
Pertencia a ATA nº 17/20_x000D_
Estimativa de Renovação enviada em 23.09.2020 - Qtd 20_x000D_
PP 241/19 lote _x000D_
21.02.20 = Processo conferido, finalizado.</t>
        </r>
      </text>
    </comment>
    <comment ref="W330" authorId="0" shapeId="0" xr:uid="{D531E351-EAB7-423B-8A93-DB9D23D5827B}">
      <text>
        <r>
          <rPr>
            <sz val="10"/>
            <color indexed="81"/>
            <rFont val="Lucida Console"/>
            <family val="3"/>
          </rPr>
          <t>_x000D_
DM-Elétrica</t>
        </r>
      </text>
    </comment>
    <comment ref="X330" authorId="0" shapeId="0" xr:uid="{7D527B28-A19B-4F0A-8B67-22DA3D51EC0F}">
      <text>
        <r>
          <rPr>
            <sz val="10"/>
            <color indexed="81"/>
            <rFont val="Lucida Console"/>
            <family val="3"/>
          </rPr>
          <t>_x000D_
EQUIP. MAT. P/ GERACAO, TRANSM. DISTR. RETIF...</t>
        </r>
      </text>
    </comment>
    <comment ref="Y330" authorId="0" shapeId="0" xr:uid="{B8723766-D39E-40D4-BBE5-5403F41CCC06}">
      <text>
        <r>
          <rPr>
            <sz val="10"/>
            <color indexed="81"/>
            <rFont val="Lucida Console"/>
            <family val="3"/>
          </rPr>
          <t>_x000D_
DISJUNTORES</t>
        </r>
      </text>
    </comment>
    <comment ref="AW330" authorId="0" shapeId="0" xr:uid="{ACB5B5FD-139A-4553-9D50-49B470471C8A}">
      <text>
        <r>
          <rPr>
            <sz val="10"/>
            <color indexed="81"/>
            <rFont val="Lucida Console"/>
            <family val="3"/>
          </rPr>
          <t>Tempo de Estoque (Meses)_x000D_
_x000D_
28,0</t>
        </r>
      </text>
    </comment>
    <comment ref="A331" authorId="0" shapeId="0" xr:uid="{827DD070-6ADD-42C8-8E4C-AA33420F89BB}">
      <text>
        <r>
          <rPr>
            <sz val="10"/>
            <color indexed="81"/>
            <rFont val="Lucida Console"/>
            <family val="3"/>
          </rPr>
          <t>_x000D_
88734</t>
        </r>
      </text>
    </comment>
    <comment ref="B331" authorId="0" shapeId="0" xr:uid="{5C4F4382-22D3-4A53-B903-B61BBD8DBB2D}">
      <text>
        <r>
          <rPr>
            <sz val="10"/>
            <color indexed="81"/>
            <rFont val="Lucida Console"/>
            <family val="3"/>
          </rPr>
          <t>DESCRIÇÃO DETALHADA_x000D_
DISJUNTOR NORMA DIN CURVA C PADRAO, TRIPOLAR, 40 AMPERES</t>
        </r>
      </text>
    </comment>
    <comment ref="G331" authorId="0" shapeId="0" xr:uid="{DED54B6C-512A-43E6-BDEB-CFED2363DABC}">
      <text>
        <r>
          <rPr>
            <sz val="10"/>
            <color indexed="81"/>
            <rFont val="Lucida Console"/>
            <family val="3"/>
          </rPr>
          <t>_x000D_
Últ estimativa : 0_x000D_
Enviada em     : 23.09.2020_x000D_
Ata - Venc     : 17/20 - 29.01.2021</t>
        </r>
      </text>
    </comment>
    <comment ref="O331" authorId="0" shapeId="0" xr:uid="{3BDFC00A-CB8C-4983-ABA6-89F0D7A83473}">
      <text>
        <r>
          <rPr>
            <sz val="10"/>
            <color indexed="81"/>
            <rFont val="Lucida Console"/>
            <family val="3"/>
          </rPr>
          <t>_x000D_
Pertencia a ATA nº 17/20_x000D_
Estimativa de Renovação enviada em 23.09.2020 - Qtd _x000D_
PP 241/19 lote _x000D_
21.02.20 = Processo conferido, finalizado.</t>
        </r>
      </text>
    </comment>
    <comment ref="W331" authorId="0" shapeId="0" xr:uid="{19404950-A076-41A4-9487-FF402CF39456}">
      <text>
        <r>
          <rPr>
            <sz val="10"/>
            <color indexed="81"/>
            <rFont val="Lucida Console"/>
            <family val="3"/>
          </rPr>
          <t>_x000D_
DM-Elétrica</t>
        </r>
      </text>
    </comment>
    <comment ref="X331" authorId="0" shapeId="0" xr:uid="{FE62C9F7-B3D9-4A86-AEAD-9C91E9B07BD4}">
      <text>
        <r>
          <rPr>
            <sz val="10"/>
            <color indexed="81"/>
            <rFont val="Lucida Console"/>
            <family val="3"/>
          </rPr>
          <t>_x000D_
EQUIP. MAT. P/ GERACAO, TRANSM. DISTR. RETIF...</t>
        </r>
      </text>
    </comment>
    <comment ref="Y331" authorId="0" shapeId="0" xr:uid="{1333CA28-723A-407C-A670-63878D06AF98}">
      <text>
        <r>
          <rPr>
            <sz val="10"/>
            <color indexed="81"/>
            <rFont val="Lucida Console"/>
            <family val="3"/>
          </rPr>
          <t>_x000D_
DISJUNTORES</t>
        </r>
      </text>
    </comment>
    <comment ref="AW331" authorId="0" shapeId="0" xr:uid="{98C96C39-1700-4A95-98D4-EDF8C6B9FA83}">
      <text>
        <r>
          <rPr>
            <sz val="10"/>
            <color indexed="81"/>
            <rFont val="Lucida Console"/>
            <family val="3"/>
          </rPr>
          <t>Tempo de Estoque (Meses)_x000D_
_x000D_
44,0</t>
        </r>
      </text>
    </comment>
    <comment ref="A332" authorId="0" shapeId="0" xr:uid="{857E7CB9-6994-4FB9-B0AE-2F35F7E6C524}">
      <text>
        <r>
          <rPr>
            <sz val="10"/>
            <color indexed="81"/>
            <rFont val="Lucida Console"/>
            <family val="3"/>
          </rPr>
          <t>_x000D_
88735</t>
        </r>
      </text>
    </comment>
    <comment ref="B332" authorId="0" shapeId="0" xr:uid="{CF6CF759-9E53-42C7-A166-7D9E5B26D3EC}">
      <text>
        <r>
          <rPr>
            <sz val="10"/>
            <color indexed="81"/>
            <rFont val="Lucida Console"/>
            <family val="3"/>
          </rPr>
          <t>DESCRIÇÃO DETALHADA_x000D_
DISJUNTOR NORMA DIN CURVA C PADRAO, TRIPOLAR, 50 AMPERES</t>
        </r>
      </text>
    </comment>
    <comment ref="G332" authorId="0" shapeId="0" xr:uid="{C47B5493-4286-4F09-A631-74309E41DDB2}">
      <text>
        <r>
          <rPr>
            <sz val="10"/>
            <color indexed="81"/>
            <rFont val="Lucida Console"/>
            <family val="3"/>
          </rPr>
          <t>_x000D_
Últ estimativa : 30_x000D_
Enviada em     : 23.09.2020_x000D_
Ata - Venc     : 17/20 - 29.01.2021</t>
        </r>
      </text>
    </comment>
    <comment ref="O332" authorId="0" shapeId="0" xr:uid="{F791CB87-F2D0-4FE1-B9FE-042095B30F4F}">
      <text>
        <r>
          <rPr>
            <sz val="10"/>
            <color indexed="81"/>
            <rFont val="Lucida Console"/>
            <family val="3"/>
          </rPr>
          <t>_x000D_
Pertencia a ATA nº 17/20_x000D_
Estimativa de Renovação enviada em 23.09.2020 - Qtd 30_x000D_
PP 241/19 lote _x000D_
21.02.20 = Processo conferido, finalizado.</t>
        </r>
      </text>
    </comment>
    <comment ref="W332" authorId="0" shapeId="0" xr:uid="{4C99FA0B-9C91-438B-8560-F6D05BD62C18}">
      <text>
        <r>
          <rPr>
            <sz val="10"/>
            <color indexed="81"/>
            <rFont val="Lucida Console"/>
            <family val="3"/>
          </rPr>
          <t>_x000D_
DM-Elétrica</t>
        </r>
      </text>
    </comment>
    <comment ref="X332" authorId="0" shapeId="0" xr:uid="{B77BB9E3-48C0-4917-BEB3-2F6E55F45974}">
      <text>
        <r>
          <rPr>
            <sz val="10"/>
            <color indexed="81"/>
            <rFont val="Lucida Console"/>
            <family val="3"/>
          </rPr>
          <t>_x000D_
EQUIP. MAT. P/ GERACAO, TRANSM. DISTR. RETIF...</t>
        </r>
      </text>
    </comment>
    <comment ref="Y332" authorId="0" shapeId="0" xr:uid="{085752AB-61E0-4505-B4A7-D42564A31357}">
      <text>
        <r>
          <rPr>
            <sz val="10"/>
            <color indexed="81"/>
            <rFont val="Lucida Console"/>
            <family val="3"/>
          </rPr>
          <t>_x000D_
DISJUNTORES</t>
        </r>
      </text>
    </comment>
    <comment ref="AW332" authorId="0" shapeId="0" xr:uid="{00114DEC-9F57-4047-938A-BABC650F2695}">
      <text>
        <r>
          <rPr>
            <sz val="10"/>
            <color indexed="81"/>
            <rFont val="Lucida Console"/>
            <family val="3"/>
          </rPr>
          <t>Tempo de Estoque (Meses)_x000D_
_x000D_
91,0</t>
        </r>
      </text>
    </comment>
    <comment ref="A333" authorId="0" shapeId="0" xr:uid="{AC59EC68-4402-4A9D-BBBF-8FE021CD2850}">
      <text>
        <r>
          <rPr>
            <sz val="10"/>
            <color indexed="81"/>
            <rFont val="Lucida Console"/>
            <family val="3"/>
          </rPr>
          <t>_x000D_
88747</t>
        </r>
      </text>
    </comment>
    <comment ref="B333" authorId="0" shapeId="0" xr:uid="{8442A9FF-0F7A-46F3-81DC-870B2AABF515}">
      <text>
        <r>
          <rPr>
            <sz val="10"/>
            <color indexed="81"/>
            <rFont val="Lucida Console"/>
            <family val="3"/>
          </rPr>
          <t>DESCRIÇÃO DETALHADA_x000D_
DISJUNTOR NORMA DIN CURVA C PADRAO, TRIPOLAR, 125 AMPERES</t>
        </r>
      </text>
    </comment>
    <comment ref="G333" authorId="0" shapeId="0" xr:uid="{DE251A86-7190-447D-A27B-8542C1E19516}">
      <text>
        <r>
          <rPr>
            <sz val="10"/>
            <color indexed="81"/>
            <rFont val="Lucida Console"/>
            <family val="3"/>
          </rPr>
          <t>_x000D_
Últ estimativa : 0_x000D_
Enviada em     : 23.09.2020_x000D_
Ata - Venc     : 17/20 - 29.01.2021</t>
        </r>
      </text>
    </comment>
    <comment ref="O333" authorId="0" shapeId="0" xr:uid="{54B5F404-BBBE-4EE9-B685-94F06D9162F7}">
      <text>
        <r>
          <rPr>
            <sz val="10"/>
            <color indexed="81"/>
            <rFont val="Lucida Console"/>
            <family val="3"/>
          </rPr>
          <t>_x000D_
Pertencia a ATA nº 17/20_x000D_
Estimativa de Renovação enviada em 23.09.2020 - Qtd _x000D_
PP 241/19 lote _x000D_
21.02.20 = Processo conferido, finalizado.</t>
        </r>
      </text>
    </comment>
    <comment ref="W333" authorId="0" shapeId="0" xr:uid="{8257885D-6BD7-4407-AFA9-3B9ABD7B89C9}">
      <text>
        <r>
          <rPr>
            <sz val="10"/>
            <color indexed="81"/>
            <rFont val="Lucida Console"/>
            <family val="3"/>
          </rPr>
          <t>_x000D_
DM-Elétrica</t>
        </r>
      </text>
    </comment>
    <comment ref="X333" authorId="0" shapeId="0" xr:uid="{628F9D96-13BE-47B3-839E-33BFA3E43061}">
      <text>
        <r>
          <rPr>
            <sz val="10"/>
            <color indexed="81"/>
            <rFont val="Lucida Console"/>
            <family val="3"/>
          </rPr>
          <t>_x000D_
EQUIP. MAT. P/ GERACAO, TRANSM. DISTR. RETIF...</t>
        </r>
      </text>
    </comment>
    <comment ref="Y333" authorId="0" shapeId="0" xr:uid="{DE74F6A4-AED4-4B27-97B2-3DD39F399568}">
      <text>
        <r>
          <rPr>
            <sz val="10"/>
            <color indexed="81"/>
            <rFont val="Lucida Console"/>
            <family val="3"/>
          </rPr>
          <t>_x000D_
DISJUNTORES</t>
        </r>
      </text>
    </comment>
    <comment ref="AW333" authorId="0" shapeId="0" xr:uid="{492D904C-9843-4D50-811D-36C558C76641}">
      <text>
        <r>
          <rPr>
            <sz val="10"/>
            <color indexed="81"/>
            <rFont val="Lucida Console"/>
            <family val="3"/>
          </rPr>
          <t>Tempo de Estoque (Meses)_x000D_
_x000D_
7,0</t>
        </r>
      </text>
    </comment>
    <comment ref="A334" authorId="0" shapeId="0" xr:uid="{93EE9F0E-5957-4800-B7CD-372AFC47894A}">
      <text>
        <r>
          <rPr>
            <sz val="10"/>
            <color indexed="81"/>
            <rFont val="Lucida Console"/>
            <family val="3"/>
          </rPr>
          <t>_x000D_
102819</t>
        </r>
      </text>
    </comment>
    <comment ref="B334" authorId="0" shapeId="0" xr:uid="{7B19961A-EE2A-4D83-BD63-15004C05D4B6}">
      <text>
        <r>
          <rPr>
            <sz val="10"/>
            <color indexed="81"/>
            <rFont val="Lucida Console"/>
            <family val="3"/>
          </rPr>
          <t>DESCRIÇÃO DETALHADA_x000D_
DISJUNTOR TRIPOLAR IN = 150A, TENSAO MINIMA DE OPERACAO 240V, CURVA C, NBR 60947-2 - CATEGORIA "A"</t>
        </r>
      </text>
    </comment>
    <comment ref="G334" authorId="0" shapeId="0" xr:uid="{8679E336-D4A2-44EC-A738-AE65321F77A1}">
      <text>
        <r>
          <rPr>
            <sz val="10"/>
            <color indexed="81"/>
            <rFont val="Lucida Console"/>
            <family val="3"/>
          </rPr>
          <t>_x000D_
Últ estimativa : 5_x000D_
Enviada em     : 23.09.2020_x000D_
Ata - Venc     : 17/20 - 29.01.2021</t>
        </r>
      </text>
    </comment>
    <comment ref="O334" authorId="0" shapeId="0" xr:uid="{5D62C0AA-F9AD-4E61-A3AF-B8CD2B8BC6E8}">
      <text>
        <r>
          <rPr>
            <sz val="10"/>
            <color indexed="81"/>
            <rFont val="Lucida Console"/>
            <family val="3"/>
          </rPr>
          <t>_x000D_
Pertencia a ATA nº 17/20_x000D_
Estimativa de Renovação enviada em 23.09.2020 - Qtd 5_x000D_
PP 241/19 lote _x000D_
21.02.20 = Processo conferido, finalizado.</t>
        </r>
      </text>
    </comment>
    <comment ref="W334" authorId="0" shapeId="0" xr:uid="{6C8E2490-4CE2-479D-B9DF-B10A37E40F05}">
      <text>
        <r>
          <rPr>
            <sz val="10"/>
            <color indexed="81"/>
            <rFont val="Lucida Console"/>
            <family val="3"/>
          </rPr>
          <t>_x000D_
DM-Elétrica</t>
        </r>
      </text>
    </comment>
    <comment ref="X334" authorId="0" shapeId="0" xr:uid="{06199E6C-6D87-4796-A2DF-1CD9C1D658B0}">
      <text>
        <r>
          <rPr>
            <sz val="10"/>
            <color indexed="81"/>
            <rFont val="Lucida Console"/>
            <family val="3"/>
          </rPr>
          <t>_x000D_
EQUIP. MAT. P/ GERACAO, TRANSM. DISTR. RETIF...</t>
        </r>
      </text>
    </comment>
    <comment ref="Y334" authorId="0" shapeId="0" xr:uid="{9707D53A-E5C3-438E-9129-76C22147CAD2}">
      <text>
        <r>
          <rPr>
            <sz val="10"/>
            <color indexed="81"/>
            <rFont val="Lucida Console"/>
            <family val="3"/>
          </rPr>
          <t>_x000D_
DISJUNTORES</t>
        </r>
      </text>
    </comment>
    <comment ref="AW334" authorId="0" shapeId="0" xr:uid="{C70622F2-C907-40B9-A5C8-E483A49815DD}">
      <text>
        <r>
          <rPr>
            <sz val="10"/>
            <color indexed="81"/>
            <rFont val="Lucida Console"/>
            <family val="3"/>
          </rPr>
          <t>Tempo de Estoque (Meses)_x000D_
_x000D_
6,0</t>
        </r>
      </text>
    </comment>
    <comment ref="A335" authorId="0" shapeId="0" xr:uid="{87ED52B8-741F-46D1-A7EF-ECE1A6BC484A}">
      <text>
        <r>
          <rPr>
            <sz val="10"/>
            <color indexed="81"/>
            <rFont val="Lucida Console"/>
            <family val="3"/>
          </rPr>
          <t>_x000D_
110771</t>
        </r>
      </text>
    </comment>
    <comment ref="B335" authorId="0" shapeId="0" xr:uid="{A2332D84-DE40-48F3-BAFD-E7070D6D191D}">
      <text>
        <r>
          <rPr>
            <sz val="10"/>
            <color indexed="81"/>
            <rFont val="Lucida Console"/>
            <family val="3"/>
          </rPr>
          <t>DESCRIÇÃO DETALHADA_x000D_
DISJUNTOR NORMA DIN, CURVA C PADRAO, BIPOLAR - 25 AMPERES</t>
        </r>
      </text>
    </comment>
    <comment ref="G335" authorId="0" shapeId="0" xr:uid="{7D35299F-D6C8-4087-829F-A93FCFD9DFEF}">
      <text>
        <r>
          <rPr>
            <sz val="10"/>
            <color indexed="81"/>
            <rFont val="Lucida Console"/>
            <family val="3"/>
          </rPr>
          <t>_x000D_
Últ estimativa : 150_x000D_
Enviada em     : 23.09.2020_x000D_
Ata - Venc     : 17/20 - 29.01.2021</t>
        </r>
      </text>
    </comment>
    <comment ref="O335" authorId="0" shapeId="0" xr:uid="{E6C42E03-A4ED-4DBA-BE46-51E7BA5F8C66}">
      <text>
        <r>
          <rPr>
            <sz val="10"/>
            <color indexed="81"/>
            <rFont val="Lucida Console"/>
            <family val="3"/>
          </rPr>
          <t>_x000D_
Pertencia a ATA nº 17/20_x000D_
Estimativa de Renovação enviada em 23.09.2020 - Qtd 150_x000D_
PP 241/19 lote _x000D_
21.02.20 = Processo conferido, finalizado.</t>
        </r>
      </text>
    </comment>
    <comment ref="W335" authorId="0" shapeId="0" xr:uid="{3AC4FE76-A04B-46E8-96B9-E2CE76B49388}">
      <text>
        <r>
          <rPr>
            <sz val="10"/>
            <color indexed="81"/>
            <rFont val="Lucida Console"/>
            <family val="3"/>
          </rPr>
          <t>_x000D_
DM-Elétrica</t>
        </r>
      </text>
    </comment>
    <comment ref="X335" authorId="0" shapeId="0" xr:uid="{A0C912AF-2302-4828-9DE4-7456824398D4}">
      <text>
        <r>
          <rPr>
            <sz val="10"/>
            <color indexed="81"/>
            <rFont val="Lucida Console"/>
            <family val="3"/>
          </rPr>
          <t>_x000D_
EQUIP. MAT. P/ GERACAO, TRANSM. DISTR. RETIF...</t>
        </r>
      </text>
    </comment>
    <comment ref="Y335" authorId="0" shapeId="0" xr:uid="{2229431B-5D53-4B21-8444-B9A95D6E9C99}">
      <text>
        <r>
          <rPr>
            <sz val="10"/>
            <color indexed="81"/>
            <rFont val="Lucida Console"/>
            <family val="3"/>
          </rPr>
          <t>_x000D_
DISJUNTORES</t>
        </r>
      </text>
    </comment>
    <comment ref="AW335" authorId="0" shapeId="0" xr:uid="{2559023B-0B43-4D69-BABB-6BE74EB6A18D}">
      <text>
        <r>
          <rPr>
            <sz val="10"/>
            <color indexed="81"/>
            <rFont val="Lucida Console"/>
            <family val="3"/>
          </rPr>
          <t>Tempo de Estoque (Meses)_x000D_
_x000D_
82,0</t>
        </r>
      </text>
    </comment>
    <comment ref="A336" authorId="0" shapeId="0" xr:uid="{C7A6DCF5-7F6D-4405-B313-365FF1B249BA}">
      <text>
        <r>
          <rPr>
            <sz val="10"/>
            <color indexed="81"/>
            <rFont val="Lucida Console"/>
            <family val="3"/>
          </rPr>
          <t>_x000D_
15167</t>
        </r>
      </text>
    </comment>
    <comment ref="B336" authorId="0" shapeId="0" xr:uid="{3CDC5C07-3138-4D3D-B87B-CB9C546EE9A9}">
      <text>
        <r>
          <rPr>
            <sz val="10"/>
            <color indexed="81"/>
            <rFont val="Lucida Console"/>
            <family val="3"/>
          </rPr>
          <t>DESCRIÇÃO DETALHADA_x000D_
LUMINARIA FECHADA TIPO CALHA P/ LAMPADA FLUORESCENTE 2 X 40W</t>
        </r>
      </text>
    </comment>
    <comment ref="G336" authorId="0" shapeId="0" xr:uid="{54800218-B9D3-4C01-9C43-E3219449423B}">
      <text>
        <r>
          <rPr>
            <sz val="10"/>
            <color indexed="81"/>
            <rFont val="Lucida Console"/>
            <family val="3"/>
          </rPr>
          <t>_x000D_
Últ estimativa : 500_x000D_
Enviada em     : 23.09.2020_x000D_
Ata - Venc     : 17/20 - 29.01.2021</t>
        </r>
      </text>
    </comment>
    <comment ref="O336" authorId="0" shapeId="0" xr:uid="{760BDADA-D461-4967-BF43-63CA14EECB14}">
      <text>
        <r>
          <rPr>
            <sz val="10"/>
            <color indexed="81"/>
            <rFont val="Lucida Console"/>
            <family val="3"/>
          </rPr>
          <t>_x000D_
Pertencia a ATA nº 17/20_x000D_
Estimativa de Renovação enviada em 23.09.2020 - Qtd 500_x000D_
PP 241/19 lote _x000D_
21.02.20 = Processo conferido, finalizado.</t>
        </r>
      </text>
    </comment>
    <comment ref="W336" authorId="0" shapeId="0" xr:uid="{7116506C-0CDB-4481-8F84-0E52AAE48B29}">
      <text>
        <r>
          <rPr>
            <sz val="10"/>
            <color indexed="81"/>
            <rFont val="Lucida Console"/>
            <family val="3"/>
          </rPr>
          <t>_x000D_
DM-Elétrica</t>
        </r>
      </text>
    </comment>
    <comment ref="X336" authorId="0" shapeId="0" xr:uid="{41B2AB59-A93A-4106-BE75-635DAC63BBE8}">
      <text>
        <r>
          <rPr>
            <sz val="10"/>
            <color indexed="81"/>
            <rFont val="Lucida Console"/>
            <family val="3"/>
          </rPr>
          <t>_x000D_
EQUIP. MAT. P/ GERACAO, TRANSM. DISTR. RETIF...</t>
        </r>
      </text>
    </comment>
    <comment ref="Y336" authorId="0" shapeId="0" xr:uid="{1CA6973F-F5D9-431C-902C-92AFD2C712AF}">
      <text>
        <r>
          <rPr>
            <sz val="10"/>
            <color indexed="81"/>
            <rFont val="Lucida Console"/>
            <family val="3"/>
          </rPr>
          <t>_x000D_
LUMINARIAS E PROJETORES COM EQUIPAMENTO</t>
        </r>
      </text>
    </comment>
    <comment ref="AW336" authorId="0" shapeId="0" xr:uid="{D319711D-1843-4333-8F3F-870790900A81}">
      <text>
        <r>
          <rPr>
            <sz val="10"/>
            <color indexed="81"/>
            <rFont val="Lucida Console"/>
            <family val="3"/>
          </rPr>
          <t>Tempo de Estoque (Meses)_x000D_
_x000D_
1.390,0</t>
        </r>
      </text>
    </comment>
    <comment ref="A337" authorId="0" shapeId="0" xr:uid="{B757831D-5DA9-431E-90B1-AB83872C4FB7}">
      <text>
        <r>
          <rPr>
            <sz val="10"/>
            <color indexed="81"/>
            <rFont val="Lucida Console"/>
            <family val="3"/>
          </rPr>
          <t>_x000D_
127384</t>
        </r>
      </text>
    </comment>
    <comment ref="B337" authorId="0" shapeId="0" xr:uid="{3021B05F-7792-4776-B9E0-7178957857BC}">
      <text>
        <r>
          <rPr>
            <sz val="10"/>
            <color indexed="81"/>
            <rFont val="Lucida Console"/>
            <family val="3"/>
          </rPr>
          <t>DESCRIÇÃO DETALHADA_x000D_
MANTA ASFALTICA, AUTO ADESIVA - MEDIDAS: 10CM DE LARGURA X 10 M DE COMPRIMENTO</t>
        </r>
      </text>
    </comment>
    <comment ref="G337" authorId="0" shapeId="0" xr:uid="{D81764B4-80A2-4E30-B3A8-3DB30B20E58C}">
      <text>
        <r>
          <rPr>
            <sz val="10"/>
            <color indexed="81"/>
            <rFont val="Lucida Console"/>
            <family val="3"/>
          </rPr>
          <t>_x000D_
Últ estimativa : 100_x000D_
Enviada em     : 22.04.2021_x000D_
Ata - Venc     : 173/21 - 22.08.2022</t>
        </r>
      </text>
    </comment>
    <comment ref="O337" authorId="0" shapeId="0" xr:uid="{CE3EFB8C-7274-41CF-BBE6-F6D773F71A3C}">
      <text>
        <r>
          <rPr>
            <sz val="10"/>
            <color indexed="81"/>
            <rFont val="Lucida Console"/>
            <family val="3"/>
          </rPr>
          <t xml:space="preserve">_x000D_
Pertencia a ATA nº 173/21_x000D_
Estimativa de Renovação enviada em 22.04.2021 - Qtd 100_x000D_
PE 120/21 lote _x000D_
 = </t>
        </r>
      </text>
    </comment>
    <comment ref="W337" authorId="0" shapeId="0" xr:uid="{C0AA65AF-B48C-4BB5-A96A-EB81A8E89B2A}">
      <text>
        <r>
          <rPr>
            <sz val="10"/>
            <color indexed="81"/>
            <rFont val="Lucida Console"/>
            <family val="3"/>
          </rPr>
          <t>_x000D_
DM-Construção</t>
        </r>
      </text>
    </comment>
    <comment ref="X337" authorId="0" shapeId="0" xr:uid="{DED614B7-1AC3-4C23-A8BB-6F17BE25C188}">
      <text>
        <r>
          <rPr>
            <sz val="10"/>
            <color indexed="81"/>
            <rFont val="Lucida Console"/>
            <family val="3"/>
          </rPr>
          <t>_x000D_
MAT.E EQUIP. P/ CONSTR.CIVIL E CONSERV. DE VIAS PUBL.</t>
        </r>
      </text>
    </comment>
    <comment ref="Y337" authorId="0" shapeId="0" xr:uid="{84B7542D-9FE8-4D2F-AE30-C4BAE1FE1F9D}">
      <text>
        <r>
          <rPr>
            <sz val="10"/>
            <color indexed="81"/>
            <rFont val="Lucida Console"/>
            <family val="3"/>
          </rPr>
          <t>_x000D_
IMPERMEABILIZANTES, ADITIVOS E ADESIVOS</t>
        </r>
      </text>
    </comment>
    <comment ref="AW337" authorId="0" shapeId="0" xr:uid="{568C10C8-6687-435A-A33D-14634E1A17DE}">
      <text>
        <r>
          <rPr>
            <sz val="10"/>
            <color indexed="81"/>
            <rFont val="Lucida Console"/>
            <family val="3"/>
          </rPr>
          <t>Tempo de Estoque (Meses)_x000D_
_x000D_
318,0</t>
        </r>
      </text>
    </comment>
    <comment ref="A338" authorId="0" shapeId="0" xr:uid="{5523E33F-CD03-489D-BA28-44760CDC0FC6}">
      <text>
        <r>
          <rPr>
            <sz val="10"/>
            <color indexed="81"/>
            <rFont val="Lucida Console"/>
            <family val="3"/>
          </rPr>
          <t>_x000D_
14001</t>
        </r>
      </text>
    </comment>
    <comment ref="B338" authorId="0" shapeId="0" xr:uid="{F8E9ED1B-340C-426A-9577-0B6592BCBDAF}">
      <text>
        <r>
          <rPr>
            <sz val="10"/>
            <color indexed="81"/>
            <rFont val="Lucida Console"/>
            <family val="3"/>
          </rPr>
          <t>DESCRIÇÃO DETALHADA_x000D_
MASSA CORRIDA PVA - LATA C/ 18 LITROS</t>
        </r>
      </text>
    </comment>
    <comment ref="G338" authorId="0" shapeId="0" xr:uid="{20579436-EFA0-4B15-BEEC-8977F29F9E6D}">
      <text>
        <r>
          <rPr>
            <sz val="10"/>
            <color indexed="81"/>
            <rFont val="Lucida Console"/>
            <family val="3"/>
          </rPr>
          <t>_x000D_
Últ estimativa : 700_x000D_
Enviada em     : 22.04.2021_x000D_
Ata - Venc     : 174/20 - 16.08.2021</t>
        </r>
      </text>
    </comment>
    <comment ref="O338" authorId="0" shapeId="0" xr:uid="{5B0B02D3-3B11-462C-BC81-B85BB76A2383}">
      <text>
        <r>
          <rPr>
            <sz val="10"/>
            <color indexed="81"/>
            <rFont val="Lucida Console"/>
            <family val="3"/>
          </rPr>
          <t>_x000D_
Pertencia a ATA nº 174/20_x000D_
Estimativa de Renovação enviada em 22.04.2021 - Qtd 700_x000D_
PE  99/20 lote 1_x000D_
03.08.20 = Finalizado</t>
        </r>
      </text>
    </comment>
    <comment ref="W338" authorId="0" shapeId="0" xr:uid="{7654EF62-B4C5-420E-9330-C8A51122E7AA}">
      <text>
        <r>
          <rPr>
            <sz val="10"/>
            <color indexed="81"/>
            <rFont val="Lucida Console"/>
            <family val="3"/>
          </rPr>
          <t>_x000D_
DM-Construção</t>
        </r>
      </text>
    </comment>
    <comment ref="X338" authorId="0" shapeId="0" xr:uid="{D2F1EDEE-D807-404B-8EFC-C7902F5377DC}">
      <text>
        <r>
          <rPr>
            <sz val="10"/>
            <color indexed="81"/>
            <rFont val="Lucida Console"/>
            <family val="3"/>
          </rPr>
          <t>_x000D_
MAT.E EQUIP. P/ CONSTR.CIVIL E CONSERV. DE VIAS PUBL.</t>
        </r>
      </text>
    </comment>
    <comment ref="Y338" authorId="0" shapeId="0" xr:uid="{DDF305FC-5358-428E-87BF-92817D10CD9A}">
      <text>
        <r>
          <rPr>
            <sz val="10"/>
            <color indexed="81"/>
            <rFont val="Lucida Console"/>
            <family val="3"/>
          </rPr>
          <t>_x000D_
CIMENTO, CAL E GESSO</t>
        </r>
      </text>
    </comment>
    <comment ref="AW338" authorId="0" shapeId="0" xr:uid="{B0674EB5-FE60-4C3B-B5D6-28E5434AC579}">
      <text>
        <r>
          <rPr>
            <sz val="10"/>
            <color indexed="81"/>
            <rFont val="Lucida Console"/>
            <family val="3"/>
          </rPr>
          <t>Tempo de Estoque (Meses)_x000D_
_x000D_
800,0</t>
        </r>
      </text>
    </comment>
    <comment ref="A339" authorId="0" shapeId="0" xr:uid="{310457A1-C169-4D92-A4D8-370C9DE1A278}">
      <text>
        <r>
          <rPr>
            <sz val="10"/>
            <color indexed="81"/>
            <rFont val="Lucida Console"/>
            <family val="3"/>
          </rPr>
          <t>_x000D_
27353</t>
        </r>
      </text>
    </comment>
    <comment ref="B339" authorId="0" shapeId="0" xr:uid="{C8EB9568-2F4F-486A-ABBB-AADDEBD6C320}">
      <text>
        <r>
          <rPr>
            <sz val="10"/>
            <color indexed="81"/>
            <rFont val="Lucida Console"/>
            <family val="3"/>
          </rPr>
          <t>DESCRIÇÃO DETALHADA_x000D_
GESSO ESTUQUE, EMBALAGEM C/ 01 KG</t>
        </r>
      </text>
    </comment>
    <comment ref="G339" authorId="0" shapeId="0" xr:uid="{EAB62509-D23A-4928-9E72-1521F136E4CD}">
      <text>
        <r>
          <rPr>
            <sz val="10"/>
            <color indexed="81"/>
            <rFont val="Lucida Console"/>
            <family val="3"/>
          </rPr>
          <t>_x000D_
Últ estimativa : 500_x000D_
Enviada em     : 22.04.2021_x000D_
Ata - Venc     : 174/20 - 16.08.2021</t>
        </r>
      </text>
    </comment>
    <comment ref="O339" authorId="0" shapeId="0" xr:uid="{174E1BEB-582B-487B-B718-256925142F76}">
      <text>
        <r>
          <rPr>
            <sz val="10"/>
            <color indexed="81"/>
            <rFont val="Lucida Console"/>
            <family val="3"/>
          </rPr>
          <t>_x000D_
Pertencia a ATA nº 174/20_x000D_
Estimativa de Renovação enviada em 22.04.2021 - Qtd 500_x000D_
PE  99/20 lote 3_x000D_
03.08.20 = Finalizado</t>
        </r>
      </text>
    </comment>
    <comment ref="W339" authorId="0" shapeId="0" xr:uid="{AE2E0A8B-D048-458B-94AE-F33611DA9034}">
      <text>
        <r>
          <rPr>
            <sz val="10"/>
            <color indexed="81"/>
            <rFont val="Lucida Console"/>
            <family val="3"/>
          </rPr>
          <t>_x000D_
DM-Construção</t>
        </r>
      </text>
    </comment>
    <comment ref="X339" authorId="0" shapeId="0" xr:uid="{43E9A58E-B912-43F0-AEE8-FEBD7F870F2E}">
      <text>
        <r>
          <rPr>
            <sz val="10"/>
            <color indexed="81"/>
            <rFont val="Lucida Console"/>
            <family val="3"/>
          </rPr>
          <t>_x000D_
MAT.E EQUIP. P/ CONSTR.CIVIL E CONSERV. DE VIAS PUBL.</t>
        </r>
      </text>
    </comment>
    <comment ref="Y339" authorId="0" shapeId="0" xr:uid="{A3C08575-8AFC-4DB0-A0AA-53B36013CADF}">
      <text>
        <r>
          <rPr>
            <sz val="10"/>
            <color indexed="81"/>
            <rFont val="Lucida Console"/>
            <family val="3"/>
          </rPr>
          <t>_x000D_
CIMENTO, CAL E GESSO</t>
        </r>
      </text>
    </comment>
    <comment ref="AW339" authorId="0" shapeId="0" xr:uid="{5EB25F06-2B7A-4D6E-B03D-BD6E51071402}">
      <text>
        <r>
          <rPr>
            <sz val="10"/>
            <color indexed="81"/>
            <rFont val="Lucida Console"/>
            <family val="3"/>
          </rPr>
          <t>Tempo de Estoque (Meses)_x000D_
_x000D_
100,0</t>
        </r>
      </text>
    </comment>
    <comment ref="A340" authorId="0" shapeId="0" xr:uid="{9835F153-3EE0-44A9-B459-D7C935080A90}">
      <text>
        <r>
          <rPr>
            <sz val="10"/>
            <color indexed="81"/>
            <rFont val="Lucida Console"/>
            <family val="3"/>
          </rPr>
          <t>_x000D_
100362</t>
        </r>
      </text>
    </comment>
    <comment ref="B340" authorId="0" shapeId="0" xr:uid="{E3139A25-656F-41FF-8B91-E1305C005975}">
      <text>
        <r>
          <rPr>
            <sz val="10"/>
            <color indexed="81"/>
            <rFont val="Lucida Console"/>
            <family val="3"/>
          </rPr>
          <t>DESCRIÇÃO DETALHADA_x000D_
CIMENTO COLA AC3 - SACO C/20 KG</t>
        </r>
      </text>
    </comment>
    <comment ref="G340" authorId="0" shapeId="0" xr:uid="{3F11B176-7FA0-49DB-B6D6-E0444CCEEFA6}">
      <text>
        <r>
          <rPr>
            <sz val="10"/>
            <color indexed="81"/>
            <rFont val="Lucida Console"/>
            <family val="3"/>
          </rPr>
          <t>_x000D_
Últ estimativa : 7.000_x000D_
Enviada em     : 22.04.2021_x000D_
Ata - Venc     : 174/20 - 16.08.2021</t>
        </r>
      </text>
    </comment>
    <comment ref="M340" authorId="0" shapeId="0" xr:uid="{B99056E5-ACB5-4818-B884-649B127476A9}">
      <text>
        <r>
          <rPr>
            <sz val="10"/>
            <color indexed="81"/>
            <rFont val="Lucida Console"/>
            <family val="3"/>
          </rPr>
          <t>_x000D_
Validade necessária em meses =&gt; 9,_x000D_
A partir desta planilha limitado até 28.04.2024</t>
        </r>
      </text>
    </comment>
    <comment ref="O340" authorId="0" shapeId="0" xr:uid="{21857A51-6B7B-49F3-B9F4-E633FAF01407}">
      <text>
        <r>
          <rPr>
            <sz val="10"/>
            <color indexed="81"/>
            <rFont val="Lucida Console"/>
            <family val="3"/>
          </rPr>
          <t xml:space="preserve">_x000D_
Pertencia a ATA nº 174/20_x000D_
Estimativa de Renovação enviada em 22.04.2021 - Qtd 7.000_x000D_
PE 120/21 lote _x000D_
 = </t>
        </r>
      </text>
    </comment>
    <comment ref="W340" authorId="0" shapeId="0" xr:uid="{BD4BDAC6-9561-49D5-BD04-E745B75E5F1D}">
      <text>
        <r>
          <rPr>
            <sz val="10"/>
            <color indexed="81"/>
            <rFont val="Lucida Console"/>
            <family val="3"/>
          </rPr>
          <t>_x000D_
DM-Construção</t>
        </r>
      </text>
    </comment>
    <comment ref="X340" authorId="0" shapeId="0" xr:uid="{3BE654CD-416A-4FA8-82AB-FF267A0BB070}">
      <text>
        <r>
          <rPr>
            <sz val="10"/>
            <color indexed="81"/>
            <rFont val="Lucida Console"/>
            <family val="3"/>
          </rPr>
          <t>_x000D_
MAT.E EQUIP. P/ CONSTR.CIVIL E CONSERV. DE VIAS PUBL.</t>
        </r>
      </text>
    </comment>
    <comment ref="Y340" authorId="0" shapeId="0" xr:uid="{4F19C178-CE87-46C1-9D8D-A9CB828252ED}">
      <text>
        <r>
          <rPr>
            <sz val="10"/>
            <color indexed="81"/>
            <rFont val="Lucida Console"/>
            <family val="3"/>
          </rPr>
          <t>_x000D_
CIMENTO, CAL E GESSO</t>
        </r>
      </text>
    </comment>
    <comment ref="AC340" authorId="0" shapeId="0" xr:uid="{09D19A71-DE2C-4953-9FDE-DF45E74EB71D}">
      <text>
        <r>
          <rPr>
            <sz val="10"/>
            <color indexed="81"/>
            <rFont val="Lucida Console"/>
            <family val="3"/>
          </rPr>
          <t>_x000D_
AF  8.935/23 | Vc   | Saldo  8.000 | NOG. COM VARIEDADES LTDA ( 148457 )</t>
        </r>
      </text>
    </comment>
    <comment ref="AG340" authorId="0" shapeId="0" xr:uid="{4B213B7A-619C-482D-BDD4-C8A6CCA9C0B9}">
      <text>
        <r>
          <rPr>
            <sz val="10"/>
            <color indexed="81"/>
            <rFont val="Lucida Console"/>
            <family val="3"/>
          </rPr>
          <t>_x000D_
AF  8.935/23 | Vc   | Saldo  8.000 | NOG. COM VARIEDADES LTDA ( 148457 )</t>
        </r>
      </text>
    </comment>
    <comment ref="AW340" authorId="0" shapeId="0" xr:uid="{AD4E13DB-811E-4687-B165-7CB87C62ABD2}">
      <text>
        <r>
          <rPr>
            <sz val="10"/>
            <color indexed="81"/>
            <rFont val="Lucida Console"/>
            <family val="3"/>
          </rPr>
          <t>Tempo de Estoque (Meses)_x000D_
_x000D_
8.000,0</t>
        </r>
      </text>
    </comment>
    <comment ref="A341" authorId="0" shapeId="0" xr:uid="{4E889F20-C054-48F8-B858-E7BBA9E626F2}">
      <text>
        <r>
          <rPr>
            <sz val="10"/>
            <color indexed="81"/>
            <rFont val="Lucida Console"/>
            <family val="3"/>
          </rPr>
          <t>_x000D_
50475</t>
        </r>
      </text>
    </comment>
    <comment ref="B341" authorId="0" shapeId="0" xr:uid="{AA17A236-4464-46D2-85C8-4A5235390218}">
      <text>
        <r>
          <rPr>
            <sz val="10"/>
            <color indexed="81"/>
            <rFont val="Lucida Console"/>
            <family val="3"/>
          </rPr>
          <t>DESCRIÇÃO DETALHADA_x000D_
CUMEEIRA DE BARRO COZIDO</t>
        </r>
      </text>
    </comment>
    <comment ref="G341" authorId="0" shapeId="0" xr:uid="{787FA8DF-CCE5-4C33-B8F1-88CAA1D2740A}">
      <text>
        <r>
          <rPr>
            <sz val="10"/>
            <color indexed="81"/>
            <rFont val="Lucida Console"/>
            <family val="3"/>
          </rPr>
          <t>_x000D_
Últ estimativa : 0_x000D_
Enviada em     : 22.04.2021_x000D_
Ata - Venc     : 174/20 - 16.08.2021</t>
        </r>
      </text>
    </comment>
    <comment ref="O341" authorId="0" shapeId="0" xr:uid="{359D319A-8ECB-4BC9-9669-69667C61DED3}">
      <text>
        <r>
          <rPr>
            <sz val="10"/>
            <color indexed="81"/>
            <rFont val="Lucida Console"/>
            <family val="3"/>
          </rPr>
          <t>_x000D_
Pertencia a ATA nº 174/20_x000D_
Estimativa de Renovação enviada em 22.04.2021 - Qtd _x000D_
PE  99/20 lote _x000D_
03.08.20 = Finalizado</t>
        </r>
      </text>
    </comment>
    <comment ref="W341" authorId="0" shapeId="0" xr:uid="{9D397111-9D0D-4A5E-9AA3-547D33F54923}">
      <text>
        <r>
          <rPr>
            <sz val="10"/>
            <color indexed="81"/>
            <rFont val="Lucida Console"/>
            <family val="3"/>
          </rPr>
          <t>_x000D_
DM-Construção</t>
        </r>
      </text>
    </comment>
    <comment ref="X341" authorId="0" shapeId="0" xr:uid="{BBB8109F-B6D3-4BB7-9405-A5B0B7B34C12}">
      <text>
        <r>
          <rPr>
            <sz val="10"/>
            <color indexed="81"/>
            <rFont val="Lucida Console"/>
            <family val="3"/>
          </rPr>
          <t>_x000D_
MAT.E EQUIP. P/ CONSTR.CIVIL E CONSERV. DE VIAS PUBL.</t>
        </r>
      </text>
    </comment>
    <comment ref="Y341" authorId="0" shapeId="0" xr:uid="{7FC115E8-B273-4E03-9C86-4957C1888288}">
      <text>
        <r>
          <rPr>
            <sz val="10"/>
            <color indexed="81"/>
            <rFont val="Lucida Console"/>
            <family val="3"/>
          </rPr>
          <t>_x000D_
TELHAS. CUMEEIRAS E ELEM. DE TELH. E CHAP. DE CIM. AMIANT</t>
        </r>
      </text>
    </comment>
    <comment ref="AW341" authorId="0" shapeId="0" xr:uid="{1F4529A3-1E35-43F0-B3BD-9042A8C145B8}">
      <text>
        <r>
          <rPr>
            <sz val="10"/>
            <color indexed="81"/>
            <rFont val="Lucida Console"/>
            <family val="3"/>
          </rPr>
          <t>Tempo de Estoque (Meses)_x000D_
_x000D_
230,0</t>
        </r>
      </text>
    </comment>
    <comment ref="A342" authorId="0" shapeId="0" xr:uid="{06DAF62D-3296-46D6-85AB-072694BD49DC}">
      <text>
        <r>
          <rPr>
            <sz val="10"/>
            <color indexed="81"/>
            <rFont val="Lucida Console"/>
            <family val="3"/>
          </rPr>
          <t>_x000D_
67375</t>
        </r>
      </text>
    </comment>
    <comment ref="B342" authorId="0" shapeId="0" xr:uid="{923C0674-CCF1-47E7-8AE3-D199D6577053}">
      <text>
        <r>
          <rPr>
            <sz val="10"/>
            <color indexed="81"/>
            <rFont val="Lucida Console"/>
            <family val="3"/>
          </rPr>
          <t>DESCRIÇÃO DETALHADA_x000D_
CUMEEIRA DE FIBRA SINTETICA 30 GRAUS PARA TELHA ONDULADA ESP. 06 MM</t>
        </r>
      </text>
    </comment>
    <comment ref="G342" authorId="0" shapeId="0" xr:uid="{4781189D-A49C-40B2-B000-A5C8891E3C0F}">
      <text>
        <r>
          <rPr>
            <sz val="10"/>
            <color indexed="81"/>
            <rFont val="Lucida Console"/>
            <family val="3"/>
          </rPr>
          <t>_x000D_
Últ estimativa : 100_x000D_
Enviada em     : 22.04.2021_x000D_
Ata - Venc     : 174/20 - 16.08.2021</t>
        </r>
      </text>
    </comment>
    <comment ref="O342" authorId="0" shapeId="0" xr:uid="{367D8A84-FA0B-4E4D-9BCA-15EF9FABFD62}">
      <text>
        <r>
          <rPr>
            <sz val="10"/>
            <color indexed="81"/>
            <rFont val="Lucida Console"/>
            <family val="3"/>
          </rPr>
          <t xml:space="preserve">_x000D_
Pertencia a ATA nº 174/20_x000D_
Estimativa de Renovação enviada em 22.04.2021 - Qtd 100_x000D_
PE 120/21 lote _x000D_
 = </t>
        </r>
      </text>
    </comment>
    <comment ref="W342" authorId="0" shapeId="0" xr:uid="{83C259CC-B150-4FA3-9880-37275371F29B}">
      <text>
        <r>
          <rPr>
            <sz val="10"/>
            <color indexed="81"/>
            <rFont val="Lucida Console"/>
            <family val="3"/>
          </rPr>
          <t>_x000D_
DM-Construção</t>
        </r>
      </text>
    </comment>
    <comment ref="X342" authorId="0" shapeId="0" xr:uid="{F7F17A38-9774-4446-A02C-1C8D89577C3C}">
      <text>
        <r>
          <rPr>
            <sz val="10"/>
            <color indexed="81"/>
            <rFont val="Lucida Console"/>
            <family val="3"/>
          </rPr>
          <t>_x000D_
MAT.E EQUIP. P/ CONSTR.CIVIL E CONSERV. DE VIAS PUBL.</t>
        </r>
      </text>
    </comment>
    <comment ref="Y342" authorId="0" shapeId="0" xr:uid="{883C660E-D80A-4145-B9CD-DA30FB1BFF90}">
      <text>
        <r>
          <rPr>
            <sz val="10"/>
            <color indexed="81"/>
            <rFont val="Lucida Console"/>
            <family val="3"/>
          </rPr>
          <t>_x000D_
TELHAS. CUMEEIRAS E ELEM. DE TELH. E CHAP. DE CIM. AMIANT</t>
        </r>
      </text>
    </comment>
    <comment ref="AW342" authorId="0" shapeId="0" xr:uid="{7E373B4D-A935-4B64-8619-03F773CB91A6}">
      <text>
        <r>
          <rPr>
            <sz val="10"/>
            <color indexed="81"/>
            <rFont val="Lucida Console"/>
            <family val="3"/>
          </rPr>
          <t>Tempo de Estoque (Meses)_x000D_
_x000D_
113,0</t>
        </r>
      </text>
    </comment>
    <comment ref="A343" authorId="0" shapeId="0" xr:uid="{A82CC5CA-A1D7-48E7-B9C0-A7E3D47A5DEB}">
      <text>
        <r>
          <rPr>
            <sz val="10"/>
            <color indexed="81"/>
            <rFont val="Lucida Console"/>
            <family val="3"/>
          </rPr>
          <t>_x000D_
67376</t>
        </r>
      </text>
    </comment>
    <comment ref="B343" authorId="0" shapeId="0" xr:uid="{D5367AE3-C938-46F3-96DE-0AE30876ACEF}">
      <text>
        <r>
          <rPr>
            <sz val="10"/>
            <color indexed="81"/>
            <rFont val="Lucida Console"/>
            <family val="3"/>
          </rPr>
          <t>DESCRIÇÃO DETALHADA_x000D_
CUMEEIRA DE FIBRA SINTETICA 10 GRAUS PARA TELHA ONDULADA ESP. 06 MM</t>
        </r>
      </text>
    </comment>
    <comment ref="G343" authorId="0" shapeId="0" xr:uid="{2D3083BD-3915-4C1F-AEFB-E76D4C4F02CC}">
      <text>
        <r>
          <rPr>
            <sz val="10"/>
            <color indexed="81"/>
            <rFont val="Lucida Console"/>
            <family val="3"/>
          </rPr>
          <t>_x000D_
Últ estimativa : 0_x000D_
Enviada em     : 22.04.2021_x000D_
Ata - Venc     : 174/20 - 16.08.2021</t>
        </r>
      </text>
    </comment>
    <comment ref="O343" authorId="0" shapeId="0" xr:uid="{527B64BB-A8EE-4A43-977E-11EA1F6284BB}">
      <text>
        <r>
          <rPr>
            <sz val="10"/>
            <color indexed="81"/>
            <rFont val="Lucida Console"/>
            <family val="3"/>
          </rPr>
          <t>_x000D_
Pertencia a ATA nº 174/20_x000D_
Estimativa de Renovação enviada em 22.04.2021 - Qtd _x000D_
PE  99/20 lote 8_x000D_
03.08.20 = Finalizado</t>
        </r>
      </text>
    </comment>
    <comment ref="W343" authorId="0" shapeId="0" xr:uid="{58B27198-4847-4060-8940-A75F92E990B5}">
      <text>
        <r>
          <rPr>
            <sz val="10"/>
            <color indexed="81"/>
            <rFont val="Lucida Console"/>
            <family val="3"/>
          </rPr>
          <t>_x000D_
DM-Construção</t>
        </r>
      </text>
    </comment>
    <comment ref="X343" authorId="0" shapeId="0" xr:uid="{D5CE101F-AFAE-4013-BD69-3A77B4A64771}">
      <text>
        <r>
          <rPr>
            <sz val="10"/>
            <color indexed="81"/>
            <rFont val="Lucida Console"/>
            <family val="3"/>
          </rPr>
          <t>_x000D_
MAT.E EQUIP. P/ CONSTR.CIVIL E CONSERV. DE VIAS PUBL.</t>
        </r>
      </text>
    </comment>
    <comment ref="Y343" authorId="0" shapeId="0" xr:uid="{4F1D8AE4-31CD-4825-8FA4-0422233BACE0}">
      <text>
        <r>
          <rPr>
            <sz val="10"/>
            <color indexed="81"/>
            <rFont val="Lucida Console"/>
            <family val="3"/>
          </rPr>
          <t>_x000D_
TELHAS. CUMEEIRAS E ELEM. DE TELH. E CHAP. DE CIM. AMIANT</t>
        </r>
      </text>
    </comment>
    <comment ref="AW343" authorId="0" shapeId="0" xr:uid="{34AB76B1-E0F7-415C-9648-E568692F5176}">
      <text>
        <r>
          <rPr>
            <sz val="10"/>
            <color indexed="81"/>
            <rFont val="Lucida Console"/>
            <family val="3"/>
          </rPr>
          <t>Tempo de Estoque (Meses)_x000D_
_x000D_
203,0</t>
        </r>
      </text>
    </comment>
    <comment ref="A344" authorId="0" shapeId="0" xr:uid="{F72C0011-C3A2-4FC4-918B-80BED8CC7BC3}">
      <text>
        <r>
          <rPr>
            <sz val="10"/>
            <color indexed="81"/>
            <rFont val="Lucida Console"/>
            <family val="3"/>
          </rPr>
          <t>_x000D_
106375</t>
        </r>
      </text>
    </comment>
    <comment ref="B344" authorId="0" shapeId="0" xr:uid="{33F41BB4-AE2E-4E34-82C9-50E717849020}">
      <text>
        <r>
          <rPr>
            <sz val="10"/>
            <color indexed="81"/>
            <rFont val="Lucida Console"/>
            <family val="3"/>
          </rPr>
          <t>DESCRIÇÃO DETALHADA_x000D_
TELHA EM CIMENTO REFORCADO COM FIO SINTETICO(CRFS), TIPO ONDULADA, MEDINDO (1,83MX1,10MX6MM), CONFORME NBR 5640,5639,8055</t>
        </r>
      </text>
    </comment>
    <comment ref="G344" authorId="0" shapeId="0" xr:uid="{F8331B21-6F06-44AD-9303-2E94EE02A9BF}">
      <text>
        <r>
          <rPr>
            <sz val="10"/>
            <color indexed="81"/>
            <rFont val="Lucida Console"/>
            <family val="3"/>
          </rPr>
          <t>_x000D_
Últ estimativa : 1.050_x000D_
Enviada em     : 22.04.2021_x000D_
Ata - Venc     : 174/20 - 16.08.2021</t>
        </r>
      </text>
    </comment>
    <comment ref="O344" authorId="0" shapeId="0" xr:uid="{C37CB18A-B419-4F1B-BA25-78EB81046F87}">
      <text>
        <r>
          <rPr>
            <sz val="10"/>
            <color indexed="81"/>
            <rFont val="Lucida Console"/>
            <family val="3"/>
          </rPr>
          <t xml:space="preserve">_x000D_
Pertencia a ATA nº 174/20_x000D_
Estimativa de Renovação enviada em 22.04.2021 - Qtd 1.050_x000D_
PE 120/21 lote _x000D_
 = </t>
        </r>
      </text>
    </comment>
    <comment ref="W344" authorId="0" shapeId="0" xr:uid="{8A4408DC-C3FB-49E8-9775-11181DEF28A5}">
      <text>
        <r>
          <rPr>
            <sz val="10"/>
            <color indexed="81"/>
            <rFont val="Lucida Console"/>
            <family val="3"/>
          </rPr>
          <t>_x000D_
DM-Construção</t>
        </r>
      </text>
    </comment>
    <comment ref="X344" authorId="0" shapeId="0" xr:uid="{3FD839DC-8CB3-44A3-8BC7-EE2D336841EF}">
      <text>
        <r>
          <rPr>
            <sz val="10"/>
            <color indexed="81"/>
            <rFont val="Lucida Console"/>
            <family val="3"/>
          </rPr>
          <t>_x000D_
MAT.E EQUIP. P/ CONSTR.CIVIL E CONSERV. DE VIAS PUBL.</t>
        </r>
      </text>
    </comment>
    <comment ref="Y344" authorId="0" shapeId="0" xr:uid="{F71BEF77-4013-427D-A340-B5652B548CAC}">
      <text>
        <r>
          <rPr>
            <sz val="10"/>
            <color indexed="81"/>
            <rFont val="Lucida Console"/>
            <family val="3"/>
          </rPr>
          <t>_x000D_
TELHAS. CUMEEIRAS E ELEM. DE TELH. E CHAP. DE CIM. AMIANT</t>
        </r>
      </text>
    </comment>
    <comment ref="AW344" authorId="0" shapeId="0" xr:uid="{9DD03293-3B83-4BE2-A555-736CFAF93A26}">
      <text>
        <r>
          <rPr>
            <sz val="10"/>
            <color indexed="81"/>
            <rFont val="Lucida Console"/>
            <family val="3"/>
          </rPr>
          <t>Tempo de Estoque (Meses)_x000D_
_x000D_
1.000,0</t>
        </r>
      </text>
    </comment>
    <comment ref="A345" authorId="0" shapeId="0" xr:uid="{7221F910-1B1F-49A8-8FF7-E74B579A4866}">
      <text>
        <r>
          <rPr>
            <sz val="10"/>
            <color indexed="81"/>
            <rFont val="Lucida Console"/>
            <family val="3"/>
          </rPr>
          <t>_x000D_
106376</t>
        </r>
      </text>
    </comment>
    <comment ref="B345" authorId="0" shapeId="0" xr:uid="{9B61EC29-C44D-40F7-A392-2DD4D06E1675}">
      <text>
        <r>
          <rPr>
            <sz val="10"/>
            <color indexed="81"/>
            <rFont val="Lucida Console"/>
            <family val="3"/>
          </rPr>
          <t>DESCRIÇÃO DETALHADA_x000D_
TELHA EM CIMENTO REFORCADO COM FIO SINTETICO(CRFS), TIPO ONDULADA, MEDINDO (2,44MX1,10MX6MM), CONFORME NBR 5640,5639,8055</t>
        </r>
      </text>
    </comment>
    <comment ref="G345" authorId="0" shapeId="0" xr:uid="{DCDA5729-A1FD-4727-9D38-0E317D426240}">
      <text>
        <r>
          <rPr>
            <sz val="10"/>
            <color indexed="81"/>
            <rFont val="Lucida Console"/>
            <family val="3"/>
          </rPr>
          <t>_x000D_
Últ estimativa : 4.000_x000D_
Enviada em     : 22.04.2021_x000D_
Ata - Venc     : 174/20 - 16.08.2021</t>
        </r>
      </text>
    </comment>
    <comment ref="O345" authorId="0" shapeId="0" xr:uid="{A0BD5A46-5BC3-461F-8855-F954C8B424D8}">
      <text>
        <r>
          <rPr>
            <sz val="10"/>
            <color indexed="81"/>
            <rFont val="Lucida Console"/>
            <family val="3"/>
          </rPr>
          <t xml:space="preserve">_x000D_
Pertencia a ATA nº 174/20_x000D_
Estimativa de Renovação enviada em 22.04.2021 - Qtd 4.000_x000D_
PE 120/21 lote _x000D_
 = </t>
        </r>
      </text>
    </comment>
    <comment ref="W345" authorId="0" shapeId="0" xr:uid="{0C72160D-2E2E-48D9-A42D-7A6924C9ED54}">
      <text>
        <r>
          <rPr>
            <sz val="10"/>
            <color indexed="81"/>
            <rFont val="Lucida Console"/>
            <family val="3"/>
          </rPr>
          <t>_x000D_
DM-Construção</t>
        </r>
      </text>
    </comment>
    <comment ref="X345" authorId="0" shapeId="0" xr:uid="{D90F802A-5993-4C10-AEB6-8572A25BF191}">
      <text>
        <r>
          <rPr>
            <sz val="10"/>
            <color indexed="81"/>
            <rFont val="Lucida Console"/>
            <family val="3"/>
          </rPr>
          <t>_x000D_
MAT.E EQUIP. P/ CONSTR.CIVIL E CONSERV. DE VIAS PUBL.</t>
        </r>
      </text>
    </comment>
    <comment ref="Y345" authorId="0" shapeId="0" xr:uid="{3616731B-4BD4-4542-96E7-F1B5B4F9D828}">
      <text>
        <r>
          <rPr>
            <sz val="10"/>
            <color indexed="81"/>
            <rFont val="Lucida Console"/>
            <family val="3"/>
          </rPr>
          <t>_x000D_
TELHAS. CUMEEIRAS E ELEM. DE TELH. E CHAP. DE CIM. AMIANT</t>
        </r>
      </text>
    </comment>
    <comment ref="AW345" authorId="0" shapeId="0" xr:uid="{881DC76E-EFB3-4888-B95C-06507B8256B1}">
      <text>
        <r>
          <rPr>
            <sz val="10"/>
            <color indexed="81"/>
            <rFont val="Lucida Console"/>
            <family val="3"/>
          </rPr>
          <t>Tempo de Estoque (Meses)_x000D_
_x000D_
1.427,0</t>
        </r>
      </text>
    </comment>
    <comment ref="A346" authorId="0" shapeId="0" xr:uid="{11FD2B0E-6903-4DCC-8B7A-AD69E2D7FC42}">
      <text>
        <r>
          <rPr>
            <sz val="10"/>
            <color indexed="81"/>
            <rFont val="Lucida Console"/>
            <family val="3"/>
          </rPr>
          <t>_x000D_
114299</t>
        </r>
      </text>
    </comment>
    <comment ref="B346" authorId="0" shapeId="0" xr:uid="{A720272D-1B11-4328-92E5-F0F9458A0017}">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46" authorId="0" shapeId="0" xr:uid="{1DA0B95D-D85C-480C-9CFE-AA5807689266}">
      <text>
        <r>
          <rPr>
            <sz val="10"/>
            <color indexed="81"/>
            <rFont val="Lucida Console"/>
            <family val="3"/>
          </rPr>
          <t>_x000D_
Últ estimativa : 0_x000D_
Enviada em     : 22.04.2021_x000D_
Ata - Venc     : 174/20 - 16.08.2021</t>
        </r>
      </text>
    </comment>
    <comment ref="O346" authorId="0" shapeId="0" xr:uid="{F2202F89-0B8E-4B2D-9AFD-4EDE64176BC5}">
      <text>
        <r>
          <rPr>
            <sz val="10"/>
            <color indexed="81"/>
            <rFont val="Lucida Console"/>
            <family val="3"/>
          </rPr>
          <t>_x000D_
Pertencia a ATA nº 174/20_x000D_
Estimativa de Renovação enviada em 22.04.2021 - Qtd _x000D_
PE  99/20 lote 21_x000D_
03.08.20 = Finalizado</t>
        </r>
      </text>
    </comment>
    <comment ref="W346" authorId="0" shapeId="0" xr:uid="{E6568E9B-89D5-40E7-8E4D-62B03706B495}">
      <text>
        <r>
          <rPr>
            <sz val="10"/>
            <color indexed="81"/>
            <rFont val="Lucida Console"/>
            <family val="3"/>
          </rPr>
          <t>_x000D_
DM-Construção</t>
        </r>
      </text>
    </comment>
    <comment ref="X346" authorId="0" shapeId="0" xr:uid="{1919E037-D74A-4644-ABD1-E326BE483703}">
      <text>
        <r>
          <rPr>
            <sz val="10"/>
            <color indexed="81"/>
            <rFont val="Lucida Console"/>
            <family val="3"/>
          </rPr>
          <t>_x000D_
MAT.E EQUIP. P/ CONSTR.CIVIL E CONSERV. DE VIAS PUBL.</t>
        </r>
      </text>
    </comment>
    <comment ref="Y346" authorId="0" shapeId="0" xr:uid="{366F8AFC-A8CE-4B0A-8DC7-58E848D9F80B}">
      <text>
        <r>
          <rPr>
            <sz val="10"/>
            <color indexed="81"/>
            <rFont val="Lucida Console"/>
            <family val="3"/>
          </rPr>
          <t>_x000D_
TELHAS. CUMEEIRAS E ELEM. DE TELH. E CHAP. DE CIM. AMIANT</t>
        </r>
      </text>
    </comment>
    <comment ref="AW346" authorId="0" shapeId="0" xr:uid="{9D176B21-72DC-4903-B0FF-47AC68D64375}">
      <text>
        <r>
          <rPr>
            <sz val="10"/>
            <color indexed="81"/>
            <rFont val="Lucida Console"/>
            <family val="3"/>
          </rPr>
          <t>Tempo de Estoque (Meses)_x000D_
_x000D_
174,0</t>
        </r>
      </text>
    </comment>
    <comment ref="A347" authorId="0" shapeId="0" xr:uid="{9A36127C-CBA9-4D0D-84F6-92B5FA4F0BE6}">
      <text>
        <r>
          <rPr>
            <sz val="10"/>
            <color indexed="81"/>
            <rFont val="Lucida Console"/>
            <family val="3"/>
          </rPr>
          <t>_x000D_
98702</t>
        </r>
      </text>
    </comment>
    <comment ref="B347" authorId="0" shapeId="0" xr:uid="{E84A67A6-A0CF-4087-B416-C0D96B55795C}">
      <text>
        <r>
          <rPr>
            <sz val="10"/>
            <color indexed="81"/>
            <rFont val="Lucida Console"/>
            <family val="3"/>
          </rPr>
          <t>DESCRIÇÃO DETALHADA_x000D_
FORRO EM PVC BRANCO LISO, REGUA DE 6M DE COMPRIMENTO, 20CM DE LARGURA - 10MM DE ESPESSURA (ESPESSURA COM TOLERANCIA DE +/- 2MM)</t>
        </r>
      </text>
    </comment>
    <comment ref="G347" authorId="0" shapeId="0" xr:uid="{AEF599EE-EFA4-486C-B867-BC92E9E6E30B}">
      <text>
        <r>
          <rPr>
            <sz val="10"/>
            <color indexed="81"/>
            <rFont val="Lucida Console"/>
            <family val="3"/>
          </rPr>
          <t>_x000D_
Últ estimativa : 5.000_x000D_
Enviada em     : 22.04.2021_x000D_
Ata - Venc     : 174/20 - 16.08.2021</t>
        </r>
      </text>
    </comment>
    <comment ref="O347" authorId="0" shapeId="0" xr:uid="{CE283641-EBA0-404E-AC01-4576FF235277}">
      <text>
        <r>
          <rPr>
            <sz val="10"/>
            <color indexed="81"/>
            <rFont val="Lucida Console"/>
            <family val="3"/>
          </rPr>
          <t xml:space="preserve">_x000D_
Pertencia a ATA nº 174/20_x000D_
Estimativa de Renovação enviada em 22.04.2021 - Qtd 5.000_x000D_
PE 120/21 lote _x000D_
 = </t>
        </r>
      </text>
    </comment>
    <comment ref="W347" authorId="0" shapeId="0" xr:uid="{C42A044C-63E0-4C22-976D-6A678A0AF3D6}">
      <text>
        <r>
          <rPr>
            <sz val="10"/>
            <color indexed="81"/>
            <rFont val="Lucida Console"/>
            <family val="3"/>
          </rPr>
          <t>_x000D_
DM-Construção</t>
        </r>
      </text>
    </comment>
    <comment ref="X347" authorId="0" shapeId="0" xr:uid="{42640044-E08E-4C7F-A527-8A3249CCEA1F}">
      <text>
        <r>
          <rPr>
            <sz val="10"/>
            <color indexed="81"/>
            <rFont val="Lucida Console"/>
            <family val="3"/>
          </rPr>
          <t>_x000D_
MAT.E EQUIP. P/ CONSTR.CIVIL E CONSERV. DE VIAS PUBL.</t>
        </r>
      </text>
    </comment>
    <comment ref="Y347" authorId="0" shapeId="0" xr:uid="{794D5BD8-EA6A-4BF9-BBD4-F5AD6FF2269E}">
      <text>
        <r>
          <rPr>
            <sz val="10"/>
            <color indexed="81"/>
            <rFont val="Lucida Console"/>
            <family val="3"/>
          </rPr>
          <t>_x000D_
FORROS</t>
        </r>
      </text>
    </comment>
    <comment ref="AW347" authorId="0" shapeId="0" xr:uid="{FC81ABF7-E955-4ABA-8EAB-AA1B509B45EA}">
      <text>
        <r>
          <rPr>
            <sz val="10"/>
            <color indexed="81"/>
            <rFont val="Lucida Console"/>
            <family val="3"/>
          </rPr>
          <t>Tempo de Estoque (Meses)_x000D_
_x000D_
8.401,6</t>
        </r>
      </text>
    </comment>
    <comment ref="A348" authorId="0" shapeId="0" xr:uid="{9C76F07E-3233-4596-A0A0-9DA915CD48A3}">
      <text>
        <r>
          <rPr>
            <sz val="10"/>
            <color indexed="81"/>
            <rFont val="Lucida Console"/>
            <family val="3"/>
          </rPr>
          <t>_x000D_
132624</t>
        </r>
      </text>
    </comment>
    <comment ref="B348" authorId="0" shapeId="0" xr:uid="{23123819-E146-4F22-97FB-BDC9D62055B3}">
      <text>
        <r>
          <rPr>
            <sz val="10"/>
            <color indexed="81"/>
            <rFont val="Lucida Console"/>
            <family val="3"/>
          </rPr>
          <t>DESCRIÇÃO DETALHADA_x000D_
LAVATORIO SUSPENSO INFANTIL, NA COR BRANCA, MATERIAL EM LOUCA NAS DIMENSOES: 38 X 28 CM (COMPRIMENTO/LARGURA). MEDIDAS PODENDO VARIAR EM + / - 03 CM.</t>
        </r>
      </text>
    </comment>
    <comment ref="G348" authorId="0" shapeId="0" xr:uid="{2675F4CE-4592-4FC7-A750-9CCA8A298565}">
      <text>
        <r>
          <rPr>
            <sz val="10"/>
            <color indexed="81"/>
            <rFont val="Lucida Console"/>
            <family val="3"/>
          </rPr>
          <t>_x000D_
Últ estimativa : 80_x000D_
Enviada em     : 22.04.2021_x000D_
Ata - Venc     : 174/20 - 16.08.2021</t>
        </r>
      </text>
    </comment>
    <comment ref="O348" authorId="0" shapeId="0" xr:uid="{A4B22ED2-C3AE-4930-9819-CCCEACD05526}">
      <text>
        <r>
          <rPr>
            <sz val="10"/>
            <color indexed="81"/>
            <rFont val="Lucida Console"/>
            <family val="3"/>
          </rPr>
          <t>_x000D_
Pertencia a ATA nº 174/20_x000D_
Estimativa de Renovação enviada em 22.04.2021 - Qtd 80_x000D_
PE  99/20 lote 27_x000D_
03.08.20 = Finalizado</t>
        </r>
      </text>
    </comment>
    <comment ref="W348" authorId="0" shapeId="0" xr:uid="{E36CD78F-A473-480E-83E0-90D6F105EB55}">
      <text>
        <r>
          <rPr>
            <sz val="10"/>
            <color indexed="81"/>
            <rFont val="Lucida Console"/>
            <family val="3"/>
          </rPr>
          <t>_x000D_
DM-Construção</t>
        </r>
      </text>
    </comment>
    <comment ref="X348" authorId="0" shapeId="0" xr:uid="{27C2DB08-E76B-4876-B892-3C00FDAA9EDF}">
      <text>
        <r>
          <rPr>
            <sz val="10"/>
            <color indexed="81"/>
            <rFont val="Lucida Console"/>
            <family val="3"/>
          </rPr>
          <t>_x000D_
MAT.E EQUIP. P/ CONSTR.CIVIL E CONSERV. DE VIAS PUBL.</t>
        </r>
      </text>
    </comment>
    <comment ref="Y348" authorId="0" shapeId="0" xr:uid="{4B4A4730-8C54-4492-B727-56FADEEAD2B6}">
      <text>
        <r>
          <rPr>
            <sz val="10"/>
            <color indexed="81"/>
            <rFont val="Lucida Console"/>
            <family val="3"/>
          </rPr>
          <t>_x000D_
TANQUES, LAVATORIOS E PIAS</t>
        </r>
      </text>
    </comment>
    <comment ref="AW348" authorId="0" shapeId="0" xr:uid="{E2DFB590-06B9-492E-91ED-B3B07F7775E4}">
      <text>
        <r>
          <rPr>
            <sz val="10"/>
            <color indexed="81"/>
            <rFont val="Lucida Console"/>
            <family val="3"/>
          </rPr>
          <t>Tempo de Estoque (Meses)_x000D_
_x000D_
92,0</t>
        </r>
      </text>
    </comment>
    <comment ref="A349" authorId="0" shapeId="0" xr:uid="{0C3D2340-3C33-4143-9D04-B036A276E731}">
      <text>
        <r>
          <rPr>
            <sz val="10"/>
            <color indexed="81"/>
            <rFont val="Lucida Console"/>
            <family val="3"/>
          </rPr>
          <t>_x000D_
98703</t>
        </r>
      </text>
    </comment>
    <comment ref="B349" authorId="0" shapeId="0" xr:uid="{84C7D952-F0FE-425F-9494-A130CEA449C5}">
      <text>
        <r>
          <rPr>
            <sz val="10"/>
            <color indexed="81"/>
            <rFont val="Lucida Console"/>
            <family val="3"/>
          </rPr>
          <t>DESCRIÇÃO DETALHADA_x000D_
PERFIL RODAFORRO PVC BRANCO LISO, BARRA COM 6 MT - DIMENSOES 6 M X 30 MM X 10,5 MM (C X L X A). PODENDO VARIAR +/- 2 MM</t>
        </r>
      </text>
    </comment>
    <comment ref="G349" authorId="0" shapeId="0" xr:uid="{C8542C82-A606-4DDF-8FA6-95A2DC95B28F}">
      <text>
        <r>
          <rPr>
            <sz val="10"/>
            <color indexed="81"/>
            <rFont val="Lucida Console"/>
            <family val="3"/>
          </rPr>
          <t>_x000D_
Últ estimativa : 0_x000D_
Enviada em     : 22.04.2021_x000D_
Ata - Venc     : 174/20 - 16.08.2021</t>
        </r>
      </text>
    </comment>
    <comment ref="O349" authorId="0" shapeId="0" xr:uid="{5E9DCF5B-BB57-4557-B34A-A9EE639D0D4F}">
      <text>
        <r>
          <rPr>
            <sz val="10"/>
            <color indexed="81"/>
            <rFont val="Lucida Console"/>
            <family val="3"/>
          </rPr>
          <t>_x000D_
Pertencia a ATA nº 174/20_x000D_
Estimativa de Renovação enviada em 22.04.2021 - Qtd _x000D_
PE  99/20 lote 13_x000D_
03.08.20 = Finalizado</t>
        </r>
      </text>
    </comment>
    <comment ref="W349" authorId="0" shapeId="0" xr:uid="{93BBDCF4-A429-4111-9B05-2E817F75884C}">
      <text>
        <r>
          <rPr>
            <sz val="10"/>
            <color indexed="81"/>
            <rFont val="Lucida Console"/>
            <family val="3"/>
          </rPr>
          <t>_x000D_
DM-Serralheria</t>
        </r>
      </text>
    </comment>
    <comment ref="X349" authorId="0" shapeId="0" xr:uid="{321811BE-BB88-4591-9B54-6CACCFE1D0ED}">
      <text>
        <r>
          <rPr>
            <sz val="10"/>
            <color indexed="81"/>
            <rFont val="Lucida Console"/>
            <family val="3"/>
          </rPr>
          <t>_x000D_
METAIS,LAMINAD.,PERFILADOS E ARTEFATOS METALICOS</t>
        </r>
      </text>
    </comment>
    <comment ref="Y349" authorId="0" shapeId="0" xr:uid="{8BB89FD0-8874-4D75-B381-57B8A2D049D3}">
      <text>
        <r>
          <rPr>
            <sz val="10"/>
            <color indexed="81"/>
            <rFont val="Lucida Console"/>
            <family val="3"/>
          </rPr>
          <t>_x000D_
CANTONEIRAS</t>
        </r>
      </text>
    </comment>
    <comment ref="AW349" authorId="0" shapeId="0" xr:uid="{D6ADBEA9-4D86-4702-A1CC-9F3719E366B4}">
      <text>
        <r>
          <rPr>
            <sz val="10"/>
            <color indexed="81"/>
            <rFont val="Lucida Console"/>
            <family val="3"/>
          </rPr>
          <t>Tempo de Estoque (Meses)_x000D_
_x000D_
1.034,0</t>
        </r>
      </text>
    </comment>
    <comment ref="A350" authorId="0" shapeId="0" xr:uid="{528FCCA0-250D-45AB-811F-C4B801EEFA0E}">
      <text>
        <r>
          <rPr>
            <sz val="10"/>
            <color indexed="81"/>
            <rFont val="Lucida Console"/>
            <family val="3"/>
          </rPr>
          <t>_x000D_
98704</t>
        </r>
      </text>
    </comment>
    <comment ref="B350" authorId="0" shapeId="0" xr:uid="{A57E1F8F-3074-4FD3-B7F2-E2C8F28D5A2C}">
      <text>
        <r>
          <rPr>
            <sz val="10"/>
            <color indexed="81"/>
            <rFont val="Lucida Console"/>
            <family val="3"/>
          </rPr>
          <t>DESCRIÇÃO DETALHADA_x000D_
PERFIL TIPO EMENDA PVC BRANCO LISO, BARRA COM 6 MT - DIMENSOES 6 M X 50 MM X 10,5 MM (C X L X A). PODENDO VARIAR +/- 2 MM.</t>
        </r>
      </text>
    </comment>
    <comment ref="G350" authorId="0" shapeId="0" xr:uid="{0628F6FA-3034-49CC-BAE7-0D842600AFFF}">
      <text>
        <r>
          <rPr>
            <sz val="10"/>
            <color indexed="81"/>
            <rFont val="Lucida Console"/>
            <family val="3"/>
          </rPr>
          <t>_x000D_
Últ estimativa : 0_x000D_
Enviada em     : 22.04.2021_x000D_
Ata - Venc     : 174/20 - 16.08.2021</t>
        </r>
      </text>
    </comment>
    <comment ref="O350" authorId="0" shapeId="0" xr:uid="{FCE4867B-C93B-4918-85C5-77B6D2CA3A0A}">
      <text>
        <r>
          <rPr>
            <sz val="10"/>
            <color indexed="81"/>
            <rFont val="Lucida Console"/>
            <family val="3"/>
          </rPr>
          <t>_x000D_
Pertencia a ATA nº 174/20_x000D_
Estimativa de Renovação enviada em 22.04.2021 - Qtd _x000D_
PE  99/20 lote 14_x000D_
03.08.20 = Finalizado</t>
        </r>
      </text>
    </comment>
    <comment ref="W350" authorId="0" shapeId="0" xr:uid="{A59DC15C-23CA-44E9-BD32-BC4B8013ADF7}">
      <text>
        <r>
          <rPr>
            <sz val="10"/>
            <color indexed="81"/>
            <rFont val="Lucida Console"/>
            <family val="3"/>
          </rPr>
          <t>_x000D_
DM-Serralheria</t>
        </r>
      </text>
    </comment>
    <comment ref="X350" authorId="0" shapeId="0" xr:uid="{C1EBF55D-BB39-4239-862C-81769A69527E}">
      <text>
        <r>
          <rPr>
            <sz val="10"/>
            <color indexed="81"/>
            <rFont val="Lucida Console"/>
            <family val="3"/>
          </rPr>
          <t>_x000D_
METAIS,LAMINAD.,PERFILADOS E ARTEFATOS METALICOS</t>
        </r>
      </text>
    </comment>
    <comment ref="Y350" authorId="0" shapeId="0" xr:uid="{192A7331-E040-46FF-BC07-04799FF75824}">
      <text>
        <r>
          <rPr>
            <sz val="10"/>
            <color indexed="81"/>
            <rFont val="Lucida Console"/>
            <family val="3"/>
          </rPr>
          <t>_x000D_
CANTONEIRAS</t>
        </r>
      </text>
    </comment>
    <comment ref="AW350" authorId="0" shapeId="0" xr:uid="{D57673A9-5213-49E3-AA92-260320730933}">
      <text>
        <r>
          <rPr>
            <sz val="10"/>
            <color indexed="81"/>
            <rFont val="Lucida Console"/>
            <family val="3"/>
          </rPr>
          <t>Tempo de Estoque (Meses)_x000D_
_x000D_
206,0</t>
        </r>
      </text>
    </comment>
    <comment ref="A351" authorId="0" shapeId="0" xr:uid="{2F1CF216-DC82-424E-9DA4-4782491C006C}">
      <text>
        <r>
          <rPr>
            <sz val="10"/>
            <color indexed="81"/>
            <rFont val="Lucida Console"/>
            <family val="3"/>
          </rPr>
          <t>_x000D_
102278</t>
        </r>
      </text>
    </comment>
    <comment ref="B351" authorId="0" shapeId="0" xr:uid="{E373A677-C730-43CE-80CB-DB0EFAE0B249}">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351" authorId="0" shapeId="0" xr:uid="{76D5B005-4DF5-4CDE-89E9-04E50F437232}">
      <text>
        <r>
          <rPr>
            <sz val="10"/>
            <color indexed="81"/>
            <rFont val="Lucida Console"/>
            <family val="3"/>
          </rPr>
          <t>_x000D_
Últ estimativa : 0_x000D_
Enviada em     : 22.04.2021_x000D_
Ata - Venc     : 174/20 - 16.08.2021</t>
        </r>
      </text>
    </comment>
    <comment ref="O351" authorId="0" shapeId="0" xr:uid="{010A7F70-BAB0-4725-AE52-3BC5146D4D8E}">
      <text>
        <r>
          <rPr>
            <sz val="10"/>
            <color indexed="81"/>
            <rFont val="Lucida Console"/>
            <family val="3"/>
          </rPr>
          <t>_x000D_
Pertencia a ATA nº 174/20_x000D_
Estimativa de Renovação enviada em 22.04.2021 - Qtd _x000D_
PE  99/20 lote 16_x000D_
03.08.20 = Finalizado</t>
        </r>
      </text>
    </comment>
    <comment ref="W351" authorId="0" shapeId="0" xr:uid="{38C2561A-EE50-41A5-82AD-DCE8931E6FC1}">
      <text>
        <r>
          <rPr>
            <sz val="10"/>
            <color indexed="81"/>
            <rFont val="Lucida Console"/>
            <family val="3"/>
          </rPr>
          <t>_x000D_
DM-Serralheria</t>
        </r>
      </text>
    </comment>
    <comment ref="X351" authorId="0" shapeId="0" xr:uid="{453B64E0-0FDB-4C84-BCB5-A0F30B393F5D}">
      <text>
        <r>
          <rPr>
            <sz val="10"/>
            <color indexed="81"/>
            <rFont val="Lucida Console"/>
            <family val="3"/>
          </rPr>
          <t>_x000D_
METAIS,LAMINAD.,PERFILADOS E ARTEFATOS METALICOS</t>
        </r>
      </text>
    </comment>
    <comment ref="Y351" authorId="0" shapeId="0" xr:uid="{466AE570-F2FB-4AF6-A205-2D7E9E862F6C}">
      <text>
        <r>
          <rPr>
            <sz val="10"/>
            <color indexed="81"/>
            <rFont val="Lucida Console"/>
            <family val="3"/>
          </rPr>
          <t>_x000D_
BARRAS DE ACO ESPECIFICOS P/ USOS VARIADOS</t>
        </r>
      </text>
    </comment>
    <comment ref="AW351" authorId="0" shapeId="0" xr:uid="{BBFDC8D8-EBA9-4FF0-9A97-0046DD4629B9}">
      <text>
        <r>
          <rPr>
            <sz val="10"/>
            <color indexed="81"/>
            <rFont val="Lucida Console"/>
            <family val="3"/>
          </rPr>
          <t>Tempo de Estoque (Meses)_x000D_
_x000D_
144,0</t>
        </r>
      </text>
    </comment>
    <comment ref="A352" authorId="0" shapeId="0" xr:uid="{0B26A5B7-C555-4121-A132-9C47CAFE3D38}">
      <text>
        <r>
          <rPr>
            <sz val="10"/>
            <color indexed="81"/>
            <rFont val="Lucida Console"/>
            <family val="3"/>
          </rPr>
          <t>_x000D_
121054</t>
        </r>
      </text>
    </comment>
    <comment ref="B352" authorId="0" shapeId="0" xr:uid="{6399AF9F-82D7-4EE7-A92A-059ED79803C2}">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352" authorId="0" shapeId="0" xr:uid="{9EB847A1-8127-48A2-84DD-6EC2B6DE73F4}">
      <text>
        <r>
          <rPr>
            <sz val="10"/>
            <color indexed="81"/>
            <rFont val="Lucida Console"/>
            <family val="3"/>
          </rPr>
          <t>_x000D_
Últ estimativa : 0_x000D_
Enviada em     : 22.04.2021_x000D_
Ata - Venc     : 174/20 - 16.08.2021</t>
        </r>
      </text>
    </comment>
    <comment ref="O352" authorId="0" shapeId="0" xr:uid="{98ED50FC-775E-416B-A86D-5DF140905B1F}">
      <text>
        <r>
          <rPr>
            <sz val="10"/>
            <color indexed="81"/>
            <rFont val="Lucida Console"/>
            <family val="3"/>
          </rPr>
          <t>_x000D_
Pertencia a ATA nº 174/20_x000D_
Estimativa de Renovação enviada em 22.04.2021 - Qtd _x000D_
PE  99/20 lote 23_x000D_
03.08.20 = Finalizado</t>
        </r>
      </text>
    </comment>
    <comment ref="W352" authorId="0" shapeId="0" xr:uid="{1C12181C-0FF4-4E29-B90F-658AABCB1B51}">
      <text>
        <r>
          <rPr>
            <sz val="10"/>
            <color indexed="81"/>
            <rFont val="Lucida Console"/>
            <family val="3"/>
          </rPr>
          <t>_x000D_
DM-Serralheria</t>
        </r>
      </text>
    </comment>
    <comment ref="X352" authorId="0" shapeId="0" xr:uid="{D47902B7-1EDC-4DE5-9A27-5846AACE5A41}">
      <text>
        <r>
          <rPr>
            <sz val="10"/>
            <color indexed="81"/>
            <rFont val="Lucida Console"/>
            <family val="3"/>
          </rPr>
          <t>_x000D_
METAIS,LAMINAD.,PERFILADOS E ARTEFATOS METALICOS</t>
        </r>
      </text>
    </comment>
    <comment ref="Y352" authorId="0" shapeId="0" xr:uid="{A12A7084-0E47-4346-B17C-0D2F039130D6}">
      <text>
        <r>
          <rPr>
            <sz val="10"/>
            <color indexed="81"/>
            <rFont val="Lucida Console"/>
            <family val="3"/>
          </rPr>
          <t>_x000D_
BARRAS DE ACO ESPECIFICOS P/ USOS VARIADOS</t>
        </r>
      </text>
    </comment>
    <comment ref="AW352" authorId="0" shapeId="0" xr:uid="{D173CD3D-E9CB-4D20-8595-8E37D7C39422}">
      <text>
        <r>
          <rPr>
            <sz val="10"/>
            <color indexed="81"/>
            <rFont val="Lucida Console"/>
            <family val="3"/>
          </rPr>
          <t>Tempo de Estoque (Meses)_x000D_
_x000D_
93,0</t>
        </r>
      </text>
    </comment>
    <comment ref="A353" authorId="0" shapeId="0" xr:uid="{0E17AAEE-4175-4E8A-8375-6E72F586449D}">
      <text>
        <r>
          <rPr>
            <sz val="10"/>
            <color indexed="81"/>
            <rFont val="Lucida Console"/>
            <family val="3"/>
          </rPr>
          <t>_x000D_
63839</t>
        </r>
      </text>
    </comment>
    <comment ref="B353" authorId="0" shapeId="0" xr:uid="{F79F46D8-6950-4D36-891D-5236E5355BDF}">
      <text>
        <r>
          <rPr>
            <sz val="10"/>
            <color indexed="81"/>
            <rFont val="Lucida Console"/>
            <family val="3"/>
          </rPr>
          <t>DESCRIÇÃO DETALHADA_x000D_
COLA DE CONTATO P/ LAMINADO MELAMINICO - 2,8 KG</t>
        </r>
      </text>
    </comment>
    <comment ref="G353" authorId="0" shapeId="0" xr:uid="{BB99ADC4-DF33-43F4-ACF0-00BE59F06FC8}">
      <text>
        <r>
          <rPr>
            <sz val="10"/>
            <color indexed="81"/>
            <rFont val="Lucida Console"/>
            <family val="3"/>
          </rPr>
          <t>_x000D_
Últ estimativa : 300_x000D_
Enviada em     : 22.04.2021_x000D_
Ata - Venc     : 174/20 - 16.08.2021</t>
        </r>
      </text>
    </comment>
    <comment ref="O353" authorId="0" shapeId="0" xr:uid="{DA1F3886-A9BB-4A93-99DC-FB2440DC74A5}">
      <text>
        <r>
          <rPr>
            <sz val="10"/>
            <color indexed="81"/>
            <rFont val="Lucida Console"/>
            <family val="3"/>
          </rPr>
          <t>_x000D_
Pertencia a ATA nº 174/20_x000D_
Estimativa de Renovação enviada em 22.04.2021 - Qtd 300_x000D_
PE  99/20 lote 6_x000D_
03.08.20 = Finalizado</t>
        </r>
      </text>
    </comment>
    <comment ref="W353" authorId="0" shapeId="0" xr:uid="{4AE5688F-5B3E-47C3-AFC8-1861DD000C06}">
      <text>
        <r>
          <rPr>
            <sz val="10"/>
            <color indexed="81"/>
            <rFont val="Lucida Console"/>
            <family val="3"/>
          </rPr>
          <t>_x000D_
DM-Marcenaria</t>
        </r>
      </text>
    </comment>
    <comment ref="X353" authorId="0" shapeId="0" xr:uid="{5F4BC98F-5041-4AAF-8874-C5E15DAD5177}">
      <text>
        <r>
          <rPr>
            <sz val="10"/>
            <color indexed="81"/>
            <rFont val="Lucida Console"/>
            <family val="3"/>
          </rPr>
          <t>_x000D_
MADEIRAS,LAMINADOS,COMPENSADOS E AGLOMERADOS</t>
        </r>
      </text>
    </comment>
    <comment ref="Y353" authorId="0" shapeId="0" xr:uid="{D0281F5C-FE92-43DB-988D-E7C750F5BC44}">
      <text>
        <r>
          <rPr>
            <sz val="10"/>
            <color indexed="81"/>
            <rFont val="Lucida Console"/>
            <family val="3"/>
          </rPr>
          <t>_x000D_
ADESIVOS ESPECIFICOS PARA MADEIRA</t>
        </r>
      </text>
    </comment>
    <comment ref="AW353" authorId="0" shapeId="0" xr:uid="{6BC850A9-3F67-431A-8FE8-0F1A6D5368BD}">
      <text>
        <r>
          <rPr>
            <sz val="10"/>
            <color indexed="81"/>
            <rFont val="Lucida Console"/>
            <family val="3"/>
          </rPr>
          <t>Tempo de Estoque (Meses)_x000D_
_x000D_
100,0</t>
        </r>
      </text>
    </comment>
    <comment ref="A354" authorId="0" shapeId="0" xr:uid="{E7E0F432-4E5A-43B6-AF19-5A774B646129}">
      <text>
        <r>
          <rPr>
            <sz val="10"/>
            <color indexed="81"/>
            <rFont val="Lucida Console"/>
            <family val="3"/>
          </rPr>
          <t>_x000D_
75324</t>
        </r>
      </text>
    </comment>
    <comment ref="B354" authorId="0" shapeId="0" xr:uid="{58254DEA-4158-4DD5-8640-91988FEFD5BF}">
      <text>
        <r>
          <rPr>
            <sz val="10"/>
            <color indexed="81"/>
            <rFont val="Lucida Console"/>
            <family val="3"/>
          </rPr>
          <t>DESCRIÇÃO DETALHADA_x000D_
CHAPA EM MDF, CRU - MED. 2,75 M X 1,83 M X 09 MM</t>
        </r>
      </text>
    </comment>
    <comment ref="G354" authorId="0" shapeId="0" xr:uid="{0B3B7474-4513-459B-8264-AB43419C70B4}">
      <text>
        <r>
          <rPr>
            <sz val="10"/>
            <color indexed="81"/>
            <rFont val="Lucida Console"/>
            <family val="3"/>
          </rPr>
          <t>_x000D_
Últ estimativa : 400_x000D_
Enviada em     : 22.04.2021_x000D_
Ata - Venc     : 174/20 - 16.08.2021</t>
        </r>
      </text>
    </comment>
    <comment ref="O354" authorId="0" shapeId="0" xr:uid="{FF7F4E5B-E3A9-4F46-B06F-2E539158C231}">
      <text>
        <r>
          <rPr>
            <sz val="10"/>
            <color indexed="81"/>
            <rFont val="Lucida Console"/>
            <family val="3"/>
          </rPr>
          <t>_x000D_
Pertencia a ATA nº 174/20_x000D_
Estimativa de Renovação enviada em 22.04.2021 - Qtd 400_x000D_
PE  99/20 lote _x000D_
03.08.20 = Finalizado</t>
        </r>
      </text>
    </comment>
    <comment ref="W354" authorId="0" shapeId="0" xr:uid="{65FE8575-861B-4872-AF30-42CEDEF72975}">
      <text>
        <r>
          <rPr>
            <sz val="10"/>
            <color indexed="81"/>
            <rFont val="Lucida Console"/>
            <family val="3"/>
          </rPr>
          <t>_x000D_
DM-Marcenaria</t>
        </r>
      </text>
    </comment>
    <comment ref="X354" authorId="0" shapeId="0" xr:uid="{B3C7B65D-74C1-43FD-B106-FFBCB3B4EEE8}">
      <text>
        <r>
          <rPr>
            <sz val="10"/>
            <color indexed="81"/>
            <rFont val="Lucida Console"/>
            <family val="3"/>
          </rPr>
          <t>_x000D_
MADEIRAS,LAMINADOS,COMPENSADOS E AGLOMERADOS</t>
        </r>
      </text>
    </comment>
    <comment ref="Y354" authorId="0" shapeId="0" xr:uid="{599BFB05-6ACD-4F86-AD5A-306838B23DAA}">
      <text>
        <r>
          <rPr>
            <sz val="10"/>
            <color indexed="81"/>
            <rFont val="Lucida Console"/>
            <family val="3"/>
          </rPr>
          <t>_x000D_
CHAPAS COMPENSADAS RESINADAS/PLASTIFICADAS</t>
        </r>
      </text>
    </comment>
    <comment ref="AW354" authorId="0" shapeId="0" xr:uid="{A2704FE5-D58E-4E56-943B-1EB73D2FE5EC}">
      <text>
        <r>
          <rPr>
            <sz val="10"/>
            <color indexed="81"/>
            <rFont val="Lucida Console"/>
            <family val="3"/>
          </rPr>
          <t>Tempo de Estoque (Meses)_x000D_
_x000D_
257,0</t>
        </r>
      </text>
    </comment>
    <comment ref="A355" authorId="0" shapeId="0" xr:uid="{5BF60B83-6384-40EF-A728-3299C2176E5F}">
      <text>
        <r>
          <rPr>
            <sz val="10"/>
            <color indexed="81"/>
            <rFont val="Lucida Console"/>
            <family val="3"/>
          </rPr>
          <t>_x000D_
53813</t>
        </r>
      </text>
    </comment>
    <comment ref="B355" authorId="0" shapeId="0" xr:uid="{3B79A4ED-F432-44C2-9BB3-D12A7288BA2F}">
      <text>
        <r>
          <rPr>
            <sz val="10"/>
            <color indexed="81"/>
            <rFont val="Lucida Console"/>
            <family val="3"/>
          </rPr>
          <t>DESCRIÇÃO DETALHADA_x000D_
FERRO TIPO U DE 2" X 1/8</t>
        </r>
      </text>
    </comment>
    <comment ref="G355" authorId="0" shapeId="0" xr:uid="{4947BC88-588E-4203-804A-6720366FA439}">
      <text>
        <r>
          <rPr>
            <sz val="10"/>
            <color indexed="81"/>
            <rFont val="Lucida Console"/>
            <family val="3"/>
          </rPr>
          <t>_x000D_
Últ estimativa : 200_x000D_
Enviada em     : 25.09.2019_x000D_
Ata - Venc     : 175/17 - 10.10.2018</t>
        </r>
      </text>
    </comment>
    <comment ref="O355" authorId="0" shapeId="0" xr:uid="{5A2BC837-984C-4538-B2F0-1B2ACB87AA25}">
      <text>
        <r>
          <rPr>
            <sz val="10"/>
            <color indexed="81"/>
            <rFont val="Lucida Console"/>
            <family val="3"/>
          </rPr>
          <t>_x000D_
Pertencia a ATA nº 175/17_x000D_
Estimativa de Renovação enviada em 25.09.2019 - Qtd 200_x000D_
PE  17/20 lote 10_x000D_
19.05.20 = Finalizar, contrato assinado.</t>
        </r>
      </text>
    </comment>
    <comment ref="W355" authorId="0" shapeId="0" xr:uid="{6BE4F919-8402-421B-AF82-BC78FA9B29A5}">
      <text>
        <r>
          <rPr>
            <sz val="10"/>
            <color indexed="81"/>
            <rFont val="Lucida Console"/>
            <family val="3"/>
          </rPr>
          <t>_x000D_
DM-Construção</t>
        </r>
      </text>
    </comment>
    <comment ref="X355" authorId="0" shapeId="0" xr:uid="{286C30C3-9F1B-466F-AF60-93C3D64D004F}">
      <text>
        <r>
          <rPr>
            <sz val="10"/>
            <color indexed="81"/>
            <rFont val="Lucida Console"/>
            <family val="3"/>
          </rPr>
          <t>_x000D_
MAT.E EQUIP. P/ CONSTR.CIVIL E CONSERV. DE VIAS PUBL.</t>
        </r>
      </text>
    </comment>
    <comment ref="Y355" authorId="0" shapeId="0" xr:uid="{E818423A-CCD3-4130-80A5-4DD0139000A3}">
      <text>
        <r>
          <rPr>
            <sz val="10"/>
            <color indexed="81"/>
            <rFont val="Lucida Console"/>
            <family val="3"/>
          </rPr>
          <t>_x000D_
FERRAGENS E AFINS</t>
        </r>
      </text>
    </comment>
    <comment ref="AW355" authorId="0" shapeId="0" xr:uid="{A9D76172-BA83-4192-900B-C5F730F73214}">
      <text>
        <r>
          <rPr>
            <sz val="10"/>
            <color indexed="81"/>
            <rFont val="Lucida Console"/>
            <family val="3"/>
          </rPr>
          <t>Tempo de Estoque (Meses)_x000D_
_x000D_
234,0</t>
        </r>
      </text>
    </comment>
    <comment ref="A356" authorId="0" shapeId="0" xr:uid="{E53BA3D0-23EB-459D-806B-302AFAAF102F}">
      <text>
        <r>
          <rPr>
            <sz val="10"/>
            <color indexed="81"/>
            <rFont val="Lucida Console"/>
            <family val="3"/>
          </rPr>
          <t>_x000D_
53814</t>
        </r>
      </text>
    </comment>
    <comment ref="B356" authorId="0" shapeId="0" xr:uid="{316D76E3-8E5A-4C93-9B61-77B48D0EFEA1}">
      <text>
        <r>
          <rPr>
            <sz val="10"/>
            <color indexed="81"/>
            <rFont val="Lucida Console"/>
            <family val="3"/>
          </rPr>
          <t>DESCRIÇÃO DETALHADA_x000D_
FERRO TIPO U DE 3" X 1/8" - BARRA COM 06 METROS</t>
        </r>
      </text>
    </comment>
    <comment ref="G356" authorId="0" shapeId="0" xr:uid="{DA9F2F3A-D7D6-4D58-AE5A-FC135E5C2BFF}">
      <text>
        <r>
          <rPr>
            <sz val="10"/>
            <color indexed="81"/>
            <rFont val="Lucida Console"/>
            <family val="3"/>
          </rPr>
          <t>_x000D_
Últ estimativa : 150_x000D_
Enviada em     : 25.09.2019_x000D_
Ata - Venc     : 175/17 - 10.10.2018</t>
        </r>
      </text>
    </comment>
    <comment ref="O356" authorId="0" shapeId="0" xr:uid="{39785AC7-D6BE-4527-A592-FA2471497A95}">
      <text>
        <r>
          <rPr>
            <sz val="10"/>
            <color indexed="81"/>
            <rFont val="Lucida Console"/>
            <family val="3"/>
          </rPr>
          <t>_x000D_
Pertencia a ATA nº 175/17_x000D_
Estimativa de Renovação enviada em 25.09.2019 - Qtd 150_x000D_
PE  17/20 lote 11_x000D_
19.05.20 = Finalizar, contrato assinado.</t>
        </r>
      </text>
    </comment>
    <comment ref="W356" authorId="0" shapeId="0" xr:uid="{F9EF993C-02A7-45F3-A168-2AE3FB408209}">
      <text>
        <r>
          <rPr>
            <sz val="10"/>
            <color indexed="81"/>
            <rFont val="Lucida Console"/>
            <family val="3"/>
          </rPr>
          <t>_x000D_
DM-Construção</t>
        </r>
      </text>
    </comment>
    <comment ref="X356" authorId="0" shapeId="0" xr:uid="{C82ACFD2-D441-4BE1-906B-C5312AE36FE5}">
      <text>
        <r>
          <rPr>
            <sz val="10"/>
            <color indexed="81"/>
            <rFont val="Lucida Console"/>
            <family val="3"/>
          </rPr>
          <t>_x000D_
MAT.E EQUIP. P/ CONSTR.CIVIL E CONSERV. DE VIAS PUBL.</t>
        </r>
      </text>
    </comment>
    <comment ref="Y356" authorId="0" shapeId="0" xr:uid="{46193C39-4C5C-45A5-8BED-6C29E0FD6510}">
      <text>
        <r>
          <rPr>
            <sz val="10"/>
            <color indexed="81"/>
            <rFont val="Lucida Console"/>
            <family val="3"/>
          </rPr>
          <t>_x000D_
FERRAGENS E AFINS</t>
        </r>
      </text>
    </comment>
    <comment ref="AW356" authorId="0" shapeId="0" xr:uid="{06761B28-09D7-4D13-82CE-DFEEC77F6654}">
      <text>
        <r>
          <rPr>
            <sz val="10"/>
            <color indexed="81"/>
            <rFont val="Lucida Console"/>
            <family val="3"/>
          </rPr>
          <t>Tempo de Estoque (Meses)_x000D_
_x000D_
1.159,0</t>
        </r>
      </text>
    </comment>
    <comment ref="A357" authorId="0" shapeId="0" xr:uid="{EFB43458-DBCF-45A7-A68C-C49927724932}">
      <text>
        <r>
          <rPr>
            <sz val="10"/>
            <color indexed="81"/>
            <rFont val="Lucida Console"/>
            <family val="3"/>
          </rPr>
          <t>_x000D_
105889</t>
        </r>
      </text>
    </comment>
    <comment ref="B357" authorId="0" shapeId="0" xr:uid="{E7D17851-058D-49C1-B425-CA15EE870F78}">
      <text>
        <r>
          <rPr>
            <sz val="10"/>
            <color indexed="81"/>
            <rFont val="Lucida Console"/>
            <family val="3"/>
          </rPr>
          <t>DESCRIÇÃO DETALHADA_x000D_
PERFIL CADEIRA DE FERRO, MEDINDO 50 MM X 25 MM, BARRA COM 3 METROS.</t>
        </r>
      </text>
    </comment>
    <comment ref="G357" authorId="0" shapeId="0" xr:uid="{DB2019D8-8ABF-445C-BEEC-93582A4E0A14}">
      <text>
        <r>
          <rPr>
            <sz val="10"/>
            <color indexed="81"/>
            <rFont val="Lucida Console"/>
            <family val="3"/>
          </rPr>
          <t>_x000D_
Últ estimativa : 400_x000D_
Enviada em     : 25.09.2019_x000D_
Ata - Venc     : 175/17 - 10.10.2018</t>
        </r>
      </text>
    </comment>
    <comment ref="O357" authorId="0" shapeId="0" xr:uid="{DCB998F3-E19E-46D2-B889-B7510070324A}">
      <text>
        <r>
          <rPr>
            <sz val="10"/>
            <color indexed="81"/>
            <rFont val="Lucida Console"/>
            <family val="3"/>
          </rPr>
          <t>_x000D_
Pertencia a ATA nº 175/17_x000D_
Estimativa de Renovação enviada em 25.09.2019 - Qtd 400_x000D_
PE  17/20 lote _x000D_
19.05.20 = Finalizar, contrato assinado.</t>
        </r>
      </text>
    </comment>
    <comment ref="W357" authorId="0" shapeId="0" xr:uid="{BF52C37C-B514-4B90-91DF-E36DAEE3367B}">
      <text>
        <r>
          <rPr>
            <sz val="10"/>
            <color indexed="81"/>
            <rFont val="Lucida Console"/>
            <family val="3"/>
          </rPr>
          <t>_x000D_
DM-Serralheria</t>
        </r>
      </text>
    </comment>
    <comment ref="X357" authorId="0" shapeId="0" xr:uid="{903C4D84-595E-4B83-8D40-8B27E282486E}">
      <text>
        <r>
          <rPr>
            <sz val="10"/>
            <color indexed="81"/>
            <rFont val="Lucida Console"/>
            <family val="3"/>
          </rPr>
          <t>_x000D_
METAIS,LAMINAD.,PERFILADOS E ARTEFATOS METALICOS</t>
        </r>
      </text>
    </comment>
    <comment ref="Y357" authorId="0" shapeId="0" xr:uid="{5F1C1021-BCDB-44F3-B595-40F9A7D80CF8}">
      <text>
        <r>
          <rPr>
            <sz val="10"/>
            <color indexed="81"/>
            <rFont val="Lucida Console"/>
            <family val="3"/>
          </rPr>
          <t>_x000D_
PERFIS E BARRA</t>
        </r>
      </text>
    </comment>
    <comment ref="AW357" authorId="0" shapeId="0" xr:uid="{597EAC6C-DCF1-4A8E-B112-5A65EDFF49CE}">
      <text>
        <r>
          <rPr>
            <sz val="10"/>
            <color indexed="81"/>
            <rFont val="Lucida Console"/>
            <family val="3"/>
          </rPr>
          <t>Tempo de Estoque (Meses)_x000D_
_x000D_
369,0</t>
        </r>
      </text>
    </comment>
    <comment ref="A358" authorId="0" shapeId="0" xr:uid="{ECB6ADC1-B48C-426D-B7F5-C9C06BD1724B}">
      <text>
        <r>
          <rPr>
            <sz val="10"/>
            <color indexed="81"/>
            <rFont val="Lucida Console"/>
            <family val="3"/>
          </rPr>
          <t>_x000D_
12616</t>
        </r>
      </text>
    </comment>
    <comment ref="B358" authorId="0" shapeId="0" xr:uid="{9D8381AD-905F-4719-8521-D9A1212EEA57}">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358" authorId="0" shapeId="0" xr:uid="{7EF3328B-2251-4768-9491-9EB02CAC99BA}">
      <text>
        <r>
          <rPr>
            <sz val="10"/>
            <color indexed="81"/>
            <rFont val="Lucida Console"/>
            <family val="3"/>
          </rPr>
          <t>_x000D_
Últ estimativa : 60.000_x000D_
Enviada em     : 22.04.2021_x000D_
Ata - Venc     : 176/20 - 19.08.2021</t>
        </r>
      </text>
    </comment>
    <comment ref="O358" authorId="0" shapeId="0" xr:uid="{BC041953-F354-47DD-BE4F-EFF3D29B9426}">
      <text>
        <r>
          <rPr>
            <sz val="10"/>
            <color indexed="81"/>
            <rFont val="Lucida Console"/>
            <family val="3"/>
          </rPr>
          <t>_x000D_
Pertencia a ATA nº 176/20_x000D_
Estimativa de Renovação enviada em 22.04.2021 - Qtd 60.000_x000D_
PE  60/19 lote _x000D_
24.09.19 = Processo conferido, finalizado.</t>
        </r>
      </text>
    </comment>
    <comment ref="W358" authorId="0" shapeId="0" xr:uid="{1CDB703B-3E4F-4ABA-9B5E-1609388200E1}">
      <text>
        <r>
          <rPr>
            <sz val="10"/>
            <color indexed="81"/>
            <rFont val="Lucida Console"/>
            <family val="3"/>
          </rPr>
          <t>_x000D_
Pedagógico</t>
        </r>
      </text>
    </comment>
    <comment ref="X358" authorId="0" shapeId="0" xr:uid="{98AE2A51-1E43-495C-8632-53940813AF3C}">
      <text>
        <r>
          <rPr>
            <sz val="10"/>
            <color indexed="81"/>
            <rFont val="Lucida Console"/>
            <family val="3"/>
          </rPr>
          <t>_x000D_
MAQ. E EQUIP. P/ IND. GRAFICA COMP. ACESS. E PAPEI</t>
        </r>
      </text>
    </comment>
    <comment ref="Y358" authorId="0" shapeId="0" xr:uid="{1C46EDBB-3A46-49FA-99F2-C066211B1738}">
      <text>
        <r>
          <rPr>
            <sz val="10"/>
            <color indexed="81"/>
            <rFont val="Lucida Console"/>
            <family val="3"/>
          </rPr>
          <t>_x000D_
PAPEIS PARA COPIADORAS EM GERAL</t>
        </r>
      </text>
    </comment>
    <comment ref="AC358" authorId="0" shapeId="0" xr:uid="{5AB9B0E2-FB26-4C49-A042-68ADBF3A56AF}">
      <text>
        <r>
          <rPr>
            <sz val="10"/>
            <color indexed="81"/>
            <rFont val="Lucida Console"/>
            <family val="3"/>
          </rPr>
          <t>_x000D_
AF 15.792/22 | Vc 03.02.2023 | Saldo 50.000 | MULTPAPER DISTRIBUIDORA DE PAPEIS LTDA. ( 225320 )</t>
        </r>
      </text>
    </comment>
    <comment ref="AG358" authorId="0" shapeId="0" xr:uid="{1E6CA0C3-9069-4FE7-960E-59D39D3D9212}">
      <text>
        <r>
          <rPr>
            <sz val="10"/>
            <color indexed="81"/>
            <rFont val="Lucida Console"/>
            <family val="3"/>
          </rPr>
          <t>_x000D_
AF 15.792/22 | Vc 03.02.2023 | Saldo 50.000 | MULTPAPER DISTRIBUIDORA DE PAPEIS LTDA. ( 225320 )</t>
        </r>
      </text>
    </comment>
    <comment ref="AW358" authorId="0" shapeId="0" xr:uid="{A827730B-BEA9-465D-A748-69ECB80ED2CE}">
      <text>
        <r>
          <rPr>
            <sz val="10"/>
            <color indexed="81"/>
            <rFont val="Lucida Console"/>
            <family val="3"/>
          </rPr>
          <t>Tempo de Estoque (Meses)_x000D_
_x000D_
29.016,0</t>
        </r>
      </text>
    </comment>
    <comment ref="A359" authorId="0" shapeId="0" xr:uid="{1A0CDC62-35AE-4353-8216-3D7BFF43F464}">
      <text>
        <r>
          <rPr>
            <sz val="10"/>
            <color indexed="81"/>
            <rFont val="Lucida Console"/>
            <family val="3"/>
          </rPr>
          <t>_x000D_
12654</t>
        </r>
      </text>
    </comment>
    <comment ref="B359" authorId="0" shapeId="0" xr:uid="{B886A98F-F18D-4175-8FF2-5D81FB96C4BD}">
      <text>
        <r>
          <rPr>
            <sz val="10"/>
            <color indexed="81"/>
            <rFont val="Lucida Console"/>
            <family val="3"/>
          </rPr>
          <t>DESCRIÇÃO DETALHADA_x000D_
COPO PLASTICO DESCARTAVEL - 180 ML - PT C/ 100 UN (AGUA)- DE ACORDO COM A NORMA DA ABNT NBR 14.865</t>
        </r>
      </text>
    </comment>
    <comment ref="G359" authorId="0" shapeId="0" xr:uid="{4C6A706A-3668-4D8C-BF4B-CADBB07D1E96}">
      <text>
        <r>
          <rPr>
            <sz val="10"/>
            <color indexed="81"/>
            <rFont val="Lucida Console"/>
            <family val="3"/>
          </rPr>
          <t>_x000D_
Últ estimativa : 80.000_x000D_
Enviada em     : 22.04.2021_x000D_
Ata - Venc     : 178/20 - 20.08.2021</t>
        </r>
      </text>
    </comment>
    <comment ref="O359" authorId="0" shapeId="0" xr:uid="{52723D3D-45EC-426D-8857-9F006FB1559A}">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59" authorId="0" shapeId="0" xr:uid="{7FE6F6CD-535E-428A-BABE-E0C53231C4B4}">
      <text>
        <r>
          <rPr>
            <sz val="10"/>
            <color indexed="81"/>
            <rFont val="Lucida Console"/>
            <family val="3"/>
          </rPr>
          <t>_x000D_
Administrativo</t>
        </r>
      </text>
    </comment>
    <comment ref="X359" authorId="0" shapeId="0" xr:uid="{59EDBF26-4E71-48E1-B36F-F20149D00B33}">
      <text>
        <r>
          <rPr>
            <sz val="10"/>
            <color indexed="81"/>
            <rFont val="Lucida Console"/>
            <family val="3"/>
          </rPr>
          <t>_x000D_
EQUIP.E MAT. P/REFEITORIO, COPA E COZINHA</t>
        </r>
      </text>
    </comment>
    <comment ref="Y359" authorId="0" shapeId="0" xr:uid="{2D7DAF80-9AD4-4150-A236-CDE7A67C583B}">
      <text>
        <r>
          <rPr>
            <sz val="10"/>
            <color indexed="81"/>
            <rFont val="Lucida Console"/>
            <family val="3"/>
          </rPr>
          <t>_x000D_
CANECAS, XICARAS, COPOS E TACAS</t>
        </r>
      </text>
    </comment>
    <comment ref="AW359" authorId="0" shapeId="0" xr:uid="{B5AFF11A-39B4-4885-82FE-CD013239F986}">
      <text>
        <r>
          <rPr>
            <sz val="10"/>
            <color indexed="81"/>
            <rFont val="Lucida Console"/>
            <family val="3"/>
          </rPr>
          <t>Tempo de Estoque (Meses)_x000D_
_x000D_
85.443,0</t>
        </r>
      </text>
    </comment>
    <comment ref="A360" authorId="0" shapeId="0" xr:uid="{F7F78108-5AE3-4276-9538-AC192DE6989A}">
      <text>
        <r>
          <rPr>
            <sz val="10"/>
            <color indexed="81"/>
            <rFont val="Lucida Console"/>
            <family val="3"/>
          </rPr>
          <t>_x000D_
26504</t>
        </r>
      </text>
    </comment>
    <comment ref="B360" authorId="0" shapeId="0" xr:uid="{0B0B2743-5CF7-4C7C-AD18-AFAC6EB55DC8}">
      <text>
        <r>
          <rPr>
            <sz val="10"/>
            <color indexed="81"/>
            <rFont val="Lucida Console"/>
            <family val="3"/>
          </rPr>
          <t>DESCRIÇÃO DETALHADA_x000D_
ENCOSTO EM MADEIRA  EM LAMINADO MELAMINICO 10MM LISO 30 X 16CM - VERDE CLARO</t>
        </r>
      </text>
    </comment>
    <comment ref="G360" authorId="0" shapeId="0" xr:uid="{EAC7CD53-3CEE-4C4E-9B4B-6C3E4BC8D2E4}">
      <text>
        <r>
          <rPr>
            <sz val="10"/>
            <color indexed="81"/>
            <rFont val="Lucida Console"/>
            <family val="3"/>
          </rPr>
          <t>_x000D_
Últ estimativa : 2.500_x000D_
Enviada em     : 19.05.2020_x000D_
Ata - Venc     : 181/20 - 24.08.2021</t>
        </r>
      </text>
    </comment>
    <comment ref="O360" authorId="0" shapeId="0" xr:uid="{954129D0-96F4-4CF4-B5D1-AC2385500ABD}">
      <text>
        <r>
          <rPr>
            <sz val="10"/>
            <color indexed="81"/>
            <rFont val="Lucida Console"/>
            <family val="3"/>
          </rPr>
          <t>_x000D_
Pertencia a ATA nº 181/20_x000D_
Estimativa de Renovação enviada em 19.05.2020 - Qtd 2.500_x000D_
PE  71/19 lote _x000D_
01.10.19 = Finalizar, contrato assinado.</t>
        </r>
      </text>
    </comment>
    <comment ref="W360" authorId="0" shapeId="0" xr:uid="{DA31B82C-4542-4C93-BFCB-CD6848C54E29}">
      <text>
        <r>
          <rPr>
            <sz val="10"/>
            <color indexed="81"/>
            <rFont val="Lucida Console"/>
            <family val="3"/>
          </rPr>
          <t>_x000D_
Pedagógico</t>
        </r>
      </text>
    </comment>
    <comment ref="X360" authorId="0" shapeId="0" xr:uid="{1CCD1195-DAA9-4D37-8DA0-1A1A94F815E3}">
      <text>
        <r>
          <rPr>
            <sz val="10"/>
            <color indexed="81"/>
            <rFont val="Lucida Console"/>
            <family val="3"/>
          </rPr>
          <t>_x000D_
MOBILIARIO E COFRE</t>
        </r>
      </text>
    </comment>
    <comment ref="Y360" authorId="0" shapeId="0" xr:uid="{F385A504-CA3D-4300-ABDF-38D4368CCEFD}">
      <text>
        <r>
          <rPr>
            <sz val="10"/>
            <color indexed="81"/>
            <rFont val="Lucida Console"/>
            <family val="3"/>
          </rPr>
          <t>_x000D_
MOBILIARIO ESCOLAR</t>
        </r>
      </text>
    </comment>
    <comment ref="AW360" authorId="0" shapeId="0" xr:uid="{0A2A4185-3FDD-4A44-A8C5-A8AE3B38AD0A}">
      <text>
        <r>
          <rPr>
            <sz val="10"/>
            <color indexed="81"/>
            <rFont val="Lucida Console"/>
            <family val="3"/>
          </rPr>
          <t>Tempo de Estoque (Meses)_x000D_
_x000D_
750,0</t>
        </r>
      </text>
    </comment>
    <comment ref="A361" authorId="0" shapeId="0" xr:uid="{6838B1DC-5B93-49E5-BEE0-9E08F24A1062}">
      <text>
        <r>
          <rPr>
            <sz val="10"/>
            <color indexed="81"/>
            <rFont val="Lucida Console"/>
            <family val="3"/>
          </rPr>
          <t>_x000D_
26506</t>
        </r>
      </text>
    </comment>
    <comment ref="B361" authorId="0" shapeId="0" xr:uid="{3F94025A-B2D1-40E9-98BC-0A6FEAF68B76}">
      <text>
        <r>
          <rPr>
            <sz val="10"/>
            <color indexed="81"/>
            <rFont val="Lucida Console"/>
            <family val="3"/>
          </rPr>
          <t>DESCRIÇÃO DETALHADA_x000D_
ASSENTO EM MADEIRA  REVESTIDO C/ LAMINADO MELAMINICO 10 MM LISO 29,5 X 29,5 CM - VERDE CLARO</t>
        </r>
      </text>
    </comment>
    <comment ref="G361" authorId="0" shapeId="0" xr:uid="{F7C9CA20-434B-4A51-829D-B82753C3126D}">
      <text>
        <r>
          <rPr>
            <sz val="10"/>
            <color indexed="81"/>
            <rFont val="Lucida Console"/>
            <family val="3"/>
          </rPr>
          <t>_x000D_
Últ estimativa : 2.500_x000D_
Enviada em     : 19.05.2020_x000D_
Ata - Venc     : 181/20 - 24.08.2021</t>
        </r>
      </text>
    </comment>
    <comment ref="O361" authorId="0" shapeId="0" xr:uid="{526927B2-4D2A-44E1-BBB0-7E637CFAC8EA}">
      <text>
        <r>
          <rPr>
            <sz val="10"/>
            <color indexed="81"/>
            <rFont val="Lucida Console"/>
            <family val="3"/>
          </rPr>
          <t>_x000D_
Pertencia a ATA nº 181/20_x000D_
Estimativa de Renovação enviada em 19.05.2020 - Qtd 2.500_x000D_
PE  71/19 lote _x000D_
01.10.19 = Finalizar, contrato assinado.</t>
        </r>
      </text>
    </comment>
    <comment ref="W361" authorId="0" shapeId="0" xr:uid="{243BF5C1-A986-4D2D-B96C-060F96F4D30E}">
      <text>
        <r>
          <rPr>
            <sz val="10"/>
            <color indexed="81"/>
            <rFont val="Lucida Console"/>
            <family val="3"/>
          </rPr>
          <t>_x000D_
Pedagógico</t>
        </r>
      </text>
    </comment>
    <comment ref="X361" authorId="0" shapeId="0" xr:uid="{8E863D60-1C37-4F6B-A785-6B03BECB6E05}">
      <text>
        <r>
          <rPr>
            <sz val="10"/>
            <color indexed="81"/>
            <rFont val="Lucida Console"/>
            <family val="3"/>
          </rPr>
          <t>_x000D_
MOBILIARIO E COFRE</t>
        </r>
      </text>
    </comment>
    <comment ref="Y361" authorId="0" shapeId="0" xr:uid="{C12F9F45-DC1E-4F22-9D65-C51F026A7F10}">
      <text>
        <r>
          <rPr>
            <sz val="10"/>
            <color indexed="81"/>
            <rFont val="Lucida Console"/>
            <family val="3"/>
          </rPr>
          <t>_x000D_
MOBILIARIO ESCOLAR</t>
        </r>
      </text>
    </comment>
    <comment ref="AW361" authorId="0" shapeId="0" xr:uid="{9F5B8FF9-99CA-476D-B02C-A9BE6A576338}">
      <text>
        <r>
          <rPr>
            <sz val="10"/>
            <color indexed="81"/>
            <rFont val="Lucida Console"/>
            <family val="3"/>
          </rPr>
          <t>Tempo de Estoque (Meses)_x000D_
_x000D_
750,0</t>
        </r>
      </text>
    </comment>
    <comment ref="A362" authorId="0" shapeId="0" xr:uid="{78CF8E7D-0382-4B8A-9F2E-B02BCCEF193F}">
      <text>
        <r>
          <rPr>
            <sz val="10"/>
            <color indexed="81"/>
            <rFont val="Lucida Console"/>
            <family val="3"/>
          </rPr>
          <t>_x000D_
80298</t>
        </r>
      </text>
    </comment>
    <comment ref="B362" authorId="0" shapeId="0" xr:uid="{9A70CD4E-3AE6-41C9-B867-0551B78E3FB9}">
      <text>
        <r>
          <rPr>
            <sz val="10"/>
            <color indexed="81"/>
            <rFont val="Lucida Console"/>
            <family val="3"/>
          </rPr>
          <t>DESCRIÇÃO DETALHADA_x000D_
TELA ONDULADA FIO 14, MALHA 3/4 - MED. 10 X 2,00 M</t>
        </r>
      </text>
    </comment>
    <comment ref="G362" authorId="0" shapeId="0" xr:uid="{AA15167A-501C-4621-8D92-E82574A03895}">
      <text>
        <r>
          <rPr>
            <sz val="10"/>
            <color indexed="81"/>
            <rFont val="Lucida Console"/>
            <family val="3"/>
          </rPr>
          <t>_x000D_
Últ estimativa : 200_x000D_
Enviada em     : 26.04.2018_x000D_
Ata - Venc     : 186/18 - 04.09.2019</t>
        </r>
      </text>
    </comment>
    <comment ref="O362" authorId="0" shapeId="0" xr:uid="{967C537D-4BC0-41D8-B1F2-204713E3DD4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62" authorId="0" shapeId="0" xr:uid="{0A88FEB0-E141-492D-BD0E-29360C5FA5C3}">
      <text>
        <r>
          <rPr>
            <sz val="10"/>
            <color indexed="81"/>
            <rFont val="Lucida Console"/>
            <family val="3"/>
          </rPr>
          <t>_x000D_
DM-Construção</t>
        </r>
      </text>
    </comment>
    <comment ref="X362" authorId="0" shapeId="0" xr:uid="{109AEEC8-56EE-438F-80CF-34C6C965D8EB}">
      <text>
        <r>
          <rPr>
            <sz val="10"/>
            <color indexed="81"/>
            <rFont val="Lucida Console"/>
            <family val="3"/>
          </rPr>
          <t>_x000D_
MAT.E EQUIP. P/ CONSTR.CIVIL E CONSERV. DE VIAS PUBL.</t>
        </r>
      </text>
    </comment>
    <comment ref="Y362" authorId="0" shapeId="0" xr:uid="{550311FD-3ADC-4445-881A-E3DD7843280F}">
      <text>
        <r>
          <rPr>
            <sz val="10"/>
            <color indexed="81"/>
            <rFont val="Lucida Console"/>
            <family val="3"/>
          </rPr>
          <t>_x000D_
TELAS DE MALHA FINA, GROSSA, DE ALAMBRADO E MOUROES</t>
        </r>
      </text>
    </comment>
    <comment ref="AW362" authorId="0" shapeId="0" xr:uid="{7009C83B-90CE-4089-9BED-C5778482679C}">
      <text>
        <r>
          <rPr>
            <sz val="10"/>
            <color indexed="81"/>
            <rFont val="Lucida Console"/>
            <family val="3"/>
          </rPr>
          <t>Tempo de Estoque (Meses)_x000D_
_x000D_
35,0</t>
        </r>
      </text>
    </comment>
    <comment ref="A363" authorId="0" shapeId="0" xr:uid="{86DB8909-097D-4262-BFE6-C92396D37DB0}">
      <text>
        <r>
          <rPr>
            <sz val="10"/>
            <color indexed="81"/>
            <rFont val="Lucida Console"/>
            <family val="3"/>
          </rPr>
          <t>_x000D_
129962</t>
        </r>
      </text>
    </comment>
    <comment ref="B363" authorId="0" shapeId="0" xr:uid="{55067B52-E9CC-442D-9EE1-3B7E1EE8A69A}">
      <text>
        <r>
          <rPr>
            <sz val="10"/>
            <color indexed="81"/>
            <rFont val="Lucida Console"/>
            <family val="3"/>
          </rPr>
          <t>DESCRIÇÃO DETALHADA_x000D_
DISJUNTOR TRIPOLAR IN 300 A, TENSAO MINIMA DE OPERACAO 220V, CURVA C, NBR 60947-2 - CATEGORIA A</t>
        </r>
      </text>
    </comment>
    <comment ref="G363" authorId="0" shapeId="0" xr:uid="{96EF3A71-ADFB-4A1E-8152-D4F631DF2022}">
      <text>
        <r>
          <rPr>
            <sz val="10"/>
            <color indexed="81"/>
            <rFont val="Lucida Console"/>
            <family val="3"/>
          </rPr>
          <t>_x000D_
Últ estimativa : 3_x000D_
Enviada em     : 07.08.2018_x000D_
Ata - Venc     : 191/17 - 12.11.2018</t>
        </r>
      </text>
    </comment>
    <comment ref="O363" authorId="0" shapeId="0" xr:uid="{36113396-A16D-4E6A-807A-E12384F0DD77}">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63" authorId="0" shapeId="0" xr:uid="{1CE4F49C-FE0A-4DB2-ADD6-D5FAEB073101}">
      <text>
        <r>
          <rPr>
            <sz val="10"/>
            <color indexed="81"/>
            <rFont val="Lucida Console"/>
            <family val="3"/>
          </rPr>
          <t>_x000D_
DM-Elétrica</t>
        </r>
      </text>
    </comment>
    <comment ref="X363" authorId="0" shapeId="0" xr:uid="{206F76D5-005E-476C-9F2E-EA38FFC848B1}">
      <text>
        <r>
          <rPr>
            <sz val="10"/>
            <color indexed="81"/>
            <rFont val="Lucida Console"/>
            <family val="3"/>
          </rPr>
          <t>_x000D_
EQUIP. MAT. P/ GERACAO, TRANSM. DISTR. RETIF...</t>
        </r>
      </text>
    </comment>
    <comment ref="Y363" authorId="0" shapeId="0" xr:uid="{2D4CB0D4-9656-4F4D-965C-0959CE7C856A}">
      <text>
        <r>
          <rPr>
            <sz val="10"/>
            <color indexed="81"/>
            <rFont val="Lucida Console"/>
            <family val="3"/>
          </rPr>
          <t>_x000D_
DISJUNTORES</t>
        </r>
      </text>
    </comment>
    <comment ref="AW363" authorId="0" shapeId="0" xr:uid="{B599E564-E587-4EEE-B88E-AC761C66AB07}">
      <text>
        <r>
          <rPr>
            <sz val="10"/>
            <color indexed="81"/>
            <rFont val="Lucida Console"/>
            <family val="3"/>
          </rPr>
          <t>Tempo de Estoque (Meses)_x000D_
_x000D_
10,0</t>
        </r>
      </text>
    </comment>
    <comment ref="A364" authorId="0" shapeId="0" xr:uid="{06C41AEE-015D-4D73-8430-68BDE080ACE7}">
      <text>
        <r>
          <rPr>
            <sz val="10"/>
            <color indexed="81"/>
            <rFont val="Lucida Console"/>
            <family val="3"/>
          </rPr>
          <t>_x000D_
12922</t>
        </r>
      </text>
    </comment>
    <comment ref="B364" authorId="0" shapeId="0" xr:uid="{16135919-B6AC-4DB8-A60B-48B424A0D5E2}">
      <text>
        <r>
          <rPr>
            <sz val="10"/>
            <color indexed="81"/>
            <rFont val="Lucida Console"/>
            <family val="3"/>
          </rPr>
          <t>DESCRIÇÃO DETALHADA_x000D_
LUVA DE REDUCAO EM PVC RIGIDO SOLDAVEL MARROM DE 32 X 25 MM - 1" X3/4". A MARCA DEVERA VIR LITOGRAFADA NA PECA.</t>
        </r>
      </text>
    </comment>
    <comment ref="G364" authorId="0" shapeId="0" xr:uid="{44792211-AAFC-4865-8A38-3D1086ABC26B}">
      <text>
        <r>
          <rPr>
            <sz val="10"/>
            <color indexed="81"/>
            <rFont val="Lucida Console"/>
            <family val="3"/>
          </rPr>
          <t>_x000D_
Últ estimativa : 100_x000D_
Enviada em     : 31.07.2019_x000D_
Ata - Venc     : 191/20 - 07.09.2021</t>
        </r>
      </text>
    </comment>
    <comment ref="O364" authorId="0" shapeId="0" xr:uid="{4D4D258D-4D59-4313-9E2D-BB81CAD814E4}">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64" authorId="0" shapeId="0" xr:uid="{67909F48-F5B3-4C95-B2EA-44FE4B688C11}">
      <text>
        <r>
          <rPr>
            <sz val="10"/>
            <color indexed="81"/>
            <rFont val="Lucida Console"/>
            <family val="3"/>
          </rPr>
          <t>_x000D_
DM-Hidráulica</t>
        </r>
      </text>
    </comment>
    <comment ref="X364" authorId="0" shapeId="0" xr:uid="{59DF0BBD-47A0-4FBD-9882-01973C4366B8}">
      <text>
        <r>
          <rPr>
            <sz val="10"/>
            <color indexed="81"/>
            <rFont val="Lucida Console"/>
            <family val="3"/>
          </rPr>
          <t>_x000D_
MATERIAL HIDRAULICO, CANOS, TUBOS, MANGUEIRAS, CONEXOES E ACESS.</t>
        </r>
      </text>
    </comment>
    <comment ref="Y364" authorId="0" shapeId="0" xr:uid="{2C146275-14C2-42C1-8963-7EF462515EE8}">
      <text>
        <r>
          <rPr>
            <sz val="10"/>
            <color indexed="81"/>
            <rFont val="Lucida Console"/>
            <family val="3"/>
          </rPr>
          <t>_x000D_
ADAP. LUVAS.TES CURVAS COTOVELOS PLUGS FLANGES.....</t>
        </r>
      </text>
    </comment>
    <comment ref="AW364" authorId="0" shapeId="0" xr:uid="{AE4E1B7D-7CAC-4924-8771-6D5AA6400711}">
      <text>
        <r>
          <rPr>
            <sz val="10"/>
            <color indexed="81"/>
            <rFont val="Lucida Console"/>
            <family val="3"/>
          </rPr>
          <t>Tempo de Estoque (Meses)_x000D_
_x000D_
151,0</t>
        </r>
      </text>
    </comment>
    <comment ref="A365" authorId="0" shapeId="0" xr:uid="{D681900D-95AC-44BD-8671-F47D71388FEB}">
      <text>
        <r>
          <rPr>
            <sz val="10"/>
            <color indexed="81"/>
            <rFont val="Lucida Console"/>
            <family val="3"/>
          </rPr>
          <t>_x000D_
60830</t>
        </r>
      </text>
    </comment>
    <comment ref="B365" authorId="0" shapeId="0" xr:uid="{8B888ECA-F387-4A5F-9DE4-87F13A8FD601}">
      <text>
        <r>
          <rPr>
            <sz val="10"/>
            <color indexed="81"/>
            <rFont val="Lucida Console"/>
            <family val="3"/>
          </rPr>
          <t>DESCRIÇÃO DETALHADA_x000D_
UNIAO PARA TUBO DE POLIETILENO - 3/4"</t>
        </r>
      </text>
    </comment>
    <comment ref="G365" authorId="0" shapeId="0" xr:uid="{D0F4BAE0-AA99-4E6E-B384-02E8CFBDDF71}">
      <text>
        <r>
          <rPr>
            <sz val="10"/>
            <color indexed="81"/>
            <rFont val="Lucida Console"/>
            <family val="3"/>
          </rPr>
          <t>_x000D_
Últ estimativa : 50_x000D_
Enviada em     : 25.09.2019_x000D_
Ata - Venc     : 191/20 - 07.09.2021</t>
        </r>
      </text>
    </comment>
    <comment ref="O365" authorId="0" shapeId="0" xr:uid="{F0153A70-3DAA-4CC4-8177-E4CD51DD0131}">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65" authorId="0" shapeId="0" xr:uid="{BC966EE1-F6E9-46DA-9885-0B43DC1285C0}">
      <text>
        <r>
          <rPr>
            <sz val="10"/>
            <color indexed="81"/>
            <rFont val="Lucida Console"/>
            <family val="3"/>
          </rPr>
          <t>_x000D_
DM-Hidráulica</t>
        </r>
      </text>
    </comment>
    <comment ref="X365" authorId="0" shapeId="0" xr:uid="{F87E646A-C092-4DB8-8EBE-5FD1FE6E4CB8}">
      <text>
        <r>
          <rPr>
            <sz val="10"/>
            <color indexed="81"/>
            <rFont val="Lucida Console"/>
            <family val="3"/>
          </rPr>
          <t>_x000D_
MATERIAL HIDRAULICO, CANOS, TUBOS, MANGUEIRAS, CONEXOES E ACESS.</t>
        </r>
      </text>
    </comment>
    <comment ref="Y365" authorId="0" shapeId="0" xr:uid="{F74D9F1E-EB6E-43C7-A2DD-472AC0CACC8F}">
      <text>
        <r>
          <rPr>
            <sz val="10"/>
            <color indexed="81"/>
            <rFont val="Lucida Console"/>
            <family val="3"/>
          </rPr>
          <t>_x000D_
ADAP. LUVAS.TES CURVAS COTOVELOS PLUGS FLANGES.....</t>
        </r>
      </text>
    </comment>
    <comment ref="AW365" authorId="0" shapeId="0" xr:uid="{239F79B9-D9FF-4CE2-82B9-4317ACC35E49}">
      <text>
        <r>
          <rPr>
            <sz val="10"/>
            <color indexed="81"/>
            <rFont val="Lucida Console"/>
            <family val="3"/>
          </rPr>
          <t>Tempo de Estoque (Meses)_x000D_
_x000D_
78,0</t>
        </r>
      </text>
    </comment>
    <comment ref="A366" authorId="0" shapeId="0" xr:uid="{01FDCD9A-8C4E-4366-AE1E-A9E8D515E9E5}">
      <text>
        <r>
          <rPr>
            <sz val="10"/>
            <color indexed="81"/>
            <rFont val="Lucida Console"/>
            <family val="3"/>
          </rPr>
          <t>_x000D_
61200</t>
        </r>
      </text>
    </comment>
    <comment ref="B366" authorId="0" shapeId="0" xr:uid="{6D2DA351-F806-4312-99B6-74ECE357AB47}">
      <text>
        <r>
          <rPr>
            <sz val="10"/>
            <color indexed="81"/>
            <rFont val="Lucida Console"/>
            <family val="3"/>
          </rPr>
          <t xml:space="preserve">DESCRIÇÃO DETALHADA_x000D_
TE EM PVC RIGIDO SOLDAVEL ROSCA AZUL - 3/4", DE ACORDO COM A NORMA NBR 5648 E A MARCA DEVERA VIR LITOGRAFADA NA PECA   </t>
        </r>
      </text>
    </comment>
    <comment ref="G366" authorId="0" shapeId="0" xr:uid="{89CF8165-4729-44EB-9EDB-8A36BC8A05D8}">
      <text>
        <r>
          <rPr>
            <sz val="10"/>
            <color indexed="81"/>
            <rFont val="Lucida Console"/>
            <family val="3"/>
          </rPr>
          <t>_x000D_
Últ estimativa : 250_x000D_
Enviada em     : 31.07.2019_x000D_
Ata - Venc     : 191/20 - 07.09.2021</t>
        </r>
      </text>
    </comment>
    <comment ref="O366" authorId="0" shapeId="0" xr:uid="{549FC37B-E748-4AFB-ABF3-5F108D3BB96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66" authorId="0" shapeId="0" xr:uid="{99D24B57-55E0-499B-AEE7-55D701261EFB}">
      <text>
        <r>
          <rPr>
            <sz val="10"/>
            <color indexed="81"/>
            <rFont val="Lucida Console"/>
            <family val="3"/>
          </rPr>
          <t>_x000D_
DM-Hidráulica</t>
        </r>
      </text>
    </comment>
    <comment ref="X366" authorId="0" shapeId="0" xr:uid="{A8E599CF-F3ED-471D-8EA6-C950609FF117}">
      <text>
        <r>
          <rPr>
            <sz val="10"/>
            <color indexed="81"/>
            <rFont val="Lucida Console"/>
            <family val="3"/>
          </rPr>
          <t>_x000D_
MATERIAL HIDRAULICO, CANOS, TUBOS, MANGUEIRAS, CONEXOES E ACESS.</t>
        </r>
      </text>
    </comment>
    <comment ref="Y366" authorId="0" shapeId="0" xr:uid="{88089750-597A-4226-81D0-9787D74E4E45}">
      <text>
        <r>
          <rPr>
            <sz val="10"/>
            <color indexed="81"/>
            <rFont val="Lucida Console"/>
            <family val="3"/>
          </rPr>
          <t>_x000D_
ADAP. LUVAS.TES CURVAS COTOVELOS PLUGS FLANGES.....</t>
        </r>
      </text>
    </comment>
    <comment ref="AW366" authorId="0" shapeId="0" xr:uid="{F25077BF-EEF4-43C3-8985-38AF87542A49}">
      <text>
        <r>
          <rPr>
            <sz val="10"/>
            <color indexed="81"/>
            <rFont val="Lucida Console"/>
            <family val="3"/>
          </rPr>
          <t>Tempo de Estoque (Meses)_x000D_
_x000D_
69,0</t>
        </r>
      </text>
    </comment>
    <comment ref="A367" authorId="0" shapeId="0" xr:uid="{CBA4C2EC-A9C9-47BD-A487-6760D24FD00B}">
      <text>
        <r>
          <rPr>
            <sz val="10"/>
            <color indexed="81"/>
            <rFont val="Lucida Console"/>
            <family val="3"/>
          </rPr>
          <t>_x000D_
74976</t>
        </r>
      </text>
    </comment>
    <comment ref="B367" authorId="0" shapeId="0" xr:uid="{4977115D-7366-4C89-AFC8-0BD6DFE63F95}">
      <text>
        <r>
          <rPr>
            <sz val="10"/>
            <color indexed="81"/>
            <rFont val="Lucida Console"/>
            <family val="3"/>
          </rPr>
          <t>DESCRIÇÃO DETALHADA_x000D_
LUVA DESLIZANTE EM PVC COM ANEL - MARROM - 3/4"</t>
        </r>
      </text>
    </comment>
    <comment ref="G367" authorId="0" shapeId="0" xr:uid="{CAD1F7DF-8DC3-414D-B563-60C5A5420AC0}">
      <text>
        <r>
          <rPr>
            <sz val="10"/>
            <color indexed="81"/>
            <rFont val="Lucida Console"/>
            <family val="3"/>
          </rPr>
          <t>_x000D_
Últ estimativa : 400_x000D_
Enviada em     : 25.09.2019_x000D_
Ata - Venc     : 191/20 - 07.09.2021</t>
        </r>
      </text>
    </comment>
    <comment ref="O367" authorId="0" shapeId="0" xr:uid="{2993B338-1E68-4F69-80D0-B911E140C70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67" authorId="0" shapeId="0" xr:uid="{80024D79-8A32-4B31-B2A8-E27706D25048}">
      <text>
        <r>
          <rPr>
            <sz val="10"/>
            <color indexed="81"/>
            <rFont val="Lucida Console"/>
            <family val="3"/>
          </rPr>
          <t>_x000D_
DM-Hidráulica</t>
        </r>
      </text>
    </comment>
    <comment ref="X367" authorId="0" shapeId="0" xr:uid="{2A72A3AB-5A65-4598-97D2-60FD1451EF8B}">
      <text>
        <r>
          <rPr>
            <sz val="10"/>
            <color indexed="81"/>
            <rFont val="Lucida Console"/>
            <family val="3"/>
          </rPr>
          <t>_x000D_
MATERIAL HIDRAULICO, CANOS, TUBOS, MANGUEIRAS, CONEXOES E ACESS.</t>
        </r>
      </text>
    </comment>
    <comment ref="Y367" authorId="0" shapeId="0" xr:uid="{9B4A0F5C-11A4-4953-9C6F-48C909E13592}">
      <text>
        <r>
          <rPr>
            <sz val="10"/>
            <color indexed="81"/>
            <rFont val="Lucida Console"/>
            <family val="3"/>
          </rPr>
          <t>_x000D_
ADAP. LUVAS.TES CURVAS COTOVELOS PLUGS FLANGES.....</t>
        </r>
      </text>
    </comment>
    <comment ref="AW367" authorId="0" shapeId="0" xr:uid="{CF5C22BB-C5D3-49B4-B939-1F2D9C362AC3}">
      <text>
        <r>
          <rPr>
            <sz val="10"/>
            <color indexed="81"/>
            <rFont val="Lucida Console"/>
            <family val="3"/>
          </rPr>
          <t>Tempo de Estoque (Meses)_x000D_
_x000D_
476,0</t>
        </r>
      </text>
    </comment>
    <comment ref="A368" authorId="0" shapeId="0" xr:uid="{1E10C48C-855D-47D0-BDA4-658D4650B862}">
      <text>
        <r>
          <rPr>
            <sz val="10"/>
            <color indexed="81"/>
            <rFont val="Lucida Console"/>
            <family val="3"/>
          </rPr>
          <t>_x000D_
107401</t>
        </r>
      </text>
    </comment>
    <comment ref="B368" authorId="0" shapeId="0" xr:uid="{27E5AA6A-DD30-4278-851E-4DEDAC5B2A1F}">
      <text>
        <r>
          <rPr>
            <sz val="10"/>
            <color indexed="81"/>
            <rFont val="Lucida Console"/>
            <family val="3"/>
          </rPr>
          <t>DESCRIÇÃO DETALHADA_x000D_
BUCHA DE REDUCAO EM PVC RIGIDO SOLDAVEL DE 4" X 2" - ESGOTO".</t>
        </r>
      </text>
    </comment>
    <comment ref="G368" authorId="0" shapeId="0" xr:uid="{DFA70FAB-EECA-4F23-8C25-ACBD1857C169}">
      <text>
        <r>
          <rPr>
            <sz val="10"/>
            <color indexed="81"/>
            <rFont val="Lucida Console"/>
            <family val="3"/>
          </rPr>
          <t>_x000D_
Últ estimativa : 80_x000D_
Enviada em     : 31.07.2019_x000D_
Ata - Venc     : 191/20 - 07.09.2021</t>
        </r>
      </text>
    </comment>
    <comment ref="O368" authorId="0" shapeId="0" xr:uid="{E8CCAC10-C2C0-4D57-BFDE-0F95F2FB4076}">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68" authorId="0" shapeId="0" xr:uid="{8D51D3CA-5E4E-4B6A-B16B-44F8255C3278}">
      <text>
        <r>
          <rPr>
            <sz val="10"/>
            <color indexed="81"/>
            <rFont val="Lucida Console"/>
            <family val="3"/>
          </rPr>
          <t>_x000D_
DM-Hidráulica</t>
        </r>
      </text>
    </comment>
    <comment ref="X368" authorId="0" shapeId="0" xr:uid="{7B453AC8-21E1-4EC6-8C08-78146308E2E3}">
      <text>
        <r>
          <rPr>
            <sz val="10"/>
            <color indexed="81"/>
            <rFont val="Lucida Console"/>
            <family val="3"/>
          </rPr>
          <t>_x000D_
MATERIAL HIDRAULICO, CANOS, TUBOS, MANGUEIRAS, CONEXOES E ACESS.</t>
        </r>
      </text>
    </comment>
    <comment ref="Y368" authorId="0" shapeId="0" xr:uid="{57CDA71F-0EF5-4E35-819C-F821DB5FDA9B}">
      <text>
        <r>
          <rPr>
            <sz val="10"/>
            <color indexed="81"/>
            <rFont val="Lucida Console"/>
            <family val="3"/>
          </rPr>
          <t>_x000D_
ADAP. LUVAS.TES CURVAS COTOVELOS PLUGS FLANGES.....</t>
        </r>
      </text>
    </comment>
    <comment ref="AW368" authorId="0" shapeId="0" xr:uid="{C1DA283E-011E-4F2A-8C95-F5F38CB9E52B}">
      <text>
        <r>
          <rPr>
            <sz val="10"/>
            <color indexed="81"/>
            <rFont val="Lucida Console"/>
            <family val="3"/>
          </rPr>
          <t>Tempo de Estoque (Meses)_x000D_
_x000D_
201,0</t>
        </r>
      </text>
    </comment>
    <comment ref="A369" authorId="0" shapeId="0" xr:uid="{35AF6F21-046C-443E-A22A-02312FEF9D05}">
      <text>
        <r>
          <rPr>
            <sz val="10"/>
            <color indexed="81"/>
            <rFont val="Lucida Console"/>
            <family val="3"/>
          </rPr>
          <t>_x000D_
135299</t>
        </r>
      </text>
    </comment>
    <comment ref="B369" authorId="0" shapeId="0" xr:uid="{B82BCFFA-39FB-4AC6-9775-4AB6EFB96E87}">
      <text>
        <r>
          <rPr>
            <sz val="10"/>
            <color indexed="81"/>
            <rFont val="Lucida Console"/>
            <family val="3"/>
          </rPr>
          <t>DESCRIÇÃO DETALHADA_x000D_
COTOVELO 45° DE PVC MARROM  - 1" PARA AGUA, DE ACORDO COM A NORMA NBR 5648. TODAS AS INFORMACOES DEVERAO ESTAR LITOGRAFADAS NA PECA.</t>
        </r>
      </text>
    </comment>
    <comment ref="G369" authorId="0" shapeId="0" xr:uid="{D76F3A8C-5792-4C6C-A8A4-EB6E3F5A0DFF}">
      <text>
        <r>
          <rPr>
            <sz val="10"/>
            <color indexed="81"/>
            <rFont val="Lucida Console"/>
            <family val="3"/>
          </rPr>
          <t>_x000D_
Últ estimativa : 50_x000D_
Enviada em     : 31.07.2019_x000D_
Ata - Venc     : 191/20 - 07.09.2021</t>
        </r>
      </text>
    </comment>
    <comment ref="O369" authorId="0" shapeId="0" xr:uid="{908FADBE-F4EB-4AC1-87D1-EE4C2646F65E}">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69" authorId="0" shapeId="0" xr:uid="{892FF9C9-7D2C-428D-9A19-4A81B3250285}">
      <text>
        <r>
          <rPr>
            <sz val="10"/>
            <color indexed="81"/>
            <rFont val="Lucida Console"/>
            <family val="3"/>
          </rPr>
          <t>_x000D_
DM-Hidráulica</t>
        </r>
      </text>
    </comment>
    <comment ref="X369" authorId="0" shapeId="0" xr:uid="{C9097B42-1B54-49C8-9F66-7C10A9FCDFB7}">
      <text>
        <r>
          <rPr>
            <sz val="10"/>
            <color indexed="81"/>
            <rFont val="Lucida Console"/>
            <family val="3"/>
          </rPr>
          <t>_x000D_
MATERIAL HIDRAULICO, CANOS, TUBOS, MANGUEIRAS, CONEXOES E ACESS.</t>
        </r>
      </text>
    </comment>
    <comment ref="Y369" authorId="0" shapeId="0" xr:uid="{3EC90477-6F4B-46A1-BDC2-197B153717F1}">
      <text>
        <r>
          <rPr>
            <sz val="10"/>
            <color indexed="81"/>
            <rFont val="Lucida Console"/>
            <family val="3"/>
          </rPr>
          <t>_x000D_
ADAP. LUVAS.TES CURVAS COTOVELOS PLUGS FLANGES.....</t>
        </r>
      </text>
    </comment>
    <comment ref="AW369" authorId="0" shapeId="0" xr:uid="{3C390988-31A2-447D-9E24-8768FD888987}">
      <text>
        <r>
          <rPr>
            <sz val="10"/>
            <color indexed="81"/>
            <rFont val="Lucida Console"/>
            <family val="3"/>
          </rPr>
          <t>Tempo de Estoque (Meses)_x000D_
_x000D_
45,0</t>
        </r>
      </text>
    </comment>
    <comment ref="A370" authorId="0" shapeId="0" xr:uid="{C2D32327-2BD3-45DD-B0D7-5AD93589E503}">
      <text>
        <r>
          <rPr>
            <sz val="10"/>
            <color indexed="81"/>
            <rFont val="Lucida Console"/>
            <family val="3"/>
          </rPr>
          <t>_x000D_
135304</t>
        </r>
      </text>
    </comment>
    <comment ref="B370" authorId="0" shapeId="0" xr:uid="{CE8F7FFE-30D1-40C4-B6D9-0DFF41F60AD9}">
      <text>
        <r>
          <rPr>
            <sz val="10"/>
            <color indexed="81"/>
            <rFont val="Lucida Console"/>
            <family val="3"/>
          </rPr>
          <t>DESCRIÇÃO DETALHADA_x000D_
NIPLE DUPLO DE REDUCAO ROSQUEAVEL 3/4 X 1/2 EM LATAO</t>
        </r>
      </text>
    </comment>
    <comment ref="G370" authorId="0" shapeId="0" xr:uid="{D2EE0B59-506F-4923-9220-C449640AA661}">
      <text>
        <r>
          <rPr>
            <sz val="10"/>
            <color indexed="81"/>
            <rFont val="Lucida Console"/>
            <family val="3"/>
          </rPr>
          <t>_x000D_
Últ estimativa : 150_x000D_
Enviada em     : 31.07.2019_x000D_
Ata - Venc     : 191/20 - 07.09.2021</t>
        </r>
      </text>
    </comment>
    <comment ref="O370" authorId="0" shapeId="0" xr:uid="{BF5C767D-13BA-4309-A91B-A2970861D69C}">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70" authorId="0" shapeId="0" xr:uid="{81D06E0E-17AF-44DB-96EA-8D8CE07FCAF1}">
      <text>
        <r>
          <rPr>
            <sz val="10"/>
            <color indexed="81"/>
            <rFont val="Lucida Console"/>
            <family val="3"/>
          </rPr>
          <t>_x000D_
DM-Hidráulica</t>
        </r>
      </text>
    </comment>
    <comment ref="X370" authorId="0" shapeId="0" xr:uid="{722D811B-BE0B-41E5-9C5E-937EB82AB35E}">
      <text>
        <r>
          <rPr>
            <sz val="10"/>
            <color indexed="81"/>
            <rFont val="Lucida Console"/>
            <family val="3"/>
          </rPr>
          <t>_x000D_
MATERIAL HIDRAULICO, CANOS, TUBOS, MANGUEIRAS, CONEXOES E ACESS.</t>
        </r>
      </text>
    </comment>
    <comment ref="Y370" authorId="0" shapeId="0" xr:uid="{2EB1698B-FA47-401D-880E-7C468977649D}">
      <text>
        <r>
          <rPr>
            <sz val="10"/>
            <color indexed="81"/>
            <rFont val="Lucida Console"/>
            <family val="3"/>
          </rPr>
          <t>_x000D_
ADAP. LUVAS.TES CURVAS COTOVELOS PLUGS FLANGES.....</t>
        </r>
      </text>
    </comment>
    <comment ref="AW370" authorId="0" shapeId="0" xr:uid="{F6F6C7C7-1AB9-4E90-AF4F-9728000B8F16}">
      <text>
        <r>
          <rPr>
            <sz val="10"/>
            <color indexed="81"/>
            <rFont val="Lucida Console"/>
            <family val="3"/>
          </rPr>
          <t>Tempo de Estoque (Meses)_x000D_
_x000D_
772,0</t>
        </r>
      </text>
    </comment>
    <comment ref="A371" authorId="0" shapeId="0" xr:uid="{56E9281D-4C18-4C7B-93D5-F48C4B1560EC}">
      <text>
        <r>
          <rPr>
            <sz val="10"/>
            <color indexed="81"/>
            <rFont val="Lucida Console"/>
            <family val="3"/>
          </rPr>
          <t>_x000D_
138054</t>
        </r>
      </text>
    </comment>
    <comment ref="B371" authorId="0" shapeId="0" xr:uid="{98B63711-59A7-4528-B948-1A8C0356157A}">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71" authorId="0" shapeId="0" xr:uid="{1014F3A7-EF08-4B94-886A-D87009DB0919}">
      <text>
        <r>
          <rPr>
            <sz val="10"/>
            <color indexed="81"/>
            <rFont val="Lucida Console"/>
            <family val="3"/>
          </rPr>
          <t>_x000D_
Últ estimativa : 150_x000D_
Enviada em     : 31.07.2019_x000D_
Ata - Venc     : 191/20 - 07.09.2021</t>
        </r>
      </text>
    </comment>
    <comment ref="O371" authorId="0" shapeId="0" xr:uid="{A24AC5B0-91B7-43D3-9D39-00556F38373C}">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71" authorId="0" shapeId="0" xr:uid="{F91C1888-2CF3-4E65-818B-26A22D340DC7}">
      <text>
        <r>
          <rPr>
            <sz val="10"/>
            <color indexed="81"/>
            <rFont val="Lucida Console"/>
            <family val="3"/>
          </rPr>
          <t>_x000D_
DM-Hidráulica</t>
        </r>
      </text>
    </comment>
    <comment ref="X371" authorId="0" shapeId="0" xr:uid="{D08BA87A-1C13-4A61-AD41-77D1141FB177}">
      <text>
        <r>
          <rPr>
            <sz val="10"/>
            <color indexed="81"/>
            <rFont val="Lucida Console"/>
            <family val="3"/>
          </rPr>
          <t>_x000D_
MATERIAL HIDRAULICO, CANOS, TUBOS, MANGUEIRAS, CONEXOES E ACESS.</t>
        </r>
      </text>
    </comment>
    <comment ref="Y371" authorId="0" shapeId="0" xr:uid="{317A0774-AE6F-4D8A-B184-6ECD2BD8E55B}">
      <text>
        <r>
          <rPr>
            <sz val="10"/>
            <color indexed="81"/>
            <rFont val="Lucida Console"/>
            <family val="3"/>
          </rPr>
          <t>_x000D_
ARTEF. COMPLEM. P/ PIAS, BIDES, MICTORIOS, BOXES, BEBED.</t>
        </r>
      </text>
    </comment>
    <comment ref="AW371" authorId="0" shapeId="0" xr:uid="{9D6303DA-A938-4D07-9F83-01BA88EA1B56}">
      <text>
        <r>
          <rPr>
            <sz val="10"/>
            <color indexed="81"/>
            <rFont val="Lucida Console"/>
            <family val="3"/>
          </rPr>
          <t>Tempo de Estoque (Meses)_x000D_
_x000D_
119,0</t>
        </r>
      </text>
    </comment>
    <comment ref="A372" authorId="0" shapeId="0" xr:uid="{A9F398CC-AB90-481D-865D-23348A796486}">
      <text>
        <r>
          <rPr>
            <sz val="10"/>
            <color indexed="81"/>
            <rFont val="Lucida Console"/>
            <family val="3"/>
          </rPr>
          <t>_x000D_
17422</t>
        </r>
      </text>
    </comment>
    <comment ref="B372" authorId="0" shapeId="0" xr:uid="{9463C11C-1EBE-4ADD-A879-01A1C6F785C5}">
      <text>
        <r>
          <rPr>
            <sz val="10"/>
            <color indexed="81"/>
            <rFont val="Lucida Console"/>
            <family val="3"/>
          </rPr>
          <t>DESCRIÇÃO DETALHADA_x000D_
CAIXA SIFONADA REDONDA EM PVC RIGIDO DE 100 X 150 X 50 MM (4" X 6" X 2")</t>
        </r>
      </text>
    </comment>
    <comment ref="G372" authorId="0" shapeId="0" xr:uid="{5E81800F-7DC4-4494-8AB5-6337413030B6}">
      <text>
        <r>
          <rPr>
            <sz val="10"/>
            <color indexed="81"/>
            <rFont val="Lucida Console"/>
            <family val="3"/>
          </rPr>
          <t>_x000D_
Últ estimativa : 40_x000D_
Enviada em     : 31.07.2019_x000D_
Ata - Venc     : 191/20 - 07.09.2021</t>
        </r>
      </text>
    </comment>
    <comment ref="O372" authorId="0" shapeId="0" xr:uid="{8CCF2979-82F6-4DF9-B35F-41FF10334241}">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72" authorId="0" shapeId="0" xr:uid="{4649B6BB-420A-4484-B090-97F4D0B8BF0D}">
      <text>
        <r>
          <rPr>
            <sz val="10"/>
            <color indexed="81"/>
            <rFont val="Lucida Console"/>
            <family val="3"/>
          </rPr>
          <t>_x000D_
DM-Hidráulica</t>
        </r>
      </text>
    </comment>
    <comment ref="X372" authorId="0" shapeId="0" xr:uid="{50776759-FC62-4492-BB8B-D48FD6CC8049}">
      <text>
        <r>
          <rPr>
            <sz val="10"/>
            <color indexed="81"/>
            <rFont val="Lucida Console"/>
            <family val="3"/>
          </rPr>
          <t>_x000D_
MATERIAL HIDRAULICO, CANOS, TUBOS, MANGUEIRAS, CONEXOES E ACESS.</t>
        </r>
      </text>
    </comment>
    <comment ref="Y372" authorId="0" shapeId="0" xr:uid="{96068DC9-FFC4-4870-8F70-DFFFB953835C}">
      <text>
        <r>
          <rPr>
            <sz val="10"/>
            <color indexed="81"/>
            <rFont val="Lucida Console"/>
            <family val="3"/>
          </rPr>
          <t>_x000D_
RALOS SIFOES E CAIXAS</t>
        </r>
      </text>
    </comment>
    <comment ref="AW372" authorId="0" shapeId="0" xr:uid="{83DB5FB0-7B07-4ED0-BAF1-F81946711514}">
      <text>
        <r>
          <rPr>
            <sz val="10"/>
            <color indexed="81"/>
            <rFont val="Lucida Console"/>
            <family val="3"/>
          </rPr>
          <t>Tempo de Estoque (Meses)_x000D_
_x000D_
57,0</t>
        </r>
      </text>
    </comment>
    <comment ref="A373" authorId="0" shapeId="0" xr:uid="{85E792D4-DC35-49B4-91AB-E74DA4F0916C}">
      <text>
        <r>
          <rPr>
            <sz val="10"/>
            <color indexed="81"/>
            <rFont val="Lucida Console"/>
            <family val="3"/>
          </rPr>
          <t>_x000D_
17426</t>
        </r>
      </text>
    </comment>
    <comment ref="B373" authorId="0" shapeId="0" xr:uid="{9D7B164D-FE37-428E-9AE5-30D29AD12B8B}">
      <text>
        <r>
          <rPr>
            <sz val="10"/>
            <color indexed="81"/>
            <rFont val="Lucida Console"/>
            <family val="3"/>
          </rPr>
          <t>DESCRIÇÃO DETALHADA_x000D_
CAIXA DE DESCARGA COM CORPO PLASTICO (ACOMPANHA ENGATE ECONJUNTO DE FIXACAO) C/ TUBO DE DESCIDA</t>
        </r>
      </text>
    </comment>
    <comment ref="G373" authorId="0" shapeId="0" xr:uid="{ABA6C9BC-B917-45B5-A9EE-BE0CF22F58F4}">
      <text>
        <r>
          <rPr>
            <sz val="10"/>
            <color indexed="81"/>
            <rFont val="Lucida Console"/>
            <family val="3"/>
          </rPr>
          <t>_x000D_
Últ estimativa : 20_x000D_
Enviada em     : 31.07.2019_x000D_
Ata - Venc     : 191/20 - 07.09.2021</t>
        </r>
      </text>
    </comment>
    <comment ref="O373" authorId="0" shapeId="0" xr:uid="{DC68476D-40A2-47F3-92F5-07C1BD94BBC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73" authorId="0" shapeId="0" xr:uid="{D9E7A585-6E46-4912-9C9C-FED84A0994FC}">
      <text>
        <r>
          <rPr>
            <sz val="10"/>
            <color indexed="81"/>
            <rFont val="Lucida Console"/>
            <family val="3"/>
          </rPr>
          <t>_x000D_
DM-Hidráulica</t>
        </r>
      </text>
    </comment>
    <comment ref="X373" authorId="0" shapeId="0" xr:uid="{A1DDFF05-10F6-4314-8EA0-0BEE3E2DB750}">
      <text>
        <r>
          <rPr>
            <sz val="10"/>
            <color indexed="81"/>
            <rFont val="Lucida Console"/>
            <family val="3"/>
          </rPr>
          <t>_x000D_
MATERIAL HIDRAULICO, CANOS, TUBOS, MANGUEIRAS, CONEXOES E ACESS.</t>
        </r>
      </text>
    </comment>
    <comment ref="Y373" authorId="0" shapeId="0" xr:uid="{C848B1AF-A0A6-4D85-93E5-FAD7E9FE5E4C}">
      <text>
        <r>
          <rPr>
            <sz val="10"/>
            <color indexed="81"/>
            <rFont val="Lucida Console"/>
            <family val="3"/>
          </rPr>
          <t>_x000D_
RALOS SIFOES E CAIXAS</t>
        </r>
      </text>
    </comment>
    <comment ref="AW373" authorId="0" shapeId="0" xr:uid="{E150FA06-62AA-4418-8186-EE5BAAA4E57B}">
      <text>
        <r>
          <rPr>
            <sz val="10"/>
            <color indexed="81"/>
            <rFont val="Lucida Console"/>
            <family val="3"/>
          </rPr>
          <t>Tempo de Estoque (Meses)_x000D_
_x000D_
13,0</t>
        </r>
      </text>
    </comment>
    <comment ref="A374" authorId="0" shapeId="0" xr:uid="{0920A661-17C2-4A09-9A2E-996462051867}">
      <text>
        <r>
          <rPr>
            <sz val="10"/>
            <color indexed="81"/>
            <rFont val="Lucida Console"/>
            <family val="3"/>
          </rPr>
          <t>_x000D_
133819</t>
        </r>
      </text>
    </comment>
    <comment ref="B374" authorId="0" shapeId="0" xr:uid="{B725639F-0C43-4AA1-B6CE-739EB1AE8DE8}">
      <text>
        <r>
          <rPr>
            <sz val="10"/>
            <color indexed="81"/>
            <rFont val="Lucida Console"/>
            <family val="3"/>
          </rPr>
          <t>DESCRIÇÃO DETALHADA_x000D_
ESPUDE BRANCO DE BORRACHA DE 1.1/2" PARA BACIAS CONVENCIONAIS DE 2"</t>
        </r>
      </text>
    </comment>
    <comment ref="G374" authorId="0" shapeId="0" xr:uid="{6AA88A34-4EAC-485E-81D9-0AFD147B5D38}">
      <text>
        <r>
          <rPr>
            <sz val="10"/>
            <color indexed="81"/>
            <rFont val="Lucida Console"/>
            <family val="3"/>
          </rPr>
          <t>_x000D_
Últ estimativa : 0_x000D_
Enviada em     : 31.07.2019_x000D_
Ata - Venc     : 191/20 - 07.09.2021</t>
        </r>
      </text>
    </comment>
    <comment ref="O374" authorId="0" shapeId="0" xr:uid="{DF7759B0-2D10-4F82-B358-439D4A001A78}">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74" authorId="0" shapeId="0" xr:uid="{CF475E9E-60C1-45FD-B728-AA0DBE12CF4A}">
      <text>
        <r>
          <rPr>
            <sz val="10"/>
            <color indexed="81"/>
            <rFont val="Lucida Console"/>
            <family val="3"/>
          </rPr>
          <t>_x000D_
DM-Hidráulica</t>
        </r>
      </text>
    </comment>
    <comment ref="X374" authorId="0" shapeId="0" xr:uid="{4977A500-F8C1-43EB-B2BD-3CFF70A29806}">
      <text>
        <r>
          <rPr>
            <sz val="10"/>
            <color indexed="81"/>
            <rFont val="Lucida Console"/>
            <family val="3"/>
          </rPr>
          <t>_x000D_
MATERIAL HIDRAULICO, CANOS, TUBOS, MANGUEIRAS, CONEXOES E ACESS.</t>
        </r>
      </text>
    </comment>
    <comment ref="Y374" authorId="0" shapeId="0" xr:uid="{AA99F78B-1E8C-4A21-8700-09F060F5FC9B}">
      <text>
        <r>
          <rPr>
            <sz val="10"/>
            <color indexed="81"/>
            <rFont val="Lucida Console"/>
            <family val="3"/>
          </rPr>
          <t>_x000D_
RALOS SIFOES E CAIXAS</t>
        </r>
      </text>
    </comment>
    <comment ref="AW374" authorId="0" shapeId="0" xr:uid="{B8F283DD-6C97-4CAD-8EF8-81D32628DB7F}">
      <text>
        <r>
          <rPr>
            <sz val="10"/>
            <color indexed="81"/>
            <rFont val="Lucida Console"/>
            <family val="3"/>
          </rPr>
          <t>Tempo de Estoque (Meses)_x000D_
_x000D_
528,0</t>
        </r>
      </text>
    </comment>
    <comment ref="A375" authorId="0" shapeId="0" xr:uid="{73750FF7-C8EC-4CB3-A6EA-D438E6A4AD34}">
      <text>
        <r>
          <rPr>
            <sz val="10"/>
            <color indexed="81"/>
            <rFont val="Lucida Console"/>
            <family val="3"/>
          </rPr>
          <t>_x000D_
103142</t>
        </r>
      </text>
    </comment>
    <comment ref="B375" authorId="0" shapeId="0" xr:uid="{3A3216C3-6DF7-46AB-B259-3ABF6EB0DCB1}">
      <text>
        <r>
          <rPr>
            <sz val="10"/>
            <color indexed="81"/>
            <rFont val="Lucida Console"/>
            <family val="3"/>
          </rPr>
          <t>DESCRIÇÃO DETALHADA_x000D_
CAIXA D'AGUA EM POLIETILENO, COM TAMPA - CAPACIDADE 1.000 LITROS</t>
        </r>
      </text>
    </comment>
    <comment ref="G375" authorId="0" shapeId="0" xr:uid="{10FB8E7E-3ED6-4BDE-93E2-34DA2A17DD92}">
      <text>
        <r>
          <rPr>
            <sz val="10"/>
            <color indexed="81"/>
            <rFont val="Lucida Console"/>
            <family val="3"/>
          </rPr>
          <t>_x000D_
Últ estimativa : 15_x000D_
Enviada em     : 31.07.2019_x000D_
Ata - Venc     : 191/20 - 07.09.2021</t>
        </r>
      </text>
    </comment>
    <comment ref="O375" authorId="0" shapeId="0" xr:uid="{F8EA3E19-B304-4AE8-AF0F-38F8C7A23463}">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75" authorId="0" shapeId="0" xr:uid="{C6CCF234-CAEF-4C5D-A598-BE64E04CAC20}">
      <text>
        <r>
          <rPr>
            <sz val="10"/>
            <color indexed="81"/>
            <rFont val="Lucida Console"/>
            <family val="3"/>
          </rPr>
          <t>_x000D_
DM-Hidráulica</t>
        </r>
      </text>
    </comment>
    <comment ref="X375" authorId="0" shapeId="0" xr:uid="{05320A3E-C065-4BB2-A4DB-F70D28033229}">
      <text>
        <r>
          <rPr>
            <sz val="10"/>
            <color indexed="81"/>
            <rFont val="Lucida Console"/>
            <family val="3"/>
          </rPr>
          <t>_x000D_
MATERIAL HIDRAULICO, CANOS, TUBOS, MANGUEIRAS, CONEXOES E ACESS.</t>
        </r>
      </text>
    </comment>
    <comment ref="Y375" authorId="0" shapeId="0" xr:uid="{BD71F845-86A2-43A4-A79C-416C23725096}">
      <text>
        <r>
          <rPr>
            <sz val="10"/>
            <color indexed="81"/>
            <rFont val="Lucida Console"/>
            <family val="3"/>
          </rPr>
          <t>_x000D_
CAIXA D`AGUA</t>
        </r>
      </text>
    </comment>
    <comment ref="AW375" authorId="0" shapeId="0" xr:uid="{AD6E4AE3-4FB8-4F95-926E-26C3EECE1EA8}">
      <text>
        <r>
          <rPr>
            <sz val="10"/>
            <color indexed="81"/>
            <rFont val="Lucida Console"/>
            <family val="3"/>
          </rPr>
          <t>Tempo de Estoque (Meses)_x000D_
_x000D_
12,0</t>
        </r>
      </text>
    </comment>
    <comment ref="A376" authorId="0" shapeId="0" xr:uid="{352000BD-1880-469C-BBE3-9906024C8A3D}">
      <text>
        <r>
          <rPr>
            <sz val="10"/>
            <color indexed="81"/>
            <rFont val="Lucida Console"/>
            <family val="3"/>
          </rPr>
          <t>_x000D_
134582</t>
        </r>
      </text>
    </comment>
    <comment ref="B376" authorId="0" shapeId="0" xr:uid="{1E90E999-7932-4498-9D5F-B36DFAB12CD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76" authorId="0" shapeId="0" xr:uid="{F344EE83-B6A2-484D-9088-DEF221789D99}">
      <text>
        <r>
          <rPr>
            <sz val="10"/>
            <color indexed="81"/>
            <rFont val="Lucida Console"/>
            <family val="3"/>
          </rPr>
          <t>_x000D_
Últ estimativa : 100_x000D_
Enviada em     : 31.07.2019_x000D_
Ata - Venc     : 191/20 - 07.09.2021</t>
        </r>
      </text>
    </comment>
    <comment ref="O376" authorId="0" shapeId="0" xr:uid="{572F1CA2-CCD1-428C-91C3-DC53BE4FF80F}">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76" authorId="0" shapeId="0" xr:uid="{0E7A546A-D251-4B09-9F7D-438DB66293B4}">
      <text>
        <r>
          <rPr>
            <sz val="10"/>
            <color indexed="81"/>
            <rFont val="Lucida Console"/>
            <family val="3"/>
          </rPr>
          <t>_x000D_
DM-Hidráulica</t>
        </r>
      </text>
    </comment>
    <comment ref="X376" authorId="0" shapeId="0" xr:uid="{FC28AE5D-59D1-417B-B051-27AC47E99F72}">
      <text>
        <r>
          <rPr>
            <sz val="10"/>
            <color indexed="81"/>
            <rFont val="Lucida Console"/>
            <family val="3"/>
          </rPr>
          <t>_x000D_
MATERIAL HIDRAULICO, CANOS, TUBOS, MANGUEIRAS, CONEXOES E ACESS.</t>
        </r>
      </text>
    </comment>
    <comment ref="Y376" authorId="0" shapeId="0" xr:uid="{86EC8903-03FE-403A-A953-5CCD9321BE4B}">
      <text>
        <r>
          <rPr>
            <sz val="10"/>
            <color indexed="81"/>
            <rFont val="Lucida Console"/>
            <family val="3"/>
          </rPr>
          <t>_x000D_
TORNEIRAS VOLANTES CANOPLAS E ACESS. P/ MANGUEIRA</t>
        </r>
      </text>
    </comment>
    <comment ref="AW376" authorId="0" shapeId="0" xr:uid="{BDD2DBCC-9A59-4C2C-8DD3-FE7A6D1C6775}">
      <text>
        <r>
          <rPr>
            <sz val="10"/>
            <color indexed="81"/>
            <rFont val="Lucida Console"/>
            <family val="3"/>
          </rPr>
          <t>Tempo de Estoque (Meses)_x000D_
_x000D_
77,0</t>
        </r>
      </text>
    </comment>
    <comment ref="A377" authorId="0" shapeId="0" xr:uid="{49808429-9859-49CD-9289-93ADA0E67590}">
      <text>
        <r>
          <rPr>
            <sz val="10"/>
            <color indexed="81"/>
            <rFont val="Lucida Console"/>
            <family val="3"/>
          </rPr>
          <t>_x000D_
25756</t>
        </r>
      </text>
    </comment>
    <comment ref="B377" authorId="0" shapeId="0" xr:uid="{3DFDD9E4-70C0-49F0-BFAE-2C51E89D7BA8}">
      <text>
        <r>
          <rPr>
            <sz val="10"/>
            <color indexed="81"/>
            <rFont val="Lucida Console"/>
            <family val="3"/>
          </rPr>
          <t>DESCRIÇÃO DETALHADA_x000D_
REGISTRO DE GAVETA EM LIGA DE COBRE DE 1.1/2" C/ CANOPLA, DE ACORDO COM A NORMA NBR 10072 E A MARCA DEVERA VIR LITOGRAFADA NA PECA</t>
        </r>
      </text>
    </comment>
    <comment ref="G377" authorId="0" shapeId="0" xr:uid="{31C921CA-6D96-4E33-BE65-6C8904E99B57}">
      <text>
        <r>
          <rPr>
            <sz val="10"/>
            <color indexed="81"/>
            <rFont val="Lucida Console"/>
            <family val="3"/>
          </rPr>
          <t>_x000D_
Últ estimativa : 60_x000D_
Enviada em     : 31.07.2019_x000D_
Ata - Venc     : 191/20 - 07.09.2021</t>
        </r>
      </text>
    </comment>
    <comment ref="O377" authorId="0" shapeId="0" xr:uid="{B6DB9961-E99D-462F-97AF-76D590BF60A3}">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77" authorId="0" shapeId="0" xr:uid="{99F6535B-17FC-4496-B024-0325DBA80145}">
      <text>
        <r>
          <rPr>
            <sz val="10"/>
            <color indexed="81"/>
            <rFont val="Lucida Console"/>
            <family val="3"/>
          </rPr>
          <t>_x000D_
DM-Hidráulica</t>
        </r>
      </text>
    </comment>
    <comment ref="X377" authorId="0" shapeId="0" xr:uid="{01A7D475-6620-45DC-8317-C1CDDC5A2E1B}">
      <text>
        <r>
          <rPr>
            <sz val="10"/>
            <color indexed="81"/>
            <rFont val="Lucida Console"/>
            <family val="3"/>
          </rPr>
          <t>_x000D_
MATERIAL HIDRAULICO, CANOS, TUBOS, MANGUEIRAS, CONEXOES E ACESS.</t>
        </r>
      </text>
    </comment>
    <comment ref="Y377" authorId="0" shapeId="0" xr:uid="{A58E1E57-EB35-4BFE-A38E-1A1A1BA0EB32}">
      <text>
        <r>
          <rPr>
            <sz val="10"/>
            <color indexed="81"/>
            <rFont val="Lucida Console"/>
            <family val="3"/>
          </rPr>
          <t>_x000D_
REGISTROS VALVULAS E BOIAS</t>
        </r>
      </text>
    </comment>
    <comment ref="AW377" authorId="0" shapeId="0" xr:uid="{B525AC7E-7742-484D-90B9-3422B3AE6A8F}">
      <text>
        <r>
          <rPr>
            <sz val="10"/>
            <color indexed="81"/>
            <rFont val="Lucida Console"/>
            <family val="3"/>
          </rPr>
          <t>Tempo de Estoque (Meses)_x000D_
_x000D_
116,0</t>
        </r>
      </text>
    </comment>
    <comment ref="A378" authorId="0" shapeId="0" xr:uid="{4ADDD1E5-EC51-43B3-9995-92B853B833BF}">
      <text>
        <r>
          <rPr>
            <sz val="10"/>
            <color indexed="81"/>
            <rFont val="Lucida Console"/>
            <family val="3"/>
          </rPr>
          <t>_x000D_
53849</t>
        </r>
      </text>
    </comment>
    <comment ref="B378" authorId="0" shapeId="0" xr:uid="{27C253EB-334A-460A-9642-3C1E1B12FEB0}">
      <text>
        <r>
          <rPr>
            <sz val="10"/>
            <color indexed="81"/>
            <rFont val="Lucida Console"/>
            <family val="3"/>
          </rPr>
          <t>DESCRIÇÃO DETALHADA_x000D_
REPARO P/ VALVULA DE DESCARGA 1 1/4" (MARCA DOCOL)</t>
        </r>
      </text>
    </comment>
    <comment ref="G378" authorId="0" shapeId="0" xr:uid="{7B0AAC4F-9F25-4229-9BCE-E7D306EDAD5C}">
      <text>
        <r>
          <rPr>
            <sz val="10"/>
            <color indexed="81"/>
            <rFont val="Lucida Console"/>
            <family val="3"/>
          </rPr>
          <t>_x000D_
Últ estimativa : 30_x000D_
Enviada em     : 31.07.2019_x000D_
Ata - Venc     : 191/20 - 07.09.2021</t>
        </r>
      </text>
    </comment>
    <comment ref="O378" authorId="0" shapeId="0" xr:uid="{048F1E30-8A50-4306-BFBD-9F76EE60E718}">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78" authorId="0" shapeId="0" xr:uid="{C909AC3E-2269-45CF-9D4E-60D06D0E862F}">
      <text>
        <r>
          <rPr>
            <sz val="10"/>
            <color indexed="81"/>
            <rFont val="Lucida Console"/>
            <family val="3"/>
          </rPr>
          <t>_x000D_
DM-Hidráulica</t>
        </r>
      </text>
    </comment>
    <comment ref="X378" authorId="0" shapeId="0" xr:uid="{29BF2E48-AF35-4E2A-A0D8-5644C6333D30}">
      <text>
        <r>
          <rPr>
            <sz val="10"/>
            <color indexed="81"/>
            <rFont val="Lucida Console"/>
            <family val="3"/>
          </rPr>
          <t>_x000D_
MATERIAL HIDRAULICO, CANOS, TUBOS, MANGUEIRAS, CONEXOES E ACESS.</t>
        </r>
      </text>
    </comment>
    <comment ref="Y378" authorId="0" shapeId="0" xr:uid="{99D8B7ED-C4AA-496C-B5AE-852484C593A8}">
      <text>
        <r>
          <rPr>
            <sz val="10"/>
            <color indexed="81"/>
            <rFont val="Lucida Console"/>
            <family val="3"/>
          </rPr>
          <t>_x000D_
REGISTROS VALVULAS E BOIAS</t>
        </r>
      </text>
    </comment>
    <comment ref="AW378" authorId="0" shapeId="0" xr:uid="{3FD6869E-D7CF-4390-9CDC-83FB430D398D}">
      <text>
        <r>
          <rPr>
            <sz val="10"/>
            <color indexed="81"/>
            <rFont val="Lucida Console"/>
            <family val="3"/>
          </rPr>
          <t>Tempo de Estoque (Meses)_x000D_
_x000D_
55,0</t>
        </r>
      </text>
    </comment>
    <comment ref="A379" authorId="0" shapeId="0" xr:uid="{CFF89C75-75E6-4C14-8BC6-68AB460F1461}">
      <text>
        <r>
          <rPr>
            <sz val="10"/>
            <color indexed="81"/>
            <rFont val="Lucida Console"/>
            <family val="3"/>
          </rPr>
          <t>_x000D_
113581</t>
        </r>
      </text>
    </comment>
    <comment ref="B379" authorId="0" shapeId="0" xr:uid="{16545D6C-B961-43B5-A700-97C192E60AFF}">
      <text>
        <r>
          <rPr>
            <sz val="10"/>
            <color indexed="81"/>
            <rFont val="Lucida Console"/>
            <family val="3"/>
          </rPr>
          <t>DESCRIÇÃO DETALHADA_x000D_
REGISTRO TIPO ESFERA, MATERIAL PVC, DIAMETRO 3/4"</t>
        </r>
      </text>
    </comment>
    <comment ref="G379" authorId="0" shapeId="0" xr:uid="{5F9F57D6-C8FD-43AB-89D2-1D9E5468BE50}">
      <text>
        <r>
          <rPr>
            <sz val="10"/>
            <color indexed="81"/>
            <rFont val="Lucida Console"/>
            <family val="3"/>
          </rPr>
          <t>_x000D_
Últ estimativa : 450_x000D_
Enviada em     : 31.07.2019_x000D_
Ata - Venc     : 191/20 - 07.09.2021</t>
        </r>
      </text>
    </comment>
    <comment ref="O379" authorId="0" shapeId="0" xr:uid="{42720A9C-2259-45F8-905E-E9C212C6BF27}">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79" authorId="0" shapeId="0" xr:uid="{41F972DD-69BD-4C4B-A3C1-5AAFC464919F}">
      <text>
        <r>
          <rPr>
            <sz val="10"/>
            <color indexed="81"/>
            <rFont val="Lucida Console"/>
            <family val="3"/>
          </rPr>
          <t>_x000D_
DM-Hidráulica</t>
        </r>
      </text>
    </comment>
    <comment ref="X379" authorId="0" shapeId="0" xr:uid="{516581DB-99C7-4B0D-8D4A-BAC6763FB2FA}">
      <text>
        <r>
          <rPr>
            <sz val="10"/>
            <color indexed="81"/>
            <rFont val="Lucida Console"/>
            <family val="3"/>
          </rPr>
          <t>_x000D_
MATERIAL HIDRAULICO, CANOS, TUBOS, MANGUEIRAS, CONEXOES E ACESS.</t>
        </r>
      </text>
    </comment>
    <comment ref="Y379" authorId="0" shapeId="0" xr:uid="{472E369F-6AF3-442B-A143-2CAF346674FF}">
      <text>
        <r>
          <rPr>
            <sz val="10"/>
            <color indexed="81"/>
            <rFont val="Lucida Console"/>
            <family val="3"/>
          </rPr>
          <t>_x000D_
REGISTROS VALVULAS E BOIAS</t>
        </r>
      </text>
    </comment>
    <comment ref="AW379" authorId="0" shapeId="0" xr:uid="{B5CA2FE5-3107-42D8-B832-333D34CC31A9}">
      <text>
        <r>
          <rPr>
            <sz val="10"/>
            <color indexed="81"/>
            <rFont val="Lucida Console"/>
            <family val="3"/>
          </rPr>
          <t>Tempo de Estoque (Meses)_x000D_
_x000D_
909,0</t>
        </r>
      </text>
    </comment>
    <comment ref="A380" authorId="0" shapeId="0" xr:uid="{598D7E27-B84E-4296-A44F-46B712CD71E7}">
      <text>
        <r>
          <rPr>
            <sz val="10"/>
            <color indexed="81"/>
            <rFont val="Lucida Console"/>
            <family val="3"/>
          </rPr>
          <t>_x000D_
28307</t>
        </r>
      </text>
    </comment>
    <comment ref="B380" authorId="0" shapeId="0" xr:uid="{3458FFAD-12BD-48F7-A05C-6E5060AF8877}">
      <text>
        <r>
          <rPr>
            <sz val="10"/>
            <color indexed="81"/>
            <rFont val="Lucida Console"/>
            <family val="3"/>
          </rPr>
          <t>DESCRIÇÃO DETALHADA_x000D_
UNIAO PVC COLA MARROM DE 1.1/4", DE ACORDO COM A NORMA NBR 5648 E A MARCA DEVERA VIR LITOGRAFADA NA PECA</t>
        </r>
      </text>
    </comment>
    <comment ref="G380" authorId="0" shapeId="0" xr:uid="{C9B383E1-ED44-41FE-B362-2E8D914074EB}">
      <text>
        <r>
          <rPr>
            <sz val="10"/>
            <color indexed="81"/>
            <rFont val="Lucida Console"/>
            <family val="3"/>
          </rPr>
          <t>_x000D_
Últ estimativa : 0_x000D_
Enviada em     : 16.03.2020_x000D_
Ata - Venc     : 191/20 - 07.09.2021</t>
        </r>
      </text>
    </comment>
    <comment ref="O380" authorId="0" shapeId="0" xr:uid="{2EA219E8-49F1-4643-AF97-9D1C0CC7D699}">
      <text>
        <r>
          <rPr>
            <sz val="10"/>
            <color indexed="81"/>
            <rFont val="Lucida Console"/>
            <family val="3"/>
          </rPr>
          <t>_x000D_
Pertencia a ATA nº 191/20_x000D_
Estimativa de Renovação enviada em 16.03.2020 - Qtd _x000D_
PP  76/19 lote _x000D_
22.07.19 = Processo conferido e finalizado</t>
        </r>
      </text>
    </comment>
    <comment ref="W380" authorId="0" shapeId="0" xr:uid="{2FA12F1E-0905-4D1C-9A3C-D1F7BF08B5E8}">
      <text>
        <r>
          <rPr>
            <sz val="10"/>
            <color indexed="81"/>
            <rFont val="Lucida Console"/>
            <family val="3"/>
          </rPr>
          <t>_x000D_
DM-Hidráulica</t>
        </r>
      </text>
    </comment>
    <comment ref="X380" authorId="0" shapeId="0" xr:uid="{5FEC234C-86EA-4473-9D5A-FA2A00182536}">
      <text>
        <r>
          <rPr>
            <sz val="10"/>
            <color indexed="81"/>
            <rFont val="Lucida Console"/>
            <family val="3"/>
          </rPr>
          <t>_x000D_
MATERIAL HIDRAULICO, CANOS, TUBOS, MANGUEIRAS, CONEXOES E ACESS.</t>
        </r>
      </text>
    </comment>
    <comment ref="Y380" authorId="0" shapeId="0" xr:uid="{16C93F4A-9BCA-4A0D-9C2F-341F21E60B7F}">
      <text>
        <r>
          <rPr>
            <sz val="10"/>
            <color indexed="81"/>
            <rFont val="Lucida Console"/>
            <family val="3"/>
          </rPr>
          <t>_x000D_
ADAP. LUVAS.TES CURVAS COTOVELOS PLUGS FLANGES.....</t>
        </r>
      </text>
    </comment>
    <comment ref="AW380" authorId="0" shapeId="0" xr:uid="{CAFDD5E4-70DA-442B-91AB-0ABE69215340}">
      <text>
        <r>
          <rPr>
            <sz val="10"/>
            <color indexed="81"/>
            <rFont val="Lucida Console"/>
            <family val="3"/>
          </rPr>
          <t>Tempo de Estoque (Meses)_x000D_
_x000D_
22,0</t>
        </r>
      </text>
    </comment>
    <comment ref="A381" authorId="0" shapeId="0" xr:uid="{A373EAE2-9B78-4806-9067-EFD48EAC06A3}">
      <text>
        <r>
          <rPr>
            <sz val="10"/>
            <color indexed="81"/>
            <rFont val="Lucida Console"/>
            <family val="3"/>
          </rPr>
          <t>_x000D_
13116</t>
        </r>
      </text>
    </comment>
    <comment ref="B381" authorId="0" shapeId="0" xr:uid="{795F3148-939D-45D9-9B0A-7F01A57744AC}">
      <text>
        <r>
          <rPr>
            <sz val="10"/>
            <color indexed="81"/>
            <rFont val="Lucida Console"/>
            <family val="3"/>
          </rPr>
          <t>DESCRIÇÃO DETALHADA_x000D_
REGISTRO DE PRESSAO 3/4" SEM CANOPLA</t>
        </r>
      </text>
    </comment>
    <comment ref="G381" authorId="0" shapeId="0" xr:uid="{EFBBD6D1-02F2-4C32-B092-B0C3A54B1B36}">
      <text>
        <r>
          <rPr>
            <sz val="10"/>
            <color indexed="81"/>
            <rFont val="Lucida Console"/>
            <family val="3"/>
          </rPr>
          <t>_x000D_
Últ estimativa : 0_x000D_
Enviada em     : 16.03.2020_x000D_
Ata - Venc     : 191/20 - 07.09.2021</t>
        </r>
      </text>
    </comment>
    <comment ref="O381" authorId="0" shapeId="0" xr:uid="{B532DFFA-418E-471B-A696-07BF9EA4EE6C}">
      <text>
        <r>
          <rPr>
            <sz val="10"/>
            <color indexed="81"/>
            <rFont val="Lucida Console"/>
            <family val="3"/>
          </rPr>
          <t>_x000D_
Pertencia a ATA nº 191/20_x000D_
Estimativa de Renovação enviada em 16.03.2020 - Qtd _x000D_
PP  76/19 lote _x000D_
22.07.19 = Processo conferido e finalizado</t>
        </r>
      </text>
    </comment>
    <comment ref="W381" authorId="0" shapeId="0" xr:uid="{B23CB518-4B28-4C97-B92F-9DB0BD02204A}">
      <text>
        <r>
          <rPr>
            <sz val="10"/>
            <color indexed="81"/>
            <rFont val="Lucida Console"/>
            <family val="3"/>
          </rPr>
          <t>_x000D_
DM-Hidráulica</t>
        </r>
      </text>
    </comment>
    <comment ref="X381" authorId="0" shapeId="0" xr:uid="{7D844BA9-B7D5-4528-9DC9-9F1E30C17859}">
      <text>
        <r>
          <rPr>
            <sz val="10"/>
            <color indexed="81"/>
            <rFont val="Lucida Console"/>
            <family val="3"/>
          </rPr>
          <t>_x000D_
MATERIAL HIDRAULICO, CANOS, TUBOS, MANGUEIRAS, CONEXOES E ACESS.</t>
        </r>
      </text>
    </comment>
    <comment ref="Y381" authorId="0" shapeId="0" xr:uid="{BCA5DFF1-C3A3-44A1-ACB3-85578F3BA63D}">
      <text>
        <r>
          <rPr>
            <sz val="10"/>
            <color indexed="81"/>
            <rFont val="Lucida Console"/>
            <family val="3"/>
          </rPr>
          <t>_x000D_
REGISTROS VALVULAS E BOIAS</t>
        </r>
      </text>
    </comment>
    <comment ref="AW381" authorId="0" shapeId="0" xr:uid="{16B13046-C95A-4BC8-92F0-15768D94AC04}">
      <text>
        <r>
          <rPr>
            <sz val="10"/>
            <color indexed="81"/>
            <rFont val="Lucida Console"/>
            <family val="3"/>
          </rPr>
          <t>Tempo de Estoque (Meses)_x000D_
_x000D_
40,0</t>
        </r>
      </text>
    </comment>
    <comment ref="A382" authorId="0" shapeId="0" xr:uid="{74E82205-E1A9-4C76-BA0F-B8836B00C84D}">
      <text>
        <r>
          <rPr>
            <sz val="10"/>
            <color indexed="81"/>
            <rFont val="Lucida Console"/>
            <family val="3"/>
          </rPr>
          <t>_x000D_
13563</t>
        </r>
      </text>
    </comment>
    <comment ref="B382" authorId="0" shapeId="0" xr:uid="{8FA911E5-B654-474A-9CBB-F07025F37367}">
      <text>
        <r>
          <rPr>
            <sz val="10"/>
            <color indexed="81"/>
            <rFont val="Lucida Console"/>
            <family val="3"/>
          </rPr>
          <t>DESCRIÇÃO DETALHADA_x000D_
PINO P/TORNEIRA DE 3/4" - VEDANTE</t>
        </r>
      </text>
    </comment>
    <comment ref="G382" authorId="0" shapeId="0" xr:uid="{769ADAAC-F743-498C-A2E5-7E697A35301F}">
      <text>
        <r>
          <rPr>
            <sz val="10"/>
            <color indexed="81"/>
            <rFont val="Lucida Console"/>
            <family val="3"/>
          </rPr>
          <t>_x000D_
Últ estimativa : 600_x000D_
Enviada em     : 16.03.2020_x000D_
Ata - Venc     : 191/20 - 07.09.2021</t>
        </r>
      </text>
    </comment>
    <comment ref="O382" authorId="0" shapeId="0" xr:uid="{72EDA2D9-6FC7-466A-BE4A-FEB93C28839D}">
      <text>
        <r>
          <rPr>
            <sz val="10"/>
            <color indexed="81"/>
            <rFont val="Lucida Console"/>
            <family val="3"/>
          </rPr>
          <t>_x000D_
Pertencia a ATA nº 191/20_x000D_
Estimativa de Renovação enviada em 16.03.2020 - Qtd 600_x000D_
PP  76/19 lote _x000D_
22.07.19 = Processo conferido e finalizado</t>
        </r>
      </text>
    </comment>
    <comment ref="W382" authorId="0" shapeId="0" xr:uid="{D044FB09-068F-49ED-B66D-358B84A7231F}">
      <text>
        <r>
          <rPr>
            <sz val="10"/>
            <color indexed="81"/>
            <rFont val="Lucida Console"/>
            <family val="3"/>
          </rPr>
          <t>_x000D_
DM-Hidráulica</t>
        </r>
      </text>
    </comment>
    <comment ref="X382" authorId="0" shapeId="0" xr:uid="{8516D324-5D6A-4D2A-B0D0-2239841DC396}">
      <text>
        <r>
          <rPr>
            <sz val="10"/>
            <color indexed="81"/>
            <rFont val="Lucida Console"/>
            <family val="3"/>
          </rPr>
          <t>_x000D_
MATERIAL HIDRAULICO, CANOS, TUBOS, MANGUEIRAS, CONEXOES E ACESS.</t>
        </r>
      </text>
    </comment>
    <comment ref="Y382" authorId="0" shapeId="0" xr:uid="{6E5BB6CA-7188-4D12-8359-6AFAEDB55F84}">
      <text>
        <r>
          <rPr>
            <sz val="10"/>
            <color indexed="81"/>
            <rFont val="Lucida Console"/>
            <family val="3"/>
          </rPr>
          <t>_x000D_
REGISTROS VALVULAS E BOIAS</t>
        </r>
      </text>
    </comment>
    <comment ref="AW382" authorId="0" shapeId="0" xr:uid="{72C71659-7820-4EE6-B287-3F0740184D4D}">
      <text>
        <r>
          <rPr>
            <sz val="10"/>
            <color indexed="81"/>
            <rFont val="Lucida Console"/>
            <family val="3"/>
          </rPr>
          <t>Tempo de Estoque (Meses)_x000D_
_x000D_
319,0</t>
        </r>
      </text>
    </comment>
    <comment ref="A383" authorId="0" shapeId="0" xr:uid="{9C0C0D82-EF09-4CC4-B084-37B024A5FEEB}">
      <text>
        <r>
          <rPr>
            <sz val="10"/>
            <color indexed="81"/>
            <rFont val="Lucida Console"/>
            <family val="3"/>
          </rPr>
          <t>_x000D_
104667</t>
        </r>
      </text>
    </comment>
    <comment ref="B383" authorId="0" shapeId="0" xr:uid="{F3056792-38FC-4651-8947-E65978A9DF4A}">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83" authorId="0" shapeId="0" xr:uid="{092CED82-AE07-4E4B-88B2-45E51A824051}">
      <text>
        <r>
          <rPr>
            <sz val="10"/>
            <color indexed="81"/>
            <rFont val="Lucida Console"/>
            <family val="3"/>
          </rPr>
          <t>_x000D_
Últ estimativa : 100_x000D_
Enviada em     : 16.03.2020_x000D_
Ata - Venc     : 191/20 - 07.09.2021</t>
        </r>
      </text>
    </comment>
    <comment ref="O383" authorId="0" shapeId="0" xr:uid="{94B93F4E-5C31-45A2-959F-48561AF89DC5}">
      <text>
        <r>
          <rPr>
            <sz val="10"/>
            <color indexed="81"/>
            <rFont val="Lucida Console"/>
            <family val="3"/>
          </rPr>
          <t>_x000D_
Pertencia a ATA nº 191/20_x000D_
Estimativa de Renovação enviada em 16.03.2020 - Qtd 100_x000D_
PP  76/19 lote _x000D_
22.07.19 = Processo conferido e finalizado</t>
        </r>
      </text>
    </comment>
    <comment ref="W383" authorId="0" shapeId="0" xr:uid="{2A97CED6-61C1-420A-8BF8-53B3A71D685D}">
      <text>
        <r>
          <rPr>
            <sz val="10"/>
            <color indexed="81"/>
            <rFont val="Lucida Console"/>
            <family val="3"/>
          </rPr>
          <t>_x000D_
DM-Hidráulica</t>
        </r>
      </text>
    </comment>
    <comment ref="X383" authorId="0" shapeId="0" xr:uid="{3DFF9246-4C50-4275-9326-E6C36B4E8F6F}">
      <text>
        <r>
          <rPr>
            <sz val="10"/>
            <color indexed="81"/>
            <rFont val="Lucida Console"/>
            <family val="3"/>
          </rPr>
          <t>_x000D_
MATERIAL HIDRAULICO, CANOS, TUBOS, MANGUEIRAS, CONEXOES E ACESS.</t>
        </r>
      </text>
    </comment>
    <comment ref="Y383" authorId="0" shapeId="0" xr:uid="{797E7A62-0E60-4FAF-85E1-9A982AE4410D}">
      <text>
        <r>
          <rPr>
            <sz val="10"/>
            <color indexed="81"/>
            <rFont val="Lucida Console"/>
            <family val="3"/>
          </rPr>
          <t>_x000D_
REGISTROS VALVULAS E BOIAS</t>
        </r>
      </text>
    </comment>
    <comment ref="AW383" authorId="0" shapeId="0" xr:uid="{5F439B39-7150-4734-85D4-3B7B91336FFD}">
      <text>
        <r>
          <rPr>
            <sz val="10"/>
            <color indexed="81"/>
            <rFont val="Lucida Console"/>
            <family val="3"/>
          </rPr>
          <t>Tempo de Estoque (Meses)_x000D_
_x000D_
160,0</t>
        </r>
      </text>
    </comment>
    <comment ref="A384" authorId="0" shapeId="0" xr:uid="{2BF2648C-E9BE-4C7E-88FD-E619BF8470D6}">
      <text>
        <r>
          <rPr>
            <sz val="10"/>
            <color indexed="81"/>
            <rFont val="Lucida Console"/>
            <family val="3"/>
          </rPr>
          <t>_x000D_
40086</t>
        </r>
      </text>
    </comment>
    <comment ref="B384" authorId="0" shapeId="0" xr:uid="{DCD21C2C-6F61-4DF8-B2D0-295805D66314}">
      <text>
        <r>
          <rPr>
            <sz val="10"/>
            <color indexed="81"/>
            <rFont val="Lucida Console"/>
            <family val="3"/>
          </rPr>
          <t>DESCRIÇÃO DETALHADA_x000D_
TELHA DE BARRO COZIDO - TIPO ROMANA</t>
        </r>
      </text>
    </comment>
    <comment ref="G384" authorId="0" shapeId="0" xr:uid="{7483FFDC-8910-44F3-9C78-5B0F656AF9AE}">
      <text>
        <r>
          <rPr>
            <sz val="10"/>
            <color indexed="81"/>
            <rFont val="Lucida Console"/>
            <family val="3"/>
          </rPr>
          <t>_x000D_
Últ estimativa : 0_x000D_
Enviada em     : 25.09.2019_x000D_
Ata - Venc     : 194/17 - 13.11.2018</t>
        </r>
      </text>
    </comment>
    <comment ref="O384" authorId="0" shapeId="0" xr:uid="{C853CA97-BD15-49B0-BAF2-0E8AB08EA9DB}">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84" authorId="0" shapeId="0" xr:uid="{F90FDCC6-F148-491C-A727-75F96A3F5852}">
      <text>
        <r>
          <rPr>
            <sz val="10"/>
            <color indexed="81"/>
            <rFont val="Lucida Console"/>
            <family val="3"/>
          </rPr>
          <t>_x000D_
DM-Construção</t>
        </r>
      </text>
    </comment>
    <comment ref="X384" authorId="0" shapeId="0" xr:uid="{D456F6AE-6476-47E1-BA69-09FCCF361A95}">
      <text>
        <r>
          <rPr>
            <sz val="10"/>
            <color indexed="81"/>
            <rFont val="Lucida Console"/>
            <family val="3"/>
          </rPr>
          <t>_x000D_
MAT.E EQUIP. P/ CONSTR.CIVIL E CONSERV. DE VIAS PUBL.</t>
        </r>
      </text>
    </comment>
    <comment ref="Y384" authorId="0" shapeId="0" xr:uid="{91E21F79-2CE4-471B-AC51-AA8C75F032DF}">
      <text>
        <r>
          <rPr>
            <sz val="10"/>
            <color indexed="81"/>
            <rFont val="Lucida Console"/>
            <family val="3"/>
          </rPr>
          <t>_x000D_
TELHAS. CUMEEIRAS E ELEM. DE TELH. E CHAP. DE CIM. AMIANT</t>
        </r>
      </text>
    </comment>
    <comment ref="AW384" authorId="0" shapeId="0" xr:uid="{75BB07D9-A717-4B84-9C5B-07F633121CD9}">
      <text>
        <r>
          <rPr>
            <sz val="10"/>
            <color indexed="81"/>
            <rFont val="Lucida Console"/>
            <family val="3"/>
          </rPr>
          <t>Tempo de Estoque (Meses)_x000D_
_x000D_
927,0</t>
        </r>
      </text>
    </comment>
    <comment ref="A385" authorId="0" shapeId="0" xr:uid="{E5FA8D27-E13B-4A71-A5B1-6205550DD7FF}">
      <text>
        <r>
          <rPr>
            <sz val="10"/>
            <color indexed="81"/>
            <rFont val="Lucida Console"/>
            <family val="3"/>
          </rPr>
          <t>_x000D_
67939</t>
        </r>
      </text>
    </comment>
    <comment ref="B385" authorId="0" shapeId="0" xr:uid="{5BB1DC59-228F-4B47-A5E4-A8EA00B1CE98}">
      <text>
        <r>
          <rPr>
            <sz val="10"/>
            <color indexed="81"/>
            <rFont val="Lucida Console"/>
            <family val="3"/>
          </rPr>
          <t>DESCRIÇÃO DETALHADA_x000D_
GUARNICAO PARA PORTA 0,92 X 2,10 M</t>
        </r>
      </text>
    </comment>
    <comment ref="G385" authorId="0" shapeId="0" xr:uid="{04336973-54F3-4D67-9958-BCC093E8CA59}">
      <text>
        <r>
          <rPr>
            <sz val="10"/>
            <color indexed="81"/>
            <rFont val="Lucida Console"/>
            <family val="3"/>
          </rPr>
          <t>_x000D_
Últ estimativa : 0_x000D_
Enviada em     : 19.05.2021_x000D_
Ata - Venc     : 194/20 - 07.09.2021</t>
        </r>
      </text>
    </comment>
    <comment ref="O385" authorId="0" shapeId="0" xr:uid="{8A48D1D8-7264-47FD-A709-14B72F5B1C31}">
      <text>
        <r>
          <rPr>
            <sz val="10"/>
            <color indexed="81"/>
            <rFont val="Lucida Console"/>
            <family val="3"/>
          </rPr>
          <t>_x000D_
Pertencia a ATA nº 194/20_x000D_
Estimativa de Renovação enviada em 19.05.2021 - Qtd _x000D_
PP 111/19 lote _x000D_
18.09.19 = Área técnica respondeu recurso</t>
        </r>
      </text>
    </comment>
    <comment ref="W385" authorId="0" shapeId="0" xr:uid="{72750011-A649-4C57-BE8C-15C83FCC5496}">
      <text>
        <r>
          <rPr>
            <sz val="10"/>
            <color indexed="81"/>
            <rFont val="Lucida Console"/>
            <family val="3"/>
          </rPr>
          <t>_x000D_
DM-Construção</t>
        </r>
      </text>
    </comment>
    <comment ref="X385" authorId="0" shapeId="0" xr:uid="{F09BBCBC-C637-483C-8F6B-79D9BAF95C8D}">
      <text>
        <r>
          <rPr>
            <sz val="10"/>
            <color indexed="81"/>
            <rFont val="Lucida Console"/>
            <family val="3"/>
          </rPr>
          <t>_x000D_
MAT.E EQUIP. P/ CONSTR.CIVIL E CONSERV. DE VIAS PUBL.</t>
        </r>
      </text>
    </comment>
    <comment ref="Y385" authorId="0" shapeId="0" xr:uid="{EA7B03BB-DC09-4A96-A60B-70A0ADD45A31}">
      <text>
        <r>
          <rPr>
            <sz val="10"/>
            <color indexed="81"/>
            <rFont val="Lucida Console"/>
            <family val="3"/>
          </rPr>
          <t>_x000D_
PORTAS, BATENTES E GUARNICOES DE MADEIRA, FERRO, METAL</t>
        </r>
      </text>
    </comment>
    <comment ref="AW385" authorId="0" shapeId="0" xr:uid="{395A5DD2-DC38-421D-B782-8246CA276A2E}">
      <text>
        <r>
          <rPr>
            <sz val="10"/>
            <color indexed="81"/>
            <rFont val="Lucida Console"/>
            <family val="3"/>
          </rPr>
          <t>Tempo de Estoque (Meses)_x000D_
_x000D_
330,0</t>
        </r>
      </text>
    </comment>
    <comment ref="A386" authorId="0" shapeId="0" xr:uid="{BFBED184-2128-418D-B150-B06224E8CFE1}">
      <text>
        <r>
          <rPr>
            <sz val="10"/>
            <color indexed="81"/>
            <rFont val="Lucida Console"/>
            <family val="3"/>
          </rPr>
          <t>_x000D_
74909</t>
        </r>
      </text>
    </comment>
    <comment ref="B386" authorId="0" shapeId="0" xr:uid="{1421A5D2-54F6-4079-9755-60BC3F27321A}">
      <text>
        <r>
          <rPr>
            <sz val="10"/>
            <color indexed="81"/>
            <rFont val="Lucida Console"/>
            <family val="3"/>
          </rPr>
          <t>DESCRIÇÃO DETALHADA_x000D_
VIGA DE GARAPEIRA BRUTA - 6 CM X 12 CM X 5,00 M COMPRIMENTO</t>
        </r>
      </text>
    </comment>
    <comment ref="G386" authorId="0" shapeId="0" xr:uid="{B7556804-1AF3-4D36-96FE-3869AF5DFB24}">
      <text>
        <r>
          <rPr>
            <sz val="10"/>
            <color indexed="81"/>
            <rFont val="Lucida Console"/>
            <family val="3"/>
          </rPr>
          <t>_x000D_
Últ estimativa : 100_x000D_
Enviada em     : 19.05.2021_x000D_
Ata - Venc     : 194/20 - 07.09.2021</t>
        </r>
      </text>
    </comment>
    <comment ref="O386" authorId="0" shapeId="0" xr:uid="{B6D3E426-1976-4C2D-BDAD-D6332629363F}">
      <text>
        <r>
          <rPr>
            <sz val="10"/>
            <color indexed="81"/>
            <rFont val="Lucida Console"/>
            <family val="3"/>
          </rPr>
          <t>_x000D_
Pertencia a ATA nº 194/20_x000D_
Estimativa de Renovação enviada em 19.05.2021 - Qtd 100_x000D_
PP 111/19 lote _x000D_
18.09.19 = Área técnica respondeu recurso</t>
        </r>
      </text>
    </comment>
    <comment ref="W386" authorId="0" shapeId="0" xr:uid="{BDB98E54-EBA3-43C5-AEBC-CDD9A4359A60}">
      <text>
        <r>
          <rPr>
            <sz val="10"/>
            <color indexed="81"/>
            <rFont val="Lucida Console"/>
            <family val="3"/>
          </rPr>
          <t>_x000D_
DM-Construção</t>
        </r>
      </text>
    </comment>
    <comment ref="X386" authorId="0" shapeId="0" xr:uid="{4FD51D7A-0A67-49A1-866D-EA51632CC98E}">
      <text>
        <r>
          <rPr>
            <sz val="10"/>
            <color indexed="81"/>
            <rFont val="Lucida Console"/>
            <family val="3"/>
          </rPr>
          <t>_x000D_
MADEIRAS,LAMINADOS,COMPENSADOS E AGLOMERADOS</t>
        </r>
      </text>
    </comment>
    <comment ref="Y386" authorId="0" shapeId="0" xr:uid="{F1A8869D-D80C-458F-A790-2862FC7B9C0F}">
      <text>
        <r>
          <rPr>
            <sz val="10"/>
            <color indexed="81"/>
            <rFont val="Lucida Console"/>
            <family val="3"/>
          </rPr>
          <t>_x000D_
PONTALETES, CAIBROS, PRANCHAS E VIGAS</t>
        </r>
      </text>
    </comment>
    <comment ref="AW386" authorId="0" shapeId="0" xr:uid="{D4ABFA16-037F-4748-8C92-076728636B12}">
      <text>
        <r>
          <rPr>
            <sz val="10"/>
            <color indexed="81"/>
            <rFont val="Lucida Console"/>
            <family val="3"/>
          </rPr>
          <t>Tempo de Estoque (Meses)_x000D_
_x000D_
400,0</t>
        </r>
      </text>
    </comment>
    <comment ref="A387" authorId="0" shapeId="0" xr:uid="{866284B0-63C6-4DCD-8183-4696161C4576}">
      <text>
        <r>
          <rPr>
            <sz val="10"/>
            <color indexed="81"/>
            <rFont val="Lucida Console"/>
            <family val="3"/>
          </rPr>
          <t>_x000D_
74911</t>
        </r>
      </text>
    </comment>
    <comment ref="B387" authorId="0" shapeId="0" xr:uid="{6FFE847D-8D75-4C6E-95D8-224C75EE478E}">
      <text>
        <r>
          <rPr>
            <sz val="10"/>
            <color indexed="81"/>
            <rFont val="Lucida Console"/>
            <family val="3"/>
          </rPr>
          <t>DESCRIÇÃO DETALHADA_x000D_
VIGA DE GARAPEIRA BRUTA - 6 X 12 CM X 4,50 M COMPRIMENTO</t>
        </r>
      </text>
    </comment>
    <comment ref="G387" authorId="0" shapeId="0" xr:uid="{5809D4D1-397E-4B5E-868F-F77D3558070F}">
      <text>
        <r>
          <rPr>
            <sz val="10"/>
            <color indexed="81"/>
            <rFont val="Lucida Console"/>
            <family val="3"/>
          </rPr>
          <t>_x000D_
Últ estimativa : 300_x000D_
Enviada em     : 19.05.2021_x000D_
Ata - Venc     : 194/20 - 07.09.2021</t>
        </r>
      </text>
    </comment>
    <comment ref="O387" authorId="0" shapeId="0" xr:uid="{EB4F271E-E15F-459E-87F6-0124BBEE451E}">
      <text>
        <r>
          <rPr>
            <sz val="10"/>
            <color indexed="81"/>
            <rFont val="Lucida Console"/>
            <family val="3"/>
          </rPr>
          <t>_x000D_
Pertencia a ATA nº 194/20_x000D_
Estimativa de Renovação enviada em 19.05.2021 - Qtd 300_x000D_
PP 111/19 lote _x000D_
18.09.19 = Área técnica respondeu recurso</t>
        </r>
      </text>
    </comment>
    <comment ref="W387" authorId="0" shapeId="0" xr:uid="{83A1F4E3-8E03-45AC-B531-2DF89E3A7E1B}">
      <text>
        <r>
          <rPr>
            <sz val="10"/>
            <color indexed="81"/>
            <rFont val="Lucida Console"/>
            <family val="3"/>
          </rPr>
          <t>_x000D_
DM-Construção</t>
        </r>
      </text>
    </comment>
    <comment ref="X387" authorId="0" shapeId="0" xr:uid="{B5CFE593-1C30-4D3F-A490-F8C36C57A99B}">
      <text>
        <r>
          <rPr>
            <sz val="10"/>
            <color indexed="81"/>
            <rFont val="Lucida Console"/>
            <family val="3"/>
          </rPr>
          <t>_x000D_
MADEIRAS,LAMINADOS,COMPENSADOS E AGLOMERADOS</t>
        </r>
      </text>
    </comment>
    <comment ref="Y387" authorId="0" shapeId="0" xr:uid="{E3F1E655-6C7A-4BF1-9E65-6C4A11639E2D}">
      <text>
        <r>
          <rPr>
            <sz val="10"/>
            <color indexed="81"/>
            <rFont val="Lucida Console"/>
            <family val="3"/>
          </rPr>
          <t>_x000D_
PONTALETES, CAIBROS, PRANCHAS E VIGAS</t>
        </r>
      </text>
    </comment>
    <comment ref="AW387" authorId="0" shapeId="0" xr:uid="{C2BD287F-0E85-452E-B093-6C5D78F91519}">
      <text>
        <r>
          <rPr>
            <sz val="10"/>
            <color indexed="81"/>
            <rFont val="Lucida Console"/>
            <family val="3"/>
          </rPr>
          <t>Tempo de Estoque (Meses)_x000D_
_x000D_
185,0</t>
        </r>
      </text>
    </comment>
    <comment ref="A388" authorId="0" shapeId="0" xr:uid="{D26A6D7D-43CE-4E81-9321-939C62FF6732}">
      <text>
        <r>
          <rPr>
            <sz val="10"/>
            <color indexed="81"/>
            <rFont val="Lucida Console"/>
            <family val="3"/>
          </rPr>
          <t>_x000D_
77554</t>
        </r>
      </text>
    </comment>
    <comment ref="B388" authorId="0" shapeId="0" xr:uid="{6CA16FF6-71AF-4613-8217-5034CAD8AEC4}">
      <text>
        <r>
          <rPr>
            <sz val="10"/>
            <color indexed="81"/>
            <rFont val="Lucida Console"/>
            <family val="3"/>
          </rPr>
          <t>DESCRIÇÃO DETALHADA_x000D_
VIGA DE GARAPEIRA BRUTA - 6 CM X 12 CM X 5,50 M COMPRIMENTO</t>
        </r>
      </text>
    </comment>
    <comment ref="G388" authorId="0" shapeId="0" xr:uid="{75A91CA0-5DBE-4963-9512-671643798D32}">
      <text>
        <r>
          <rPr>
            <sz val="10"/>
            <color indexed="81"/>
            <rFont val="Lucida Console"/>
            <family val="3"/>
          </rPr>
          <t>_x000D_
Últ estimativa : 100_x000D_
Enviada em     : 19.05.2021_x000D_
Ata - Venc     : 194/20 - 07.09.2021</t>
        </r>
      </text>
    </comment>
    <comment ref="O388" authorId="0" shapeId="0" xr:uid="{153A471C-AE7F-4A3F-9192-3D87DCB3BE6A}">
      <text>
        <r>
          <rPr>
            <sz val="10"/>
            <color indexed="81"/>
            <rFont val="Lucida Console"/>
            <family val="3"/>
          </rPr>
          <t>_x000D_
Pertencia a ATA nº 194/20_x000D_
Estimativa de Renovação enviada em 19.05.2021 - Qtd 100_x000D_
PP 111/19 lote _x000D_
18.09.19 = Área técnica respondeu recurso</t>
        </r>
      </text>
    </comment>
    <comment ref="W388" authorId="0" shapeId="0" xr:uid="{194EF975-422A-40FE-BBAD-10DB6D672A55}">
      <text>
        <r>
          <rPr>
            <sz val="10"/>
            <color indexed="81"/>
            <rFont val="Lucida Console"/>
            <family val="3"/>
          </rPr>
          <t>_x000D_
DM-Construção</t>
        </r>
      </text>
    </comment>
    <comment ref="X388" authorId="0" shapeId="0" xr:uid="{CDB94492-75FF-497F-BF27-164828A77AAB}">
      <text>
        <r>
          <rPr>
            <sz val="10"/>
            <color indexed="81"/>
            <rFont val="Lucida Console"/>
            <family val="3"/>
          </rPr>
          <t>_x000D_
MADEIRAS,LAMINADOS,COMPENSADOS E AGLOMERADOS</t>
        </r>
      </text>
    </comment>
    <comment ref="Y388" authorId="0" shapeId="0" xr:uid="{B7F12D87-A9DB-496F-81A2-3320806E6028}">
      <text>
        <r>
          <rPr>
            <sz val="10"/>
            <color indexed="81"/>
            <rFont val="Lucida Console"/>
            <family val="3"/>
          </rPr>
          <t>_x000D_
PONTALETES, CAIBROS, PRANCHAS E VIGAS</t>
        </r>
      </text>
    </comment>
    <comment ref="AW388" authorId="0" shapeId="0" xr:uid="{26D815BA-6492-4C8C-9D49-E61899950A39}">
      <text>
        <r>
          <rPr>
            <sz val="10"/>
            <color indexed="81"/>
            <rFont val="Lucida Console"/>
            <family val="3"/>
          </rPr>
          <t>Tempo de Estoque (Meses)_x000D_
_x000D_
74,0</t>
        </r>
      </text>
    </comment>
    <comment ref="A389" authorId="0" shapeId="0" xr:uid="{C0F4F3B4-DB46-4840-B975-813860F137AF}">
      <text>
        <r>
          <rPr>
            <sz val="10"/>
            <color indexed="81"/>
            <rFont val="Lucida Console"/>
            <family val="3"/>
          </rPr>
          <t>_x000D_
77557</t>
        </r>
      </text>
    </comment>
    <comment ref="B389" authorId="0" shapeId="0" xr:uid="{3F049F6D-86CC-4A9C-8AE6-900F00942DA8}">
      <text>
        <r>
          <rPr>
            <sz val="10"/>
            <color indexed="81"/>
            <rFont val="Lucida Console"/>
            <family val="3"/>
          </rPr>
          <t>DESCRIÇÃO DETALHADA_x000D_
VIGA DE GARAPEIRA BRUTA - 0,06 X 0,16 X 5,00 M COMPRIMENTO</t>
        </r>
      </text>
    </comment>
    <comment ref="G389" authorId="0" shapeId="0" xr:uid="{1B3E40EF-0CB3-47F7-9621-163FF8524B5A}">
      <text>
        <r>
          <rPr>
            <sz val="10"/>
            <color indexed="81"/>
            <rFont val="Lucida Console"/>
            <family val="3"/>
          </rPr>
          <t>_x000D_
Últ estimativa : 0_x000D_
Enviada em     : 19.05.2021_x000D_
Ata - Venc     : 194/20 - 07.09.2021</t>
        </r>
      </text>
    </comment>
    <comment ref="O389" authorId="0" shapeId="0" xr:uid="{1D96A419-21CD-43F7-992F-66064DF55879}">
      <text>
        <r>
          <rPr>
            <sz val="10"/>
            <color indexed="81"/>
            <rFont val="Lucida Console"/>
            <family val="3"/>
          </rPr>
          <t>_x000D_
Pertencia a ATA nº 194/20_x000D_
Estimativa de Renovação enviada em 19.05.2021 - Qtd _x000D_
PP 111/19 lote _x000D_
18.09.19 = Área técnica respondeu recurso</t>
        </r>
      </text>
    </comment>
    <comment ref="W389" authorId="0" shapeId="0" xr:uid="{BE1F959A-24DC-4490-A4EE-BCB944AACCFE}">
      <text>
        <r>
          <rPr>
            <sz val="10"/>
            <color indexed="81"/>
            <rFont val="Lucida Console"/>
            <family val="3"/>
          </rPr>
          <t>_x000D_
DM-Construção</t>
        </r>
      </text>
    </comment>
    <comment ref="X389" authorId="0" shapeId="0" xr:uid="{4F37632A-55E1-4DC2-9155-A573ECA4FC7C}">
      <text>
        <r>
          <rPr>
            <sz val="10"/>
            <color indexed="81"/>
            <rFont val="Lucida Console"/>
            <family val="3"/>
          </rPr>
          <t>_x000D_
MADEIRAS,LAMINADOS,COMPENSADOS E AGLOMERADOS</t>
        </r>
      </text>
    </comment>
    <comment ref="Y389" authorId="0" shapeId="0" xr:uid="{2300DDBE-DB41-439B-8888-DD1FD4F72713}">
      <text>
        <r>
          <rPr>
            <sz val="10"/>
            <color indexed="81"/>
            <rFont val="Lucida Console"/>
            <family val="3"/>
          </rPr>
          <t>_x000D_
PONTALETES, CAIBROS, PRANCHAS E VIGAS</t>
        </r>
      </text>
    </comment>
    <comment ref="AW389" authorId="0" shapeId="0" xr:uid="{EE0C88B4-D80E-4C8C-A8BE-C395D81DD2B2}">
      <text>
        <r>
          <rPr>
            <sz val="10"/>
            <color indexed="81"/>
            <rFont val="Lucida Console"/>
            <family val="3"/>
          </rPr>
          <t>Tempo de Estoque (Meses)_x000D_
_x000D_
186,0</t>
        </r>
      </text>
    </comment>
    <comment ref="A390" authorId="0" shapeId="0" xr:uid="{9D502301-31A2-425A-AC99-E103038476B7}">
      <text>
        <r>
          <rPr>
            <sz val="10"/>
            <color indexed="81"/>
            <rFont val="Lucida Console"/>
            <family val="3"/>
          </rPr>
          <t>_x000D_
82185</t>
        </r>
      </text>
    </comment>
    <comment ref="B390" authorId="0" shapeId="0" xr:uid="{3947FEA9-2720-441C-B083-00A219177EAE}">
      <text>
        <r>
          <rPr>
            <sz val="10"/>
            <color indexed="81"/>
            <rFont val="Lucida Console"/>
            <family val="3"/>
          </rPr>
          <t>DESCRIÇÃO DETALHADA_x000D_
VIGA DE GARAPEIRA BRUTA - 60MM X 160MM X 6,00 M COMPRIMENTO</t>
        </r>
      </text>
    </comment>
    <comment ref="G390" authorId="0" shapeId="0" xr:uid="{EE10040F-E54F-4007-AAE6-AA3D95167AFF}">
      <text>
        <r>
          <rPr>
            <sz val="10"/>
            <color indexed="81"/>
            <rFont val="Lucida Console"/>
            <family val="3"/>
          </rPr>
          <t>_x000D_
Últ estimativa : 0_x000D_
Enviada em     : 19.05.2021_x000D_
Ata - Venc     : 194/20 - 07.09.2021</t>
        </r>
      </text>
    </comment>
    <comment ref="O390" authorId="0" shapeId="0" xr:uid="{00E3EBA8-8696-4820-A6F4-404AA6D64566}">
      <text>
        <r>
          <rPr>
            <sz val="10"/>
            <color indexed="81"/>
            <rFont val="Lucida Console"/>
            <family val="3"/>
          </rPr>
          <t>_x000D_
Pertencia a ATA nº 194/20_x000D_
Estimativa de Renovação enviada em 19.05.2021 - Qtd _x000D_
PP 111/19 lote _x000D_
18.09.19 = Área técnica respondeu recurso</t>
        </r>
      </text>
    </comment>
    <comment ref="W390" authorId="0" shapeId="0" xr:uid="{9AD2C2A8-9743-404B-B5BF-52C654B914D0}">
      <text>
        <r>
          <rPr>
            <sz val="10"/>
            <color indexed="81"/>
            <rFont val="Lucida Console"/>
            <family val="3"/>
          </rPr>
          <t>_x000D_
DM-Construção</t>
        </r>
      </text>
    </comment>
    <comment ref="X390" authorId="0" shapeId="0" xr:uid="{B2095F0C-F209-42B7-A873-EFC9CE860A77}">
      <text>
        <r>
          <rPr>
            <sz val="10"/>
            <color indexed="81"/>
            <rFont val="Lucida Console"/>
            <family val="3"/>
          </rPr>
          <t>_x000D_
MADEIRAS,LAMINADOS,COMPENSADOS E AGLOMERADOS</t>
        </r>
      </text>
    </comment>
    <comment ref="Y390" authorId="0" shapeId="0" xr:uid="{35F4D498-8ED7-42C2-8C6D-6812322914DF}">
      <text>
        <r>
          <rPr>
            <sz val="10"/>
            <color indexed="81"/>
            <rFont val="Lucida Console"/>
            <family val="3"/>
          </rPr>
          <t>_x000D_
PONTALETES, CAIBROS, PRANCHAS E VIGAS</t>
        </r>
      </text>
    </comment>
    <comment ref="AW390" authorId="0" shapeId="0" xr:uid="{AB0D78A1-DD76-4080-8A77-DC83D0554DB6}">
      <text>
        <r>
          <rPr>
            <sz val="10"/>
            <color indexed="81"/>
            <rFont val="Lucida Console"/>
            <family val="3"/>
          </rPr>
          <t>Tempo de Estoque (Meses)_x000D_
_x000D_
159,0</t>
        </r>
      </text>
    </comment>
    <comment ref="A391" authorId="0" shapeId="0" xr:uid="{48004F85-33D1-4C07-8B97-FF991A847B45}">
      <text>
        <r>
          <rPr>
            <sz val="10"/>
            <color indexed="81"/>
            <rFont val="Lucida Console"/>
            <family val="3"/>
          </rPr>
          <t>_x000D_
114852</t>
        </r>
      </text>
    </comment>
    <comment ref="B391" authorId="0" shapeId="0" xr:uid="{23C0DF6D-58EB-41ED-9993-A3F4940A4DE7}">
      <text>
        <r>
          <rPr>
            <sz val="10"/>
            <color indexed="81"/>
            <rFont val="Lucida Console"/>
            <family val="3"/>
          </rPr>
          <t>DESCRIÇÃO DETALHADA_x000D_
VIGA DE GARAPEIRA BRUTA - 60MM X 160MM X 6,50 M COMPRIMENTO</t>
        </r>
      </text>
    </comment>
    <comment ref="G391" authorId="0" shapeId="0" xr:uid="{34F86DE3-F62A-4493-A9E1-5144D0184941}">
      <text>
        <r>
          <rPr>
            <sz val="10"/>
            <color indexed="81"/>
            <rFont val="Lucida Console"/>
            <family val="3"/>
          </rPr>
          <t>_x000D_
Últ estimativa : 0_x000D_
Enviada em     : 19.05.2021_x000D_
Ata - Venc     : 194/20 - 07.09.2021</t>
        </r>
      </text>
    </comment>
    <comment ref="O391" authorId="0" shapeId="0" xr:uid="{0AEAA767-F6C5-4B83-B633-D7B093E14AEA}">
      <text>
        <r>
          <rPr>
            <sz val="10"/>
            <color indexed="81"/>
            <rFont val="Lucida Console"/>
            <family val="3"/>
          </rPr>
          <t>_x000D_
Pertencia a ATA nº 194/20_x000D_
Estimativa de Renovação enviada em 19.05.2021 - Qtd _x000D_
PP 111/19 lote _x000D_
18.09.19 = Área técnica respondeu recurso</t>
        </r>
      </text>
    </comment>
    <comment ref="W391" authorId="0" shapeId="0" xr:uid="{928DADDE-49B5-4C99-8F6E-39534F1A57DA}">
      <text>
        <r>
          <rPr>
            <sz val="10"/>
            <color indexed="81"/>
            <rFont val="Lucida Console"/>
            <family val="3"/>
          </rPr>
          <t>_x000D_
DM-Construção</t>
        </r>
      </text>
    </comment>
    <comment ref="X391" authorId="0" shapeId="0" xr:uid="{0DEC8CF0-C0DE-402F-BBB4-9856AB79AB32}">
      <text>
        <r>
          <rPr>
            <sz val="10"/>
            <color indexed="81"/>
            <rFont val="Lucida Console"/>
            <family val="3"/>
          </rPr>
          <t>_x000D_
MADEIRAS,LAMINADOS,COMPENSADOS E AGLOMERADOS</t>
        </r>
      </text>
    </comment>
    <comment ref="Y391" authorId="0" shapeId="0" xr:uid="{37231E0B-4074-41A4-9E31-A6988FE2F78F}">
      <text>
        <r>
          <rPr>
            <sz val="10"/>
            <color indexed="81"/>
            <rFont val="Lucida Console"/>
            <family val="3"/>
          </rPr>
          <t>_x000D_
PONTALETES, CAIBROS, PRANCHAS E VIGAS</t>
        </r>
      </text>
    </comment>
    <comment ref="AW391" authorId="0" shapeId="0" xr:uid="{B68FB0AA-4060-4F95-A1B5-073D64BC61CC}">
      <text>
        <r>
          <rPr>
            <sz val="10"/>
            <color indexed="81"/>
            <rFont val="Lucida Console"/>
            <family val="3"/>
          </rPr>
          <t>Tempo de Estoque (Meses)_x000D_
_x000D_
133,0</t>
        </r>
      </text>
    </comment>
    <comment ref="A392" authorId="0" shapeId="0" xr:uid="{065BC5C1-72F0-436A-8516-D23F1908FA85}">
      <text>
        <r>
          <rPr>
            <sz val="10"/>
            <color indexed="81"/>
            <rFont val="Lucida Console"/>
            <family val="3"/>
          </rPr>
          <t>_x000D_
114853</t>
        </r>
      </text>
    </comment>
    <comment ref="B392" authorId="0" shapeId="0" xr:uid="{6B9AB084-9167-4814-B4DD-7E1E6BC55227}">
      <text>
        <r>
          <rPr>
            <sz val="10"/>
            <color indexed="81"/>
            <rFont val="Lucida Console"/>
            <family val="3"/>
          </rPr>
          <t>DESCRIÇÃO DETALHADA_x000D_
VIGA DE GARAPEIRA BRUTA - 60MM X 160MM X 7,00 M COMPRIMENTO</t>
        </r>
      </text>
    </comment>
    <comment ref="G392" authorId="0" shapeId="0" xr:uid="{F013F5DF-77F0-47C8-8262-8A060B3AFDD3}">
      <text>
        <r>
          <rPr>
            <sz val="10"/>
            <color indexed="81"/>
            <rFont val="Lucida Console"/>
            <family val="3"/>
          </rPr>
          <t>_x000D_
Últ estimativa : 0_x000D_
Enviada em     : 19.05.2021_x000D_
Ata - Venc     : 194/20 - 07.09.2021</t>
        </r>
      </text>
    </comment>
    <comment ref="O392" authorId="0" shapeId="0" xr:uid="{14522A48-CCE2-4237-81A4-F78DE6628996}">
      <text>
        <r>
          <rPr>
            <sz val="10"/>
            <color indexed="81"/>
            <rFont val="Lucida Console"/>
            <family val="3"/>
          </rPr>
          <t>_x000D_
Pertencia a ATA nº 194/20_x000D_
Estimativa de Renovação enviada em 19.05.2021 - Qtd _x000D_
PP 111/19 lote _x000D_
18.09.19 = Área técnica respondeu recurso</t>
        </r>
      </text>
    </comment>
    <comment ref="W392" authorId="0" shapeId="0" xr:uid="{121BAA37-98F5-493B-9D15-70461AD939DB}">
      <text>
        <r>
          <rPr>
            <sz val="10"/>
            <color indexed="81"/>
            <rFont val="Lucida Console"/>
            <family val="3"/>
          </rPr>
          <t>_x000D_
DM-Construção</t>
        </r>
      </text>
    </comment>
    <comment ref="X392" authorId="0" shapeId="0" xr:uid="{14BAEF6E-53E0-44D6-A78B-2778D6D417EE}">
      <text>
        <r>
          <rPr>
            <sz val="10"/>
            <color indexed="81"/>
            <rFont val="Lucida Console"/>
            <family val="3"/>
          </rPr>
          <t>_x000D_
MADEIRAS,LAMINADOS,COMPENSADOS E AGLOMERADOS</t>
        </r>
      </text>
    </comment>
    <comment ref="Y392" authorId="0" shapeId="0" xr:uid="{FFBE656F-8E10-482F-B9A1-2FE26AFB558F}">
      <text>
        <r>
          <rPr>
            <sz val="10"/>
            <color indexed="81"/>
            <rFont val="Lucida Console"/>
            <family val="3"/>
          </rPr>
          <t>_x000D_
PONTALETES, CAIBROS, PRANCHAS E VIGAS</t>
        </r>
      </text>
    </comment>
    <comment ref="AW392" authorId="0" shapeId="0" xr:uid="{23138EDA-B3C8-4611-A153-413B123081FE}">
      <text>
        <r>
          <rPr>
            <sz val="10"/>
            <color indexed="81"/>
            <rFont val="Lucida Console"/>
            <family val="3"/>
          </rPr>
          <t>Tempo de Estoque (Meses)_x000D_
_x000D_
161,0</t>
        </r>
      </text>
    </comment>
    <comment ref="A393" authorId="0" shapeId="0" xr:uid="{C19B6C23-12DF-49E3-B37B-94867CE56774}">
      <text>
        <r>
          <rPr>
            <sz val="10"/>
            <color indexed="81"/>
            <rFont val="Lucida Console"/>
            <family val="3"/>
          </rPr>
          <t>_x000D_
16363</t>
        </r>
      </text>
    </comment>
    <comment ref="B393" authorId="0" shapeId="0" xr:uid="{1ECCD10E-D674-4B86-B8AB-3A42D9C0E543}">
      <text>
        <r>
          <rPr>
            <sz val="10"/>
            <color indexed="81"/>
            <rFont val="Lucida Console"/>
            <family val="3"/>
          </rPr>
          <t>DESCRIÇÃO DETALHADA_x000D_
CHAPA DE MADEIRA RESINADA C/ 2,20 X 1,10 M ESP. 10,0 MM</t>
        </r>
      </text>
    </comment>
    <comment ref="G393" authorId="0" shapeId="0" xr:uid="{2E1C0580-837F-43C0-9954-07829D916F04}">
      <text>
        <r>
          <rPr>
            <sz val="10"/>
            <color indexed="81"/>
            <rFont val="Lucida Console"/>
            <family val="3"/>
          </rPr>
          <t>_x000D_
Últ estimativa : 0_x000D_
Enviada em     : 19.05.2021_x000D_
Ata - Venc     : 194/20 - 07.09.2021</t>
        </r>
      </text>
    </comment>
    <comment ref="O393" authorId="0" shapeId="0" xr:uid="{A63CE284-149C-470F-BB11-5E4EF63076B9}">
      <text>
        <r>
          <rPr>
            <sz val="10"/>
            <color indexed="81"/>
            <rFont val="Lucida Console"/>
            <family val="3"/>
          </rPr>
          <t>_x000D_
Pertencia a ATA nº 194/20_x000D_
Estimativa de Renovação enviada em 19.05.2021 - Qtd _x000D_
PP 111/19 lote _x000D_
18.09.19 = Área técnica respondeu recurso</t>
        </r>
      </text>
    </comment>
    <comment ref="W393" authorId="0" shapeId="0" xr:uid="{9EF02805-474D-467F-AF6F-504F3777293A}">
      <text>
        <r>
          <rPr>
            <sz val="10"/>
            <color indexed="81"/>
            <rFont val="Lucida Console"/>
            <family val="3"/>
          </rPr>
          <t>_x000D_
DM-Marcenaria</t>
        </r>
      </text>
    </comment>
    <comment ref="X393" authorId="0" shapeId="0" xr:uid="{C127170F-4B92-4AAC-915C-3F1ADC7121D8}">
      <text>
        <r>
          <rPr>
            <sz val="10"/>
            <color indexed="81"/>
            <rFont val="Lucida Console"/>
            <family val="3"/>
          </rPr>
          <t>_x000D_
MADEIRAS,LAMINADOS,COMPENSADOS E AGLOMERADOS</t>
        </r>
      </text>
    </comment>
    <comment ref="Y393" authorId="0" shapeId="0" xr:uid="{CFB49270-34D3-4025-A121-74C5E639DAC2}">
      <text>
        <r>
          <rPr>
            <sz val="10"/>
            <color indexed="81"/>
            <rFont val="Lucida Console"/>
            <family val="3"/>
          </rPr>
          <t>_x000D_
CHAPAS COMPENSADAS RESINADAS/PLASTIFICADAS</t>
        </r>
      </text>
    </comment>
    <comment ref="AW393" authorId="0" shapeId="0" xr:uid="{E94E2E09-AA95-48AB-AD48-B825665B4BDF}">
      <text>
        <r>
          <rPr>
            <sz val="10"/>
            <color indexed="81"/>
            <rFont val="Lucida Console"/>
            <family val="3"/>
          </rPr>
          <t>Tempo de Estoque (Meses)_x000D_
_x000D_
335,0</t>
        </r>
      </text>
    </comment>
    <comment ref="A394" authorId="0" shapeId="0" xr:uid="{7539A760-56C2-4495-8948-DA607487B383}">
      <text>
        <r>
          <rPr>
            <sz val="10"/>
            <color indexed="81"/>
            <rFont val="Lucida Console"/>
            <family val="3"/>
          </rPr>
          <t>_x000D_
16365</t>
        </r>
      </text>
    </comment>
    <comment ref="B394" authorId="0" shapeId="0" xr:uid="{75B77E5D-45DC-4997-85D6-2A9BBDE0767A}">
      <text>
        <r>
          <rPr>
            <sz val="10"/>
            <color indexed="81"/>
            <rFont val="Lucida Console"/>
            <family val="3"/>
          </rPr>
          <t>DESCRIÇÃO DETALHADA_x000D_
CHAPA DE MADEIRA RESINADA C/ 2,20 X 1,10 M ESP. 15,0 MM</t>
        </r>
      </text>
    </comment>
    <comment ref="G394" authorId="0" shapeId="0" xr:uid="{D8182758-AB6A-41F0-9E1F-C82B41D8D3E1}">
      <text>
        <r>
          <rPr>
            <sz val="10"/>
            <color indexed="81"/>
            <rFont val="Lucida Console"/>
            <family val="3"/>
          </rPr>
          <t>_x000D_
Últ estimativa : 300_x000D_
Enviada em     : 19.05.2021_x000D_
Ata - Venc     : 194/20 - 07.09.2021</t>
        </r>
      </text>
    </comment>
    <comment ref="O394" authorId="0" shapeId="0" xr:uid="{8C555E7E-6341-4EF8-B8FE-3CA1A6F762AC}">
      <text>
        <r>
          <rPr>
            <sz val="10"/>
            <color indexed="81"/>
            <rFont val="Lucida Console"/>
            <family val="3"/>
          </rPr>
          <t>_x000D_
Pertencia a ATA nº 194/20_x000D_
Estimativa de Renovação enviada em 19.05.2021 - Qtd 300_x000D_
PP 111/19 lote _x000D_
18.09.19 = Área técnica respondeu recurso</t>
        </r>
      </text>
    </comment>
    <comment ref="W394" authorId="0" shapeId="0" xr:uid="{048171DD-0C6B-4D95-93FF-78117D19BA0D}">
      <text>
        <r>
          <rPr>
            <sz val="10"/>
            <color indexed="81"/>
            <rFont val="Lucida Console"/>
            <family val="3"/>
          </rPr>
          <t>_x000D_
DM-Marcenaria</t>
        </r>
      </text>
    </comment>
    <comment ref="X394" authorId="0" shapeId="0" xr:uid="{0F8A130C-E1F0-488B-90C4-E3EBA4AF0866}">
      <text>
        <r>
          <rPr>
            <sz val="10"/>
            <color indexed="81"/>
            <rFont val="Lucida Console"/>
            <family val="3"/>
          </rPr>
          <t>_x000D_
MADEIRAS,LAMINADOS,COMPENSADOS E AGLOMERADOS</t>
        </r>
      </text>
    </comment>
    <comment ref="Y394" authorId="0" shapeId="0" xr:uid="{6676A348-CE69-4A21-9CCD-8C70D27BBFCF}">
      <text>
        <r>
          <rPr>
            <sz val="10"/>
            <color indexed="81"/>
            <rFont val="Lucida Console"/>
            <family val="3"/>
          </rPr>
          <t>_x000D_
CHAPAS COMPENSADAS RESINADAS/PLASTIFICADAS</t>
        </r>
      </text>
    </comment>
    <comment ref="AW394" authorId="0" shapeId="0" xr:uid="{2C546192-9FEA-4826-9A80-27D49804B7F0}">
      <text>
        <r>
          <rPr>
            <sz val="10"/>
            <color indexed="81"/>
            <rFont val="Lucida Console"/>
            <family val="3"/>
          </rPr>
          <t>Tempo de Estoque (Meses)_x000D_
_x000D_
509,0</t>
        </r>
      </text>
    </comment>
    <comment ref="A395" authorId="0" shapeId="0" xr:uid="{6D5FDFEB-CA0B-4A9A-A4AC-07081A879A37}">
      <text>
        <r>
          <rPr>
            <sz val="10"/>
            <color indexed="81"/>
            <rFont val="Lucida Console"/>
            <family val="3"/>
          </rPr>
          <t>_x000D_
80300</t>
        </r>
      </text>
    </comment>
    <comment ref="B395" authorId="0" shapeId="0" xr:uid="{F579F17A-877B-41E9-95DE-509D2D2DF38C}">
      <text>
        <r>
          <rPr>
            <sz val="10"/>
            <color indexed="81"/>
            <rFont val="Lucida Console"/>
            <family val="3"/>
          </rPr>
          <t>DESCRIÇÃO DETALHADA_x000D_
BATENTE DE GARAPEIRA 0,92 X 2,10 M</t>
        </r>
      </text>
    </comment>
    <comment ref="G395" authorId="0" shapeId="0" xr:uid="{7B2D3637-9503-4F10-8E83-555A426DB584}">
      <text>
        <r>
          <rPr>
            <sz val="10"/>
            <color indexed="81"/>
            <rFont val="Lucida Console"/>
            <family val="3"/>
          </rPr>
          <t>_x000D_
Últ estimativa : 100_x000D_
Enviada em     : 19.05.2021_x000D_
Ata - Venc     : 194/20 - 07.09.2021</t>
        </r>
      </text>
    </comment>
    <comment ref="O395" authorId="0" shapeId="0" xr:uid="{A31971A8-F543-4925-BC3B-76341233D254}">
      <text>
        <r>
          <rPr>
            <sz val="10"/>
            <color indexed="81"/>
            <rFont val="Lucida Console"/>
            <family val="3"/>
          </rPr>
          <t>_x000D_
Pertencia a ATA nº 194/20_x000D_
Estimativa de Renovação enviada em 19.05.2021 - Qtd 100_x000D_
PP 111/19 lote _x000D_
18.09.19 = Área técnica respondeu recurso</t>
        </r>
      </text>
    </comment>
    <comment ref="W395" authorId="0" shapeId="0" xr:uid="{C263025A-DC36-48B5-B0EA-82327193D6EF}">
      <text>
        <r>
          <rPr>
            <sz val="10"/>
            <color indexed="81"/>
            <rFont val="Lucida Console"/>
            <family val="3"/>
          </rPr>
          <t>_x000D_
DM-Construção</t>
        </r>
      </text>
    </comment>
    <comment ref="X395" authorId="0" shapeId="0" xr:uid="{8EA03F13-F94D-4931-8716-D559E93B5EF6}">
      <text>
        <r>
          <rPr>
            <sz val="10"/>
            <color indexed="81"/>
            <rFont val="Lucida Console"/>
            <family val="3"/>
          </rPr>
          <t>_x000D_
MADEIRAS,LAMINADOS,COMPENSADOS E AGLOMERADOS</t>
        </r>
      </text>
    </comment>
    <comment ref="Y395" authorId="0" shapeId="0" xr:uid="{50E0F673-DC9B-4B31-99DB-42DAF00D49D3}">
      <text>
        <r>
          <rPr>
            <sz val="10"/>
            <color indexed="81"/>
            <rFont val="Lucida Console"/>
            <family val="3"/>
          </rPr>
          <t>_x000D_
BATENTES E MOLDURAS</t>
        </r>
      </text>
    </comment>
    <comment ref="AW395" authorId="0" shapeId="0" xr:uid="{D2721FBB-92C8-4268-AABD-EBCF80F585EC}">
      <text>
        <r>
          <rPr>
            <sz val="10"/>
            <color indexed="81"/>
            <rFont val="Lucida Console"/>
            <family val="3"/>
          </rPr>
          <t>Tempo de Estoque (Meses)_x000D_
_x000D_
204,0</t>
        </r>
      </text>
    </comment>
    <comment ref="A396" authorId="0" shapeId="0" xr:uid="{47C28FCE-F35C-4821-BBA8-C4371BC6C79A}">
      <text>
        <r>
          <rPr>
            <sz val="10"/>
            <color indexed="81"/>
            <rFont val="Lucida Console"/>
            <family val="3"/>
          </rPr>
          <t>_x000D_
27287</t>
        </r>
      </text>
    </comment>
    <comment ref="B396" authorId="0" shapeId="0" xr:uid="{F3A1085C-C8FC-4D19-BFFA-9D4E8E2547BE}">
      <text>
        <r>
          <rPr>
            <sz val="10"/>
            <color indexed="81"/>
            <rFont val="Lucida Console"/>
            <family val="3"/>
          </rPr>
          <t>DESCRIÇÃO DETALHADA_x000D_
FERRO CHATO 1 X 1/ 8" BARRA C/ 06 METROS</t>
        </r>
      </text>
    </comment>
    <comment ref="G396" authorId="0" shapeId="0" xr:uid="{B87EB889-C4C5-4058-8809-5291A681DED3}">
      <text>
        <r>
          <rPr>
            <sz val="10"/>
            <color indexed="81"/>
            <rFont val="Lucida Console"/>
            <family val="3"/>
          </rPr>
          <t>_x000D_
Últ estimativa : 0_x000D_
Enviada em     : 12.05.2020_x000D_
Ata - Venc     : 198/19 - 15.08.2020</t>
        </r>
      </text>
    </comment>
    <comment ref="O396" authorId="0" shapeId="0" xr:uid="{BE34BF23-DB2D-4410-9C51-BA160DC1B210}">
      <text>
        <r>
          <rPr>
            <sz val="10"/>
            <color indexed="81"/>
            <rFont val="Lucida Console"/>
            <family val="3"/>
          </rPr>
          <t>_x000D_
Pertencia a ATA nº 198/19_x000D_
Estimativa de Renovação enviada em 12.05.2020 - Qtd _x000D_
PE  46/19 lote 3_x000D_
03.09.19 = Processo conferido, finalizado.</t>
        </r>
      </text>
    </comment>
    <comment ref="W396" authorId="0" shapeId="0" xr:uid="{A333AD70-392E-4B94-9E80-D54A43D7079C}">
      <text>
        <r>
          <rPr>
            <sz val="10"/>
            <color indexed="81"/>
            <rFont val="Lucida Console"/>
            <family val="3"/>
          </rPr>
          <t>_x000D_
DM-Construção</t>
        </r>
      </text>
    </comment>
    <comment ref="X396" authorId="0" shapeId="0" xr:uid="{6C3273CF-A48E-4AE7-BC2F-CCE3129A3179}">
      <text>
        <r>
          <rPr>
            <sz val="10"/>
            <color indexed="81"/>
            <rFont val="Lucida Console"/>
            <family val="3"/>
          </rPr>
          <t>_x000D_
MAT.E EQUIP. P/ CONSTR.CIVIL E CONSERV. DE VIAS PUBL.</t>
        </r>
      </text>
    </comment>
    <comment ref="Y396" authorId="0" shapeId="0" xr:uid="{55EC8B9C-3249-40F1-AC6F-D372F8D4D745}">
      <text>
        <r>
          <rPr>
            <sz val="10"/>
            <color indexed="81"/>
            <rFont val="Lucida Console"/>
            <family val="3"/>
          </rPr>
          <t>_x000D_
FERRAGENS E AFINS</t>
        </r>
      </text>
    </comment>
    <comment ref="AW396" authorId="0" shapeId="0" xr:uid="{2FA52686-CC0E-4ADA-88D0-523B3BA7D049}">
      <text>
        <r>
          <rPr>
            <sz val="10"/>
            <color indexed="81"/>
            <rFont val="Lucida Console"/>
            <family val="3"/>
          </rPr>
          <t>Tempo de Estoque (Meses)_x000D_
_x000D_
1.114,0</t>
        </r>
      </text>
    </comment>
    <comment ref="A397" authorId="0" shapeId="0" xr:uid="{C8106677-E4DB-4FA6-9184-67DB20474D21}">
      <text>
        <r>
          <rPr>
            <sz val="10"/>
            <color indexed="81"/>
            <rFont val="Lucida Console"/>
            <family val="3"/>
          </rPr>
          <t>_x000D_
132232</t>
        </r>
      </text>
    </comment>
    <comment ref="B397" authorId="0" shapeId="0" xr:uid="{5D1CEFBA-2D63-4022-A390-F863BCD1C942}">
      <text>
        <r>
          <rPr>
            <sz val="10"/>
            <color indexed="81"/>
            <rFont val="Lucida Console"/>
            <family val="3"/>
          </rPr>
          <t>DESCRIÇÃO DETALHADA_x000D_
FERRO TIPO U DE 6" X 1/8" - BARRA COM 06 METROS</t>
        </r>
      </text>
    </comment>
    <comment ref="G397" authorId="0" shapeId="0" xr:uid="{D35995D9-765E-4253-AA29-0652126E075A}">
      <text>
        <r>
          <rPr>
            <sz val="10"/>
            <color indexed="81"/>
            <rFont val="Lucida Console"/>
            <family val="3"/>
          </rPr>
          <t>_x000D_
Últ estimativa : 0_x000D_
Enviada em     : 12.05.2020_x000D_
Ata - Venc     : 198/19 - 15.08.2020</t>
        </r>
      </text>
    </comment>
    <comment ref="O397" authorId="0" shapeId="0" xr:uid="{47E1DB05-6D7E-40E7-8B77-6A9D5355B849}">
      <text>
        <r>
          <rPr>
            <sz val="10"/>
            <color indexed="81"/>
            <rFont val="Lucida Console"/>
            <family val="3"/>
          </rPr>
          <t>_x000D_
Pertencia a ATA nº 198/19_x000D_
Estimativa de Renovação enviada em 12.05.2020 - Qtd _x000D_
PE  46/19 lote 32_x000D_
03.09.19 = Processo conferido, finalizado.</t>
        </r>
      </text>
    </comment>
    <comment ref="W397" authorId="0" shapeId="0" xr:uid="{B289DB3E-4D09-4540-B349-A3B4BDF0D660}">
      <text>
        <r>
          <rPr>
            <sz val="10"/>
            <color indexed="81"/>
            <rFont val="Lucida Console"/>
            <family val="3"/>
          </rPr>
          <t>_x000D_
DM-Construção</t>
        </r>
      </text>
    </comment>
    <comment ref="X397" authorId="0" shapeId="0" xr:uid="{E89FCB7C-B981-42C5-B04F-80417DA40CEA}">
      <text>
        <r>
          <rPr>
            <sz val="10"/>
            <color indexed="81"/>
            <rFont val="Lucida Console"/>
            <family val="3"/>
          </rPr>
          <t>_x000D_
MAT.E EQUIP. P/ CONSTR.CIVIL E CONSERV. DE VIAS PUBL.</t>
        </r>
      </text>
    </comment>
    <comment ref="Y397" authorId="0" shapeId="0" xr:uid="{15714BBC-5556-4C7A-891D-E18F09C9211F}">
      <text>
        <r>
          <rPr>
            <sz val="10"/>
            <color indexed="81"/>
            <rFont val="Lucida Console"/>
            <family val="3"/>
          </rPr>
          <t>_x000D_
FERRAGENS E AFINS</t>
        </r>
      </text>
    </comment>
    <comment ref="AW397" authorId="0" shapeId="0" xr:uid="{84C77D20-9E52-47D2-B502-5CB478807E68}">
      <text>
        <r>
          <rPr>
            <sz val="10"/>
            <color indexed="81"/>
            <rFont val="Lucida Console"/>
            <family val="3"/>
          </rPr>
          <t>Tempo de Estoque (Meses)_x000D_
_x000D_
64,0</t>
        </r>
      </text>
    </comment>
    <comment ref="A398" authorId="0" shapeId="0" xr:uid="{A0AD21E5-49E6-456F-BED4-4FE9B0F0B30A}">
      <text>
        <r>
          <rPr>
            <sz val="10"/>
            <color indexed="81"/>
            <rFont val="Lucida Console"/>
            <family val="3"/>
          </rPr>
          <t>_x000D_
115060</t>
        </r>
      </text>
    </comment>
    <comment ref="B398" authorId="0" shapeId="0" xr:uid="{BDC95A97-7E00-4C9E-9F8D-DA6B90112492}">
      <text>
        <r>
          <rPr>
            <sz val="10"/>
            <color indexed="81"/>
            <rFont val="Lucida Console"/>
            <family val="3"/>
          </rPr>
          <t>DESCRIÇÃO DETALHADA_x000D_
CHAPA DE ACO INOX, BLANQUE: 430, ESPESSURA: 1,5MM, COMPRIMENTO: 2,00M E LARGURA: 1,20M</t>
        </r>
      </text>
    </comment>
    <comment ref="G398" authorId="0" shapeId="0" xr:uid="{3648C0CE-92FD-41F2-95C8-B7B2BCD6BDEF}">
      <text>
        <r>
          <rPr>
            <sz val="10"/>
            <color indexed="81"/>
            <rFont val="Lucida Console"/>
            <family val="3"/>
          </rPr>
          <t>_x000D_
Últ estimativa : 0_x000D_
Enviada em     : 12.05.2020_x000D_
Ata - Venc     : 198/19 - 15.08.2020</t>
        </r>
      </text>
    </comment>
    <comment ref="O398" authorId="0" shapeId="0" xr:uid="{41D5A7CB-FBD0-41D8-9356-D816CBE738A2}">
      <text>
        <r>
          <rPr>
            <sz val="10"/>
            <color indexed="81"/>
            <rFont val="Lucida Console"/>
            <family val="3"/>
          </rPr>
          <t>_x000D_
Pertencia a ATA nº 198/19_x000D_
Estimativa de Renovação enviada em 12.05.2020 - Qtd _x000D_
PE  46/19 lote 28_x000D_
03.09.19 = Processo conferido, finalizado.</t>
        </r>
      </text>
    </comment>
    <comment ref="W398" authorId="0" shapeId="0" xr:uid="{C7BB68CF-6CC7-436A-B14C-BB6D3D1D56B3}">
      <text>
        <r>
          <rPr>
            <sz val="10"/>
            <color indexed="81"/>
            <rFont val="Lucida Console"/>
            <family val="3"/>
          </rPr>
          <t>_x000D_
DM-Construção</t>
        </r>
      </text>
    </comment>
    <comment ref="X398" authorId="0" shapeId="0" xr:uid="{1484DBE1-8162-49C9-B86A-5D2CCBF3E3FA}">
      <text>
        <r>
          <rPr>
            <sz val="10"/>
            <color indexed="81"/>
            <rFont val="Lucida Console"/>
            <family val="3"/>
          </rPr>
          <t>_x000D_
METAIS,LAMINAD.,PERFILADOS E ARTEFATOS METALICOS</t>
        </r>
      </text>
    </comment>
    <comment ref="Y398" authorId="0" shapeId="0" xr:uid="{A6E4F320-3BF5-40A2-BA95-84B10B4AED0D}">
      <text>
        <r>
          <rPr>
            <sz val="10"/>
            <color indexed="81"/>
            <rFont val="Lucida Console"/>
            <family val="3"/>
          </rPr>
          <t>_x000D_
CHAPAS DE ACO INOXIDAVEL P/ USOS VARIADOS</t>
        </r>
      </text>
    </comment>
    <comment ref="AW398" authorId="0" shapeId="0" xr:uid="{D15F6380-F4A4-4F55-A1DE-75580F0FF411}">
      <text>
        <r>
          <rPr>
            <sz val="10"/>
            <color indexed="81"/>
            <rFont val="Lucida Console"/>
            <family val="3"/>
          </rPr>
          <t>Tempo de Estoque (Meses)_x000D_
_x000D_
37,0</t>
        </r>
      </text>
    </comment>
    <comment ref="A399" authorId="0" shapeId="0" xr:uid="{689599B3-0577-4769-B40B-16825EEFC85E}">
      <text>
        <r>
          <rPr>
            <sz val="10"/>
            <color indexed="81"/>
            <rFont val="Lucida Console"/>
            <family val="3"/>
          </rPr>
          <t>_x000D_
111336</t>
        </r>
      </text>
    </comment>
    <comment ref="B399" authorId="0" shapeId="0" xr:uid="{EC12D8F5-9274-467D-AE70-D34D397A6125}">
      <text>
        <r>
          <rPr>
            <sz val="10"/>
            <color indexed="81"/>
            <rFont val="Lucida Console"/>
            <family val="3"/>
          </rPr>
          <t>DESCRIÇÃO DETALHADA_x000D_
TUBO QUADRADO DE METALON 100 X 100 X 2 MM - BARRA COM 06 METROS</t>
        </r>
      </text>
    </comment>
    <comment ref="G399" authorId="0" shapeId="0" xr:uid="{DD7EDC6B-8A13-4A46-8ABC-5389EC4DF544}">
      <text>
        <r>
          <rPr>
            <sz val="10"/>
            <color indexed="81"/>
            <rFont val="Lucida Console"/>
            <family val="3"/>
          </rPr>
          <t>_x000D_
Últ estimativa : 0_x000D_
Enviada em     : 12.05.2020_x000D_
Ata - Venc     : 198/19 - 15.08.2020</t>
        </r>
      </text>
    </comment>
    <comment ref="O399" authorId="0" shapeId="0" xr:uid="{4B16EFB6-EF88-4C94-AB0E-8DF7CBA47AA0}">
      <text>
        <r>
          <rPr>
            <sz val="10"/>
            <color indexed="81"/>
            <rFont val="Lucida Console"/>
            <family val="3"/>
          </rPr>
          <t>_x000D_
Pertencia a ATA nº 198/19_x000D_
Estimativa de Renovação enviada em 12.05.2020 - Qtd _x000D_
PE  46/19 lote _x000D_
03.09.19 = Processo conferido, finalizado.</t>
        </r>
      </text>
    </comment>
    <comment ref="W399" authorId="0" shapeId="0" xr:uid="{50BC15DA-7115-4171-9635-5FBEC8E7018C}">
      <text>
        <r>
          <rPr>
            <sz val="10"/>
            <color indexed="81"/>
            <rFont val="Lucida Console"/>
            <family val="3"/>
          </rPr>
          <t>_x000D_
DM-Serralheria</t>
        </r>
      </text>
    </comment>
    <comment ref="X399" authorId="0" shapeId="0" xr:uid="{E0273FC9-8583-4367-8571-BBA6A6E4C60E}">
      <text>
        <r>
          <rPr>
            <sz val="10"/>
            <color indexed="81"/>
            <rFont val="Lucida Console"/>
            <family val="3"/>
          </rPr>
          <t>_x000D_
METAIS,LAMINAD.,PERFILADOS E ARTEFATOS METALICOS</t>
        </r>
      </text>
    </comment>
    <comment ref="Y399" authorId="0" shapeId="0" xr:uid="{592274B9-DEF5-4A76-8430-BDECD04F470B}">
      <text>
        <r>
          <rPr>
            <sz val="10"/>
            <color indexed="81"/>
            <rFont val="Lucida Console"/>
            <family val="3"/>
          </rPr>
          <t>_x000D_
TUBOS MECANICOS</t>
        </r>
      </text>
    </comment>
    <comment ref="AW399" authorId="0" shapeId="0" xr:uid="{B13799EE-675C-467E-98BE-FB1F195DCFB6}">
      <text>
        <r>
          <rPr>
            <sz val="10"/>
            <color indexed="81"/>
            <rFont val="Lucida Console"/>
            <family val="3"/>
          </rPr>
          <t>Tempo de Estoque (Meses)_x000D_
_x000D_
662,0</t>
        </r>
      </text>
    </comment>
    <comment ref="A400" authorId="0" shapeId="0" xr:uid="{E0458CC6-7CF7-4DAB-A26C-08E1D20E9797}">
      <text>
        <r>
          <rPr>
            <sz val="10"/>
            <color indexed="81"/>
            <rFont val="Lucida Console"/>
            <family val="3"/>
          </rPr>
          <t>_x000D_
118515</t>
        </r>
      </text>
    </comment>
    <comment ref="B400" authorId="0" shapeId="0" xr:uid="{DC9E316A-6FFD-4CEA-A8F3-224145563F77}">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00" authorId="0" shapeId="0" xr:uid="{666FB11C-62B3-4522-AAE2-5B68E86DF67E}">
      <text>
        <r>
          <rPr>
            <sz val="10"/>
            <color indexed="81"/>
            <rFont val="Lucida Console"/>
            <family val="3"/>
          </rPr>
          <t>_x000D_
Últ estimativa : 400_x000D_
Enviada em     : 19.05.2020_x000D_
Ata - Venc     : 199/19 - 15.08.2020</t>
        </r>
      </text>
    </comment>
    <comment ref="O400" authorId="0" shapeId="0" xr:uid="{18E92517-6FFC-4102-86FD-93C961136A89}">
      <text>
        <r>
          <rPr>
            <sz val="10"/>
            <color indexed="81"/>
            <rFont val="Lucida Console"/>
            <family val="3"/>
          </rPr>
          <t>_x000D_
Pertencia a ATA nº 199/19_x000D_
Estimativa de Renovação enviada em 19.05.2020 - Qtd 400_x000D_
PE 199/20 lote 1 (Impróspero)_x000D_
30.12.99 = Pregao fracassado</t>
        </r>
      </text>
    </comment>
    <comment ref="W400" authorId="0" shapeId="0" xr:uid="{082E31A5-9B0D-4673-A109-65617DF242BA}">
      <text>
        <r>
          <rPr>
            <sz val="10"/>
            <color indexed="81"/>
            <rFont val="Lucida Console"/>
            <family val="3"/>
          </rPr>
          <t>_x000D_
DM-Construção</t>
        </r>
      </text>
    </comment>
    <comment ref="X400" authorId="0" shapeId="0" xr:uid="{82C4B2F9-7878-4741-AE28-24F15126AE19}">
      <text>
        <r>
          <rPr>
            <sz val="10"/>
            <color indexed="81"/>
            <rFont val="Lucida Console"/>
            <family val="3"/>
          </rPr>
          <t>_x000D_
MAT.E EQUIP. P/ CONSTR.CIVIL E CONSERV. DE VIAS PUBL.</t>
        </r>
      </text>
    </comment>
    <comment ref="Y400" authorId="0" shapeId="0" xr:uid="{A144DE68-EC93-473D-95FD-A147AF6C76F8}">
      <text>
        <r>
          <rPr>
            <sz val="10"/>
            <color indexed="81"/>
            <rFont val="Lucida Console"/>
            <family val="3"/>
          </rPr>
          <t>_x000D_
PISOS DE BORRACHA, PVC E OUTROS COLAVEIS</t>
        </r>
      </text>
    </comment>
    <comment ref="AW400" authorId="0" shapeId="0" xr:uid="{BB5F6BE3-CD13-4464-B5A4-882BF995D7C6}">
      <text>
        <r>
          <rPr>
            <sz val="10"/>
            <color indexed="81"/>
            <rFont val="Lucida Console"/>
            <family val="3"/>
          </rPr>
          <t>Tempo de Estoque (Meses)_x000D_
_x000D_
135,9</t>
        </r>
      </text>
    </comment>
    <comment ref="A401" authorId="0" shapeId="0" xr:uid="{2F979696-30FA-4667-9BDF-F7BE62B88315}">
      <text>
        <r>
          <rPr>
            <sz val="10"/>
            <color indexed="81"/>
            <rFont val="Lucida Console"/>
            <family val="3"/>
          </rPr>
          <t>_x000D_
118577</t>
        </r>
      </text>
    </comment>
    <comment ref="B401" authorId="0" shapeId="0" xr:uid="{BB3F9AAC-AEA2-4B1A-A8EC-FE137E7C9136}">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01" authorId="0" shapeId="0" xr:uid="{CE1D7838-29C8-4121-B0D1-6D7AC767EC63}">
      <text>
        <r>
          <rPr>
            <sz val="10"/>
            <color indexed="81"/>
            <rFont val="Lucida Console"/>
            <family val="3"/>
          </rPr>
          <t>_x000D_
Últ estimativa : 800_x000D_
Enviada em     : 19.05.2020_x000D_
Ata - Venc     : 199/19 - 15.08.2020</t>
        </r>
      </text>
    </comment>
    <comment ref="O401" authorId="0" shapeId="0" xr:uid="{F666D6B3-F56A-47A2-9FE1-5C27D3FD0F06}">
      <text>
        <r>
          <rPr>
            <sz val="10"/>
            <color indexed="81"/>
            <rFont val="Lucida Console"/>
            <family val="3"/>
          </rPr>
          <t>_x000D_
Pertencia a ATA nº 199/19_x000D_
Estimativa de Renovação enviada em 19.05.2020 - Qtd 800_x000D_
PE 199/20 lote 2 (Impróspero)_x000D_
30.12.99 = Pregao fracassado</t>
        </r>
      </text>
    </comment>
    <comment ref="W401" authorId="0" shapeId="0" xr:uid="{CB8EFF63-848F-49F9-A6B6-7443A10AAD5B}">
      <text>
        <r>
          <rPr>
            <sz val="10"/>
            <color indexed="81"/>
            <rFont val="Lucida Console"/>
            <family val="3"/>
          </rPr>
          <t>_x000D_
DM-Construção</t>
        </r>
      </text>
    </comment>
    <comment ref="X401" authorId="0" shapeId="0" xr:uid="{89DDEC3A-7A71-43DA-AC16-5AEB7559EB7C}">
      <text>
        <r>
          <rPr>
            <sz val="10"/>
            <color indexed="81"/>
            <rFont val="Lucida Console"/>
            <family val="3"/>
          </rPr>
          <t>_x000D_
MAT.E EQUIP. P/ CONSTR.CIVIL E CONSERV. DE VIAS PUBL.</t>
        </r>
      </text>
    </comment>
    <comment ref="Y401" authorId="0" shapeId="0" xr:uid="{3115F073-709A-4D8B-A32B-4745C634665C}">
      <text>
        <r>
          <rPr>
            <sz val="10"/>
            <color indexed="81"/>
            <rFont val="Lucida Console"/>
            <family val="3"/>
          </rPr>
          <t>_x000D_
PISOS DE BORRACHA, PVC E OUTROS COLAVEIS</t>
        </r>
      </text>
    </comment>
    <comment ref="AW401" authorId="0" shapeId="0" xr:uid="{7F830504-0F73-4B28-A6EE-B574B7B7D220}">
      <text>
        <r>
          <rPr>
            <sz val="10"/>
            <color indexed="81"/>
            <rFont val="Lucida Console"/>
            <family val="3"/>
          </rPr>
          <t>Tempo de Estoque (Meses)_x000D_
_x000D_
2.000,0</t>
        </r>
      </text>
    </comment>
    <comment ref="A402" authorId="0" shapeId="0" xr:uid="{C4B7F7C7-6F84-474F-BC16-ADFEABB3E0BC}">
      <text>
        <r>
          <rPr>
            <sz val="10"/>
            <color indexed="81"/>
            <rFont val="Lucida Console"/>
            <family val="3"/>
          </rPr>
          <t>_x000D_
114772</t>
        </r>
      </text>
    </comment>
    <comment ref="B402" authorId="0" shapeId="0" xr:uid="{2097097E-24AF-4396-A904-9C9940BE0542}">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02" authorId="0" shapeId="0" xr:uid="{62D31D59-B01A-4940-83C0-038C4997F40D}">
      <text>
        <r>
          <rPr>
            <sz val="10"/>
            <color indexed="81"/>
            <rFont val="Lucida Console"/>
            <family val="3"/>
          </rPr>
          <t>_x000D_
Últ estimativa : 0_x000D_
Enviada em     : 24.10.2019_x000D_
Ata - Venc     : 2/19 - 01.01.2020</t>
        </r>
      </text>
    </comment>
    <comment ref="O402" authorId="0" shapeId="0" xr:uid="{5D3859F9-83D8-4BD4-A793-2BEA6093855B}">
      <text>
        <r>
          <rPr>
            <sz val="10"/>
            <color indexed="81"/>
            <rFont val="Lucida Console"/>
            <family val="3"/>
          </rPr>
          <t>_x000D_
Pertencia a ATA nº 2/19_x000D_
Estimativa de Renovação enviada em 24.10.2019 - Qtd _x000D_
PP 208/18 lote _x000D_
22.01.19 = Processo conferido e finalizado. Ata 2/19.</t>
        </r>
      </text>
    </comment>
    <comment ref="W402" authorId="0" shapeId="0" xr:uid="{A3FA2D0C-20CE-4C7F-8C31-9DED6896E42D}">
      <text>
        <r>
          <rPr>
            <sz val="10"/>
            <color indexed="81"/>
            <rFont val="Lucida Console"/>
            <family val="3"/>
          </rPr>
          <t>_x000D_
DM-Elétrica</t>
        </r>
      </text>
    </comment>
    <comment ref="X402" authorId="0" shapeId="0" xr:uid="{AFC58E19-577C-4AD4-98EC-48CBF901B35F}">
      <text>
        <r>
          <rPr>
            <sz val="10"/>
            <color indexed="81"/>
            <rFont val="Lucida Console"/>
            <family val="3"/>
          </rPr>
          <t>_x000D_
EQUIP. MAT. P/ GERACAO, TRANSM. DISTR. RETIF...</t>
        </r>
      </text>
    </comment>
    <comment ref="Y402" authorId="0" shapeId="0" xr:uid="{FF2BB7A4-7E64-41C3-87D3-19F20C3A5098}">
      <text>
        <r>
          <rPr>
            <sz val="10"/>
            <color indexed="81"/>
            <rFont val="Lucida Console"/>
            <family val="3"/>
          </rPr>
          <t>_x000D_
CAIXAS</t>
        </r>
      </text>
    </comment>
    <comment ref="AW402" authorId="0" shapeId="0" xr:uid="{8C198FA9-6001-46D9-95A9-C510A0DBC6BE}">
      <text>
        <r>
          <rPr>
            <sz val="10"/>
            <color indexed="81"/>
            <rFont val="Lucida Console"/>
            <family val="3"/>
          </rPr>
          <t>Tempo de Estoque (Meses)_x000D_
_x000D_
35,0</t>
        </r>
      </text>
    </comment>
    <comment ref="A403" authorId="0" shapeId="0" xr:uid="{3027E68E-A530-4D90-BF0D-5F0CD6DEBDA3}">
      <text>
        <r>
          <rPr>
            <sz val="10"/>
            <color indexed="81"/>
            <rFont val="Lucida Console"/>
            <family val="3"/>
          </rPr>
          <t>_x000D_
112109</t>
        </r>
      </text>
    </comment>
    <comment ref="B403" authorId="0" shapeId="0" xr:uid="{1547F931-9441-4AE9-A7F0-C6152F146C32}">
      <text>
        <r>
          <rPr>
            <sz val="10"/>
            <color indexed="81"/>
            <rFont val="Lucida Console"/>
            <family val="3"/>
          </rPr>
          <t xml:space="preserve">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 </t>
        </r>
      </text>
    </comment>
    <comment ref="G403" authorId="0" shapeId="0" xr:uid="{FE5F0EC2-DA8D-400B-A333-3FA9C6DB5BA3}">
      <text>
        <r>
          <rPr>
            <sz val="10"/>
            <color indexed="81"/>
            <rFont val="Lucida Console"/>
            <family val="3"/>
          </rPr>
          <t>_x000D_
Últ estimativa : 18.000_x000D_
Enviada em     : 16.04.2020_x000D_
Ata - Venc     : 2/21 - 29.06.2021</t>
        </r>
      </text>
    </comment>
    <comment ref="O403" authorId="0" shapeId="0" xr:uid="{E23301A6-58EA-4BE3-98EA-3F2EED8563F8}">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03" authorId="0" shapeId="0" xr:uid="{DA7D3178-9C3A-4A2D-A839-3D262665E201}">
      <text>
        <r>
          <rPr>
            <sz val="10"/>
            <color indexed="81"/>
            <rFont val="Lucida Console"/>
            <family val="3"/>
          </rPr>
          <t>_x000D_
Administrativo</t>
        </r>
      </text>
    </comment>
    <comment ref="X403" authorId="0" shapeId="0" xr:uid="{3BE2E376-DB66-484F-957B-A570D2754A06}">
      <text>
        <r>
          <rPr>
            <sz val="10"/>
            <color indexed="81"/>
            <rFont val="Lucida Console"/>
            <family val="3"/>
          </rPr>
          <t>_x000D_
MAQ.EQUIP.E MATERIAIS P/ HIGIEN.LIMP.POLIM.E LUBR.</t>
        </r>
      </text>
    </comment>
    <comment ref="Y403" authorId="0" shapeId="0" xr:uid="{09C8C729-F2E3-4212-A747-724AA5759DC1}">
      <text>
        <r>
          <rPr>
            <sz val="10"/>
            <color indexed="81"/>
            <rFont val="Lucida Console"/>
            <family val="3"/>
          </rPr>
          <t>_x000D_
PRODUTOS DE LIMPEZA</t>
        </r>
      </text>
    </comment>
    <comment ref="AW403" authorId="0" shapeId="0" xr:uid="{8262939C-A083-419E-A6F3-F4E9B2425BF0}">
      <text>
        <r>
          <rPr>
            <sz val="10"/>
            <color indexed="81"/>
            <rFont val="Lucida Console"/>
            <family val="3"/>
          </rPr>
          <t>Tempo de Estoque (Meses)_x000D_
_x000D_
21.519,0</t>
        </r>
      </text>
    </comment>
    <comment ref="A404" authorId="0" shapeId="0" xr:uid="{9B524A5D-A4ED-49F1-B035-5B83C6844594}">
      <text>
        <r>
          <rPr>
            <sz val="10"/>
            <color indexed="81"/>
            <rFont val="Lucida Console"/>
            <family val="3"/>
          </rPr>
          <t>_x000D_
59400</t>
        </r>
      </text>
    </comment>
    <comment ref="B404" authorId="0" shapeId="0" xr:uid="{05C04058-7DC1-4A5C-B782-A14D7A3D0880}">
      <text>
        <r>
          <rPr>
            <sz val="10"/>
            <color indexed="81"/>
            <rFont val="Lucida Console"/>
            <family val="3"/>
          </rPr>
          <t>DESCRIÇÃO DETALHADA_x000D_
LUVA DE PVC SOLDAVEL DE 32 MM - 1" - MARROM. A MARCA DEVERA VIR LITOGRAFADA NA PECA.</t>
        </r>
      </text>
    </comment>
    <comment ref="G404" authorId="0" shapeId="0" xr:uid="{3B637ABC-645A-47C9-B8E6-1EA582668861}">
      <text>
        <r>
          <rPr>
            <sz val="10"/>
            <color indexed="81"/>
            <rFont val="Lucida Console"/>
            <family val="3"/>
          </rPr>
          <t>_x000D_
Últ estimativa : 0_x000D_
Enviada em     : 14.11.2018_x000D_
Ata - Venc     : 20/18 - 21.01.2019</t>
        </r>
      </text>
    </comment>
    <comment ref="O404" authorId="0" shapeId="0" xr:uid="{EA4F4229-D69B-4A2C-8D74-0DEBB3EF58F0}">
      <text>
        <r>
          <rPr>
            <sz val="10"/>
            <color indexed="81"/>
            <rFont val="Lucida Console"/>
            <family val="3"/>
          </rPr>
          <t>_x000D_
Pertencia a ATA nº 20/18_x000D_
Estimativa de Renovação enviada em 14.11.2018 - Qtd _x000D_
PP  12/19 lote _x000D_
11.07.19 = Processo finalizado. Ata 76/19.</t>
        </r>
      </text>
    </comment>
    <comment ref="W404" authorId="0" shapeId="0" xr:uid="{E7FCFD02-F24C-4FB9-826B-2E2FA2474C8C}">
      <text>
        <r>
          <rPr>
            <sz val="10"/>
            <color indexed="81"/>
            <rFont val="Lucida Console"/>
            <family val="3"/>
          </rPr>
          <t>_x000D_
DM-Hidráulica</t>
        </r>
      </text>
    </comment>
    <comment ref="X404" authorId="0" shapeId="0" xr:uid="{703C47F1-DFCF-49DC-9386-8B89B9DEC798}">
      <text>
        <r>
          <rPr>
            <sz val="10"/>
            <color indexed="81"/>
            <rFont val="Lucida Console"/>
            <family val="3"/>
          </rPr>
          <t>_x000D_
MATERIAL HIDRAULICO, CANOS, TUBOS, MANGUEIRAS, CONEXOES E ACESS.</t>
        </r>
      </text>
    </comment>
    <comment ref="Y404" authorId="0" shapeId="0" xr:uid="{C556BE70-A1EA-4848-ABA7-6E91BC31FD33}">
      <text>
        <r>
          <rPr>
            <sz val="10"/>
            <color indexed="81"/>
            <rFont val="Lucida Console"/>
            <family val="3"/>
          </rPr>
          <t>_x000D_
ADAP. LUVAS.TES CURVAS COTOVELOS PLUGS FLANGES.....</t>
        </r>
      </text>
    </comment>
    <comment ref="AW404" authorId="0" shapeId="0" xr:uid="{C49DDB0D-1D62-4147-BA22-CC0349A2BD31}">
      <text>
        <r>
          <rPr>
            <sz val="10"/>
            <color indexed="81"/>
            <rFont val="Lucida Console"/>
            <family val="3"/>
          </rPr>
          <t>Tempo de Estoque (Meses)_x000D_
_x000D_
138,0</t>
        </r>
      </text>
    </comment>
    <comment ref="A405" authorId="0" shapeId="0" xr:uid="{F3BF36C6-E23A-4C55-B9E6-F7B75368CD07}">
      <text>
        <r>
          <rPr>
            <sz val="10"/>
            <color indexed="81"/>
            <rFont val="Lucida Console"/>
            <family val="3"/>
          </rPr>
          <t>_x000D_
63277</t>
        </r>
      </text>
    </comment>
    <comment ref="B405" authorId="0" shapeId="0" xr:uid="{50E5B451-3F70-4797-8BE7-7BB3B8C59AE3}">
      <text>
        <r>
          <rPr>
            <sz val="10"/>
            <color indexed="81"/>
            <rFont val="Lucida Console"/>
            <family val="3"/>
          </rPr>
          <t xml:space="preserve">DESCRIÇÃO DETALHADA_x000D_
COTOVELO 45 GRAUS EM PVC BRANCO - 50 MM, DE ACORDO COM A NORMA NBR 5688 E A MARCA DEVERA VIR LITOGRAFADA NA PECA  </t>
        </r>
      </text>
    </comment>
    <comment ref="G405" authorId="0" shapeId="0" xr:uid="{CAD70B39-1C8C-44C2-8DBF-3F9A22CD1249}">
      <text>
        <r>
          <rPr>
            <sz val="10"/>
            <color indexed="81"/>
            <rFont val="Lucida Console"/>
            <family val="3"/>
          </rPr>
          <t>_x000D_
Últ estimativa : 0_x000D_
Enviada em     : 14.11.2018_x000D_
Ata - Venc     : 20/18 - 21.01.2019</t>
        </r>
      </text>
    </comment>
    <comment ref="O405" authorId="0" shapeId="0" xr:uid="{B6E7BD87-4D33-480A-9562-4D292DFB78B1}">
      <text>
        <r>
          <rPr>
            <sz val="10"/>
            <color indexed="81"/>
            <rFont val="Lucida Console"/>
            <family val="3"/>
          </rPr>
          <t>_x000D_
Pertencia a ATA nº 20/18_x000D_
Estimativa de Renovação enviada em 14.11.2018 - Qtd _x000D_
PP  12/19 lote _x000D_
11.07.19 = Processo finalizado. Ata 76/19.</t>
        </r>
      </text>
    </comment>
    <comment ref="W405" authorId="0" shapeId="0" xr:uid="{BCE99213-21C0-4DA1-9BC0-59A0D2C502E2}">
      <text>
        <r>
          <rPr>
            <sz val="10"/>
            <color indexed="81"/>
            <rFont val="Lucida Console"/>
            <family val="3"/>
          </rPr>
          <t>_x000D_
DM-Hidráulica</t>
        </r>
      </text>
    </comment>
    <comment ref="X405" authorId="0" shapeId="0" xr:uid="{1C855CCB-59ED-46B8-977C-4841798C4C7D}">
      <text>
        <r>
          <rPr>
            <sz val="10"/>
            <color indexed="81"/>
            <rFont val="Lucida Console"/>
            <family val="3"/>
          </rPr>
          <t>_x000D_
MATERIAL HIDRAULICO, CANOS, TUBOS, MANGUEIRAS, CONEXOES E ACESS.</t>
        </r>
      </text>
    </comment>
    <comment ref="Y405" authorId="0" shapeId="0" xr:uid="{2684B359-42AA-4A45-BA79-76C653FF78A6}">
      <text>
        <r>
          <rPr>
            <sz val="10"/>
            <color indexed="81"/>
            <rFont val="Lucida Console"/>
            <family val="3"/>
          </rPr>
          <t>_x000D_
ADAP. LUVAS.TES CURVAS COTOVELOS PLUGS FLANGES.....</t>
        </r>
      </text>
    </comment>
    <comment ref="AW405" authorId="0" shapeId="0" xr:uid="{2A6EAC25-C616-4725-A96C-0C96866A3E53}">
      <text>
        <r>
          <rPr>
            <sz val="10"/>
            <color indexed="81"/>
            <rFont val="Lucida Console"/>
            <family val="3"/>
          </rPr>
          <t>Tempo de Estoque (Meses)_x000D_
_x000D_
308,0</t>
        </r>
      </text>
    </comment>
    <comment ref="A406" authorId="0" shapeId="0" xr:uid="{B659655F-01B7-44CB-B032-09BA351AFF47}">
      <text>
        <r>
          <rPr>
            <sz val="10"/>
            <color indexed="81"/>
            <rFont val="Lucida Console"/>
            <family val="3"/>
          </rPr>
          <t>_x000D_
115805</t>
        </r>
      </text>
    </comment>
    <comment ref="B406" authorId="0" shapeId="0" xr:uid="{FA132BA5-67C6-4D1D-8513-A4C67D9DB07B}">
      <text>
        <r>
          <rPr>
            <sz val="10"/>
            <color indexed="81"/>
            <rFont val="Lucida Console"/>
            <family val="3"/>
          </rPr>
          <t xml:space="preserve">DESCRIÇÃO DETALHADA_x000D_
REPARO PARA VALVULA HIDRA MAX, CLEAN PRO E BASE 325 </t>
        </r>
      </text>
    </comment>
    <comment ref="G406" authorId="0" shapeId="0" xr:uid="{79B418BB-856E-4451-8718-D4F69BCD3671}">
      <text>
        <r>
          <rPr>
            <sz val="10"/>
            <color indexed="81"/>
            <rFont val="Lucida Console"/>
            <family val="3"/>
          </rPr>
          <t>_x000D_
Últ estimativa : 0_x000D_
Enviada em     : 14.11.2018_x000D_
Ata - Venc     : 20/18 - 21.01.2019</t>
        </r>
      </text>
    </comment>
    <comment ref="O406" authorId="0" shapeId="0" xr:uid="{576ACD96-3A61-4FF6-8332-3DEF4C62A8A3}">
      <text>
        <r>
          <rPr>
            <sz val="10"/>
            <color indexed="81"/>
            <rFont val="Lucida Console"/>
            <family val="3"/>
          </rPr>
          <t>_x000D_
Pertencia a ATA nº 20/18_x000D_
Estimativa de Renovação enviada em 14.11.2018 - Qtd _x000D_
PP  12/19 lote _x000D_
11.07.19 = Processo finalizado. Ata 76/19.</t>
        </r>
      </text>
    </comment>
    <comment ref="W406" authorId="0" shapeId="0" xr:uid="{D846FB24-2C74-4BBE-9621-B1CD47D311D1}">
      <text>
        <r>
          <rPr>
            <sz val="10"/>
            <color indexed="81"/>
            <rFont val="Lucida Console"/>
            <family val="3"/>
          </rPr>
          <t>_x000D_
DM-Hidráulica</t>
        </r>
      </text>
    </comment>
    <comment ref="X406" authorId="0" shapeId="0" xr:uid="{D1C0EAB7-3B3A-49C9-ABBD-8DE73B629A94}">
      <text>
        <r>
          <rPr>
            <sz val="10"/>
            <color indexed="81"/>
            <rFont val="Lucida Console"/>
            <family val="3"/>
          </rPr>
          <t>_x000D_
MATERIAL HIDRAULICO, CANOS, TUBOS, MANGUEIRAS, CONEXOES E ACESS.</t>
        </r>
      </text>
    </comment>
    <comment ref="Y406" authorId="0" shapeId="0" xr:uid="{E52B0956-BEE6-4D5D-84A7-1ECBE47CA5AB}">
      <text>
        <r>
          <rPr>
            <sz val="10"/>
            <color indexed="81"/>
            <rFont val="Lucida Console"/>
            <family val="3"/>
          </rPr>
          <t>_x000D_
REGISTROS VALVULAS E BOIAS</t>
        </r>
      </text>
    </comment>
    <comment ref="AW406" authorId="0" shapeId="0" xr:uid="{127D208F-FA4A-44CF-975A-93E7C48E7D45}">
      <text>
        <r>
          <rPr>
            <sz val="10"/>
            <color indexed="81"/>
            <rFont val="Lucida Console"/>
            <family val="3"/>
          </rPr>
          <t>Tempo de Estoque (Meses)_x000D_
_x000D_
267,0</t>
        </r>
      </text>
    </comment>
    <comment ref="A407" authorId="0" shapeId="0" xr:uid="{BEAE1E6F-4A80-4085-BCD6-CB73B560EA29}">
      <text>
        <r>
          <rPr>
            <sz val="10"/>
            <color indexed="81"/>
            <rFont val="Lucida Console"/>
            <family val="3"/>
          </rPr>
          <t>_x000D_
13561</t>
        </r>
      </text>
    </comment>
    <comment ref="B407" authorId="0" shapeId="0" xr:uid="{9D428E3B-A823-42D0-8264-ECE8A7DECF62}">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07" authorId="0" shapeId="0" xr:uid="{0146B56F-05D0-4C32-AC51-4820BC42960A}">
      <text>
        <r>
          <rPr>
            <sz val="10"/>
            <color indexed="81"/>
            <rFont val="Lucida Console"/>
            <family val="3"/>
          </rPr>
          <t>_x000D_
Últ estimativa : 200_x000D_
Enviada em     : 24.11.2020_x000D_
Ata - Venc     : 204/18 - 08.10.2019</t>
        </r>
      </text>
    </comment>
    <comment ref="O407" authorId="0" shapeId="0" xr:uid="{D6F7997C-7B3B-4061-867E-D5EDA3C172EB}">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07" authorId="0" shapeId="0" xr:uid="{96113113-61A5-42B5-9677-D68A11951326}">
      <text>
        <r>
          <rPr>
            <sz val="10"/>
            <color indexed="81"/>
            <rFont val="Lucida Console"/>
            <family val="3"/>
          </rPr>
          <t>_x000D_
DM-Hidráulica</t>
        </r>
      </text>
    </comment>
    <comment ref="X407" authorId="0" shapeId="0" xr:uid="{7EF0452D-36EF-4A70-9D0D-7ABF8380272F}">
      <text>
        <r>
          <rPr>
            <sz val="10"/>
            <color indexed="81"/>
            <rFont val="Lucida Console"/>
            <family val="3"/>
          </rPr>
          <t>_x000D_
MATERIAL HIDRAULICO, CANOS, TUBOS, MANGUEIRAS, CONEXOES E ACESS.</t>
        </r>
      </text>
    </comment>
    <comment ref="Y407" authorId="0" shapeId="0" xr:uid="{D160C9BE-D7D5-41A5-9E7D-E80656AE4F05}">
      <text>
        <r>
          <rPr>
            <sz val="10"/>
            <color indexed="81"/>
            <rFont val="Lucida Console"/>
            <family val="3"/>
          </rPr>
          <t>_x000D_
CANOS E TUBOS PLASTICOS</t>
        </r>
      </text>
    </comment>
    <comment ref="AW407" authorId="0" shapeId="0" xr:uid="{FADAB6E3-E407-4DD6-831F-6E18BBE81987}">
      <text>
        <r>
          <rPr>
            <sz val="10"/>
            <color indexed="81"/>
            <rFont val="Lucida Console"/>
            <family val="3"/>
          </rPr>
          <t>Tempo de Estoque (Meses)_x000D_
_x000D_
326,0</t>
        </r>
      </text>
    </comment>
    <comment ref="A408" authorId="0" shapeId="0" xr:uid="{58D7AA07-0B40-41B0-A5F8-448F25CC0DA4}">
      <text>
        <r>
          <rPr>
            <sz val="10"/>
            <color indexed="81"/>
            <rFont val="Lucida Console"/>
            <family val="3"/>
          </rPr>
          <t>_x000D_
116466</t>
        </r>
      </text>
    </comment>
    <comment ref="B408" authorId="0" shapeId="0" xr:uid="{F03F454B-2C01-4ECF-A762-8D5407C6D1EC}">
      <text>
        <r>
          <rPr>
            <sz val="10"/>
            <color indexed="81"/>
            <rFont val="Lucida Console"/>
            <family val="3"/>
          </rPr>
          <t>DESCRIÇÃO DETALHADA_x000D_
CANTONEIRA EM ACO PARA FIXACAO DE BALS MEDINDO 47 MM X 20 MM X 25 MM COM 3 FUROS</t>
        </r>
      </text>
    </comment>
    <comment ref="G408" authorId="0" shapeId="0" xr:uid="{002CEF81-764C-47F2-9757-6EE8E27E77D7}">
      <text>
        <r>
          <rPr>
            <sz val="10"/>
            <color indexed="81"/>
            <rFont val="Lucida Console"/>
            <family val="3"/>
          </rPr>
          <t>_x000D_
Últ estimativa : 8.500_x000D_
Enviada em     : 25.06.2019_x000D_
Ata - Venc     : 204/18 - 08.10.2019</t>
        </r>
      </text>
    </comment>
    <comment ref="O408" authorId="0" shapeId="0" xr:uid="{0AED0D5C-4F67-40C1-A548-DBA49FADFE6D}">
      <text>
        <r>
          <rPr>
            <sz val="10"/>
            <color indexed="81"/>
            <rFont val="Lucida Console"/>
            <family val="3"/>
          </rPr>
          <t>_x000D_
Pertencia a ATA nº 204/18_x000D_
Estimativa de Renovação enviada em 25.06.2019 - Qtd 8.500_x000D_
PP 170/18 lote _x000D_
23.10.18 = Processo finalizado. Ata 204/18.</t>
        </r>
      </text>
    </comment>
    <comment ref="W408" authorId="0" shapeId="0" xr:uid="{7D2D09A3-314E-44DE-B1B0-7E3A2C982B4A}">
      <text>
        <r>
          <rPr>
            <sz val="10"/>
            <color indexed="81"/>
            <rFont val="Lucida Console"/>
            <family val="3"/>
          </rPr>
          <t>_x000D_
DM-Serralheria</t>
        </r>
      </text>
    </comment>
    <comment ref="X408" authorId="0" shapeId="0" xr:uid="{BD6FDEAB-71F0-46DC-97BD-7C531DBF1D42}">
      <text>
        <r>
          <rPr>
            <sz val="10"/>
            <color indexed="81"/>
            <rFont val="Lucida Console"/>
            <family val="3"/>
          </rPr>
          <t>_x000D_
METAIS,LAMINAD.,PERFILADOS E ARTEFATOS METALICOS</t>
        </r>
      </text>
    </comment>
    <comment ref="Y408" authorId="0" shapeId="0" xr:uid="{47FE1805-33DD-47BA-A624-778E0248880E}">
      <text>
        <r>
          <rPr>
            <sz val="10"/>
            <color indexed="81"/>
            <rFont val="Lucida Console"/>
            <family val="3"/>
          </rPr>
          <t>_x000D_
CANTONEIRAS</t>
        </r>
      </text>
    </comment>
    <comment ref="AW408" authorId="0" shapeId="0" xr:uid="{89B4D1C1-ABDA-4CF4-83CB-88AA0BCFEAB8}">
      <text>
        <r>
          <rPr>
            <sz val="10"/>
            <color indexed="81"/>
            <rFont val="Lucida Console"/>
            <family val="3"/>
          </rPr>
          <t>Tempo de Estoque (Meses)_x000D_
_x000D_
3.339,0</t>
        </r>
      </text>
    </comment>
    <comment ref="A409" authorId="0" shapeId="0" xr:uid="{66689BF1-06FA-40C2-91A2-07D0ACBB7ADF}">
      <text>
        <r>
          <rPr>
            <sz val="10"/>
            <color indexed="81"/>
            <rFont val="Lucida Console"/>
            <family val="3"/>
          </rPr>
          <t>_x000D_
82995</t>
        </r>
      </text>
    </comment>
    <comment ref="B409" authorId="0" shapeId="0" xr:uid="{CE360263-19D2-4481-AE25-5DA6B12B8FBC}">
      <text>
        <r>
          <rPr>
            <sz val="10"/>
            <color indexed="81"/>
            <rFont val="Lucida Console"/>
            <family val="3"/>
          </rPr>
          <t>DESCRIÇÃO DETALHADA_x000D_
GONZO COM ABAS N. 3 (65MM)</t>
        </r>
      </text>
    </comment>
    <comment ref="G409" authorId="0" shapeId="0" xr:uid="{CE77F9B2-2BCA-4121-B9E4-93281A21D7BE}">
      <text>
        <r>
          <rPr>
            <sz val="10"/>
            <color indexed="81"/>
            <rFont val="Lucida Console"/>
            <family val="3"/>
          </rPr>
          <t>_x000D_
Últ estimativa : 700_x000D_
Enviada em     : 14.02.2020_x000D_
Ata - Venc     : 206/20 - 16.09.2021</t>
        </r>
      </text>
    </comment>
    <comment ref="O409" authorId="0" shapeId="0" xr:uid="{6737743C-5000-4C2A-8F07-5038EBA25565}">
      <text>
        <r>
          <rPr>
            <sz val="10"/>
            <color indexed="81"/>
            <rFont val="Lucida Console"/>
            <family val="3"/>
          </rPr>
          <t>_x000D_
Pertencia a ATA nº 206/20_x000D_
Estimativa de Renovação enviada em 14.02.2020 - Qtd 700_x000D_
PE  28/19 lote _x000D_
24.07.19 = Processo conferido, finalizado.</t>
        </r>
      </text>
    </comment>
    <comment ref="W409" authorId="0" shapeId="0" xr:uid="{D5E7F40A-38FD-4A73-AA18-A62252DFB000}">
      <text>
        <r>
          <rPr>
            <sz val="10"/>
            <color indexed="81"/>
            <rFont val="Lucida Console"/>
            <family val="3"/>
          </rPr>
          <t>_x000D_
DM-Construção</t>
        </r>
      </text>
    </comment>
    <comment ref="X409" authorId="0" shapeId="0" xr:uid="{587D1EBA-7A2E-4D81-930C-6C97C3762252}">
      <text>
        <r>
          <rPr>
            <sz val="10"/>
            <color indexed="81"/>
            <rFont val="Lucida Console"/>
            <family val="3"/>
          </rPr>
          <t>_x000D_
MAT.E EQUIP. P/ CONSTR.CIVIL E CONSERV. DE VIAS PUBL.</t>
        </r>
      </text>
    </comment>
    <comment ref="Y409" authorId="0" shapeId="0" xr:uid="{77DB3635-0009-4033-ADDE-A2369E4E4B9D}">
      <text>
        <r>
          <rPr>
            <sz val="10"/>
            <color indexed="81"/>
            <rFont val="Lucida Console"/>
            <family val="3"/>
          </rPr>
          <t>_x000D_
FECHADURAS, DOBRADICAS E MACANETAS</t>
        </r>
      </text>
    </comment>
    <comment ref="AW409" authorId="0" shapeId="0" xr:uid="{8C8A9685-6BD7-44DB-A2C9-65F55AAAD082}">
      <text>
        <r>
          <rPr>
            <sz val="10"/>
            <color indexed="81"/>
            <rFont val="Lucida Console"/>
            <family val="3"/>
          </rPr>
          <t>Tempo de Estoque (Meses)_x000D_
_x000D_
300,0</t>
        </r>
      </text>
    </comment>
    <comment ref="A410" authorId="0" shapeId="0" xr:uid="{43DA78C5-A144-42E2-85DF-8C0BC51A2F7B}">
      <text>
        <r>
          <rPr>
            <sz val="10"/>
            <color indexed="81"/>
            <rFont val="Lucida Console"/>
            <family val="3"/>
          </rPr>
          <t>_x000D_
136554</t>
        </r>
      </text>
    </comment>
    <comment ref="B410" authorId="0" shapeId="0" xr:uid="{BAEBD580-614C-4FA2-A812-1FBE0A7E84A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10" authorId="0" shapeId="0" xr:uid="{DA137FD7-4322-45FE-9E9C-2CE72DD91581}">
      <text>
        <r>
          <rPr>
            <sz val="10"/>
            <color indexed="81"/>
            <rFont val="Lucida Console"/>
            <family val="3"/>
          </rPr>
          <t>_x000D_
Últ estimativa : 1.500_x000D_
Enviada em     : 12.05.2020_x000D_
Ata - Venc     : 206/20 - 16.09.2021</t>
        </r>
      </text>
    </comment>
    <comment ref="O410" authorId="0" shapeId="0" xr:uid="{CD4ABF56-4CF9-41A4-8535-3B39F7A5B416}">
      <text>
        <r>
          <rPr>
            <sz val="10"/>
            <color indexed="81"/>
            <rFont val="Lucida Console"/>
            <family val="3"/>
          </rPr>
          <t>_x000D_
Pertencia a ATA nº 206/20_x000D_
Estimativa de Renovação enviada em 12.05.2020 - Qtd 1.500_x000D_
PP  95/19 lote _x000D_
29.08.18 = Finalizado</t>
        </r>
      </text>
    </comment>
    <comment ref="W410" authorId="0" shapeId="0" xr:uid="{AFD5323E-9ECA-4E21-80A5-3FED00DE8018}">
      <text>
        <r>
          <rPr>
            <sz val="10"/>
            <color indexed="81"/>
            <rFont val="Lucida Console"/>
            <family val="3"/>
          </rPr>
          <t>_x000D_
DM-Construção</t>
        </r>
      </text>
    </comment>
    <comment ref="X410" authorId="0" shapeId="0" xr:uid="{1E2FF2DA-9580-4148-B865-DB55488E1562}">
      <text>
        <r>
          <rPr>
            <sz val="10"/>
            <color indexed="81"/>
            <rFont val="Lucida Console"/>
            <family val="3"/>
          </rPr>
          <t>_x000D_
MAT.E EQUIP. P/ CONSTR.CIVIL E CONSERV. DE VIAS PUBL.</t>
        </r>
      </text>
    </comment>
    <comment ref="Y410" authorId="0" shapeId="0" xr:uid="{5903E62C-416A-49B0-8D8C-5D29E1AB59BA}">
      <text>
        <r>
          <rPr>
            <sz val="10"/>
            <color indexed="81"/>
            <rFont val="Lucida Console"/>
            <family val="3"/>
          </rPr>
          <t>_x000D_
FECHADURAS INTERNAS E EXTERNAS</t>
        </r>
      </text>
    </comment>
    <comment ref="AW410" authorId="0" shapeId="0" xr:uid="{E949F8AC-7364-46AF-9291-B64F9BF2B01A}">
      <text>
        <r>
          <rPr>
            <sz val="10"/>
            <color indexed="81"/>
            <rFont val="Lucida Console"/>
            <family val="3"/>
          </rPr>
          <t>Tempo de Estoque (Meses)_x000D_
_x000D_
2.000,0</t>
        </r>
      </text>
    </comment>
    <comment ref="A411" authorId="0" shapeId="0" xr:uid="{1F0E9EA2-B5CA-47D0-BABC-788A7C4E2DDB}">
      <text>
        <r>
          <rPr>
            <sz val="10"/>
            <color indexed="81"/>
            <rFont val="Lucida Console"/>
            <family val="3"/>
          </rPr>
          <t>_x000D_
136555</t>
        </r>
      </text>
    </comment>
    <comment ref="B411" authorId="0" shapeId="0" xr:uid="{BB91622A-0027-4695-BAF3-A94E040CD272}">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11" authorId="0" shapeId="0" xr:uid="{47635473-2999-4471-BE73-723887B5F6F8}">
      <text>
        <r>
          <rPr>
            <sz val="10"/>
            <color indexed="81"/>
            <rFont val="Lucida Console"/>
            <family val="3"/>
          </rPr>
          <t>_x000D_
Últ estimativa : 1.700_x000D_
Enviada em     : 12.05.2020_x000D_
Ata - Venc     : 206/20 - 16.09.2021</t>
        </r>
      </text>
    </comment>
    <comment ref="O411" authorId="0" shapeId="0" xr:uid="{2FA5057C-CEC2-46AF-A6C8-EA79610B67A0}">
      <text>
        <r>
          <rPr>
            <sz val="10"/>
            <color indexed="81"/>
            <rFont val="Lucida Console"/>
            <family val="3"/>
          </rPr>
          <t>_x000D_
Pertencia a ATA nº 206/20_x000D_
Estimativa de Renovação enviada em 12.05.2020 - Qtd 1.700_x000D_
PP  95/19 lote _x000D_
29.08.18 = Finalizado</t>
        </r>
      </text>
    </comment>
    <comment ref="W411" authorId="0" shapeId="0" xr:uid="{2A9E4E23-0CF9-4C49-8B7A-F692A31A3F5B}">
      <text>
        <r>
          <rPr>
            <sz val="10"/>
            <color indexed="81"/>
            <rFont val="Lucida Console"/>
            <family val="3"/>
          </rPr>
          <t>_x000D_
DM-Construção</t>
        </r>
      </text>
    </comment>
    <comment ref="X411" authorId="0" shapeId="0" xr:uid="{14E48CB2-F166-493A-B1A6-2427E748A4B8}">
      <text>
        <r>
          <rPr>
            <sz val="10"/>
            <color indexed="81"/>
            <rFont val="Lucida Console"/>
            <family val="3"/>
          </rPr>
          <t>_x000D_
MAT.E EQUIP. P/ CONSTR.CIVIL E CONSERV. DE VIAS PUBL.</t>
        </r>
      </text>
    </comment>
    <comment ref="Y411" authorId="0" shapeId="0" xr:uid="{D0A23E20-E9E8-4EE0-8F49-7EB5367D6EB7}">
      <text>
        <r>
          <rPr>
            <sz val="10"/>
            <color indexed="81"/>
            <rFont val="Lucida Console"/>
            <family val="3"/>
          </rPr>
          <t>_x000D_
FECHADURAS INTERNAS E EXTERNAS</t>
        </r>
      </text>
    </comment>
    <comment ref="AW411" authorId="0" shapeId="0" xr:uid="{46B43681-D3F7-44FA-878B-9D3D48487915}">
      <text>
        <r>
          <rPr>
            <sz val="10"/>
            <color indexed="81"/>
            <rFont val="Lucida Console"/>
            <family val="3"/>
          </rPr>
          <t>Tempo de Estoque (Meses)_x000D_
_x000D_
750,0</t>
        </r>
      </text>
    </comment>
    <comment ref="A412" authorId="0" shapeId="0" xr:uid="{2E7FB6A6-3856-43E9-A96F-854FEF3145FC}">
      <text>
        <r>
          <rPr>
            <sz val="10"/>
            <color indexed="81"/>
            <rFont val="Lucida Console"/>
            <family val="3"/>
          </rPr>
          <t>_x000D_
28093</t>
        </r>
      </text>
    </comment>
    <comment ref="B412" authorId="0" shapeId="0" xr:uid="{0F8F315E-6A3D-40EA-BE71-AD5EF0703E6A}">
      <text>
        <r>
          <rPr>
            <sz val="10"/>
            <color indexed="81"/>
            <rFont val="Lucida Console"/>
            <family val="3"/>
          </rPr>
          <t>DESCRIÇÃO DETALHADA_x000D_
TRAVA DE SEGURANCA, CHAVE TETRA, P/ PORTAS</t>
        </r>
      </text>
    </comment>
    <comment ref="G412" authorId="0" shapeId="0" xr:uid="{9C6E05A4-84D0-494F-98E1-E5FA290D8B90}">
      <text>
        <r>
          <rPr>
            <sz val="10"/>
            <color indexed="81"/>
            <rFont val="Lucida Console"/>
            <family val="3"/>
          </rPr>
          <t>_x000D_
Últ estimativa : 100_x000D_
Enviada em     : 12.05.2020_x000D_
Ata - Venc     : 206/20 - 16.09.2021</t>
        </r>
      </text>
    </comment>
    <comment ref="O412" authorId="0" shapeId="0" xr:uid="{ED76CA94-807E-4E0D-B7CA-5379B88F2960}">
      <text>
        <r>
          <rPr>
            <sz val="10"/>
            <color indexed="81"/>
            <rFont val="Lucida Console"/>
            <family val="3"/>
          </rPr>
          <t>_x000D_
Pertencia a ATA nº 206/20_x000D_
Estimativa de Renovação enviada em 12.05.2020 - Qtd 100_x000D_
PP  95/19 lote 9_x000D_
29.08.18 = Finalizado</t>
        </r>
      </text>
    </comment>
    <comment ref="W412" authorId="0" shapeId="0" xr:uid="{8B19EFF9-60E3-4158-8C0C-0FB0F9826411}">
      <text>
        <r>
          <rPr>
            <sz val="10"/>
            <color indexed="81"/>
            <rFont val="Lucida Console"/>
            <family val="3"/>
          </rPr>
          <t>_x000D_
DM-Marcenaria</t>
        </r>
      </text>
    </comment>
    <comment ref="X412" authorId="0" shapeId="0" xr:uid="{1FF71F67-F4A2-4079-82AE-52E8C7D78BC8}">
      <text>
        <r>
          <rPr>
            <sz val="10"/>
            <color indexed="81"/>
            <rFont val="Lucida Console"/>
            <family val="3"/>
          </rPr>
          <t>_x000D_
MAT.E EQUIP. P/ CONSTR.CIVIL E CONSERV. DE VIAS PUBL.</t>
        </r>
      </text>
    </comment>
    <comment ref="Y412" authorId="0" shapeId="0" xr:uid="{2BFC2753-7BF9-45CB-A60F-1189191E5308}">
      <text>
        <r>
          <rPr>
            <sz val="10"/>
            <color indexed="81"/>
            <rFont val="Lucida Console"/>
            <family val="3"/>
          </rPr>
          <t>_x000D_
MACANETAS, TRINCOS, TRAMELAS E TRANQUETAS</t>
        </r>
      </text>
    </comment>
    <comment ref="AW412" authorId="0" shapeId="0" xr:uid="{77DD9D90-D47A-4D5D-96A7-8CC7972DACD5}">
      <text>
        <r>
          <rPr>
            <sz val="10"/>
            <color indexed="81"/>
            <rFont val="Lucida Console"/>
            <family val="3"/>
          </rPr>
          <t>Tempo de Estoque (Meses)_x000D_
_x000D_
178,0</t>
        </r>
      </text>
    </comment>
    <comment ref="A413" authorId="0" shapeId="0" xr:uid="{748004C9-F869-4D4B-8150-4F492EBCDDF2}">
      <text>
        <r>
          <rPr>
            <sz val="10"/>
            <color indexed="81"/>
            <rFont val="Lucida Console"/>
            <family val="3"/>
          </rPr>
          <t>_x000D_
105293</t>
        </r>
      </text>
    </comment>
    <comment ref="B413" authorId="0" shapeId="0" xr:uid="{EE9564D1-CA9E-454E-97BC-7F479CE0F496}">
      <text>
        <r>
          <rPr>
            <sz val="10"/>
            <color indexed="81"/>
            <rFont val="Lucida Console"/>
            <family val="3"/>
          </rPr>
          <t>DESCRIÇÃO DETALHADA_x000D_
PUXADOR EXTERNO PARA ARMARIO, COM 2 PARAFUSOS - TIPO ALCA - MEDIDA: 14,5 CM X 2,5 CM</t>
        </r>
      </text>
    </comment>
    <comment ref="G413" authorId="0" shapeId="0" xr:uid="{94091923-6B69-4678-BAAE-B394443C0881}">
      <text>
        <r>
          <rPr>
            <sz val="10"/>
            <color indexed="81"/>
            <rFont val="Lucida Console"/>
            <family val="3"/>
          </rPr>
          <t>_x000D_
Últ estimativa : 2.200_x000D_
Enviada em     : 12.05.2020_x000D_
Ata - Venc     : 206/20 - 16.09.2021</t>
        </r>
      </text>
    </comment>
    <comment ref="O413" authorId="0" shapeId="0" xr:uid="{66EFB4E7-6495-427C-A314-892BE19BD76B}">
      <text>
        <r>
          <rPr>
            <sz val="10"/>
            <color indexed="81"/>
            <rFont val="Lucida Console"/>
            <family val="3"/>
          </rPr>
          <t>_x000D_
Pertencia a ATA nº 206/20_x000D_
Estimativa de Renovação enviada em 12.05.2020 - Qtd 2.200_x000D_
PP  95/19 lote _x000D_
29.08.18 = Finalizado</t>
        </r>
      </text>
    </comment>
    <comment ref="W413" authorId="0" shapeId="0" xr:uid="{B5CCFB9F-8350-4815-B221-DBC9D32F000C}">
      <text>
        <r>
          <rPr>
            <sz val="10"/>
            <color indexed="81"/>
            <rFont val="Lucida Console"/>
            <family val="3"/>
          </rPr>
          <t>_x000D_
DM-Marcenaria</t>
        </r>
      </text>
    </comment>
    <comment ref="X413" authorId="0" shapeId="0" xr:uid="{A0094BB8-1727-4273-B1CD-76713FB19D6B}">
      <text>
        <r>
          <rPr>
            <sz val="10"/>
            <color indexed="81"/>
            <rFont val="Lucida Console"/>
            <family val="3"/>
          </rPr>
          <t>_x000D_
MAT.E EQUIP. P/ CONSTR.CIVIL E CONSERV. DE VIAS PUBL.</t>
        </r>
      </text>
    </comment>
    <comment ref="Y413" authorId="0" shapeId="0" xr:uid="{552C9155-F9B0-4B07-938F-1859B95A50E6}">
      <text>
        <r>
          <rPr>
            <sz val="10"/>
            <color indexed="81"/>
            <rFont val="Lucida Console"/>
            <family val="3"/>
          </rPr>
          <t>_x000D_
MACANETAS, TRINCOS, TRAMELAS E TRANQUETAS</t>
        </r>
      </text>
    </comment>
    <comment ref="AW413" authorId="0" shapeId="0" xr:uid="{3054E94E-8883-47DA-B131-AA8AE5A2B0BA}">
      <text>
        <r>
          <rPr>
            <sz val="10"/>
            <color indexed="81"/>
            <rFont val="Lucida Console"/>
            <family val="3"/>
          </rPr>
          <t>Tempo de Estoque (Meses)_x000D_
_x000D_
1.000,0</t>
        </r>
      </text>
    </comment>
    <comment ref="A414" authorId="0" shapeId="0" xr:uid="{29FBD69D-6A0F-4B76-9E8D-42187A1B1439}">
      <text>
        <r>
          <rPr>
            <sz val="10"/>
            <color indexed="81"/>
            <rFont val="Lucida Console"/>
            <family val="3"/>
          </rPr>
          <t>_x000D_
136273</t>
        </r>
      </text>
    </comment>
    <comment ref="B414" authorId="0" shapeId="0" xr:uid="{23C100EB-BFCC-46CE-BB8C-55C34935C047}">
      <text>
        <r>
          <rPr>
            <sz val="10"/>
            <color indexed="81"/>
            <rFont val="Lucida Console"/>
            <family val="3"/>
          </rPr>
          <t>DESCRIÇÃO DETALHADA_x000D_
PUXADOR PARA MOVEL EM ABS, BOLA GRANDE, COM PARAFUSO 3,50 X 30 MM, CABECA FLANGE, COR:</t>
        </r>
      </text>
    </comment>
    <comment ref="G414" authorId="0" shapeId="0" xr:uid="{AF0ED618-5A35-4140-9DF0-5D84BB419036}">
      <text>
        <r>
          <rPr>
            <sz val="10"/>
            <color indexed="81"/>
            <rFont val="Lucida Console"/>
            <family val="3"/>
          </rPr>
          <t>_x000D_
Últ estimativa : 2.200_x000D_
Enviada em     : 12.05.2020_x000D_
Ata - Venc     : 206/20 - 16.09.2021</t>
        </r>
      </text>
    </comment>
    <comment ref="O414" authorId="0" shapeId="0" xr:uid="{B68738F1-550E-4A0B-855A-421C4DE9BF59}">
      <text>
        <r>
          <rPr>
            <sz val="10"/>
            <color indexed="81"/>
            <rFont val="Lucida Console"/>
            <family val="3"/>
          </rPr>
          <t>_x000D_
Pertencia a ATA nº 206/20_x000D_
Estimativa de Renovação enviada em 12.05.2020 - Qtd 2.200_x000D_
PP  95/19 lote _x000D_
29.08.18 = Finalizado</t>
        </r>
      </text>
    </comment>
    <comment ref="W414" authorId="0" shapeId="0" xr:uid="{BC6D89F7-CDF2-43CA-861E-8A246177BC03}">
      <text>
        <r>
          <rPr>
            <sz val="10"/>
            <color indexed="81"/>
            <rFont val="Lucida Console"/>
            <family val="3"/>
          </rPr>
          <t>_x000D_
DM-Marcenaria</t>
        </r>
      </text>
    </comment>
    <comment ref="X414" authorId="0" shapeId="0" xr:uid="{7369D32E-5F5C-4C7F-92BB-881B30003467}">
      <text>
        <r>
          <rPr>
            <sz val="10"/>
            <color indexed="81"/>
            <rFont val="Lucida Console"/>
            <family val="3"/>
          </rPr>
          <t>_x000D_
MAT.E EQUIP. P/ CONSTR.CIVIL E CONSERV. DE VIAS PUBL.</t>
        </r>
      </text>
    </comment>
    <comment ref="Y414" authorId="0" shapeId="0" xr:uid="{726CBAA6-4A57-4042-88A0-401395EA00A4}">
      <text>
        <r>
          <rPr>
            <sz val="10"/>
            <color indexed="81"/>
            <rFont val="Lucida Console"/>
            <family val="3"/>
          </rPr>
          <t>_x000D_
MACANETAS, TRINCOS, TRAMELAS E TRANQUETAS</t>
        </r>
      </text>
    </comment>
    <comment ref="AW414" authorId="0" shapeId="0" xr:uid="{51558629-2DC2-4EBA-8BEA-091C0A1F562C}">
      <text>
        <r>
          <rPr>
            <sz val="10"/>
            <color indexed="81"/>
            <rFont val="Lucida Console"/>
            <family val="3"/>
          </rPr>
          <t>Tempo de Estoque (Meses)_x000D_
_x000D_
1.638,0</t>
        </r>
      </text>
    </comment>
    <comment ref="A415" authorId="0" shapeId="0" xr:uid="{C28C47B4-83FF-46D0-997E-AAEA17B5C9B1}">
      <text>
        <r>
          <rPr>
            <sz val="10"/>
            <color indexed="81"/>
            <rFont val="Lucida Console"/>
            <family val="3"/>
          </rPr>
          <t>_x000D_
48901</t>
        </r>
      </text>
    </comment>
    <comment ref="B415" authorId="0" shapeId="0" xr:uid="{7DAF4190-2DED-45C6-A108-25BDBC691AFF}">
      <text>
        <r>
          <rPr>
            <sz val="10"/>
            <color indexed="81"/>
            <rFont val="Lucida Console"/>
            <family val="3"/>
          </rPr>
          <t xml:space="preserve">DESCRIÇÃO DETALHADA_x000D_
PASTA MOLHA DEDO </t>
        </r>
      </text>
    </comment>
    <comment ref="G415" authorId="0" shapeId="0" xr:uid="{CB05C5B5-C544-4486-8F27-4A1F09F12330}">
      <text>
        <r>
          <rPr>
            <sz val="10"/>
            <color indexed="81"/>
            <rFont val="Lucida Console"/>
            <family val="3"/>
          </rPr>
          <t>_x000D_
Últ estimativa : 100_x000D_
Enviada em     : 02.03.2020_x000D_
Ata - Venc     : 211/20 - 21.09.2021</t>
        </r>
      </text>
    </comment>
    <comment ref="O415" authorId="0" shapeId="0" xr:uid="{79510ABD-B98F-4DD5-8406-04C6201124E4}">
      <text>
        <r>
          <rPr>
            <sz val="10"/>
            <color indexed="81"/>
            <rFont val="Lucida Console"/>
            <family val="3"/>
          </rPr>
          <t xml:space="preserve">_x000D_
Pertencia a ATA nº 211/20_x000D_
Estimativa de Renovação enviada em 02.03.2020 - Qtd 100_x000D_
</t>
        </r>
      </text>
    </comment>
    <comment ref="W415" authorId="0" shapeId="0" xr:uid="{E9E16629-7AB9-4D9B-AA9D-29B4C2894AE1}">
      <text>
        <r>
          <rPr>
            <sz val="10"/>
            <color indexed="81"/>
            <rFont val="Lucida Console"/>
            <family val="3"/>
          </rPr>
          <t>_x000D_
Pedagógico</t>
        </r>
      </text>
    </comment>
    <comment ref="X415" authorId="0" shapeId="0" xr:uid="{96F15A17-A27A-4C13-86CB-D2CC9B3A35B0}">
      <text>
        <r>
          <rPr>
            <sz val="10"/>
            <color indexed="81"/>
            <rFont val="Lucida Console"/>
            <family val="3"/>
          </rPr>
          <t>_x000D_
MAQ., EQUIP., COMP., ACES., MAT. PARA ESCRIT.E ESCOLAR</t>
        </r>
      </text>
    </comment>
    <comment ref="Y415" authorId="0" shapeId="0" xr:uid="{1C2A3FAC-2992-4344-93B1-AD287379C1D8}">
      <text>
        <r>
          <rPr>
            <sz val="10"/>
            <color indexed="81"/>
            <rFont val="Lucida Console"/>
            <family val="3"/>
          </rPr>
          <t>_x000D_
LAPIS, BORRACHA, APONTADORES, REGUAS E CORRETIVOS P/ ESCRIT.</t>
        </r>
      </text>
    </comment>
    <comment ref="AW415" authorId="0" shapeId="0" xr:uid="{04119F23-C4CD-488C-AAB0-481D4C832111}">
      <text>
        <r>
          <rPr>
            <sz val="10"/>
            <color indexed="81"/>
            <rFont val="Lucida Console"/>
            <family val="3"/>
          </rPr>
          <t>Tempo de Estoque (Meses)_x000D_
_x000D_
298,0</t>
        </r>
      </text>
    </comment>
    <comment ref="A416" authorId="0" shapeId="0" xr:uid="{D9633879-D427-41AD-AA64-B4C84908A835}">
      <text>
        <r>
          <rPr>
            <sz val="10"/>
            <color indexed="81"/>
            <rFont val="Lucida Console"/>
            <family val="3"/>
          </rPr>
          <t>_x000D_
135703</t>
        </r>
      </text>
    </comment>
    <comment ref="B416" authorId="0" shapeId="0" xr:uid="{0A2A5028-2C89-4F32-A678-880A57FC3F0B}">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16" authorId="0" shapeId="0" xr:uid="{FC8C8427-3F81-40CC-B24E-E876E41679C6}">
      <text>
        <r>
          <rPr>
            <sz val="10"/>
            <color indexed="81"/>
            <rFont val="Lucida Console"/>
            <family val="3"/>
          </rPr>
          <t>_x000D_
Últ estimativa : 17.800_x000D_
Enviada em     : 02.03.2020_x000D_
Ata - Venc     : 211/20 - 21.09.2021</t>
        </r>
      </text>
    </comment>
    <comment ref="O416" authorId="0" shapeId="0" xr:uid="{F0402EC1-0571-4236-89D1-5072BD7F8BE5}">
      <text>
        <r>
          <rPr>
            <sz val="10"/>
            <color indexed="81"/>
            <rFont val="Lucida Console"/>
            <family val="3"/>
          </rPr>
          <t xml:space="preserve">_x000D_
Pertencia a ATA nº 211/20_x000D_
Estimativa de Renovação enviada em 02.03.2020 - Qtd 17.800_x000D_
</t>
        </r>
      </text>
    </comment>
    <comment ref="W416" authorId="0" shapeId="0" xr:uid="{6E16DFBB-F5D6-4EA4-8791-5BF576774EC9}">
      <text>
        <r>
          <rPr>
            <sz val="10"/>
            <color indexed="81"/>
            <rFont val="Lucida Console"/>
            <family val="3"/>
          </rPr>
          <t>_x000D_
Pedagógico</t>
        </r>
      </text>
    </comment>
    <comment ref="X416" authorId="0" shapeId="0" xr:uid="{F1AB6839-7857-46B5-A334-F1C3269C28DA}">
      <text>
        <r>
          <rPr>
            <sz val="10"/>
            <color indexed="81"/>
            <rFont val="Lucida Console"/>
            <family val="3"/>
          </rPr>
          <t>_x000D_
MAQ., EQUIP., COMP., ACES., MAT. PARA ESCRIT.E ESCOLAR</t>
        </r>
      </text>
    </comment>
    <comment ref="Y416" authorId="0" shapeId="0" xr:uid="{518195D1-F4B6-4004-B563-96F313CA438A}">
      <text>
        <r>
          <rPr>
            <sz val="10"/>
            <color indexed="81"/>
            <rFont val="Lucida Console"/>
            <family val="3"/>
          </rPr>
          <t>_x000D_
LAPIS, BORRACHA, APONTADORES, REGUAS E CORRETIVOS P/ ESCRIT.</t>
        </r>
      </text>
    </comment>
    <comment ref="AW416" authorId="0" shapeId="0" xr:uid="{1C80AD15-3EDC-4456-90FC-7AB8133CD6C2}">
      <text>
        <r>
          <rPr>
            <sz val="10"/>
            <color indexed="81"/>
            <rFont val="Lucida Console"/>
            <family val="3"/>
          </rPr>
          <t>Tempo de Estoque (Meses)_x000D_
_x000D_
7.402,0</t>
        </r>
      </text>
    </comment>
    <comment ref="A417" authorId="0" shapeId="0" xr:uid="{F50BB1C8-DD86-4A9B-B3D3-91838E0513EE}">
      <text>
        <r>
          <rPr>
            <sz val="10"/>
            <color indexed="81"/>
            <rFont val="Lucida Console"/>
            <family val="3"/>
          </rPr>
          <t>_x000D_
138465</t>
        </r>
      </text>
    </comment>
    <comment ref="B417" authorId="0" shapeId="0" xr:uid="{9A1DD603-08F1-4999-AA17-4094D88127F8}">
      <text>
        <r>
          <rPr>
            <sz val="10"/>
            <color indexed="81"/>
            <rFont val="Lucida Console"/>
            <family val="3"/>
          </rPr>
          <t xml:space="preserve">DESCRIÇÃO DETALHADA_x000D_
PASTA PLASTICA COM ELASTICO, SEM LOMBADA, MEDINDO 235 MM X 335 MM (VARIACAO DE +/- 2 MM). ATOXICA. ELASTICO DE BORRACHA REVESTIDO COM TECIDO TRANSPASSADO E TERMINAL PLASTICO, DE BOA QUALIDADE. COR: TRANSPARENTE/ CRISTAL. </t>
        </r>
      </text>
    </comment>
    <comment ref="G417" authorId="0" shapeId="0" xr:uid="{C8BA0623-11A0-4093-AE33-B39A0FE09702}">
      <text>
        <r>
          <rPr>
            <sz val="10"/>
            <color indexed="81"/>
            <rFont val="Lucida Console"/>
            <family val="3"/>
          </rPr>
          <t>_x000D_
Últ estimativa : 9.000_x000D_
Enviada em     : 02.03.2020_x000D_
Ata - Venc     : 211/20 - 21.09.2021</t>
        </r>
      </text>
    </comment>
    <comment ref="O417" authorId="0" shapeId="0" xr:uid="{858047AE-B2F3-4DAF-8A3E-4C55926E7DE6}">
      <text>
        <r>
          <rPr>
            <sz val="10"/>
            <color indexed="81"/>
            <rFont val="Lucida Console"/>
            <family val="3"/>
          </rPr>
          <t xml:space="preserve">_x000D_
Pertencia a ATA nº 211/20_x000D_
Estimativa de Renovação enviada em 02.03.2020 - Qtd 9.000_x000D_
</t>
        </r>
      </text>
    </comment>
    <comment ref="W417" authorId="0" shapeId="0" xr:uid="{AC4CDE20-9CC0-4630-ACA7-6371B358807F}">
      <text>
        <r>
          <rPr>
            <sz val="10"/>
            <color indexed="81"/>
            <rFont val="Lucida Console"/>
            <family val="3"/>
          </rPr>
          <t>_x000D_
Pedagógico</t>
        </r>
      </text>
    </comment>
    <comment ref="X417" authorId="0" shapeId="0" xr:uid="{887A66DA-4423-4E46-8CA1-A365F6B62BD3}">
      <text>
        <r>
          <rPr>
            <sz val="10"/>
            <color indexed="81"/>
            <rFont val="Lucida Console"/>
            <family val="3"/>
          </rPr>
          <t>_x000D_
MAQ., EQUIP., COMP., ACES., MAT. PARA ESCRIT.E ESCOLAR</t>
        </r>
      </text>
    </comment>
    <comment ref="Y417" authorId="0" shapeId="0" xr:uid="{76318596-DB43-489E-B109-A2FFC113B3B9}">
      <text>
        <r>
          <rPr>
            <sz val="10"/>
            <color indexed="81"/>
            <rFont val="Lucida Console"/>
            <family val="3"/>
          </rPr>
          <t>_x000D_
LAPIS, BORRACHA, APONTADORES, REGUAS E CORRETIVOS P/ ESCRIT.</t>
        </r>
      </text>
    </comment>
    <comment ref="AW417" authorId="0" shapeId="0" xr:uid="{FE9F31B4-1F9C-4C42-96DC-47DF15EC002E}">
      <text>
        <r>
          <rPr>
            <sz val="10"/>
            <color indexed="81"/>
            <rFont val="Lucida Console"/>
            <family val="3"/>
          </rPr>
          <t>Tempo de Estoque (Meses)_x000D_
_x000D_
5.067,0</t>
        </r>
      </text>
    </comment>
    <comment ref="A418" authorId="0" shapeId="0" xr:uid="{CA7810FA-F2EF-40F0-9F78-B054BF541647}">
      <text>
        <r>
          <rPr>
            <sz val="10"/>
            <color indexed="81"/>
            <rFont val="Lucida Console"/>
            <family val="3"/>
          </rPr>
          <t>_x000D_
10392</t>
        </r>
      </text>
    </comment>
    <comment ref="B418" authorId="0" shapeId="0" xr:uid="{9ABAA835-CE68-4448-940A-6F1860A1067C}">
      <text>
        <r>
          <rPr>
            <sz val="10"/>
            <color indexed="81"/>
            <rFont val="Lucida Console"/>
            <family val="3"/>
          </rPr>
          <t>DESCRIÇÃO DETALHADA_x000D_
CANETA MARCA TEXTO - AMARELA</t>
        </r>
      </text>
    </comment>
    <comment ref="G418" authorId="0" shapeId="0" xr:uid="{F4EBAA5E-413C-4786-9C5A-F2B36D82013E}">
      <text>
        <r>
          <rPr>
            <sz val="10"/>
            <color indexed="81"/>
            <rFont val="Lucida Console"/>
            <family val="3"/>
          </rPr>
          <t>_x000D_
Últ estimativa : 5.000_x000D_
Enviada em     : 02.03.2020_x000D_
Ata - Venc     : 211/20 - 21.09.2021</t>
        </r>
      </text>
    </comment>
    <comment ref="O418" authorId="0" shapeId="0" xr:uid="{86DD1F2C-E654-4D8A-AA6E-45EF636AB0BC}">
      <text>
        <r>
          <rPr>
            <sz val="10"/>
            <color indexed="81"/>
            <rFont val="Lucida Console"/>
            <family val="3"/>
          </rPr>
          <t>_x000D_
Pertencia a ATA nº 211/20_x000D_
Estimativa de Renovação enviada em 02.03.2020 - Qtd 5.000_x000D_
PE 127/20 lote _x000D_
10.08.20 = Finalizado</t>
        </r>
      </text>
    </comment>
    <comment ref="W418" authorId="0" shapeId="0" xr:uid="{70894E1D-2BDA-434C-AB27-B7B56E18DECF}">
      <text>
        <r>
          <rPr>
            <sz val="10"/>
            <color indexed="81"/>
            <rFont val="Lucida Console"/>
            <family val="3"/>
          </rPr>
          <t>_x000D_
Pedagógico</t>
        </r>
      </text>
    </comment>
    <comment ref="X418" authorId="0" shapeId="0" xr:uid="{C82CD2AA-B052-4ABA-8C1D-93AEA7673D76}">
      <text>
        <r>
          <rPr>
            <sz val="10"/>
            <color indexed="81"/>
            <rFont val="Lucida Console"/>
            <family val="3"/>
          </rPr>
          <t>_x000D_
MAQ., EQUIP., COMP., ACES., MAT. PARA ESCRIT.E ESCOLAR</t>
        </r>
      </text>
    </comment>
    <comment ref="Y418" authorId="0" shapeId="0" xr:uid="{6B059F77-21B8-4667-BCCD-500D2797D263}">
      <text>
        <r>
          <rPr>
            <sz val="10"/>
            <color indexed="81"/>
            <rFont val="Lucida Console"/>
            <family val="3"/>
          </rPr>
          <t>_x000D_
CANETAS</t>
        </r>
      </text>
    </comment>
    <comment ref="AW418" authorId="0" shapeId="0" xr:uid="{B1321E70-9E73-47D1-9E03-A18446BBAA3C}">
      <text>
        <r>
          <rPr>
            <sz val="10"/>
            <color indexed="81"/>
            <rFont val="Lucida Console"/>
            <family val="3"/>
          </rPr>
          <t>Tempo de Estoque (Meses)_x000D_
_x000D_
4.300,0</t>
        </r>
      </text>
    </comment>
    <comment ref="A419" authorId="0" shapeId="0" xr:uid="{DD0058CB-7ED0-4419-8F74-82B7EE9C5E2E}">
      <text>
        <r>
          <rPr>
            <sz val="10"/>
            <color indexed="81"/>
            <rFont val="Lucida Console"/>
            <family val="3"/>
          </rPr>
          <t>_x000D_
11590</t>
        </r>
      </text>
    </comment>
    <comment ref="B419" authorId="0" shapeId="0" xr:uid="{4E9C4AFB-F95D-49E5-89B1-D863EF4D54B2}">
      <text>
        <r>
          <rPr>
            <sz val="10"/>
            <color indexed="81"/>
            <rFont val="Lucida Console"/>
            <family val="3"/>
          </rPr>
          <t>DESCRIÇÃO DETALHADA_x000D_
PINCEL ATOMICO PONTA RETANGULAR 5 X 8MM - CHANFRADA COR VERMELHA</t>
        </r>
      </text>
    </comment>
    <comment ref="G419" authorId="0" shapeId="0" xr:uid="{C8D1094C-D4B6-41E6-94DE-ED1C07ECA290}">
      <text>
        <r>
          <rPr>
            <sz val="10"/>
            <color indexed="81"/>
            <rFont val="Lucida Console"/>
            <family val="3"/>
          </rPr>
          <t>_x000D_
Últ estimativa : 5.000_x000D_
Enviada em     : 02.03.2020_x000D_
Ata - Venc     : 211/20 - 21.09.2021</t>
        </r>
      </text>
    </comment>
    <comment ref="O419" authorId="0" shapeId="0" xr:uid="{C4D46B1F-F0D2-4B3F-BABF-F5F935511D9E}">
      <text>
        <r>
          <rPr>
            <sz val="10"/>
            <color indexed="81"/>
            <rFont val="Lucida Console"/>
            <family val="3"/>
          </rPr>
          <t xml:space="preserve">_x000D_
Pertencia a ATA nº 211/20_x000D_
Estimativa de Renovação enviada em 02.03.2020 - Qtd 5.000_x000D_
</t>
        </r>
      </text>
    </comment>
    <comment ref="W419" authorId="0" shapeId="0" xr:uid="{889AA8B0-E09F-4489-B094-D67E899E77CA}">
      <text>
        <r>
          <rPr>
            <sz val="10"/>
            <color indexed="81"/>
            <rFont val="Lucida Console"/>
            <family val="3"/>
          </rPr>
          <t>_x000D_
Pedagógico</t>
        </r>
      </text>
    </comment>
    <comment ref="X419" authorId="0" shapeId="0" xr:uid="{B207B00D-35CB-459C-86AA-059A7358E6E3}">
      <text>
        <r>
          <rPr>
            <sz val="10"/>
            <color indexed="81"/>
            <rFont val="Lucida Console"/>
            <family val="3"/>
          </rPr>
          <t>_x000D_
MAQ., EQUIP., COMP., ACES., MAT. PARA ESCRIT.E ESCOLAR</t>
        </r>
      </text>
    </comment>
    <comment ref="Y419" authorId="0" shapeId="0" xr:uid="{2CB543A0-3494-421E-A4EB-43B5F0376D8A}">
      <text>
        <r>
          <rPr>
            <sz val="10"/>
            <color indexed="81"/>
            <rFont val="Lucida Console"/>
            <family val="3"/>
          </rPr>
          <t>_x000D_
CANETAS</t>
        </r>
      </text>
    </comment>
    <comment ref="AW419" authorId="0" shapeId="0" xr:uid="{AAAA9A53-36A1-4DB5-AF56-F2600D9EBA0C}">
      <text>
        <r>
          <rPr>
            <sz val="10"/>
            <color indexed="81"/>
            <rFont val="Lucida Console"/>
            <family val="3"/>
          </rPr>
          <t>Tempo de Estoque (Meses)_x000D_
_x000D_
2.200,0</t>
        </r>
      </text>
    </comment>
    <comment ref="A420" authorId="0" shapeId="0" xr:uid="{0AD2B527-4AD4-43A5-9E06-39F1792CE966}">
      <text>
        <r>
          <rPr>
            <sz val="10"/>
            <color indexed="81"/>
            <rFont val="Lucida Console"/>
            <family val="3"/>
          </rPr>
          <t>_x000D_
77755</t>
        </r>
      </text>
    </comment>
    <comment ref="B420" authorId="0" shapeId="0" xr:uid="{418DE04C-709E-4021-91F6-6DBDF73450FA}">
      <text>
        <r>
          <rPr>
            <sz val="10"/>
            <color indexed="81"/>
            <rFont val="Lucida Console"/>
            <family val="3"/>
          </rPr>
          <t>DESCRIÇÃO DETALHADA_x000D_
PINCEL ATOMICO PONTA RETANGULAR 5 X 8 MM, CHANFRADA - COR PRETA</t>
        </r>
      </text>
    </comment>
    <comment ref="G420" authorId="0" shapeId="0" xr:uid="{E9574DAC-24A2-4095-899F-9F6401DA6EB1}">
      <text>
        <r>
          <rPr>
            <sz val="10"/>
            <color indexed="81"/>
            <rFont val="Lucida Console"/>
            <family val="3"/>
          </rPr>
          <t>_x000D_
Últ estimativa : 5.000_x000D_
Enviada em     : 02.03.2020_x000D_
Ata - Venc     : 211/20 - 21.09.2021</t>
        </r>
      </text>
    </comment>
    <comment ref="O420" authorId="0" shapeId="0" xr:uid="{9A5C2FE0-161B-4FAE-B88D-EF1D4666798D}">
      <text>
        <r>
          <rPr>
            <sz val="10"/>
            <color indexed="81"/>
            <rFont val="Lucida Console"/>
            <family val="3"/>
          </rPr>
          <t xml:space="preserve">_x000D_
Pertencia a ATA nº 211/20_x000D_
Estimativa de Renovação enviada em 02.03.2020 - Qtd 5.000_x000D_
</t>
        </r>
      </text>
    </comment>
    <comment ref="W420" authorId="0" shapeId="0" xr:uid="{4677F3A9-57F5-48E8-8B76-1BB7FAAEED0C}">
      <text>
        <r>
          <rPr>
            <sz val="10"/>
            <color indexed="81"/>
            <rFont val="Lucida Console"/>
            <family val="3"/>
          </rPr>
          <t>_x000D_
Pedagógico</t>
        </r>
      </text>
    </comment>
    <comment ref="X420" authorId="0" shapeId="0" xr:uid="{32D9557E-41FB-4E5E-8269-C0D462D4B78D}">
      <text>
        <r>
          <rPr>
            <sz val="10"/>
            <color indexed="81"/>
            <rFont val="Lucida Console"/>
            <family val="3"/>
          </rPr>
          <t>_x000D_
MAQ., EQUIP., COMP., ACES., MAT. PARA ESCRIT.E ESCOLAR</t>
        </r>
      </text>
    </comment>
    <comment ref="Y420" authorId="0" shapeId="0" xr:uid="{DF41D72F-4FCD-4D3C-9E4D-1CBB0E1F7DD0}">
      <text>
        <r>
          <rPr>
            <sz val="10"/>
            <color indexed="81"/>
            <rFont val="Lucida Console"/>
            <family val="3"/>
          </rPr>
          <t>_x000D_
CANETAS</t>
        </r>
      </text>
    </comment>
    <comment ref="AW420" authorId="0" shapeId="0" xr:uid="{1C9A42BD-478D-4018-8756-262D870579C3}">
      <text>
        <r>
          <rPr>
            <sz val="10"/>
            <color indexed="81"/>
            <rFont val="Lucida Console"/>
            <family val="3"/>
          </rPr>
          <t>Tempo de Estoque (Meses)_x000D_
_x000D_
2.804,0</t>
        </r>
      </text>
    </comment>
    <comment ref="A421" authorId="0" shapeId="0" xr:uid="{7EECBE23-7375-4531-A39F-9355E23B775B}">
      <text>
        <r>
          <rPr>
            <sz val="10"/>
            <color indexed="81"/>
            <rFont val="Lucida Console"/>
            <family val="3"/>
          </rPr>
          <t>_x000D_
138459</t>
        </r>
      </text>
    </comment>
    <comment ref="B421" authorId="0" shapeId="0" xr:uid="{8B61C186-D51C-451E-84F2-5C565B841C17}">
      <text>
        <r>
          <rPr>
            <sz val="10"/>
            <color indexed="81"/>
            <rFont val="Lucida Console"/>
            <family val="3"/>
          </rPr>
          <t xml:space="preserve">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421" authorId="0" shapeId="0" xr:uid="{E5312066-592A-4376-80EC-F120BF1680BD}">
      <text>
        <r>
          <rPr>
            <sz val="10"/>
            <color indexed="81"/>
            <rFont val="Lucida Console"/>
            <family val="3"/>
          </rPr>
          <t>_x000D_
Últ estimativa : 30.000_x000D_
Enviada em     : 02.03.2020_x000D_
Ata - Venc     : 211/20 - 21.09.2021</t>
        </r>
      </text>
    </comment>
    <comment ref="O421" authorId="0" shapeId="0" xr:uid="{C1D99788-34AE-48CF-AFDB-62F5762A64B9}">
      <text>
        <r>
          <rPr>
            <sz val="10"/>
            <color indexed="81"/>
            <rFont val="Lucida Console"/>
            <family val="3"/>
          </rPr>
          <t xml:space="preserve">_x000D_
Pertencia a ATA nº 211/20_x000D_
Estimativa de Renovação enviada em 02.03.2020 - Qtd 30.000_x000D_
</t>
        </r>
      </text>
    </comment>
    <comment ref="W421" authorId="0" shapeId="0" xr:uid="{B0D5EE98-4ED8-47C7-B8A9-2D2670796850}">
      <text>
        <r>
          <rPr>
            <sz val="10"/>
            <color indexed="81"/>
            <rFont val="Lucida Console"/>
            <family val="3"/>
          </rPr>
          <t>_x000D_
Pedagógico</t>
        </r>
      </text>
    </comment>
    <comment ref="X421" authorId="0" shapeId="0" xr:uid="{814C88B2-003E-4063-B3FE-F5C43A386516}">
      <text>
        <r>
          <rPr>
            <sz val="10"/>
            <color indexed="81"/>
            <rFont val="Lucida Console"/>
            <family val="3"/>
          </rPr>
          <t>_x000D_
MAQ., EQUIP., COMP., ACES., MAT. PARA ESCRIT.E ESCOLAR</t>
        </r>
      </text>
    </comment>
    <comment ref="Y421" authorId="0" shapeId="0" xr:uid="{9CCF66BD-E93C-438D-A421-EE730F900988}">
      <text>
        <r>
          <rPr>
            <sz val="10"/>
            <color indexed="81"/>
            <rFont val="Lucida Console"/>
            <family val="3"/>
          </rPr>
          <t>_x000D_
CANETAS</t>
        </r>
      </text>
    </comment>
    <comment ref="AW421" authorId="0" shapeId="0" xr:uid="{210D7E3B-87D9-4D2D-92E9-AA23136BDD10}">
      <text>
        <r>
          <rPr>
            <sz val="10"/>
            <color indexed="81"/>
            <rFont val="Lucida Console"/>
            <family val="3"/>
          </rPr>
          <t>Tempo de Estoque (Meses)_x000D_
_x000D_
44.198,0</t>
        </r>
      </text>
    </comment>
    <comment ref="A422" authorId="0" shapeId="0" xr:uid="{E8C4A28C-3AE5-43FA-88B2-8F421F70D248}">
      <text>
        <r>
          <rPr>
            <sz val="10"/>
            <color indexed="81"/>
            <rFont val="Lucida Console"/>
            <family val="3"/>
          </rPr>
          <t>_x000D_
11857</t>
        </r>
      </text>
    </comment>
    <comment ref="B422" authorId="0" shapeId="0" xr:uid="{DE98C6EE-3399-44A7-BEEE-152854A76395}">
      <text>
        <r>
          <rPr>
            <sz val="10"/>
            <color indexed="81"/>
            <rFont val="Lucida Console"/>
            <family val="3"/>
          </rPr>
          <t>DESCRIÇÃO DETALHADA_x000D_
ENVELOPE PARDO TIPO SACO - 162 X 229MM- GRAMATURA MINIMA 80 G/M²</t>
        </r>
      </text>
    </comment>
    <comment ref="G422" authorId="0" shapeId="0" xr:uid="{11769259-12A0-4997-9A52-AEC7D55BCF39}">
      <text>
        <r>
          <rPr>
            <sz val="10"/>
            <color indexed="81"/>
            <rFont val="Lucida Console"/>
            <family val="3"/>
          </rPr>
          <t>_x000D_
Últ estimativa : 10.000_x000D_
Enviada em     : 02.03.2020_x000D_
Ata - Venc     : 211/20 - 21.09.2021</t>
        </r>
      </text>
    </comment>
    <comment ref="O422" authorId="0" shapeId="0" xr:uid="{739ED64D-14C9-4795-967E-A134EB053EA5}">
      <text>
        <r>
          <rPr>
            <sz val="10"/>
            <color indexed="81"/>
            <rFont val="Lucida Console"/>
            <family val="3"/>
          </rPr>
          <t xml:space="preserve">_x000D_
Pertencia a ATA nº 211/20_x000D_
Estimativa de Renovação enviada em 02.03.2020 - Qtd 10.000_x000D_
</t>
        </r>
      </text>
    </comment>
    <comment ref="W422" authorId="0" shapeId="0" xr:uid="{F75B72EA-7FA9-49AF-AD4C-79E0F3AEC38D}">
      <text>
        <r>
          <rPr>
            <sz val="10"/>
            <color indexed="81"/>
            <rFont val="Lucida Console"/>
            <family val="3"/>
          </rPr>
          <t>_x000D_
Pedagógico</t>
        </r>
      </text>
    </comment>
    <comment ref="X422" authorId="0" shapeId="0" xr:uid="{4A41119C-DC00-4443-B2C4-72A6FFF99741}">
      <text>
        <r>
          <rPr>
            <sz val="10"/>
            <color indexed="81"/>
            <rFont val="Lucida Console"/>
            <family val="3"/>
          </rPr>
          <t>_x000D_
MAQ., EQUIP., COMP., ACES., MAT. PARA ESCRIT.E ESCOLAR</t>
        </r>
      </text>
    </comment>
    <comment ref="Y422" authorId="0" shapeId="0" xr:uid="{5FB3999D-268D-40F8-9FC6-196DA70C3820}">
      <text>
        <r>
          <rPr>
            <sz val="10"/>
            <color indexed="81"/>
            <rFont val="Lucida Console"/>
            <family val="3"/>
          </rPr>
          <t>_x000D_
CAPAS, CLASSIF., PRANCHETAS, CADERNOS, ENVELOPES, PASTAS, FICHAS, LIVROS</t>
        </r>
      </text>
    </comment>
    <comment ref="AW422" authorId="0" shapeId="0" xr:uid="{452DBB29-0664-4AC9-893F-C40074C5F370}">
      <text>
        <r>
          <rPr>
            <sz val="10"/>
            <color indexed="81"/>
            <rFont val="Lucida Console"/>
            <family val="3"/>
          </rPr>
          <t>Tempo de Estoque (Meses)_x000D_
_x000D_
24.790,0</t>
        </r>
      </text>
    </comment>
    <comment ref="A423" authorId="0" shapeId="0" xr:uid="{D6B4F2CB-FB12-44C0-BFA2-A331962392C5}">
      <text>
        <r>
          <rPr>
            <sz val="10"/>
            <color indexed="81"/>
            <rFont val="Lucida Console"/>
            <family val="3"/>
          </rPr>
          <t>_x000D_
12018</t>
        </r>
      </text>
    </comment>
    <comment ref="B423" authorId="0" shapeId="0" xr:uid="{F29D4855-9DC6-48ED-92F7-C62CDCDBC6CE}">
      <text>
        <r>
          <rPr>
            <sz val="10"/>
            <color indexed="81"/>
            <rFont val="Lucida Console"/>
            <family val="3"/>
          </rPr>
          <t>DESCRIÇÃO DETALHADA_x000D_
LIVRO P/ REGISTRO DE CORRESPONDENCIA - 100 FOLHAS - CAPA DURA - MED. 160 X 220 MM</t>
        </r>
      </text>
    </comment>
    <comment ref="G423" authorId="0" shapeId="0" xr:uid="{C89BFA02-5469-4B3A-8850-DFD76715B347}">
      <text>
        <r>
          <rPr>
            <sz val="10"/>
            <color indexed="81"/>
            <rFont val="Lucida Console"/>
            <family val="3"/>
          </rPr>
          <t>_x000D_
Últ estimativa : 800_x000D_
Enviada em     : 02.03.2020_x000D_
Ata - Venc     : 211/20 - 21.09.2021</t>
        </r>
      </text>
    </comment>
    <comment ref="O423" authorId="0" shapeId="0" xr:uid="{ECBCB8E3-41F5-4837-8148-52D70E8B20A5}">
      <text>
        <r>
          <rPr>
            <sz val="10"/>
            <color indexed="81"/>
            <rFont val="Lucida Console"/>
            <family val="3"/>
          </rPr>
          <t xml:space="preserve">_x000D_
Pertencia a ATA nº 211/20_x000D_
Estimativa de Renovação enviada em 02.03.2020 - Qtd 800_x000D_
</t>
        </r>
      </text>
    </comment>
    <comment ref="W423" authorId="0" shapeId="0" xr:uid="{C2DF01C8-F75F-4612-B14C-960398BC8F16}">
      <text>
        <r>
          <rPr>
            <sz val="10"/>
            <color indexed="81"/>
            <rFont val="Lucida Console"/>
            <family val="3"/>
          </rPr>
          <t>_x000D_
Pedagógico</t>
        </r>
      </text>
    </comment>
    <comment ref="X423" authorId="0" shapeId="0" xr:uid="{7CC42809-78A7-40B6-95DB-269EF06CF028}">
      <text>
        <r>
          <rPr>
            <sz val="10"/>
            <color indexed="81"/>
            <rFont val="Lucida Console"/>
            <family val="3"/>
          </rPr>
          <t>_x000D_
MAQ., EQUIP., COMP., ACES., MAT. PARA ESCRIT.E ESCOLAR</t>
        </r>
      </text>
    </comment>
    <comment ref="Y423" authorId="0" shapeId="0" xr:uid="{4F8C7810-9232-4FDE-9FC7-7D99C806E431}">
      <text>
        <r>
          <rPr>
            <sz val="10"/>
            <color indexed="81"/>
            <rFont val="Lucida Console"/>
            <family val="3"/>
          </rPr>
          <t>_x000D_
CAPAS, CLASSIF., PRANCHETAS, CADERNOS, ENVELOPES, PASTAS, FICHAS, LIVROS</t>
        </r>
      </text>
    </comment>
    <comment ref="AW423" authorId="0" shapeId="0" xr:uid="{8ECCB87C-6307-4546-B64E-31EF08E0159B}">
      <text>
        <r>
          <rPr>
            <sz val="10"/>
            <color indexed="81"/>
            <rFont val="Lucida Console"/>
            <family val="3"/>
          </rPr>
          <t>Tempo de Estoque (Meses)_x000D_
_x000D_
2.898,0</t>
        </r>
      </text>
    </comment>
    <comment ref="A424" authorId="0" shapeId="0" xr:uid="{4EC8183F-B138-4F92-A923-63DE2BCB547F}">
      <text>
        <r>
          <rPr>
            <sz val="10"/>
            <color indexed="81"/>
            <rFont val="Lucida Console"/>
            <family val="3"/>
          </rPr>
          <t>_x000D_
133451</t>
        </r>
      </text>
    </comment>
    <comment ref="B424" authorId="0" shapeId="0" xr:uid="{61FADEF5-5AFB-475D-BA9B-9216D0BEE26D}">
      <text>
        <r>
          <rPr>
            <sz val="10"/>
            <color indexed="81"/>
            <rFont val="Lucida Console"/>
            <family val="3"/>
          </rPr>
          <t>DESCRIÇÃO DETALHADA_x000D_
LIVRO DE ATA, CAPA DURA, COM 100 FOLHAS - MEDIDA: 206 X 300 MM (VARIACAO +/- 6 MM)</t>
        </r>
      </text>
    </comment>
    <comment ref="G424" authorId="0" shapeId="0" xr:uid="{BB5C86A9-B7CA-4476-A726-EDE3F24AEE2F}">
      <text>
        <r>
          <rPr>
            <sz val="10"/>
            <color indexed="81"/>
            <rFont val="Lucida Console"/>
            <family val="3"/>
          </rPr>
          <t>_x000D_
Últ estimativa : 0_x000D_
Enviada em     : 02.03.2020_x000D_
Ata - Venc     : 211/20 - 21.09.2021</t>
        </r>
      </text>
    </comment>
    <comment ref="O424" authorId="0" shapeId="0" xr:uid="{469375F3-5313-4A4F-99C6-A83DABA26F3F}">
      <text>
        <r>
          <rPr>
            <sz val="10"/>
            <color indexed="81"/>
            <rFont val="Lucida Console"/>
            <family val="3"/>
          </rPr>
          <t xml:space="preserve">_x000D_
Pertencia a ATA nº 211/20_x000D_
Estimativa de Renovação enviada em 02.03.2020 - Qtd _x000D_
</t>
        </r>
      </text>
    </comment>
    <comment ref="W424" authorId="0" shapeId="0" xr:uid="{3BC3A1A6-83B5-4262-9B3E-521450AAD918}">
      <text>
        <r>
          <rPr>
            <sz val="10"/>
            <color indexed="81"/>
            <rFont val="Lucida Console"/>
            <family val="3"/>
          </rPr>
          <t>_x000D_
Pedagógico</t>
        </r>
      </text>
    </comment>
    <comment ref="X424" authorId="0" shapeId="0" xr:uid="{CB5D750F-C7E0-4482-8CD3-611C00A31A78}">
      <text>
        <r>
          <rPr>
            <sz val="10"/>
            <color indexed="81"/>
            <rFont val="Lucida Console"/>
            <family val="3"/>
          </rPr>
          <t>_x000D_
MAQ., EQUIP., COMP., ACES., MAT. PARA ESCRIT.E ESCOLAR</t>
        </r>
      </text>
    </comment>
    <comment ref="Y424" authorId="0" shapeId="0" xr:uid="{AFEC40B7-848B-49FF-B662-0C41E490C253}">
      <text>
        <r>
          <rPr>
            <sz val="10"/>
            <color indexed="81"/>
            <rFont val="Lucida Console"/>
            <family val="3"/>
          </rPr>
          <t>_x000D_
CAPAS, CLASSIF., PRANCHETAS, CADERNOS, ENVELOPES, PASTAS, FICHAS, LIVROS</t>
        </r>
      </text>
    </comment>
    <comment ref="AW424" authorId="0" shapeId="0" xr:uid="{4E49AA22-D65A-46E8-8EB6-B974EF82DCC0}">
      <text>
        <r>
          <rPr>
            <sz val="10"/>
            <color indexed="81"/>
            <rFont val="Lucida Console"/>
            <family val="3"/>
          </rPr>
          <t>Tempo de Estoque (Meses)_x000D_
_x000D_
2.339,0</t>
        </r>
      </text>
    </comment>
    <comment ref="A425" authorId="0" shapeId="0" xr:uid="{0774202B-5613-4EF6-9FD1-36A37A8B4326}">
      <text>
        <r>
          <rPr>
            <sz val="10"/>
            <color indexed="81"/>
            <rFont val="Lucida Console"/>
            <family val="3"/>
          </rPr>
          <t>_x000D_
139767</t>
        </r>
      </text>
    </comment>
    <comment ref="B425" authorId="0" shapeId="0" xr:uid="{A4A124A3-F9F7-4C84-9B20-7E7117A408E5}">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25" authorId="0" shapeId="0" xr:uid="{1FFF86F9-E9E5-4D0D-8015-F3619EAB1604}">
      <text>
        <r>
          <rPr>
            <sz val="10"/>
            <color indexed="81"/>
            <rFont val="Lucida Console"/>
            <family val="3"/>
          </rPr>
          <t>_x000D_
Últ estimativa : 1.000_x000D_
Enviada em     : 02.03.2020_x000D_
Ata - Venc     : 211/20 - 21.09.2021</t>
        </r>
      </text>
    </comment>
    <comment ref="O425" authorId="0" shapeId="0" xr:uid="{7AB8A858-C7B1-45C7-9945-54E4497ABEAD}">
      <text>
        <r>
          <rPr>
            <sz val="10"/>
            <color indexed="81"/>
            <rFont val="Lucida Console"/>
            <family val="3"/>
          </rPr>
          <t xml:space="preserve">_x000D_
Pertencia a ATA nº 211/20_x000D_
Estimativa de Renovação enviada em 02.03.2020 - Qtd 1.000_x000D_
</t>
        </r>
      </text>
    </comment>
    <comment ref="W425" authorId="0" shapeId="0" xr:uid="{4CDAE0DE-1FD1-4066-960F-DE0C1EB9B749}">
      <text>
        <r>
          <rPr>
            <sz val="10"/>
            <color indexed="81"/>
            <rFont val="Lucida Console"/>
            <family val="3"/>
          </rPr>
          <t>_x000D_
Pedagógico</t>
        </r>
      </text>
    </comment>
    <comment ref="X425" authorId="0" shapeId="0" xr:uid="{56813B3C-DD00-4072-AB42-91D78DBC1619}">
      <text>
        <r>
          <rPr>
            <sz val="10"/>
            <color indexed="81"/>
            <rFont val="Lucida Console"/>
            <family val="3"/>
          </rPr>
          <t>_x000D_
MAQ., EQUIP., COMP., ACES., MAT. PARA ESCRIT.E ESCOLAR</t>
        </r>
      </text>
    </comment>
    <comment ref="Y425" authorId="0" shapeId="0" xr:uid="{D8EDA0B8-1357-40F7-B1FC-7DDC8AE754AE}">
      <text>
        <r>
          <rPr>
            <sz val="10"/>
            <color indexed="81"/>
            <rFont val="Lucida Console"/>
            <family val="3"/>
          </rPr>
          <t>_x000D_
CAPAS, CLASSIF., PRANCHETAS, CADERNOS, ENVELOPES, PASTAS, FICHAS, LIVROS</t>
        </r>
      </text>
    </comment>
    <comment ref="AW425" authorId="0" shapeId="0" xr:uid="{E41A0A59-0E90-4F98-8ECA-F59C6CE8B5B2}">
      <text>
        <r>
          <rPr>
            <sz val="10"/>
            <color indexed="81"/>
            <rFont val="Lucida Console"/>
            <family val="3"/>
          </rPr>
          <t>Tempo de Estoque (Meses)_x000D_
_x000D_
2.325,0</t>
        </r>
      </text>
    </comment>
    <comment ref="A426" authorId="0" shapeId="0" xr:uid="{E2F2091F-C70C-4407-B4DA-9F5FC8F243F0}">
      <text>
        <r>
          <rPr>
            <sz val="10"/>
            <color indexed="81"/>
            <rFont val="Lucida Console"/>
            <family val="3"/>
          </rPr>
          <t>_x000D_
11072</t>
        </r>
      </text>
    </comment>
    <comment ref="B426" authorId="0" shapeId="0" xr:uid="{C75BAF84-1A22-460F-A401-270D0027E22A}">
      <text>
        <r>
          <rPr>
            <sz val="10"/>
            <color indexed="81"/>
            <rFont val="Lucida Console"/>
            <family val="3"/>
          </rPr>
          <t>DESCRIÇÃO DETALHADA_x000D_
EXTRATOR DE GRAMPOS - TIPO ESPATULA</t>
        </r>
      </text>
    </comment>
    <comment ref="G426" authorId="0" shapeId="0" xr:uid="{BFC6FAB9-7187-4C4F-9453-C5414D036ADD}">
      <text>
        <r>
          <rPr>
            <sz val="10"/>
            <color indexed="81"/>
            <rFont val="Lucida Console"/>
            <family val="3"/>
          </rPr>
          <t>_x000D_
Últ estimativa : 500_x000D_
Enviada em     : 02.03.2020_x000D_
Ata - Venc     : 211/20 - 21.09.2021</t>
        </r>
      </text>
    </comment>
    <comment ref="O426" authorId="0" shapeId="0" xr:uid="{90E56E72-6114-42C0-89EF-CC121703442C}">
      <text>
        <r>
          <rPr>
            <sz val="10"/>
            <color indexed="81"/>
            <rFont val="Lucida Console"/>
            <family val="3"/>
          </rPr>
          <t xml:space="preserve">_x000D_
Pertencia a ATA nº 211/20_x000D_
Estimativa de Renovação enviada em 02.03.2020 - Qtd 500_x000D_
</t>
        </r>
      </text>
    </comment>
    <comment ref="W426" authorId="0" shapeId="0" xr:uid="{AB65589C-D72C-428C-B38C-E31C9BC2D5C9}">
      <text>
        <r>
          <rPr>
            <sz val="10"/>
            <color indexed="81"/>
            <rFont val="Lucida Console"/>
            <family val="3"/>
          </rPr>
          <t>_x000D_
Administrativo</t>
        </r>
      </text>
    </comment>
    <comment ref="X426" authorId="0" shapeId="0" xr:uid="{4B6DFE1B-B3A2-4F5A-A522-842C6BE96560}">
      <text>
        <r>
          <rPr>
            <sz val="10"/>
            <color indexed="81"/>
            <rFont val="Lucida Console"/>
            <family val="3"/>
          </rPr>
          <t>_x000D_
MAQ., EQUIP., COMP., ACES., MAT. PARA ESCRIT.E ESCOLAR</t>
        </r>
      </text>
    </comment>
    <comment ref="Y426" authorId="0" shapeId="0" xr:uid="{68B027FB-BEE3-4D1C-BF09-090D651363F5}">
      <text>
        <r>
          <rPr>
            <sz val="10"/>
            <color indexed="81"/>
            <rFont val="Lucida Console"/>
            <family val="3"/>
          </rPr>
          <t>_x000D_
FURAD.GRAMP.COLCHETE,GRAMPOS,CLIPS,ELAST.BARB.FIT.</t>
        </r>
      </text>
    </comment>
    <comment ref="AW426" authorId="0" shapeId="0" xr:uid="{F75C07A0-67FA-4203-B2DD-E7E1F71C9A5D}">
      <text>
        <r>
          <rPr>
            <sz val="10"/>
            <color indexed="81"/>
            <rFont val="Lucida Console"/>
            <family val="3"/>
          </rPr>
          <t>Tempo de Estoque (Meses)_x000D_
_x000D_
465,0</t>
        </r>
      </text>
    </comment>
    <comment ref="A427" authorId="0" shapeId="0" xr:uid="{F90119D0-FD00-4821-A4E0-B118EE67FE59}">
      <text>
        <r>
          <rPr>
            <sz val="10"/>
            <color indexed="81"/>
            <rFont val="Lucida Console"/>
            <family val="3"/>
          </rPr>
          <t>_x000D_
17136</t>
        </r>
      </text>
    </comment>
    <comment ref="B427" authorId="0" shapeId="0" xr:uid="{6510734F-EC3E-481C-8094-83F6095B1BD0}">
      <text>
        <r>
          <rPr>
            <sz val="10"/>
            <color indexed="81"/>
            <rFont val="Lucida Console"/>
            <family val="3"/>
          </rPr>
          <t>DESCRIÇÃO DETALHADA_x000D_
GRAMPO 26/6, COBREADO,  P/ GRAMPEADOR - CX C/ 5000 UNIDADES</t>
        </r>
      </text>
    </comment>
    <comment ref="G427" authorId="0" shapeId="0" xr:uid="{29FC60C0-AA0C-4632-9F24-47E718BFF3CC}">
      <text>
        <r>
          <rPr>
            <sz val="10"/>
            <color indexed="81"/>
            <rFont val="Lucida Console"/>
            <family val="3"/>
          </rPr>
          <t>_x000D_
Últ estimativa : 2.000_x000D_
Enviada em     : 05.03.2020_x000D_
Ata - Venc     : 211/20 - 21.09.2021</t>
        </r>
      </text>
    </comment>
    <comment ref="O427" authorId="0" shapeId="0" xr:uid="{427AB90D-2B6E-4F24-A85E-ABDD3EC9E724}">
      <text>
        <r>
          <rPr>
            <sz val="10"/>
            <color indexed="81"/>
            <rFont val="Lucida Console"/>
            <family val="3"/>
          </rPr>
          <t>_x000D_
Pertencia a ATA nº 211/20_x000D_
Estimativa de Renovação enviada em 05.03.2020 - Qtd 2.000_x000D_
PP  92/19 lote _x000D_
26.07.19 = Finalizar - contrato assinado</t>
        </r>
      </text>
    </comment>
    <comment ref="W427" authorId="0" shapeId="0" xr:uid="{3D6F4824-857E-45E2-B2FE-F4C29D2C1E6A}">
      <text>
        <r>
          <rPr>
            <sz val="10"/>
            <color indexed="81"/>
            <rFont val="Lucida Console"/>
            <family val="3"/>
          </rPr>
          <t>_x000D_
Administrativo</t>
        </r>
      </text>
    </comment>
    <comment ref="X427" authorId="0" shapeId="0" xr:uid="{FD1F8A7A-C75D-491D-A781-3C01476CE29A}">
      <text>
        <r>
          <rPr>
            <sz val="10"/>
            <color indexed="81"/>
            <rFont val="Lucida Console"/>
            <family val="3"/>
          </rPr>
          <t>_x000D_
MAQ., EQUIP., COMP., ACES., MAT. PARA ESCRIT.E ESCOLAR</t>
        </r>
      </text>
    </comment>
    <comment ref="Y427" authorId="0" shapeId="0" xr:uid="{6489881E-0DEE-40B6-AEB8-95A31A365CF1}">
      <text>
        <r>
          <rPr>
            <sz val="10"/>
            <color indexed="81"/>
            <rFont val="Lucida Console"/>
            <family val="3"/>
          </rPr>
          <t>_x000D_
FURAD.GRAMP.COLCHETE,GRAMPOS,CLIPS,ELAST.BARB.FIT.</t>
        </r>
      </text>
    </comment>
    <comment ref="AW427" authorId="0" shapeId="0" xr:uid="{2612AA4F-E36D-4489-A8C8-CE2515CDBBEC}">
      <text>
        <r>
          <rPr>
            <sz val="10"/>
            <color indexed="81"/>
            <rFont val="Lucida Console"/>
            <family val="3"/>
          </rPr>
          <t>Tempo de Estoque (Meses)_x000D_
_x000D_
639,0</t>
        </r>
      </text>
    </comment>
    <comment ref="A428" authorId="0" shapeId="0" xr:uid="{2B227E16-8DF1-4178-9582-9F05104EFF9B}">
      <text>
        <r>
          <rPr>
            <sz val="10"/>
            <color indexed="81"/>
            <rFont val="Lucida Console"/>
            <family val="3"/>
          </rPr>
          <t>_x000D_
51579</t>
        </r>
      </text>
    </comment>
    <comment ref="B428" authorId="0" shapeId="0" xr:uid="{D4F14FA0-EE4D-45E0-94F9-20973DFF6021}">
      <text>
        <r>
          <rPr>
            <sz val="10"/>
            <color indexed="81"/>
            <rFont val="Lucida Console"/>
            <family val="3"/>
          </rPr>
          <t>DESCRIÇÃO DETALHADA_x000D_
GRAMPEADOR GRANDE, TAMANHO 26/6</t>
        </r>
      </text>
    </comment>
    <comment ref="G428" authorId="0" shapeId="0" xr:uid="{4579F95A-C0FE-4E2A-B71D-7FAFFB6E0FE1}">
      <text>
        <r>
          <rPr>
            <sz val="10"/>
            <color indexed="81"/>
            <rFont val="Lucida Console"/>
            <family val="3"/>
          </rPr>
          <t>_x000D_
Últ estimativa : 1.500_x000D_
Enviada em     : 19.12.2019_x000D_
Ata - Venc     : 211/20 - 21.09.2021</t>
        </r>
      </text>
    </comment>
    <comment ref="O428" authorId="0" shapeId="0" xr:uid="{0E8201CD-D7C7-462A-B83C-8061AB69BDD2}">
      <text>
        <r>
          <rPr>
            <sz val="10"/>
            <color indexed="81"/>
            <rFont val="Lucida Console"/>
            <family val="3"/>
          </rPr>
          <t>_x000D_
Pertencia a ATA nº 211/20_x000D_
Estimativa de Renovação enviada em 19.12.2019 - Qtd 1.500_x000D_
PE  61/21 lote _x000D_
30.04.21 = Finalizado. Ata 143/20</t>
        </r>
      </text>
    </comment>
    <comment ref="W428" authorId="0" shapeId="0" xr:uid="{D767EE95-1F47-4B4D-8E2D-C8B572628F2B}">
      <text>
        <r>
          <rPr>
            <sz val="10"/>
            <color indexed="81"/>
            <rFont val="Lucida Console"/>
            <family val="3"/>
          </rPr>
          <t>_x000D_
Administrativo</t>
        </r>
      </text>
    </comment>
    <comment ref="X428" authorId="0" shapeId="0" xr:uid="{CCD0AE5D-D410-4309-8391-6EC928D9D530}">
      <text>
        <r>
          <rPr>
            <sz val="10"/>
            <color indexed="81"/>
            <rFont val="Lucida Console"/>
            <family val="3"/>
          </rPr>
          <t>_x000D_
MAQ., EQUIP., COMP., ACES., MAT. PARA ESCRIT.E ESCOLAR</t>
        </r>
      </text>
    </comment>
    <comment ref="Y428" authorId="0" shapeId="0" xr:uid="{F2D44199-4C1E-455C-8159-CB2E2D8954DD}">
      <text>
        <r>
          <rPr>
            <sz val="10"/>
            <color indexed="81"/>
            <rFont val="Lucida Console"/>
            <family val="3"/>
          </rPr>
          <t>_x000D_
FURAD.GRAMP.COLCHETE,GRAMPOS,CLIPS,ELAST.BARB.FIT.</t>
        </r>
      </text>
    </comment>
    <comment ref="AW428" authorId="0" shapeId="0" xr:uid="{54947CC2-73A8-46A9-9953-2682EDA7F22B}">
      <text>
        <r>
          <rPr>
            <sz val="10"/>
            <color indexed="81"/>
            <rFont val="Lucida Console"/>
            <family val="3"/>
          </rPr>
          <t>Tempo de Estoque (Meses)_x000D_
_x000D_
653,0</t>
        </r>
      </text>
    </comment>
    <comment ref="A429" authorId="0" shapeId="0" xr:uid="{CEDDF8C8-D692-4263-8513-611F7EDD7023}">
      <text>
        <r>
          <rPr>
            <sz val="10"/>
            <color indexed="81"/>
            <rFont val="Lucida Console"/>
            <family val="3"/>
          </rPr>
          <t>_x000D_
10547</t>
        </r>
      </text>
    </comment>
    <comment ref="B429" authorId="0" shapeId="0" xr:uid="{11A21DB9-C9E1-4D4E-80C7-9FA8F3F8D48C}">
      <text>
        <r>
          <rPr>
            <sz val="10"/>
            <color indexed="81"/>
            <rFont val="Lucida Console"/>
            <family val="3"/>
          </rPr>
          <t>DESCRIÇÃO DETALHADA_x000D_
FITA ADESIVA CREPADA  - 19 MM X 50 M, VARIACAO DE +/- 03MM</t>
        </r>
      </text>
    </comment>
    <comment ref="G429" authorId="0" shapeId="0" xr:uid="{B6C10BDB-B9CA-4717-B1A5-8364D6207BAA}">
      <text>
        <r>
          <rPr>
            <sz val="10"/>
            <color indexed="81"/>
            <rFont val="Lucida Console"/>
            <family val="3"/>
          </rPr>
          <t>_x000D_
Últ estimativa : 5.000_x000D_
Enviada em     : 02.03.2020_x000D_
Ata - Venc     : 211/20 - 21.09.2021</t>
        </r>
      </text>
    </comment>
    <comment ref="O429" authorId="0" shapeId="0" xr:uid="{0CA34967-779E-4E14-9E4B-09EC75A8918E}">
      <text>
        <r>
          <rPr>
            <sz val="10"/>
            <color indexed="81"/>
            <rFont val="Lucida Console"/>
            <family val="3"/>
          </rPr>
          <t xml:space="preserve">_x000D_
Pertencia a ATA nº 211/20_x000D_
Estimativa de Renovação enviada em 02.03.2020 - Qtd 5.000_x000D_
</t>
        </r>
      </text>
    </comment>
    <comment ref="W429" authorId="0" shapeId="0" xr:uid="{1A435A3C-6A49-4DCE-B627-36BA6A3B052A}">
      <text>
        <r>
          <rPr>
            <sz val="10"/>
            <color indexed="81"/>
            <rFont val="Lucida Console"/>
            <family val="3"/>
          </rPr>
          <t>_x000D_
Pedagógico</t>
        </r>
      </text>
    </comment>
    <comment ref="X429" authorId="0" shapeId="0" xr:uid="{FF8A8BA3-1D9D-4BD8-8AA0-507387804DFA}">
      <text>
        <r>
          <rPr>
            <sz val="10"/>
            <color indexed="81"/>
            <rFont val="Lucida Console"/>
            <family val="3"/>
          </rPr>
          <t>_x000D_
MAQ., EQUIP., COMP., ACES., MAT. PARA ESCRIT.E ESCOLAR</t>
        </r>
      </text>
    </comment>
    <comment ref="Y429" authorId="0" shapeId="0" xr:uid="{17160125-AC06-479A-AD1F-04692BF76C47}">
      <text>
        <r>
          <rPr>
            <sz val="10"/>
            <color indexed="81"/>
            <rFont val="Lucida Console"/>
            <family val="3"/>
          </rPr>
          <t>_x000D_
ETIQUETA COLAS E FITAS ADESIVAS</t>
        </r>
      </text>
    </comment>
    <comment ref="AW429" authorId="0" shapeId="0" xr:uid="{4C54B939-C564-4EBD-A1B6-49C0B7437C83}">
      <text>
        <r>
          <rPr>
            <sz val="10"/>
            <color indexed="81"/>
            <rFont val="Lucida Console"/>
            <family val="3"/>
          </rPr>
          <t>Tempo de Estoque (Meses)_x000D_
_x000D_
7.900,0</t>
        </r>
      </text>
    </comment>
    <comment ref="A430" authorId="0" shapeId="0" xr:uid="{C24757C1-8EB2-49E1-A1DF-559F266FC47A}">
      <text>
        <r>
          <rPr>
            <sz val="10"/>
            <color indexed="81"/>
            <rFont val="Lucida Console"/>
            <family val="3"/>
          </rPr>
          <t>_x000D_
13091</t>
        </r>
      </text>
    </comment>
    <comment ref="B430" authorId="0" shapeId="0" xr:uid="{E29A742E-0269-4638-B56C-7BCCDE3B08AE}">
      <text>
        <r>
          <rPr>
            <sz val="10"/>
            <color indexed="81"/>
            <rFont val="Lucida Console"/>
            <family val="3"/>
          </rPr>
          <t>DESCRIÇÃO DETALHADA_x000D_
ETIQUETA ADESIVA - 36 X 102 MM - FOLHA C/ 24 UNIDADES - TIPO FORMULARIO CONTINUO</t>
        </r>
      </text>
    </comment>
    <comment ref="G430" authorId="0" shapeId="0" xr:uid="{AF52BACC-5A9E-4DE4-BBAC-B6CEE27BA5F9}">
      <text>
        <r>
          <rPr>
            <sz val="10"/>
            <color indexed="81"/>
            <rFont val="Lucida Console"/>
            <family val="3"/>
          </rPr>
          <t>_x000D_
Últ estimativa : 6.000_x000D_
Enviada em     : 02.03.2020_x000D_
Ata - Venc     : 211/20 - 21.09.2021</t>
        </r>
      </text>
    </comment>
    <comment ref="O430" authorId="0" shapeId="0" xr:uid="{D6926C14-2768-43D4-853A-F6E75CBA92B6}">
      <text>
        <r>
          <rPr>
            <sz val="10"/>
            <color indexed="81"/>
            <rFont val="Lucida Console"/>
            <family val="3"/>
          </rPr>
          <t xml:space="preserve">_x000D_
Pertencia a ATA nº 211/20_x000D_
Estimativa de Renovação enviada em 02.03.2020 - Qtd 6.000_x000D_
</t>
        </r>
      </text>
    </comment>
    <comment ref="W430" authorId="0" shapeId="0" xr:uid="{13D415C0-7F1D-4C7D-9334-B0DF749E24E3}">
      <text>
        <r>
          <rPr>
            <sz val="10"/>
            <color indexed="81"/>
            <rFont val="Lucida Console"/>
            <family val="3"/>
          </rPr>
          <t>_x000D_
Pedagógico</t>
        </r>
      </text>
    </comment>
    <comment ref="X430" authorId="0" shapeId="0" xr:uid="{CA04E4E7-3823-42FC-8AD9-51C565A6C399}">
      <text>
        <r>
          <rPr>
            <sz val="10"/>
            <color indexed="81"/>
            <rFont val="Lucida Console"/>
            <family val="3"/>
          </rPr>
          <t>_x000D_
MAQ., EQUIP., COMP., ACES., MAT. PARA ESCRIT.E ESCOLAR</t>
        </r>
      </text>
    </comment>
    <comment ref="Y430" authorId="0" shapeId="0" xr:uid="{FC319102-D915-4437-B0EF-D145ED134EC0}">
      <text>
        <r>
          <rPr>
            <sz val="10"/>
            <color indexed="81"/>
            <rFont val="Lucida Console"/>
            <family val="3"/>
          </rPr>
          <t>_x000D_
ETIQUETA COLAS E FITAS ADESIVAS</t>
        </r>
      </text>
    </comment>
    <comment ref="AW430" authorId="0" shapeId="0" xr:uid="{D7240217-1AAC-4D34-B5D1-FABE9486C849}">
      <text>
        <r>
          <rPr>
            <sz val="10"/>
            <color indexed="81"/>
            <rFont val="Lucida Console"/>
            <family val="3"/>
          </rPr>
          <t>Tempo de Estoque (Meses)_x000D_
_x000D_
2.000,0</t>
        </r>
      </text>
    </comment>
    <comment ref="A431" authorId="0" shapeId="0" xr:uid="{0278CA63-DA53-4085-9A17-03D4EE71D66B}">
      <text>
        <r>
          <rPr>
            <sz val="10"/>
            <color indexed="81"/>
            <rFont val="Lucida Console"/>
            <family val="3"/>
          </rPr>
          <t>_x000D_
132296</t>
        </r>
      </text>
    </comment>
    <comment ref="B431" authorId="0" shapeId="0" xr:uid="{416B88D3-70EA-44A5-9E52-CADCD9BAA366}">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431" authorId="0" shapeId="0" xr:uid="{BED1271E-742D-406D-BC7E-9DFFD607AFF0}">
      <text>
        <r>
          <rPr>
            <sz val="10"/>
            <color indexed="81"/>
            <rFont val="Lucida Console"/>
            <family val="3"/>
          </rPr>
          <t>_x000D_
Últ estimativa : 10.000_x000D_
Enviada em     : 02.03.2020_x000D_
Ata - Venc     : 211/20 - 21.09.2021</t>
        </r>
      </text>
    </comment>
    <comment ref="O431" authorId="0" shapeId="0" xr:uid="{356A7082-25C3-4577-8ED9-0EB7DA20BF22}">
      <text>
        <r>
          <rPr>
            <sz val="10"/>
            <color indexed="81"/>
            <rFont val="Lucida Console"/>
            <family val="3"/>
          </rPr>
          <t xml:space="preserve">_x000D_
Pertencia a ATA nº 211/20_x000D_
Estimativa de Renovação enviada em 02.03.2020 - Qtd 10.000_x000D_
</t>
        </r>
      </text>
    </comment>
    <comment ref="W431" authorId="0" shapeId="0" xr:uid="{C3F924DC-1C80-4CE1-A0D2-FB29DAAD5008}">
      <text>
        <r>
          <rPr>
            <sz val="10"/>
            <color indexed="81"/>
            <rFont val="Lucida Console"/>
            <family val="3"/>
          </rPr>
          <t>_x000D_
Pedagógico</t>
        </r>
      </text>
    </comment>
    <comment ref="X431" authorId="0" shapeId="0" xr:uid="{073B6F53-B7AE-4260-B0B6-1E27DFF33D7F}">
      <text>
        <r>
          <rPr>
            <sz val="10"/>
            <color indexed="81"/>
            <rFont val="Lucida Console"/>
            <family val="3"/>
          </rPr>
          <t>_x000D_
MAQ., EQUIP., COMP., ACES., MAT. PARA ESCRIT.E ESCOLAR</t>
        </r>
      </text>
    </comment>
    <comment ref="Y431" authorId="0" shapeId="0" xr:uid="{71DCB12D-98E5-4F22-8476-6A72BF5D60C4}">
      <text>
        <r>
          <rPr>
            <sz val="10"/>
            <color indexed="81"/>
            <rFont val="Lucida Console"/>
            <family val="3"/>
          </rPr>
          <t>_x000D_
ETIQUETA COLAS E FITAS ADESIVAS</t>
        </r>
      </text>
    </comment>
    <comment ref="AW431" authorId="0" shapeId="0" xr:uid="{C8D9B1E0-A0D9-4F72-ABD4-323C8F50C100}">
      <text>
        <r>
          <rPr>
            <sz val="10"/>
            <color indexed="81"/>
            <rFont val="Lucida Console"/>
            <family val="3"/>
          </rPr>
          <t>Tempo de Estoque (Meses)_x000D_
_x000D_
5.620,0</t>
        </r>
      </text>
    </comment>
    <comment ref="A432" authorId="0" shapeId="0" xr:uid="{2C0C8B7C-F7C4-4ADB-BB00-0326ED8029EC}">
      <text>
        <r>
          <rPr>
            <sz val="10"/>
            <color indexed="81"/>
            <rFont val="Lucida Console"/>
            <family val="3"/>
          </rPr>
          <t>_x000D_
115765</t>
        </r>
      </text>
    </comment>
    <comment ref="B432" authorId="0" shapeId="0" xr:uid="{50775003-C8FC-4F44-A7BA-EEFA14EAB73B}">
      <text>
        <r>
          <rPr>
            <sz val="10"/>
            <color indexed="81"/>
            <rFont val="Lucida Console"/>
            <family val="3"/>
          </rPr>
          <t>DESCRIÇÃO DETALHADA_x000D_
PLASTICO A3 PARA PLASTIFICACAO - POLASEAL 0,05 MM- 303 X 426 - CAIXA COM 100 UNIDADES</t>
        </r>
      </text>
    </comment>
    <comment ref="G432" authorId="0" shapeId="0" xr:uid="{7825EE68-4972-4859-B8F3-ADABA032E9C5}">
      <text>
        <r>
          <rPr>
            <sz val="10"/>
            <color indexed="81"/>
            <rFont val="Lucida Console"/>
            <family val="3"/>
          </rPr>
          <t>_x000D_
Últ estimativa : 2.000_x000D_
Enviada em     : 02.03.2020_x000D_
Ata - Venc     : 211/20 - 21.09.2021</t>
        </r>
      </text>
    </comment>
    <comment ref="O432" authorId="0" shapeId="0" xr:uid="{8A883347-544E-4471-8863-EB51DB0F9671}">
      <text>
        <r>
          <rPr>
            <sz val="10"/>
            <color indexed="81"/>
            <rFont val="Lucida Console"/>
            <family val="3"/>
          </rPr>
          <t xml:space="preserve">_x000D_
Pertencia a ATA nº 211/20_x000D_
Estimativa de Renovação enviada em 02.03.2020 - Qtd 2.000_x000D_
</t>
        </r>
      </text>
    </comment>
    <comment ref="W432" authorId="0" shapeId="0" xr:uid="{A498E08B-F074-43AC-94DB-FA87C0E43344}">
      <text>
        <r>
          <rPr>
            <sz val="10"/>
            <color indexed="81"/>
            <rFont val="Lucida Console"/>
            <family val="3"/>
          </rPr>
          <t>_x000D_
Pedagógico</t>
        </r>
      </text>
    </comment>
    <comment ref="X432" authorId="0" shapeId="0" xr:uid="{035D0D6C-32ED-4D24-8693-54008419684E}">
      <text>
        <r>
          <rPr>
            <sz val="10"/>
            <color indexed="81"/>
            <rFont val="Lucida Console"/>
            <family val="3"/>
          </rPr>
          <t>_x000D_
MAQ., EQUIP., COMP., ACES., MAT. PARA ESCRIT.E ESCOLAR</t>
        </r>
      </text>
    </comment>
    <comment ref="Y432" authorId="0" shapeId="0" xr:uid="{48068F11-0D3D-4D34-AAC8-A0A1A23BB9D3}">
      <text>
        <r>
          <rPr>
            <sz val="10"/>
            <color indexed="81"/>
            <rFont val="Lucida Console"/>
            <family val="3"/>
          </rPr>
          <t>_x000D_
MATERIAIS P/ PLASTIFICACAO</t>
        </r>
      </text>
    </comment>
    <comment ref="AW432" authorId="0" shapeId="0" xr:uid="{BC50258D-03A0-45E2-B40A-FBA59EE34375}">
      <text>
        <r>
          <rPr>
            <sz val="10"/>
            <color indexed="81"/>
            <rFont val="Lucida Console"/>
            <family val="3"/>
          </rPr>
          <t>Tempo de Estoque (Meses)_x000D_
_x000D_
955,0</t>
        </r>
      </text>
    </comment>
    <comment ref="A433" authorId="0" shapeId="0" xr:uid="{C892ACDB-DD81-4E89-8FDD-047EEA861390}">
      <text>
        <r>
          <rPr>
            <sz val="10"/>
            <color indexed="81"/>
            <rFont val="Lucida Console"/>
            <family val="3"/>
          </rPr>
          <t>_x000D_
136941</t>
        </r>
      </text>
    </comment>
    <comment ref="B433" authorId="0" shapeId="0" xr:uid="{5B90C12F-45E1-4538-9A9A-8546C7A64478}">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433" authorId="0" shapeId="0" xr:uid="{711BB771-40CD-416F-B28F-CB0A3A872619}">
      <text>
        <r>
          <rPr>
            <sz val="10"/>
            <color indexed="81"/>
            <rFont val="Lucida Console"/>
            <family val="3"/>
          </rPr>
          <t>_x000D_
Últ estimativa : 2.200_x000D_
Enviada em     : 05.03.2020_x000D_
Ata - Venc     : 211/20 - 21.09.2021</t>
        </r>
      </text>
    </comment>
    <comment ref="O433" authorId="0" shapeId="0" xr:uid="{768D7836-A1BD-4B5E-820F-213F8EEB2DC3}">
      <text>
        <r>
          <rPr>
            <sz val="10"/>
            <color indexed="81"/>
            <rFont val="Lucida Console"/>
            <family val="3"/>
          </rPr>
          <t>_x000D_
Pertencia a ATA nº 211/20_x000D_
Estimativa de Renovação enviada em 05.03.2020 - Qtd 2.200_x000D_
PP  92/19 lote _x000D_
26.07.19 = Finalizar - contrato assinado</t>
        </r>
      </text>
    </comment>
    <comment ref="W433" authorId="0" shapeId="0" xr:uid="{49CC6593-ED2E-4807-A1ED-94903CD7B9D4}">
      <text>
        <r>
          <rPr>
            <sz val="10"/>
            <color indexed="81"/>
            <rFont val="Lucida Console"/>
            <family val="3"/>
          </rPr>
          <t>_x000D_
Pedagógico</t>
        </r>
      </text>
    </comment>
    <comment ref="X433" authorId="0" shapeId="0" xr:uid="{9E24B366-CDB1-48A9-9308-33DD0DFDA5D8}">
      <text>
        <r>
          <rPr>
            <sz val="10"/>
            <color indexed="81"/>
            <rFont val="Lucida Console"/>
            <family val="3"/>
          </rPr>
          <t>_x000D_
MAQ. E EQUIP. P/ IND. GRAFICA COMP. ACESS. E PAPEI</t>
        </r>
      </text>
    </comment>
    <comment ref="Y433" authorId="0" shapeId="0" xr:uid="{7478A8F1-F578-42AE-B788-794EE398BD7F}">
      <text>
        <r>
          <rPr>
            <sz val="10"/>
            <color indexed="81"/>
            <rFont val="Lucida Console"/>
            <family val="3"/>
          </rPr>
          <t>_x000D_
PAPEIS P/ EMBALAGEM E DECORATIVOS</t>
        </r>
      </text>
    </comment>
    <comment ref="AW433" authorId="0" shapeId="0" xr:uid="{AB41BD0E-FBC9-4BC8-90D0-8D0EF0872BBD}">
      <text>
        <r>
          <rPr>
            <sz val="10"/>
            <color indexed="81"/>
            <rFont val="Lucida Console"/>
            <family val="3"/>
          </rPr>
          <t>Tempo de Estoque (Meses)_x000D_
_x000D_
435,0</t>
        </r>
      </text>
    </comment>
    <comment ref="A434" authorId="0" shapeId="0" xr:uid="{1E7EE496-FC9C-4837-9684-24B8B45575E8}">
      <text>
        <r>
          <rPr>
            <sz val="10"/>
            <color indexed="81"/>
            <rFont val="Lucida Console"/>
            <family val="3"/>
          </rPr>
          <t>_x000D_
54550</t>
        </r>
      </text>
    </comment>
    <comment ref="B434" authorId="0" shapeId="0" xr:uid="{5BD0EACE-65A3-41AB-BC80-2D44CA3E8B9E}">
      <text>
        <r>
          <rPr>
            <sz val="10"/>
            <color indexed="81"/>
            <rFont val="Lucida Console"/>
            <family val="3"/>
          </rPr>
          <t>DESCRIÇÃO DETALHADA_x000D_
TUBO DE FERRO METALON - 40 X 40 X 1,5MM - BARRA COM 6 METROS</t>
        </r>
      </text>
    </comment>
    <comment ref="G434" authorId="0" shapeId="0" xr:uid="{56726BF9-D6D9-42AF-8412-1C4A09F9AD99}">
      <text>
        <r>
          <rPr>
            <sz val="10"/>
            <color indexed="81"/>
            <rFont val="Lucida Console"/>
            <family val="3"/>
          </rPr>
          <t>_x000D_
Últ estimativa : 700_x000D_
Enviada em     : 19.05.2021_x000D_
Ata - Venc     : 217/20 - 27.09.2021</t>
        </r>
      </text>
    </comment>
    <comment ref="O434" authorId="0" shapeId="0" xr:uid="{7AE44F6C-066F-4AA2-8291-3BC4D9F3F3FC}">
      <text>
        <r>
          <rPr>
            <sz val="10"/>
            <color indexed="81"/>
            <rFont val="Lucida Console"/>
            <family val="3"/>
          </rPr>
          <t>_x000D_
Pertencia a ATA nº 217/20_x000D_
Estimativa de Renovação enviada em 19.05.2021 - Qtd 700_x000D_
PE  46/19 lote 7_x000D_
03.09.19 = Processo conferido, finalizado.</t>
        </r>
      </text>
    </comment>
    <comment ref="W434" authorId="0" shapeId="0" xr:uid="{41ED7F90-6C80-4783-87F3-FB8326F84929}">
      <text>
        <r>
          <rPr>
            <sz val="10"/>
            <color indexed="81"/>
            <rFont val="Lucida Console"/>
            <family val="3"/>
          </rPr>
          <t>_x000D_
DM-Serralheria</t>
        </r>
      </text>
    </comment>
    <comment ref="X434" authorId="0" shapeId="0" xr:uid="{A4A0B526-EA57-4C9B-9AAF-B5A8639CF693}">
      <text>
        <r>
          <rPr>
            <sz val="10"/>
            <color indexed="81"/>
            <rFont val="Lucida Console"/>
            <family val="3"/>
          </rPr>
          <t>_x000D_
METAIS,LAMINAD.,PERFILADOS E ARTEFATOS METALICOS</t>
        </r>
      </text>
    </comment>
    <comment ref="Y434" authorId="0" shapeId="0" xr:uid="{1AC555AB-55CE-4EBD-A6E8-8C6A73B94026}">
      <text>
        <r>
          <rPr>
            <sz val="10"/>
            <color indexed="81"/>
            <rFont val="Lucida Console"/>
            <family val="3"/>
          </rPr>
          <t>_x000D_
BARRAS DE ACO ESPECIFICOS P/ USOS VARIADOS</t>
        </r>
      </text>
    </comment>
    <comment ref="AW434" authorId="0" shapeId="0" xr:uid="{AE4E6AD3-A6DA-493D-8218-E5385B9C0052}">
      <text>
        <r>
          <rPr>
            <sz val="10"/>
            <color indexed="81"/>
            <rFont val="Lucida Console"/>
            <family val="3"/>
          </rPr>
          <t>Tempo de Estoque (Meses)_x000D_
_x000D_
823,0</t>
        </r>
      </text>
    </comment>
    <comment ref="A435" authorId="0" shapeId="0" xr:uid="{364B8648-8F37-4F85-AD9F-3F7D4ADB8AAC}">
      <text>
        <r>
          <rPr>
            <sz val="10"/>
            <color indexed="81"/>
            <rFont val="Lucida Console"/>
            <family val="3"/>
          </rPr>
          <t>_x000D_
131482</t>
        </r>
      </text>
    </comment>
    <comment ref="B435" authorId="0" shapeId="0" xr:uid="{6C49640B-C90E-4CD6-910A-C11211BDD9B9}">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35" authorId="0" shapeId="0" xr:uid="{78857A9C-BE3C-469A-99DB-1C89C93FC4A9}">
      <text>
        <r>
          <rPr>
            <sz val="10"/>
            <color indexed="81"/>
            <rFont val="Lucida Console"/>
            <family val="3"/>
          </rPr>
          <t>_x000D_
Últ estimativa : 0_x000D_
Enviada em     : 14.05.2020_x000D_
Ata - Venc     : 220/19 - 08.09.2020</t>
        </r>
      </text>
    </comment>
    <comment ref="O435" authorId="0" shapeId="0" xr:uid="{C7EBD600-F74D-41C7-AE2B-FA6C7669B67F}">
      <text>
        <r>
          <rPr>
            <sz val="10"/>
            <color indexed="81"/>
            <rFont val="Lucida Console"/>
            <family val="3"/>
          </rPr>
          <t>_x000D_
Pertencia a ATA nº 220/19_x000D_
Estimativa de Renovação enviada em 14.05.2020 - Qtd _x000D_
PE 207/20 lote 6 (Impróspero)_x000D_
19.01.21 = Finalizado</t>
        </r>
      </text>
    </comment>
    <comment ref="W435" authorId="0" shapeId="0" xr:uid="{E3CA8DA8-FF6C-4A30-B8DB-F1D6E95D343A}">
      <text>
        <r>
          <rPr>
            <sz val="10"/>
            <color indexed="81"/>
            <rFont val="Lucida Console"/>
            <family val="3"/>
          </rPr>
          <t>_x000D_
Administrativo</t>
        </r>
      </text>
    </comment>
    <comment ref="X435" authorId="0" shapeId="0" xr:uid="{30014976-58BF-4655-9078-D8EFFF995FD6}">
      <text>
        <r>
          <rPr>
            <sz val="10"/>
            <color indexed="81"/>
            <rFont val="Lucida Console"/>
            <family val="3"/>
          </rPr>
          <t>_x000D_
MAQ.EQUIP.E MATERIAIS P/ HIGIEN.LIMP.POLIM.E LUBR.</t>
        </r>
      </text>
    </comment>
    <comment ref="Y435" authorId="0" shapeId="0" xr:uid="{32B63BC8-C52E-4AF6-8399-C0DB925C8D47}">
      <text>
        <r>
          <rPr>
            <sz val="10"/>
            <color indexed="81"/>
            <rFont val="Lucida Console"/>
            <family val="3"/>
          </rPr>
          <t>_x000D_
VASSOURAS,ESCOVAS,ESFREGOES,RODOS,DESEMTUP.E ESPAN</t>
        </r>
      </text>
    </comment>
    <comment ref="AW435" authorId="0" shapeId="0" xr:uid="{A7C0FCC1-D63A-48A5-9B3E-B49A8D5CBD68}">
      <text>
        <r>
          <rPr>
            <sz val="10"/>
            <color indexed="81"/>
            <rFont val="Lucida Console"/>
            <family val="3"/>
          </rPr>
          <t>Tempo de Estoque (Meses)_x000D_
_x000D_
115,0</t>
        </r>
      </text>
    </comment>
    <comment ref="A436" authorId="0" shapeId="0" xr:uid="{8F1DAEC7-0A35-4B7C-B482-CB2A33C05722}">
      <text>
        <r>
          <rPr>
            <sz val="10"/>
            <color indexed="81"/>
            <rFont val="Lucida Console"/>
            <family val="3"/>
          </rPr>
          <t>_x000D_
13991</t>
        </r>
      </text>
    </comment>
    <comment ref="B436" authorId="0" shapeId="0" xr:uid="{27BADA62-AA65-4444-B19B-F35097C5EB47}">
      <text>
        <r>
          <rPr>
            <sz val="10"/>
            <color indexed="81"/>
            <rFont val="Lucida Console"/>
            <family val="3"/>
          </rPr>
          <t>DESCRIÇÃO DETALHADA_x000D_
CESTO DE PLASTICO P/ LIXO, 6 LITROS - FECHADO</t>
        </r>
      </text>
    </comment>
    <comment ref="G436" authorId="0" shapeId="0" xr:uid="{37D19920-F289-40B5-A909-171CDE65E84A}">
      <text>
        <r>
          <rPr>
            <sz val="10"/>
            <color indexed="81"/>
            <rFont val="Lucida Console"/>
            <family val="3"/>
          </rPr>
          <t>_x000D_
Últ estimativa : 700_x000D_
Enviada em     : 14.05.2020_x000D_
Ata - Venc     : 220/19 - 08.09.2020</t>
        </r>
      </text>
    </comment>
    <comment ref="O436" authorId="0" shapeId="0" xr:uid="{49DC1936-66B9-43D0-90B7-F7C08D8168BD}">
      <text>
        <r>
          <rPr>
            <sz val="10"/>
            <color indexed="81"/>
            <rFont val="Lucida Console"/>
            <family val="3"/>
          </rPr>
          <t>_x000D_
Pertencia a ATA nº 220/19_x000D_
Estimativa de Renovação enviada em 14.05.2020 - Qtd 700_x000D_
PE 207/20 lote 2 (Impróspero)_x000D_
19.01.21 = Finalizado</t>
        </r>
      </text>
    </comment>
    <comment ref="W436" authorId="0" shapeId="0" xr:uid="{246F61E6-ACCB-4529-87D4-59F5BD0BF8CE}">
      <text>
        <r>
          <rPr>
            <sz val="10"/>
            <color indexed="81"/>
            <rFont val="Lucida Console"/>
            <family val="3"/>
          </rPr>
          <t>_x000D_
Administrativo</t>
        </r>
      </text>
    </comment>
    <comment ref="X436" authorId="0" shapeId="0" xr:uid="{FB908C74-C204-4BC0-90A1-4DF1293DB615}">
      <text>
        <r>
          <rPr>
            <sz val="10"/>
            <color indexed="81"/>
            <rFont val="Lucida Console"/>
            <family val="3"/>
          </rPr>
          <t>_x000D_
MAQ.EQUIP.E MATERIAIS P/ HIGIEN.LIMP.POLIM.E LUBR.</t>
        </r>
      </text>
    </comment>
    <comment ref="Y436" authorId="0" shapeId="0" xr:uid="{6AAB55A4-B1D4-4AD7-A2EC-9FC57580D163}">
      <text>
        <r>
          <rPr>
            <sz val="10"/>
            <color indexed="81"/>
            <rFont val="Lucida Console"/>
            <family val="3"/>
          </rPr>
          <t>_x000D_
ESPONJAS,BALDES,SACOS E CESTOS DE LIXO, ETC</t>
        </r>
      </text>
    </comment>
    <comment ref="AW436" authorId="0" shapeId="0" xr:uid="{0765F03C-E1EA-4091-82F3-F6E0103B1FDA}">
      <text>
        <r>
          <rPr>
            <sz val="10"/>
            <color indexed="81"/>
            <rFont val="Lucida Console"/>
            <family val="3"/>
          </rPr>
          <t>Tempo de Estoque (Meses)_x000D_
_x000D_
400,0</t>
        </r>
      </text>
    </comment>
    <comment ref="A437" authorId="0" shapeId="0" xr:uid="{F2F07B96-B6E7-4147-AD13-415D3E1A0FD1}">
      <text>
        <r>
          <rPr>
            <sz val="10"/>
            <color indexed="81"/>
            <rFont val="Lucida Console"/>
            <family val="3"/>
          </rPr>
          <t>_x000D_
29296</t>
        </r>
      </text>
    </comment>
    <comment ref="B437" authorId="0" shapeId="0" xr:uid="{3A0308F2-1433-4B1A-A0CC-B08E2D56FC5B}">
      <text>
        <r>
          <rPr>
            <sz val="10"/>
            <color indexed="81"/>
            <rFont val="Lucida Console"/>
            <family val="3"/>
          </rPr>
          <t>DESCRIÇÃO DETALHADA_x000D_
ESTOPA BRANCA - PACOTE C/ 500 GR, NA EMBALAGEM DEVERA CONTER MARCA DO FABRICANTE</t>
        </r>
      </text>
    </comment>
    <comment ref="G437" authorId="0" shapeId="0" xr:uid="{8A36D9F1-F2E0-42DC-A2EC-F6415CA1A8B3}">
      <text>
        <r>
          <rPr>
            <sz val="10"/>
            <color indexed="81"/>
            <rFont val="Lucida Console"/>
            <family val="3"/>
          </rPr>
          <t>_x000D_
Últ estimativa : 300_x000D_
Enviada em     : 14.05.2020_x000D_
Ata - Venc     : 220/19 - 08.09.2020</t>
        </r>
      </text>
    </comment>
    <comment ref="O437" authorId="0" shapeId="0" xr:uid="{FC25054B-5076-44E9-B3D1-810D039099E8}">
      <text>
        <r>
          <rPr>
            <sz val="10"/>
            <color indexed="81"/>
            <rFont val="Lucida Console"/>
            <family val="3"/>
          </rPr>
          <t>_x000D_
Pertencia a ATA nº 220/19_x000D_
Estimativa de Renovação enviada em 14.05.2020 - Qtd 300_x000D_
PE 207/20 lote 3 (Impróspero)_x000D_
19.01.21 = Finalizado</t>
        </r>
      </text>
    </comment>
    <comment ref="W437" authorId="0" shapeId="0" xr:uid="{A596DD2B-C790-4A22-AF47-73049DA35E5D}">
      <text>
        <r>
          <rPr>
            <sz val="10"/>
            <color indexed="81"/>
            <rFont val="Lucida Console"/>
            <family val="3"/>
          </rPr>
          <t>_x000D_
Administrativo</t>
        </r>
      </text>
    </comment>
    <comment ref="X437" authorId="0" shapeId="0" xr:uid="{7A23BFFD-34F5-4403-86EA-D35FB4E9D6AD}">
      <text>
        <r>
          <rPr>
            <sz val="10"/>
            <color indexed="81"/>
            <rFont val="Lucida Console"/>
            <family val="3"/>
          </rPr>
          <t>_x000D_
MAQ.EQUIP.E MATERIAIS P/ HIGIEN.LIMP.POLIM.E LUBR.</t>
        </r>
      </text>
    </comment>
    <comment ref="Y437" authorId="0" shapeId="0" xr:uid="{5C5811D8-7A4B-4318-84CC-DBF77C1C5368}">
      <text>
        <r>
          <rPr>
            <sz val="10"/>
            <color indexed="81"/>
            <rFont val="Lucida Console"/>
            <family val="3"/>
          </rPr>
          <t>_x000D_
PANO PARA CHAO, COPA E FLANELA</t>
        </r>
      </text>
    </comment>
    <comment ref="AW437" authorId="0" shapeId="0" xr:uid="{F235C5AF-C888-4A98-882F-662175B002BF}">
      <text>
        <r>
          <rPr>
            <sz val="10"/>
            <color indexed="81"/>
            <rFont val="Lucida Console"/>
            <family val="3"/>
          </rPr>
          <t>Tempo de Estoque (Meses)_x000D_
_x000D_
413,0</t>
        </r>
      </text>
    </comment>
    <comment ref="A438" authorId="0" shapeId="0" xr:uid="{E0A63556-222E-4CD7-93D8-102F0125F361}">
      <text>
        <r>
          <rPr>
            <sz val="10"/>
            <color indexed="81"/>
            <rFont val="Lucida Console"/>
            <family val="3"/>
          </rPr>
          <t>_x000D_
107483</t>
        </r>
      </text>
    </comment>
    <comment ref="B438" authorId="0" shapeId="0" xr:uid="{B16199DF-BFFB-4443-A253-8F2EA284386D}">
      <text>
        <r>
          <rPr>
            <sz val="10"/>
            <color indexed="81"/>
            <rFont val="Lucida Console"/>
            <family val="3"/>
          </rPr>
          <t>DESCRIÇÃO DETALHADA_x000D_
RELE FOTOELETRICO COM BASE 220 V - 1000 W - TIPO NF</t>
        </r>
      </text>
    </comment>
    <comment ref="G438" authorId="0" shapeId="0" xr:uid="{024F3D36-6F01-4C97-8A2F-12A6F4DEBCC1}">
      <text>
        <r>
          <rPr>
            <sz val="10"/>
            <color indexed="81"/>
            <rFont val="Lucida Console"/>
            <family val="3"/>
          </rPr>
          <t>_x000D_
Últ estimativa : 350_x000D_
Enviada em     : 17.01.2020_x000D_
Ata - Venc     : 228/20 - 05.10.2021</t>
        </r>
      </text>
    </comment>
    <comment ref="O438" authorId="0" shapeId="0" xr:uid="{8F5BF5A9-DE55-47A4-AF1A-D2A263F17D84}">
      <text>
        <r>
          <rPr>
            <sz val="10"/>
            <color indexed="81"/>
            <rFont val="Lucida Console"/>
            <family val="3"/>
          </rPr>
          <t>_x000D_
Pertencia a ATA nº 228/20_x000D_
Estimativa de Renovação enviada em 17.01.2020 - Qtd 350_x000D_
PE 153/20 lote _x000D_
16.09.20 = Finalizado</t>
        </r>
      </text>
    </comment>
    <comment ref="W438" authorId="0" shapeId="0" xr:uid="{B741C607-8D8A-4DA8-9B46-F47615C8D79A}">
      <text>
        <r>
          <rPr>
            <sz val="10"/>
            <color indexed="81"/>
            <rFont val="Lucida Console"/>
            <family val="3"/>
          </rPr>
          <t>_x000D_
DM-Elétrica</t>
        </r>
      </text>
    </comment>
    <comment ref="X438" authorId="0" shapeId="0" xr:uid="{321EB246-65FF-489E-B072-4F1DAAD146DC}">
      <text>
        <r>
          <rPr>
            <sz val="10"/>
            <color indexed="81"/>
            <rFont val="Lucida Console"/>
            <family val="3"/>
          </rPr>
          <t>_x000D_
EQUIP. MAT. P/ GERACAO, TRANSM. DISTR. RETIF...</t>
        </r>
      </text>
    </comment>
    <comment ref="Y438" authorId="0" shapeId="0" xr:uid="{A392D503-57DE-4087-873A-A8ABC6D90EFE}">
      <text>
        <r>
          <rPr>
            <sz val="10"/>
            <color indexed="81"/>
            <rFont val="Lucida Console"/>
            <family val="3"/>
          </rPr>
          <t>_x000D_
RELES FOTO-ELETRICOS</t>
        </r>
      </text>
    </comment>
    <comment ref="AW438" authorId="0" shapeId="0" xr:uid="{B1B7BEAB-B0A1-4EF7-9566-75FF678EE564}">
      <text>
        <r>
          <rPr>
            <sz val="10"/>
            <color indexed="81"/>
            <rFont val="Lucida Console"/>
            <family val="3"/>
          </rPr>
          <t>Tempo de Estoque (Meses)_x000D_
_x000D_
301,0</t>
        </r>
      </text>
    </comment>
    <comment ref="A439" authorId="0" shapeId="0" xr:uid="{8F3A59F2-F4D9-4C4B-AAF8-22FC270F121E}">
      <text>
        <r>
          <rPr>
            <sz val="10"/>
            <color indexed="81"/>
            <rFont val="Lucida Console"/>
            <family val="3"/>
          </rPr>
          <t>_x000D_
107889</t>
        </r>
      </text>
    </comment>
    <comment ref="B439" authorId="0" shapeId="0" xr:uid="{DCFCB221-0CC2-4C28-9677-0C8855354D0A}">
      <text>
        <r>
          <rPr>
            <sz val="10"/>
            <color indexed="81"/>
            <rFont val="Lucida Console"/>
            <family val="3"/>
          </rPr>
          <t>DESCRIÇÃO DETALHADA_x000D_
CHAVE DE NIVEL TIPO BOIA 15 A 220 V COM CONTATO REVERSIVEL COM CABO DE 2 M.</t>
        </r>
      </text>
    </comment>
    <comment ref="G439" authorId="0" shapeId="0" xr:uid="{7808DA1D-E999-4A0B-A60D-5D727C7C4B2D}">
      <text>
        <r>
          <rPr>
            <sz val="10"/>
            <color indexed="81"/>
            <rFont val="Lucida Console"/>
            <family val="3"/>
          </rPr>
          <t>_x000D_
Últ estimativa : 350_x000D_
Enviada em     : 17.01.2020_x000D_
Ata - Venc     : 228/20 - 05.10.2021</t>
        </r>
      </text>
    </comment>
    <comment ref="O439" authorId="0" shapeId="0" xr:uid="{316FF1E1-62C5-417E-8DD1-1C75DDE66782}">
      <text>
        <r>
          <rPr>
            <sz val="10"/>
            <color indexed="81"/>
            <rFont val="Lucida Console"/>
            <family val="3"/>
          </rPr>
          <t>_x000D_
Pertencia a ATA nº 228/20_x000D_
Estimativa de Renovação enviada em 17.01.2020 - Qtd 350_x000D_
PE 153/20 lote _x000D_
16.09.20 = Finalizado</t>
        </r>
      </text>
    </comment>
    <comment ref="W439" authorId="0" shapeId="0" xr:uid="{43BB2638-282F-47F8-8B01-C1C690059043}">
      <text>
        <r>
          <rPr>
            <sz val="10"/>
            <color indexed="81"/>
            <rFont val="Lucida Console"/>
            <family val="3"/>
          </rPr>
          <t>_x000D_
DM-Elétrica</t>
        </r>
      </text>
    </comment>
    <comment ref="X439" authorId="0" shapeId="0" xr:uid="{EC62ECFC-DB3A-4BC2-B321-576DA1228D8E}">
      <text>
        <r>
          <rPr>
            <sz val="10"/>
            <color indexed="81"/>
            <rFont val="Lucida Console"/>
            <family val="3"/>
          </rPr>
          <t>_x000D_
EQUIP. MAT. P/ GERACAO, TRANSM. DISTR. RETIF...</t>
        </r>
      </text>
    </comment>
    <comment ref="Y439" authorId="0" shapeId="0" xr:uid="{2ABBBA09-BBB6-4DC5-AAE5-A959DDE0BCDF}">
      <text>
        <r>
          <rPr>
            <sz val="10"/>
            <color indexed="81"/>
            <rFont val="Lucida Console"/>
            <family val="3"/>
          </rPr>
          <t>_x000D_
CHAVES BOIA</t>
        </r>
      </text>
    </comment>
    <comment ref="AW439" authorId="0" shapeId="0" xr:uid="{02D933D3-3405-44ED-BC46-5D34F8D33591}">
      <text>
        <r>
          <rPr>
            <sz val="10"/>
            <color indexed="81"/>
            <rFont val="Lucida Console"/>
            <family val="3"/>
          </rPr>
          <t>Tempo de Estoque (Meses)_x000D_
_x000D_
200,0</t>
        </r>
      </text>
    </comment>
    <comment ref="A440" authorId="0" shapeId="0" xr:uid="{29F986FD-507F-4A06-B58D-5FEF519ADAE1}">
      <text>
        <r>
          <rPr>
            <sz val="10"/>
            <color indexed="81"/>
            <rFont val="Lucida Console"/>
            <family val="3"/>
          </rPr>
          <t>_x000D_
14831</t>
        </r>
      </text>
    </comment>
    <comment ref="B440" authorId="0" shapeId="0" xr:uid="{3603EC23-1302-46F0-B375-F2631C411E14}">
      <text>
        <r>
          <rPr>
            <sz val="10"/>
            <color indexed="81"/>
            <rFont val="Lucida Console"/>
            <family val="3"/>
          </rPr>
          <t>DESCRIÇÃO DETALHADA_x000D_
SOQUETE DE PORCELANA E-27 P/ LAMPADA INCANDESCENTE</t>
        </r>
      </text>
    </comment>
    <comment ref="G440" authorId="0" shapeId="0" xr:uid="{785F96DD-4899-488C-95A1-EE7EBD74310D}">
      <text>
        <r>
          <rPr>
            <sz val="10"/>
            <color indexed="81"/>
            <rFont val="Lucida Console"/>
            <family val="3"/>
          </rPr>
          <t>_x000D_
Últ estimativa : 800_x000D_
Enviada em     : 17.01.2020_x000D_
Ata - Venc     : 228/20 - 05.10.2021</t>
        </r>
      </text>
    </comment>
    <comment ref="O440" authorId="0" shapeId="0" xr:uid="{1E3F9132-A1F7-432D-ADCB-2BF13E9E893E}">
      <text>
        <r>
          <rPr>
            <sz val="10"/>
            <color indexed="81"/>
            <rFont val="Lucida Console"/>
            <family val="3"/>
          </rPr>
          <t>_x000D_
Pertencia a ATA nº 228/20_x000D_
Estimativa de Renovação enviada em 17.01.2020 - Qtd 800_x000D_
PE 153/20 lote _x000D_
16.09.20 = Finalizado</t>
        </r>
      </text>
    </comment>
    <comment ref="W440" authorId="0" shapeId="0" xr:uid="{E7658FE8-33B6-4DA7-910C-3652B7D71A57}">
      <text>
        <r>
          <rPr>
            <sz val="10"/>
            <color indexed="81"/>
            <rFont val="Lucida Console"/>
            <family val="3"/>
          </rPr>
          <t>_x000D_
DM-Elétrica</t>
        </r>
      </text>
    </comment>
    <comment ref="X440" authorId="0" shapeId="0" xr:uid="{71176A32-F4A7-4070-8D0E-F951531A00C4}">
      <text>
        <r>
          <rPr>
            <sz val="10"/>
            <color indexed="81"/>
            <rFont val="Lucida Console"/>
            <family val="3"/>
          </rPr>
          <t>_x000D_
EQUIP. MAT. P/ GERACAO, TRANSM. DISTR. RETIF...</t>
        </r>
      </text>
    </comment>
    <comment ref="Y440" authorId="0" shapeId="0" xr:uid="{5A50DE6B-85D2-43FE-AC86-D8A9EFD4FEED}">
      <text>
        <r>
          <rPr>
            <sz val="10"/>
            <color indexed="81"/>
            <rFont val="Lucida Console"/>
            <family val="3"/>
          </rPr>
          <t>_x000D_
ACESSORIOS</t>
        </r>
      </text>
    </comment>
    <comment ref="AW440" authorId="0" shapeId="0" xr:uid="{9660BBB7-567F-4525-8CAB-6308F802BF52}">
      <text>
        <r>
          <rPr>
            <sz val="10"/>
            <color indexed="81"/>
            <rFont val="Lucida Console"/>
            <family val="3"/>
          </rPr>
          <t>Tempo de Estoque (Meses)_x000D_
_x000D_
430,0</t>
        </r>
      </text>
    </comment>
    <comment ref="A441" authorId="0" shapeId="0" xr:uid="{5998B00C-960F-433F-8BC0-23A228C5687E}">
      <text>
        <r>
          <rPr>
            <sz val="10"/>
            <color indexed="81"/>
            <rFont val="Lucida Console"/>
            <family val="3"/>
          </rPr>
          <t>_x000D_
112154</t>
        </r>
      </text>
    </comment>
    <comment ref="B441" authorId="0" shapeId="0" xr:uid="{A2218914-D9E5-4FED-9A64-2CABA06934A1}">
      <text>
        <r>
          <rPr>
            <sz val="10"/>
            <color indexed="81"/>
            <rFont val="Lucida Console"/>
            <family val="3"/>
          </rPr>
          <t>DESCRIÇÃO DETALHADA_x000D_
TOMADA 2P+T DE 20A/250V DE EMBUTIR COM ESPELHO PARA CAIXA 4X2, PADRAO NBR 14136</t>
        </r>
      </text>
    </comment>
    <comment ref="G441" authorId="0" shapeId="0" xr:uid="{A8724293-52BA-4DDC-9C27-9A2D1FBAEBDC}">
      <text>
        <r>
          <rPr>
            <sz val="10"/>
            <color indexed="81"/>
            <rFont val="Lucida Console"/>
            <family val="3"/>
          </rPr>
          <t>_x000D_
Últ estimativa : 800_x000D_
Enviada em     : 17.01.2020_x000D_
Ata - Venc     : 228/20 - 05.10.2021</t>
        </r>
      </text>
    </comment>
    <comment ref="O441" authorId="0" shapeId="0" xr:uid="{3AF91EDB-4FB3-4CB5-8928-53AB07436176}">
      <text>
        <r>
          <rPr>
            <sz val="10"/>
            <color indexed="81"/>
            <rFont val="Lucida Console"/>
            <family val="3"/>
          </rPr>
          <t>_x000D_
Pertencia a ATA nº 228/20_x000D_
Estimativa de Renovação enviada em 17.01.2020 - Qtd 800_x000D_
PE 153/20 lote _x000D_
16.09.20 = Finalizado</t>
        </r>
      </text>
    </comment>
    <comment ref="W441" authorId="0" shapeId="0" xr:uid="{76496B8C-1929-4F3E-890C-89413B4D7D7C}">
      <text>
        <r>
          <rPr>
            <sz val="10"/>
            <color indexed="81"/>
            <rFont val="Lucida Console"/>
            <family val="3"/>
          </rPr>
          <t>_x000D_
DM-Elétrica</t>
        </r>
      </text>
    </comment>
    <comment ref="X441" authorId="0" shapeId="0" xr:uid="{91C7FC7B-EB40-42C7-AF9B-3128CB7CC55B}">
      <text>
        <r>
          <rPr>
            <sz val="10"/>
            <color indexed="81"/>
            <rFont val="Lucida Console"/>
            <family val="3"/>
          </rPr>
          <t>_x000D_
EQUIP. MAT. P/ GERACAO, TRANSM. DISTR. RETIF...</t>
        </r>
      </text>
    </comment>
    <comment ref="Y441" authorId="0" shapeId="0" xr:uid="{A9055A95-9E6E-4014-9711-63ABBEBBCCE6}">
      <text>
        <r>
          <rPr>
            <sz val="10"/>
            <color indexed="81"/>
            <rFont val="Lucida Console"/>
            <family val="3"/>
          </rPr>
          <t>_x000D_
TOMADAS DE USO DOMESTICO E INDUSTRIAL</t>
        </r>
      </text>
    </comment>
    <comment ref="AW441" authorId="0" shapeId="0" xr:uid="{BBA79573-7192-495F-94DB-33F570E5A701}">
      <text>
        <r>
          <rPr>
            <sz val="10"/>
            <color indexed="81"/>
            <rFont val="Lucida Console"/>
            <family val="3"/>
          </rPr>
          <t>Tempo de Estoque (Meses)_x000D_
_x000D_
668,0</t>
        </r>
      </text>
    </comment>
    <comment ref="A442" authorId="0" shapeId="0" xr:uid="{E8D59516-F131-4A0D-BB73-50F4DCB090E6}">
      <text>
        <r>
          <rPr>
            <sz val="10"/>
            <color indexed="81"/>
            <rFont val="Lucida Console"/>
            <family val="3"/>
          </rPr>
          <t>_x000D_
112155</t>
        </r>
      </text>
    </comment>
    <comment ref="B442" authorId="0" shapeId="0" xr:uid="{1667F9CD-0F14-4254-8213-925ADA3014C8}">
      <text>
        <r>
          <rPr>
            <sz val="10"/>
            <color indexed="81"/>
            <rFont val="Lucida Console"/>
            <family val="3"/>
          </rPr>
          <t>DESCRIÇÃO DETALHADA_x000D_
TOMADA COM 2 TOMADAS 2P+T DE 20A/250V DE EMBUTIR COM ESPELHO PARA CAIXA 4X2, PADRAO NBR 14136</t>
        </r>
      </text>
    </comment>
    <comment ref="G442" authorId="0" shapeId="0" xr:uid="{DF8B081E-B15D-4567-842E-BB453032AA05}">
      <text>
        <r>
          <rPr>
            <sz val="10"/>
            <color indexed="81"/>
            <rFont val="Lucida Console"/>
            <family val="3"/>
          </rPr>
          <t>_x000D_
Últ estimativa : 300_x000D_
Enviada em     : 17.01.2020_x000D_
Ata - Venc     : 228/20 - 05.10.2021</t>
        </r>
      </text>
    </comment>
    <comment ref="O442" authorId="0" shapeId="0" xr:uid="{5B4EB47A-DA8F-4A54-B13F-64FF0CAA7D7D}">
      <text>
        <r>
          <rPr>
            <sz val="10"/>
            <color indexed="81"/>
            <rFont val="Lucida Console"/>
            <family val="3"/>
          </rPr>
          <t>_x000D_
Pertencia a ATA nº 228/20_x000D_
Estimativa de Renovação enviada em 17.01.2020 - Qtd 300_x000D_
PE 153/20 lote _x000D_
16.09.20 = Finalizado</t>
        </r>
      </text>
    </comment>
    <comment ref="W442" authorId="0" shapeId="0" xr:uid="{23880EFB-0C80-4D00-BD84-51D45C86F637}">
      <text>
        <r>
          <rPr>
            <sz val="10"/>
            <color indexed="81"/>
            <rFont val="Lucida Console"/>
            <family val="3"/>
          </rPr>
          <t>_x000D_
DM-Elétrica</t>
        </r>
      </text>
    </comment>
    <comment ref="X442" authorId="0" shapeId="0" xr:uid="{BB286417-524C-437A-BF6D-1D610FF9483F}">
      <text>
        <r>
          <rPr>
            <sz val="10"/>
            <color indexed="81"/>
            <rFont val="Lucida Console"/>
            <family val="3"/>
          </rPr>
          <t>_x000D_
EQUIP. MAT. P/ GERACAO, TRANSM. DISTR. RETIF...</t>
        </r>
      </text>
    </comment>
    <comment ref="Y442" authorId="0" shapeId="0" xr:uid="{1CF6E29D-02C3-4E57-8470-363A2D3F051C}">
      <text>
        <r>
          <rPr>
            <sz val="10"/>
            <color indexed="81"/>
            <rFont val="Lucida Console"/>
            <family val="3"/>
          </rPr>
          <t>_x000D_
TOMADAS DE USO DOMESTICO E INDUSTRIAL</t>
        </r>
      </text>
    </comment>
    <comment ref="AW442" authorId="0" shapeId="0" xr:uid="{3EC09B55-112F-4A55-8DBA-EA0E1E64D17C}">
      <text>
        <r>
          <rPr>
            <sz val="10"/>
            <color indexed="81"/>
            <rFont val="Lucida Console"/>
            <family val="3"/>
          </rPr>
          <t>Tempo de Estoque (Meses)_x000D_
_x000D_
122,0</t>
        </r>
      </text>
    </comment>
    <comment ref="A443" authorId="0" shapeId="0" xr:uid="{51259641-EC4B-467F-98C4-CED6D80C2367}">
      <text>
        <r>
          <rPr>
            <sz val="10"/>
            <color indexed="81"/>
            <rFont val="Lucida Console"/>
            <family val="3"/>
          </rPr>
          <t>_x000D_
112156</t>
        </r>
      </text>
    </comment>
    <comment ref="B443" authorId="0" shapeId="0" xr:uid="{425165CC-005B-4CBE-88BD-39EFF1B2F012}">
      <text>
        <r>
          <rPr>
            <sz val="10"/>
            <color indexed="81"/>
            <rFont val="Lucida Console"/>
            <family val="3"/>
          </rPr>
          <t>DESCRIÇÃO DETALHADA_x000D_
TOMADA MOVEL 2P+T NBR 14136 DE 20A/250V</t>
        </r>
      </text>
    </comment>
    <comment ref="G443" authorId="0" shapeId="0" xr:uid="{792F8D78-5F39-4D5C-8A9C-AF7BE7C82D3F}">
      <text>
        <r>
          <rPr>
            <sz val="10"/>
            <color indexed="81"/>
            <rFont val="Lucida Console"/>
            <family val="3"/>
          </rPr>
          <t>_x000D_
Últ estimativa : 600_x000D_
Enviada em     : 17.01.2020_x000D_
Ata - Venc     : 228/20 - 05.10.2021</t>
        </r>
      </text>
    </comment>
    <comment ref="O443" authorId="0" shapeId="0" xr:uid="{3B99A005-1476-4948-A671-449F47B1F546}">
      <text>
        <r>
          <rPr>
            <sz val="10"/>
            <color indexed="81"/>
            <rFont val="Lucida Console"/>
            <family val="3"/>
          </rPr>
          <t>_x000D_
Pertencia a ATA nº 228/20_x000D_
Estimativa de Renovação enviada em 17.01.2020 - Qtd 600_x000D_
PE 153/20 lote _x000D_
16.09.20 = Finalizado</t>
        </r>
      </text>
    </comment>
    <comment ref="W443" authorId="0" shapeId="0" xr:uid="{B21F8661-E17C-47E6-82F2-42FC64CEAFF6}">
      <text>
        <r>
          <rPr>
            <sz val="10"/>
            <color indexed="81"/>
            <rFont val="Lucida Console"/>
            <family val="3"/>
          </rPr>
          <t>_x000D_
DM-Elétrica</t>
        </r>
      </text>
    </comment>
    <comment ref="X443" authorId="0" shapeId="0" xr:uid="{2EE7D35D-8298-4C38-A0AB-A4C4557542CE}">
      <text>
        <r>
          <rPr>
            <sz val="10"/>
            <color indexed="81"/>
            <rFont val="Lucida Console"/>
            <family val="3"/>
          </rPr>
          <t>_x000D_
EQUIP. MAT. P/ GERACAO, TRANSM. DISTR. RETIF...</t>
        </r>
      </text>
    </comment>
    <comment ref="Y443" authorId="0" shapeId="0" xr:uid="{11D3E04F-553B-4DE7-A02F-AA44E39C89CC}">
      <text>
        <r>
          <rPr>
            <sz val="10"/>
            <color indexed="81"/>
            <rFont val="Lucida Console"/>
            <family val="3"/>
          </rPr>
          <t>_x000D_
TOMADAS DE USO DOMESTICO E INDUSTRIAL</t>
        </r>
      </text>
    </comment>
    <comment ref="AW443" authorId="0" shapeId="0" xr:uid="{73018F02-9FE3-4C11-AC1B-649513EC2E11}">
      <text>
        <r>
          <rPr>
            <sz val="10"/>
            <color indexed="81"/>
            <rFont val="Lucida Console"/>
            <family val="3"/>
          </rPr>
          <t>Tempo de Estoque (Meses)_x000D_
_x000D_
343,0</t>
        </r>
      </text>
    </comment>
    <comment ref="A444" authorId="0" shapeId="0" xr:uid="{58DE2E3D-0D7E-4672-8309-B2F1A5A3978D}">
      <text>
        <r>
          <rPr>
            <sz val="10"/>
            <color indexed="81"/>
            <rFont val="Lucida Console"/>
            <family val="3"/>
          </rPr>
          <t>_x000D_
112157</t>
        </r>
      </text>
    </comment>
    <comment ref="B444" authorId="0" shapeId="0" xr:uid="{EDAE46E1-A994-4D41-B36F-0B6159A826F5}">
      <text>
        <r>
          <rPr>
            <sz val="10"/>
            <color indexed="81"/>
            <rFont val="Lucida Console"/>
            <family val="3"/>
          </rPr>
          <t xml:space="preserve">DESCRIÇÃO DETALHADA_x000D_
TOMADA 2P+T DE 20A/250V DE SOBREPOR COM CAIXA, PADRAO NBR 14136 </t>
        </r>
      </text>
    </comment>
    <comment ref="G444" authorId="0" shapeId="0" xr:uid="{AD5036FE-2102-400C-A117-ED0DB98FAA51}">
      <text>
        <r>
          <rPr>
            <sz val="10"/>
            <color indexed="81"/>
            <rFont val="Lucida Console"/>
            <family val="3"/>
          </rPr>
          <t>_x000D_
Últ estimativa : 200_x000D_
Enviada em     : 17.01.2020_x000D_
Ata - Venc     : 228/20 - 05.10.2021</t>
        </r>
      </text>
    </comment>
    <comment ref="O444" authorId="0" shapeId="0" xr:uid="{4979D695-4162-4DF0-A540-EC6B11968176}">
      <text>
        <r>
          <rPr>
            <sz val="10"/>
            <color indexed="81"/>
            <rFont val="Lucida Console"/>
            <family val="3"/>
          </rPr>
          <t>_x000D_
Pertencia a ATA nº 228/20_x000D_
Estimativa de Renovação enviada em 17.01.2020 - Qtd 200_x000D_
PE 153/20 lote _x000D_
16.09.20 = Finalizado</t>
        </r>
      </text>
    </comment>
    <comment ref="W444" authorId="0" shapeId="0" xr:uid="{E17FA445-3550-444F-86FD-2295A470252D}">
      <text>
        <r>
          <rPr>
            <sz val="10"/>
            <color indexed="81"/>
            <rFont val="Lucida Console"/>
            <family val="3"/>
          </rPr>
          <t>_x000D_
DM-Elétrica</t>
        </r>
      </text>
    </comment>
    <comment ref="X444" authorId="0" shapeId="0" xr:uid="{891E9F9A-28F5-4D2F-8DA5-16C0111E0DEE}">
      <text>
        <r>
          <rPr>
            <sz val="10"/>
            <color indexed="81"/>
            <rFont val="Lucida Console"/>
            <family val="3"/>
          </rPr>
          <t>_x000D_
EQUIP. MAT. P/ GERACAO, TRANSM. DISTR. RETIF...</t>
        </r>
      </text>
    </comment>
    <comment ref="Y444" authorId="0" shapeId="0" xr:uid="{0967C7C1-5C08-4670-97C9-B5370635D48E}">
      <text>
        <r>
          <rPr>
            <sz val="10"/>
            <color indexed="81"/>
            <rFont val="Lucida Console"/>
            <family val="3"/>
          </rPr>
          <t>_x000D_
TOMADAS DE USO DOMESTICO E INDUSTRIAL</t>
        </r>
      </text>
    </comment>
    <comment ref="AW444" authorId="0" shapeId="0" xr:uid="{40C6CA59-022E-4355-B05D-B6CF6CABE1A1}">
      <text>
        <r>
          <rPr>
            <sz val="10"/>
            <color indexed="81"/>
            <rFont val="Lucida Console"/>
            <family val="3"/>
          </rPr>
          <t>Tempo de Estoque (Meses)_x000D_
_x000D_
93,0</t>
        </r>
      </text>
    </comment>
    <comment ref="A445" authorId="0" shapeId="0" xr:uid="{FADF528B-1AD3-469A-98DA-AAC5D6408862}">
      <text>
        <r>
          <rPr>
            <sz val="10"/>
            <color indexed="81"/>
            <rFont val="Lucida Console"/>
            <family val="3"/>
          </rPr>
          <t>_x000D_
116874</t>
        </r>
      </text>
    </comment>
    <comment ref="B445" authorId="0" shapeId="0" xr:uid="{9DCCE1CC-E12C-4404-B654-D53B10511030}">
      <text>
        <r>
          <rPr>
            <sz val="10"/>
            <color indexed="81"/>
            <rFont val="Lucida Console"/>
            <family val="3"/>
          </rPr>
          <t>DESCRIÇÃO DETALHADA_x000D_
TOMADA 2P + T DE 10/250V DE EMBUTIR COM ESPELHO PARA CAIXA 4X2, PADRAO NBR 14136</t>
        </r>
      </text>
    </comment>
    <comment ref="G445" authorId="0" shapeId="0" xr:uid="{4A8AC181-BD50-427C-B3BF-DEA42796F62F}">
      <text>
        <r>
          <rPr>
            <sz val="10"/>
            <color indexed="81"/>
            <rFont val="Lucida Console"/>
            <family val="3"/>
          </rPr>
          <t>_x000D_
Últ estimativa : 2.000_x000D_
Enviada em     : 17.01.2020_x000D_
Ata - Venc     : 228/20 - 05.10.2021</t>
        </r>
      </text>
    </comment>
    <comment ref="O445" authorId="0" shapeId="0" xr:uid="{183441B7-C12D-4D90-BB8A-4C80877B5865}">
      <text>
        <r>
          <rPr>
            <sz val="10"/>
            <color indexed="81"/>
            <rFont val="Lucida Console"/>
            <family val="3"/>
          </rPr>
          <t>_x000D_
Pertencia a ATA nº 228/20_x000D_
Estimativa de Renovação enviada em 17.01.2020 - Qtd 2.000_x000D_
PE 153/20 lote _x000D_
16.09.20 = Finalizado</t>
        </r>
      </text>
    </comment>
    <comment ref="W445" authorId="0" shapeId="0" xr:uid="{A556F791-F0AE-4F31-B98A-A9A25EEB6EBC}">
      <text>
        <r>
          <rPr>
            <sz val="10"/>
            <color indexed="81"/>
            <rFont val="Lucida Console"/>
            <family val="3"/>
          </rPr>
          <t>_x000D_
DM-Elétrica</t>
        </r>
      </text>
    </comment>
    <comment ref="X445" authorId="0" shapeId="0" xr:uid="{5F798AFD-44DC-46E0-901F-4E06D5355E9D}">
      <text>
        <r>
          <rPr>
            <sz val="10"/>
            <color indexed="81"/>
            <rFont val="Lucida Console"/>
            <family val="3"/>
          </rPr>
          <t>_x000D_
EQUIP. MAT. P/ GERACAO, TRANSM. DISTR. RETIF...</t>
        </r>
      </text>
    </comment>
    <comment ref="Y445" authorId="0" shapeId="0" xr:uid="{7E8DCE83-9461-4BCA-87A6-E15048543B11}">
      <text>
        <r>
          <rPr>
            <sz val="10"/>
            <color indexed="81"/>
            <rFont val="Lucida Console"/>
            <family val="3"/>
          </rPr>
          <t>_x000D_
TOMADAS DE USO DOMESTICO E INDUSTRIAL</t>
        </r>
      </text>
    </comment>
    <comment ref="AW445" authorId="0" shapeId="0" xr:uid="{BC86D984-11BD-40BF-9F20-2D92F27AD2E0}">
      <text>
        <r>
          <rPr>
            <sz val="10"/>
            <color indexed="81"/>
            <rFont val="Lucida Console"/>
            <family val="3"/>
          </rPr>
          <t>Tempo de Estoque (Meses)_x000D_
_x000D_
1.083,0</t>
        </r>
      </text>
    </comment>
    <comment ref="A446" authorId="0" shapeId="0" xr:uid="{24917158-C2B8-4C05-8F89-F57755F28A00}">
      <text>
        <r>
          <rPr>
            <sz val="10"/>
            <color indexed="81"/>
            <rFont val="Lucida Console"/>
            <family val="3"/>
          </rPr>
          <t>_x000D_
119181</t>
        </r>
      </text>
    </comment>
    <comment ref="B446" authorId="0" shapeId="0" xr:uid="{54A66295-0C6F-4ED4-B7A7-B8C927E14862}">
      <text>
        <r>
          <rPr>
            <sz val="10"/>
            <color indexed="81"/>
            <rFont val="Lucida Console"/>
            <family val="3"/>
          </rPr>
          <t>DESCRIÇÃO DETALHADA_x000D_
TOMADA MOVEL PADRAO NBR 14136 2P+T  DE 10A/250V</t>
        </r>
      </text>
    </comment>
    <comment ref="G446" authorId="0" shapeId="0" xr:uid="{5E563BF2-A983-476B-95B8-966934463535}">
      <text>
        <r>
          <rPr>
            <sz val="10"/>
            <color indexed="81"/>
            <rFont val="Lucida Console"/>
            <family val="3"/>
          </rPr>
          <t>_x000D_
Últ estimativa : 1.000_x000D_
Enviada em     : 17.01.2020_x000D_
Ata - Venc     : 228/20 - 05.10.2021</t>
        </r>
      </text>
    </comment>
    <comment ref="O446" authorId="0" shapeId="0" xr:uid="{4B83EDCB-707B-4D29-8C89-32DA152902BF}">
      <text>
        <r>
          <rPr>
            <sz val="10"/>
            <color indexed="81"/>
            <rFont val="Lucida Console"/>
            <family val="3"/>
          </rPr>
          <t>_x000D_
Pertencia a ATA nº 228/20_x000D_
Estimativa de Renovação enviada em 17.01.2020 - Qtd 1.000_x000D_
PE 153/20 lote _x000D_
16.09.20 = Finalizado</t>
        </r>
      </text>
    </comment>
    <comment ref="W446" authorId="0" shapeId="0" xr:uid="{D03AC60F-D6A0-4041-B1D8-DB4423DEE8E1}">
      <text>
        <r>
          <rPr>
            <sz val="10"/>
            <color indexed="81"/>
            <rFont val="Lucida Console"/>
            <family val="3"/>
          </rPr>
          <t>_x000D_
DM-Elétrica</t>
        </r>
      </text>
    </comment>
    <comment ref="X446" authorId="0" shapeId="0" xr:uid="{E24E86B4-DB14-4DF0-9257-9B1034411AEE}">
      <text>
        <r>
          <rPr>
            <sz val="10"/>
            <color indexed="81"/>
            <rFont val="Lucida Console"/>
            <family val="3"/>
          </rPr>
          <t>_x000D_
EQUIP. MAT. P/ GERACAO, TRANSM. DISTR. RETIF...</t>
        </r>
      </text>
    </comment>
    <comment ref="Y446" authorId="0" shapeId="0" xr:uid="{F0A19BE4-51FB-4937-BE23-0EFCC724C620}">
      <text>
        <r>
          <rPr>
            <sz val="10"/>
            <color indexed="81"/>
            <rFont val="Lucida Console"/>
            <family val="3"/>
          </rPr>
          <t>_x000D_
TOMADAS DE USO DOMESTICO E INDUSTRIAL</t>
        </r>
      </text>
    </comment>
    <comment ref="AW446" authorId="0" shapeId="0" xr:uid="{BBAAF0F8-69AA-4993-953B-5F42E874F37A}">
      <text>
        <r>
          <rPr>
            <sz val="10"/>
            <color indexed="81"/>
            <rFont val="Lucida Console"/>
            <family val="3"/>
          </rPr>
          <t>Tempo de Estoque (Meses)_x000D_
_x000D_
680,0</t>
        </r>
      </text>
    </comment>
    <comment ref="A447" authorId="0" shapeId="0" xr:uid="{287A5A04-A823-41D6-8A9D-B351415931F6}">
      <text>
        <r>
          <rPr>
            <sz val="10"/>
            <color indexed="81"/>
            <rFont val="Lucida Console"/>
            <family val="3"/>
          </rPr>
          <t>_x000D_
136082</t>
        </r>
      </text>
    </comment>
    <comment ref="B447" authorId="0" shapeId="0" xr:uid="{45404D58-3B9A-45D0-8C6C-EFF27DCFA74A}">
      <text>
        <r>
          <rPr>
            <sz val="10"/>
            <color indexed="81"/>
            <rFont val="Lucida Console"/>
            <family val="3"/>
          </rPr>
          <t>DESCRIÇÃO DETALHADA_x000D_
TOMADA PADRAO NBR 14136 COM 2 TOMADAS 2P + T DE 10A/250V DE EMBUTIR COM ESPELHO COR BRANCA PARA CAIXA 4X2.</t>
        </r>
      </text>
    </comment>
    <comment ref="G447" authorId="0" shapeId="0" xr:uid="{2E9E74CA-83BA-4B16-9B1F-F5579EBBBD21}">
      <text>
        <r>
          <rPr>
            <sz val="10"/>
            <color indexed="81"/>
            <rFont val="Lucida Console"/>
            <family val="3"/>
          </rPr>
          <t>_x000D_
Últ estimativa : 450_x000D_
Enviada em     : 17.01.2020_x000D_
Ata - Venc     : 228/20 - 05.10.2021</t>
        </r>
      </text>
    </comment>
    <comment ref="O447" authorId="0" shapeId="0" xr:uid="{364929B2-C217-414F-BC7E-A5100CD6FA2D}">
      <text>
        <r>
          <rPr>
            <sz val="10"/>
            <color indexed="81"/>
            <rFont val="Lucida Console"/>
            <family val="3"/>
          </rPr>
          <t>_x000D_
Pertencia a ATA nº 228/20_x000D_
Estimativa de Renovação enviada em 17.01.2020 - Qtd 450_x000D_
PE 153/20 lote _x000D_
16.09.20 = Finalizado</t>
        </r>
      </text>
    </comment>
    <comment ref="W447" authorId="0" shapeId="0" xr:uid="{A50F656F-A310-4D59-A93E-6667F81602F8}">
      <text>
        <r>
          <rPr>
            <sz val="10"/>
            <color indexed="81"/>
            <rFont val="Lucida Console"/>
            <family val="3"/>
          </rPr>
          <t>_x000D_
DM-Elétrica</t>
        </r>
      </text>
    </comment>
    <comment ref="X447" authorId="0" shapeId="0" xr:uid="{368A1D30-5624-460C-BF2A-EFCCDEF3271A}">
      <text>
        <r>
          <rPr>
            <sz val="10"/>
            <color indexed="81"/>
            <rFont val="Lucida Console"/>
            <family val="3"/>
          </rPr>
          <t>_x000D_
EQUIP. MAT. P/ GERACAO, TRANSM. DISTR. RETIF...</t>
        </r>
      </text>
    </comment>
    <comment ref="Y447" authorId="0" shapeId="0" xr:uid="{8F21CDD9-3E96-4110-94CD-A2F6ABA43A36}">
      <text>
        <r>
          <rPr>
            <sz val="10"/>
            <color indexed="81"/>
            <rFont val="Lucida Console"/>
            <family val="3"/>
          </rPr>
          <t>_x000D_
TOMADAS DE USO DOMESTICO E INDUSTRIAL</t>
        </r>
      </text>
    </comment>
    <comment ref="AW447" authorId="0" shapeId="0" xr:uid="{ABA5DF72-690A-49AC-9CC7-C0AF969921D6}">
      <text>
        <r>
          <rPr>
            <sz val="10"/>
            <color indexed="81"/>
            <rFont val="Lucida Console"/>
            <family val="3"/>
          </rPr>
          <t>Tempo de Estoque (Meses)_x000D_
_x000D_
700,0</t>
        </r>
      </text>
    </comment>
    <comment ref="A448" authorId="0" shapeId="0" xr:uid="{DF6DB8B5-DA7A-4BA4-BC50-387F8BD44BF3}">
      <text>
        <r>
          <rPr>
            <sz val="10"/>
            <color indexed="81"/>
            <rFont val="Lucida Console"/>
            <family val="3"/>
          </rPr>
          <t>_x000D_
136083</t>
        </r>
      </text>
    </comment>
    <comment ref="B448" authorId="0" shapeId="0" xr:uid="{1BE8A88F-301E-4733-8D59-78D939AEE777}">
      <text>
        <r>
          <rPr>
            <sz val="10"/>
            <color indexed="81"/>
            <rFont val="Lucida Console"/>
            <family val="3"/>
          </rPr>
          <t>DESCRIÇÃO DETALHADA_x000D_
TOMADA PADRAO NBR 14136 2P + T DE 10A/250V DE SOBREPOR COM CAIXA COR BRANCA.</t>
        </r>
      </text>
    </comment>
    <comment ref="G448" authorId="0" shapeId="0" xr:uid="{EBE236DF-162B-4A8A-A9DC-91264605DBA3}">
      <text>
        <r>
          <rPr>
            <sz val="10"/>
            <color indexed="81"/>
            <rFont val="Lucida Console"/>
            <family val="3"/>
          </rPr>
          <t>_x000D_
Últ estimativa : 400_x000D_
Enviada em     : 17.01.2020_x000D_
Ata - Venc     : 228/20 - 05.10.2021</t>
        </r>
      </text>
    </comment>
    <comment ref="O448" authorId="0" shapeId="0" xr:uid="{93847636-A845-427D-9B2E-419078E2409A}">
      <text>
        <r>
          <rPr>
            <sz val="10"/>
            <color indexed="81"/>
            <rFont val="Lucida Console"/>
            <family val="3"/>
          </rPr>
          <t>_x000D_
Pertencia a ATA nº 228/20_x000D_
Estimativa de Renovação enviada em 17.01.2020 - Qtd 400_x000D_
PE 153/20 lote _x000D_
16.09.20 = Finalizado</t>
        </r>
      </text>
    </comment>
    <comment ref="W448" authorId="0" shapeId="0" xr:uid="{98DBC1AE-F3AA-4A74-B083-F0DFC8663412}">
      <text>
        <r>
          <rPr>
            <sz val="10"/>
            <color indexed="81"/>
            <rFont val="Lucida Console"/>
            <family val="3"/>
          </rPr>
          <t>_x000D_
DM-Elétrica</t>
        </r>
      </text>
    </comment>
    <comment ref="X448" authorId="0" shapeId="0" xr:uid="{E0AA2502-EF86-4DD9-967C-9C642A85004B}">
      <text>
        <r>
          <rPr>
            <sz val="10"/>
            <color indexed="81"/>
            <rFont val="Lucida Console"/>
            <family val="3"/>
          </rPr>
          <t>_x000D_
EQUIP. MAT. P/ GERACAO, TRANSM. DISTR. RETIF...</t>
        </r>
      </text>
    </comment>
    <comment ref="Y448" authorId="0" shapeId="0" xr:uid="{90B34C44-BA6F-455E-90D7-BE25FB6FCF55}">
      <text>
        <r>
          <rPr>
            <sz val="10"/>
            <color indexed="81"/>
            <rFont val="Lucida Console"/>
            <family val="3"/>
          </rPr>
          <t>_x000D_
TOMADAS DE USO DOMESTICO E INDUSTRIAL</t>
        </r>
      </text>
    </comment>
    <comment ref="AW448" authorId="0" shapeId="0" xr:uid="{7E2AF9E7-7FE5-4E0D-AD66-4D3E82A178B8}">
      <text>
        <r>
          <rPr>
            <sz val="10"/>
            <color indexed="81"/>
            <rFont val="Lucida Console"/>
            <family val="3"/>
          </rPr>
          <t>Tempo de Estoque (Meses)_x000D_
_x000D_
436,0</t>
        </r>
      </text>
    </comment>
    <comment ref="A449" authorId="0" shapeId="0" xr:uid="{405F3953-745B-46CA-9880-3314EC09BBEB}">
      <text>
        <r>
          <rPr>
            <sz val="10"/>
            <color indexed="81"/>
            <rFont val="Lucida Console"/>
            <family val="3"/>
          </rPr>
          <t>_x000D_
50797</t>
        </r>
      </text>
    </comment>
    <comment ref="B449" authorId="0" shapeId="0" xr:uid="{E863C833-3FBD-427C-902B-8B27C742C610}">
      <text>
        <r>
          <rPr>
            <sz val="10"/>
            <color indexed="81"/>
            <rFont val="Lucida Console"/>
            <family val="3"/>
          </rPr>
          <t>DESCRIÇÃO DETALHADA_x000D_
CHUVEIRO ELETRICO AUTOMATICO - CORPO EM PLASTICO 220V/5400W</t>
        </r>
      </text>
    </comment>
    <comment ref="G449" authorId="0" shapeId="0" xr:uid="{65960FE3-E479-4E72-94BA-4B06F3C2E4A3}">
      <text>
        <r>
          <rPr>
            <sz val="10"/>
            <color indexed="81"/>
            <rFont val="Lucida Console"/>
            <family val="3"/>
          </rPr>
          <t>_x000D_
Últ estimativa : 320_x000D_
Enviada em     : 17.01.2020_x000D_
Ata - Venc     : 228/20 - 05.10.2021</t>
        </r>
      </text>
    </comment>
    <comment ref="O449" authorId="0" shapeId="0" xr:uid="{630EE9AE-309E-4AE2-869D-92AF54BDB7D3}">
      <text>
        <r>
          <rPr>
            <sz val="10"/>
            <color indexed="81"/>
            <rFont val="Lucida Console"/>
            <family val="3"/>
          </rPr>
          <t>_x000D_
Pertencia a ATA nº 228/20_x000D_
Estimativa de Renovação enviada em 17.01.2020 - Qtd 320_x000D_
PE 153/20 lote _x000D_
16.09.20 = Finalizado</t>
        </r>
      </text>
    </comment>
    <comment ref="W449" authorId="0" shapeId="0" xr:uid="{858C20A2-5A24-45DD-8FC5-F7A757A39A9C}">
      <text>
        <r>
          <rPr>
            <sz val="10"/>
            <color indexed="81"/>
            <rFont val="Lucida Console"/>
            <family val="3"/>
          </rPr>
          <t>_x000D_
DM-Hidráulica</t>
        </r>
      </text>
    </comment>
    <comment ref="X449" authorId="0" shapeId="0" xr:uid="{F77C7F72-B9A5-4E45-901C-1E641BF1FCFB}">
      <text>
        <r>
          <rPr>
            <sz val="10"/>
            <color indexed="81"/>
            <rFont val="Lucida Console"/>
            <family val="3"/>
          </rPr>
          <t>_x000D_
MATERIAL HIDRAULICO, CANOS, TUBOS, MANGUEIRAS, CONEXOES E ACESS.</t>
        </r>
      </text>
    </comment>
    <comment ref="Y449" authorId="0" shapeId="0" xr:uid="{219D4C6A-4A75-4E1C-A041-DC55FC6FEB4C}">
      <text>
        <r>
          <rPr>
            <sz val="10"/>
            <color indexed="81"/>
            <rFont val="Lucida Console"/>
            <family val="3"/>
          </rPr>
          <t>_x000D_
CHUVEIROS E DUCHAS</t>
        </r>
      </text>
    </comment>
    <comment ref="AW449" authorId="0" shapeId="0" xr:uid="{BF0843D1-D4A6-4D65-AA29-0F0BFB092829}">
      <text>
        <r>
          <rPr>
            <sz val="10"/>
            <color indexed="81"/>
            <rFont val="Lucida Console"/>
            <family val="3"/>
          </rPr>
          <t>Tempo de Estoque (Meses)_x000D_
_x000D_
128,0</t>
        </r>
      </text>
    </comment>
    <comment ref="A450" authorId="0" shapeId="0" xr:uid="{07767B98-430E-445F-9A02-61F6151CF6CA}">
      <text>
        <r>
          <rPr>
            <sz val="10"/>
            <color indexed="81"/>
            <rFont val="Lucida Console"/>
            <family val="3"/>
          </rPr>
          <t>_x000D_
59882</t>
        </r>
      </text>
    </comment>
    <comment ref="B450" authorId="0" shapeId="0" xr:uid="{10559382-2CF6-4748-88C0-2758A922A8F4}">
      <text>
        <r>
          <rPr>
            <sz val="10"/>
            <color indexed="81"/>
            <rFont val="Lucida Console"/>
            <family val="3"/>
          </rPr>
          <t>DESCRIÇÃO DETALHADA_x000D_
BARRA/FIO REDONDO DE ACO CA 50 P/CONSTRUCAO NBR 7480 - 3/8"BARRA C/ 12 METROS</t>
        </r>
      </text>
    </comment>
    <comment ref="G450" authorId="0" shapeId="0" xr:uid="{19DBEFB6-ED0F-4C98-B401-D463A4D7E308}">
      <text>
        <r>
          <rPr>
            <sz val="10"/>
            <color indexed="81"/>
            <rFont val="Lucida Console"/>
            <family val="3"/>
          </rPr>
          <t>_x000D_
Últ estimativa : 3.000_x000D_
Enviada em     : 19.05.2021_x000D_
Ata - Venc     : 233/19 - 21.09.2020</t>
        </r>
      </text>
    </comment>
    <comment ref="O450" authorId="0" shapeId="0" xr:uid="{5DC0A136-01FF-4870-89E2-F09D3E7ECC4B}">
      <text>
        <r>
          <rPr>
            <sz val="10"/>
            <color indexed="81"/>
            <rFont val="Lucida Console"/>
            <family val="3"/>
          </rPr>
          <t>_x000D_
Pertencia a ATA nº 233/19_x000D_
Estimativa de Renovação enviada em 19.05.2021 - Qtd 3.000_x000D_
PP 125/19 lote 10_x000D_
24.09.19 = Finalizar - contrato assinado</t>
        </r>
      </text>
    </comment>
    <comment ref="W450" authorId="0" shapeId="0" xr:uid="{D3A7B9D7-69E1-44FB-BA86-4BBF1807AD35}">
      <text>
        <r>
          <rPr>
            <sz val="10"/>
            <color indexed="81"/>
            <rFont val="Lucida Console"/>
            <family val="3"/>
          </rPr>
          <t>_x000D_
DM-Construção</t>
        </r>
      </text>
    </comment>
    <comment ref="X450" authorId="0" shapeId="0" xr:uid="{C1CA6F99-7B7B-4D02-B311-CAD9E6A7A90E}">
      <text>
        <r>
          <rPr>
            <sz val="10"/>
            <color indexed="81"/>
            <rFont val="Lucida Console"/>
            <family val="3"/>
          </rPr>
          <t>_x000D_
METAIS,LAMINAD.,PERFILADOS E ARTEFATOS METALICOS</t>
        </r>
      </text>
    </comment>
    <comment ref="Y450" authorId="0" shapeId="0" xr:uid="{39CE22A2-9D06-449F-894C-40D22DD87C98}">
      <text>
        <r>
          <rPr>
            <sz val="10"/>
            <color indexed="81"/>
            <rFont val="Lucida Console"/>
            <family val="3"/>
          </rPr>
          <t>_x000D_
FERROS E ACOS AVULSOS</t>
        </r>
      </text>
    </comment>
    <comment ref="AC450" authorId="0" shapeId="0" xr:uid="{35A4B932-8FC0-46AF-A0E4-1531965C62F7}">
      <text>
        <r>
          <rPr>
            <sz val="10"/>
            <color indexed="81"/>
            <rFont val="Lucida Console"/>
            <family val="3"/>
          </rPr>
          <t>_x000D_
AF  8.862/23 | Vc 21.08.2023 | Saldo    500 | MEGAFER COMERCIO DE FERRO E ACO LTDA ( 60363 )</t>
        </r>
      </text>
    </comment>
    <comment ref="AG450" authorId="0" shapeId="0" xr:uid="{64F4B763-8FE8-4957-B871-EEA951F12E2A}">
      <text>
        <r>
          <rPr>
            <sz val="10"/>
            <color indexed="81"/>
            <rFont val="Lucida Console"/>
            <family val="3"/>
          </rPr>
          <t>_x000D_
AF  8.862/23 | Vc 21.08.2023 | Saldo    500 | MEGAFER COMERCIO DE FERRO E ACO LTDA ( 60363 )</t>
        </r>
      </text>
    </comment>
    <comment ref="AW450" authorId="0" shapeId="0" xr:uid="{D7C6DB8E-CE8F-4299-A6FC-5A452547EE1B}">
      <text>
        <r>
          <rPr>
            <sz val="10"/>
            <color indexed="81"/>
            <rFont val="Lucida Console"/>
            <family val="3"/>
          </rPr>
          <t>Tempo de Estoque (Meses)_x000D_
_x000D_
2.016,0</t>
        </r>
      </text>
    </comment>
    <comment ref="A451" authorId="0" shapeId="0" xr:uid="{AB086A9B-A8C0-443F-9076-C920C7D56270}">
      <text>
        <r>
          <rPr>
            <sz val="10"/>
            <color indexed="81"/>
            <rFont val="Lucida Console"/>
            <family val="3"/>
          </rPr>
          <t>_x000D_
59942</t>
        </r>
      </text>
    </comment>
    <comment ref="B451" authorId="0" shapeId="0" xr:uid="{0B73A49B-5422-490C-862F-8602850C4DD0}">
      <text>
        <r>
          <rPr>
            <sz val="10"/>
            <color indexed="81"/>
            <rFont val="Lucida Console"/>
            <family val="3"/>
          </rPr>
          <t>DESCRIÇÃO DETALHADA_x000D_
BARRA/FIO REDONDO DE ACO CA 50 P/CONSTRUCAO NBR 7480 - 5/16" - BARRA C/ 12 METROS</t>
        </r>
      </text>
    </comment>
    <comment ref="G451" authorId="0" shapeId="0" xr:uid="{EDCD1765-E510-45AF-B066-3ACC4F9DD178}">
      <text>
        <r>
          <rPr>
            <sz val="10"/>
            <color indexed="81"/>
            <rFont val="Lucida Console"/>
            <family val="3"/>
          </rPr>
          <t>_x000D_
Últ estimativa : 1.200_x000D_
Enviada em     : 19.05.2021_x000D_
Ata - Venc     : 233/19 - 21.09.2020</t>
        </r>
      </text>
    </comment>
    <comment ref="O451" authorId="0" shapeId="0" xr:uid="{BC9E2192-546B-44ED-A974-3969871B86B0}">
      <text>
        <r>
          <rPr>
            <sz val="10"/>
            <color indexed="81"/>
            <rFont val="Lucida Console"/>
            <family val="3"/>
          </rPr>
          <t>_x000D_
Pertencia a ATA nº 233/19_x000D_
Estimativa de Renovação enviada em 19.05.2021 - Qtd 1.200_x000D_
PP 125/19 lote 10_x000D_
24.09.19 = Finalizar - contrato assinado</t>
        </r>
      </text>
    </comment>
    <comment ref="W451" authorId="0" shapeId="0" xr:uid="{D0D7062C-32BE-4E02-BC63-760014D0120A}">
      <text>
        <r>
          <rPr>
            <sz val="10"/>
            <color indexed="81"/>
            <rFont val="Lucida Console"/>
            <family val="3"/>
          </rPr>
          <t>_x000D_
DM-Construção</t>
        </r>
      </text>
    </comment>
    <comment ref="X451" authorId="0" shapeId="0" xr:uid="{955401DA-2B12-4C96-92F1-4CCCFCC19533}">
      <text>
        <r>
          <rPr>
            <sz val="10"/>
            <color indexed="81"/>
            <rFont val="Lucida Console"/>
            <family val="3"/>
          </rPr>
          <t>_x000D_
METAIS,LAMINAD.,PERFILADOS E ARTEFATOS METALICOS</t>
        </r>
      </text>
    </comment>
    <comment ref="Y451" authorId="0" shapeId="0" xr:uid="{B5E68528-64E0-42E9-A7F2-48B60E39DC25}">
      <text>
        <r>
          <rPr>
            <sz val="10"/>
            <color indexed="81"/>
            <rFont val="Lucida Console"/>
            <family val="3"/>
          </rPr>
          <t>_x000D_
FERROS E ACOS AVULSOS</t>
        </r>
      </text>
    </comment>
    <comment ref="AW451" authorId="0" shapeId="0" xr:uid="{72409453-8867-4E18-95B8-5CBC4BCD813B}">
      <text>
        <r>
          <rPr>
            <sz val="10"/>
            <color indexed="81"/>
            <rFont val="Lucida Console"/>
            <family val="3"/>
          </rPr>
          <t>Tempo de Estoque (Meses)_x000D_
_x000D_
534,0</t>
        </r>
      </text>
    </comment>
    <comment ref="A452" authorId="0" shapeId="0" xr:uid="{D87AD00F-8C5E-4F71-8306-1BD9783DA8E2}">
      <text>
        <r>
          <rPr>
            <sz val="10"/>
            <color indexed="81"/>
            <rFont val="Lucida Console"/>
            <family val="3"/>
          </rPr>
          <t>_x000D_
64604</t>
        </r>
      </text>
    </comment>
    <comment ref="B452" authorId="0" shapeId="0" xr:uid="{0676FD80-460E-4662-9CF9-29F37B853225}">
      <text>
        <r>
          <rPr>
            <sz val="10"/>
            <color indexed="81"/>
            <rFont val="Lucida Console"/>
            <family val="3"/>
          </rPr>
          <t>DESCRIÇÃO DETALHADA_x000D_
BARRA/FIO REDONDO PARA CONSTRUCAO, DE ACO CA50 - NBR 7480 - 1/4"BARRA C/ 12 METROS</t>
        </r>
      </text>
    </comment>
    <comment ref="G452" authorId="0" shapeId="0" xr:uid="{B898C8D4-8FBD-4256-A4A9-ABA370FC0605}">
      <text>
        <r>
          <rPr>
            <sz val="10"/>
            <color indexed="81"/>
            <rFont val="Lucida Console"/>
            <family val="3"/>
          </rPr>
          <t>_x000D_
Últ estimativa : 1.200_x000D_
Enviada em     : 19.05.2021_x000D_
Ata - Venc     : 233/19 - 21.09.2020</t>
        </r>
      </text>
    </comment>
    <comment ref="O452" authorId="0" shapeId="0" xr:uid="{1C9BEC99-94E4-431F-A102-6BA0B4941C43}">
      <text>
        <r>
          <rPr>
            <sz val="10"/>
            <color indexed="81"/>
            <rFont val="Lucida Console"/>
            <family val="3"/>
          </rPr>
          <t>_x000D_
Pertencia a ATA nº 233/19_x000D_
Estimativa de Renovação enviada em 19.05.2021 - Qtd 1.200_x000D_
PP 125/19 lote 14_x000D_
24.09.19 = Finalizar - contrato assinado</t>
        </r>
      </text>
    </comment>
    <comment ref="W452" authorId="0" shapeId="0" xr:uid="{CA1B3B98-A8D7-4D6E-9D89-2FE57F39F738}">
      <text>
        <r>
          <rPr>
            <sz val="10"/>
            <color indexed="81"/>
            <rFont val="Lucida Console"/>
            <family val="3"/>
          </rPr>
          <t>_x000D_
DM-Construção</t>
        </r>
      </text>
    </comment>
    <comment ref="X452" authorId="0" shapeId="0" xr:uid="{EB381E70-F117-4318-B77F-40A6110F8688}">
      <text>
        <r>
          <rPr>
            <sz val="10"/>
            <color indexed="81"/>
            <rFont val="Lucida Console"/>
            <family val="3"/>
          </rPr>
          <t>_x000D_
METAIS,LAMINAD.,PERFILADOS E ARTEFATOS METALICOS</t>
        </r>
      </text>
    </comment>
    <comment ref="Y452" authorId="0" shapeId="0" xr:uid="{20E34B4B-C1E7-4C0C-8602-F8F3BF1B357E}">
      <text>
        <r>
          <rPr>
            <sz val="10"/>
            <color indexed="81"/>
            <rFont val="Lucida Console"/>
            <family val="3"/>
          </rPr>
          <t>_x000D_
FERROS E ACOS AVULSOS</t>
        </r>
      </text>
    </comment>
    <comment ref="AW452" authorId="0" shapeId="0" xr:uid="{D936CAD3-3380-4E92-B942-A00AFF52B0A0}">
      <text>
        <r>
          <rPr>
            <sz val="10"/>
            <color indexed="81"/>
            <rFont val="Lucida Console"/>
            <family val="3"/>
          </rPr>
          <t>Tempo de Estoque (Meses)_x000D_
_x000D_
1.371,0</t>
        </r>
      </text>
    </comment>
    <comment ref="A453" authorId="0" shapeId="0" xr:uid="{B830D5C9-AB20-446C-B4A3-E5862D676CBD}">
      <text>
        <r>
          <rPr>
            <sz val="10"/>
            <color indexed="81"/>
            <rFont val="Lucida Console"/>
            <family val="3"/>
          </rPr>
          <t>_x000D_
64605</t>
        </r>
      </text>
    </comment>
    <comment ref="B453" authorId="0" shapeId="0" xr:uid="{5CB974B0-DAA4-4CA7-B0FD-F027B27A9FED}">
      <text>
        <r>
          <rPr>
            <sz val="10"/>
            <color indexed="81"/>
            <rFont val="Lucida Console"/>
            <family val="3"/>
          </rPr>
          <t>DESCRIÇÃO DETALHADA_x000D_
BARRA/FIO REDONDO PARA CONSTRUCAO, DE ACO CA50 - NBR 7480 - 3/16" - BARRA COM 12 METROS</t>
        </r>
      </text>
    </comment>
    <comment ref="G453" authorId="0" shapeId="0" xr:uid="{5586CB3D-8CFA-4817-8D21-D90FCB33162D}">
      <text>
        <r>
          <rPr>
            <sz val="10"/>
            <color indexed="81"/>
            <rFont val="Lucida Console"/>
            <family val="3"/>
          </rPr>
          <t>_x000D_
Últ estimativa : 800_x000D_
Enviada em     : 19.05.2021_x000D_
Ata - Venc     : 233/19 - 21.09.2020</t>
        </r>
      </text>
    </comment>
    <comment ref="O453" authorId="0" shapeId="0" xr:uid="{288F11EF-2D26-4C76-A7D6-1BA500490F18}">
      <text>
        <r>
          <rPr>
            <sz val="10"/>
            <color indexed="81"/>
            <rFont val="Lucida Console"/>
            <family val="3"/>
          </rPr>
          <t>_x000D_
Pertencia a ATA nº 233/19_x000D_
Estimativa de Renovação enviada em 19.05.2021 - Qtd 800_x000D_
PP 125/19 lote 15_x000D_
24.09.19 = Finalizar - contrato assinado</t>
        </r>
      </text>
    </comment>
    <comment ref="W453" authorId="0" shapeId="0" xr:uid="{467946DF-3278-49C7-A1DF-A33D023618C5}">
      <text>
        <r>
          <rPr>
            <sz val="10"/>
            <color indexed="81"/>
            <rFont val="Lucida Console"/>
            <family val="3"/>
          </rPr>
          <t>_x000D_
DM-Construção</t>
        </r>
      </text>
    </comment>
    <comment ref="X453" authorId="0" shapeId="0" xr:uid="{020E1FFA-3B31-481B-BF5C-06E489E31BDA}">
      <text>
        <r>
          <rPr>
            <sz val="10"/>
            <color indexed="81"/>
            <rFont val="Lucida Console"/>
            <family val="3"/>
          </rPr>
          <t>_x000D_
METAIS,LAMINAD.,PERFILADOS E ARTEFATOS METALICOS</t>
        </r>
      </text>
    </comment>
    <comment ref="Y453" authorId="0" shapeId="0" xr:uid="{0309C665-980C-49A9-8A3E-BA9AFCDA98DF}">
      <text>
        <r>
          <rPr>
            <sz val="10"/>
            <color indexed="81"/>
            <rFont val="Lucida Console"/>
            <family val="3"/>
          </rPr>
          <t>_x000D_
FERROS E ACOS AVULSOS</t>
        </r>
      </text>
    </comment>
    <comment ref="AW453" authorId="0" shapeId="0" xr:uid="{5E60F122-17BF-42DA-943C-80BE20DFCB0C}">
      <text>
        <r>
          <rPr>
            <sz val="10"/>
            <color indexed="81"/>
            <rFont val="Lucida Console"/>
            <family val="3"/>
          </rPr>
          <t>Tempo de Estoque (Meses)_x000D_
_x000D_
1.029,0</t>
        </r>
      </text>
    </comment>
    <comment ref="A454" authorId="0" shapeId="0" xr:uid="{9CB2C712-31E1-4017-A2C5-841E7B9CD9CA}">
      <text>
        <r>
          <rPr>
            <sz val="10"/>
            <color indexed="81"/>
            <rFont val="Lucida Console"/>
            <family val="3"/>
          </rPr>
          <t>_x000D_
64627</t>
        </r>
      </text>
    </comment>
    <comment ref="B454" authorId="0" shapeId="0" xr:uid="{29B18B2C-966B-42FB-AE90-54928A3A0AC6}">
      <text>
        <r>
          <rPr>
            <sz val="10"/>
            <color indexed="81"/>
            <rFont val="Lucida Console"/>
            <family val="3"/>
          </rPr>
          <t>DESCRIÇÃO DETALHADA_x000D_
FERRO REDONDO - 1/2" - MECANICO - BARRA COM 06 METROS</t>
        </r>
      </text>
    </comment>
    <comment ref="G454" authorId="0" shapeId="0" xr:uid="{BF80C622-1FB9-47B2-B7D8-A5F7652594E3}">
      <text>
        <r>
          <rPr>
            <sz val="10"/>
            <color indexed="81"/>
            <rFont val="Lucida Console"/>
            <family val="3"/>
          </rPr>
          <t>_x000D_
Últ estimativa : 800_x000D_
Enviada em     : 19.05.2021_x000D_
Ata - Venc     : 233/19 - 21.09.2020</t>
        </r>
      </text>
    </comment>
    <comment ref="O454" authorId="0" shapeId="0" xr:uid="{A2359AF9-C767-4351-958C-537C2D86D4A9}">
      <text>
        <r>
          <rPr>
            <sz val="10"/>
            <color indexed="81"/>
            <rFont val="Lucida Console"/>
            <family val="3"/>
          </rPr>
          <t>_x000D_
Pertencia a ATA nº 233/19_x000D_
Estimativa de Renovação enviada em 19.05.2021 - Qtd 800_x000D_
PP 125/19 lote _x000D_
24.09.19 = Finalizar - contrato assinado</t>
        </r>
      </text>
    </comment>
    <comment ref="W454" authorId="0" shapeId="0" xr:uid="{AAF895B1-B95A-4633-B034-FDF25726E4D4}">
      <text>
        <r>
          <rPr>
            <sz val="10"/>
            <color indexed="81"/>
            <rFont val="Lucida Console"/>
            <family val="3"/>
          </rPr>
          <t>_x000D_
DM-Construção</t>
        </r>
      </text>
    </comment>
    <comment ref="X454" authorId="0" shapeId="0" xr:uid="{F60E2885-1306-4F9C-A8A2-45E79E08C25D}">
      <text>
        <r>
          <rPr>
            <sz val="10"/>
            <color indexed="81"/>
            <rFont val="Lucida Console"/>
            <family val="3"/>
          </rPr>
          <t>_x000D_
METAIS,LAMINAD.,PERFILADOS E ARTEFATOS METALICOS</t>
        </r>
      </text>
    </comment>
    <comment ref="Y454" authorId="0" shapeId="0" xr:uid="{84AE1D43-89B5-4C01-922D-A917CBD65590}">
      <text>
        <r>
          <rPr>
            <sz val="10"/>
            <color indexed="81"/>
            <rFont val="Lucida Console"/>
            <family val="3"/>
          </rPr>
          <t>_x000D_
FERROS E ACOS AVULSOS</t>
        </r>
      </text>
    </comment>
    <comment ref="AW454" authorId="0" shapeId="0" xr:uid="{63F434E1-D80A-48D9-B7E1-226F9A9E7757}">
      <text>
        <r>
          <rPr>
            <sz val="10"/>
            <color indexed="81"/>
            <rFont val="Lucida Console"/>
            <family val="3"/>
          </rPr>
          <t>Tempo de Estoque (Meses)_x000D_
_x000D_
2.221,0</t>
        </r>
      </text>
    </comment>
    <comment ref="A455" authorId="0" shapeId="0" xr:uid="{3E09571A-1A74-4275-803E-AF2663D0C249}">
      <text>
        <r>
          <rPr>
            <sz val="10"/>
            <color indexed="81"/>
            <rFont val="Lucida Console"/>
            <family val="3"/>
          </rPr>
          <t>_x000D_
64860</t>
        </r>
      </text>
    </comment>
    <comment ref="B455" authorId="0" shapeId="0" xr:uid="{76607F6E-467E-49C1-8D47-458B9E6F82CA}">
      <text>
        <r>
          <rPr>
            <sz val="10"/>
            <color indexed="81"/>
            <rFont val="Lucida Console"/>
            <family val="3"/>
          </rPr>
          <t>DESCRIÇÃO DETALHADA_x000D_
FERRO CHATO 1 1/2" X 1/8" BARRA C/ 06 METROS</t>
        </r>
      </text>
    </comment>
    <comment ref="G455" authorId="0" shapeId="0" xr:uid="{0AB3191A-DCAB-4D50-A008-1D2E9EC0A0C5}">
      <text>
        <r>
          <rPr>
            <sz val="10"/>
            <color indexed="81"/>
            <rFont val="Lucida Console"/>
            <family val="3"/>
          </rPr>
          <t>_x000D_
Últ estimativa : 500_x000D_
Enviada em     : 19.05.2021_x000D_
Ata - Venc     : 233/19 - 21.09.2020</t>
        </r>
      </text>
    </comment>
    <comment ref="O455" authorId="0" shapeId="0" xr:uid="{34FB6918-E12F-4522-AA09-CD185EE3E0DD}">
      <text>
        <r>
          <rPr>
            <sz val="10"/>
            <color indexed="81"/>
            <rFont val="Lucida Console"/>
            <family val="3"/>
          </rPr>
          <t>_x000D_
Pertencia a ATA nº 233/19_x000D_
Estimativa de Renovação enviada em 19.05.2021 - Qtd 500_x000D_
PP 125/19 lote _x000D_
24.09.19 = Finalizar - contrato assinado</t>
        </r>
      </text>
    </comment>
    <comment ref="W455" authorId="0" shapeId="0" xr:uid="{9FDD0353-3E2B-4F80-8610-1A92BD851D80}">
      <text>
        <r>
          <rPr>
            <sz val="10"/>
            <color indexed="81"/>
            <rFont val="Lucida Console"/>
            <family val="3"/>
          </rPr>
          <t>_x000D_
DM-Construção</t>
        </r>
      </text>
    </comment>
    <comment ref="X455" authorId="0" shapeId="0" xr:uid="{9D04F134-1507-46E9-80F9-49508C2CA3E0}">
      <text>
        <r>
          <rPr>
            <sz val="10"/>
            <color indexed="81"/>
            <rFont val="Lucida Console"/>
            <family val="3"/>
          </rPr>
          <t>_x000D_
METAIS,LAMINAD.,PERFILADOS E ARTEFATOS METALICOS</t>
        </r>
      </text>
    </comment>
    <comment ref="Y455" authorId="0" shapeId="0" xr:uid="{00A92739-B378-47F5-9A41-E46CBBEA1BC2}">
      <text>
        <r>
          <rPr>
            <sz val="10"/>
            <color indexed="81"/>
            <rFont val="Lucida Console"/>
            <family val="3"/>
          </rPr>
          <t>_x000D_
FERROS E ACOS AVULSOS</t>
        </r>
      </text>
    </comment>
    <comment ref="AW455" authorId="0" shapeId="0" xr:uid="{9082B4F1-356B-428F-9E72-CE8D216DDC2C}">
      <text>
        <r>
          <rPr>
            <sz val="10"/>
            <color indexed="81"/>
            <rFont val="Lucida Console"/>
            <family val="3"/>
          </rPr>
          <t>Tempo de Estoque (Meses)_x000D_
_x000D_
106,0</t>
        </r>
      </text>
    </comment>
    <comment ref="A456" authorId="0" shapeId="0" xr:uid="{68D726CC-78A8-4769-B9A5-2CEDA23D3C4C}">
      <text>
        <r>
          <rPr>
            <sz val="10"/>
            <color indexed="81"/>
            <rFont val="Lucida Console"/>
            <family val="3"/>
          </rPr>
          <t>_x000D_
64861</t>
        </r>
      </text>
    </comment>
    <comment ref="B456" authorId="0" shapeId="0" xr:uid="{AEA48129-6443-48B3-8A62-DF85E588F404}">
      <text>
        <r>
          <rPr>
            <sz val="10"/>
            <color indexed="81"/>
            <rFont val="Lucida Console"/>
            <family val="3"/>
          </rPr>
          <t>DESCRIÇÃO DETALHADA_x000D_
FERRO CHATO 3/4" X 1/8" BARRA C/ 06 METROS</t>
        </r>
      </text>
    </comment>
    <comment ref="G456" authorId="0" shapeId="0" xr:uid="{3469B2E0-32E8-414F-9ABB-50B17321C90A}">
      <text>
        <r>
          <rPr>
            <sz val="10"/>
            <color indexed="81"/>
            <rFont val="Lucida Console"/>
            <family val="3"/>
          </rPr>
          <t>_x000D_
Últ estimativa : 500_x000D_
Enviada em     : 19.05.2021_x000D_
Ata - Venc     : 233/19 - 21.09.2020</t>
        </r>
      </text>
    </comment>
    <comment ref="O456" authorId="0" shapeId="0" xr:uid="{E0F6EB71-6D1E-47C3-9BEA-3382B8C13AC7}">
      <text>
        <r>
          <rPr>
            <sz val="10"/>
            <color indexed="81"/>
            <rFont val="Lucida Console"/>
            <family val="3"/>
          </rPr>
          <t>_x000D_
Pertencia a ATA nº 233/19_x000D_
Estimativa de Renovação enviada em 19.05.2021 - Qtd 500_x000D_
PP 125/19 lote _x000D_
24.09.19 = Finalizar - contrato assinado</t>
        </r>
      </text>
    </comment>
    <comment ref="W456" authorId="0" shapeId="0" xr:uid="{DEA1F608-3AFE-412B-8678-CE3199AE7EBB}">
      <text>
        <r>
          <rPr>
            <sz val="10"/>
            <color indexed="81"/>
            <rFont val="Lucida Console"/>
            <family val="3"/>
          </rPr>
          <t>_x000D_
DM-Construção</t>
        </r>
      </text>
    </comment>
    <comment ref="X456" authorId="0" shapeId="0" xr:uid="{88B78EAB-CD70-4E4C-870E-BD46D2124386}">
      <text>
        <r>
          <rPr>
            <sz val="10"/>
            <color indexed="81"/>
            <rFont val="Lucida Console"/>
            <family val="3"/>
          </rPr>
          <t>_x000D_
METAIS,LAMINAD.,PERFILADOS E ARTEFATOS METALICOS</t>
        </r>
      </text>
    </comment>
    <comment ref="Y456" authorId="0" shapeId="0" xr:uid="{EAEAA979-92AB-4EFF-934E-76B50B4F3F95}">
      <text>
        <r>
          <rPr>
            <sz val="10"/>
            <color indexed="81"/>
            <rFont val="Lucida Console"/>
            <family val="3"/>
          </rPr>
          <t>_x000D_
FERROS E ACOS AVULSOS</t>
        </r>
      </text>
    </comment>
    <comment ref="AW456" authorId="0" shapeId="0" xr:uid="{B53D2D58-9028-4434-92CF-208888124E00}">
      <text>
        <r>
          <rPr>
            <sz val="10"/>
            <color indexed="81"/>
            <rFont val="Lucida Console"/>
            <family val="3"/>
          </rPr>
          <t>Tempo de Estoque (Meses)_x000D_
_x000D_
1.790,0</t>
        </r>
      </text>
    </comment>
    <comment ref="A457" authorId="0" shapeId="0" xr:uid="{804B2B00-3EE3-4720-A219-0D2E6775617C}">
      <text>
        <r>
          <rPr>
            <sz val="10"/>
            <color indexed="81"/>
            <rFont val="Lucida Console"/>
            <family val="3"/>
          </rPr>
          <t>_x000D_
77786</t>
        </r>
      </text>
    </comment>
    <comment ref="B457" authorId="0" shapeId="0" xr:uid="{086262A9-205C-4107-AB5B-5E6DCE50C1DB}">
      <text>
        <r>
          <rPr>
            <sz val="10"/>
            <color indexed="81"/>
            <rFont val="Lucida Console"/>
            <family val="3"/>
          </rPr>
          <t>DESCRIÇÃO DETALHADA_x000D_
FERRO "U" PENDURAL, MED. 40 MM DE LARGURA X 7 MM DE ESPESSURA X 40 CM DE COMPRIMENTO</t>
        </r>
      </text>
    </comment>
    <comment ref="G457" authorId="0" shapeId="0" xr:uid="{44458E47-C6C9-469A-80CF-2302C1E2F802}">
      <text>
        <r>
          <rPr>
            <sz val="10"/>
            <color indexed="81"/>
            <rFont val="Lucida Console"/>
            <family val="3"/>
          </rPr>
          <t>_x000D_
Últ estimativa : 0_x000D_
Enviada em     : 20.05.2020_x000D_
Ata - Venc     : 233/19 - 21.09.2020</t>
        </r>
      </text>
    </comment>
    <comment ref="O457" authorId="0" shapeId="0" xr:uid="{5999ED0B-B0BA-4292-809F-846607F24684}">
      <text>
        <r>
          <rPr>
            <sz val="10"/>
            <color indexed="81"/>
            <rFont val="Lucida Console"/>
            <family val="3"/>
          </rPr>
          <t>_x000D_
Pertencia a ATA nº 233/19_x000D_
Estimativa de Renovação enviada em 20.05.2020 - Qtd _x000D_
PP 125/19 lote _x000D_
24.09.19 = Finalizar - contrato assinado</t>
        </r>
      </text>
    </comment>
    <comment ref="W457" authorId="0" shapeId="0" xr:uid="{26DC9EF9-FC30-4601-9C80-9E5A45627833}">
      <text>
        <r>
          <rPr>
            <sz val="10"/>
            <color indexed="81"/>
            <rFont val="Lucida Console"/>
            <family val="3"/>
          </rPr>
          <t>_x000D_
DM-Construção</t>
        </r>
      </text>
    </comment>
    <comment ref="X457" authorId="0" shapeId="0" xr:uid="{31A54CEC-1A25-495C-BDD9-000EB0631CC4}">
      <text>
        <r>
          <rPr>
            <sz val="10"/>
            <color indexed="81"/>
            <rFont val="Lucida Console"/>
            <family val="3"/>
          </rPr>
          <t>_x000D_
METAIS,LAMINAD.,PERFILADOS E ARTEFATOS METALICOS</t>
        </r>
      </text>
    </comment>
    <comment ref="Y457" authorId="0" shapeId="0" xr:uid="{F418C4A6-6CD1-4A7B-AF09-5B5BD82B23F7}">
      <text>
        <r>
          <rPr>
            <sz val="10"/>
            <color indexed="81"/>
            <rFont val="Lucida Console"/>
            <family val="3"/>
          </rPr>
          <t>_x000D_
FERROS E ACOS AVULSOS</t>
        </r>
      </text>
    </comment>
    <comment ref="AW457" authorId="0" shapeId="0" xr:uid="{3C48EAF4-9A92-4B30-9821-DC916BF4CD26}">
      <text>
        <r>
          <rPr>
            <sz val="10"/>
            <color indexed="81"/>
            <rFont val="Lucida Console"/>
            <family val="3"/>
          </rPr>
          <t>Tempo de Estoque (Meses)_x000D_
_x000D_
50,0</t>
        </r>
      </text>
    </comment>
    <comment ref="A458" authorId="0" shapeId="0" xr:uid="{C3B0C88A-CF2B-4F81-A09D-4A2D473FA8D1}">
      <text>
        <r>
          <rPr>
            <sz val="10"/>
            <color indexed="81"/>
            <rFont val="Lucida Console"/>
            <family val="3"/>
          </rPr>
          <t>_x000D_
61046</t>
        </r>
      </text>
    </comment>
    <comment ref="B458" authorId="0" shapeId="0" xr:uid="{1F14CA20-4C8A-4C73-9360-718EF0BFF9FB}">
      <text>
        <r>
          <rPr>
            <sz val="10"/>
            <color indexed="81"/>
            <rFont val="Lucida Console"/>
            <family val="3"/>
          </rPr>
          <t>DESCRIÇÃO DETALHADA_x000D_
CANTONEIRA DE FERRO 2" X 1/8" - BARRA COM 06 METROS</t>
        </r>
      </text>
    </comment>
    <comment ref="G458" authorId="0" shapeId="0" xr:uid="{BC0698BE-0E8F-4FB7-BE5E-D68E11F4A3B9}">
      <text>
        <r>
          <rPr>
            <sz val="10"/>
            <color indexed="81"/>
            <rFont val="Lucida Console"/>
            <family val="3"/>
          </rPr>
          <t>_x000D_
Últ estimativa : 0_x000D_
Enviada em     : 20.05.2020_x000D_
Ata - Venc     : 233/19 - 21.09.2020</t>
        </r>
      </text>
    </comment>
    <comment ref="O458" authorId="0" shapeId="0" xr:uid="{F0F0CCDE-F2A8-407D-BAAA-F0DBF2FF4CCD}">
      <text>
        <r>
          <rPr>
            <sz val="10"/>
            <color indexed="81"/>
            <rFont val="Lucida Console"/>
            <family val="3"/>
          </rPr>
          <t>_x000D_
Pertencia a ATA nº 233/19_x000D_
Estimativa de Renovação enviada em 20.05.2020 - Qtd _x000D_
PP 125/19 lote _x000D_
24.09.19 = Finalizar - contrato assinado</t>
        </r>
      </text>
    </comment>
    <comment ref="W458" authorId="0" shapeId="0" xr:uid="{D4DE16CC-F688-40E3-AB94-68A92941A4F2}">
      <text>
        <r>
          <rPr>
            <sz val="10"/>
            <color indexed="81"/>
            <rFont val="Lucida Console"/>
            <family val="3"/>
          </rPr>
          <t>_x000D_
DM-Serralheria</t>
        </r>
      </text>
    </comment>
    <comment ref="X458" authorId="0" shapeId="0" xr:uid="{D456A19C-300A-4F35-A961-B881BA6FDB86}">
      <text>
        <r>
          <rPr>
            <sz val="10"/>
            <color indexed="81"/>
            <rFont val="Lucida Console"/>
            <family val="3"/>
          </rPr>
          <t>_x000D_
METAIS,LAMINAD.,PERFILADOS E ARTEFATOS METALICOS</t>
        </r>
      </text>
    </comment>
    <comment ref="Y458" authorId="0" shapeId="0" xr:uid="{656769BB-4743-4B5C-8FAC-6BB919575118}">
      <text>
        <r>
          <rPr>
            <sz val="10"/>
            <color indexed="81"/>
            <rFont val="Lucida Console"/>
            <family val="3"/>
          </rPr>
          <t>_x000D_
CANTONEIRAS</t>
        </r>
      </text>
    </comment>
    <comment ref="AW458" authorId="0" shapeId="0" xr:uid="{C8662EAB-7D56-40BF-9249-9FB795CB52BB}">
      <text>
        <r>
          <rPr>
            <sz val="10"/>
            <color indexed="81"/>
            <rFont val="Lucida Console"/>
            <family val="3"/>
          </rPr>
          <t>Tempo de Estoque (Meses)_x000D_
_x000D_
496,0</t>
        </r>
      </text>
    </comment>
    <comment ref="A459" authorId="0" shapeId="0" xr:uid="{AAB5C6E7-F4DB-4296-B8E6-324EE75A9E75}">
      <text>
        <r>
          <rPr>
            <sz val="10"/>
            <color indexed="81"/>
            <rFont val="Lucida Console"/>
            <family val="3"/>
          </rPr>
          <t>_x000D_
64607</t>
        </r>
      </text>
    </comment>
    <comment ref="B459" authorId="0" shapeId="0" xr:uid="{94899C4D-D356-41ED-A361-673BEA74FC39}">
      <text>
        <r>
          <rPr>
            <sz val="10"/>
            <color indexed="81"/>
            <rFont val="Lucida Console"/>
            <family val="3"/>
          </rPr>
          <t>DESCRIÇÃO DETALHADA_x000D_
CANTONEIRA DE FERRO - BARRA COM 6 M - 1" X 1/8"</t>
        </r>
      </text>
    </comment>
    <comment ref="G459" authorId="0" shapeId="0" xr:uid="{33B113AF-806C-46DA-873F-0A3DD680A7F0}">
      <text>
        <r>
          <rPr>
            <sz val="10"/>
            <color indexed="81"/>
            <rFont val="Lucida Console"/>
            <family val="3"/>
          </rPr>
          <t>_x000D_
Últ estimativa : 500_x000D_
Enviada em     : 20.05.2020_x000D_
Ata - Venc     : 233/19 - 21.09.2020</t>
        </r>
      </text>
    </comment>
    <comment ref="O459" authorId="0" shapeId="0" xr:uid="{B54A92AF-AAF0-4340-932F-B094D398327B}">
      <text>
        <r>
          <rPr>
            <sz val="10"/>
            <color indexed="81"/>
            <rFont val="Lucida Console"/>
            <family val="3"/>
          </rPr>
          <t>_x000D_
Pertencia a ATA nº 233/19_x000D_
Estimativa de Renovação enviada em 20.05.2020 - Qtd 500_x000D_
PP 125/19 lote 17_x000D_
24.09.19 = Finalizar - contrato assinado</t>
        </r>
      </text>
    </comment>
    <comment ref="W459" authorId="0" shapeId="0" xr:uid="{77489E0F-87CE-41AE-BF05-07E2C2854254}">
      <text>
        <r>
          <rPr>
            <sz val="10"/>
            <color indexed="81"/>
            <rFont val="Lucida Console"/>
            <family val="3"/>
          </rPr>
          <t>_x000D_
DM-Serralheria</t>
        </r>
      </text>
    </comment>
    <comment ref="X459" authorId="0" shapeId="0" xr:uid="{9E62B554-0BAF-410D-A7E1-6CBEE1876754}">
      <text>
        <r>
          <rPr>
            <sz val="10"/>
            <color indexed="81"/>
            <rFont val="Lucida Console"/>
            <family val="3"/>
          </rPr>
          <t>_x000D_
METAIS,LAMINAD.,PERFILADOS E ARTEFATOS METALICOS</t>
        </r>
      </text>
    </comment>
    <comment ref="Y459" authorId="0" shapeId="0" xr:uid="{A427F12F-D641-456B-B6E2-9854B4F76B9D}">
      <text>
        <r>
          <rPr>
            <sz val="10"/>
            <color indexed="81"/>
            <rFont val="Lucida Console"/>
            <family val="3"/>
          </rPr>
          <t>_x000D_
CANTONEIRAS</t>
        </r>
      </text>
    </comment>
    <comment ref="AC459" authorId="0" shapeId="0" xr:uid="{3B342903-FC77-4F03-B803-097840410041}">
      <text>
        <r>
          <rPr>
            <sz val="10"/>
            <color indexed="81"/>
            <rFont val="Lucida Console"/>
            <family val="3"/>
          </rPr>
          <t>_x000D_
AF  8.862/23 | Vc 21.08.2023 | Saldo    500 | MEGAFER COMERCIO DE FERRO E ACO LTDA ( 60363 )</t>
        </r>
      </text>
    </comment>
    <comment ref="AG459" authorId="0" shapeId="0" xr:uid="{F78FD620-2D8A-4D4C-A0A1-2EBAB2F00439}">
      <text>
        <r>
          <rPr>
            <sz val="10"/>
            <color indexed="81"/>
            <rFont val="Lucida Console"/>
            <family val="3"/>
          </rPr>
          <t>_x000D_
AF  8.862/23 | Vc 21.08.2023 | Saldo    500 | MEGAFER COMERCIO DE FERRO E ACO LTDA ( 60363 )</t>
        </r>
      </text>
    </comment>
    <comment ref="AW459" authorId="0" shapeId="0" xr:uid="{FF3300B8-C986-4979-97B2-35B9652D8F4C}">
      <text>
        <r>
          <rPr>
            <sz val="10"/>
            <color indexed="81"/>
            <rFont val="Lucida Console"/>
            <family val="3"/>
          </rPr>
          <t>Tempo de Estoque (Meses)_x000D_
_x000D_
1.236,0</t>
        </r>
      </text>
    </comment>
    <comment ref="A460" authorId="0" shapeId="0" xr:uid="{B40E4086-24DA-4915-B7D4-D014FB36C225}">
      <text>
        <r>
          <rPr>
            <sz val="10"/>
            <color indexed="81"/>
            <rFont val="Lucida Console"/>
            <family val="3"/>
          </rPr>
          <t>_x000D_
64609</t>
        </r>
      </text>
    </comment>
    <comment ref="B460" authorId="0" shapeId="0" xr:uid="{FD6D6734-C091-4011-AA96-757A6D57E07F}">
      <text>
        <r>
          <rPr>
            <sz val="10"/>
            <color indexed="81"/>
            <rFont val="Lucida Console"/>
            <family val="3"/>
          </rPr>
          <t>DESCRIÇÃO DETALHADA_x000D_
CANTONEIRA DE FERRO - BARRA COM 6 M - 3/4" X 1/8"</t>
        </r>
      </text>
    </comment>
    <comment ref="G460" authorId="0" shapeId="0" xr:uid="{1F6FB113-596C-42DB-9132-E7D441D02D24}">
      <text>
        <r>
          <rPr>
            <sz val="10"/>
            <color indexed="81"/>
            <rFont val="Lucida Console"/>
            <family val="3"/>
          </rPr>
          <t>_x000D_
Últ estimativa : 300_x000D_
Enviada em     : 20.05.2020_x000D_
Ata - Venc     : 233/19 - 21.09.2020</t>
        </r>
      </text>
    </comment>
    <comment ref="O460" authorId="0" shapeId="0" xr:uid="{92D71059-FE8B-486E-883C-C895D4BA47EA}">
      <text>
        <r>
          <rPr>
            <sz val="10"/>
            <color indexed="81"/>
            <rFont val="Lucida Console"/>
            <family val="3"/>
          </rPr>
          <t>_x000D_
Pertencia a ATA nº 233/19_x000D_
Estimativa de Renovação enviada em 20.05.2020 - Qtd 300_x000D_
PP 125/19 lote 18_x000D_
24.09.19 = Finalizar - contrato assinado</t>
        </r>
      </text>
    </comment>
    <comment ref="W460" authorId="0" shapeId="0" xr:uid="{332CECD4-33D0-44A1-876D-18D9B6E2985E}">
      <text>
        <r>
          <rPr>
            <sz val="10"/>
            <color indexed="81"/>
            <rFont val="Lucida Console"/>
            <family val="3"/>
          </rPr>
          <t>_x000D_
DM-Serralheria</t>
        </r>
      </text>
    </comment>
    <comment ref="X460" authorId="0" shapeId="0" xr:uid="{BF868849-BAC7-4F32-91AE-17FFEF500BEF}">
      <text>
        <r>
          <rPr>
            <sz val="10"/>
            <color indexed="81"/>
            <rFont val="Lucida Console"/>
            <family val="3"/>
          </rPr>
          <t>_x000D_
METAIS,LAMINAD.,PERFILADOS E ARTEFATOS METALICOS</t>
        </r>
      </text>
    </comment>
    <comment ref="Y460" authorId="0" shapeId="0" xr:uid="{D586FCBD-718C-4C2C-9428-BEFA84149AA8}">
      <text>
        <r>
          <rPr>
            <sz val="10"/>
            <color indexed="81"/>
            <rFont val="Lucida Console"/>
            <family val="3"/>
          </rPr>
          <t>_x000D_
CANTONEIRAS</t>
        </r>
      </text>
    </comment>
    <comment ref="AW460" authorId="0" shapeId="0" xr:uid="{6EA24728-9515-489F-B37A-F48633BA6904}">
      <text>
        <r>
          <rPr>
            <sz val="10"/>
            <color indexed="81"/>
            <rFont val="Lucida Console"/>
            <family val="3"/>
          </rPr>
          <t>Tempo de Estoque (Meses)_x000D_
_x000D_
435,0</t>
        </r>
      </text>
    </comment>
    <comment ref="A461" authorId="0" shapeId="0" xr:uid="{C074E4B2-2435-4D26-A41E-76C2BB347D73}">
      <text>
        <r>
          <rPr>
            <sz val="10"/>
            <color indexed="81"/>
            <rFont val="Lucida Console"/>
            <family val="3"/>
          </rPr>
          <t>_x000D_
64625</t>
        </r>
      </text>
    </comment>
    <comment ref="B461" authorId="0" shapeId="0" xr:uid="{07A74A8B-989C-429D-9749-EC3C9ACF6B79}">
      <text>
        <r>
          <rPr>
            <sz val="10"/>
            <color indexed="81"/>
            <rFont val="Lucida Console"/>
            <family val="3"/>
          </rPr>
          <t>DESCRIÇÃO DETALHADA_x000D_
FERRO CHATO - 1" X 1/4" - BARRA COM 06 METROS</t>
        </r>
      </text>
    </comment>
    <comment ref="G461" authorId="0" shapeId="0" xr:uid="{0C8B0936-0CF5-49A5-8985-B752D3CDBC5B}">
      <text>
        <r>
          <rPr>
            <sz val="10"/>
            <color indexed="81"/>
            <rFont val="Lucida Console"/>
            <family val="3"/>
          </rPr>
          <t>_x000D_
Últ estimativa : 500_x000D_
Enviada em     : 20.05.2020_x000D_
Ata - Venc     : 233/19 - 21.09.2020</t>
        </r>
      </text>
    </comment>
    <comment ref="O461" authorId="0" shapeId="0" xr:uid="{2967AA20-3AFF-4124-A2BC-3A311899BF9C}">
      <text>
        <r>
          <rPr>
            <sz val="10"/>
            <color indexed="81"/>
            <rFont val="Lucida Console"/>
            <family val="3"/>
          </rPr>
          <t xml:space="preserve">_x000D_
Pertencia a ATA nº 233/19_x000D_
Estimativa de Renovação enviada em 20.05.2020 - Qtd 500_x000D_
PE 281/21 lote _x000D_
 = </t>
        </r>
      </text>
    </comment>
    <comment ref="W461" authorId="0" shapeId="0" xr:uid="{DC8D42A3-48F0-45AC-89BD-B68581781E66}">
      <text>
        <r>
          <rPr>
            <sz val="10"/>
            <color indexed="81"/>
            <rFont val="Lucida Console"/>
            <family val="3"/>
          </rPr>
          <t>_x000D_
DM-Construção</t>
        </r>
      </text>
    </comment>
    <comment ref="X461" authorId="0" shapeId="0" xr:uid="{46960E75-E416-4D44-B6B3-00A8C224CF70}">
      <text>
        <r>
          <rPr>
            <sz val="10"/>
            <color indexed="81"/>
            <rFont val="Lucida Console"/>
            <family val="3"/>
          </rPr>
          <t>_x000D_
METAIS,LAMINAD.,PERFILADOS E ARTEFATOS METALICOS</t>
        </r>
      </text>
    </comment>
    <comment ref="Y461" authorId="0" shapeId="0" xr:uid="{F3129B58-FE18-40E8-87F5-B03AAE3EA4DE}">
      <text>
        <r>
          <rPr>
            <sz val="10"/>
            <color indexed="81"/>
            <rFont val="Lucida Console"/>
            <family val="3"/>
          </rPr>
          <t>_x000D_
FERROS E ACOS AVULSOS</t>
        </r>
      </text>
    </comment>
    <comment ref="AW461" authorId="0" shapeId="0" xr:uid="{C9F0DC3D-668D-410A-AE12-188B5FE3ACF4}">
      <text>
        <r>
          <rPr>
            <sz val="10"/>
            <color indexed="81"/>
            <rFont val="Lucida Console"/>
            <family val="3"/>
          </rPr>
          <t>Tempo de Estoque (Meses)_x000D_
_x000D_
677,0</t>
        </r>
      </text>
    </comment>
    <comment ref="A462" authorId="0" shapeId="0" xr:uid="{C65DF41F-AC92-482E-9AC2-B313F320F302}">
      <text>
        <r>
          <rPr>
            <sz val="10"/>
            <color indexed="81"/>
            <rFont val="Lucida Console"/>
            <family val="3"/>
          </rPr>
          <t>_x000D_
64817</t>
        </r>
      </text>
    </comment>
    <comment ref="B462" authorId="0" shapeId="0" xr:uid="{7A7DCE89-8F46-4485-B183-10FD867D7BD4}">
      <text>
        <r>
          <rPr>
            <sz val="10"/>
            <color indexed="81"/>
            <rFont val="Lucida Console"/>
            <family val="3"/>
          </rPr>
          <t>DESCRIÇÃO DETALHADA_x000D_
FERRO REDONDO 3/8" MECANICO, BARRA C/ 06 METROS</t>
        </r>
      </text>
    </comment>
    <comment ref="G462" authorId="0" shapeId="0" xr:uid="{33AF64F5-5B3C-4C9E-8FBC-2AD1B5529771}">
      <text>
        <r>
          <rPr>
            <sz val="10"/>
            <color indexed="81"/>
            <rFont val="Lucida Console"/>
            <family val="3"/>
          </rPr>
          <t>_x000D_
Últ estimativa : 200_x000D_
Enviada em     : 20.05.2020_x000D_
Ata - Venc     : 233/19 - 21.09.2020</t>
        </r>
      </text>
    </comment>
    <comment ref="O462" authorId="0" shapeId="0" xr:uid="{1B4413A5-D0BE-41EE-84C9-CEBC4E427FC4}">
      <text>
        <r>
          <rPr>
            <sz val="10"/>
            <color indexed="81"/>
            <rFont val="Lucida Console"/>
            <family val="3"/>
          </rPr>
          <t>_x000D_
Pertencia a ATA nº 233/19_x000D_
Estimativa de Renovação enviada em 20.05.2020 - Qtd 200_x000D_
PP 125/19 lote _x000D_
24.09.19 = Finalizar - contrato assinado</t>
        </r>
      </text>
    </comment>
    <comment ref="W462" authorId="0" shapeId="0" xr:uid="{7FEE44E2-9A02-4C8A-A892-E6CEC27AF482}">
      <text>
        <r>
          <rPr>
            <sz val="10"/>
            <color indexed="81"/>
            <rFont val="Lucida Console"/>
            <family val="3"/>
          </rPr>
          <t>_x000D_
DM-Construção</t>
        </r>
      </text>
    </comment>
    <comment ref="X462" authorId="0" shapeId="0" xr:uid="{0E1DEE3C-96A3-47C4-9DED-A2AC64E42726}">
      <text>
        <r>
          <rPr>
            <sz val="10"/>
            <color indexed="81"/>
            <rFont val="Lucida Console"/>
            <family val="3"/>
          </rPr>
          <t>_x000D_
METAIS,LAMINAD.,PERFILADOS E ARTEFATOS METALICOS</t>
        </r>
      </text>
    </comment>
    <comment ref="Y462" authorId="0" shapeId="0" xr:uid="{89A060CF-614C-4505-85DA-99EE616B2843}">
      <text>
        <r>
          <rPr>
            <sz val="10"/>
            <color indexed="81"/>
            <rFont val="Lucida Console"/>
            <family val="3"/>
          </rPr>
          <t>_x000D_
FERROS E ACOS AVULSOS</t>
        </r>
      </text>
    </comment>
    <comment ref="AW462" authorId="0" shapeId="0" xr:uid="{B38C998B-9E40-4DF2-8B53-48723ACD06B1}">
      <text>
        <r>
          <rPr>
            <sz val="10"/>
            <color indexed="81"/>
            <rFont val="Lucida Console"/>
            <family val="3"/>
          </rPr>
          <t>Tempo de Estoque (Meses)_x000D_
_x000D_
86,0</t>
        </r>
      </text>
    </comment>
    <comment ref="A463" authorId="0" shapeId="0" xr:uid="{67594B93-71A7-4C45-A12C-BA6469A82364}">
      <text>
        <r>
          <rPr>
            <sz val="10"/>
            <color indexed="81"/>
            <rFont val="Lucida Console"/>
            <family val="3"/>
          </rPr>
          <t>_x000D_
136895</t>
        </r>
      </text>
    </comment>
    <comment ref="B463" authorId="0" shapeId="0" xr:uid="{36D08523-AEE1-4B8E-B840-47A177820F34}">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63" authorId="0" shapeId="0" xr:uid="{AAD5C336-85B2-437B-8DDE-8CB68290A063}">
      <text>
        <r>
          <rPr>
            <sz val="10"/>
            <color indexed="81"/>
            <rFont val="Lucida Console"/>
            <family val="3"/>
          </rPr>
          <t>_x000D_
Últ estimativa : 1.000_x000D_
Enviada em     : 19.05.2020_x000D_
Ata - Venc     : 234/19 - 21.09.2020</t>
        </r>
      </text>
    </comment>
    <comment ref="O463" authorId="0" shapeId="0" xr:uid="{94F99F59-0716-4617-8A8E-4D9D4353D62D}">
      <text>
        <r>
          <rPr>
            <sz val="10"/>
            <color indexed="81"/>
            <rFont val="Lucida Console"/>
            <family val="3"/>
          </rPr>
          <t>_x000D_
Pertencia a ATA nº 234/19_x000D_
Estimativa de Renovação enviada em 19.05.2020 - Qtd 1.000_x000D_
PE 139/20 lote 3 (Impróspero)_x000D_
01.09.20 = Finalizado</t>
        </r>
      </text>
    </comment>
    <comment ref="W463" authorId="0" shapeId="0" xr:uid="{C4E080B0-B405-43AC-823D-41F4672F6CEF}">
      <text>
        <r>
          <rPr>
            <sz val="10"/>
            <color indexed="81"/>
            <rFont val="Lucida Console"/>
            <family val="3"/>
          </rPr>
          <t>_x000D_
DM-Elétrica</t>
        </r>
      </text>
    </comment>
    <comment ref="X463" authorId="0" shapeId="0" xr:uid="{E0225C5F-9378-48A0-952B-4415D22F9116}">
      <text>
        <r>
          <rPr>
            <sz val="10"/>
            <color indexed="81"/>
            <rFont val="Lucida Console"/>
            <family val="3"/>
          </rPr>
          <t>_x000D_
EQUIP. MAT. P/ GERACAO, TRANSM. DISTR. RETIF...</t>
        </r>
      </text>
    </comment>
    <comment ref="Y463" authorId="0" shapeId="0" xr:uid="{BF311DB4-0DC9-4BDB-B04F-CF99E887C4A1}">
      <text>
        <r>
          <rPr>
            <sz val="10"/>
            <color indexed="81"/>
            <rFont val="Lucida Console"/>
            <family val="3"/>
          </rPr>
          <t>_x000D_
LAMPADAS DE LED</t>
        </r>
      </text>
    </comment>
    <comment ref="AW463" authorId="0" shapeId="0" xr:uid="{306845C8-9546-4B05-B7BC-36C7822EA8AA}">
      <text>
        <r>
          <rPr>
            <sz val="10"/>
            <color indexed="81"/>
            <rFont val="Lucida Console"/>
            <family val="3"/>
          </rPr>
          <t>Tempo de Estoque (Meses)_x000D_
_x000D_
465,0</t>
        </r>
      </text>
    </comment>
    <comment ref="A464" authorId="0" shapeId="0" xr:uid="{E2EFB77F-04E6-41CF-8139-1533B21A50DA}">
      <text>
        <r>
          <rPr>
            <sz val="10"/>
            <color indexed="81"/>
            <rFont val="Lucida Console"/>
            <family val="3"/>
          </rPr>
          <t>_x000D_
16571</t>
        </r>
      </text>
    </comment>
    <comment ref="B464" authorId="0" shapeId="0" xr:uid="{5379807A-6AB3-4B16-8BA2-03D6A3608137}">
      <text>
        <r>
          <rPr>
            <sz val="10"/>
            <color indexed="81"/>
            <rFont val="Lucida Console"/>
            <family val="3"/>
          </rPr>
          <t>DESCRIÇÃO DETALHADA_x000D_
INSETICIDA AEROSOL A BASE DE AGUA FR C/ 300 ML</t>
        </r>
      </text>
    </comment>
    <comment ref="G464" authorId="0" shapeId="0" xr:uid="{E0D6BF60-AF2F-4C1E-B99D-BA1562EDCF0B}">
      <text>
        <r>
          <rPr>
            <sz val="10"/>
            <color indexed="81"/>
            <rFont val="Lucida Console"/>
            <family val="3"/>
          </rPr>
          <t>_x000D_
Últ estimativa : 3.800_x000D_
Enviada em     : 18.05.2020_x000D_
Ata - Venc     : 236/19 - 25.09.2020</t>
        </r>
      </text>
    </comment>
    <comment ref="O464" authorId="0" shapeId="0" xr:uid="{655C6375-A86D-42BA-BD8B-B0006BCEE4BC}">
      <text>
        <r>
          <rPr>
            <sz val="10"/>
            <color indexed="81"/>
            <rFont val="Lucida Console"/>
            <family val="3"/>
          </rPr>
          <t>_x000D_
Pertencia a ATA nº 236/19_x000D_
Estimativa de Renovação enviada em 18.05.2020 - Qtd 3.800_x000D_
PE  72/19 lote _x000D_
27.09.19 = Finalizar - contrato assinado</t>
        </r>
      </text>
    </comment>
    <comment ref="W464" authorId="0" shapeId="0" xr:uid="{0F2DF28B-4AA2-4FCD-97A9-E3B0941F9654}">
      <text>
        <r>
          <rPr>
            <sz val="10"/>
            <color indexed="81"/>
            <rFont val="Lucida Console"/>
            <family val="3"/>
          </rPr>
          <t>_x000D_
Administrativo</t>
        </r>
      </text>
    </comment>
    <comment ref="X464" authorId="0" shapeId="0" xr:uid="{FC9EEA1E-A6C0-456A-9832-D40B8DBAFB6D}">
      <text>
        <r>
          <rPr>
            <sz val="10"/>
            <color indexed="81"/>
            <rFont val="Lucida Console"/>
            <family val="3"/>
          </rPr>
          <t>_x000D_
MAQ.EQUIP.E MAT.P/ CULTURA ANIMAL E VEGETAL</t>
        </r>
      </text>
    </comment>
    <comment ref="Y464" authorId="0" shapeId="0" xr:uid="{27952024-74F4-46F5-AAB1-0BFBA8A05EB4}">
      <text>
        <r>
          <rPr>
            <sz val="10"/>
            <color indexed="81"/>
            <rFont val="Lucida Console"/>
            <family val="3"/>
          </rPr>
          <t>_x000D_
DEFENSIVOS, INSETICIDAS, RATICIDAS E PESTICIDAS</t>
        </r>
      </text>
    </comment>
    <comment ref="AC464" authorId="0" shapeId="0" xr:uid="{7CBD69D2-198D-48AE-9E1E-F89CFCD8774F}">
      <text>
        <r>
          <rPr>
            <sz val="10"/>
            <color indexed="81"/>
            <rFont val="Lucida Console"/>
            <family val="3"/>
          </rPr>
          <t>_x000D_
AF  9.090/23 | Vc 21.08.2023 | Saldo  2.000 | NOG. COM VARIEDADES LTDA ( 148457 )</t>
        </r>
      </text>
    </comment>
    <comment ref="AG464" authorId="0" shapeId="0" xr:uid="{FCC3EE70-237D-4517-892A-7054CD1714C3}">
      <text>
        <r>
          <rPr>
            <sz val="10"/>
            <color indexed="81"/>
            <rFont val="Lucida Console"/>
            <family val="3"/>
          </rPr>
          <t>_x000D_
AF  9.090/23 | Vc 21.08.2023 | Saldo  2.000 | NOG. COM VARIEDADES LTDA ( 148457 )</t>
        </r>
      </text>
    </comment>
    <comment ref="AW464" authorId="0" shapeId="0" xr:uid="{7A3EC9B5-AA41-4459-A9FD-77DCD7D9C052}">
      <text>
        <r>
          <rPr>
            <sz val="10"/>
            <color indexed="81"/>
            <rFont val="Lucida Console"/>
            <family val="3"/>
          </rPr>
          <t>Tempo de Estoque (Meses)_x000D_
_x000D_
3.334,0</t>
        </r>
      </text>
    </comment>
    <comment ref="A465" authorId="0" shapeId="0" xr:uid="{CE84201E-5E1C-4B5F-9999-8EC3506215E9}">
      <text>
        <r>
          <rPr>
            <sz val="10"/>
            <color indexed="81"/>
            <rFont val="Lucida Console"/>
            <family val="3"/>
          </rPr>
          <t>_x000D_
134546</t>
        </r>
      </text>
    </comment>
    <comment ref="B465" authorId="0" shapeId="0" xr:uid="{C0DF871D-196A-4707-88D4-EF6F8179CB84}">
      <text>
        <r>
          <rPr>
            <sz val="10"/>
            <color indexed="81"/>
            <rFont val="Lucida Console"/>
            <family val="3"/>
          </rPr>
          <t>DESCRIÇÃO DETALHADA_x000D_
PASTILHA CERAMICA, COR AZUL CLARO (PISCINA OU CEU), MEDINDO 10 X 10 CM, ESPESSURA DE 7 MM, UNIDAS POR PONTOS DE COLA.</t>
        </r>
      </text>
    </comment>
    <comment ref="G465" authorId="0" shapeId="0" xr:uid="{603A013D-85B0-41F4-9096-BA89123B4324}">
      <text>
        <r>
          <rPr>
            <sz val="10"/>
            <color indexed="81"/>
            <rFont val="Lucida Console"/>
            <family val="3"/>
          </rPr>
          <t>_x000D_
Últ estimativa : 700_x000D_
Enviada em     : 19.05.2020_x000D_
Ata - Venc     : 237/20 - 08.10.2021</t>
        </r>
      </text>
    </comment>
    <comment ref="O465" authorId="0" shapeId="0" xr:uid="{D553195D-6979-48D2-BFE0-434DD496A974}">
      <text>
        <r>
          <rPr>
            <sz val="10"/>
            <color indexed="81"/>
            <rFont val="Lucida Console"/>
            <family val="3"/>
          </rPr>
          <t>_x000D_
Pertencia a ATA nº 237/20_x000D_
Estimativa de Renovação enviada em 19.05.2020 - Qtd 700_x000D_
PE  48/19 lote _x000D_
23.08.19 = Finalizar - contrato assinado</t>
        </r>
      </text>
    </comment>
    <comment ref="W465" authorId="0" shapeId="0" xr:uid="{A16E191C-BEB7-43E3-B012-0E6060126B07}">
      <text>
        <r>
          <rPr>
            <sz val="10"/>
            <color indexed="81"/>
            <rFont val="Lucida Console"/>
            <family val="3"/>
          </rPr>
          <t>_x000D_
DM-Construção</t>
        </r>
      </text>
    </comment>
    <comment ref="X465" authorId="0" shapeId="0" xr:uid="{8074E110-0F44-45B2-8C2E-0798F12D9C33}">
      <text>
        <r>
          <rPr>
            <sz val="10"/>
            <color indexed="81"/>
            <rFont val="Lucida Console"/>
            <family val="3"/>
          </rPr>
          <t>_x000D_
MAT.E EQUIP. P/ CONSTR.CIVIL E CONSERV. DE VIAS PUBL.</t>
        </r>
      </text>
    </comment>
    <comment ref="Y465" authorId="0" shapeId="0" xr:uid="{59DC5623-B0D9-4445-975E-29976BB55DC5}">
      <text>
        <r>
          <rPr>
            <sz val="10"/>
            <color indexed="81"/>
            <rFont val="Lucida Console"/>
            <family val="3"/>
          </rPr>
          <t>_x000D_
AZULEJOS E PASTILHAS</t>
        </r>
      </text>
    </comment>
    <comment ref="AW465" authorId="0" shapeId="0" xr:uid="{8544E332-DDBE-4CA6-8D6F-958E747FD1CB}">
      <text>
        <r>
          <rPr>
            <sz val="10"/>
            <color indexed="81"/>
            <rFont val="Lucida Console"/>
            <family val="3"/>
          </rPr>
          <t>Tempo de Estoque (Meses)_x000D_
_x000D_
1.477,5</t>
        </r>
      </text>
    </comment>
    <comment ref="A466" authorId="0" shapeId="0" xr:uid="{B8AC0314-8085-4DE4-9BE9-F372A5CEAD29}">
      <text>
        <r>
          <rPr>
            <sz val="10"/>
            <color indexed="81"/>
            <rFont val="Lucida Console"/>
            <family val="3"/>
          </rPr>
          <t>_x000D_
134547</t>
        </r>
      </text>
    </comment>
    <comment ref="B466" authorId="0" shapeId="0" xr:uid="{69F621EC-1FD8-4F4F-93F0-0255EEA643B8}">
      <text>
        <r>
          <rPr>
            <sz val="10"/>
            <color indexed="81"/>
            <rFont val="Lucida Console"/>
            <family val="3"/>
          </rPr>
          <t>DESCRIÇÃO DETALHADA_x000D_
PASTILHA CERAMICA, COR AZUL ROYAL, MEDINDO 10 X 10 CM, ESPESSURA DE 7 MM, UNIDAS POR PONTOS DE COLA.</t>
        </r>
      </text>
    </comment>
    <comment ref="G466" authorId="0" shapeId="0" xr:uid="{3BD398A8-890C-4E5B-9E05-ABFDC41DFE91}">
      <text>
        <r>
          <rPr>
            <sz val="10"/>
            <color indexed="81"/>
            <rFont val="Lucida Console"/>
            <family val="3"/>
          </rPr>
          <t>_x000D_
Últ estimativa : 900_x000D_
Enviada em     : 19.05.2020_x000D_
Ata - Venc     : 237/20 - 08.10.2021</t>
        </r>
      </text>
    </comment>
    <comment ref="O466" authorId="0" shapeId="0" xr:uid="{367AC782-5E70-4E00-BAF4-A2C357DFDEC1}">
      <text>
        <r>
          <rPr>
            <sz val="10"/>
            <color indexed="81"/>
            <rFont val="Lucida Console"/>
            <family val="3"/>
          </rPr>
          <t>_x000D_
Pertencia a ATA nº 237/20_x000D_
Estimativa de Renovação enviada em 19.05.2020 - Qtd 900_x000D_
PE  48/19 lote _x000D_
23.08.19 = Finalizar - contrato assinado</t>
        </r>
      </text>
    </comment>
    <comment ref="W466" authorId="0" shapeId="0" xr:uid="{7C8F50A8-CA28-40E1-B671-D7D333B3DED1}">
      <text>
        <r>
          <rPr>
            <sz val="10"/>
            <color indexed="81"/>
            <rFont val="Lucida Console"/>
            <family val="3"/>
          </rPr>
          <t>_x000D_
DM-Construção</t>
        </r>
      </text>
    </comment>
    <comment ref="X466" authorId="0" shapeId="0" xr:uid="{9FDDE83F-471B-401B-8304-C6BDD83169D4}">
      <text>
        <r>
          <rPr>
            <sz val="10"/>
            <color indexed="81"/>
            <rFont val="Lucida Console"/>
            <family val="3"/>
          </rPr>
          <t>_x000D_
MAT.E EQUIP. P/ CONSTR.CIVIL E CONSERV. DE VIAS PUBL.</t>
        </r>
      </text>
    </comment>
    <comment ref="Y466" authorId="0" shapeId="0" xr:uid="{C24D7984-ACED-4EA3-BD61-A05759CBBF7C}">
      <text>
        <r>
          <rPr>
            <sz val="10"/>
            <color indexed="81"/>
            <rFont val="Lucida Console"/>
            <family val="3"/>
          </rPr>
          <t>_x000D_
AZULEJOS E PASTILHAS</t>
        </r>
      </text>
    </comment>
    <comment ref="AW466" authorId="0" shapeId="0" xr:uid="{25BBEA70-6C52-468C-96EE-0E14D3230267}">
      <text>
        <r>
          <rPr>
            <sz val="10"/>
            <color indexed="81"/>
            <rFont val="Lucida Console"/>
            <family val="3"/>
          </rPr>
          <t>Tempo de Estoque (Meses)_x000D_
_x000D_
1.560,4</t>
        </r>
      </text>
    </comment>
    <comment ref="A467" authorId="0" shapeId="0" xr:uid="{FFCFADC5-9E8B-4AEB-8D32-B6514BC8DB37}">
      <text>
        <r>
          <rPr>
            <sz val="10"/>
            <color indexed="81"/>
            <rFont val="Lucida Console"/>
            <family val="3"/>
          </rPr>
          <t>_x000D_
134548</t>
        </r>
      </text>
    </comment>
    <comment ref="B467" authorId="0" shapeId="0" xr:uid="{89E1E80C-DF46-48FD-95CC-D872D09E54CA}">
      <text>
        <r>
          <rPr>
            <sz val="10"/>
            <color indexed="81"/>
            <rFont val="Lucida Console"/>
            <family val="3"/>
          </rPr>
          <t>DESCRIÇÃO DETALHADA_x000D_
PASTILHA CERAMICA, COR BRANCA, MEDINDO 10 X 10 CM, ESPESSURA DE 7 MM, UNIDAS POR PONTOS DE COLA.</t>
        </r>
      </text>
    </comment>
    <comment ref="G467" authorId="0" shapeId="0" xr:uid="{78CA7B3C-3903-444C-AB88-37FB5E634A0B}">
      <text>
        <r>
          <rPr>
            <sz val="10"/>
            <color indexed="81"/>
            <rFont val="Lucida Console"/>
            <family val="3"/>
          </rPr>
          <t>_x000D_
Últ estimativa : 2.500_x000D_
Enviada em     : 19.05.2020_x000D_
Ata - Venc     : 237/20 - 08.10.2021</t>
        </r>
      </text>
    </comment>
    <comment ref="O467" authorId="0" shapeId="0" xr:uid="{A2B9FD28-548D-4384-9622-FEE3FDA7EF5E}">
      <text>
        <r>
          <rPr>
            <sz val="10"/>
            <color indexed="81"/>
            <rFont val="Lucida Console"/>
            <family val="3"/>
          </rPr>
          <t>_x000D_
Pertencia a ATA nº 237/20_x000D_
Estimativa de Renovação enviada em 19.05.2020 - Qtd 2.500_x000D_
PE  48/19 lote _x000D_
23.08.19 = Finalizar - contrato assinado</t>
        </r>
      </text>
    </comment>
    <comment ref="W467" authorId="0" shapeId="0" xr:uid="{C5605255-C365-4B75-96BC-97CC88A87558}">
      <text>
        <r>
          <rPr>
            <sz val="10"/>
            <color indexed="81"/>
            <rFont val="Lucida Console"/>
            <family val="3"/>
          </rPr>
          <t>_x000D_
DM-Construção</t>
        </r>
      </text>
    </comment>
    <comment ref="X467" authorId="0" shapeId="0" xr:uid="{C42E7CD9-E381-48B4-9E15-993F86394FFD}">
      <text>
        <r>
          <rPr>
            <sz val="10"/>
            <color indexed="81"/>
            <rFont val="Lucida Console"/>
            <family val="3"/>
          </rPr>
          <t>_x000D_
MAT.E EQUIP. P/ CONSTR.CIVIL E CONSERV. DE VIAS PUBL.</t>
        </r>
      </text>
    </comment>
    <comment ref="Y467" authorId="0" shapeId="0" xr:uid="{ED7BA2C2-F8B5-4AA8-B0AD-753002B78119}">
      <text>
        <r>
          <rPr>
            <sz val="10"/>
            <color indexed="81"/>
            <rFont val="Lucida Console"/>
            <family val="3"/>
          </rPr>
          <t>_x000D_
AZULEJOS E PASTILHAS</t>
        </r>
      </text>
    </comment>
    <comment ref="AW467" authorId="0" shapeId="0" xr:uid="{6C80924D-23DE-4C58-9A49-51CBF737F80C}">
      <text>
        <r>
          <rPr>
            <sz val="10"/>
            <color indexed="81"/>
            <rFont val="Lucida Console"/>
            <family val="3"/>
          </rPr>
          <t>Tempo de Estoque (Meses)_x000D_
_x000D_
3.397,2</t>
        </r>
      </text>
    </comment>
    <comment ref="A468" authorId="0" shapeId="0" xr:uid="{DF9216D8-40DB-4C28-B2DC-B41898173C64}">
      <text>
        <r>
          <rPr>
            <sz val="10"/>
            <color indexed="81"/>
            <rFont val="Lucida Console"/>
            <family val="3"/>
          </rPr>
          <t>_x000D_
134549</t>
        </r>
      </text>
    </comment>
    <comment ref="B468" authorId="0" shapeId="0" xr:uid="{EED938A7-1C76-4439-B8F5-1DF06CDA3155}">
      <text>
        <r>
          <rPr>
            <sz val="10"/>
            <color indexed="81"/>
            <rFont val="Lucida Console"/>
            <family val="3"/>
          </rPr>
          <t>DESCRIÇÃO DETALHADA_x000D_
PASTILHA CERAMICA, COR VERDE AGUA, MEDINDO 10 X 10 CM, ESPESSURA DE 7 MM, UNIDAS POR PONTOS DE COLA.</t>
        </r>
      </text>
    </comment>
    <comment ref="G468" authorId="0" shapeId="0" xr:uid="{A142EB36-2CE4-4331-B816-931D1B83A9DA}">
      <text>
        <r>
          <rPr>
            <sz val="10"/>
            <color indexed="81"/>
            <rFont val="Lucida Console"/>
            <family val="3"/>
          </rPr>
          <t>_x000D_
Últ estimativa : 700_x000D_
Enviada em     : 19.05.2020_x000D_
Ata - Venc     : 237/20 - 08.10.2021</t>
        </r>
      </text>
    </comment>
    <comment ref="O468" authorId="0" shapeId="0" xr:uid="{432F5271-834E-4F2D-927F-D77D6745FFAF}">
      <text>
        <r>
          <rPr>
            <sz val="10"/>
            <color indexed="81"/>
            <rFont val="Lucida Console"/>
            <family val="3"/>
          </rPr>
          <t>_x000D_
Pertencia a ATA nº 237/20_x000D_
Estimativa de Renovação enviada em 19.05.2020 - Qtd 700_x000D_
PE  48/19 lote _x000D_
23.08.19 = Finalizar - contrato assinado</t>
        </r>
      </text>
    </comment>
    <comment ref="W468" authorId="0" shapeId="0" xr:uid="{345AF85C-AF04-4C91-A56E-7F011EDDDD7A}">
      <text>
        <r>
          <rPr>
            <sz val="10"/>
            <color indexed="81"/>
            <rFont val="Lucida Console"/>
            <family val="3"/>
          </rPr>
          <t>_x000D_
DM-Construção</t>
        </r>
      </text>
    </comment>
    <comment ref="X468" authorId="0" shapeId="0" xr:uid="{EA35C886-7FCD-4EC7-8145-5613BE9CBC4A}">
      <text>
        <r>
          <rPr>
            <sz val="10"/>
            <color indexed="81"/>
            <rFont val="Lucida Console"/>
            <family val="3"/>
          </rPr>
          <t>_x000D_
MAT.E EQUIP. P/ CONSTR.CIVIL E CONSERV. DE VIAS PUBL.</t>
        </r>
      </text>
    </comment>
    <comment ref="Y468" authorId="0" shapeId="0" xr:uid="{FB26E5A4-381B-40FA-920D-EE9C5CA6A5A6}">
      <text>
        <r>
          <rPr>
            <sz val="10"/>
            <color indexed="81"/>
            <rFont val="Lucida Console"/>
            <family val="3"/>
          </rPr>
          <t>_x000D_
AZULEJOS E PASTILHAS</t>
        </r>
      </text>
    </comment>
    <comment ref="AW468" authorId="0" shapeId="0" xr:uid="{CDF2077E-FB81-4D34-A5F7-EAB28118E341}">
      <text>
        <r>
          <rPr>
            <sz val="10"/>
            <color indexed="81"/>
            <rFont val="Lucida Console"/>
            <family val="3"/>
          </rPr>
          <t>Tempo de Estoque (Meses)_x000D_
_x000D_
1.451,2</t>
        </r>
      </text>
    </comment>
    <comment ref="A469" authorId="0" shapeId="0" xr:uid="{7E7158F3-2A95-4C81-A984-3D6CDA2BE57E}">
      <text>
        <r>
          <rPr>
            <sz val="10"/>
            <color indexed="81"/>
            <rFont val="Lucida Console"/>
            <family val="3"/>
          </rPr>
          <t>_x000D_
12847</t>
        </r>
      </text>
    </comment>
    <comment ref="B469" authorId="0" shapeId="0" xr:uid="{63A1E80A-539D-4E13-9307-A33AA7A9BA67}">
      <text>
        <r>
          <rPr>
            <sz val="10"/>
            <color indexed="81"/>
            <rFont val="Lucida Console"/>
            <family val="3"/>
          </rPr>
          <t>DESCRIÇÃO DETALHADA_x000D_
ROLO DE ESPUMA PARA PINTURA - 4 CM</t>
        </r>
      </text>
    </comment>
    <comment ref="G469" authorId="0" shapeId="0" xr:uid="{6DB60487-503E-47CD-8BF2-98C341601461}">
      <text>
        <r>
          <rPr>
            <sz val="10"/>
            <color indexed="81"/>
            <rFont val="Lucida Console"/>
            <family val="3"/>
          </rPr>
          <t>_x000D_
Últ estimativa : 3.000_x000D_
Enviada em     : 12.05.2020_x000D_
Ata - Venc     : 254/20 - 28.10.2021</t>
        </r>
      </text>
    </comment>
    <comment ref="O469" authorId="0" shapeId="0" xr:uid="{47DFE218-CAEF-4C91-916F-CA3DFD2B7C40}">
      <text>
        <r>
          <rPr>
            <sz val="10"/>
            <color indexed="81"/>
            <rFont val="Lucida Console"/>
            <family val="3"/>
          </rPr>
          <t>_x000D_
Pertencia a ATA nº 254/20_x000D_
Estimativa de Renovação enviada em 12.05.2020 - Qtd 3.000_x000D_
PE 147/20 lote _x000D_
04.09.20 = Finalizado. Ata 254/20</t>
        </r>
      </text>
    </comment>
    <comment ref="W469" authorId="0" shapeId="0" xr:uid="{C0F24826-B692-4469-92E6-3D9EF6041A0D}">
      <text>
        <r>
          <rPr>
            <sz val="10"/>
            <color indexed="81"/>
            <rFont val="Lucida Console"/>
            <family val="3"/>
          </rPr>
          <t>_x000D_
DM-Pintura</t>
        </r>
      </text>
    </comment>
    <comment ref="X469" authorId="0" shapeId="0" xr:uid="{E43A191C-01EA-4218-8812-E7EE06D8AC60}">
      <text>
        <r>
          <rPr>
            <sz val="10"/>
            <color indexed="81"/>
            <rFont val="Lucida Console"/>
            <family val="3"/>
          </rPr>
          <t>_x000D_
EQUIP. E MATERIAIS P/PINTURAS E IMPERMEABILIZACAO</t>
        </r>
      </text>
    </comment>
    <comment ref="Y469" authorId="0" shapeId="0" xr:uid="{2F4A9A51-A002-4562-BCE8-ED50D8BCB576}">
      <text>
        <r>
          <rPr>
            <sz val="10"/>
            <color indexed="81"/>
            <rFont val="Lucida Console"/>
            <family val="3"/>
          </rPr>
          <t>_x000D_
MATERIAIS PARA PINTURA</t>
        </r>
      </text>
    </comment>
    <comment ref="AW469" authorId="0" shapeId="0" xr:uid="{26115D2B-93D1-44DC-A564-AE6667C86AC0}">
      <text>
        <r>
          <rPr>
            <sz val="10"/>
            <color indexed="81"/>
            <rFont val="Lucida Console"/>
            <family val="3"/>
          </rPr>
          <t>Tempo de Estoque (Meses)_x000D_
_x000D_
2.035,0</t>
        </r>
      </text>
    </comment>
    <comment ref="A470" authorId="0" shapeId="0" xr:uid="{2B4E6E96-2B57-49A1-85D9-1B33A3369A53}">
      <text>
        <r>
          <rPr>
            <sz val="10"/>
            <color indexed="81"/>
            <rFont val="Lucida Console"/>
            <family val="3"/>
          </rPr>
          <t>_x000D_
24204</t>
        </r>
      </text>
    </comment>
    <comment ref="B470" authorId="0" shapeId="0" xr:uid="{6AF3763A-D3CE-415B-8C70-48420489AFAD}">
      <text>
        <r>
          <rPr>
            <sz val="10"/>
            <color indexed="81"/>
            <rFont val="Lucida Console"/>
            <family val="3"/>
          </rPr>
          <t>DESCRIÇÃO DETALHADA_x000D_
ROLO DE LA DE CARNEIRO P/ PINTURA - 9 CM C/ CABO</t>
        </r>
      </text>
    </comment>
    <comment ref="G470" authorId="0" shapeId="0" xr:uid="{F707B0F6-AC0B-43F0-825E-53A70DA291C5}">
      <text>
        <r>
          <rPr>
            <sz val="10"/>
            <color indexed="81"/>
            <rFont val="Lucida Console"/>
            <family val="3"/>
          </rPr>
          <t>_x000D_
Últ estimativa : 600_x000D_
Enviada em     : 12.05.2020_x000D_
Ata - Venc     : 254/20 - 28.10.2021</t>
        </r>
      </text>
    </comment>
    <comment ref="O470" authorId="0" shapeId="0" xr:uid="{06FCA5D7-3DC9-4726-AE38-9902642BFF5B}">
      <text>
        <r>
          <rPr>
            <sz val="10"/>
            <color indexed="81"/>
            <rFont val="Lucida Console"/>
            <family val="3"/>
          </rPr>
          <t>_x000D_
Pertencia a ATA nº 254/20_x000D_
Estimativa de Renovação enviada em 12.05.2020 - Qtd 600_x000D_
PE 147/20 lote _x000D_
04.09.20 = Finalizado. Ata 254/20</t>
        </r>
      </text>
    </comment>
    <comment ref="W470" authorId="0" shapeId="0" xr:uid="{03FF6F9F-F634-47E9-9541-5E5B8C42A8DE}">
      <text>
        <r>
          <rPr>
            <sz val="10"/>
            <color indexed="81"/>
            <rFont val="Lucida Console"/>
            <family val="3"/>
          </rPr>
          <t>_x000D_
DM-Pintura</t>
        </r>
      </text>
    </comment>
    <comment ref="X470" authorId="0" shapeId="0" xr:uid="{989AB983-2D4C-4D52-8BB8-8B9670BB2E3B}">
      <text>
        <r>
          <rPr>
            <sz val="10"/>
            <color indexed="81"/>
            <rFont val="Lucida Console"/>
            <family val="3"/>
          </rPr>
          <t>_x000D_
EQUIP. E MATERIAIS P/PINTURAS E IMPERMEABILIZACAO</t>
        </r>
      </text>
    </comment>
    <comment ref="Y470" authorId="0" shapeId="0" xr:uid="{706FBCE7-F889-4111-ADC5-CFE7772E5820}">
      <text>
        <r>
          <rPr>
            <sz val="10"/>
            <color indexed="81"/>
            <rFont val="Lucida Console"/>
            <family val="3"/>
          </rPr>
          <t>_x000D_
MATERIAIS PARA PINTURA</t>
        </r>
      </text>
    </comment>
    <comment ref="AW470" authorId="0" shapeId="0" xr:uid="{974A0293-EAB4-4C30-9ECF-55F493C03D2C}">
      <text>
        <r>
          <rPr>
            <sz val="10"/>
            <color indexed="81"/>
            <rFont val="Lucida Console"/>
            <family val="3"/>
          </rPr>
          <t>Tempo de Estoque (Meses)_x000D_
_x000D_
602,0</t>
        </r>
      </text>
    </comment>
    <comment ref="A471" authorId="0" shapeId="0" xr:uid="{6E02FBF9-9B7E-4A27-851D-C31DF2C9AC15}">
      <text>
        <r>
          <rPr>
            <sz val="10"/>
            <color indexed="81"/>
            <rFont val="Lucida Console"/>
            <family val="3"/>
          </rPr>
          <t>_x000D_
88839</t>
        </r>
      </text>
    </comment>
    <comment ref="B471" authorId="0" shapeId="0" xr:uid="{422E99B1-05F0-404A-99A5-36761A242976}">
      <text>
        <r>
          <rPr>
            <sz val="10"/>
            <color indexed="81"/>
            <rFont val="Lucida Console"/>
            <family val="3"/>
          </rPr>
          <t>DESCRIÇÃO DETALHADA_x000D_
SELADOR ACRILICO - LATA COM 18 LITROS</t>
        </r>
      </text>
    </comment>
    <comment ref="G471" authorId="0" shapeId="0" xr:uid="{BFD387E3-3CE2-4290-95F2-0068FD95B61F}">
      <text>
        <r>
          <rPr>
            <sz val="10"/>
            <color indexed="81"/>
            <rFont val="Lucida Console"/>
            <family val="3"/>
          </rPr>
          <t>_x000D_
Últ estimativa : 60_x000D_
Enviada em     : 12.05.2020_x000D_
Ata - Venc     : 254/20 - 28.10.2021</t>
        </r>
      </text>
    </comment>
    <comment ref="O471" authorId="0" shapeId="0" xr:uid="{6B60D083-0544-42A9-9645-14E574D07D36}">
      <text>
        <r>
          <rPr>
            <sz val="10"/>
            <color indexed="81"/>
            <rFont val="Lucida Console"/>
            <family val="3"/>
          </rPr>
          <t>_x000D_
Pertencia a ATA nº 254/20_x000D_
Estimativa de Renovação enviada em 12.05.2020 - Qtd 60_x000D_
PE 147/20 lote _x000D_
04.09.20 = Finalizado. Ata 254/20</t>
        </r>
      </text>
    </comment>
    <comment ref="W471" authorId="0" shapeId="0" xr:uid="{09FE1120-E6DE-403D-9878-76DD9079D4B5}">
      <text>
        <r>
          <rPr>
            <sz val="10"/>
            <color indexed="81"/>
            <rFont val="Lucida Console"/>
            <family val="3"/>
          </rPr>
          <t>_x000D_
DM-Pintura</t>
        </r>
      </text>
    </comment>
    <comment ref="X471" authorId="0" shapeId="0" xr:uid="{6992F28B-C4EF-4651-9888-4567C88F7706}">
      <text>
        <r>
          <rPr>
            <sz val="10"/>
            <color indexed="81"/>
            <rFont val="Lucida Console"/>
            <family val="3"/>
          </rPr>
          <t>_x000D_
EQUIP. E MATERIAIS P/PINTURAS E IMPERMEABILIZACAO</t>
        </r>
      </text>
    </comment>
    <comment ref="Y471" authorId="0" shapeId="0" xr:uid="{196F26DE-9185-43B6-A145-1955190BEF7E}">
      <text>
        <r>
          <rPr>
            <sz val="10"/>
            <color indexed="81"/>
            <rFont val="Lucida Console"/>
            <family val="3"/>
          </rPr>
          <t>_x000D_
SELADORES</t>
        </r>
      </text>
    </comment>
    <comment ref="AW471" authorId="0" shapeId="0" xr:uid="{5C00482D-7FA7-4769-8B1A-CA0CE26BE58E}">
      <text>
        <r>
          <rPr>
            <sz val="10"/>
            <color indexed="81"/>
            <rFont val="Lucida Console"/>
            <family val="3"/>
          </rPr>
          <t>Tempo de Estoque (Meses)_x000D_
_x000D_
55,0</t>
        </r>
      </text>
    </comment>
    <comment ref="A472" authorId="0" shapeId="0" xr:uid="{96255AD0-1D33-4BFD-8600-7736C7A15AC6}">
      <text>
        <r>
          <rPr>
            <sz val="10"/>
            <color indexed="81"/>
            <rFont val="Lucida Console"/>
            <family val="3"/>
          </rPr>
          <t>_x000D_
128287</t>
        </r>
      </text>
    </comment>
    <comment ref="B472" authorId="0" shapeId="0" xr:uid="{4D726A5A-73D2-441C-A2F3-517BEC342106}">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72" authorId="0" shapeId="0" xr:uid="{094A554E-A663-4C01-8526-7BC213BE8C70}">
      <text>
        <r>
          <rPr>
            <sz val="10"/>
            <color indexed="81"/>
            <rFont val="Lucida Console"/>
            <family val="3"/>
          </rPr>
          <t>_x000D_
Últ estimativa : 600_x000D_
Enviada em     : 12.05.2020_x000D_
Ata - Venc     : 254/20 - 28.10.2021</t>
        </r>
      </text>
    </comment>
    <comment ref="O472" authorId="0" shapeId="0" xr:uid="{4B66D89D-88FF-4A3C-8F36-E13E3260D89A}">
      <text>
        <r>
          <rPr>
            <sz val="10"/>
            <color indexed="81"/>
            <rFont val="Lucida Console"/>
            <family val="3"/>
          </rPr>
          <t>_x000D_
Pertencia a ATA nº 254/20_x000D_
Estimativa de Renovação enviada em 12.05.2020 - Qtd 600_x000D_
PE 147/20 lote _x000D_
04.09.20 = Finalizado. Ata 254/20</t>
        </r>
      </text>
    </comment>
    <comment ref="W472" authorId="0" shapeId="0" xr:uid="{1B5E4E6C-3ACF-417F-960E-E76906F9815A}">
      <text>
        <r>
          <rPr>
            <sz val="10"/>
            <color indexed="81"/>
            <rFont val="Lucida Console"/>
            <family val="3"/>
          </rPr>
          <t>_x000D_
DM-Pintura</t>
        </r>
      </text>
    </comment>
    <comment ref="X472" authorId="0" shapeId="0" xr:uid="{5F7FC5D7-315F-4EC2-A9DF-167DF3B3D653}">
      <text>
        <r>
          <rPr>
            <sz val="10"/>
            <color indexed="81"/>
            <rFont val="Lucida Console"/>
            <family val="3"/>
          </rPr>
          <t>_x000D_
EQUIP. E MATERIAIS P/PINTURAS E IMPERMEABILIZACAO</t>
        </r>
      </text>
    </comment>
    <comment ref="Y472" authorId="0" shapeId="0" xr:uid="{8A865C23-BD2F-4C22-8218-81045A7EFCF7}">
      <text>
        <r>
          <rPr>
            <sz val="10"/>
            <color indexed="81"/>
            <rFont val="Lucida Console"/>
            <family val="3"/>
          </rPr>
          <t>_x000D_
REMOVED.,DILUENT.,DECAPANTES MATER.P/LIMP. E PINT.</t>
        </r>
      </text>
    </comment>
    <comment ref="AW472" authorId="0" shapeId="0" xr:uid="{19D9F426-B865-4137-8AE1-2C45A5FD59C7}">
      <text>
        <r>
          <rPr>
            <sz val="10"/>
            <color indexed="81"/>
            <rFont val="Lucida Console"/>
            <family val="3"/>
          </rPr>
          <t>Tempo de Estoque (Meses)_x000D_
_x000D_
700,0</t>
        </r>
      </text>
    </comment>
    <comment ref="A473" authorId="0" shapeId="0" xr:uid="{D9C4C791-8521-4CCF-BE49-B787CF43B1ED}">
      <text>
        <r>
          <rPr>
            <sz val="10"/>
            <color indexed="81"/>
            <rFont val="Lucida Console"/>
            <family val="3"/>
          </rPr>
          <t>_x000D_
13066</t>
        </r>
      </text>
    </comment>
    <comment ref="B473" authorId="0" shapeId="0" xr:uid="{843B3397-BCD3-4C3A-9E89-8DEAE7FBA160}">
      <text>
        <r>
          <rPr>
            <sz val="10"/>
            <color indexed="81"/>
            <rFont val="Lucida Console"/>
            <family val="3"/>
          </rPr>
          <t>DESCRIÇÃO DETALHADA_x000D_
LIXA D'AGUA EM FOLHA 225 X 275 MM GRAO 150</t>
        </r>
      </text>
    </comment>
    <comment ref="G473" authorId="0" shapeId="0" xr:uid="{3C374F16-0F2E-404B-BF9B-2780C40A58F0}">
      <text>
        <r>
          <rPr>
            <sz val="10"/>
            <color indexed="81"/>
            <rFont val="Lucida Console"/>
            <family val="3"/>
          </rPr>
          <t>_x000D_
Últ estimativa : 300_x000D_
Enviada em     : 12.05.2020_x000D_
Ata - Venc     : 254/20 - 28.10.2021</t>
        </r>
      </text>
    </comment>
    <comment ref="O473" authorId="0" shapeId="0" xr:uid="{2A8ADB4A-3387-46F9-B6C4-5AB8D7683459}">
      <text>
        <r>
          <rPr>
            <sz val="10"/>
            <color indexed="81"/>
            <rFont val="Lucida Console"/>
            <family val="3"/>
          </rPr>
          <t>_x000D_
Pertencia a ATA nº 254/20_x000D_
Estimativa de Renovação enviada em 12.05.2020 - Qtd 300_x000D_
PE 147/20 lote _x000D_
04.09.20 = Finalizado. Ata 254/20</t>
        </r>
      </text>
    </comment>
    <comment ref="W473" authorId="0" shapeId="0" xr:uid="{C0026FB8-EE78-4F7C-BC8F-3B789DDDE4C3}">
      <text>
        <r>
          <rPr>
            <sz val="10"/>
            <color indexed="81"/>
            <rFont val="Lucida Console"/>
            <family val="3"/>
          </rPr>
          <t>_x000D_
DM-Serralheria</t>
        </r>
      </text>
    </comment>
    <comment ref="X473" authorId="0" shapeId="0" xr:uid="{A9E5E4AD-1BF0-42AD-A4EE-88C0159B5790}">
      <text>
        <r>
          <rPr>
            <sz val="10"/>
            <color indexed="81"/>
            <rFont val="Lucida Console"/>
            <family val="3"/>
          </rPr>
          <t>_x000D_
ABRASIVOS</t>
        </r>
      </text>
    </comment>
    <comment ref="Y473" authorId="0" shapeId="0" xr:uid="{DAD2BCB4-6142-4170-AD92-86D547C0B6B5}">
      <text>
        <r>
          <rPr>
            <sz val="10"/>
            <color indexed="81"/>
            <rFont val="Lucida Console"/>
            <family val="3"/>
          </rPr>
          <t>_x000D_
LIXAS EM FOLHA</t>
        </r>
      </text>
    </comment>
    <comment ref="AW473" authorId="0" shapeId="0" xr:uid="{A870C43F-636B-466D-B01C-28291BACB41D}">
      <text>
        <r>
          <rPr>
            <sz val="10"/>
            <color indexed="81"/>
            <rFont val="Lucida Console"/>
            <family val="3"/>
          </rPr>
          <t>Tempo de Estoque (Meses)_x000D_
_x000D_
855,0</t>
        </r>
      </text>
    </comment>
    <comment ref="A474" authorId="0" shapeId="0" xr:uid="{2AFCBB5A-674A-4811-A1B7-17D035BC22F4}">
      <text>
        <r>
          <rPr>
            <sz val="10"/>
            <color indexed="81"/>
            <rFont val="Lucida Console"/>
            <family val="3"/>
          </rPr>
          <t>_x000D_
13087</t>
        </r>
      </text>
    </comment>
    <comment ref="B474" authorId="0" shapeId="0" xr:uid="{0314C649-164B-47EE-9229-D4492343403D}">
      <text>
        <r>
          <rPr>
            <sz val="10"/>
            <color indexed="81"/>
            <rFont val="Lucida Console"/>
            <family val="3"/>
          </rPr>
          <t>DESCRIÇÃO DETALHADA_x000D_
LIXA D'AGUA EM FOLHA 225 X 275 MM GRAO 220</t>
        </r>
      </text>
    </comment>
    <comment ref="G474" authorId="0" shapeId="0" xr:uid="{6CACABFB-9E43-45AC-B82A-5FD7B301BB0C}">
      <text>
        <r>
          <rPr>
            <sz val="10"/>
            <color indexed="81"/>
            <rFont val="Lucida Console"/>
            <family val="3"/>
          </rPr>
          <t>_x000D_
Últ estimativa : 300_x000D_
Enviada em     : 12.05.2020_x000D_
Ata - Venc     : 254/20 - 28.10.2021</t>
        </r>
      </text>
    </comment>
    <comment ref="O474" authorId="0" shapeId="0" xr:uid="{795A6A68-4695-4194-840F-6934F3B4B655}">
      <text>
        <r>
          <rPr>
            <sz val="10"/>
            <color indexed="81"/>
            <rFont val="Lucida Console"/>
            <family val="3"/>
          </rPr>
          <t>_x000D_
Pertencia a ATA nº 254/20_x000D_
Estimativa de Renovação enviada em 12.05.2020 - Qtd 300_x000D_
PE 147/20 lote _x000D_
04.09.20 = Finalizado. Ata 254/20</t>
        </r>
      </text>
    </comment>
    <comment ref="W474" authorId="0" shapeId="0" xr:uid="{C66E1362-3BC1-4589-8C63-31148FC988D9}">
      <text>
        <r>
          <rPr>
            <sz val="10"/>
            <color indexed="81"/>
            <rFont val="Lucida Console"/>
            <family val="3"/>
          </rPr>
          <t>_x000D_
DM-Serralheria</t>
        </r>
      </text>
    </comment>
    <comment ref="X474" authorId="0" shapeId="0" xr:uid="{478D1057-B94E-49E1-A38E-DE2D530D3F98}">
      <text>
        <r>
          <rPr>
            <sz val="10"/>
            <color indexed="81"/>
            <rFont val="Lucida Console"/>
            <family val="3"/>
          </rPr>
          <t>_x000D_
ABRASIVOS</t>
        </r>
      </text>
    </comment>
    <comment ref="Y474" authorId="0" shapeId="0" xr:uid="{0A0B7AF8-F402-46BA-9615-0A4FBD846861}">
      <text>
        <r>
          <rPr>
            <sz val="10"/>
            <color indexed="81"/>
            <rFont val="Lucida Console"/>
            <family val="3"/>
          </rPr>
          <t>_x000D_
LIXAS EM FOLHA</t>
        </r>
      </text>
    </comment>
    <comment ref="AW474" authorId="0" shapeId="0" xr:uid="{5468342D-3032-4807-A41E-BE4365D34B49}">
      <text>
        <r>
          <rPr>
            <sz val="10"/>
            <color indexed="81"/>
            <rFont val="Lucida Console"/>
            <family val="3"/>
          </rPr>
          <t>Tempo de Estoque (Meses)_x000D_
_x000D_
222,0</t>
        </r>
      </text>
    </comment>
    <comment ref="A475" authorId="0" shapeId="0" xr:uid="{515862BB-3DCC-4F60-89BA-7F620F43B634}">
      <text>
        <r>
          <rPr>
            <sz val="10"/>
            <color indexed="81"/>
            <rFont val="Lucida Console"/>
            <family val="3"/>
          </rPr>
          <t>_x000D_
13101</t>
        </r>
      </text>
    </comment>
    <comment ref="B475" authorId="0" shapeId="0" xr:uid="{EF4E93E9-FDFE-4862-9AF4-24C9B9A84244}">
      <text>
        <r>
          <rPr>
            <sz val="10"/>
            <color indexed="81"/>
            <rFont val="Lucida Console"/>
            <family val="3"/>
          </rPr>
          <t>DESCRIÇÃO DETALHADA_x000D_
LIXA P/ FERRO E METAIS EM FOLHA DE 225 X 275 MM N° 36</t>
        </r>
      </text>
    </comment>
    <comment ref="G475" authorId="0" shapeId="0" xr:uid="{B9CD2A45-486D-4AB8-B55D-47BFDC7A971A}">
      <text>
        <r>
          <rPr>
            <sz val="10"/>
            <color indexed="81"/>
            <rFont val="Lucida Console"/>
            <family val="3"/>
          </rPr>
          <t>_x000D_
Últ estimativa : 0_x000D_
Enviada em     : 12.05.2020_x000D_
Ata - Venc     : 254/20 - 28.10.2021</t>
        </r>
      </text>
    </comment>
    <comment ref="O475" authorId="0" shapeId="0" xr:uid="{34DB16AB-DBC5-4388-AE1E-35F3F0B2811B}">
      <text>
        <r>
          <rPr>
            <sz val="10"/>
            <color indexed="81"/>
            <rFont val="Lucida Console"/>
            <family val="3"/>
          </rPr>
          <t>_x000D_
Pertencia a ATA nº 254/20_x000D_
Estimativa de Renovação enviada em 12.05.2020 - Qtd _x000D_
PE 147/20 lote _x000D_
04.09.20 = Finalizado. Ata 254/20</t>
        </r>
      </text>
    </comment>
    <comment ref="W475" authorId="0" shapeId="0" xr:uid="{ABC70B87-4A93-40B7-B584-09326902AFA9}">
      <text>
        <r>
          <rPr>
            <sz val="10"/>
            <color indexed="81"/>
            <rFont val="Lucida Console"/>
            <family val="3"/>
          </rPr>
          <t>_x000D_
DM-Serralheria</t>
        </r>
      </text>
    </comment>
    <comment ref="X475" authorId="0" shapeId="0" xr:uid="{2352629C-BF32-48A6-BC70-8149AA3A445C}">
      <text>
        <r>
          <rPr>
            <sz val="10"/>
            <color indexed="81"/>
            <rFont val="Lucida Console"/>
            <family val="3"/>
          </rPr>
          <t>_x000D_
ABRASIVOS</t>
        </r>
      </text>
    </comment>
    <comment ref="Y475" authorId="0" shapeId="0" xr:uid="{FE1843C7-3F31-46BC-8A31-116165536BCB}">
      <text>
        <r>
          <rPr>
            <sz val="10"/>
            <color indexed="81"/>
            <rFont val="Lucida Console"/>
            <family val="3"/>
          </rPr>
          <t>_x000D_
LIXAS EM FOLHA</t>
        </r>
      </text>
    </comment>
    <comment ref="AW475" authorId="0" shapeId="0" xr:uid="{E133F876-087A-4647-9474-F3C82638F338}">
      <text>
        <r>
          <rPr>
            <sz val="10"/>
            <color indexed="81"/>
            <rFont val="Lucida Console"/>
            <family val="3"/>
          </rPr>
          <t>Tempo de Estoque (Meses)_x000D_
_x000D_
95,0</t>
        </r>
      </text>
    </comment>
    <comment ref="A476" authorId="0" shapeId="0" xr:uid="{EAB70B54-8EBF-4FD6-A48C-A01B914FAA1B}">
      <text>
        <r>
          <rPr>
            <sz val="10"/>
            <color indexed="81"/>
            <rFont val="Lucida Console"/>
            <family val="3"/>
          </rPr>
          <t>_x000D_
13109</t>
        </r>
      </text>
    </comment>
    <comment ref="B476" authorId="0" shapeId="0" xr:uid="{BBFA312E-F6D7-4B3F-A9DF-91CAEAF10409}">
      <text>
        <r>
          <rPr>
            <sz val="10"/>
            <color indexed="81"/>
            <rFont val="Lucida Console"/>
            <family val="3"/>
          </rPr>
          <t>DESCRIÇÃO DETALHADA_x000D_
LIXA P/ FERRO E METAIS EM FOLHA DE 225 X 275 MM N° 60</t>
        </r>
      </text>
    </comment>
    <comment ref="G476" authorId="0" shapeId="0" xr:uid="{4A4DB645-B455-4981-90D8-C3091B731107}">
      <text>
        <r>
          <rPr>
            <sz val="10"/>
            <color indexed="81"/>
            <rFont val="Lucida Console"/>
            <family val="3"/>
          </rPr>
          <t>_x000D_
Últ estimativa : 400_x000D_
Enviada em     : 24.10.2019_x000D_
Ata - Venc     : 254/20 - 28.10.2021</t>
        </r>
      </text>
    </comment>
    <comment ref="O476" authorId="0" shapeId="0" xr:uid="{F15BACB4-9AFB-419F-934A-97A55E040D99}">
      <text>
        <r>
          <rPr>
            <sz val="10"/>
            <color indexed="81"/>
            <rFont val="Lucida Console"/>
            <family val="3"/>
          </rPr>
          <t>_x000D_
Pertencia a ATA nº 254/20_x000D_
Estimativa de Renovação enviada em 24.10.2019 - Qtd 400_x000D_
PE 147/20 lote _x000D_
04.09.20 = Finalizado. Ata 254/20</t>
        </r>
      </text>
    </comment>
    <comment ref="W476" authorId="0" shapeId="0" xr:uid="{5F2E8D67-AA17-462D-A7D9-45FA4C246A2F}">
      <text>
        <r>
          <rPr>
            <sz val="10"/>
            <color indexed="81"/>
            <rFont val="Lucida Console"/>
            <family val="3"/>
          </rPr>
          <t>_x000D_
DM-Serralheria</t>
        </r>
      </text>
    </comment>
    <comment ref="X476" authorId="0" shapeId="0" xr:uid="{D67FBD6A-3196-4B15-B275-B6F666E1DF9D}">
      <text>
        <r>
          <rPr>
            <sz val="10"/>
            <color indexed="81"/>
            <rFont val="Lucida Console"/>
            <family val="3"/>
          </rPr>
          <t>_x000D_
ABRASIVOS</t>
        </r>
      </text>
    </comment>
    <comment ref="Y476" authorId="0" shapeId="0" xr:uid="{F5E7AE46-CE62-4A1F-8E7D-1F86065B0C0C}">
      <text>
        <r>
          <rPr>
            <sz val="10"/>
            <color indexed="81"/>
            <rFont val="Lucida Console"/>
            <family val="3"/>
          </rPr>
          <t>_x000D_
LIXAS EM FOLHA</t>
        </r>
      </text>
    </comment>
    <comment ref="AW476" authorId="0" shapeId="0" xr:uid="{EE70C10F-71E0-4AA9-BB3E-1C2599BB2928}">
      <text>
        <r>
          <rPr>
            <sz val="10"/>
            <color indexed="81"/>
            <rFont val="Lucida Console"/>
            <family val="3"/>
          </rPr>
          <t>Tempo de Estoque (Meses)_x000D_
_x000D_
600,0</t>
        </r>
      </text>
    </comment>
    <comment ref="A477" authorId="0" shapeId="0" xr:uid="{C2B220E5-FECC-462A-9FF0-A125EE5B039C}">
      <text>
        <r>
          <rPr>
            <sz val="10"/>
            <color indexed="81"/>
            <rFont val="Lucida Console"/>
            <family val="3"/>
          </rPr>
          <t>_x000D_
13218</t>
        </r>
      </text>
    </comment>
    <comment ref="B477" authorId="0" shapeId="0" xr:uid="{436954F3-30DD-4F16-93F4-64C5D54B83D0}">
      <text>
        <r>
          <rPr>
            <sz val="10"/>
            <color indexed="81"/>
            <rFont val="Lucida Console"/>
            <family val="3"/>
          </rPr>
          <t>DESCRIÇÃO DETALHADA_x000D_
LIXA D'AGUA EM FOLHA 225 X 275 MM GRAO 100</t>
        </r>
      </text>
    </comment>
    <comment ref="G477" authorId="0" shapeId="0" xr:uid="{7C37870A-F570-440D-AC79-7C6D9B131D13}">
      <text>
        <r>
          <rPr>
            <sz val="10"/>
            <color indexed="81"/>
            <rFont val="Lucida Console"/>
            <family val="3"/>
          </rPr>
          <t>_x000D_
Últ estimativa : 0_x000D_
Enviada em     : 12.05.2020_x000D_
Ata - Venc     : 254/20 - 28.10.2021</t>
        </r>
      </text>
    </comment>
    <comment ref="O477" authorId="0" shapeId="0" xr:uid="{3E596E08-338C-4D00-99C7-3F33B6CDB322}">
      <text>
        <r>
          <rPr>
            <sz val="10"/>
            <color indexed="81"/>
            <rFont val="Lucida Console"/>
            <family val="3"/>
          </rPr>
          <t>_x000D_
Pertencia a ATA nº 254/20_x000D_
Estimativa de Renovação enviada em 12.05.2020 - Qtd _x000D_
PE 147/20 lote _x000D_
04.09.20 = Finalizado. Ata 254/20</t>
        </r>
      </text>
    </comment>
    <comment ref="W477" authorId="0" shapeId="0" xr:uid="{A8C8E03D-F356-4700-A4DE-826AF1325E6F}">
      <text>
        <r>
          <rPr>
            <sz val="10"/>
            <color indexed="81"/>
            <rFont val="Lucida Console"/>
            <family val="3"/>
          </rPr>
          <t>_x000D_
DM-Serralheria</t>
        </r>
      </text>
    </comment>
    <comment ref="X477" authorId="0" shapeId="0" xr:uid="{9E15E083-9813-4946-837C-D582332D77E3}">
      <text>
        <r>
          <rPr>
            <sz val="10"/>
            <color indexed="81"/>
            <rFont val="Lucida Console"/>
            <family val="3"/>
          </rPr>
          <t>_x000D_
ABRASIVOS</t>
        </r>
      </text>
    </comment>
    <comment ref="Y477" authorId="0" shapeId="0" xr:uid="{FA1B6E3B-13CC-49C1-8B1C-2D69F96574C8}">
      <text>
        <r>
          <rPr>
            <sz val="10"/>
            <color indexed="81"/>
            <rFont val="Lucida Console"/>
            <family val="3"/>
          </rPr>
          <t>_x000D_
LIXAS EM FOLHA</t>
        </r>
      </text>
    </comment>
    <comment ref="AW477" authorId="0" shapeId="0" xr:uid="{CCB810E9-A319-4F4F-95F0-957F31CFF022}">
      <text>
        <r>
          <rPr>
            <sz val="10"/>
            <color indexed="81"/>
            <rFont val="Lucida Console"/>
            <family val="3"/>
          </rPr>
          <t>Tempo de Estoque (Meses)_x000D_
_x000D_
204,0</t>
        </r>
      </text>
    </comment>
    <comment ref="A478" authorId="0" shapeId="0" xr:uid="{202786EF-E3C4-404F-B2CC-2D175BC58E7E}">
      <text>
        <r>
          <rPr>
            <sz val="10"/>
            <color indexed="81"/>
            <rFont val="Lucida Console"/>
            <family val="3"/>
          </rPr>
          <t>_x000D_
17662</t>
        </r>
      </text>
    </comment>
    <comment ref="B478" authorId="0" shapeId="0" xr:uid="{487B9384-305E-48DC-B148-2C3223EAE8EE}">
      <text>
        <r>
          <rPr>
            <sz val="10"/>
            <color indexed="81"/>
            <rFont val="Lucida Console"/>
            <family val="3"/>
          </rPr>
          <t>DESCRIÇÃO DETALHADA_x000D_
LIXA D'AGUA EM FOLHA 225 X 275 MM GRAO 120</t>
        </r>
      </text>
    </comment>
    <comment ref="G478" authorId="0" shapeId="0" xr:uid="{9C436D22-BDEC-4874-8CC8-4AFC0AA1D318}">
      <text>
        <r>
          <rPr>
            <sz val="10"/>
            <color indexed="81"/>
            <rFont val="Lucida Console"/>
            <family val="3"/>
          </rPr>
          <t>_x000D_
Últ estimativa : 0_x000D_
Enviada em     : 12.05.2020_x000D_
Ata - Venc     : 254/20 - 28.10.2021</t>
        </r>
      </text>
    </comment>
    <comment ref="O478" authorId="0" shapeId="0" xr:uid="{E16072E2-CC2B-412C-98DF-60B0D8DB80AF}">
      <text>
        <r>
          <rPr>
            <sz val="10"/>
            <color indexed="81"/>
            <rFont val="Lucida Console"/>
            <family val="3"/>
          </rPr>
          <t>_x000D_
Pertencia a ATA nº 254/20_x000D_
Estimativa de Renovação enviada em 12.05.2020 - Qtd _x000D_
PE 147/20 lote _x000D_
04.09.20 = Finalizado. Ata 254/20</t>
        </r>
      </text>
    </comment>
    <comment ref="W478" authorId="0" shapeId="0" xr:uid="{71027F8F-428F-400A-937C-B6E4546E8576}">
      <text>
        <r>
          <rPr>
            <sz val="10"/>
            <color indexed="81"/>
            <rFont val="Lucida Console"/>
            <family val="3"/>
          </rPr>
          <t>_x000D_
DM-Serralheria</t>
        </r>
      </text>
    </comment>
    <comment ref="X478" authorId="0" shapeId="0" xr:uid="{52109B67-1306-4703-8C00-2F4FB0C7F944}">
      <text>
        <r>
          <rPr>
            <sz val="10"/>
            <color indexed="81"/>
            <rFont val="Lucida Console"/>
            <family val="3"/>
          </rPr>
          <t>_x000D_
ABRASIVOS</t>
        </r>
      </text>
    </comment>
    <comment ref="Y478" authorId="0" shapeId="0" xr:uid="{C7F16FA5-CB41-44D3-98D7-156DC32998C2}">
      <text>
        <r>
          <rPr>
            <sz val="10"/>
            <color indexed="81"/>
            <rFont val="Lucida Console"/>
            <family val="3"/>
          </rPr>
          <t>_x000D_
LIXAS EM FOLHA</t>
        </r>
      </text>
    </comment>
    <comment ref="AW478" authorId="0" shapeId="0" xr:uid="{8482D91E-1EBB-4A71-99DD-DD5B5A07DA03}">
      <text>
        <r>
          <rPr>
            <sz val="10"/>
            <color indexed="81"/>
            <rFont val="Lucida Console"/>
            <family val="3"/>
          </rPr>
          <t>Tempo de Estoque (Meses)_x000D_
_x000D_
1.410,0</t>
        </r>
      </text>
    </comment>
    <comment ref="A479" authorId="0" shapeId="0" xr:uid="{9E97D8BD-61DC-4323-A8D7-80AE951A4227}">
      <text>
        <r>
          <rPr>
            <sz val="10"/>
            <color indexed="81"/>
            <rFont val="Lucida Console"/>
            <family val="3"/>
          </rPr>
          <t>_x000D_
17696</t>
        </r>
      </text>
    </comment>
    <comment ref="B479" authorId="0" shapeId="0" xr:uid="{1671B9DE-A6F0-478C-B6B8-8A5FED848578}">
      <text>
        <r>
          <rPr>
            <sz val="10"/>
            <color indexed="81"/>
            <rFont val="Lucida Console"/>
            <family val="3"/>
          </rPr>
          <t>DESCRIÇÃO DETALHADA_x000D_
LIXA P/ FERRO E METAIS EM FOLHA DE 225 X 275 MM - N.º 220</t>
        </r>
      </text>
    </comment>
    <comment ref="G479" authorId="0" shapeId="0" xr:uid="{DB9372FE-6A1D-4A3C-95EF-6AD31D8D63FE}">
      <text>
        <r>
          <rPr>
            <sz val="10"/>
            <color indexed="81"/>
            <rFont val="Lucida Console"/>
            <family val="3"/>
          </rPr>
          <t>_x000D_
Últ estimativa : 0_x000D_
Enviada em     : 12.05.2020_x000D_
Ata - Venc     : 254/20 - 28.10.2021</t>
        </r>
      </text>
    </comment>
    <comment ref="O479" authorId="0" shapeId="0" xr:uid="{1AB6A44E-7B2D-4ED7-813F-885B352F326C}">
      <text>
        <r>
          <rPr>
            <sz val="10"/>
            <color indexed="81"/>
            <rFont val="Lucida Console"/>
            <family val="3"/>
          </rPr>
          <t>_x000D_
Pertencia a ATA nº 254/20_x000D_
Estimativa de Renovação enviada em 12.05.2020 - Qtd _x000D_
PE 147/20 lote _x000D_
04.09.20 = Finalizado. Ata 254/20</t>
        </r>
      </text>
    </comment>
    <comment ref="W479" authorId="0" shapeId="0" xr:uid="{606A491C-7FAB-4774-84C2-662ADDF86681}">
      <text>
        <r>
          <rPr>
            <sz val="10"/>
            <color indexed="81"/>
            <rFont val="Lucida Console"/>
            <family val="3"/>
          </rPr>
          <t>_x000D_
DM-Serralheria</t>
        </r>
      </text>
    </comment>
    <comment ref="X479" authorId="0" shapeId="0" xr:uid="{04324643-AAEA-40F8-9813-EC91D8C33771}">
      <text>
        <r>
          <rPr>
            <sz val="10"/>
            <color indexed="81"/>
            <rFont val="Lucida Console"/>
            <family val="3"/>
          </rPr>
          <t>_x000D_
ABRASIVOS</t>
        </r>
      </text>
    </comment>
    <comment ref="Y479" authorId="0" shapeId="0" xr:uid="{52879B15-5D71-45D3-A93A-58B504218C20}">
      <text>
        <r>
          <rPr>
            <sz val="10"/>
            <color indexed="81"/>
            <rFont val="Lucida Console"/>
            <family val="3"/>
          </rPr>
          <t>_x000D_
LIXAS EM FOLHA</t>
        </r>
      </text>
    </comment>
    <comment ref="AW479" authorId="0" shapeId="0" xr:uid="{683795DC-C467-432A-95C3-87A3BC1AE02F}">
      <text>
        <r>
          <rPr>
            <sz val="10"/>
            <color indexed="81"/>
            <rFont val="Lucida Console"/>
            <family val="3"/>
          </rPr>
          <t>Tempo de Estoque (Meses)_x000D_
_x000D_
300,0</t>
        </r>
      </text>
    </comment>
    <comment ref="A480" authorId="0" shapeId="0" xr:uid="{BFBE9599-AE5E-40AB-8F3B-D2B60150363D}">
      <text>
        <r>
          <rPr>
            <sz val="10"/>
            <color indexed="81"/>
            <rFont val="Lucida Console"/>
            <family val="3"/>
          </rPr>
          <t>_x000D_
17698</t>
        </r>
      </text>
    </comment>
    <comment ref="B480" authorId="0" shapeId="0" xr:uid="{EEF2C43F-8A12-449D-A0AA-8E70EDF702F8}">
      <text>
        <r>
          <rPr>
            <sz val="10"/>
            <color indexed="81"/>
            <rFont val="Lucida Console"/>
            <family val="3"/>
          </rPr>
          <t>DESCRIÇÃO DETALHADA_x000D_
LIXA P/ FERRO E METAIS EM FOLHA DE 200 X 275 MM - Nº 120</t>
        </r>
      </text>
    </comment>
    <comment ref="G480" authorId="0" shapeId="0" xr:uid="{843CD438-88EE-4C75-A897-069BD40982C2}">
      <text>
        <r>
          <rPr>
            <sz val="10"/>
            <color indexed="81"/>
            <rFont val="Lucida Console"/>
            <family val="3"/>
          </rPr>
          <t>_x000D_
Últ estimativa : 200_x000D_
Enviada em     : 12.05.2020_x000D_
Ata - Venc     : 254/20 - 28.10.2021</t>
        </r>
      </text>
    </comment>
    <comment ref="O480" authorId="0" shapeId="0" xr:uid="{9884F59D-4D92-45C5-A102-F1ED0729D8BC}">
      <text>
        <r>
          <rPr>
            <sz val="10"/>
            <color indexed="81"/>
            <rFont val="Lucida Console"/>
            <family val="3"/>
          </rPr>
          <t>_x000D_
Pertencia a ATA nº 254/20_x000D_
Estimativa de Renovação enviada em 12.05.2020 - Qtd 200_x000D_
PE 147/20 lote _x000D_
04.09.20 = Finalizado. Ata 254/20</t>
        </r>
      </text>
    </comment>
    <comment ref="W480" authorId="0" shapeId="0" xr:uid="{3D03971B-A251-4918-B5FA-8C1CF69C937B}">
      <text>
        <r>
          <rPr>
            <sz val="10"/>
            <color indexed="81"/>
            <rFont val="Lucida Console"/>
            <family val="3"/>
          </rPr>
          <t>_x000D_
DM-Serralheria</t>
        </r>
      </text>
    </comment>
    <comment ref="X480" authorId="0" shapeId="0" xr:uid="{DD0B8C29-6CC3-41EB-9A2E-3449AE9B396D}">
      <text>
        <r>
          <rPr>
            <sz val="10"/>
            <color indexed="81"/>
            <rFont val="Lucida Console"/>
            <family val="3"/>
          </rPr>
          <t>_x000D_
ABRASIVOS</t>
        </r>
      </text>
    </comment>
    <comment ref="Y480" authorId="0" shapeId="0" xr:uid="{5B046951-3D22-4361-8D04-86D0A3C320B2}">
      <text>
        <r>
          <rPr>
            <sz val="10"/>
            <color indexed="81"/>
            <rFont val="Lucida Console"/>
            <family val="3"/>
          </rPr>
          <t>_x000D_
LIXAS EM FOLHA</t>
        </r>
      </text>
    </comment>
    <comment ref="AW480" authorId="0" shapeId="0" xr:uid="{4C665AF8-703E-4C37-82A5-E7CCE3980052}">
      <text>
        <r>
          <rPr>
            <sz val="10"/>
            <color indexed="81"/>
            <rFont val="Lucida Console"/>
            <family val="3"/>
          </rPr>
          <t>Tempo de Estoque (Meses)_x000D_
_x000D_
546,0</t>
        </r>
      </text>
    </comment>
    <comment ref="A481" authorId="0" shapeId="0" xr:uid="{DDA7E90E-A824-4F00-B1BC-FCBB8466FB5A}">
      <text>
        <r>
          <rPr>
            <sz val="10"/>
            <color indexed="81"/>
            <rFont val="Lucida Console"/>
            <family val="3"/>
          </rPr>
          <t>_x000D_
71697</t>
        </r>
      </text>
    </comment>
    <comment ref="B481" authorId="0" shapeId="0" xr:uid="{09F83E3B-2762-4B5B-A2AB-643B51A3AE28}">
      <text>
        <r>
          <rPr>
            <sz val="10"/>
            <color indexed="81"/>
            <rFont val="Lucida Console"/>
            <family val="3"/>
          </rPr>
          <t>DESCRIÇÃO DETALHADA_x000D_
LIXA PARA PAREDE - 60</t>
        </r>
      </text>
    </comment>
    <comment ref="G481" authorId="0" shapeId="0" xr:uid="{73642BC1-2669-4D65-BE2F-ADFF8F425741}">
      <text>
        <r>
          <rPr>
            <sz val="10"/>
            <color indexed="81"/>
            <rFont val="Lucida Console"/>
            <family val="3"/>
          </rPr>
          <t>_x000D_
Últ estimativa : 1.500_x000D_
Enviada em     : 24.10.2019_x000D_
Ata - Venc     : 254/20 - 28.10.2021</t>
        </r>
      </text>
    </comment>
    <comment ref="O481" authorId="0" shapeId="0" xr:uid="{E11AC6EF-90D5-4A67-A8B9-42C380386164}">
      <text>
        <r>
          <rPr>
            <sz val="10"/>
            <color indexed="81"/>
            <rFont val="Lucida Console"/>
            <family val="3"/>
          </rPr>
          <t>_x000D_
Pertencia a ATA nº 254/20_x000D_
Estimativa de Renovação enviada em 24.10.2019 - Qtd 1.500_x000D_
PE 147/20 lote _x000D_
04.09.20 = Finalizado. Ata 254/20</t>
        </r>
      </text>
    </comment>
    <comment ref="W481" authorId="0" shapeId="0" xr:uid="{DE6F0A3F-2213-449E-9727-794E1BEE7197}">
      <text>
        <r>
          <rPr>
            <sz val="10"/>
            <color indexed="81"/>
            <rFont val="Lucida Console"/>
            <family val="3"/>
          </rPr>
          <t>_x000D_
DM-Serralheria</t>
        </r>
      </text>
    </comment>
    <comment ref="X481" authorId="0" shapeId="0" xr:uid="{29BB5867-1586-4245-BE6C-3C2127275499}">
      <text>
        <r>
          <rPr>
            <sz val="10"/>
            <color indexed="81"/>
            <rFont val="Lucida Console"/>
            <family val="3"/>
          </rPr>
          <t>_x000D_
ABRASIVOS</t>
        </r>
      </text>
    </comment>
    <comment ref="Y481" authorId="0" shapeId="0" xr:uid="{8B43C4F6-0EEA-4E36-BCA2-1F45D9FDC7BD}">
      <text>
        <r>
          <rPr>
            <sz val="10"/>
            <color indexed="81"/>
            <rFont val="Lucida Console"/>
            <family val="3"/>
          </rPr>
          <t>_x000D_
LIXAS EM FOLHA</t>
        </r>
      </text>
    </comment>
    <comment ref="AW481" authorId="0" shapeId="0" xr:uid="{63AA7F6A-74B2-4BA3-A230-92F15F25DDF8}">
      <text>
        <r>
          <rPr>
            <sz val="10"/>
            <color indexed="81"/>
            <rFont val="Lucida Console"/>
            <family val="3"/>
          </rPr>
          <t>Tempo de Estoque (Meses)_x000D_
_x000D_
2.142,0</t>
        </r>
      </text>
    </comment>
    <comment ref="A482" authorId="0" shapeId="0" xr:uid="{E04CAEE6-9C29-457C-A6E7-5EEEBC52812E}">
      <text>
        <r>
          <rPr>
            <sz val="10"/>
            <color indexed="81"/>
            <rFont val="Lucida Console"/>
            <family val="3"/>
          </rPr>
          <t>_x000D_
88838</t>
        </r>
      </text>
    </comment>
    <comment ref="B482" authorId="0" shapeId="0" xr:uid="{D638535E-84B4-4C8B-9EE7-E3FFCD7645DF}">
      <text>
        <r>
          <rPr>
            <sz val="10"/>
            <color indexed="81"/>
            <rFont val="Lucida Console"/>
            <family val="3"/>
          </rPr>
          <t>DESCRIÇÃO DETALHADA_x000D_
LIXA PARA PAREDE - 120</t>
        </r>
      </text>
    </comment>
    <comment ref="G482" authorId="0" shapeId="0" xr:uid="{F5C7B1EE-E45F-44BC-BF7D-DD78DF3F4F42}">
      <text>
        <r>
          <rPr>
            <sz val="10"/>
            <color indexed="81"/>
            <rFont val="Lucida Console"/>
            <family val="3"/>
          </rPr>
          <t>_x000D_
Últ estimativa : 0_x000D_
Enviada em     : 12.05.2020_x000D_
Ata - Venc     : 254/20 - 28.10.2021</t>
        </r>
      </text>
    </comment>
    <comment ref="O482" authorId="0" shapeId="0" xr:uid="{36B79870-435E-42BA-9AC3-F04BBD4E6906}">
      <text>
        <r>
          <rPr>
            <sz val="10"/>
            <color indexed="81"/>
            <rFont val="Lucida Console"/>
            <family val="3"/>
          </rPr>
          <t>_x000D_
Pertencia a ATA nº 254/20_x000D_
Estimativa de Renovação enviada em 12.05.2020 - Qtd _x000D_
PE 147/20 lote _x000D_
04.09.20 = Finalizado. Ata 254/20</t>
        </r>
      </text>
    </comment>
    <comment ref="W482" authorId="0" shapeId="0" xr:uid="{EDB73B20-16F8-4366-8358-9CFA7DC0BA7A}">
      <text>
        <r>
          <rPr>
            <sz val="10"/>
            <color indexed="81"/>
            <rFont val="Lucida Console"/>
            <family val="3"/>
          </rPr>
          <t>_x000D_
DM-Serralheria</t>
        </r>
      </text>
    </comment>
    <comment ref="X482" authorId="0" shapeId="0" xr:uid="{D3EDC5D8-1DA8-4563-BC27-CEB9DC274320}">
      <text>
        <r>
          <rPr>
            <sz val="10"/>
            <color indexed="81"/>
            <rFont val="Lucida Console"/>
            <family val="3"/>
          </rPr>
          <t>_x000D_
ABRASIVOS</t>
        </r>
      </text>
    </comment>
    <comment ref="Y482" authorId="0" shapeId="0" xr:uid="{0C404AFB-58B9-4514-9880-82F67589044A}">
      <text>
        <r>
          <rPr>
            <sz val="10"/>
            <color indexed="81"/>
            <rFont val="Lucida Console"/>
            <family val="3"/>
          </rPr>
          <t>_x000D_
LIXAS EM FOLHA</t>
        </r>
      </text>
    </comment>
    <comment ref="AW482" authorId="0" shapeId="0" xr:uid="{0AE543B1-4719-47D2-895C-4C9B9FDCB94F}">
      <text>
        <r>
          <rPr>
            <sz val="10"/>
            <color indexed="81"/>
            <rFont val="Lucida Console"/>
            <family val="3"/>
          </rPr>
          <t>Tempo de Estoque (Meses)_x000D_
_x000D_
3.091,0</t>
        </r>
      </text>
    </comment>
    <comment ref="A483" authorId="0" shapeId="0" xr:uid="{046521B7-E752-4CCB-B78D-DFA3E6DCE1D6}">
      <text>
        <r>
          <rPr>
            <sz val="10"/>
            <color indexed="81"/>
            <rFont val="Lucida Console"/>
            <family val="3"/>
          </rPr>
          <t>_x000D_
58706</t>
        </r>
      </text>
    </comment>
    <comment ref="B483" authorId="0" shapeId="0" xr:uid="{AED0BC29-D01E-43CB-B81F-67917B5CE189}">
      <text>
        <r>
          <rPr>
            <sz val="10"/>
            <color indexed="81"/>
            <rFont val="Lucida Console"/>
            <family val="3"/>
          </rPr>
          <t>DESCRIÇÃO DETALHADA_x000D_
PONTALETE DE CEDRINHO 3" X 3" - COM 03 METROS DE COMPRIMENTO</t>
        </r>
      </text>
    </comment>
    <comment ref="G483" authorId="0" shapeId="0" xr:uid="{BC99B915-EFFC-494E-90A3-227C14E99E6D}">
      <text>
        <r>
          <rPr>
            <sz val="10"/>
            <color indexed="81"/>
            <rFont val="Lucida Console"/>
            <family val="3"/>
          </rPr>
          <t>_x000D_
Últ estimativa : 0_x000D_
Enviada em     : 25.06.2020_x000D_
Ata - Venc     : 257/19 - 15.10.2020</t>
        </r>
      </text>
    </comment>
    <comment ref="O483" authorId="0" shapeId="0" xr:uid="{4ADD693B-9336-4BA5-9928-7852E3B08702}">
      <text>
        <r>
          <rPr>
            <sz val="10"/>
            <color indexed="81"/>
            <rFont val="Lucida Console"/>
            <family val="3"/>
          </rPr>
          <t xml:space="preserve">_x000D_
Pertencia a ATA nº 257/19_x000D_
Estimativa de Renovação enviada em 25.06.2020 - Qtd _x000D_
PP 111/19 lote _x000D_
18.09.19 = </t>
        </r>
      </text>
    </comment>
    <comment ref="W483" authorId="0" shapeId="0" xr:uid="{88B76564-5B31-4E4C-92C5-7A08D97F3534}">
      <text>
        <r>
          <rPr>
            <sz val="10"/>
            <color indexed="81"/>
            <rFont val="Lucida Console"/>
            <family val="3"/>
          </rPr>
          <t>_x000D_
DM-Construção</t>
        </r>
      </text>
    </comment>
    <comment ref="X483" authorId="0" shapeId="0" xr:uid="{754D0FF8-DD7C-4134-84A9-31D118C5CCBF}">
      <text>
        <r>
          <rPr>
            <sz val="10"/>
            <color indexed="81"/>
            <rFont val="Lucida Console"/>
            <family val="3"/>
          </rPr>
          <t>_x000D_
MADEIRAS,LAMINADOS,COMPENSADOS E AGLOMERADOS</t>
        </r>
      </text>
    </comment>
    <comment ref="Y483" authorId="0" shapeId="0" xr:uid="{14F8A6FF-EE8F-41A6-936E-719EE03C0F39}">
      <text>
        <r>
          <rPr>
            <sz val="10"/>
            <color indexed="81"/>
            <rFont val="Lucida Console"/>
            <family val="3"/>
          </rPr>
          <t>_x000D_
PONTALETES, CAIBROS, PRANCHAS E VIGAS</t>
        </r>
      </text>
    </comment>
    <comment ref="AW483" authorId="0" shapeId="0" xr:uid="{D16BBA67-3C0D-437D-9C97-3D4367577B07}">
      <text>
        <r>
          <rPr>
            <sz val="10"/>
            <color indexed="81"/>
            <rFont val="Lucida Console"/>
            <family val="3"/>
          </rPr>
          <t>Tempo de Estoque (Meses)_x000D_
_x000D_
478,0</t>
        </r>
      </text>
    </comment>
    <comment ref="A484" authorId="0" shapeId="0" xr:uid="{3A164729-2A5A-40DA-9DFC-725B259204CF}">
      <text>
        <r>
          <rPr>
            <sz val="10"/>
            <color indexed="81"/>
            <rFont val="Lucida Console"/>
            <family val="3"/>
          </rPr>
          <t>_x000D_
12754</t>
        </r>
      </text>
    </comment>
    <comment ref="B484" authorId="0" shapeId="0" xr:uid="{F7BD7DC8-5CA6-4273-8982-1C993D886F22}">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84" authorId="0" shapeId="0" xr:uid="{34783288-2768-48BE-8102-9C7EB64743E4}">
      <text>
        <r>
          <rPr>
            <sz val="10"/>
            <color indexed="81"/>
            <rFont val="Lucida Console"/>
            <family val="3"/>
          </rPr>
          <t>_x000D_
Últ estimativa : 1.000_x000D_
Enviada em     : 14.05.2020_x000D_
Ata - Venc     : 275/20 - 15.11.2021</t>
        </r>
      </text>
    </comment>
    <comment ref="O484" authorId="0" shapeId="0" xr:uid="{469ACF11-04C0-4C3D-BC33-1E8F44F6B97D}">
      <text>
        <r>
          <rPr>
            <sz val="10"/>
            <color indexed="81"/>
            <rFont val="Lucida Console"/>
            <family val="3"/>
          </rPr>
          <t>_x000D_
Pertencia a ATA nº 275/20_x000D_
Estimativa de Renovação enviada em 14.05.2020 - Qtd 1.000_x000D_
PP  86/19 lote 5_x000D_
11.10.19 = Processo finalizado</t>
        </r>
      </text>
    </comment>
    <comment ref="W484" authorId="0" shapeId="0" xr:uid="{9ED38D5D-06E4-47C8-955D-DF8CC6F041EB}">
      <text>
        <r>
          <rPr>
            <sz val="10"/>
            <color indexed="81"/>
            <rFont val="Lucida Console"/>
            <family val="3"/>
          </rPr>
          <t>_x000D_
Administrativo</t>
        </r>
      </text>
    </comment>
    <comment ref="X484" authorId="0" shapeId="0" xr:uid="{FBD880D2-958A-4F33-9D53-DF3F231519DB}">
      <text>
        <r>
          <rPr>
            <sz val="10"/>
            <color indexed="81"/>
            <rFont val="Lucida Console"/>
            <family val="3"/>
          </rPr>
          <t>_x000D_
MAQ.EQUIP.E MATERIAIS P/ HIGIEN.LIMP.POLIM.E LUBR.</t>
        </r>
      </text>
    </comment>
    <comment ref="Y484" authorId="0" shapeId="0" xr:uid="{B995F8E1-BDA7-42B0-963A-3EE67B2942B7}">
      <text>
        <r>
          <rPr>
            <sz val="10"/>
            <color indexed="81"/>
            <rFont val="Lucida Console"/>
            <family val="3"/>
          </rPr>
          <t>_x000D_
ESPONJAS,BALDES,SACOS E CESTOS DE LIXO, ETC</t>
        </r>
      </text>
    </comment>
    <comment ref="AW484" authorId="0" shapeId="0" xr:uid="{07E1CC7A-712E-4897-93CC-6A960655E93F}">
      <text>
        <r>
          <rPr>
            <sz val="10"/>
            <color indexed="81"/>
            <rFont val="Lucida Console"/>
            <family val="3"/>
          </rPr>
          <t>Tempo de Estoque (Meses)_x000D_
_x000D_
641,0</t>
        </r>
      </text>
    </comment>
    <comment ref="A485" authorId="0" shapeId="0" xr:uid="{2CE1ACED-B7D8-4AFF-A8CA-B625FC521FB1}">
      <text>
        <r>
          <rPr>
            <sz val="10"/>
            <color indexed="81"/>
            <rFont val="Lucida Console"/>
            <family val="3"/>
          </rPr>
          <t>_x000D_
81131</t>
        </r>
      </text>
    </comment>
    <comment ref="B485" authorId="0" shapeId="0" xr:uid="{BC159E5B-EF03-49B4-8CDC-62AE8024F8E4}">
      <text>
        <r>
          <rPr>
            <sz val="10"/>
            <color indexed="81"/>
            <rFont val="Lucida Console"/>
            <family val="3"/>
          </rPr>
          <t xml:space="preserve">DESCRIÇÃO DETALHADA_x000D_
PALHA DE ACO Nº 01 - PACOTE COM 25  A 30 GRAMAS  </t>
        </r>
      </text>
    </comment>
    <comment ref="G485" authorId="0" shapeId="0" xr:uid="{A6C2C7B6-B426-4BD3-BA9D-4D20A607F8BC}">
      <text>
        <r>
          <rPr>
            <sz val="10"/>
            <color indexed="81"/>
            <rFont val="Lucida Console"/>
            <family val="3"/>
          </rPr>
          <t>_x000D_
Últ estimativa : 150_x000D_
Enviada em     : 14.05.2020_x000D_
Ata - Venc     : 275/20 - 15.11.2021</t>
        </r>
      </text>
    </comment>
    <comment ref="O485" authorId="0" shapeId="0" xr:uid="{18BAC3AB-7580-4895-9456-07AD9E3B4F5E}">
      <text>
        <r>
          <rPr>
            <sz val="10"/>
            <color indexed="81"/>
            <rFont val="Lucida Console"/>
            <family val="3"/>
          </rPr>
          <t>_x000D_
Pertencia a ATA nº 275/20_x000D_
Estimativa de Renovação enviada em 14.05.2020 - Qtd 150_x000D_
PP  86/19 lote _x000D_
11.10.19 = Processo finalizado</t>
        </r>
      </text>
    </comment>
    <comment ref="W485" authorId="0" shapeId="0" xr:uid="{16AE98C1-BD57-42C5-BAA5-816646846910}">
      <text>
        <r>
          <rPr>
            <sz val="10"/>
            <color indexed="81"/>
            <rFont val="Lucida Console"/>
            <family val="3"/>
          </rPr>
          <t>_x000D_
Administrativo</t>
        </r>
      </text>
    </comment>
    <comment ref="X485" authorId="0" shapeId="0" xr:uid="{E359B357-5D5B-48B5-AC4C-32621C525FF1}">
      <text>
        <r>
          <rPr>
            <sz val="10"/>
            <color indexed="81"/>
            <rFont val="Lucida Console"/>
            <family val="3"/>
          </rPr>
          <t>_x000D_
MAQ.EQUIP.E MATERIAIS P/ HIGIEN.LIMP.POLIM.E LUBR.</t>
        </r>
      </text>
    </comment>
    <comment ref="Y485" authorId="0" shapeId="0" xr:uid="{A9675DF4-D784-4F57-82C7-7A1FF00E483F}">
      <text>
        <r>
          <rPr>
            <sz val="10"/>
            <color indexed="81"/>
            <rFont val="Lucida Console"/>
            <family val="3"/>
          </rPr>
          <t>_x000D_
ESPONJAS,BALDES,SACOS E CESTOS DE LIXO, ETC</t>
        </r>
      </text>
    </comment>
    <comment ref="AW485" authorId="0" shapeId="0" xr:uid="{38B6DC3C-62D3-40E1-8A70-5860162409AE}">
      <text>
        <r>
          <rPr>
            <sz val="10"/>
            <color indexed="81"/>
            <rFont val="Lucida Console"/>
            <family val="3"/>
          </rPr>
          <t>Tempo de Estoque (Meses)_x000D_
_x000D_
70,0</t>
        </r>
      </text>
    </comment>
    <comment ref="A486" authorId="0" shapeId="0" xr:uid="{87126795-EF00-4E75-8D9E-A349690EAD15}">
      <text>
        <r>
          <rPr>
            <sz val="10"/>
            <color indexed="81"/>
            <rFont val="Lucida Console"/>
            <family val="3"/>
          </rPr>
          <t>_x000D_
135088</t>
        </r>
      </text>
    </comment>
    <comment ref="B486" authorId="0" shapeId="0" xr:uid="{40B283E9-A7DA-4E80-922B-4CFDBD1A592D}">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86" authorId="0" shapeId="0" xr:uid="{3321A749-CC47-4E72-8487-0D99802413BE}">
      <text>
        <r>
          <rPr>
            <sz val="10"/>
            <color indexed="81"/>
            <rFont val="Lucida Console"/>
            <family val="3"/>
          </rPr>
          <t>_x000D_
Últ estimativa : 500_x000D_
Enviada em     : 19.05.2020_x000D_
Ata - Venc     : 281/20 - 15.11.2021</t>
        </r>
      </text>
    </comment>
    <comment ref="O486" authorId="0" shapeId="0" xr:uid="{DC1558FB-CCA2-460B-9751-D7CD38A14E07}">
      <text>
        <r>
          <rPr>
            <sz val="10"/>
            <color indexed="81"/>
            <rFont val="Lucida Console"/>
            <family val="3"/>
          </rPr>
          <t>_x000D_
Pertencia a ATA nº 281/20_x000D_
Estimativa de Renovação enviada em 19.05.2020 - Qtd 500_x000D_
PP  77/19 lote _x000D_
26.09.19 = Finalizar contrato assinado.</t>
        </r>
      </text>
    </comment>
    <comment ref="W486" authorId="0" shapeId="0" xr:uid="{4DE7C44C-785B-4F3D-A0CB-C8DC4C4E5BC7}">
      <text>
        <r>
          <rPr>
            <sz val="10"/>
            <color indexed="81"/>
            <rFont val="Lucida Console"/>
            <family val="3"/>
          </rPr>
          <t>_x000D_
DM-Elétrica</t>
        </r>
      </text>
    </comment>
    <comment ref="X486" authorId="0" shapeId="0" xr:uid="{CBB5AAB5-345C-448F-AC46-DEF21B10C343}">
      <text>
        <r>
          <rPr>
            <sz val="10"/>
            <color indexed="81"/>
            <rFont val="Lucida Console"/>
            <family val="3"/>
          </rPr>
          <t>_x000D_
EQUIP. MAT. P/ GERACAO, TRANSM. DISTR. RETIF...</t>
        </r>
      </text>
    </comment>
    <comment ref="Y486" authorId="0" shapeId="0" xr:uid="{CE8FDAA2-F595-4B1A-B496-825A9A2637F7}">
      <text>
        <r>
          <rPr>
            <sz val="10"/>
            <color indexed="81"/>
            <rFont val="Lucida Console"/>
            <family val="3"/>
          </rPr>
          <t>_x000D_
LAMPADAS DE LED</t>
        </r>
      </text>
    </comment>
    <comment ref="AW486" authorId="0" shapeId="0" xr:uid="{A00B3864-A379-486B-BE0B-0BB0D4C3639E}">
      <text>
        <r>
          <rPr>
            <sz val="10"/>
            <color indexed="81"/>
            <rFont val="Lucida Console"/>
            <family val="3"/>
          </rPr>
          <t>Tempo de Estoque (Meses)_x000D_
_x000D_
704,0</t>
        </r>
      </text>
    </comment>
    <comment ref="A487" authorId="0" shapeId="0" xr:uid="{9A3EA9D4-19CC-4BCF-81DB-61D7C3A69A3D}">
      <text>
        <r>
          <rPr>
            <sz val="10"/>
            <color indexed="81"/>
            <rFont val="Lucida Console"/>
            <family val="3"/>
          </rPr>
          <t>_x000D_
130572</t>
        </r>
      </text>
    </comment>
    <comment ref="B487" authorId="0" shapeId="0" xr:uid="{0D22CC28-8521-416D-B9CF-5D10556DAF4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87" authorId="0" shapeId="0" xr:uid="{382DF723-F047-456C-8CD1-8B60E2C1781D}">
      <text>
        <r>
          <rPr>
            <sz val="10"/>
            <color indexed="81"/>
            <rFont val="Lucida Console"/>
            <family val="3"/>
          </rPr>
          <t>_x000D_
Últ estimativa : _x000D_
Enviada em     : 19.05.2020_x000D_
Ata - Venc     : 289/20 - 22.11.2021</t>
        </r>
      </text>
    </comment>
    <comment ref="O487" authorId="0" shapeId="0" xr:uid="{B7D2FF19-664C-4CBF-BDE0-F8C3129A75D5}">
      <text>
        <r>
          <rPr>
            <sz val="10"/>
            <color indexed="81"/>
            <rFont val="Lucida Console"/>
            <family val="3"/>
          </rPr>
          <t>_x000D_
Pertencia a ATA nº 289/20_x000D_
Estimativa de Renovação enviada em 19.05.2020 - Qtd _x000D_
PE 192/20 lote _x000D_
05.11.20 = Finalizado</t>
        </r>
      </text>
    </comment>
    <comment ref="W487" authorId="0" shapeId="0" xr:uid="{AC6A293F-176E-40F9-B455-6A871FDDCB79}">
      <text>
        <r>
          <rPr>
            <sz val="10"/>
            <color indexed="81"/>
            <rFont val="Lucida Console"/>
            <family val="3"/>
          </rPr>
          <t>_x000D_
SegMedTra</t>
        </r>
      </text>
    </comment>
    <comment ref="X487" authorId="0" shapeId="0" xr:uid="{BF5166FB-292C-456D-A060-3BF41F64649F}">
      <text>
        <r>
          <rPr>
            <sz val="10"/>
            <color indexed="81"/>
            <rFont val="Lucida Console"/>
            <family val="3"/>
          </rPr>
          <t>_x000D_
EQUIP PROT IND, INST MAT P/ SINAL, CONTR, COMB ...</t>
        </r>
      </text>
    </comment>
    <comment ref="Y487" authorId="0" shapeId="0" xr:uid="{A4349DFB-E2C3-4DD6-99B9-4B0B61FA0F1A}">
      <text>
        <r>
          <rPr>
            <sz val="10"/>
            <color indexed="81"/>
            <rFont val="Lucida Console"/>
            <family val="3"/>
          </rPr>
          <t>_x000D_
CALCADOS, LUVAS, OCULOS, MASCARAS, CAPACETES, CASSETETE</t>
        </r>
      </text>
    </comment>
    <comment ref="AW487" authorId="0" shapeId="0" xr:uid="{F77721C9-05C9-4084-9F73-A6153E5BF0C4}">
      <text>
        <r>
          <rPr>
            <sz val="10"/>
            <color indexed="81"/>
            <rFont val="Lucida Console"/>
            <family val="3"/>
          </rPr>
          <t>Tempo de Estoque (Meses)_x000D_
_x000D_
20,0</t>
        </r>
      </text>
    </comment>
    <comment ref="A488" authorId="0" shapeId="0" xr:uid="{7B53F2B3-7AFA-4B1D-A099-9EB217DE59C4}">
      <text>
        <r>
          <rPr>
            <sz val="10"/>
            <color indexed="81"/>
            <rFont val="Lucida Console"/>
            <family val="3"/>
          </rPr>
          <t>_x000D_
15813</t>
        </r>
      </text>
    </comment>
    <comment ref="B488" authorId="0" shapeId="0" xr:uid="{A160C8CB-457B-42ED-BD1A-4693762CA25A}">
      <text>
        <r>
          <rPr>
            <sz val="10"/>
            <color indexed="81"/>
            <rFont val="Lucida Console"/>
            <family val="3"/>
          </rPr>
          <t>DESCRIÇÃO DETALHADA_x000D_
TIJOLO COMUM DE BARRO MEDINDO 20 X 9 X 4 CM</t>
        </r>
      </text>
    </comment>
    <comment ref="G488" authorId="0" shapeId="0" xr:uid="{6DEE2A7E-0915-44D1-8461-571870846BC9}">
      <text>
        <r>
          <rPr>
            <sz val="10"/>
            <color indexed="81"/>
            <rFont val="Lucida Console"/>
            <family val="3"/>
          </rPr>
          <t>_x000D_
Últ estimativa : 8.000_x000D_
Enviada em     : 22.04.2021_x000D_
Ata - Venc     : 292/19 - 17.12.2020</t>
        </r>
      </text>
    </comment>
    <comment ref="O488" authorId="0" shapeId="0" xr:uid="{79D2C13A-85FD-4057-A0F3-590E4791A60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88" authorId="0" shapeId="0" xr:uid="{79BEFFA4-3D33-4BB7-B714-D2D1516960E7}">
      <text>
        <r>
          <rPr>
            <sz val="10"/>
            <color indexed="81"/>
            <rFont val="Lucida Console"/>
            <family val="3"/>
          </rPr>
          <t>_x000D_
DM-Construção</t>
        </r>
      </text>
    </comment>
    <comment ref="X488" authorId="0" shapeId="0" xr:uid="{64396A85-2A76-431A-8809-6BF65B2B8B14}">
      <text>
        <r>
          <rPr>
            <sz val="10"/>
            <color indexed="81"/>
            <rFont val="Lucida Console"/>
            <family val="3"/>
          </rPr>
          <t>_x000D_
MAT.E EQUIP. P/ CONSTR.CIVIL E CONSERV. DE VIAS PUBL.</t>
        </r>
      </text>
    </comment>
    <comment ref="Y488" authorId="0" shapeId="0" xr:uid="{B41C3C82-1E86-4DC2-BC4A-8F7865A1AFCD}">
      <text>
        <r>
          <rPr>
            <sz val="10"/>
            <color indexed="81"/>
            <rFont val="Lucida Console"/>
            <family val="3"/>
          </rPr>
          <t>_x000D_
TIJOLOS E BLOCOS DE VIDRO E CERAMICAS</t>
        </r>
      </text>
    </comment>
    <comment ref="AW488" authorId="0" shapeId="0" xr:uid="{DDF78A85-E349-45F7-9641-E27A97EB17E0}">
      <text>
        <r>
          <rPr>
            <sz val="10"/>
            <color indexed="81"/>
            <rFont val="Lucida Console"/>
            <family val="3"/>
          </rPr>
          <t>Tempo de Estoque (Meses)_x000D_
_x000D_
4.365,0</t>
        </r>
      </text>
    </comment>
    <comment ref="A489" authorId="0" shapeId="0" xr:uid="{92981A0D-D7D1-4217-ADDD-FB2763D04402}">
      <text>
        <r>
          <rPr>
            <sz val="10"/>
            <color indexed="81"/>
            <rFont val="Lucida Console"/>
            <family val="3"/>
          </rPr>
          <t>_x000D_
114297</t>
        </r>
      </text>
    </comment>
    <comment ref="B489" authorId="0" shapeId="0" xr:uid="{EC8E5F7B-4CA7-43EE-AD0D-874B0A99743A}">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89" authorId="0" shapeId="0" xr:uid="{F71C62A0-A2E5-4EE9-9C83-37E1FE786B8D}">
      <text>
        <r>
          <rPr>
            <sz val="10"/>
            <color indexed="81"/>
            <rFont val="Lucida Console"/>
            <family val="3"/>
          </rPr>
          <t>_x000D_
Últ estimativa : 0_x000D_
Enviada em     : 08.09.2020_x000D_
Ata - Venc     : 292/19 - 17.12.2020</t>
        </r>
      </text>
    </comment>
    <comment ref="O489" authorId="0" shapeId="0" xr:uid="{C12BBF48-A6B7-42D4-86EA-4F53EE2A81AE}">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89" authorId="0" shapeId="0" xr:uid="{75C665CD-F785-4D66-BE75-857840E39319}">
      <text>
        <r>
          <rPr>
            <sz val="10"/>
            <color indexed="81"/>
            <rFont val="Lucida Console"/>
            <family val="3"/>
          </rPr>
          <t>_x000D_
DM-Construção</t>
        </r>
      </text>
    </comment>
    <comment ref="X489" authorId="0" shapeId="0" xr:uid="{80AF5655-1F70-4FA7-8D86-248F79EBB81D}">
      <text>
        <r>
          <rPr>
            <sz val="10"/>
            <color indexed="81"/>
            <rFont val="Lucida Console"/>
            <family val="3"/>
          </rPr>
          <t>_x000D_
MAT.E EQUIP. P/ CONSTR.CIVIL E CONSERV. DE VIAS PUBL.</t>
        </r>
      </text>
    </comment>
    <comment ref="Y489" authorId="0" shapeId="0" xr:uid="{4ADF8CA7-3A10-471F-8C7A-C93A989859D0}">
      <text>
        <r>
          <rPr>
            <sz val="10"/>
            <color indexed="81"/>
            <rFont val="Lucida Console"/>
            <family val="3"/>
          </rPr>
          <t>_x000D_
TELHAS. CUMEEIRAS E ELEM. DE TELH. E CHAP. DE CIM. AMIANT</t>
        </r>
      </text>
    </comment>
    <comment ref="AW489" authorId="0" shapeId="0" xr:uid="{0DCFB1AC-A1A8-4E3B-A4A3-36380ADC657D}">
      <text>
        <r>
          <rPr>
            <sz val="10"/>
            <color indexed="81"/>
            <rFont val="Lucida Console"/>
            <family val="3"/>
          </rPr>
          <t>Tempo de Estoque (Meses)_x000D_
_x000D_
4.224,0</t>
        </r>
      </text>
    </comment>
    <comment ref="A490" authorId="0" shapeId="0" xr:uid="{27B9C6E6-37AF-4CF6-BBAF-2C2B965FE20E}">
      <text>
        <r>
          <rPr>
            <sz val="10"/>
            <color indexed="81"/>
            <rFont val="Lucida Console"/>
            <family val="3"/>
          </rPr>
          <t>_x000D_
63382</t>
        </r>
      </text>
    </comment>
    <comment ref="B490" authorId="0" shapeId="0" xr:uid="{75EF6398-21B6-4624-ACFA-6083CB7310B8}">
      <text>
        <r>
          <rPr>
            <sz val="10"/>
            <color indexed="81"/>
            <rFont val="Lucida Console"/>
            <family val="3"/>
          </rPr>
          <t>DESCRIÇÃO DETALHADA_x000D_
MASSA PARA CALAFETAR A BASE DE POLIBUTENO EM FILETES - CAIXA C/ 350 G</t>
        </r>
      </text>
    </comment>
    <comment ref="G490" authorId="0" shapeId="0" xr:uid="{9F9255D0-D949-427D-94C9-2D8644D24F7F}">
      <text>
        <r>
          <rPr>
            <sz val="10"/>
            <color indexed="81"/>
            <rFont val="Lucida Console"/>
            <family val="3"/>
          </rPr>
          <t>_x000D_
Últ estimativa : 0_x000D_
Enviada em     : 08.09.2020_x000D_
Ata - Venc     : 292/19 - 17.12.2020</t>
        </r>
      </text>
    </comment>
    <comment ref="O490" authorId="0" shapeId="0" xr:uid="{112AF6B6-76D9-41AB-B07A-5379A197907C}">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90" authorId="0" shapeId="0" xr:uid="{18D99F49-606B-4211-83B9-D5EEADF41EB4}">
      <text>
        <r>
          <rPr>
            <sz val="10"/>
            <color indexed="81"/>
            <rFont val="Lucida Console"/>
            <family val="3"/>
          </rPr>
          <t>_x000D_
DM-Construção</t>
        </r>
      </text>
    </comment>
    <comment ref="X490" authorId="0" shapeId="0" xr:uid="{86510CD1-8978-47F3-BCCE-3826069C1696}">
      <text>
        <r>
          <rPr>
            <sz val="10"/>
            <color indexed="81"/>
            <rFont val="Lucida Console"/>
            <family val="3"/>
          </rPr>
          <t>_x000D_
MAT.E EQUIP. P/ CONSTR.CIVIL E CONSERV. DE VIAS PUBL.</t>
        </r>
      </text>
    </comment>
    <comment ref="Y490" authorId="0" shapeId="0" xr:uid="{31552153-5C48-4011-A0E1-AEB1DC241065}">
      <text>
        <r>
          <rPr>
            <sz val="10"/>
            <color indexed="81"/>
            <rFont val="Lucida Console"/>
            <family val="3"/>
          </rPr>
          <t>_x000D_
IMPERMEABILIZANTES, ADITIVOS E ADESIVOS</t>
        </r>
      </text>
    </comment>
    <comment ref="AW490" authorId="0" shapeId="0" xr:uid="{CDD74356-82D9-4D35-A54F-242E4CE11583}">
      <text>
        <r>
          <rPr>
            <sz val="10"/>
            <color indexed="81"/>
            <rFont val="Lucida Console"/>
            <family val="3"/>
          </rPr>
          <t>Tempo de Estoque (Meses)_x000D_
_x000D_
214,0</t>
        </r>
      </text>
    </comment>
    <comment ref="A491" authorId="0" shapeId="0" xr:uid="{CCC7DDAB-5CD2-4E49-942B-4BFDDEFB8AA2}">
      <text>
        <r>
          <rPr>
            <sz val="10"/>
            <color indexed="81"/>
            <rFont val="Lucida Console"/>
            <family val="3"/>
          </rPr>
          <t>_x000D_
102277</t>
        </r>
      </text>
    </comment>
    <comment ref="B491" authorId="0" shapeId="0" xr:uid="{142FE199-B037-43EC-95D0-01377B31206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91" authorId="0" shapeId="0" xr:uid="{769D1E36-EDF2-4A31-9E5C-DE3B262B2053}">
      <text>
        <r>
          <rPr>
            <sz val="10"/>
            <color indexed="81"/>
            <rFont val="Lucida Console"/>
            <family val="3"/>
          </rPr>
          <t>_x000D_
Últ estimativa : 200_x000D_
Enviada em     : 08.09.2020_x000D_
Ata - Venc     : 292/19 - 17.12.2020</t>
        </r>
      </text>
    </comment>
    <comment ref="O491" authorId="0" shapeId="0" xr:uid="{C35BD3FB-DA24-4BCA-BF45-7E6EAB0D45D8}">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91" authorId="0" shapeId="0" xr:uid="{4236C8EB-1B2D-45E6-AFD1-06CBE0F934B3}">
      <text>
        <r>
          <rPr>
            <sz val="10"/>
            <color indexed="81"/>
            <rFont val="Lucida Console"/>
            <family val="3"/>
          </rPr>
          <t>_x000D_
DM-Serralheria</t>
        </r>
      </text>
    </comment>
    <comment ref="X491" authorId="0" shapeId="0" xr:uid="{DF6F97EB-3E39-46E0-B012-2DBACA30B793}">
      <text>
        <r>
          <rPr>
            <sz val="10"/>
            <color indexed="81"/>
            <rFont val="Lucida Console"/>
            <family val="3"/>
          </rPr>
          <t>_x000D_
METAIS,LAMINAD.,PERFILADOS E ARTEFATOS METALICOS</t>
        </r>
      </text>
    </comment>
    <comment ref="Y491" authorId="0" shapeId="0" xr:uid="{667A6DEC-5164-4F3A-8CFC-E434D81E5CFD}">
      <text>
        <r>
          <rPr>
            <sz val="10"/>
            <color indexed="81"/>
            <rFont val="Lucida Console"/>
            <family val="3"/>
          </rPr>
          <t>_x000D_
BARRAS DE ACO ESPECIFICOS P/ USOS VARIADOS</t>
        </r>
      </text>
    </comment>
    <comment ref="AW491" authorId="0" shapeId="0" xr:uid="{41F2A577-A21D-47B0-8123-4C3D2189CA4F}">
      <text>
        <r>
          <rPr>
            <sz val="10"/>
            <color indexed="81"/>
            <rFont val="Lucida Console"/>
            <family val="3"/>
          </rPr>
          <t>Tempo de Estoque (Meses)_x000D_
_x000D_
162,0</t>
        </r>
      </text>
    </comment>
    <comment ref="A492" authorId="0" shapeId="0" xr:uid="{6CD139CD-720D-4C21-933C-9FA3FC573F38}">
      <text>
        <r>
          <rPr>
            <sz val="10"/>
            <color indexed="81"/>
            <rFont val="Lucida Console"/>
            <family val="3"/>
          </rPr>
          <t>_x000D_
134545</t>
        </r>
      </text>
    </comment>
    <comment ref="B492" authorId="0" shapeId="0" xr:uid="{9335D299-11ED-41AC-A43C-13D768F21F6A}">
      <text>
        <r>
          <rPr>
            <sz val="10"/>
            <color indexed="81"/>
            <rFont val="Lucida Console"/>
            <family val="3"/>
          </rPr>
          <t>DESCRIÇÃO DETALHADA_x000D_
PASTILHA CERAMICA, COR AMARELO CANARIO, MEDINDO 10 X 10 CM, ESPESSURA DE 7 MM, UNIDAS POR PONTOS DE COLA.</t>
        </r>
      </text>
    </comment>
    <comment ref="G492" authorId="0" shapeId="0" xr:uid="{54E8C580-4F69-4FD3-AD9E-FD49FC985B13}">
      <text>
        <r>
          <rPr>
            <sz val="10"/>
            <color indexed="81"/>
            <rFont val="Lucida Console"/>
            <family val="3"/>
          </rPr>
          <t>_x000D_
Últ estimativa : 0_x000D_
Enviada em     : 08.09.2020_x000D_
Ata - Venc     : 292/19 - 17.12.2020</t>
        </r>
      </text>
    </comment>
    <comment ref="O492" authorId="0" shapeId="0" xr:uid="{D59CF7A6-213F-43B1-9E7E-E3178F3E2080}">
      <text>
        <r>
          <rPr>
            <sz val="10"/>
            <color indexed="81"/>
            <rFont val="Lucida Console"/>
            <family val="3"/>
          </rPr>
          <t>_x000D_
Pertencia a ATA nº 292/19_x000D_
Estimativa de Renovação enviada em 08.09.2020 - Qtd _x000D_
PE  26/21 lote _x000D_
16.03.21 = Processo finalizado. Ata 105/21.</t>
        </r>
      </text>
    </comment>
    <comment ref="W492" authorId="0" shapeId="0" xr:uid="{A2A8559F-4E89-4FE8-989F-B434262E408E}">
      <text>
        <r>
          <rPr>
            <sz val="10"/>
            <color indexed="81"/>
            <rFont val="Lucida Console"/>
            <family val="3"/>
          </rPr>
          <t>_x000D_
DM-Construção</t>
        </r>
      </text>
    </comment>
    <comment ref="X492" authorId="0" shapeId="0" xr:uid="{51B96099-1AA5-4EEB-9DE0-FCDC5D0EDCDF}">
      <text>
        <r>
          <rPr>
            <sz val="10"/>
            <color indexed="81"/>
            <rFont val="Lucida Console"/>
            <family val="3"/>
          </rPr>
          <t>_x000D_
MAT.E EQUIP. P/ CONSTR.CIVIL E CONSERV. DE VIAS PUBL.</t>
        </r>
      </text>
    </comment>
    <comment ref="Y492" authorId="0" shapeId="0" xr:uid="{2E6865E3-9B12-40F7-9BC2-AAC9FCF87226}">
      <text>
        <r>
          <rPr>
            <sz val="10"/>
            <color indexed="81"/>
            <rFont val="Lucida Console"/>
            <family val="3"/>
          </rPr>
          <t>_x000D_
AZULEJOS E PASTILHAS</t>
        </r>
      </text>
    </comment>
    <comment ref="AW492" authorId="0" shapeId="0" xr:uid="{2D148E6E-6A58-43B1-BAC6-99B0C58271E6}">
      <text>
        <r>
          <rPr>
            <sz val="10"/>
            <color indexed="81"/>
            <rFont val="Lucida Console"/>
            <family val="3"/>
          </rPr>
          <t>Tempo de Estoque (Meses)_x000D_
_x000D_
894,8</t>
        </r>
      </text>
    </comment>
    <comment ref="A493" authorId="0" shapeId="0" xr:uid="{99BE7395-3180-47D6-8CDE-B85AF83C6078}">
      <text>
        <r>
          <rPr>
            <sz val="10"/>
            <color indexed="81"/>
            <rFont val="Lucida Console"/>
            <family val="3"/>
          </rPr>
          <t>_x000D_
134544</t>
        </r>
      </text>
    </comment>
    <comment ref="B493" authorId="0" shapeId="0" xr:uid="{4A2CCCC2-D7E4-42DF-98A3-136524FBC81E}">
      <text>
        <r>
          <rPr>
            <sz val="10"/>
            <color indexed="81"/>
            <rFont val="Lucida Console"/>
            <family val="3"/>
          </rPr>
          <t>DESCRIÇÃO DETALHADA_x000D_
REVESTIMENTO CERAMICO, BRANCO BRILHANTE, 32 X 56 CM (VARIACAO +/- 2 CM).</t>
        </r>
      </text>
    </comment>
    <comment ref="G493" authorId="0" shapeId="0" xr:uid="{091EB8C1-DB13-4FB4-9747-E86F1D5C6DAB}">
      <text>
        <r>
          <rPr>
            <sz val="10"/>
            <color indexed="81"/>
            <rFont val="Lucida Console"/>
            <family val="3"/>
          </rPr>
          <t>_x000D_
Últ estimativa : 3.500_x000D_
Enviada em     : 22.04.2021_x000D_
Ata - Venc     : 292/19 - 17.12.2020</t>
        </r>
      </text>
    </comment>
    <comment ref="O493" authorId="0" shapeId="0" xr:uid="{F82EF81C-848D-432C-BB22-8C916DACD647}">
      <text>
        <r>
          <rPr>
            <sz val="10"/>
            <color indexed="81"/>
            <rFont val="Lucida Console"/>
            <family val="3"/>
          </rPr>
          <t>_x000D_
Pertencia a ATA nº 292/19_x000D_
Estimativa de Renovação enviada em 22.04.2021 - Qtd 3.500_x000D_
PE  26/21 lote _x000D_
16.03.21 = Processo finalizado. Ata 105/21.</t>
        </r>
      </text>
    </comment>
    <comment ref="W493" authorId="0" shapeId="0" xr:uid="{4A9A765C-D1B2-4C1E-AD51-CEDFC2B0FAA8}">
      <text>
        <r>
          <rPr>
            <sz val="10"/>
            <color indexed="81"/>
            <rFont val="Lucida Console"/>
            <family val="3"/>
          </rPr>
          <t>_x000D_
DM-Construção</t>
        </r>
      </text>
    </comment>
    <comment ref="X493" authorId="0" shapeId="0" xr:uid="{F6933437-AFE3-4D0A-8062-A4EE6B536A97}">
      <text>
        <r>
          <rPr>
            <sz val="10"/>
            <color indexed="81"/>
            <rFont val="Lucida Console"/>
            <family val="3"/>
          </rPr>
          <t>_x000D_
MAT.E EQUIP. P/ CONSTR.CIVIL E CONSERV. DE VIAS PUBL.</t>
        </r>
      </text>
    </comment>
    <comment ref="Y493" authorId="0" shapeId="0" xr:uid="{69C97CFF-AE4B-4082-99C0-37A18529CE02}">
      <text>
        <r>
          <rPr>
            <sz val="10"/>
            <color indexed="81"/>
            <rFont val="Lucida Console"/>
            <family val="3"/>
          </rPr>
          <t>_x000D_
PISOS DE BORRACHA, PVC E OUTROS COLAVEIS</t>
        </r>
      </text>
    </comment>
    <comment ref="AW493" authorId="0" shapeId="0" xr:uid="{65FC8344-9258-4B14-83E5-4993ACEF4BBC}">
      <text>
        <r>
          <rPr>
            <sz val="10"/>
            <color indexed="81"/>
            <rFont val="Lucida Console"/>
            <family val="3"/>
          </rPr>
          <t>Tempo de Estoque (Meses)_x000D_
_x000D_
2.847,3</t>
        </r>
      </text>
    </comment>
    <comment ref="A494" authorId="0" shapeId="0" xr:uid="{B32C8D13-2C20-4C12-B20B-9551EB1336D8}">
      <text>
        <r>
          <rPr>
            <sz val="10"/>
            <color indexed="81"/>
            <rFont val="Lucida Console"/>
            <family val="3"/>
          </rPr>
          <t>_x000D_
12835</t>
        </r>
      </text>
    </comment>
    <comment ref="B494" authorId="0" shapeId="0" xr:uid="{10BA78BD-8B13-4137-8681-E6079F57837A}">
      <text>
        <r>
          <rPr>
            <sz val="10"/>
            <color indexed="81"/>
            <rFont val="Lucida Console"/>
            <family val="3"/>
          </rPr>
          <t>DESCRIÇÃO DETALHADA_x000D_
ADAPTADOR DE PVC SOLDAVEL MARROM 3/4". A MARCA DEVERA VIR LITOGRAFADA NA PECA.</t>
        </r>
      </text>
    </comment>
    <comment ref="G494" authorId="0" shapeId="0" xr:uid="{256F945F-919D-4482-A42A-F3B2CAC4FE1A}">
      <text>
        <r>
          <rPr>
            <sz val="10"/>
            <color indexed="81"/>
            <rFont val="Lucida Console"/>
            <family val="3"/>
          </rPr>
          <t>_x000D_
Últ estimativa : 600_x000D_
Enviada em     : 24.11.2020_x000D_
Ata - Venc     : 293/20 - 30.11.2021</t>
        </r>
      </text>
    </comment>
    <comment ref="O494" authorId="0" shapeId="0" xr:uid="{AA1EC43D-11DD-4FAC-BF50-FA0BEBAFACF1}">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94" authorId="0" shapeId="0" xr:uid="{8A7308A9-954C-4F28-AA28-2D0AA880FFD4}">
      <text>
        <r>
          <rPr>
            <sz val="10"/>
            <color indexed="81"/>
            <rFont val="Lucida Console"/>
            <family val="3"/>
          </rPr>
          <t>_x000D_
DM-Hidráulica</t>
        </r>
      </text>
    </comment>
    <comment ref="X494" authorId="0" shapeId="0" xr:uid="{BA052C02-63BE-47CA-85E3-18987DC9D3A6}">
      <text>
        <r>
          <rPr>
            <sz val="10"/>
            <color indexed="81"/>
            <rFont val="Lucida Console"/>
            <family val="3"/>
          </rPr>
          <t>_x000D_
MATERIAL HIDRAULICO, CANOS, TUBOS, MANGUEIRAS, CONEXOES E ACESS.</t>
        </r>
      </text>
    </comment>
    <comment ref="Y494" authorId="0" shapeId="0" xr:uid="{EA82141A-1865-4F9E-95DF-A3DD6E2E770F}">
      <text>
        <r>
          <rPr>
            <sz val="10"/>
            <color indexed="81"/>
            <rFont val="Lucida Console"/>
            <family val="3"/>
          </rPr>
          <t>_x000D_
ADAP. LUVAS.TES CURVAS COTOVELOS PLUGS FLANGES.....</t>
        </r>
      </text>
    </comment>
    <comment ref="AW494" authorId="0" shapeId="0" xr:uid="{5EB0702F-1F87-4035-B932-88AA8F94D222}">
      <text>
        <r>
          <rPr>
            <sz val="10"/>
            <color indexed="81"/>
            <rFont val="Lucida Console"/>
            <family val="3"/>
          </rPr>
          <t>Tempo de Estoque (Meses)_x000D_
_x000D_
509,0</t>
        </r>
      </text>
    </comment>
    <comment ref="A495" authorId="0" shapeId="0" xr:uid="{A6B1C5EC-2F4E-4C93-B75F-BA91E5C43061}">
      <text>
        <r>
          <rPr>
            <sz val="10"/>
            <color indexed="81"/>
            <rFont val="Lucida Console"/>
            <family val="3"/>
          </rPr>
          <t>_x000D_
135414</t>
        </r>
      </text>
    </comment>
    <comment ref="B495" authorId="0" shapeId="0" xr:uid="{5FEA8C3C-F91D-450D-8104-72B153988B8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95" authorId="0" shapeId="0" xr:uid="{B7565DBE-F28C-4724-B9FC-A68DE603F8AE}">
      <text>
        <r>
          <rPr>
            <sz val="10"/>
            <color indexed="81"/>
            <rFont val="Lucida Console"/>
            <family val="3"/>
          </rPr>
          <t>_x000D_
Últ estimativa : 250_x000D_
Enviada em     : 25.09.2019_x000D_
Ata - Venc     : 293/20 - 30.11.2021</t>
        </r>
      </text>
    </comment>
    <comment ref="O495" authorId="0" shapeId="0" xr:uid="{030C15CA-2CCD-4C58-BE3C-3BBD97CD9E57}">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95" authorId="0" shapeId="0" xr:uid="{7CAA0333-3AF0-4BB0-8FC0-15FE09A4E21E}">
      <text>
        <r>
          <rPr>
            <sz val="10"/>
            <color indexed="81"/>
            <rFont val="Lucida Console"/>
            <family val="3"/>
          </rPr>
          <t>_x000D_
DM-Hidráulica</t>
        </r>
      </text>
    </comment>
    <comment ref="X495" authorId="0" shapeId="0" xr:uid="{B7EA453F-8272-4E11-840C-A9CA20279D51}">
      <text>
        <r>
          <rPr>
            <sz val="10"/>
            <color indexed="81"/>
            <rFont val="Lucida Console"/>
            <family val="3"/>
          </rPr>
          <t>_x000D_
MATERIAL HIDRAULICO, CANOS, TUBOS, MANGUEIRAS, CONEXOES E ACESS.</t>
        </r>
      </text>
    </comment>
    <comment ref="Y495" authorId="0" shapeId="0" xr:uid="{35A5350B-52BB-4112-B897-A7C728F6A216}">
      <text>
        <r>
          <rPr>
            <sz val="10"/>
            <color indexed="81"/>
            <rFont val="Lucida Console"/>
            <family val="3"/>
          </rPr>
          <t>_x000D_
TORNEIRAS VOLANTES CANOPLAS E ACESS. P/ MANGUEIRA</t>
        </r>
      </text>
    </comment>
    <comment ref="AW495" authorId="0" shapeId="0" xr:uid="{F1EA5951-A988-4A9E-9EF7-0CD5A95E7A12}">
      <text>
        <r>
          <rPr>
            <sz val="10"/>
            <color indexed="81"/>
            <rFont val="Lucida Console"/>
            <family val="3"/>
          </rPr>
          <t>Tempo de Estoque (Meses)_x000D_
_x000D_
522,0</t>
        </r>
      </text>
    </comment>
    <comment ref="A496" authorId="0" shapeId="0" xr:uid="{32C898AF-924E-4852-87BD-312256FA86F4}">
      <text>
        <r>
          <rPr>
            <sz val="10"/>
            <color indexed="81"/>
            <rFont val="Lucida Console"/>
            <family val="3"/>
          </rPr>
          <t>_x000D_
136553</t>
        </r>
      </text>
    </comment>
    <comment ref="B496" authorId="0" shapeId="0" xr:uid="{0506FE4E-9587-4428-A16D-24FFEFA3A0F0}">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96" authorId="0" shapeId="0" xr:uid="{39FDEA53-82D8-492B-986A-0882F4748AF2}">
      <text>
        <r>
          <rPr>
            <sz val="10"/>
            <color indexed="81"/>
            <rFont val="Lucida Console"/>
            <family val="3"/>
          </rPr>
          <t>_x000D_
Últ estimativa : 5.000_x000D_
Enviada em     : 08.09.2020_x000D_
Ata - Venc     : 296/20 - 30.11.2021</t>
        </r>
      </text>
    </comment>
    <comment ref="O496" authorId="0" shapeId="0" xr:uid="{E31DE3CD-B0E7-4202-911D-119D763A8CC5}">
      <text>
        <r>
          <rPr>
            <sz val="10"/>
            <color indexed="81"/>
            <rFont val="Lucida Console"/>
            <family val="3"/>
          </rPr>
          <t>_x000D_
Pertencia a ATA nº 296/20_x000D_
Estimativa de Renovação enviada em 08.09.2020 - Qtd 5.000_x000D_
PE  28/19 lote _x000D_
24.07.19 = Processo conferido, finalizado.</t>
        </r>
      </text>
    </comment>
    <comment ref="W496" authorId="0" shapeId="0" xr:uid="{89C2728B-FA05-461E-9293-ED8A4FEE3F54}">
      <text>
        <r>
          <rPr>
            <sz val="10"/>
            <color indexed="81"/>
            <rFont val="Lucida Console"/>
            <family val="3"/>
          </rPr>
          <t>_x000D_
DM-Construção</t>
        </r>
      </text>
    </comment>
    <comment ref="X496" authorId="0" shapeId="0" xr:uid="{DE9AD60E-C1AF-4E21-862C-9FBEE41D4CBD}">
      <text>
        <r>
          <rPr>
            <sz val="10"/>
            <color indexed="81"/>
            <rFont val="Lucida Console"/>
            <family val="3"/>
          </rPr>
          <t>_x000D_
MAT.E EQUIP. P/ CONSTR.CIVIL E CONSERV. DE VIAS PUBL.</t>
        </r>
      </text>
    </comment>
    <comment ref="Y496" authorId="0" shapeId="0" xr:uid="{2925D958-BB71-4AB9-A76F-74B2EC5C3006}">
      <text>
        <r>
          <rPr>
            <sz val="10"/>
            <color indexed="81"/>
            <rFont val="Lucida Console"/>
            <family val="3"/>
          </rPr>
          <t>_x000D_
DOBRADICAS DE FERRO, METAL E PLASTICO</t>
        </r>
      </text>
    </comment>
    <comment ref="AW496" authorId="0" shapeId="0" xr:uid="{8BCEA8AE-A253-425A-B014-C690E9F20167}">
      <text>
        <r>
          <rPr>
            <sz val="10"/>
            <color indexed="81"/>
            <rFont val="Lucida Console"/>
            <family val="3"/>
          </rPr>
          <t>Tempo de Estoque (Meses)_x000D_
_x000D_
2.000,0</t>
        </r>
      </text>
    </comment>
    <comment ref="A497" authorId="0" shapeId="0" xr:uid="{FBB959A9-7E70-4955-B29D-24DEE96E1B83}">
      <text>
        <r>
          <rPr>
            <sz val="10"/>
            <color indexed="81"/>
            <rFont val="Lucida Console"/>
            <family val="3"/>
          </rPr>
          <t>_x000D_
136556</t>
        </r>
      </text>
    </comment>
    <comment ref="B497" authorId="0" shapeId="0" xr:uid="{5C092191-BCE7-4D0D-9431-EC7D20F743C5}">
      <text>
        <r>
          <rPr>
            <sz val="10"/>
            <color indexed="81"/>
            <rFont val="Lucida Console"/>
            <family val="3"/>
          </rPr>
          <t>DESCRIÇÃO DETALHADA_x000D_
DOBRADICA PARA PORTA EM ACO ZINCADO, MEDIDAS 3.1/2" X 2.1/4", ESPESSURA MINIMA DE 1,5 MM</t>
        </r>
      </text>
    </comment>
    <comment ref="G497" authorId="0" shapeId="0" xr:uid="{26D3A6F5-F016-4971-B10D-EA2931AC4FD0}">
      <text>
        <r>
          <rPr>
            <sz val="10"/>
            <color indexed="81"/>
            <rFont val="Lucida Console"/>
            <family val="3"/>
          </rPr>
          <t>_x000D_
Últ estimativa : 1.500_x000D_
Enviada em     : 08.09.2020_x000D_
Ata - Venc     : 296/20 - 30.11.2021</t>
        </r>
      </text>
    </comment>
    <comment ref="O497" authorId="0" shapeId="0" xr:uid="{871A78EB-B0B7-4260-A746-41FEB3DD8EED}">
      <text>
        <r>
          <rPr>
            <sz val="10"/>
            <color indexed="81"/>
            <rFont val="Lucida Console"/>
            <family val="3"/>
          </rPr>
          <t>_x000D_
Pertencia a ATA nº 296/20_x000D_
Estimativa de Renovação enviada em 08.09.2020 - Qtd 1.500_x000D_
PE  28/19 lote _x000D_
24.07.19 = Processo conferido, finalizado.</t>
        </r>
      </text>
    </comment>
    <comment ref="W497" authorId="0" shapeId="0" xr:uid="{22B689A8-04DC-4472-8E05-E8A1B834A739}">
      <text>
        <r>
          <rPr>
            <sz val="10"/>
            <color indexed="81"/>
            <rFont val="Lucida Console"/>
            <family val="3"/>
          </rPr>
          <t>_x000D_
DM-Construção</t>
        </r>
      </text>
    </comment>
    <comment ref="X497" authorId="0" shapeId="0" xr:uid="{20EC5C6E-36E7-47DC-8BAC-5623B53A483F}">
      <text>
        <r>
          <rPr>
            <sz val="10"/>
            <color indexed="81"/>
            <rFont val="Lucida Console"/>
            <family val="3"/>
          </rPr>
          <t>_x000D_
MAT.E EQUIP. P/ CONSTR.CIVIL E CONSERV. DE VIAS PUBL.</t>
        </r>
      </text>
    </comment>
    <comment ref="Y497" authorId="0" shapeId="0" xr:uid="{37033935-BDAF-44AD-8DB0-729DFA328732}">
      <text>
        <r>
          <rPr>
            <sz val="10"/>
            <color indexed="81"/>
            <rFont val="Lucida Console"/>
            <family val="3"/>
          </rPr>
          <t>_x000D_
DOBRADICAS DE FERRO, METAL E PLASTICO</t>
        </r>
      </text>
    </comment>
    <comment ref="AW497" authorId="0" shapeId="0" xr:uid="{F073F451-03CC-4C8C-97C7-6B73E6A3FA08}">
      <text>
        <r>
          <rPr>
            <sz val="10"/>
            <color indexed="81"/>
            <rFont val="Lucida Console"/>
            <family val="3"/>
          </rPr>
          <t>Tempo de Estoque (Meses)_x000D_
_x000D_
2.000,0</t>
        </r>
      </text>
    </comment>
    <comment ref="A498" authorId="0" shapeId="0" xr:uid="{0BB6DA89-096C-45D2-901A-D8CC008CFB8B}">
      <text>
        <r>
          <rPr>
            <sz val="10"/>
            <color indexed="81"/>
            <rFont val="Lucida Console"/>
            <family val="3"/>
          </rPr>
          <t>_x000D_
122818</t>
        </r>
      </text>
    </comment>
    <comment ref="B498" authorId="0" shapeId="0" xr:uid="{57EFE2E1-2BE2-4406-A1F2-8F0FB7000358}">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98" authorId="0" shapeId="0" xr:uid="{39FCB605-9956-4B2D-A5DD-C03FC42C6CA3}">
      <text>
        <r>
          <rPr>
            <sz val="10"/>
            <color indexed="81"/>
            <rFont val="Lucida Console"/>
            <family val="3"/>
          </rPr>
          <t>_x000D_
Últ estimativa : 5.000_x000D_
Enviada em     : 08.09.2020_x000D_
Ata - Venc     : 296/20 - 30.11.2021</t>
        </r>
      </text>
    </comment>
    <comment ref="O498" authorId="0" shapeId="0" xr:uid="{39562D4D-AD5B-4F4E-841C-00C96FC4F101}">
      <text>
        <r>
          <rPr>
            <sz val="10"/>
            <color indexed="81"/>
            <rFont val="Lucida Console"/>
            <family val="3"/>
          </rPr>
          <t>_x000D_
Pertencia a ATA nº 296/20_x000D_
Estimativa de Renovação enviada em 08.09.2020 - Qtd 5.000_x000D_
PP 192/19 lote _x000D_
09.01.20 = Finalizar - contrato assinado.</t>
        </r>
      </text>
    </comment>
    <comment ref="W498" authorId="0" shapeId="0" xr:uid="{2C7BFE36-A3AA-4728-9076-34A69175A94D}">
      <text>
        <r>
          <rPr>
            <sz val="10"/>
            <color indexed="81"/>
            <rFont val="Lucida Console"/>
            <family val="3"/>
          </rPr>
          <t>_x000D_
DM-Construção</t>
        </r>
      </text>
    </comment>
    <comment ref="X498" authorId="0" shapeId="0" xr:uid="{0FA63967-3C54-4956-B0FF-9099DF76BAC7}">
      <text>
        <r>
          <rPr>
            <sz val="10"/>
            <color indexed="81"/>
            <rFont val="Lucida Console"/>
            <family val="3"/>
          </rPr>
          <t>_x000D_
MAT.E EQUIP. P/ CONSTR.CIVIL E CONSERV. DE VIAS PUBL.</t>
        </r>
      </text>
    </comment>
    <comment ref="Y498" authorId="0" shapeId="0" xr:uid="{1F644675-4A73-49D6-B991-5754BB0CA75A}">
      <text>
        <r>
          <rPr>
            <sz val="10"/>
            <color indexed="81"/>
            <rFont val="Lucida Console"/>
            <family val="3"/>
          </rPr>
          <t>_x000D_
PISOS DE BORRACHA, PVC E OUTROS COLAVEIS</t>
        </r>
      </text>
    </comment>
    <comment ref="AW498" authorId="0" shapeId="0" xr:uid="{C6876D63-D7B9-4DEB-B33D-585F1FC8AF05}">
      <text>
        <r>
          <rPr>
            <sz val="10"/>
            <color indexed="81"/>
            <rFont val="Lucida Console"/>
            <family val="3"/>
          </rPr>
          <t>Tempo de Estoque (Meses)_x000D_
_x000D_
2.413,3</t>
        </r>
      </text>
    </comment>
    <comment ref="A499" authorId="0" shapeId="0" xr:uid="{5E3596A6-D363-48B3-8784-23DF9E106C09}">
      <text>
        <r>
          <rPr>
            <sz val="10"/>
            <color indexed="81"/>
            <rFont val="Lucida Console"/>
            <family val="3"/>
          </rPr>
          <t>_x000D_
125262</t>
        </r>
      </text>
    </comment>
    <comment ref="B499" authorId="0" shapeId="0" xr:uid="{51D31DBA-0F9C-40DF-8896-9AC70C9C529E}">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99" authorId="0" shapeId="0" xr:uid="{86712575-653D-451E-A705-7BF2A8A29F5A}">
      <text>
        <r>
          <rPr>
            <sz val="10"/>
            <color indexed="81"/>
            <rFont val="Lucida Console"/>
            <family val="3"/>
          </rPr>
          <t>_x000D_
Últ estimativa : 5.000_x000D_
Enviada em     : 08.09.2020_x000D_
Ata - Venc     : 296/20 - 30.11.2021</t>
        </r>
      </text>
    </comment>
    <comment ref="O499" authorId="0" shapeId="0" xr:uid="{C23C6BC1-1F52-4F91-AADE-8747B620E2C0}">
      <text>
        <r>
          <rPr>
            <sz val="10"/>
            <color indexed="81"/>
            <rFont val="Lucida Console"/>
            <family val="3"/>
          </rPr>
          <t>_x000D_
Pertencia a ATA nº 296/20_x000D_
Estimativa de Renovação enviada em 08.09.2020 - Qtd 5.000_x000D_
PP 192/19 lote _x000D_
09.01.20 = Finalizar - contrato assinado.</t>
        </r>
      </text>
    </comment>
    <comment ref="W499" authorId="0" shapeId="0" xr:uid="{C78BBD74-8516-45A9-A31E-709DEF06088A}">
      <text>
        <r>
          <rPr>
            <sz val="10"/>
            <color indexed="81"/>
            <rFont val="Lucida Console"/>
            <family val="3"/>
          </rPr>
          <t>_x000D_
DM-Construção</t>
        </r>
      </text>
    </comment>
    <comment ref="X499" authorId="0" shapeId="0" xr:uid="{929BE773-6BE5-40F1-A2FD-86524847A3E8}">
      <text>
        <r>
          <rPr>
            <sz val="10"/>
            <color indexed="81"/>
            <rFont val="Lucida Console"/>
            <family val="3"/>
          </rPr>
          <t>_x000D_
MAT.E EQUIP. P/ CONSTR.CIVIL E CONSERV. DE VIAS PUBL.</t>
        </r>
      </text>
    </comment>
    <comment ref="Y499" authorId="0" shapeId="0" xr:uid="{12BD3FC8-22F0-461A-B659-2ABA3241E451}">
      <text>
        <r>
          <rPr>
            <sz val="10"/>
            <color indexed="81"/>
            <rFont val="Lucida Console"/>
            <family val="3"/>
          </rPr>
          <t>_x000D_
PISOS DE BORRACHA, PVC E OUTROS COLAVEIS</t>
        </r>
      </text>
    </comment>
    <comment ref="AW499" authorId="0" shapeId="0" xr:uid="{18EAB430-D480-4955-B078-9FDC93E3DEBE}">
      <text>
        <r>
          <rPr>
            <sz val="10"/>
            <color indexed="81"/>
            <rFont val="Lucida Console"/>
            <family val="3"/>
          </rPr>
          <t>Tempo de Estoque (Meses)_x000D_
_x000D_
2.192,6</t>
        </r>
      </text>
    </comment>
    <comment ref="A500" authorId="0" shapeId="0" xr:uid="{F098A6F5-869C-4B40-B5FF-C9832F0FEEFD}">
      <text>
        <r>
          <rPr>
            <sz val="10"/>
            <color indexed="81"/>
            <rFont val="Lucida Console"/>
            <family val="3"/>
          </rPr>
          <t>_x000D_
12877</t>
        </r>
      </text>
    </comment>
    <comment ref="B500" authorId="0" shapeId="0" xr:uid="{1E050649-0145-4304-AC73-0D36C0C5AE2B}">
      <text>
        <r>
          <rPr>
            <sz val="10"/>
            <color indexed="81"/>
            <rFont val="Lucida Console"/>
            <family val="3"/>
          </rPr>
          <t>DESCRIÇÃO DETALHADA_x000D_
TINTA LATEX PVA BRANCO, LATA COM 18 LITROS</t>
        </r>
      </text>
    </comment>
    <comment ref="G500" authorId="0" shapeId="0" xr:uid="{90F9AB5B-913F-4FEA-BBB0-6BF004FF0AE5}">
      <text>
        <r>
          <rPr>
            <sz val="10"/>
            <color indexed="81"/>
            <rFont val="Lucida Console"/>
            <family val="3"/>
          </rPr>
          <t>_x000D_
Últ estimativa : 200_x000D_
Enviada em     : 12.05.2020_x000D_
Ata - Venc     : 304/20 - 15.12.2021</t>
        </r>
      </text>
    </comment>
    <comment ref="O500" authorId="0" shapeId="0" xr:uid="{7788776E-8FE8-4582-AF4B-1885DE8D866F}">
      <text>
        <r>
          <rPr>
            <sz val="10"/>
            <color indexed="81"/>
            <rFont val="Lucida Console"/>
            <family val="3"/>
          </rPr>
          <t>_x000D_
Pertencia a ATA nº 304/20_x000D_
Estimativa de Renovação enviada em 12.05.2020 - Qtd 200_x000D_
PE 147/20 lote 5 (Impróspero)_x000D_
04.09.20 = Finalizado. Ata 254/20</t>
        </r>
      </text>
    </comment>
    <comment ref="W500" authorId="0" shapeId="0" xr:uid="{31738680-9A8A-4507-B649-A19F20C04116}">
      <text>
        <r>
          <rPr>
            <sz val="10"/>
            <color indexed="81"/>
            <rFont val="Lucida Console"/>
            <family val="3"/>
          </rPr>
          <t>_x000D_
DM-Pintura</t>
        </r>
      </text>
    </comment>
    <comment ref="X500" authorId="0" shapeId="0" xr:uid="{37AF2E1D-D5BF-48CF-BBBD-554F1598B37A}">
      <text>
        <r>
          <rPr>
            <sz val="10"/>
            <color indexed="81"/>
            <rFont val="Lucida Console"/>
            <family val="3"/>
          </rPr>
          <t>_x000D_
EQUIP. E MATERIAIS P/PINTURAS E IMPERMEABILIZACAO</t>
        </r>
      </text>
    </comment>
    <comment ref="Y500" authorId="0" shapeId="0" xr:uid="{6C1DFB97-939A-43FB-936C-072B4CC68C27}">
      <text>
        <r>
          <rPr>
            <sz val="10"/>
            <color indexed="81"/>
            <rFont val="Lucida Console"/>
            <family val="3"/>
          </rPr>
          <t>_x000D_
TINTAS LATEX</t>
        </r>
      </text>
    </comment>
    <comment ref="AW500" authorId="0" shapeId="0" xr:uid="{A71610BB-8CDE-4889-9444-A264A161E2B4}">
      <text>
        <r>
          <rPr>
            <sz val="10"/>
            <color indexed="81"/>
            <rFont val="Lucida Console"/>
            <family val="3"/>
          </rPr>
          <t>Tempo de Estoque (Meses)_x000D_
_x000D_
500,0</t>
        </r>
      </text>
    </comment>
    <comment ref="A501" authorId="0" shapeId="0" xr:uid="{8138F1E1-6D09-409E-BF1E-51E18FC34560}">
      <text>
        <r>
          <rPr>
            <sz val="10"/>
            <color indexed="81"/>
            <rFont val="Lucida Console"/>
            <family val="3"/>
          </rPr>
          <t>_x000D_
93139</t>
        </r>
      </text>
    </comment>
    <comment ref="B501" authorId="0" shapeId="0" xr:uid="{BFE05826-C17C-4DD5-8330-7DA3760D442B}">
      <text>
        <r>
          <rPr>
            <sz val="10"/>
            <color indexed="81"/>
            <rFont val="Lucida Console"/>
            <family val="3"/>
          </rPr>
          <t xml:space="preserve">DESCRIÇÃO DETALHADA_x000D_
FITA PLASTICA P/ ISOLAMENTO DE TRAFEGO PRETA/AMARELA - ROLO COM 100 M </t>
        </r>
      </text>
    </comment>
    <comment ref="G501" authorId="0" shapeId="0" xr:uid="{3A707642-4290-4CCA-BE2C-96920A4EBDDF}">
      <text>
        <r>
          <rPr>
            <sz val="10"/>
            <color indexed="81"/>
            <rFont val="Lucida Console"/>
            <family val="3"/>
          </rPr>
          <t>_x000D_
Últ estimativa : 100_x000D_
Enviada em     : 20.01.2020_x000D_
Ata - Venc     : 31/21 - 03.02.2022</t>
        </r>
      </text>
    </comment>
    <comment ref="O501" authorId="0" shapeId="0" xr:uid="{628D1A94-47F5-406E-8029-C7EF01D6B17A}">
      <text>
        <r>
          <rPr>
            <sz val="10"/>
            <color indexed="81"/>
            <rFont val="Lucida Console"/>
            <family val="3"/>
          </rPr>
          <t>_x000D_
Pertencia a ATA nº 31/21_x000D_
Estimativa de Renovação enviada em 20.01.2020 - Qtd 100_x000D_
PE 222/20 lote _x000D_
15.12.20 = Finalizado</t>
        </r>
      </text>
    </comment>
    <comment ref="W501" authorId="0" shapeId="0" xr:uid="{07A0F92C-CAE0-43F8-A2B6-97579C1CA43A}">
      <text>
        <r>
          <rPr>
            <sz val="10"/>
            <color indexed="81"/>
            <rFont val="Lucida Console"/>
            <family val="3"/>
          </rPr>
          <t>_x000D_
SegMedTra</t>
        </r>
      </text>
    </comment>
    <comment ref="X501" authorId="0" shapeId="0" xr:uid="{8E034BA0-8039-43F0-BAE3-15FDB954D56C}">
      <text>
        <r>
          <rPr>
            <sz val="10"/>
            <color indexed="81"/>
            <rFont val="Lucida Console"/>
            <family val="3"/>
          </rPr>
          <t>_x000D_
EQUIP PROT IND, INST MAT P/ SINAL, CONTR, COMB ...</t>
        </r>
      </text>
    </comment>
    <comment ref="Y501" authorId="0" shapeId="0" xr:uid="{0428E205-6E1B-4184-8C3E-0437D3F0E5C8}">
      <text>
        <r>
          <rPr>
            <sz val="10"/>
            <color indexed="81"/>
            <rFont val="Lucida Console"/>
            <family val="3"/>
          </rPr>
          <t>_x000D_
EQUIPAMENTOS E ACESSORIOS DE SEGURANCA EXTERNA</t>
        </r>
      </text>
    </comment>
    <comment ref="AW501" authorId="0" shapeId="0" xr:uid="{D5F1761D-ADDD-4EC9-8ED0-DC13C3F8D9FC}">
      <text>
        <r>
          <rPr>
            <sz val="10"/>
            <color indexed="81"/>
            <rFont val="Lucida Console"/>
            <family val="3"/>
          </rPr>
          <t>Tempo de Estoque (Meses)_x000D_
_x000D_
188,0</t>
        </r>
      </text>
    </comment>
    <comment ref="A502" authorId="0" shapeId="0" xr:uid="{6961D96A-E3ED-4A65-A5FC-C1C6CD8FCE3A}">
      <text>
        <r>
          <rPr>
            <sz val="10"/>
            <color indexed="81"/>
            <rFont val="Lucida Console"/>
            <family val="3"/>
          </rPr>
          <t>_x000D_
109848</t>
        </r>
      </text>
    </comment>
    <comment ref="B502" authorId="0" shapeId="0" xr:uid="{C4463B16-CFFC-4A70-921F-34CBDDFB8C71}">
      <text>
        <r>
          <rPr>
            <sz val="10"/>
            <color indexed="81"/>
            <rFont val="Lucida Console"/>
            <family val="3"/>
          </rPr>
          <t>DESCRIÇÃO DETALHADA_x000D_
TEXTURA ACRILICA GRAFIATO HIDROREPELENTE NA COR BRANCA - BARRICA COM 25 KG.</t>
        </r>
      </text>
    </comment>
    <comment ref="G502" authorId="0" shapeId="0" xr:uid="{48CB41DC-A701-440E-ADF2-F418201EACAF}">
      <text>
        <r>
          <rPr>
            <sz val="10"/>
            <color indexed="81"/>
            <rFont val="Lucida Console"/>
            <family val="3"/>
          </rPr>
          <t>_x000D_
Últ estimativa : 120_x000D_
Enviada em     : 20.01.2020_x000D_
Ata - Venc     : 31/21 - 03.02.2022</t>
        </r>
      </text>
    </comment>
    <comment ref="O502" authorId="0" shapeId="0" xr:uid="{FF95F31D-5683-4DD9-82EE-F8EE8DD46557}">
      <text>
        <r>
          <rPr>
            <sz val="10"/>
            <color indexed="81"/>
            <rFont val="Lucida Console"/>
            <family val="3"/>
          </rPr>
          <t>_x000D_
Pertencia a ATA nº 31/21_x000D_
Estimativa de Renovação enviada em 20.01.2020 - Qtd 120_x000D_
PE 222/20 lote _x000D_
15.12.20 = Finalizado</t>
        </r>
      </text>
    </comment>
    <comment ref="W502" authorId="0" shapeId="0" xr:uid="{D3C0BB93-6DD0-486F-A4F8-D9C55FF50984}">
      <text>
        <r>
          <rPr>
            <sz val="10"/>
            <color indexed="81"/>
            <rFont val="Lucida Console"/>
            <family val="3"/>
          </rPr>
          <t>_x000D_
DM-Pintura</t>
        </r>
      </text>
    </comment>
    <comment ref="X502" authorId="0" shapeId="0" xr:uid="{F6B51905-A4F5-4FA2-A2A0-DBDC83955FDB}">
      <text>
        <r>
          <rPr>
            <sz val="10"/>
            <color indexed="81"/>
            <rFont val="Lucida Console"/>
            <family val="3"/>
          </rPr>
          <t>_x000D_
EQUIP. E MATERIAIS P/PINTURAS E IMPERMEABILIZACAO</t>
        </r>
      </text>
    </comment>
    <comment ref="Y502" authorId="0" shapeId="0" xr:uid="{AD4DD5D8-1BEB-4FC1-BA4B-6E25C20D4790}">
      <text>
        <r>
          <rPr>
            <sz val="10"/>
            <color indexed="81"/>
            <rFont val="Lucida Console"/>
            <family val="3"/>
          </rPr>
          <t>_x000D_
TINTAS DIVERSAS</t>
        </r>
      </text>
    </comment>
    <comment ref="AW502" authorId="0" shapeId="0" xr:uid="{23070119-B7C6-4D1E-ADA1-0E028FEB1450}">
      <text>
        <r>
          <rPr>
            <sz val="10"/>
            <color indexed="81"/>
            <rFont val="Lucida Console"/>
            <family val="3"/>
          </rPr>
          <t>Tempo de Estoque (Meses)_x000D_
_x000D_
209,0</t>
        </r>
      </text>
    </comment>
    <comment ref="A503" authorId="0" shapeId="0" xr:uid="{D9BB6694-D05D-41B0-8D19-842EB94ED774}">
      <text>
        <r>
          <rPr>
            <sz val="10"/>
            <color indexed="81"/>
            <rFont val="Lucida Console"/>
            <family val="3"/>
          </rPr>
          <t>_x000D_
127664</t>
        </r>
      </text>
    </comment>
    <comment ref="B503" authorId="0" shapeId="0" xr:uid="{FF509DA5-65F4-4AB4-A145-CE6655BB98FF}">
      <text>
        <r>
          <rPr>
            <sz val="10"/>
            <color indexed="81"/>
            <rFont val="Lucida Console"/>
            <family val="3"/>
          </rPr>
          <t>DESCRIÇÃO DETALHADA_x000D_
CHA DE ERVA MATE TOSTADO - CAIXA COM 250 GR</t>
        </r>
      </text>
    </comment>
    <comment ref="G503" authorId="0" shapeId="0" xr:uid="{1DBE9206-459A-4989-AC5A-0DAA0395F7E3}">
      <text>
        <r>
          <rPr>
            <sz val="10"/>
            <color indexed="81"/>
            <rFont val="Lucida Console"/>
            <family val="3"/>
          </rPr>
          <t>_x000D_
Últ estimativa : 8.000_x000D_
Enviada em     : 26.08.2021_x000D_
Ata - Venc     : 33/20 - 15.02.2021</t>
        </r>
      </text>
    </comment>
    <comment ref="O503" authorId="0" shapeId="0" xr:uid="{7AA1B9C6-5DB1-4EB5-AE50-0B3C77DE79CB}">
      <text>
        <r>
          <rPr>
            <sz val="10"/>
            <color indexed="81"/>
            <rFont val="Lucida Console"/>
            <family val="3"/>
          </rPr>
          <t>_x000D_
Pertencia a ATA nº 33/20_x000D_
Estimativa de Renovação enviada em 26.08.2021 - Qtd 8.000_x000D_
PP  72/19 lote _x000D_
11.02.20 = Na DFAT para formalizar contrato</t>
        </r>
      </text>
    </comment>
    <comment ref="W503" authorId="0" shapeId="0" xr:uid="{7A729EF9-9194-4C5A-87A9-C17EF0110B21}">
      <text>
        <r>
          <rPr>
            <sz val="10"/>
            <color indexed="81"/>
            <rFont val="Lucida Console"/>
            <family val="3"/>
          </rPr>
          <t>_x000D_
Administrativo</t>
        </r>
      </text>
    </comment>
    <comment ref="X503" authorId="0" shapeId="0" xr:uid="{62B5EB1C-F008-4873-B551-C53CE2D047B8}">
      <text>
        <r>
          <rPr>
            <sz val="10"/>
            <color indexed="81"/>
            <rFont val="Lucida Console"/>
            <family val="3"/>
          </rPr>
          <t>_x000D_
GENEROS ALIMENTICIOS E BEBIDAS</t>
        </r>
      </text>
    </comment>
    <comment ref="Y503" authorId="0" shapeId="0" xr:uid="{4A946DBC-7167-4B62-A5E0-CC5A1F41DDDE}">
      <text>
        <r>
          <rPr>
            <sz val="10"/>
            <color indexed="81"/>
            <rFont val="Lucida Console"/>
            <family val="3"/>
          </rPr>
          <t>_x000D_
CHAS E FERMENTOS</t>
        </r>
      </text>
    </comment>
    <comment ref="AW503" authorId="0" shapeId="0" xr:uid="{DC17E4A6-D8E1-4C8A-8950-8A3770274D67}">
      <text>
        <r>
          <rPr>
            <sz val="10"/>
            <color indexed="81"/>
            <rFont val="Lucida Console"/>
            <family val="3"/>
          </rPr>
          <t>Tempo de Estoque (Meses)_x000D_
_x000D_
4.461,0</t>
        </r>
      </text>
    </comment>
    <comment ref="A504" authorId="0" shapeId="0" xr:uid="{9C4ACE0F-EE23-4957-81E6-94451CF61209}">
      <text>
        <r>
          <rPr>
            <sz val="10"/>
            <color indexed="81"/>
            <rFont val="Lucida Console"/>
            <family val="3"/>
          </rPr>
          <t>_x000D_
13558</t>
        </r>
      </text>
    </comment>
    <comment ref="B504" authorId="0" shapeId="0" xr:uid="{297DCC8B-79F7-4B5B-B924-F7C864BB6C47}">
      <text>
        <r>
          <rPr>
            <sz val="10"/>
            <color indexed="81"/>
            <rFont val="Lucida Console"/>
            <family val="3"/>
          </rPr>
          <t>DESCRIÇÃO DETALHADA_x000D_
TUBO DE PVC RIGIDO SOLDAVEL 2" X 06 M (P/ESGOTO) - BRANCO - NBR 5688</t>
        </r>
      </text>
    </comment>
    <comment ref="G504" authorId="0" shapeId="0" xr:uid="{D8CA2401-130C-412F-B090-63BB41EFCFD8}">
      <text>
        <r>
          <rPr>
            <sz val="10"/>
            <color indexed="81"/>
            <rFont val="Lucida Console"/>
            <family val="3"/>
          </rPr>
          <t>_x000D_
Últ estimativa : 100_x000D_
Enviada em     : 24.11.2020_x000D_
Ata - Venc     : 39/20 - 01.03.2021</t>
        </r>
      </text>
    </comment>
    <comment ref="O504" authorId="0" shapeId="0" xr:uid="{C1DCEF05-3DCD-4739-9B6C-3BC2FD9DF4CD}">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04" authorId="0" shapeId="0" xr:uid="{64B24587-38C2-433D-9BFD-5364803A7EBD}">
      <text>
        <r>
          <rPr>
            <sz val="10"/>
            <color indexed="81"/>
            <rFont val="Lucida Console"/>
            <family val="3"/>
          </rPr>
          <t>_x000D_
DM-Hidráulica</t>
        </r>
      </text>
    </comment>
    <comment ref="X504" authorId="0" shapeId="0" xr:uid="{EFFF42CF-FBB0-4CF5-88C6-963C960D4E86}">
      <text>
        <r>
          <rPr>
            <sz val="10"/>
            <color indexed="81"/>
            <rFont val="Lucida Console"/>
            <family val="3"/>
          </rPr>
          <t>_x000D_
MATERIAL HIDRAULICO, CANOS, TUBOS, MANGUEIRAS, CONEXOES E ACESS.</t>
        </r>
      </text>
    </comment>
    <comment ref="Y504" authorId="0" shapeId="0" xr:uid="{B5FE9FCF-233E-4633-BBA2-3A184551E160}">
      <text>
        <r>
          <rPr>
            <sz val="10"/>
            <color indexed="81"/>
            <rFont val="Lucida Console"/>
            <family val="3"/>
          </rPr>
          <t>_x000D_
CANOS E TUBOS PLASTICOS</t>
        </r>
      </text>
    </comment>
    <comment ref="AW504" authorId="0" shapeId="0" xr:uid="{E7407941-8AEC-4186-8415-6190F01FB10B}">
      <text>
        <r>
          <rPr>
            <sz val="10"/>
            <color indexed="81"/>
            <rFont val="Lucida Console"/>
            <family val="3"/>
          </rPr>
          <t>Tempo de Estoque (Meses)_x000D_
_x000D_
162,0</t>
        </r>
      </text>
    </comment>
    <comment ref="A505" authorId="0" shapeId="0" xr:uid="{A8F5CD00-1E23-4378-BD55-1EF2962659C5}">
      <text>
        <r>
          <rPr>
            <sz val="10"/>
            <color indexed="81"/>
            <rFont val="Lucida Console"/>
            <family val="3"/>
          </rPr>
          <t>_x000D_
13559</t>
        </r>
      </text>
    </comment>
    <comment ref="B505" authorId="0" shapeId="0" xr:uid="{EECC0FC9-006A-4392-9AA7-381058D6B04C}">
      <text>
        <r>
          <rPr>
            <sz val="10"/>
            <color indexed="81"/>
            <rFont val="Lucida Console"/>
            <family val="3"/>
          </rPr>
          <t>DESCRIÇÃO DETALHADA_x000D_
TUBO DE PVC RIGIDO SOLDAVEL DE 100 MM - 4" X 6 M (P/ESGOTO)- BRANCO - NBR 5688</t>
        </r>
      </text>
    </comment>
    <comment ref="G505" authorId="0" shapeId="0" xr:uid="{8BFABE57-8955-4A09-808D-6E2506DE9059}">
      <text>
        <r>
          <rPr>
            <sz val="10"/>
            <color indexed="81"/>
            <rFont val="Lucida Console"/>
            <family val="3"/>
          </rPr>
          <t>_x000D_
Últ estimativa : 200_x000D_
Enviada em     : 24.11.2020_x000D_
Ata - Venc     : 39/20 - 01.03.2021</t>
        </r>
      </text>
    </comment>
    <comment ref="O505" authorId="0" shapeId="0" xr:uid="{929759AE-5CDC-405E-AA50-8199CEBC02C8}">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05" authorId="0" shapeId="0" xr:uid="{5BE14102-57B3-49A7-9E8D-1A0CBBB2ABF2}">
      <text>
        <r>
          <rPr>
            <sz val="10"/>
            <color indexed="81"/>
            <rFont val="Lucida Console"/>
            <family val="3"/>
          </rPr>
          <t>_x000D_
DM-Hidráulica</t>
        </r>
      </text>
    </comment>
    <comment ref="X505" authorId="0" shapeId="0" xr:uid="{115A9CD7-508A-4519-804A-010F5F4545B9}">
      <text>
        <r>
          <rPr>
            <sz val="10"/>
            <color indexed="81"/>
            <rFont val="Lucida Console"/>
            <family val="3"/>
          </rPr>
          <t>_x000D_
MATERIAL HIDRAULICO, CANOS, TUBOS, MANGUEIRAS, CONEXOES E ACESS.</t>
        </r>
      </text>
    </comment>
    <comment ref="Y505" authorId="0" shapeId="0" xr:uid="{1FEB405E-D197-45F2-B3B5-2D2590A11FF1}">
      <text>
        <r>
          <rPr>
            <sz val="10"/>
            <color indexed="81"/>
            <rFont val="Lucida Console"/>
            <family val="3"/>
          </rPr>
          <t>_x000D_
CANOS E TUBOS PLASTICOS</t>
        </r>
      </text>
    </comment>
    <comment ref="AW505" authorId="0" shapeId="0" xr:uid="{2DFCF777-FCA4-4EA6-96CA-8C884CD00F96}">
      <text>
        <r>
          <rPr>
            <sz val="10"/>
            <color indexed="81"/>
            <rFont val="Lucida Console"/>
            <family val="3"/>
          </rPr>
          <t>Tempo de Estoque (Meses)_x000D_
_x000D_
200,0</t>
        </r>
      </text>
    </comment>
    <comment ref="A506" authorId="0" shapeId="0" xr:uid="{EFE8F2A5-283E-418A-ABCC-83D3EB2E266B}">
      <text>
        <r>
          <rPr>
            <sz val="10"/>
            <color indexed="81"/>
            <rFont val="Lucida Console"/>
            <family val="3"/>
          </rPr>
          <t>_x000D_
13560</t>
        </r>
      </text>
    </comment>
    <comment ref="B506" authorId="0" shapeId="0" xr:uid="{9EED38FB-0D72-4313-9709-5FD3CFEC5C61}">
      <text>
        <r>
          <rPr>
            <sz val="10"/>
            <color indexed="81"/>
            <rFont val="Lucida Console"/>
            <family val="3"/>
          </rPr>
          <t>DESCRIÇÃO DETALHADA_x000D_
TUBO DE PVC RIGIDO SOLDAVEL DE 32 MM - 1" X 06 M  - CLASSE15 MARROM - NBR 5648</t>
        </r>
      </text>
    </comment>
    <comment ref="G506" authorId="0" shapeId="0" xr:uid="{4FA7C93E-7C2A-4C79-85C6-D487C73B624E}">
      <text>
        <r>
          <rPr>
            <sz val="10"/>
            <color indexed="81"/>
            <rFont val="Lucida Console"/>
            <family val="3"/>
          </rPr>
          <t>_x000D_
Últ estimativa : 50_x000D_
Enviada em     : 24.11.2020_x000D_
Ata - Venc     : 39/20 - 01.03.2021</t>
        </r>
      </text>
    </comment>
    <comment ref="O506" authorId="0" shapeId="0" xr:uid="{4C5E3D1F-B782-427F-90B8-569BC8F2545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06" authorId="0" shapeId="0" xr:uid="{00309270-EE3F-42CA-B0D2-235064FD5193}">
      <text>
        <r>
          <rPr>
            <sz val="10"/>
            <color indexed="81"/>
            <rFont val="Lucida Console"/>
            <family val="3"/>
          </rPr>
          <t>_x000D_
DM-Hidráulica</t>
        </r>
      </text>
    </comment>
    <comment ref="X506" authorId="0" shapeId="0" xr:uid="{5109C102-6C08-4F56-8D94-5CD2B0A40907}">
      <text>
        <r>
          <rPr>
            <sz val="10"/>
            <color indexed="81"/>
            <rFont val="Lucida Console"/>
            <family val="3"/>
          </rPr>
          <t>_x000D_
MATERIAL HIDRAULICO, CANOS, TUBOS, MANGUEIRAS, CONEXOES E ACESS.</t>
        </r>
      </text>
    </comment>
    <comment ref="Y506" authorId="0" shapeId="0" xr:uid="{9C107843-4788-4EE1-86D7-31FE50172CB2}">
      <text>
        <r>
          <rPr>
            <sz val="10"/>
            <color indexed="81"/>
            <rFont val="Lucida Console"/>
            <family val="3"/>
          </rPr>
          <t>_x000D_
CANOS E TUBOS PLASTICOS</t>
        </r>
      </text>
    </comment>
    <comment ref="AW506" authorId="0" shapeId="0" xr:uid="{30889559-F0ED-473B-958B-013E9400AECB}">
      <text>
        <r>
          <rPr>
            <sz val="10"/>
            <color indexed="81"/>
            <rFont val="Lucida Console"/>
            <family val="3"/>
          </rPr>
          <t>Tempo de Estoque (Meses)_x000D_
_x000D_
62,0</t>
        </r>
      </text>
    </comment>
    <comment ref="A507" authorId="0" shapeId="0" xr:uid="{B4582CE0-C7CF-4029-A9E2-0642DAB61205}">
      <text>
        <r>
          <rPr>
            <sz val="10"/>
            <color indexed="81"/>
            <rFont val="Lucida Console"/>
            <family val="3"/>
          </rPr>
          <t>_x000D_
13562</t>
        </r>
      </text>
    </comment>
    <comment ref="B507" authorId="0" shapeId="0" xr:uid="{645F7B5A-3763-42D6-A434-6147AEC04DED}">
      <text>
        <r>
          <rPr>
            <sz val="10"/>
            <color indexed="81"/>
            <rFont val="Lucida Console"/>
            <family val="3"/>
          </rPr>
          <t>DESCRIÇÃO DETALHADA_x000D_
TUBO DE PVC RIGIDO SOLDAVEL DE 25 MM  - 3/4" X 06 M - CLASSE 15 MARROM - NBR 5648 - A MARCA DEVERA SER LITOGRAFADA NO PRODUTO</t>
        </r>
      </text>
    </comment>
    <comment ref="G507" authorId="0" shapeId="0" xr:uid="{CDE8F214-982A-4CCC-AD27-953FE81A8F50}">
      <text>
        <r>
          <rPr>
            <sz val="10"/>
            <color indexed="81"/>
            <rFont val="Lucida Console"/>
            <family val="3"/>
          </rPr>
          <t>_x000D_
Últ estimativa : 1.000_x000D_
Enviada em     : 24.11.2020_x000D_
Ata - Venc     : 39/20 - 01.03.2021</t>
        </r>
      </text>
    </comment>
    <comment ref="O507" authorId="0" shapeId="0" xr:uid="{16A67EE3-2C2F-4252-B082-3C0D65143931}">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07" authorId="0" shapeId="0" xr:uid="{177A7BB9-7175-46B3-B9B4-A075D1511381}">
      <text>
        <r>
          <rPr>
            <sz val="10"/>
            <color indexed="81"/>
            <rFont val="Lucida Console"/>
            <family val="3"/>
          </rPr>
          <t>_x000D_
DM-Hidráulica</t>
        </r>
      </text>
    </comment>
    <comment ref="X507" authorId="0" shapeId="0" xr:uid="{40A53B63-EE35-4EA9-9299-97A63CACF94C}">
      <text>
        <r>
          <rPr>
            <sz val="10"/>
            <color indexed="81"/>
            <rFont val="Lucida Console"/>
            <family val="3"/>
          </rPr>
          <t>_x000D_
MATERIAL HIDRAULICO, CANOS, TUBOS, MANGUEIRAS, CONEXOES E ACESS.</t>
        </r>
      </text>
    </comment>
    <comment ref="Y507" authorId="0" shapeId="0" xr:uid="{620D31A3-1239-46B3-84DF-B7D0189D1F26}">
      <text>
        <r>
          <rPr>
            <sz val="10"/>
            <color indexed="81"/>
            <rFont val="Lucida Console"/>
            <family val="3"/>
          </rPr>
          <t>_x000D_
CANOS E TUBOS PLASTICOS</t>
        </r>
      </text>
    </comment>
    <comment ref="AW507" authorId="0" shapeId="0" xr:uid="{B7270F8F-4C69-466E-BC74-8235F212A7D0}">
      <text>
        <r>
          <rPr>
            <sz val="10"/>
            <color indexed="81"/>
            <rFont val="Lucida Console"/>
            <family val="3"/>
          </rPr>
          <t>Tempo de Estoque (Meses)_x000D_
_x000D_
812,0</t>
        </r>
      </text>
    </comment>
    <comment ref="A508" authorId="0" shapeId="0" xr:uid="{A84870D0-DF75-4351-9E39-F9B781415243}">
      <text>
        <r>
          <rPr>
            <sz val="10"/>
            <color indexed="81"/>
            <rFont val="Lucida Console"/>
            <family val="3"/>
          </rPr>
          <t>_x000D_
59018</t>
        </r>
      </text>
    </comment>
    <comment ref="B508" authorId="0" shapeId="0" xr:uid="{26DFD326-8EEA-4DB4-90AB-79ADA0CEDB43}">
      <text>
        <r>
          <rPr>
            <sz val="10"/>
            <color indexed="81"/>
            <rFont val="Lucida Console"/>
            <family val="3"/>
          </rPr>
          <t>DESCRIÇÃO DETALHADA_x000D_
CANTONEIRA DE FERRO - 1.1/2" X 1/8" BARRA COM 06 METROS</t>
        </r>
      </text>
    </comment>
    <comment ref="G508" authorId="0" shapeId="0" xr:uid="{86365EBF-2256-4049-9B7C-8F66465BA852}">
      <text>
        <r>
          <rPr>
            <sz val="10"/>
            <color indexed="81"/>
            <rFont val="Lucida Console"/>
            <family val="3"/>
          </rPr>
          <t>_x000D_
Últ estimativa : 300_x000D_
Enviada em     : 25.06.2019_x000D_
Ata - Venc     : 39/20 - 01.03.2021</t>
        </r>
      </text>
    </comment>
    <comment ref="O508" authorId="0" shapeId="0" xr:uid="{911B89DA-9F1B-4543-A23E-D61A27200D0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08" authorId="0" shapeId="0" xr:uid="{EA6F922B-AB7D-42F0-A2B8-36CEDE522745}">
      <text>
        <r>
          <rPr>
            <sz val="10"/>
            <color indexed="81"/>
            <rFont val="Lucida Console"/>
            <family val="3"/>
          </rPr>
          <t>_x000D_
DM-Serralheria</t>
        </r>
      </text>
    </comment>
    <comment ref="X508" authorId="0" shapeId="0" xr:uid="{24C33015-BA42-4E88-A475-907BC1207621}">
      <text>
        <r>
          <rPr>
            <sz val="10"/>
            <color indexed="81"/>
            <rFont val="Lucida Console"/>
            <family val="3"/>
          </rPr>
          <t>_x000D_
METAIS,LAMINAD.,PERFILADOS E ARTEFATOS METALICOS</t>
        </r>
      </text>
    </comment>
    <comment ref="Y508" authorId="0" shapeId="0" xr:uid="{42FEBDC2-CB6C-480E-9547-9CB15148825A}">
      <text>
        <r>
          <rPr>
            <sz val="10"/>
            <color indexed="81"/>
            <rFont val="Lucida Console"/>
            <family val="3"/>
          </rPr>
          <t>_x000D_
CANTONEIRAS</t>
        </r>
      </text>
    </comment>
    <comment ref="AW508" authorId="0" shapeId="0" xr:uid="{2ABC5716-393E-4DD0-80D8-2329FA827F72}">
      <text>
        <r>
          <rPr>
            <sz val="10"/>
            <color indexed="81"/>
            <rFont val="Lucida Console"/>
            <family val="3"/>
          </rPr>
          <t>Tempo de Estoque (Meses)_x000D_
_x000D_
732,0</t>
        </r>
      </text>
    </comment>
    <comment ref="A509" authorId="0" shapeId="0" xr:uid="{CF5518F3-4915-4BB7-A1C5-7BE3E9EB6F65}">
      <text>
        <r>
          <rPr>
            <sz val="10"/>
            <color indexed="81"/>
            <rFont val="Lucida Console"/>
            <family val="3"/>
          </rPr>
          <t>_x000D_
88740</t>
        </r>
      </text>
    </comment>
    <comment ref="B509" authorId="0" shapeId="0" xr:uid="{F088B437-96F1-48C1-BA80-EB60B9C91271}">
      <text>
        <r>
          <rPr>
            <sz val="10"/>
            <color indexed="81"/>
            <rFont val="Lucida Console"/>
            <family val="3"/>
          </rPr>
          <t>DESCRIÇÃO DETALHADA_x000D_
DISJUNTOR NORMA DIN CURVA C PADRAO, BIPOLAR, 63 AMPERES</t>
        </r>
      </text>
    </comment>
    <comment ref="G509" authorId="0" shapeId="0" xr:uid="{2109B19F-1F45-4D58-99FE-37ECCDB07BFD}">
      <text>
        <r>
          <rPr>
            <sz val="10"/>
            <color indexed="81"/>
            <rFont val="Lucida Console"/>
            <family val="3"/>
          </rPr>
          <t>_x000D_
Últ estimativa : 0_x000D_
Enviada em     : 23.09.2020_x000D_
Ata - Venc     : 39/21 - 10.02.2022</t>
        </r>
      </text>
    </comment>
    <comment ref="O509" authorId="0" shapeId="0" xr:uid="{38708701-7CC9-407F-A39D-80461BB19B32}">
      <text>
        <r>
          <rPr>
            <sz val="10"/>
            <color indexed="81"/>
            <rFont val="Lucida Console"/>
            <family val="3"/>
          </rPr>
          <t>_x000D_
Pertencia a ATA nº 39/21_x000D_
Estimativa de Renovação enviada em 23.09.2020 - Qtd _x000D_
PP 241/19 lote _x000D_
21.02.20 = Processo conferido, finalizado.</t>
        </r>
      </text>
    </comment>
    <comment ref="W509" authorId="0" shapeId="0" xr:uid="{8A27E8B4-26B4-432E-99AC-79D307F86F7F}">
      <text>
        <r>
          <rPr>
            <sz val="10"/>
            <color indexed="81"/>
            <rFont val="Lucida Console"/>
            <family val="3"/>
          </rPr>
          <t>_x000D_
DM-Elétrica</t>
        </r>
      </text>
    </comment>
    <comment ref="X509" authorId="0" shapeId="0" xr:uid="{64E44205-A6A9-4014-9F67-2BC1D317DB4A}">
      <text>
        <r>
          <rPr>
            <sz val="10"/>
            <color indexed="81"/>
            <rFont val="Lucida Console"/>
            <family val="3"/>
          </rPr>
          <t>_x000D_
EQUIP. MAT. P/ GERACAO, TRANSM. DISTR. RETIF...</t>
        </r>
      </text>
    </comment>
    <comment ref="Y509" authorId="0" shapeId="0" xr:uid="{9610A8BD-CB94-45A4-81B5-CA00A8AFB7FA}">
      <text>
        <r>
          <rPr>
            <sz val="10"/>
            <color indexed="81"/>
            <rFont val="Lucida Console"/>
            <family val="3"/>
          </rPr>
          <t>_x000D_
DISJUNTORES</t>
        </r>
      </text>
    </comment>
    <comment ref="AW509" authorId="0" shapeId="0" xr:uid="{F59ABEEC-8157-4E1A-89B1-145BFA325EFC}">
      <text>
        <r>
          <rPr>
            <sz val="10"/>
            <color indexed="81"/>
            <rFont val="Lucida Console"/>
            <family val="3"/>
          </rPr>
          <t>Tempo de Estoque (Meses)_x000D_
_x000D_
76,0</t>
        </r>
      </text>
    </comment>
    <comment ref="A510" authorId="0" shapeId="0" xr:uid="{30DC702B-11E9-4E91-AA6D-BA0A2AB6425A}">
      <text>
        <r>
          <rPr>
            <sz val="10"/>
            <color indexed="81"/>
            <rFont val="Lucida Console"/>
            <family val="3"/>
          </rPr>
          <t>_x000D_
88744</t>
        </r>
      </text>
    </comment>
    <comment ref="B510" authorId="0" shapeId="0" xr:uid="{B364E04E-1289-4913-A1F9-CF4E42564910}">
      <text>
        <r>
          <rPr>
            <sz val="10"/>
            <color indexed="81"/>
            <rFont val="Lucida Console"/>
            <family val="3"/>
          </rPr>
          <t>DESCRIÇÃO DETALHADA_x000D_
DISJUNTOR NORMA DIN CURVA C PADRAO, TRIPOLAR, 63 AMPERES</t>
        </r>
      </text>
    </comment>
    <comment ref="G510" authorId="0" shapeId="0" xr:uid="{12E761C8-E925-4B49-992D-EEB196DEAA7A}">
      <text>
        <r>
          <rPr>
            <sz val="10"/>
            <color indexed="81"/>
            <rFont val="Lucida Console"/>
            <family val="3"/>
          </rPr>
          <t>_x000D_
Últ estimativa : 30_x000D_
Enviada em     : 23.09.2020_x000D_
Ata - Venc     : 39/21 - 10.02.2022</t>
        </r>
      </text>
    </comment>
    <comment ref="O510" authorId="0" shapeId="0" xr:uid="{9A717070-543A-4B70-AA32-ABFBE8408785}">
      <text>
        <r>
          <rPr>
            <sz val="10"/>
            <color indexed="81"/>
            <rFont val="Lucida Console"/>
            <family val="3"/>
          </rPr>
          <t>_x000D_
Pertencia a ATA nº 39/21_x000D_
Estimativa de Renovação enviada em 23.09.2020 - Qtd 30_x000D_
PP 241/19 lote _x000D_
21.02.20 = Processo conferido, finalizado.</t>
        </r>
      </text>
    </comment>
    <comment ref="W510" authorId="0" shapeId="0" xr:uid="{2E15B422-3BAF-4F9C-9FCE-10C19F865D7D}">
      <text>
        <r>
          <rPr>
            <sz val="10"/>
            <color indexed="81"/>
            <rFont val="Lucida Console"/>
            <family val="3"/>
          </rPr>
          <t>_x000D_
DM-Elétrica</t>
        </r>
      </text>
    </comment>
    <comment ref="X510" authorId="0" shapeId="0" xr:uid="{94FB406A-5A42-4426-8FB1-E41EFDD8203A}">
      <text>
        <r>
          <rPr>
            <sz val="10"/>
            <color indexed="81"/>
            <rFont val="Lucida Console"/>
            <family val="3"/>
          </rPr>
          <t>_x000D_
EQUIP. MAT. P/ GERACAO, TRANSM. DISTR. RETIF...</t>
        </r>
      </text>
    </comment>
    <comment ref="Y510" authorId="0" shapeId="0" xr:uid="{EE27E08F-6F46-4EAB-A3F8-D2950B7DFECE}">
      <text>
        <r>
          <rPr>
            <sz val="10"/>
            <color indexed="81"/>
            <rFont val="Lucida Console"/>
            <family val="3"/>
          </rPr>
          <t>_x000D_
DISJUNTORES</t>
        </r>
      </text>
    </comment>
    <comment ref="AW510" authorId="0" shapeId="0" xr:uid="{7B32450F-AC50-4114-9D6D-0AE5E8878B46}">
      <text>
        <r>
          <rPr>
            <sz val="10"/>
            <color indexed="81"/>
            <rFont val="Lucida Console"/>
            <family val="3"/>
          </rPr>
          <t>Tempo de Estoque (Meses)_x000D_
_x000D_
32,0</t>
        </r>
      </text>
    </comment>
    <comment ref="A511" authorId="0" shapeId="0" xr:uid="{33C2506D-821E-4310-B305-29D35F106D4D}">
      <text>
        <r>
          <rPr>
            <sz val="10"/>
            <color indexed="81"/>
            <rFont val="Lucida Console"/>
            <family val="3"/>
          </rPr>
          <t>_x000D_
88745</t>
        </r>
      </text>
    </comment>
    <comment ref="B511" authorId="0" shapeId="0" xr:uid="{8E55F220-C5D1-41EB-8AC1-DC18927394A4}">
      <text>
        <r>
          <rPr>
            <sz val="10"/>
            <color indexed="81"/>
            <rFont val="Lucida Console"/>
            <family val="3"/>
          </rPr>
          <t>DESCRIÇÃO DETALHADA_x000D_
DISJUNTOR NORMA DIN CURVA C PADRAO, TRIPOLAR, 80 AMPERES</t>
        </r>
      </text>
    </comment>
    <comment ref="G511" authorId="0" shapeId="0" xr:uid="{6E5A21D4-B70A-4152-93DA-A11A334AA63A}">
      <text>
        <r>
          <rPr>
            <sz val="10"/>
            <color indexed="81"/>
            <rFont val="Lucida Console"/>
            <family val="3"/>
          </rPr>
          <t>_x000D_
Últ estimativa : 50_x000D_
Enviada em     : 23.09.2020_x000D_
Ata - Venc     : 39/21 - 10.02.2022</t>
        </r>
      </text>
    </comment>
    <comment ref="O511" authorId="0" shapeId="0" xr:uid="{C3168DE0-B434-4D2F-BEE4-ADA184023488}">
      <text>
        <r>
          <rPr>
            <sz val="10"/>
            <color indexed="81"/>
            <rFont val="Lucida Console"/>
            <family val="3"/>
          </rPr>
          <t>_x000D_
Pertencia a ATA nº 39/21_x000D_
Estimativa de Renovação enviada em 23.09.2020 - Qtd 50_x000D_
PE 248/20 lote _x000D_
21.01.21 = Finalizado</t>
        </r>
      </text>
    </comment>
    <comment ref="W511" authorId="0" shapeId="0" xr:uid="{7F628731-2169-44AE-A7AA-63F50B3BAF8A}">
      <text>
        <r>
          <rPr>
            <sz val="10"/>
            <color indexed="81"/>
            <rFont val="Lucida Console"/>
            <family val="3"/>
          </rPr>
          <t>_x000D_
DM-Elétrica</t>
        </r>
      </text>
    </comment>
    <comment ref="X511" authorId="0" shapeId="0" xr:uid="{5B14D386-7B23-421C-8686-55C9C36B84C9}">
      <text>
        <r>
          <rPr>
            <sz val="10"/>
            <color indexed="81"/>
            <rFont val="Lucida Console"/>
            <family val="3"/>
          </rPr>
          <t>_x000D_
EQUIP. MAT. P/ GERACAO, TRANSM. DISTR. RETIF...</t>
        </r>
      </text>
    </comment>
    <comment ref="Y511" authorId="0" shapeId="0" xr:uid="{C85C6EFE-4F77-4023-B1FA-A26F7D1E3F68}">
      <text>
        <r>
          <rPr>
            <sz val="10"/>
            <color indexed="81"/>
            <rFont val="Lucida Console"/>
            <family val="3"/>
          </rPr>
          <t>_x000D_
DISJUNTORES</t>
        </r>
      </text>
    </comment>
    <comment ref="AW511" authorId="0" shapeId="0" xr:uid="{A0ED892C-66A9-4904-8F24-ACDFEE8EAFE0}">
      <text>
        <r>
          <rPr>
            <sz val="10"/>
            <color indexed="81"/>
            <rFont val="Lucida Console"/>
            <family val="3"/>
          </rPr>
          <t>Tempo de Estoque (Meses)_x000D_
_x000D_
87,0</t>
        </r>
      </text>
    </comment>
    <comment ref="A512" authorId="0" shapeId="0" xr:uid="{07F72AD9-E9F7-4210-B81A-71972CB7E23A}">
      <text>
        <r>
          <rPr>
            <sz val="10"/>
            <color indexed="81"/>
            <rFont val="Lucida Console"/>
            <family val="3"/>
          </rPr>
          <t>_x000D_
88746</t>
        </r>
      </text>
    </comment>
    <comment ref="B512" authorId="0" shapeId="0" xr:uid="{5CA94CF6-EE4D-41C0-9C3D-855683CEB9D4}">
      <text>
        <r>
          <rPr>
            <sz val="10"/>
            <color indexed="81"/>
            <rFont val="Lucida Console"/>
            <family val="3"/>
          </rPr>
          <t>DESCRIÇÃO DETALHADA_x000D_
DISJUNTOR NORMA DIN CURVA C PADRAO, TRIPOLAR, 100 AMPERES</t>
        </r>
      </text>
    </comment>
    <comment ref="G512" authorId="0" shapeId="0" xr:uid="{C5ED270F-1441-4735-BB24-7218C51931C2}">
      <text>
        <r>
          <rPr>
            <sz val="10"/>
            <color indexed="81"/>
            <rFont val="Lucida Console"/>
            <family val="3"/>
          </rPr>
          <t>_x000D_
Últ estimativa : 0_x000D_
Enviada em     : 23.09.2020_x000D_
Ata - Venc     : 39/21 - 10.02.2022</t>
        </r>
      </text>
    </comment>
    <comment ref="O512" authorId="0" shapeId="0" xr:uid="{D74B6AAA-09B0-4171-8A96-838FD8169076}">
      <text>
        <r>
          <rPr>
            <sz val="10"/>
            <color indexed="81"/>
            <rFont val="Lucida Console"/>
            <family val="3"/>
          </rPr>
          <t>_x000D_
Pertencia a ATA nº 39/21_x000D_
Estimativa de Renovação enviada em 23.09.2020 - Qtd _x000D_
PP 241/19 lote _x000D_
21.02.20 = Processo conferido, finalizado.</t>
        </r>
      </text>
    </comment>
    <comment ref="W512" authorId="0" shapeId="0" xr:uid="{00830D6D-041A-443C-9E74-1089B81D1679}">
      <text>
        <r>
          <rPr>
            <sz val="10"/>
            <color indexed="81"/>
            <rFont val="Lucida Console"/>
            <family val="3"/>
          </rPr>
          <t>_x000D_
DM-Elétrica</t>
        </r>
      </text>
    </comment>
    <comment ref="X512" authorId="0" shapeId="0" xr:uid="{E1FB266D-D324-4EB8-A132-9EF720080CFB}">
      <text>
        <r>
          <rPr>
            <sz val="10"/>
            <color indexed="81"/>
            <rFont val="Lucida Console"/>
            <family val="3"/>
          </rPr>
          <t>_x000D_
EQUIP. MAT. P/ GERACAO, TRANSM. DISTR. RETIF...</t>
        </r>
      </text>
    </comment>
    <comment ref="Y512" authorId="0" shapeId="0" xr:uid="{174C4EAD-8584-453A-A32B-1137EB8523BC}">
      <text>
        <r>
          <rPr>
            <sz val="10"/>
            <color indexed="81"/>
            <rFont val="Lucida Console"/>
            <family val="3"/>
          </rPr>
          <t>_x000D_
DISJUNTORES</t>
        </r>
      </text>
    </comment>
    <comment ref="AW512" authorId="0" shapeId="0" xr:uid="{345B597F-E46A-4C67-BB45-49A0F0C1EC2E}">
      <text>
        <r>
          <rPr>
            <sz val="10"/>
            <color indexed="81"/>
            <rFont val="Lucida Console"/>
            <family val="3"/>
          </rPr>
          <t>Tempo de Estoque (Meses)_x000D_
_x000D_
42,0</t>
        </r>
      </text>
    </comment>
    <comment ref="A513" authorId="0" shapeId="0" xr:uid="{5ADB49D8-23BC-4615-B32A-E08FF0BC9F66}">
      <text>
        <r>
          <rPr>
            <sz val="10"/>
            <color indexed="81"/>
            <rFont val="Lucida Console"/>
            <family val="3"/>
          </rPr>
          <t>_x000D_
102820</t>
        </r>
      </text>
    </comment>
    <comment ref="B513" authorId="0" shapeId="0" xr:uid="{5F61E7CE-9D86-4271-A41C-5B748DE591CA}">
      <text>
        <r>
          <rPr>
            <sz val="10"/>
            <color indexed="81"/>
            <rFont val="Lucida Console"/>
            <family val="3"/>
          </rPr>
          <t>DESCRIÇÃO DETALHADA_x000D_
DISJUNTOR TRIPOLAR IN = 125A, TENSAO MINIMA DE OPERACAO 240V, CURVA C, NBR 60947-2 - CATEGORIA "A"</t>
        </r>
      </text>
    </comment>
    <comment ref="G513" authorId="0" shapeId="0" xr:uid="{27916F5E-3A04-4D4C-8C18-D625717AC5FB}">
      <text>
        <r>
          <rPr>
            <sz val="10"/>
            <color indexed="81"/>
            <rFont val="Lucida Console"/>
            <family val="3"/>
          </rPr>
          <t>_x000D_
Últ estimativa : 0_x000D_
Enviada em     : 23.09.2020_x000D_
Ata - Venc     : 39/21 - 10.02.2022</t>
        </r>
      </text>
    </comment>
    <comment ref="O513" authorId="0" shapeId="0" xr:uid="{F6569684-A704-4299-86BE-2CF44987D63B}">
      <text>
        <r>
          <rPr>
            <sz val="10"/>
            <color indexed="81"/>
            <rFont val="Lucida Console"/>
            <family val="3"/>
          </rPr>
          <t>_x000D_
Pertencia a ATA nº 39/21_x000D_
Estimativa de Renovação enviada em 23.09.2020 - Qtd _x000D_
PP 241/19 lote _x000D_
21.02.20 = Processo conferido, finalizado.</t>
        </r>
      </text>
    </comment>
    <comment ref="W513" authorId="0" shapeId="0" xr:uid="{364FCD83-43C4-4DC4-88B0-A3DDF15A18D5}">
      <text>
        <r>
          <rPr>
            <sz val="10"/>
            <color indexed="81"/>
            <rFont val="Lucida Console"/>
            <family val="3"/>
          </rPr>
          <t>_x000D_
DM-Elétrica</t>
        </r>
      </text>
    </comment>
    <comment ref="X513" authorId="0" shapeId="0" xr:uid="{EB1B3F94-5C6C-4F0B-BAEC-2402D71E8910}">
      <text>
        <r>
          <rPr>
            <sz val="10"/>
            <color indexed="81"/>
            <rFont val="Lucida Console"/>
            <family val="3"/>
          </rPr>
          <t>_x000D_
EQUIP. MAT. P/ GERACAO, TRANSM. DISTR. RETIF...</t>
        </r>
      </text>
    </comment>
    <comment ref="Y513" authorId="0" shapeId="0" xr:uid="{95AD36A6-EAB8-47B8-917D-AC7E27AAB759}">
      <text>
        <r>
          <rPr>
            <sz val="10"/>
            <color indexed="81"/>
            <rFont val="Lucida Console"/>
            <family val="3"/>
          </rPr>
          <t>_x000D_
DISJUNTORES</t>
        </r>
      </text>
    </comment>
    <comment ref="AW513" authorId="0" shapeId="0" xr:uid="{0FC1A1E9-D7A6-4155-88FC-0238ADD920D2}">
      <text>
        <r>
          <rPr>
            <sz val="10"/>
            <color indexed="81"/>
            <rFont val="Lucida Console"/>
            <family val="3"/>
          </rPr>
          <t>Tempo de Estoque (Meses)_x000D_
_x000D_
20,0</t>
        </r>
      </text>
    </comment>
    <comment ref="A514" authorId="0" shapeId="0" xr:uid="{2E5A53A0-8E39-46CB-842B-990D00254AE6}">
      <text>
        <r>
          <rPr>
            <sz val="10"/>
            <color indexed="81"/>
            <rFont val="Lucida Console"/>
            <family val="3"/>
          </rPr>
          <t>_x000D_
136898</t>
        </r>
      </text>
    </comment>
    <comment ref="B514" authorId="0" shapeId="0" xr:uid="{BEB7567F-E539-47D9-A5EB-140BE56737D5}">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14" authorId="0" shapeId="0" xr:uid="{B2DF7FA8-156D-477A-842D-C11761BF6950}">
      <text>
        <r>
          <rPr>
            <sz val="10"/>
            <color indexed="81"/>
            <rFont val="Lucida Console"/>
            <family val="3"/>
          </rPr>
          <t>_x000D_
Últ estimativa : 100_x000D_
Enviada em     : 23.09.2020_x000D_
Ata - Venc     : 39/21 - 10.02.2022</t>
        </r>
      </text>
    </comment>
    <comment ref="O514" authorId="0" shapeId="0" xr:uid="{FFB03EED-F88B-4F61-A697-231239120AFA}">
      <text>
        <r>
          <rPr>
            <sz val="10"/>
            <color indexed="81"/>
            <rFont val="Lucida Console"/>
            <family val="3"/>
          </rPr>
          <t>_x000D_
Pertencia a ATA nº 39/21_x000D_
Estimativa de Renovação enviada em 23.09.2020 - Qtd 100_x000D_
PP 241/19 lote _x000D_
21.02.20 = Processo conferido, finalizado.</t>
        </r>
      </text>
    </comment>
    <comment ref="W514" authorId="0" shapeId="0" xr:uid="{74B76BE3-48F9-40C6-9735-AC0641598C6C}">
      <text>
        <r>
          <rPr>
            <sz val="10"/>
            <color indexed="81"/>
            <rFont val="Lucida Console"/>
            <family val="3"/>
          </rPr>
          <t>_x000D_
DM-Elétrica</t>
        </r>
      </text>
    </comment>
    <comment ref="X514" authorId="0" shapeId="0" xr:uid="{8D9843DF-1079-4DF4-97F0-E9EAF9A49514}">
      <text>
        <r>
          <rPr>
            <sz val="10"/>
            <color indexed="81"/>
            <rFont val="Lucida Console"/>
            <family val="3"/>
          </rPr>
          <t>_x000D_
EQUIP. MAT. P/ GERACAO, TRANSM. DISTR. RETIF...</t>
        </r>
      </text>
    </comment>
    <comment ref="Y514" authorId="0" shapeId="0" xr:uid="{A09BB49B-EBA7-4F8E-9645-C8378346EE52}">
      <text>
        <r>
          <rPr>
            <sz val="10"/>
            <color indexed="81"/>
            <rFont val="Lucida Console"/>
            <family val="3"/>
          </rPr>
          <t>_x000D_
LUMINARIAS E PROJETORES COM EQUIPAMENTO</t>
        </r>
      </text>
    </comment>
    <comment ref="AW514" authorId="0" shapeId="0" xr:uid="{1F74822C-625B-4C9F-8A37-352ED28CCB66}">
      <text>
        <r>
          <rPr>
            <sz val="10"/>
            <color indexed="81"/>
            <rFont val="Lucida Console"/>
            <family val="3"/>
          </rPr>
          <t>Tempo de Estoque (Meses)_x000D_
_x000D_
300,0</t>
        </r>
      </text>
    </comment>
    <comment ref="A515" authorId="0" shapeId="0" xr:uid="{AFF66F3F-A5FA-432F-8081-B08E34F551CF}">
      <text>
        <r>
          <rPr>
            <sz val="10"/>
            <color indexed="81"/>
            <rFont val="Lucida Console"/>
            <family val="3"/>
          </rPr>
          <t>_x000D_
136896</t>
        </r>
      </text>
    </comment>
    <comment ref="B515" authorId="0" shapeId="0" xr:uid="{98E20E4B-B830-4CEA-ABCB-6226F4F071BF}">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15" authorId="0" shapeId="0" xr:uid="{E18E0416-3A21-465C-B44D-41D724FB6410}">
      <text>
        <r>
          <rPr>
            <sz val="10"/>
            <color indexed="81"/>
            <rFont val="Lucida Console"/>
            <family val="3"/>
          </rPr>
          <t>_x000D_
Últ estimativa : 1.000_x000D_
Enviada em     : 23.09.2020_x000D_
Ata - Venc     : 39/21 - 10.02.2022</t>
        </r>
      </text>
    </comment>
    <comment ref="O515" authorId="0" shapeId="0" xr:uid="{1763BC5D-E062-4FC8-98DF-D95995F306CF}">
      <text>
        <r>
          <rPr>
            <sz val="10"/>
            <color indexed="81"/>
            <rFont val="Lucida Console"/>
            <family val="3"/>
          </rPr>
          <t>_x000D_
Pertencia a ATA nº 39/21_x000D_
Estimativa de Renovação enviada em 23.09.2020 - Qtd 1.000_x000D_
PP 225/19 lote _x000D_
23.01.20 = Impróspero no PP</t>
        </r>
      </text>
    </comment>
    <comment ref="W515" authorId="0" shapeId="0" xr:uid="{0BD4A452-EEBA-49C7-9CB9-557F14D2147F}">
      <text>
        <r>
          <rPr>
            <sz val="10"/>
            <color indexed="81"/>
            <rFont val="Lucida Console"/>
            <family val="3"/>
          </rPr>
          <t>_x000D_
DM-Elétrica</t>
        </r>
      </text>
    </comment>
    <comment ref="X515" authorId="0" shapeId="0" xr:uid="{CA3EAD0D-B28F-4F02-8D65-EB2B3E490AF1}">
      <text>
        <r>
          <rPr>
            <sz val="10"/>
            <color indexed="81"/>
            <rFont val="Lucida Console"/>
            <family val="3"/>
          </rPr>
          <t>_x000D_
EQUIP. MAT. P/ GERACAO, TRANSM. DISTR. RETIF...</t>
        </r>
      </text>
    </comment>
    <comment ref="Y515" authorId="0" shapeId="0" xr:uid="{D4F1674C-7CFB-4A53-8A83-AC3C46E5FFDD}">
      <text>
        <r>
          <rPr>
            <sz val="10"/>
            <color indexed="81"/>
            <rFont val="Lucida Console"/>
            <family val="3"/>
          </rPr>
          <t>_x000D_
LAMPADAS DE LED</t>
        </r>
      </text>
    </comment>
    <comment ref="AW515" authorId="0" shapeId="0" xr:uid="{1AA717C7-2525-4827-971A-480B7B18540B}">
      <text>
        <r>
          <rPr>
            <sz val="10"/>
            <color indexed="81"/>
            <rFont val="Lucida Console"/>
            <family val="3"/>
          </rPr>
          <t>Tempo de Estoque (Meses)_x000D_
_x000D_
697,0</t>
        </r>
      </text>
    </comment>
    <comment ref="A516" authorId="0" shapeId="0" xr:uid="{8B7F9C03-F07C-42F6-A14F-224F06858FF9}">
      <text>
        <r>
          <rPr>
            <sz val="10"/>
            <color indexed="81"/>
            <rFont val="Lucida Console"/>
            <family val="3"/>
          </rPr>
          <t>_x000D_
130634</t>
        </r>
      </text>
    </comment>
    <comment ref="B516" authorId="0" shapeId="0" xr:uid="{B6E6BDD1-2C6A-4ECF-A0BA-A0166B0EF5BD}">
      <text>
        <r>
          <rPr>
            <sz val="10"/>
            <color indexed="81"/>
            <rFont val="Lucida Console"/>
            <family val="3"/>
          </rPr>
          <t>DESCRIÇÃO DETALHADA_x000D_
PLACA DE ISOPOR PARA FORRO, COM APLICACAO DE MASSA ACRILICA (IMPERMEAVEL), COR BRANCO, DIMENSAO: 625 X 1250 X 20 MM - VARIACAO: +/- 10 MM</t>
        </r>
      </text>
    </comment>
    <comment ref="G516" authorId="0" shapeId="0" xr:uid="{3B1F77CB-174F-4E66-B2C5-2BCE1BF5F9DB}">
      <text>
        <r>
          <rPr>
            <sz val="10"/>
            <color indexed="81"/>
            <rFont val="Lucida Console"/>
            <family val="3"/>
          </rPr>
          <t>_x000D_
Últ estimativa : 700_x000D_
Enviada em     : 24.10.2019_x000D_
Ata - Venc     : 47/19 - 17.02.2020</t>
        </r>
      </text>
    </comment>
    <comment ref="O516" authorId="0" shapeId="0" xr:uid="{090DB0D5-9EA2-4A40-8570-B561573D3E2A}">
      <text>
        <r>
          <rPr>
            <sz val="10"/>
            <color indexed="81"/>
            <rFont val="Lucida Console"/>
            <family val="3"/>
          </rPr>
          <t>_x000D_
Pertencia a ATA nº 47/19_x000D_
Estimativa de Renovação enviada em 24.10.2019 - Qtd 700_x000D_
PE  99/20 lote 26_x000D_
03.08.20 = Finalizado</t>
        </r>
      </text>
    </comment>
    <comment ref="W516" authorId="0" shapeId="0" xr:uid="{95EEB200-B11F-4AAF-8E83-EE6D15026014}">
      <text>
        <r>
          <rPr>
            <sz val="10"/>
            <color indexed="81"/>
            <rFont val="Lucida Console"/>
            <family val="3"/>
          </rPr>
          <t>_x000D_
DM-Construção</t>
        </r>
      </text>
    </comment>
    <comment ref="X516" authorId="0" shapeId="0" xr:uid="{07720142-F9F1-4C8C-84EB-5AE6EB987192}">
      <text>
        <r>
          <rPr>
            <sz val="10"/>
            <color indexed="81"/>
            <rFont val="Lucida Console"/>
            <family val="3"/>
          </rPr>
          <t>_x000D_
MAT.E EQUIP. P/ CONSTR.CIVIL E CONSERV. DE VIAS PUBL.</t>
        </r>
      </text>
    </comment>
    <comment ref="Y516" authorId="0" shapeId="0" xr:uid="{5B50C2AC-538E-4579-B90C-EC05696ECF48}">
      <text>
        <r>
          <rPr>
            <sz val="10"/>
            <color indexed="81"/>
            <rFont val="Lucida Console"/>
            <family val="3"/>
          </rPr>
          <t>_x000D_
FORROS</t>
        </r>
      </text>
    </comment>
    <comment ref="AW516" authorId="0" shapeId="0" xr:uid="{F2DF1470-3341-4A05-B894-1CA97812C3C1}">
      <text>
        <r>
          <rPr>
            <sz val="10"/>
            <color indexed="81"/>
            <rFont val="Lucida Console"/>
            <family val="3"/>
          </rPr>
          <t>Tempo de Estoque (Meses)_x000D_
_x000D_
1.077,0</t>
        </r>
      </text>
    </comment>
    <comment ref="A517" authorId="0" shapeId="0" xr:uid="{66172238-3DF4-466B-A852-9DC5390A09DD}">
      <text>
        <r>
          <rPr>
            <sz val="10"/>
            <color indexed="81"/>
            <rFont val="Lucida Console"/>
            <family val="3"/>
          </rPr>
          <t>_x000D_
115840</t>
        </r>
      </text>
    </comment>
    <comment ref="B517" authorId="0" shapeId="0" xr:uid="{11FF37FE-69CB-4C7A-9A99-E37A3B5BC68F}">
      <text>
        <r>
          <rPr>
            <sz val="10"/>
            <color indexed="81"/>
            <rFont val="Lucida Console"/>
            <family val="3"/>
          </rPr>
          <t>DESCRIÇÃO DETALHADA_x000D_
VITRO DE CORRER EM ALUMINIO COM VIDROS E GRADE EM ALUMINIO FOSCO MEDINDO: 2,00 X 1,20M</t>
        </r>
      </text>
    </comment>
    <comment ref="G517" authorId="0" shapeId="0" xr:uid="{2EFCEBEE-4ED5-433F-BF66-392FFD83EAA5}">
      <text>
        <r>
          <rPr>
            <sz val="10"/>
            <color indexed="81"/>
            <rFont val="Lucida Console"/>
            <family val="3"/>
          </rPr>
          <t>_x000D_
Últ estimativa : 0_x000D_
Enviada em     : 24.10.2019_x000D_
Ata - Venc     : 47/19 - 17.02.2020</t>
        </r>
      </text>
    </comment>
    <comment ref="O517" authorId="0" shapeId="0" xr:uid="{A84D3A20-8F91-4A09-8E2A-FBA019E0E8B1}">
      <text>
        <r>
          <rPr>
            <sz val="10"/>
            <color indexed="81"/>
            <rFont val="Lucida Console"/>
            <family val="3"/>
          </rPr>
          <t>_x000D_
Pertencia a ATA nº 47/19_x000D_
Estimativa de Renovação enviada em 24.10.2019 - Qtd _x000D_
PE  99/20 lote 22_x000D_
03.08.20 = Finalizado</t>
        </r>
      </text>
    </comment>
    <comment ref="W517" authorId="0" shapeId="0" xr:uid="{4947960E-7025-4E7B-9092-A53331B42B1B}">
      <text>
        <r>
          <rPr>
            <sz val="10"/>
            <color indexed="81"/>
            <rFont val="Lucida Console"/>
            <family val="3"/>
          </rPr>
          <t>_x000D_
DM-Construção</t>
        </r>
      </text>
    </comment>
    <comment ref="X517" authorId="0" shapeId="0" xr:uid="{372B4417-F7FB-4A5D-A4C4-393A6F5486C6}">
      <text>
        <r>
          <rPr>
            <sz val="10"/>
            <color indexed="81"/>
            <rFont val="Lucida Console"/>
            <family val="3"/>
          </rPr>
          <t>_x000D_
MAT.E EQUIP. P/ CONSTR.CIVIL E CONSERV. DE VIAS PUBL.</t>
        </r>
      </text>
    </comment>
    <comment ref="Y517" authorId="0" shapeId="0" xr:uid="{A295F1AD-4969-4278-94EC-5C62C2BFF5CE}">
      <text>
        <r>
          <rPr>
            <sz val="10"/>
            <color indexed="81"/>
            <rFont val="Lucida Console"/>
            <family val="3"/>
          </rPr>
          <t>_x000D_
CAIXILHOS, JANELAS E VITROS</t>
        </r>
      </text>
    </comment>
    <comment ref="AW517" authorId="0" shapeId="0" xr:uid="{692E8C02-724A-499F-AC75-9C9722F6D7C2}">
      <text>
        <r>
          <rPr>
            <sz val="10"/>
            <color indexed="81"/>
            <rFont val="Lucida Console"/>
            <family val="3"/>
          </rPr>
          <t>Tempo de Estoque (Meses)_x000D_
_x000D_
25,0</t>
        </r>
      </text>
    </comment>
    <comment ref="A518" authorId="0" shapeId="0" xr:uid="{8EA93C05-6183-4BAE-ACFD-9317B110010E}">
      <text>
        <r>
          <rPr>
            <sz val="10"/>
            <color indexed="81"/>
            <rFont val="Lucida Console"/>
            <family val="3"/>
          </rPr>
          <t>_x000D_
78509</t>
        </r>
      </text>
    </comment>
    <comment ref="B518" authorId="0" shapeId="0" xr:uid="{AFB6860F-FBBD-48B9-AAC4-DF5D78DD349E}">
      <text>
        <r>
          <rPr>
            <sz val="10"/>
            <color indexed="81"/>
            <rFont val="Lucida Console"/>
            <family val="3"/>
          </rPr>
          <t>DESCRIÇÃO DETALHADA_x000D_
TANQUE DE CONCRETO PRE-MOLDADO P/ LAVAGEM DE ROUPAS DE 0,70 X 0,70M</t>
        </r>
      </text>
    </comment>
    <comment ref="G518" authorId="0" shapeId="0" xr:uid="{ABFB461C-AA07-4497-89FC-5AD6DEFDE348}">
      <text>
        <r>
          <rPr>
            <sz val="10"/>
            <color indexed="81"/>
            <rFont val="Lucida Console"/>
            <family val="3"/>
          </rPr>
          <t>_x000D_
Últ estimativa : 10_x000D_
Enviada em     : 24.10.2019_x000D_
Ata - Venc     : 47/19 - 17.02.2020</t>
        </r>
      </text>
    </comment>
    <comment ref="O518" authorId="0" shapeId="0" xr:uid="{E0CB9D8A-9880-4053-8854-C1B3AC84648F}">
      <text>
        <r>
          <rPr>
            <sz val="10"/>
            <color indexed="81"/>
            <rFont val="Lucida Console"/>
            <family val="3"/>
          </rPr>
          <t>_x000D_
Pertencia a ATA nº 47/19_x000D_
Estimativa de Renovação enviada em 24.10.2019 - Qtd 10_x000D_
PE  99/20 lote 11_x000D_
03.08.20 = Finalizado</t>
        </r>
      </text>
    </comment>
    <comment ref="W518" authorId="0" shapeId="0" xr:uid="{28DB1949-AA42-4AD4-9FB4-B26A470A075E}">
      <text>
        <r>
          <rPr>
            <sz val="10"/>
            <color indexed="81"/>
            <rFont val="Lucida Console"/>
            <family val="3"/>
          </rPr>
          <t>_x000D_
DM-Construção</t>
        </r>
      </text>
    </comment>
    <comment ref="X518" authorId="0" shapeId="0" xr:uid="{001CCE12-5EE3-41CB-B6AC-642B4C6AF677}">
      <text>
        <r>
          <rPr>
            <sz val="10"/>
            <color indexed="81"/>
            <rFont val="Lucida Console"/>
            <family val="3"/>
          </rPr>
          <t>_x000D_
MAT.E EQUIP. P/ CONSTR.CIVIL E CONSERV. DE VIAS PUBL.</t>
        </r>
      </text>
    </comment>
    <comment ref="Y518" authorId="0" shapeId="0" xr:uid="{E6124D7E-D425-423F-8596-1445B36EA63D}">
      <text>
        <r>
          <rPr>
            <sz val="10"/>
            <color indexed="81"/>
            <rFont val="Lucida Console"/>
            <family val="3"/>
          </rPr>
          <t>_x000D_
TANQUES, LAVATORIOS E PIAS</t>
        </r>
      </text>
    </comment>
    <comment ref="AC518" authorId="0" shapeId="0" xr:uid="{1F5F0521-F98B-434A-97F9-FE92401730DD}">
      <text>
        <r>
          <rPr>
            <sz val="10"/>
            <color indexed="81"/>
            <rFont val="Lucida Console"/>
            <family val="3"/>
          </rPr>
          <t>_x000D_
AF  8.938/23 | Vc 24.08.2023 | Saldo     15 | RELLEK TEK COMERCIAL LTDA ( 162825 )</t>
        </r>
      </text>
    </comment>
    <comment ref="AG518" authorId="0" shapeId="0" xr:uid="{6A5366E8-DCCF-4CB7-96CB-4D22213DC584}">
      <text>
        <r>
          <rPr>
            <sz val="10"/>
            <color indexed="81"/>
            <rFont val="Lucida Console"/>
            <family val="3"/>
          </rPr>
          <t>_x000D_
AF  8.938/23 | Vc 24.08.2023 | Saldo     15 | RELLEK TEK COMERCIAL LTDA ( 162825 )</t>
        </r>
      </text>
    </comment>
    <comment ref="AW518" authorId="0" shapeId="0" xr:uid="{EEA1533C-FA98-4524-835D-6BFCE318C13E}">
      <text>
        <r>
          <rPr>
            <sz val="10"/>
            <color indexed="81"/>
            <rFont val="Lucida Console"/>
            <family val="3"/>
          </rPr>
          <t>Tempo de Estoque (Meses)_x000D_
_x000D_
15,0</t>
        </r>
      </text>
    </comment>
    <comment ref="A519" authorId="0" shapeId="0" xr:uid="{D401E23A-0112-4150-94D2-ABA851AD64F1}">
      <text>
        <r>
          <rPr>
            <sz val="10"/>
            <color indexed="81"/>
            <rFont val="Lucida Console"/>
            <family val="3"/>
          </rPr>
          <t>_x000D_
76218</t>
        </r>
      </text>
    </comment>
    <comment ref="B519" authorId="0" shapeId="0" xr:uid="{15BAB0D1-DD21-4ECE-835D-8B5AC73EA86E}">
      <text>
        <r>
          <rPr>
            <sz val="10"/>
            <color indexed="81"/>
            <rFont val="Lucida Console"/>
            <family val="3"/>
          </rPr>
          <t>DESCRIÇÃO DETALHADA_x000D_
TELHA DE FIBROCIMENTO - 0,90 X 8,20 M - TIPO CANALETE</t>
        </r>
      </text>
    </comment>
    <comment ref="G519" authorId="0" shapeId="0" xr:uid="{7A5AEE4B-EE53-48CD-AD3E-D81E2BC283A1}">
      <text>
        <r>
          <rPr>
            <sz val="10"/>
            <color indexed="81"/>
            <rFont val="Lucida Console"/>
            <family val="3"/>
          </rPr>
          <t>_x000D_
Últ estimativa : 0_x000D_
Enviada em     : 24.10.2019_x000D_
Ata - Venc     : 47/19 - 17.02.2020</t>
        </r>
      </text>
    </comment>
    <comment ref="O519" authorId="0" shapeId="0" xr:uid="{B3F72AAC-9DE4-4F0B-92CF-22C2091DA9EE}">
      <text>
        <r>
          <rPr>
            <sz val="10"/>
            <color indexed="81"/>
            <rFont val="Lucida Console"/>
            <family val="3"/>
          </rPr>
          <t>_x000D_
Pertencia a ATA nº 47/19_x000D_
Estimativa de Renovação enviada em 24.10.2019 - Qtd _x000D_
PE  99/20 lote 10_x000D_
03.08.20 = Finalizado</t>
        </r>
      </text>
    </comment>
    <comment ref="W519" authorId="0" shapeId="0" xr:uid="{383F40DC-4212-4229-9FCE-E308E5332A7A}">
      <text>
        <r>
          <rPr>
            <sz val="10"/>
            <color indexed="81"/>
            <rFont val="Lucida Console"/>
            <family val="3"/>
          </rPr>
          <t>_x000D_
DM-Construção</t>
        </r>
      </text>
    </comment>
    <comment ref="X519" authorId="0" shapeId="0" xr:uid="{555044B0-340B-4E74-AF52-F684666F06A1}">
      <text>
        <r>
          <rPr>
            <sz val="10"/>
            <color indexed="81"/>
            <rFont val="Lucida Console"/>
            <family val="3"/>
          </rPr>
          <t>_x000D_
MAT.E EQUIP. P/ CONSTR.CIVIL E CONSERV. DE VIAS PUBL.</t>
        </r>
      </text>
    </comment>
    <comment ref="Y519" authorId="0" shapeId="0" xr:uid="{2F994FF3-6918-43C0-9E53-17E0E15688D0}">
      <text>
        <r>
          <rPr>
            <sz val="10"/>
            <color indexed="81"/>
            <rFont val="Lucida Console"/>
            <family val="3"/>
          </rPr>
          <t>_x000D_
TELHAS. CUMEEIRAS E ELEM. DE TELH. E CHAP. DE CIM. AMIANT</t>
        </r>
      </text>
    </comment>
    <comment ref="AW519" authorId="0" shapeId="0" xr:uid="{0E15F722-EB6B-4684-AD91-2379CED9946F}">
      <text>
        <r>
          <rPr>
            <sz val="10"/>
            <color indexed="81"/>
            <rFont val="Lucida Console"/>
            <family val="3"/>
          </rPr>
          <t>Tempo de Estoque (Meses)_x000D_
_x000D_
36,0</t>
        </r>
      </text>
    </comment>
    <comment ref="A520" authorId="0" shapeId="0" xr:uid="{F321C7CB-BFAB-4931-BE4F-ABA495458486}">
      <text>
        <r>
          <rPr>
            <sz val="10"/>
            <color indexed="81"/>
            <rFont val="Lucida Console"/>
            <family val="3"/>
          </rPr>
          <t>_x000D_
125269</t>
        </r>
      </text>
    </comment>
    <comment ref="B520" authorId="0" shapeId="0" xr:uid="{1F458EA6-C3CC-489E-9A7B-50F26C5FEBCF}">
      <text>
        <r>
          <rPr>
            <sz val="10"/>
            <color indexed="81"/>
            <rFont val="Lucida Console"/>
            <family val="3"/>
          </rPr>
          <t>DESCRIÇÃO DETALHADA_x000D_
CONECTOR RJ-45 MACHO, PARA CABO UTP CATEGORIA 5E</t>
        </r>
      </text>
    </comment>
    <comment ref="O520" authorId="0" shapeId="0" xr:uid="{637069BB-A2E2-4802-AA1C-620DF57F1CBB}">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20" authorId="0" shapeId="0" xr:uid="{90510D04-B5F7-45DC-B260-5E203C63B712}">
      <text>
        <r>
          <rPr>
            <sz val="10"/>
            <color indexed="81"/>
            <rFont val="Lucida Console"/>
            <family val="3"/>
          </rPr>
          <t>_x000D_
Informática</t>
        </r>
      </text>
    </comment>
    <comment ref="X520" authorId="0" shapeId="0" xr:uid="{9D26407B-8FE5-4425-98FF-0F38EDA8CEC7}">
      <text>
        <r>
          <rPr>
            <sz val="10"/>
            <color indexed="81"/>
            <rFont val="Lucida Console"/>
            <family val="3"/>
          </rPr>
          <t>_x000D_
COMPUT.SOFT. PROCES. EQUIP. SUPRI. COMP. ACESS. INFORMAT</t>
        </r>
      </text>
    </comment>
    <comment ref="Y520" authorId="0" shapeId="0" xr:uid="{045C0C5E-EA39-44E7-90B1-F13768EF3E67}">
      <text>
        <r>
          <rPr>
            <sz val="10"/>
            <color indexed="81"/>
            <rFont val="Lucida Console"/>
            <family val="3"/>
          </rPr>
          <t>_x000D_
CABEAMENTO, CONECTORES E TOMADAS</t>
        </r>
      </text>
    </comment>
    <comment ref="AW520" authorId="0" shapeId="0" xr:uid="{710935E5-5F3C-416C-A511-6D718245243B}">
      <text>
        <r>
          <rPr>
            <sz val="10"/>
            <color indexed="81"/>
            <rFont val="Lucida Console"/>
            <family val="3"/>
          </rPr>
          <t>Tempo de Estoque (Meses)_x000D_
_x000D_
2.965,0</t>
        </r>
      </text>
    </comment>
    <comment ref="A521" authorId="0" shapeId="0" xr:uid="{3C4193D9-00FD-4E2A-9E35-35A224EFD252}">
      <text>
        <r>
          <rPr>
            <sz val="10"/>
            <color indexed="81"/>
            <rFont val="Lucida Console"/>
            <family val="3"/>
          </rPr>
          <t>_x000D_
102000</t>
        </r>
      </text>
    </comment>
    <comment ref="B521" authorId="0" shapeId="0" xr:uid="{B6E020F8-6146-46C1-8A32-CFA80565B094}">
      <text>
        <r>
          <rPr>
            <sz val="10"/>
            <color indexed="81"/>
            <rFont val="Lucida Console"/>
            <family val="3"/>
          </rPr>
          <t>DESCRIÇÃO DETALHADA_x000D_
PISO DE CONCRETO, TIPO INTERTRAVADO RETANGULAR, COR NATURAL, DIMENSOES: 200 X 100MM, ESPESSURA: 60MM, RESISTENCIA DE 35MPA</t>
        </r>
      </text>
    </comment>
    <comment ref="G521" authorId="0" shapeId="0" xr:uid="{36874632-B636-46EE-93D8-169D3A1518BE}">
      <text>
        <r>
          <rPr>
            <sz val="10"/>
            <color indexed="81"/>
            <rFont val="Lucida Console"/>
            <family val="3"/>
          </rPr>
          <t>_x000D_
Últ estimativa : 500_x000D_
Enviada em     : 24.11.2020_x000D_
Ata - Venc     : 54/20 - 12.03.2021</t>
        </r>
      </text>
    </comment>
    <comment ref="O521" authorId="0" shapeId="0" xr:uid="{D11C4C52-90D1-4C7F-AC67-7CA0E2B6163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1" authorId="0" shapeId="0" xr:uid="{23954401-D16D-4B20-A72C-0638B7D45490}">
      <text>
        <r>
          <rPr>
            <sz val="10"/>
            <color indexed="81"/>
            <rFont val="Lucida Console"/>
            <family val="3"/>
          </rPr>
          <t>_x000D_
DM-Construção</t>
        </r>
      </text>
    </comment>
    <comment ref="X521" authorId="0" shapeId="0" xr:uid="{444FAEC8-6BA6-4FC7-8087-C66F79911D7E}">
      <text>
        <r>
          <rPr>
            <sz val="10"/>
            <color indexed="81"/>
            <rFont val="Lucida Console"/>
            <family val="3"/>
          </rPr>
          <t>_x000D_
MAT.E EQUIP. P/ CONSTR.CIVIL E CONSERV. DE VIAS PUBL.</t>
        </r>
      </text>
    </comment>
    <comment ref="Y521" authorId="0" shapeId="0" xr:uid="{0EDF1006-A77E-497B-999E-B2541454082E}">
      <text>
        <r>
          <rPr>
            <sz val="10"/>
            <color indexed="81"/>
            <rFont val="Lucida Console"/>
            <family val="3"/>
          </rPr>
          <t>_x000D_
BLOCOS, CANALETAS E ELEMENTOS VAZADOS EM CONCRETO</t>
        </r>
      </text>
    </comment>
    <comment ref="AW521" authorId="0" shapeId="0" xr:uid="{0F8BEA20-B974-4646-B67B-2E4255C3AEB2}">
      <text>
        <r>
          <rPr>
            <sz val="10"/>
            <color indexed="81"/>
            <rFont val="Lucida Console"/>
            <family val="3"/>
          </rPr>
          <t>Tempo de Estoque (Meses)_x000D_
_x000D_
796,0</t>
        </r>
      </text>
    </comment>
    <comment ref="A522" authorId="0" shapeId="0" xr:uid="{B22119D4-A64D-4F5B-877C-83A2B3D2C45D}">
      <text>
        <r>
          <rPr>
            <sz val="10"/>
            <color indexed="81"/>
            <rFont val="Lucida Console"/>
            <family val="3"/>
          </rPr>
          <t>_x000D_
132623</t>
        </r>
      </text>
    </comment>
    <comment ref="B522" authorId="0" shapeId="0" xr:uid="{46E3F0F5-52EE-49E2-860C-C905E147CDE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22" authorId="0" shapeId="0" xr:uid="{C12BA42A-D231-4DD6-8EC8-0986D9A80CFF}">
      <text>
        <r>
          <rPr>
            <sz val="10"/>
            <color indexed="81"/>
            <rFont val="Lucida Console"/>
            <family val="3"/>
          </rPr>
          <t>_x000D_
Últ estimativa : 80_x000D_
Enviada em     : 22.04.2021_x000D_
Ata - Venc     : 54/20 - 12.03.2021</t>
        </r>
      </text>
    </comment>
    <comment ref="O522" authorId="0" shapeId="0" xr:uid="{05BA1FD1-261B-4702-93D6-FD8498B5017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22" authorId="0" shapeId="0" xr:uid="{EEE69AD4-C957-4D47-99E1-19AAB8065EE9}">
      <text>
        <r>
          <rPr>
            <sz val="10"/>
            <color indexed="81"/>
            <rFont val="Lucida Console"/>
            <family val="3"/>
          </rPr>
          <t>_x000D_
DM-Construção</t>
        </r>
      </text>
    </comment>
    <comment ref="X522" authorId="0" shapeId="0" xr:uid="{BC8D6C57-AC46-494C-85C0-F8F54550015D}">
      <text>
        <r>
          <rPr>
            <sz val="10"/>
            <color indexed="81"/>
            <rFont val="Lucida Console"/>
            <family val="3"/>
          </rPr>
          <t>_x000D_
MAT.E EQUIP. P/ CONSTR.CIVIL E CONSERV. DE VIAS PUBL.</t>
        </r>
      </text>
    </comment>
    <comment ref="Y522" authorId="0" shapeId="0" xr:uid="{6A8462D7-01B1-4D48-99DC-DAAF1C5B9B24}">
      <text>
        <r>
          <rPr>
            <sz val="10"/>
            <color indexed="81"/>
            <rFont val="Lucida Console"/>
            <family val="3"/>
          </rPr>
          <t>_x000D_
BACIAS SANITARIAS E MICTORIOS</t>
        </r>
      </text>
    </comment>
    <comment ref="AW522" authorId="0" shapeId="0" xr:uid="{9E66922D-6A15-48D8-929E-8B3C8EB95113}">
      <text>
        <r>
          <rPr>
            <sz val="10"/>
            <color indexed="81"/>
            <rFont val="Lucida Console"/>
            <family val="3"/>
          </rPr>
          <t>Tempo de Estoque (Meses)_x000D_
_x000D_
67,0</t>
        </r>
      </text>
    </comment>
    <comment ref="A523" authorId="0" shapeId="0" xr:uid="{D87EF87E-266B-474E-82F6-F75C74139B47}">
      <text>
        <r>
          <rPr>
            <sz val="10"/>
            <color indexed="81"/>
            <rFont val="Lucida Console"/>
            <family val="3"/>
          </rPr>
          <t>_x000D_
100802</t>
        </r>
      </text>
    </comment>
    <comment ref="B523" authorId="0" shapeId="0" xr:uid="{003C4A00-BCD1-400F-A231-B507555EAC8F}">
      <text>
        <r>
          <rPr>
            <sz val="10"/>
            <color indexed="81"/>
            <rFont val="Lucida Console"/>
            <family val="3"/>
          </rPr>
          <t>DESCRIÇÃO DETALHADA_x000D_
SILICONE PARA VEDACAO - TUBO COM NO MINIMO 280G</t>
        </r>
      </text>
    </comment>
    <comment ref="G523" authorId="0" shapeId="0" xr:uid="{2A0C00AD-9D41-4302-B80B-61F2C95292D4}">
      <text>
        <r>
          <rPr>
            <sz val="10"/>
            <color indexed="81"/>
            <rFont val="Lucida Console"/>
            <family val="3"/>
          </rPr>
          <t>_x000D_
Últ estimativa : 600_x000D_
Enviada em     : 24.11.2020_x000D_
Ata - Venc     : 55/20 - 12.03.2021</t>
        </r>
      </text>
    </comment>
    <comment ref="O523" authorId="0" shapeId="0" xr:uid="{C70FFE8D-4A75-490D-B31B-26431124553A}">
      <text>
        <r>
          <rPr>
            <sz val="10"/>
            <color indexed="81"/>
            <rFont val="Lucida Console"/>
            <family val="3"/>
          </rPr>
          <t>_x000D_
Pertencia a ATA nº 55/20_x000D_
Estimativa de Renovação enviada em 24.11.2020 - Qtd 600_x000D_
PE   2/20 lote 19_x000D_
23.04.20 = Processo conferido, finalizado.</t>
        </r>
      </text>
    </comment>
    <comment ref="W523" authorId="0" shapeId="0" xr:uid="{C2432EF6-8384-49D4-99D4-3FAACDABB225}">
      <text>
        <r>
          <rPr>
            <sz val="10"/>
            <color indexed="81"/>
            <rFont val="Lucida Console"/>
            <family val="3"/>
          </rPr>
          <t>_x000D_
DM-Hidráulica</t>
        </r>
      </text>
    </comment>
    <comment ref="X523" authorId="0" shapeId="0" xr:uid="{8980A08C-AFF6-4E11-BB23-CA92636281E9}">
      <text>
        <r>
          <rPr>
            <sz val="10"/>
            <color indexed="81"/>
            <rFont val="Lucida Console"/>
            <family val="3"/>
          </rPr>
          <t>_x000D_
MATERIAL HIDRAULICO, CANOS, TUBOS, MANGUEIRAS, CONEXOES E ACESS.</t>
        </r>
      </text>
    </comment>
    <comment ref="Y523" authorId="0" shapeId="0" xr:uid="{C901E627-634D-4974-9191-8A6E646627BB}">
      <text>
        <r>
          <rPr>
            <sz val="10"/>
            <color indexed="81"/>
            <rFont val="Lucida Console"/>
            <family val="3"/>
          </rPr>
          <t>_x000D_
VEDADORES ABRACADEIRAS E COLAS P/ TUBULACAO</t>
        </r>
      </text>
    </comment>
    <comment ref="AC523" authorId="0" shapeId="0" xr:uid="{B446A061-3600-46D1-97B8-116609444F5A}">
      <text>
        <r>
          <rPr>
            <sz val="10"/>
            <color indexed="81"/>
            <rFont val="Lucida Console"/>
            <family val="3"/>
          </rPr>
          <t>_x000D_
AF  8.939/23 | Vc 24.08.2023 | Saldo  1.000 | REDE I9 DO BRASIL MATERIAIS ELETRICOS E MONTAGENS INDUSTRIAIS LTDA ( 235922 )</t>
        </r>
      </text>
    </comment>
    <comment ref="AG523" authorId="0" shapeId="0" xr:uid="{D1218B60-ADF2-4A0D-8660-C61BC3DF57A1}">
      <text>
        <r>
          <rPr>
            <sz val="10"/>
            <color indexed="81"/>
            <rFont val="Lucida Console"/>
            <family val="3"/>
          </rPr>
          <t>_x000D_
AF  8.939/23 | Vc 24.08.2023 | Saldo  1.000 | REDE I9 DO BRASIL MATERIAIS ELETRICOS E MONTAGENS INDUSTRIAIS LTDA ( 235922 )</t>
        </r>
      </text>
    </comment>
    <comment ref="AW523" authorId="0" shapeId="0" xr:uid="{BD734464-0530-46C6-B693-9DE513A876D4}">
      <text>
        <r>
          <rPr>
            <sz val="10"/>
            <color indexed="81"/>
            <rFont val="Lucida Console"/>
            <family val="3"/>
          </rPr>
          <t>Tempo de Estoque (Meses)_x000D_
_x000D_
1.000,0</t>
        </r>
      </text>
    </comment>
    <comment ref="A524" authorId="0" shapeId="0" xr:uid="{7B7B9640-01E5-49EB-BD08-D9086A4C732C}">
      <text>
        <r>
          <rPr>
            <sz val="10"/>
            <color indexed="81"/>
            <rFont val="Lucida Console"/>
            <family val="3"/>
          </rPr>
          <t>_x000D_
122305</t>
        </r>
      </text>
    </comment>
    <comment ref="B524" authorId="0" shapeId="0" xr:uid="{BBB82CE7-47AF-47B0-BDDF-4E383684459E}">
      <text>
        <r>
          <rPr>
            <sz val="10"/>
            <color indexed="81"/>
            <rFont val="Lucida Console"/>
            <family val="3"/>
          </rPr>
          <t>DESCRIÇÃO DETALHADA_x000D_
DISCO DE CORTE 4 1/2" DE DIAMETRO EXTERNO, 1/8" DE ESPESSURA E 7/8" DE DIAMETRO DE FURO</t>
        </r>
      </text>
    </comment>
    <comment ref="G524" authorId="0" shapeId="0" xr:uid="{1A73E935-AF28-4806-A26F-65B05376F8C3}">
      <text>
        <r>
          <rPr>
            <sz val="10"/>
            <color indexed="81"/>
            <rFont val="Lucida Console"/>
            <family val="3"/>
          </rPr>
          <t>_x000D_
Últ estimativa : 600_x000D_
Enviada em     : 24.11.2020_x000D_
Ata - Venc     : 55/20 - 12.03.2021</t>
        </r>
      </text>
    </comment>
    <comment ref="O524" authorId="0" shapeId="0" xr:uid="{6CF63938-A9C1-41D0-9920-BE8EC890D4F1}">
      <text>
        <r>
          <rPr>
            <sz val="10"/>
            <color indexed="81"/>
            <rFont val="Lucida Console"/>
            <family val="3"/>
          </rPr>
          <t>_x000D_
Pertencia a ATA nº 55/20_x000D_
Estimativa de Renovação enviada em 24.11.2020 - Qtd 600_x000D_
PE   2/20 lote 24_x000D_
23.04.20 = Processo conferido, finalizado.</t>
        </r>
      </text>
    </comment>
    <comment ref="W524" authorId="0" shapeId="0" xr:uid="{472D8790-6CB9-4EF9-B400-DDE9BF3D6767}">
      <text>
        <r>
          <rPr>
            <sz val="10"/>
            <color indexed="81"/>
            <rFont val="Lucida Console"/>
            <family val="3"/>
          </rPr>
          <t>_x000D_
DM-Serralheria</t>
        </r>
      </text>
    </comment>
    <comment ref="X524" authorId="0" shapeId="0" xr:uid="{065E3F22-3AE5-4AD1-916C-246AC3406EB9}">
      <text>
        <r>
          <rPr>
            <sz val="10"/>
            <color indexed="81"/>
            <rFont val="Lucida Console"/>
            <family val="3"/>
          </rPr>
          <t>_x000D_
ABRASIVOS</t>
        </r>
      </text>
    </comment>
    <comment ref="Y524" authorId="0" shapeId="0" xr:uid="{77716DEC-9554-448B-80C7-0888D706993D}">
      <text>
        <r>
          <rPr>
            <sz val="10"/>
            <color indexed="81"/>
            <rFont val="Lucida Console"/>
            <family val="3"/>
          </rPr>
          <t>_x000D_
DISCO DE FIBRA</t>
        </r>
      </text>
    </comment>
    <comment ref="AW524" authorId="0" shapeId="0" xr:uid="{5E8032DC-1C4A-4E86-AE7B-6B1DA7720FA2}">
      <text>
        <r>
          <rPr>
            <sz val="10"/>
            <color indexed="81"/>
            <rFont val="Lucida Console"/>
            <family val="3"/>
          </rPr>
          <t>Tempo de Estoque (Meses)_x000D_
_x000D_
526,0</t>
        </r>
      </text>
    </comment>
    <comment ref="A525" authorId="0" shapeId="0" xr:uid="{D79EC9A6-C606-4276-B9CF-B574B5188827}">
      <text>
        <r>
          <rPr>
            <sz val="10"/>
            <color indexed="81"/>
            <rFont val="Lucida Console"/>
            <family val="3"/>
          </rPr>
          <t>_x000D_
101891</t>
        </r>
      </text>
    </comment>
    <comment ref="B525" authorId="0" shapeId="0" xr:uid="{F7737E1C-E7F1-4C12-B5C5-C29167A2822A}">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5" authorId="0" shapeId="0" xr:uid="{209A4446-09A1-4130-9505-F0F96E96ECDD}">
      <text>
        <r>
          <rPr>
            <sz val="10"/>
            <color indexed="81"/>
            <rFont val="Lucida Console"/>
            <family val="3"/>
          </rPr>
          <t>_x000D_
Últ estimativa : 20_x000D_
Enviada em     : 23.09.2020_x000D_
Ata - Venc     : 58/21 - 02.03.2022</t>
        </r>
      </text>
    </comment>
    <comment ref="O525" authorId="0" shapeId="0" xr:uid="{CA5C117A-ED48-4ABA-B06E-0848F912292D}">
      <text>
        <r>
          <rPr>
            <sz val="10"/>
            <color indexed="81"/>
            <rFont val="Lucida Console"/>
            <family val="3"/>
          </rPr>
          <t>_x000D_
Pertencia a ATA nº 58/21_x000D_
Estimativa de Renovação enviada em 23.09.2020 - Qtd 20_x000D_
PE   5/21 lote _x000D_
02.02.21 = Finalizado</t>
        </r>
      </text>
    </comment>
    <comment ref="W525" authorId="0" shapeId="0" xr:uid="{1DFECA49-18AB-475B-97A8-50146F70E638}">
      <text>
        <r>
          <rPr>
            <sz val="10"/>
            <color indexed="81"/>
            <rFont val="Lucida Console"/>
            <family val="3"/>
          </rPr>
          <t>_x000D_
DM-Elétrica</t>
        </r>
      </text>
    </comment>
    <comment ref="X525" authorId="0" shapeId="0" xr:uid="{42197B65-EBD9-4725-86BC-883FAD6F922C}">
      <text>
        <r>
          <rPr>
            <sz val="10"/>
            <color indexed="81"/>
            <rFont val="Lucida Console"/>
            <family val="3"/>
          </rPr>
          <t>_x000D_
EQUIP. MAT. P/ GERACAO, TRANSM. DISTR. RETIF...</t>
        </r>
      </text>
    </comment>
    <comment ref="Y525" authorId="0" shapeId="0" xr:uid="{548080A0-8E3E-4006-85DF-38DAF08BF3AA}">
      <text>
        <r>
          <rPr>
            <sz val="10"/>
            <color indexed="81"/>
            <rFont val="Lucida Console"/>
            <family val="3"/>
          </rPr>
          <t>_x000D_
SISTEMAS DE PROTECAO</t>
        </r>
      </text>
    </comment>
    <comment ref="AW525" authorId="0" shapeId="0" xr:uid="{0046E14D-0545-4F6D-9FA6-7308055DA729}">
      <text>
        <r>
          <rPr>
            <sz val="10"/>
            <color indexed="81"/>
            <rFont val="Lucida Console"/>
            <family val="3"/>
          </rPr>
          <t>Tempo de Estoque (Meses)_x000D_
_x000D_
39,0</t>
        </r>
      </text>
    </comment>
    <comment ref="A526" authorId="0" shapeId="0" xr:uid="{E07B7C98-CC07-4B57-B419-373A577F67C5}">
      <text>
        <r>
          <rPr>
            <sz val="10"/>
            <color indexed="81"/>
            <rFont val="Lucida Console"/>
            <family val="3"/>
          </rPr>
          <t>_x000D_
133301</t>
        </r>
      </text>
    </comment>
    <comment ref="B526" authorId="0" shapeId="0" xr:uid="{903338C9-9AF6-43F4-BB61-603C4664D6AA}">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26" authorId="0" shapeId="0" xr:uid="{36F519C6-7413-4911-A0D2-5B087BA883D2}">
      <text>
        <r>
          <rPr>
            <sz val="10"/>
            <color indexed="81"/>
            <rFont val="Lucida Console"/>
            <family val="3"/>
          </rPr>
          <t>_x000D_
Últ estimativa : 0_x000D_
Enviada em     : 23.09.2020_x000D_
Ata - Venc     : 58/21 - 02.03.2022</t>
        </r>
      </text>
    </comment>
    <comment ref="O526" authorId="0" shapeId="0" xr:uid="{2B45758D-8602-47DD-AFE2-DE2691468CCE}">
      <text>
        <r>
          <rPr>
            <sz val="10"/>
            <color indexed="81"/>
            <rFont val="Lucida Console"/>
            <family val="3"/>
          </rPr>
          <t>_x000D_
Pertencia a ATA nº 58/21_x000D_
Estimativa de Renovação enviada em 23.09.2020 - Qtd _x000D_
PE   5/21 lote _x000D_
02.02.21 = Finalizado</t>
        </r>
      </text>
    </comment>
    <comment ref="W526" authorId="0" shapeId="0" xr:uid="{261862BC-1AD3-455F-8A5B-C045C8251BCD}">
      <text>
        <r>
          <rPr>
            <sz val="10"/>
            <color indexed="81"/>
            <rFont val="Lucida Console"/>
            <family val="3"/>
          </rPr>
          <t>_x000D_
DM-Elétrica</t>
        </r>
      </text>
    </comment>
    <comment ref="X526" authorId="0" shapeId="0" xr:uid="{3A973591-02E1-4833-8DFD-A98E089876ED}">
      <text>
        <r>
          <rPr>
            <sz val="10"/>
            <color indexed="81"/>
            <rFont val="Lucida Console"/>
            <family val="3"/>
          </rPr>
          <t>_x000D_
EQUIP. MAT. P/ GERACAO, TRANSM. DISTR. RETIF...</t>
        </r>
      </text>
    </comment>
    <comment ref="Y526" authorId="0" shapeId="0" xr:uid="{15F44DA5-EFCA-4202-928F-F3E793601C5A}">
      <text>
        <r>
          <rPr>
            <sz val="10"/>
            <color indexed="81"/>
            <rFont val="Lucida Console"/>
            <family val="3"/>
          </rPr>
          <t>_x000D_
ACESSORIOS</t>
        </r>
      </text>
    </comment>
    <comment ref="AW526" authorId="0" shapeId="0" xr:uid="{24B71DCD-4DB2-4CB9-A09A-2B9991712F9A}">
      <text>
        <r>
          <rPr>
            <sz val="10"/>
            <color indexed="81"/>
            <rFont val="Lucida Console"/>
            <family val="3"/>
          </rPr>
          <t>Tempo de Estoque (Meses)_x000D_
_x000D_
7.000,0</t>
        </r>
      </text>
    </comment>
    <comment ref="A527" authorId="0" shapeId="0" xr:uid="{EBB32DDE-745A-44A1-9306-B928866B0FCD}">
      <text>
        <r>
          <rPr>
            <sz val="10"/>
            <color indexed="81"/>
            <rFont val="Lucida Console"/>
            <family val="3"/>
          </rPr>
          <t>_x000D_
113634</t>
        </r>
      </text>
    </comment>
    <comment ref="B527" authorId="0" shapeId="0" xr:uid="{E65E530A-56ED-42DF-9CA5-97F8495655F2}">
      <text>
        <r>
          <rPr>
            <sz val="10"/>
            <color indexed="81"/>
            <rFont val="Lucida Console"/>
            <family val="3"/>
          </rPr>
          <t>DESCRIÇÃO DETALHADA_x000D_
CAIXA DE PASSAGEM EM CHAPA METALICA DE SOBREPOR COM TAMPA TAMANHO 30 X 30 X 10 CM (PROFUNDIDADE)</t>
        </r>
      </text>
    </comment>
    <comment ref="G527" authorId="0" shapeId="0" xr:uid="{D87055A5-0388-4F7C-AF57-0519DAD94256}">
      <text>
        <r>
          <rPr>
            <sz val="10"/>
            <color indexed="81"/>
            <rFont val="Lucida Console"/>
            <family val="3"/>
          </rPr>
          <t>_x000D_
Últ estimativa : 0_x000D_
Enviada em     : 23.09.2020_x000D_
Ata - Venc     : 58/21 - 02.03.2022</t>
        </r>
      </text>
    </comment>
    <comment ref="O527" authorId="0" shapeId="0" xr:uid="{A1DC248C-B0FC-4860-A0D1-B19E439F49D6}">
      <text>
        <r>
          <rPr>
            <sz val="10"/>
            <color indexed="81"/>
            <rFont val="Lucida Console"/>
            <family val="3"/>
          </rPr>
          <t>_x000D_
Pertencia a ATA nº 58/21_x000D_
Estimativa de Renovação enviada em 23.09.2020 - Qtd _x000D_
PE   5/21 lote _x000D_
02.02.21 = Finalizado</t>
        </r>
      </text>
    </comment>
    <comment ref="W527" authorId="0" shapeId="0" xr:uid="{037CE5DA-1812-48AF-879B-DFE2AC9533A5}">
      <text>
        <r>
          <rPr>
            <sz val="10"/>
            <color indexed="81"/>
            <rFont val="Lucida Console"/>
            <family val="3"/>
          </rPr>
          <t>_x000D_
DM-Elétrica</t>
        </r>
      </text>
    </comment>
    <comment ref="X527" authorId="0" shapeId="0" xr:uid="{BB40F44E-733F-409E-ADC4-B992E990FAB8}">
      <text>
        <r>
          <rPr>
            <sz val="10"/>
            <color indexed="81"/>
            <rFont val="Lucida Console"/>
            <family val="3"/>
          </rPr>
          <t>_x000D_
EQUIP. MAT. P/ GERACAO, TRANSM. DISTR. RETIF...</t>
        </r>
      </text>
    </comment>
    <comment ref="Y527" authorId="0" shapeId="0" xr:uid="{936069E4-1D65-4AFB-BE88-E2922DFD360B}">
      <text>
        <r>
          <rPr>
            <sz val="10"/>
            <color indexed="81"/>
            <rFont val="Lucida Console"/>
            <family val="3"/>
          </rPr>
          <t>_x000D_
CAIXAS</t>
        </r>
      </text>
    </comment>
    <comment ref="AW527" authorId="0" shapeId="0" xr:uid="{F7557939-09ED-4F32-8B90-C7BD627C1A98}">
      <text>
        <r>
          <rPr>
            <sz val="10"/>
            <color indexed="81"/>
            <rFont val="Lucida Console"/>
            <family val="3"/>
          </rPr>
          <t>Tempo de Estoque (Meses)_x000D_
_x000D_
63,0</t>
        </r>
      </text>
    </comment>
    <comment ref="A528" authorId="0" shapeId="0" xr:uid="{9D9E77D7-200D-436A-B9D3-9B935E15ACFF}">
      <text>
        <r>
          <rPr>
            <sz val="10"/>
            <color indexed="81"/>
            <rFont val="Lucida Console"/>
            <family val="3"/>
          </rPr>
          <t>_x000D_
14784</t>
        </r>
      </text>
    </comment>
    <comment ref="B528" authorId="0" shapeId="0" xr:uid="{9E674B59-E710-4D53-888B-CCAE484751AE}">
      <text>
        <r>
          <rPr>
            <sz val="10"/>
            <color indexed="81"/>
            <rFont val="Lucida Console"/>
            <family val="3"/>
          </rPr>
          <t>DESCRIÇÃO DETALHADA_x000D_
CURVA 90 GRAUS DE ACO CARBONO GALVANIZADO P/ ELETRODUTO ROSQUEAVEL 3/4"</t>
        </r>
      </text>
    </comment>
    <comment ref="G528" authorId="0" shapeId="0" xr:uid="{527DD829-E084-4A0F-A4FD-7692552EA9D0}">
      <text>
        <r>
          <rPr>
            <sz val="10"/>
            <color indexed="81"/>
            <rFont val="Lucida Console"/>
            <family val="3"/>
          </rPr>
          <t>_x000D_
Últ estimativa : 300_x000D_
Enviada em     : 23.09.2020_x000D_
Ata - Venc     : 58/21 - 02.03.2022</t>
        </r>
      </text>
    </comment>
    <comment ref="O528" authorId="0" shapeId="0" xr:uid="{4D0ACC7D-5A50-4C31-B188-164763A01F11}">
      <text>
        <r>
          <rPr>
            <sz val="10"/>
            <color indexed="81"/>
            <rFont val="Lucida Console"/>
            <family val="3"/>
          </rPr>
          <t>_x000D_
Pertencia a ATA nº 58/21_x000D_
Estimativa de Renovação enviada em 23.09.2020 - Qtd 300_x000D_
PE   5/21 lote _x000D_
02.02.21 = Finalizado</t>
        </r>
      </text>
    </comment>
    <comment ref="W528" authorId="0" shapeId="0" xr:uid="{18B425EC-5AC0-4C13-8452-E93396934A08}">
      <text>
        <r>
          <rPr>
            <sz val="10"/>
            <color indexed="81"/>
            <rFont val="Lucida Console"/>
            <family val="3"/>
          </rPr>
          <t>_x000D_
DM-Elétrica</t>
        </r>
      </text>
    </comment>
    <comment ref="X528" authorId="0" shapeId="0" xr:uid="{1007070A-8D1B-4C8B-890A-AF1F64679960}">
      <text>
        <r>
          <rPr>
            <sz val="10"/>
            <color indexed="81"/>
            <rFont val="Lucida Console"/>
            <family val="3"/>
          </rPr>
          <t>_x000D_
EQUIP. MAT. P/ GERACAO, TRANSM. DISTR. RETIF...</t>
        </r>
      </text>
    </comment>
    <comment ref="Y528" authorId="0" shapeId="0" xr:uid="{F0078040-2D40-473B-8480-32E5DADD9DD7}">
      <text>
        <r>
          <rPr>
            <sz val="10"/>
            <color indexed="81"/>
            <rFont val="Lucida Console"/>
            <family val="3"/>
          </rPr>
          <t>_x000D_
ELETRODUTOS E ACESSORIOS</t>
        </r>
      </text>
    </comment>
    <comment ref="AW528" authorId="0" shapeId="0" xr:uid="{389DDECB-5ED2-45B0-B418-C1780D7FD8D9}">
      <text>
        <r>
          <rPr>
            <sz val="10"/>
            <color indexed="81"/>
            <rFont val="Lucida Console"/>
            <family val="3"/>
          </rPr>
          <t>Tempo de Estoque (Meses)_x000D_
_x000D_
100,0</t>
        </r>
      </text>
    </comment>
    <comment ref="A529" authorId="0" shapeId="0" xr:uid="{43D6069F-7073-42CC-BF5A-7001FA05E54B}">
      <text>
        <r>
          <rPr>
            <sz val="10"/>
            <color indexed="81"/>
            <rFont val="Lucida Console"/>
            <family val="3"/>
          </rPr>
          <t>_x000D_
60889</t>
        </r>
      </text>
    </comment>
    <comment ref="B529" authorId="0" shapeId="0" xr:uid="{9C1DAFAA-9A44-4C1B-ABD4-792D5A8AA319}">
      <text>
        <r>
          <rPr>
            <sz val="10"/>
            <color indexed="81"/>
            <rFont val="Lucida Console"/>
            <family val="3"/>
          </rPr>
          <t>DESCRIÇÃO DETALHADA_x000D_
ELETRODUTO DE FERRO GALVANIZADO - 3/4"</t>
        </r>
      </text>
    </comment>
    <comment ref="G529" authorId="0" shapeId="0" xr:uid="{12D1DC22-6C00-4291-87E0-AB07B01F2558}">
      <text>
        <r>
          <rPr>
            <sz val="10"/>
            <color indexed="81"/>
            <rFont val="Lucida Console"/>
            <family val="3"/>
          </rPr>
          <t>_x000D_
Últ estimativa : 200_x000D_
Enviada em     : 23.09.2020_x000D_
Ata - Venc     : 58/21 - 02.03.2022</t>
        </r>
      </text>
    </comment>
    <comment ref="O529" authorId="0" shapeId="0" xr:uid="{6D9E89CB-E87E-4D55-936F-3F308EDD6B08}">
      <text>
        <r>
          <rPr>
            <sz val="10"/>
            <color indexed="81"/>
            <rFont val="Lucida Console"/>
            <family val="3"/>
          </rPr>
          <t>_x000D_
Pertencia a ATA nº 58/21_x000D_
Estimativa de Renovação enviada em 23.09.2020 - Qtd 200_x000D_
PE   5/21 lote _x000D_
02.02.21 = Finalizado</t>
        </r>
      </text>
    </comment>
    <comment ref="W529" authorId="0" shapeId="0" xr:uid="{5F4FAD07-707E-43CA-84D3-7D64433EA8D5}">
      <text>
        <r>
          <rPr>
            <sz val="10"/>
            <color indexed="81"/>
            <rFont val="Lucida Console"/>
            <family val="3"/>
          </rPr>
          <t>_x000D_
DM-Elétrica</t>
        </r>
      </text>
    </comment>
    <comment ref="X529" authorId="0" shapeId="0" xr:uid="{B88613B6-125F-44F6-A1E5-B7C3195D9ECC}">
      <text>
        <r>
          <rPr>
            <sz val="10"/>
            <color indexed="81"/>
            <rFont val="Lucida Console"/>
            <family val="3"/>
          </rPr>
          <t>_x000D_
EQUIP. MAT. P/ GERACAO, TRANSM. DISTR. RETIF...</t>
        </r>
      </text>
    </comment>
    <comment ref="Y529" authorId="0" shapeId="0" xr:uid="{BBA1AF4C-E3D9-4309-9928-7A6CEB448C5F}">
      <text>
        <r>
          <rPr>
            <sz val="10"/>
            <color indexed="81"/>
            <rFont val="Lucida Console"/>
            <family val="3"/>
          </rPr>
          <t>_x000D_
ELETRODUTOS E ACESSORIOS</t>
        </r>
      </text>
    </comment>
    <comment ref="AW529" authorId="0" shapeId="0" xr:uid="{69C8510A-D2E6-4D3D-9017-2B04836CA693}">
      <text>
        <r>
          <rPr>
            <sz val="10"/>
            <color indexed="81"/>
            <rFont val="Lucida Console"/>
            <family val="3"/>
          </rPr>
          <t>Tempo de Estoque (Meses)_x000D_
_x000D_
1.218,0</t>
        </r>
      </text>
    </comment>
    <comment ref="A530" authorId="0" shapeId="0" xr:uid="{BAFB6DB0-D525-42DC-A3C6-10193DA6954A}">
      <text>
        <r>
          <rPr>
            <sz val="10"/>
            <color indexed="81"/>
            <rFont val="Lucida Console"/>
            <family val="3"/>
          </rPr>
          <t>_x000D_
99787</t>
        </r>
      </text>
    </comment>
    <comment ref="B530" authorId="0" shapeId="0" xr:uid="{A2D95392-609E-4207-9497-A2173E898D80}">
      <text>
        <r>
          <rPr>
            <sz val="10"/>
            <color indexed="81"/>
            <rFont val="Lucida Console"/>
            <family val="3"/>
          </rPr>
          <t>DESCRIÇÃO DETALHADA_x000D_
ELETRODUTO DE ACO CARBONO GALVANIZADO A FOGO - DIAMETRO 1 1/2" - BARRA COM 3 M</t>
        </r>
      </text>
    </comment>
    <comment ref="G530" authorId="0" shapeId="0" xr:uid="{2B04D37D-B185-4627-847B-A427C1E1E03B}">
      <text>
        <r>
          <rPr>
            <sz val="10"/>
            <color indexed="81"/>
            <rFont val="Lucida Console"/>
            <family val="3"/>
          </rPr>
          <t>_x000D_
Últ estimativa : 0_x000D_
Enviada em     : 23.09.2020_x000D_
Ata - Venc     : 58/21 - 02.03.2022</t>
        </r>
      </text>
    </comment>
    <comment ref="O530" authorId="0" shapeId="0" xr:uid="{64ED1F06-0362-41E3-97A3-AD545EE16A6C}">
      <text>
        <r>
          <rPr>
            <sz val="10"/>
            <color indexed="81"/>
            <rFont val="Lucida Console"/>
            <family val="3"/>
          </rPr>
          <t>_x000D_
Pertencia a ATA nº 58/21_x000D_
Estimativa de Renovação enviada em 23.09.2020 - Qtd _x000D_
PE   5/21 lote _x000D_
02.02.21 = Finalizado</t>
        </r>
      </text>
    </comment>
    <comment ref="W530" authorId="0" shapeId="0" xr:uid="{F64B52D7-4C78-49BD-9323-076B10514861}">
      <text>
        <r>
          <rPr>
            <sz val="10"/>
            <color indexed="81"/>
            <rFont val="Lucida Console"/>
            <family val="3"/>
          </rPr>
          <t>_x000D_
DM-Elétrica</t>
        </r>
      </text>
    </comment>
    <comment ref="X530" authorId="0" shapeId="0" xr:uid="{2327F2D9-33C2-470A-BC72-9DFCE023F341}">
      <text>
        <r>
          <rPr>
            <sz val="10"/>
            <color indexed="81"/>
            <rFont val="Lucida Console"/>
            <family val="3"/>
          </rPr>
          <t>_x000D_
EQUIP. MAT. P/ GERACAO, TRANSM. DISTR. RETIF...</t>
        </r>
      </text>
    </comment>
    <comment ref="Y530" authorId="0" shapeId="0" xr:uid="{44671313-4FAC-4CF4-8AC1-0FBECBF95F1E}">
      <text>
        <r>
          <rPr>
            <sz val="10"/>
            <color indexed="81"/>
            <rFont val="Lucida Console"/>
            <family val="3"/>
          </rPr>
          <t>_x000D_
ELETRODUTOS E ACESSORIOS</t>
        </r>
      </text>
    </comment>
    <comment ref="AW530" authorId="0" shapeId="0" xr:uid="{C2DEF05C-ECBC-49CC-A40B-A7D768E8602F}">
      <text>
        <r>
          <rPr>
            <sz val="10"/>
            <color indexed="81"/>
            <rFont val="Lucida Console"/>
            <family val="3"/>
          </rPr>
          <t>Tempo de Estoque (Meses)_x000D_
_x000D_
76,0</t>
        </r>
      </text>
    </comment>
    <comment ref="A531" authorId="0" shapeId="0" xr:uid="{A0407CDB-E1E9-4BD4-BF22-BDAD08FD7CBA}">
      <text>
        <r>
          <rPr>
            <sz val="10"/>
            <color indexed="81"/>
            <rFont val="Lucida Console"/>
            <family val="3"/>
          </rPr>
          <t>_x000D_
15668</t>
        </r>
      </text>
    </comment>
    <comment ref="B531" authorId="0" shapeId="0" xr:uid="{2D4B07F6-456A-4D48-8B6E-B5B0F10CE8B2}">
      <text>
        <r>
          <rPr>
            <sz val="10"/>
            <color indexed="81"/>
            <rFont val="Lucida Console"/>
            <family val="3"/>
          </rPr>
          <t>DESCRIÇÃO DETALHADA_x000D_
TERMINAL DE COMPRESSAO TIPO OLHAL P/ CABO DE COBRE 120MM2C/ 1 FURO DE FIXACAO DE COMPRESSAO</t>
        </r>
      </text>
    </comment>
    <comment ref="G531" authorId="0" shapeId="0" xr:uid="{4315762D-5BEE-4D55-A69B-856337BF7D40}">
      <text>
        <r>
          <rPr>
            <sz val="10"/>
            <color indexed="81"/>
            <rFont val="Lucida Console"/>
            <family val="3"/>
          </rPr>
          <t>_x000D_
Últ estimativa : 0_x000D_
Enviada em     : 23.09.2020_x000D_
Ata - Venc     : 58/21 - 02.03.2022</t>
        </r>
      </text>
    </comment>
    <comment ref="O531" authorId="0" shapeId="0" xr:uid="{543A9C57-B88F-4E5A-89DA-796A515FF002}">
      <text>
        <r>
          <rPr>
            <sz val="10"/>
            <color indexed="81"/>
            <rFont val="Lucida Console"/>
            <family val="3"/>
          </rPr>
          <t>_x000D_
Pertencia a ATA nº 58/21_x000D_
Estimativa de Renovação enviada em 23.09.2020 - Qtd _x000D_
PE   5/21 lote _x000D_
02.02.21 = Finalizado</t>
        </r>
      </text>
    </comment>
    <comment ref="W531" authorId="0" shapeId="0" xr:uid="{34F2A052-A891-4231-B1C6-E2C4F154DD9A}">
      <text>
        <r>
          <rPr>
            <sz val="10"/>
            <color indexed="81"/>
            <rFont val="Lucida Console"/>
            <family val="3"/>
          </rPr>
          <t>_x000D_
DM-Elétrica</t>
        </r>
      </text>
    </comment>
    <comment ref="X531" authorId="0" shapeId="0" xr:uid="{A290F9F0-D7A6-4219-89A3-B335D270C35B}">
      <text>
        <r>
          <rPr>
            <sz val="10"/>
            <color indexed="81"/>
            <rFont val="Lucida Console"/>
            <family val="3"/>
          </rPr>
          <t>_x000D_
EQUIP. MAT. P/ GERACAO, TRANSM. DISTR. RETIF...</t>
        </r>
      </text>
    </comment>
    <comment ref="Y531" authorId="0" shapeId="0" xr:uid="{14DF9F04-4B02-475F-87CD-470920455F40}">
      <text>
        <r>
          <rPr>
            <sz val="10"/>
            <color indexed="81"/>
            <rFont val="Lucida Console"/>
            <family val="3"/>
          </rPr>
          <t>_x000D_
TERMINAIS</t>
        </r>
      </text>
    </comment>
    <comment ref="AW531" authorId="0" shapeId="0" xr:uid="{FA99473B-2C0B-4D11-A095-94DAD024D760}">
      <text>
        <r>
          <rPr>
            <sz val="10"/>
            <color indexed="81"/>
            <rFont val="Lucida Console"/>
            <family val="3"/>
          </rPr>
          <t>Tempo de Estoque (Meses)_x000D_
_x000D_
244,0</t>
        </r>
      </text>
    </comment>
    <comment ref="A532" authorId="0" shapeId="0" xr:uid="{F08B0F1A-1625-46CA-8A9E-FDED704F60E4}">
      <text>
        <r>
          <rPr>
            <sz val="10"/>
            <color indexed="81"/>
            <rFont val="Lucida Console"/>
            <family val="3"/>
          </rPr>
          <t>_x000D_
15672</t>
        </r>
      </text>
    </comment>
    <comment ref="B532" authorId="0" shapeId="0" xr:uid="{7816C856-062D-4847-8570-2EAC3CC91479}">
      <text>
        <r>
          <rPr>
            <sz val="10"/>
            <color indexed="81"/>
            <rFont val="Lucida Console"/>
            <family val="3"/>
          </rPr>
          <t>DESCRIÇÃO DETALHADA_x000D_
TERMINAL DE COMPRESSAO TIPO OLHAL P/ CABO DE COBRE 240MM2C/ 1 FURO DE FIXACAO DE COMPRESSAO</t>
        </r>
      </text>
    </comment>
    <comment ref="G532" authorId="0" shapeId="0" xr:uid="{E5E70B37-A79D-409A-9AC2-858C58DB19F0}">
      <text>
        <r>
          <rPr>
            <sz val="10"/>
            <color indexed="81"/>
            <rFont val="Lucida Console"/>
            <family val="3"/>
          </rPr>
          <t>_x000D_
Últ estimativa : 0_x000D_
Enviada em     : 23.09.2020_x000D_
Ata - Venc     : 58/21 - 02.03.2022</t>
        </r>
      </text>
    </comment>
    <comment ref="O532" authorId="0" shapeId="0" xr:uid="{04388DEA-667F-4E81-AEFD-FCD56A33B2AA}">
      <text>
        <r>
          <rPr>
            <sz val="10"/>
            <color indexed="81"/>
            <rFont val="Lucida Console"/>
            <family val="3"/>
          </rPr>
          <t>_x000D_
Pertencia a ATA nº 58/21_x000D_
Estimativa de Renovação enviada em 23.09.2020 - Qtd _x000D_
PE   5/21 lote _x000D_
02.02.21 = Finalizado</t>
        </r>
      </text>
    </comment>
    <comment ref="W532" authorId="0" shapeId="0" xr:uid="{05B1CCCD-3A71-4089-A630-69D37FBF370F}">
      <text>
        <r>
          <rPr>
            <sz val="10"/>
            <color indexed="81"/>
            <rFont val="Lucida Console"/>
            <family val="3"/>
          </rPr>
          <t>_x000D_
DM-Elétrica</t>
        </r>
      </text>
    </comment>
    <comment ref="X532" authorId="0" shapeId="0" xr:uid="{47EA200E-8466-4C0B-A77C-74D20A520845}">
      <text>
        <r>
          <rPr>
            <sz val="10"/>
            <color indexed="81"/>
            <rFont val="Lucida Console"/>
            <family val="3"/>
          </rPr>
          <t>_x000D_
EQUIP. MAT. P/ GERACAO, TRANSM. DISTR. RETIF...</t>
        </r>
      </text>
    </comment>
    <comment ref="Y532" authorId="0" shapeId="0" xr:uid="{57155BAC-7E22-440B-90AB-E538E0395E5D}">
      <text>
        <r>
          <rPr>
            <sz val="10"/>
            <color indexed="81"/>
            <rFont val="Lucida Console"/>
            <family val="3"/>
          </rPr>
          <t>_x000D_
TERMINAIS</t>
        </r>
      </text>
    </comment>
    <comment ref="AW532" authorId="0" shapeId="0" xr:uid="{6A846DC4-9B51-4328-8F55-DD86D8BF6C33}">
      <text>
        <r>
          <rPr>
            <sz val="10"/>
            <color indexed="81"/>
            <rFont val="Lucida Console"/>
            <family val="3"/>
          </rPr>
          <t>Tempo de Estoque (Meses)_x000D_
_x000D_
500,0</t>
        </r>
      </text>
    </comment>
    <comment ref="A533" authorId="0" shapeId="0" xr:uid="{7DABDF9B-AFF0-4F37-8B92-1FFE30F42B6C}">
      <text>
        <r>
          <rPr>
            <sz val="10"/>
            <color indexed="81"/>
            <rFont val="Lucida Console"/>
            <family val="3"/>
          </rPr>
          <t>_x000D_
17299</t>
        </r>
      </text>
    </comment>
    <comment ref="B533" authorId="0" shapeId="0" xr:uid="{4BC0B012-C8D8-4781-BA39-D7ECFF697A88}">
      <text>
        <r>
          <rPr>
            <sz val="10"/>
            <color indexed="81"/>
            <rFont val="Lucida Console"/>
            <family val="3"/>
          </rPr>
          <t>DESCRIÇÃO DETALHADA_x000D_
PAPEL MONOLUCIDO - 120 G/M2 660 X 960 MM  - PACOTE C/ 250FOLHAS</t>
        </r>
      </text>
    </comment>
    <comment ref="G533" authorId="0" shapeId="0" xr:uid="{FF20097E-FDC4-4096-AEB1-CB9E280C59ED}">
      <text>
        <r>
          <rPr>
            <sz val="10"/>
            <color indexed="81"/>
            <rFont val="Lucida Console"/>
            <family val="3"/>
          </rPr>
          <t>_x000D_
Últ estimativa : 60_x000D_
Enviada em     : 05.03.2020_x000D_
Ata - Venc     : 61/18 - 12.03.2019</t>
        </r>
      </text>
    </comment>
    <comment ref="O533" authorId="0" shapeId="0" xr:uid="{BC9E890C-6894-4F84-A04E-E89D54B3628F}">
      <text>
        <r>
          <rPr>
            <sz val="10"/>
            <color indexed="81"/>
            <rFont val="Lucida Console"/>
            <family val="3"/>
          </rPr>
          <t>_x000D_
Pertencia a ATA nº 61/18_x000D_
Estimativa de Renovação enviada em 05.03.2020 - Qtd 60_x000D_
PE 127/20 lote 24_x000D_
10.08.20 = Finalizado</t>
        </r>
      </text>
    </comment>
    <comment ref="W533" authorId="0" shapeId="0" xr:uid="{363AD02D-F60B-44F2-9F7B-FBD154658950}">
      <text>
        <r>
          <rPr>
            <sz val="10"/>
            <color indexed="81"/>
            <rFont val="Lucida Console"/>
            <family val="3"/>
          </rPr>
          <t>_x000D_
Pedagógico</t>
        </r>
      </text>
    </comment>
    <comment ref="X533" authorId="0" shapeId="0" xr:uid="{1703EC33-277B-4C18-BE22-DC77DE43BFEB}">
      <text>
        <r>
          <rPr>
            <sz val="10"/>
            <color indexed="81"/>
            <rFont val="Lucida Console"/>
            <family val="3"/>
          </rPr>
          <t>_x000D_
MAQ. E EQUIP. P/ IND. GRAFICA COMP. ACESS. E PAPEI</t>
        </r>
      </text>
    </comment>
    <comment ref="Y533" authorId="0" shapeId="0" xr:uid="{BC37D250-5F3F-443C-B3AB-C00FE5CFDE79}">
      <text>
        <r>
          <rPr>
            <sz val="10"/>
            <color indexed="81"/>
            <rFont val="Lucida Console"/>
            <family val="3"/>
          </rPr>
          <t>_x000D_
PAPEIS PARA INDUSTRIA GRAFICA</t>
        </r>
      </text>
    </comment>
    <comment ref="AW533" authorId="0" shapeId="0" xr:uid="{DAB144EB-65B0-43B9-B4EA-D3AB46CF7794}">
      <text>
        <r>
          <rPr>
            <sz val="10"/>
            <color indexed="81"/>
            <rFont val="Lucida Console"/>
            <family val="3"/>
          </rPr>
          <t>Tempo de Estoque (Meses)_x000D_
_x000D_
42,0</t>
        </r>
      </text>
    </comment>
    <comment ref="A534" authorId="0" shapeId="0" xr:uid="{2C8DB1E1-F483-406F-9DAD-BB333627E1F7}">
      <text>
        <r>
          <rPr>
            <sz val="10"/>
            <color indexed="81"/>
            <rFont val="Lucida Console"/>
            <family val="3"/>
          </rPr>
          <t>_x000D_
140030</t>
        </r>
      </text>
    </comment>
    <comment ref="B534" authorId="0" shapeId="0" xr:uid="{E1129BC0-BD8F-4705-B272-D5440D493E7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34" authorId="0" shapeId="0" xr:uid="{56D7E082-BB04-44B3-A07E-6F9A8B834239}">
      <text>
        <r>
          <rPr>
            <sz val="10"/>
            <color indexed="81"/>
            <rFont val="Lucida Console"/>
            <family val="3"/>
          </rPr>
          <t>_x000D_
Últ estimativa : 200_x000D_
Enviada em     : 12.11.2020_x000D_
Ata - Venc     : 61/21 - 04.03.2022</t>
        </r>
      </text>
    </comment>
    <comment ref="O534" authorId="0" shapeId="0" xr:uid="{FC354A26-8EF8-4645-8AC9-77F11B0BE8AD}">
      <text>
        <r>
          <rPr>
            <sz val="10"/>
            <color indexed="81"/>
            <rFont val="Lucida Console"/>
            <family val="3"/>
          </rPr>
          <t>_x000D_
Pertencia a ATA nº 61/21_x000D_
Estimativa de Renovação enviada em 12.11.2020 - Qtd 200_x000D_
PE  11/21 lote _x000D_
19.02.21 = Finalizado</t>
        </r>
      </text>
    </comment>
    <comment ref="W534" authorId="0" shapeId="0" xr:uid="{81ADCE23-6F34-4997-942A-3FE221570356}">
      <text>
        <r>
          <rPr>
            <sz val="10"/>
            <color indexed="81"/>
            <rFont val="Lucida Console"/>
            <family val="3"/>
          </rPr>
          <t>_x000D_
DM-Elétrica</t>
        </r>
      </text>
    </comment>
    <comment ref="X534" authorId="0" shapeId="0" xr:uid="{AD61FA6E-502C-418C-96F9-FA751DEF2C5D}">
      <text>
        <r>
          <rPr>
            <sz val="10"/>
            <color indexed="81"/>
            <rFont val="Lucida Console"/>
            <family val="3"/>
          </rPr>
          <t>_x000D_
EQUIP. MAT. P/ GERACAO, TRANSM. DISTR. RETIF...</t>
        </r>
      </text>
    </comment>
    <comment ref="Y534" authorId="0" shapeId="0" xr:uid="{3189A0A0-6AF0-4B81-9103-5CE023F79767}">
      <text>
        <r>
          <rPr>
            <sz val="10"/>
            <color indexed="81"/>
            <rFont val="Lucida Console"/>
            <family val="3"/>
          </rPr>
          <t>_x000D_
FIOS E CABOS ELETRICOS</t>
        </r>
      </text>
    </comment>
    <comment ref="AW534" authorId="0" shapeId="0" xr:uid="{BCE99B5C-8AA9-48C6-8C2D-9A14A517783D}">
      <text>
        <r>
          <rPr>
            <sz val="10"/>
            <color indexed="81"/>
            <rFont val="Lucida Console"/>
            <family val="3"/>
          </rPr>
          <t>Tempo de Estoque (Meses)_x000D_
_x000D_
82,0</t>
        </r>
      </text>
    </comment>
    <comment ref="A535" authorId="0" shapeId="0" xr:uid="{298E902F-C209-4DF1-89AD-340C5B55572C}">
      <text>
        <r>
          <rPr>
            <sz val="10"/>
            <color indexed="81"/>
            <rFont val="Lucida Console"/>
            <family val="3"/>
          </rPr>
          <t>_x000D_
140032</t>
        </r>
      </text>
    </comment>
    <comment ref="B535" authorId="0" shapeId="0" xr:uid="{DFB9410D-456C-4DDF-BED6-0035218504D5}">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35" authorId="0" shapeId="0" xr:uid="{08DA3D7A-1DD5-4F7B-8125-114EC88B9B67}">
      <text>
        <r>
          <rPr>
            <sz val="10"/>
            <color indexed="81"/>
            <rFont val="Lucida Console"/>
            <family val="3"/>
          </rPr>
          <t>_x000D_
Últ estimativa : 600_x000D_
Enviada em     : 12.11.2020_x000D_
Ata - Venc     : 61/21 - 04.03.2022</t>
        </r>
      </text>
    </comment>
    <comment ref="O535" authorId="0" shapeId="0" xr:uid="{71AAD0A7-F2EA-4741-B304-244BF34162E2}">
      <text>
        <r>
          <rPr>
            <sz val="10"/>
            <color indexed="81"/>
            <rFont val="Lucida Console"/>
            <family val="3"/>
          </rPr>
          <t>_x000D_
Pertencia a ATA nº 61/21_x000D_
Estimativa de Renovação enviada em 12.11.2020 - Qtd 600_x000D_
PE  11/21 lote _x000D_
19.02.21 = Finalizado</t>
        </r>
      </text>
    </comment>
    <comment ref="W535" authorId="0" shapeId="0" xr:uid="{75BD884A-0F62-48CB-8E9E-CA564D38023C}">
      <text>
        <r>
          <rPr>
            <sz val="10"/>
            <color indexed="81"/>
            <rFont val="Lucida Console"/>
            <family val="3"/>
          </rPr>
          <t>_x000D_
DM-Elétrica</t>
        </r>
      </text>
    </comment>
    <comment ref="X535" authorId="0" shapeId="0" xr:uid="{22745858-E6F0-46D2-9A02-3C3171776662}">
      <text>
        <r>
          <rPr>
            <sz val="10"/>
            <color indexed="81"/>
            <rFont val="Lucida Console"/>
            <family val="3"/>
          </rPr>
          <t>_x000D_
EQUIP. MAT. P/ GERACAO, TRANSM. DISTR. RETIF...</t>
        </r>
      </text>
    </comment>
    <comment ref="Y535" authorId="0" shapeId="0" xr:uid="{512885BB-4CB1-4D39-82CC-FE59D2A77C95}">
      <text>
        <r>
          <rPr>
            <sz val="10"/>
            <color indexed="81"/>
            <rFont val="Lucida Console"/>
            <family val="3"/>
          </rPr>
          <t>_x000D_
FIOS E CABOS ELETRICOS</t>
        </r>
      </text>
    </comment>
    <comment ref="AW535" authorId="0" shapeId="0" xr:uid="{2043B9F8-2F9C-4FE8-8CE5-CCBF2B77C57C}">
      <text>
        <r>
          <rPr>
            <sz val="10"/>
            <color indexed="81"/>
            <rFont val="Lucida Console"/>
            <family val="3"/>
          </rPr>
          <t>Tempo de Estoque (Meses)_x000D_
_x000D_
495,0</t>
        </r>
      </text>
    </comment>
    <comment ref="A536" authorId="0" shapeId="0" xr:uid="{0283B048-1665-43B1-95EA-EA7BA00D0543}">
      <text>
        <r>
          <rPr>
            <sz val="10"/>
            <color indexed="81"/>
            <rFont val="Lucida Console"/>
            <family val="3"/>
          </rPr>
          <t>_x000D_
140033</t>
        </r>
      </text>
    </comment>
    <comment ref="B536" authorId="0" shapeId="0" xr:uid="{4B0AA0B7-401E-4A6D-A419-A48E89C89040}">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36" authorId="0" shapeId="0" xr:uid="{CD2EA469-43F5-48F0-8749-189C9209EEA4}">
      <text>
        <r>
          <rPr>
            <sz val="10"/>
            <color indexed="81"/>
            <rFont val="Lucida Console"/>
            <family val="3"/>
          </rPr>
          <t>_x000D_
Últ estimativa : 400_x000D_
Enviada em     : 12.11.2020_x000D_
Ata - Venc     : 61/21 - 04.03.2022</t>
        </r>
      </text>
    </comment>
    <comment ref="O536" authorId="0" shapeId="0" xr:uid="{A2341DE7-31E9-4088-8E41-ECEDAE5C595C}">
      <text>
        <r>
          <rPr>
            <sz val="10"/>
            <color indexed="81"/>
            <rFont val="Lucida Console"/>
            <family val="3"/>
          </rPr>
          <t>_x000D_
Pertencia a ATA nº 61/21_x000D_
Estimativa de Renovação enviada em 12.11.2020 - Qtd 400_x000D_
PE  11/21 lote _x000D_
19.02.21 = Finalizado</t>
        </r>
      </text>
    </comment>
    <comment ref="W536" authorId="0" shapeId="0" xr:uid="{2035284A-4749-4A96-A707-C8FFFB29C76C}">
      <text>
        <r>
          <rPr>
            <sz val="10"/>
            <color indexed="81"/>
            <rFont val="Lucida Console"/>
            <family val="3"/>
          </rPr>
          <t>_x000D_
DM-Elétrica</t>
        </r>
      </text>
    </comment>
    <comment ref="X536" authorId="0" shapeId="0" xr:uid="{B238AECE-9145-4CF6-AA0C-B3882EE98206}">
      <text>
        <r>
          <rPr>
            <sz val="10"/>
            <color indexed="81"/>
            <rFont val="Lucida Console"/>
            <family val="3"/>
          </rPr>
          <t>_x000D_
EQUIP. MAT. P/ GERACAO, TRANSM. DISTR. RETIF...</t>
        </r>
      </text>
    </comment>
    <comment ref="Y536" authorId="0" shapeId="0" xr:uid="{51AB7949-EBF5-47DE-9FA8-4103F68E8EA7}">
      <text>
        <r>
          <rPr>
            <sz val="10"/>
            <color indexed="81"/>
            <rFont val="Lucida Console"/>
            <family val="3"/>
          </rPr>
          <t>_x000D_
FIOS E CABOS ELETRICOS</t>
        </r>
      </text>
    </comment>
    <comment ref="AW536" authorId="0" shapeId="0" xr:uid="{E8CA0A4E-91A1-4DBD-9B3D-5E2C7A11A8A1}">
      <text>
        <r>
          <rPr>
            <sz val="10"/>
            <color indexed="81"/>
            <rFont val="Lucida Console"/>
            <family val="3"/>
          </rPr>
          <t>Tempo de Estoque (Meses)_x000D_
_x000D_
314,0</t>
        </r>
      </text>
    </comment>
    <comment ref="A537" authorId="0" shapeId="0" xr:uid="{975508BC-BD13-4E35-AB6D-8D82CF78D8A7}">
      <text>
        <r>
          <rPr>
            <sz val="10"/>
            <color indexed="81"/>
            <rFont val="Lucida Console"/>
            <family val="3"/>
          </rPr>
          <t>_x000D_
140036</t>
        </r>
      </text>
    </comment>
    <comment ref="B537" authorId="0" shapeId="0" xr:uid="{6CBE477B-A021-4D4D-A09B-87A8CFC92F23}">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37" authorId="0" shapeId="0" xr:uid="{B364DE74-2AFF-4C00-BBD7-8EC69A85D1D5}">
      <text>
        <r>
          <rPr>
            <sz val="10"/>
            <color indexed="81"/>
            <rFont val="Lucida Console"/>
            <family val="3"/>
          </rPr>
          <t>_x000D_
Últ estimativa : 360_x000D_
Enviada em     : 12.11.2020_x000D_
Ata - Venc     : 61/21 - 04.03.2022</t>
        </r>
      </text>
    </comment>
    <comment ref="O537" authorId="0" shapeId="0" xr:uid="{81D8974B-C8EB-4AB8-8944-68C746DE4862}">
      <text>
        <r>
          <rPr>
            <sz val="10"/>
            <color indexed="81"/>
            <rFont val="Lucida Console"/>
            <family val="3"/>
          </rPr>
          <t xml:space="preserve">_x000D_
Pertencia a ATA nº 61/21_x000D_
Estimativa de Renovação enviada em 12.11.2020 - Qtd 360_x000D_
PE  31/22 lote _x000D_
 = </t>
        </r>
      </text>
    </comment>
    <comment ref="W537" authorId="0" shapeId="0" xr:uid="{DF4351A1-5A7A-436B-801D-56AF493E1BA6}">
      <text>
        <r>
          <rPr>
            <sz val="10"/>
            <color indexed="81"/>
            <rFont val="Lucida Console"/>
            <family val="3"/>
          </rPr>
          <t>_x000D_
DM-Elétrica</t>
        </r>
      </text>
    </comment>
    <comment ref="X537" authorId="0" shapeId="0" xr:uid="{F1750CBC-E540-4DDD-9759-FFE580714660}">
      <text>
        <r>
          <rPr>
            <sz val="10"/>
            <color indexed="81"/>
            <rFont val="Lucida Console"/>
            <family val="3"/>
          </rPr>
          <t>_x000D_
EQUIP. MAT. P/ GERACAO, TRANSM. DISTR. RETIF...</t>
        </r>
      </text>
    </comment>
    <comment ref="Y537" authorId="0" shapeId="0" xr:uid="{78066B26-33FC-4CFB-A59A-F4EA1D5EA11C}">
      <text>
        <r>
          <rPr>
            <sz val="10"/>
            <color indexed="81"/>
            <rFont val="Lucida Console"/>
            <family val="3"/>
          </rPr>
          <t>_x000D_
FIOS E CABOS ELETRICOS</t>
        </r>
      </text>
    </comment>
    <comment ref="Z537" authorId="0" shapeId="0" xr:uid="{A88FFC83-503C-4D52-A38F-C44B120348A8}">
      <text>
        <r>
          <rPr>
            <sz val="10"/>
            <color indexed="81"/>
            <rFont val="Lucida Console"/>
            <family val="3"/>
          </rPr>
          <t>_x000D_
RC  1.376 / 23  Qtde: 19_x000D_
RC  2.375 / 23  Qtde: 150</t>
        </r>
      </text>
    </comment>
    <comment ref="AW537" authorId="0" shapeId="0" xr:uid="{E8869183-1ECE-4A8B-97F7-F86E1AB5F920}">
      <text>
        <r>
          <rPr>
            <sz val="10"/>
            <color indexed="81"/>
            <rFont val="Lucida Console"/>
            <family val="3"/>
          </rPr>
          <t>Tempo de Estoque (Meses)_x000D_
_x000D_
169,0</t>
        </r>
      </text>
    </comment>
    <comment ref="A538" authorId="0" shapeId="0" xr:uid="{EAF2C243-6CCD-456F-92E2-544259348679}">
      <text>
        <r>
          <rPr>
            <sz val="10"/>
            <color indexed="81"/>
            <rFont val="Lucida Console"/>
            <family val="3"/>
          </rPr>
          <t>_x000D_
140038</t>
        </r>
      </text>
    </comment>
    <comment ref="B538" authorId="0" shapeId="0" xr:uid="{F84D956E-F5CF-41DF-8814-F1539B925289}">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38" authorId="0" shapeId="0" xr:uid="{E29C8E03-DE1A-43F3-B4F4-5519D7F31EC9}">
      <text>
        <r>
          <rPr>
            <sz val="10"/>
            <color indexed="81"/>
            <rFont val="Lucida Console"/>
            <family val="3"/>
          </rPr>
          <t>_x000D_
Últ estimativa : 200_x000D_
Enviada em     : 12.11.2020_x000D_
Ata - Venc     : 61/21 - 04.03.2022</t>
        </r>
      </text>
    </comment>
    <comment ref="O538" authorId="0" shapeId="0" xr:uid="{65EAB4C8-D8F8-4F70-ADB4-114A414C1C7A}">
      <text>
        <r>
          <rPr>
            <sz val="10"/>
            <color indexed="81"/>
            <rFont val="Lucida Console"/>
            <family val="3"/>
          </rPr>
          <t>_x000D_
Pertencia a ATA nº 61/21_x000D_
Estimativa de Renovação enviada em 12.11.2020 - Qtd 200_x000D_
PE  11/21 lote _x000D_
19.02.21 = Finalizado</t>
        </r>
      </text>
    </comment>
    <comment ref="W538" authorId="0" shapeId="0" xr:uid="{1785A9C3-E864-40B4-AFC6-4F5EB4E9C88C}">
      <text>
        <r>
          <rPr>
            <sz val="10"/>
            <color indexed="81"/>
            <rFont val="Lucida Console"/>
            <family val="3"/>
          </rPr>
          <t>_x000D_
DM-Elétrica</t>
        </r>
      </text>
    </comment>
    <comment ref="X538" authorId="0" shapeId="0" xr:uid="{B916B6E4-E307-48C7-95F4-836DF81BCEA6}">
      <text>
        <r>
          <rPr>
            <sz val="10"/>
            <color indexed="81"/>
            <rFont val="Lucida Console"/>
            <family val="3"/>
          </rPr>
          <t>_x000D_
EQUIP. MAT. P/ GERACAO, TRANSM. DISTR. RETIF...</t>
        </r>
      </text>
    </comment>
    <comment ref="Y538" authorId="0" shapeId="0" xr:uid="{411BD2B4-B55D-4C69-9CD8-626866F123FA}">
      <text>
        <r>
          <rPr>
            <sz val="10"/>
            <color indexed="81"/>
            <rFont val="Lucida Console"/>
            <family val="3"/>
          </rPr>
          <t>_x000D_
FIOS E CABOS ELETRICOS</t>
        </r>
      </text>
    </comment>
    <comment ref="Z538" authorId="0" shapeId="0" xr:uid="{5C5838DC-05AA-42CD-A50C-24C339BE368B}">
      <text>
        <r>
          <rPr>
            <sz val="10"/>
            <color indexed="81"/>
            <rFont val="Lucida Console"/>
            <family val="3"/>
          </rPr>
          <t>_x000D_
RC  1.376 / 23  Qtde: 29_x000D_
RC  2.383 / 23  Qtde: 50</t>
        </r>
      </text>
    </comment>
    <comment ref="AW538" authorId="0" shapeId="0" xr:uid="{8B4316A4-EFE7-463C-BD89-4BE2817E4E85}">
      <text>
        <r>
          <rPr>
            <sz val="10"/>
            <color indexed="81"/>
            <rFont val="Lucida Console"/>
            <family val="3"/>
          </rPr>
          <t>Tempo de Estoque (Meses)_x000D_
_x000D_
81,0</t>
        </r>
      </text>
    </comment>
    <comment ref="A539" authorId="0" shapeId="0" xr:uid="{665ABE57-37F2-4F49-BF5E-BE79931FEEF5}">
      <text>
        <r>
          <rPr>
            <sz val="10"/>
            <color indexed="81"/>
            <rFont val="Lucida Console"/>
            <family val="3"/>
          </rPr>
          <t>_x000D_
140042</t>
        </r>
      </text>
    </comment>
    <comment ref="B539" authorId="0" shapeId="0" xr:uid="{05562833-7640-4947-A64B-69199922CE6F}">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39" authorId="0" shapeId="0" xr:uid="{16A380C6-E93D-4942-85E1-FCE9FCC69F3A}">
      <text>
        <r>
          <rPr>
            <sz val="10"/>
            <color indexed="81"/>
            <rFont val="Lucida Console"/>
            <family val="3"/>
          </rPr>
          <t>_x000D_
Últ estimativa : 10.000_x000D_
Enviada em     : 12.11.2020_x000D_
Ata - Venc     : 61/21 - 04.03.2022</t>
        </r>
      </text>
    </comment>
    <comment ref="O539" authorId="0" shapeId="0" xr:uid="{894C090B-051A-430C-A929-5CA874430AB6}">
      <text>
        <r>
          <rPr>
            <sz val="10"/>
            <color indexed="81"/>
            <rFont val="Lucida Console"/>
            <family val="3"/>
          </rPr>
          <t>_x000D_
Pertencia a ATA nº 61/21_x000D_
Estimativa de Renovação enviada em 12.11.2020 - Qtd 10.000_x000D_
PE  11/21 lote _x000D_
19.02.21 = Finalizado</t>
        </r>
      </text>
    </comment>
    <comment ref="W539" authorId="0" shapeId="0" xr:uid="{9E7D66D8-ECE8-4F47-9763-4943578D9C8B}">
      <text>
        <r>
          <rPr>
            <sz val="10"/>
            <color indexed="81"/>
            <rFont val="Lucida Console"/>
            <family val="3"/>
          </rPr>
          <t>_x000D_
DM-Elétrica</t>
        </r>
      </text>
    </comment>
    <comment ref="X539" authorId="0" shapeId="0" xr:uid="{74121A4C-6CD7-4DFA-96A6-3493F68A955D}">
      <text>
        <r>
          <rPr>
            <sz val="10"/>
            <color indexed="81"/>
            <rFont val="Lucida Console"/>
            <family val="3"/>
          </rPr>
          <t>_x000D_
EQUIP. MAT. P/ GERACAO, TRANSM. DISTR. RETIF...</t>
        </r>
      </text>
    </comment>
    <comment ref="Y539" authorId="0" shapeId="0" xr:uid="{52115CE9-5268-4C1E-969A-CF6E52CC9077}">
      <text>
        <r>
          <rPr>
            <sz val="10"/>
            <color indexed="81"/>
            <rFont val="Lucida Console"/>
            <family val="3"/>
          </rPr>
          <t>_x000D_
FIOS E CABOS ELETRICOS</t>
        </r>
      </text>
    </comment>
    <comment ref="AW539" authorId="0" shapeId="0" xr:uid="{C2311335-68A6-4DE9-881D-91DE7C5ECD83}">
      <text>
        <r>
          <rPr>
            <sz val="10"/>
            <color indexed="81"/>
            <rFont val="Lucida Console"/>
            <family val="3"/>
          </rPr>
          <t>Tempo de Estoque (Meses)_x000D_
_x000D_
3.000,0</t>
        </r>
      </text>
    </comment>
    <comment ref="A540" authorId="0" shapeId="0" xr:uid="{7E1CA7C0-98E7-4F92-924B-AAC85D6E73AB}">
      <text>
        <r>
          <rPr>
            <sz val="10"/>
            <color indexed="81"/>
            <rFont val="Lucida Console"/>
            <family val="3"/>
          </rPr>
          <t>_x000D_
140043</t>
        </r>
      </text>
    </comment>
    <comment ref="B540" authorId="0" shapeId="0" xr:uid="{F31D5CD6-A784-4C36-AEF7-EDD08FAF100B}">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40" authorId="0" shapeId="0" xr:uid="{5E74258C-CCF2-4FC8-8711-A62432600849}">
      <text>
        <r>
          <rPr>
            <sz val="10"/>
            <color indexed="81"/>
            <rFont val="Lucida Console"/>
            <family val="3"/>
          </rPr>
          <t>_x000D_
Últ estimativa : 4.000_x000D_
Enviada em     : 12.11.2020_x000D_
Ata - Venc     : 61/21 - 04.03.2022</t>
        </r>
      </text>
    </comment>
    <comment ref="O540" authorId="0" shapeId="0" xr:uid="{04D5ACCF-194C-4812-8E7E-2B86F2F0B0E7}">
      <text>
        <r>
          <rPr>
            <sz val="10"/>
            <color indexed="81"/>
            <rFont val="Lucida Console"/>
            <family val="3"/>
          </rPr>
          <t>_x000D_
Pertencia a ATA nº 61/21_x000D_
Estimativa de Renovação enviada em 12.11.2020 - Qtd 4.000_x000D_
PE  11/21 lote _x000D_
19.02.21 = Finalizado</t>
        </r>
      </text>
    </comment>
    <comment ref="W540" authorId="0" shapeId="0" xr:uid="{B295ED84-379B-4B06-8024-FD1BF369D885}">
      <text>
        <r>
          <rPr>
            <sz val="10"/>
            <color indexed="81"/>
            <rFont val="Lucida Console"/>
            <family val="3"/>
          </rPr>
          <t>_x000D_
DM-Elétrica</t>
        </r>
      </text>
    </comment>
    <comment ref="X540" authorId="0" shapeId="0" xr:uid="{58C2EB2B-E404-4925-A5D9-3B419AEE9F83}">
      <text>
        <r>
          <rPr>
            <sz val="10"/>
            <color indexed="81"/>
            <rFont val="Lucida Console"/>
            <family val="3"/>
          </rPr>
          <t>_x000D_
EQUIP. MAT. P/ GERACAO, TRANSM. DISTR. RETIF...</t>
        </r>
      </text>
    </comment>
    <comment ref="Y540" authorId="0" shapeId="0" xr:uid="{DEFAE709-95B0-40EA-BFE5-7C5221892B07}">
      <text>
        <r>
          <rPr>
            <sz val="10"/>
            <color indexed="81"/>
            <rFont val="Lucida Console"/>
            <family val="3"/>
          </rPr>
          <t>_x000D_
FIOS E CABOS ELETRICOS</t>
        </r>
      </text>
    </comment>
    <comment ref="Z540" authorId="0" shapeId="0" xr:uid="{C09CB27B-1FAC-4C0F-888C-619F460EF85A}">
      <text>
        <r>
          <rPr>
            <sz val="10"/>
            <color indexed="81"/>
            <rFont val="Lucida Console"/>
            <family val="3"/>
          </rPr>
          <t>_x000D_
RC  1.929 / 23  Qtde: 800_x000D_
RC  2.697 / 23  Qtde: 1.000</t>
        </r>
      </text>
    </comment>
    <comment ref="AW540" authorId="0" shapeId="0" xr:uid="{B691B788-85BF-4C52-A638-43738AFBDEB5}">
      <text>
        <r>
          <rPr>
            <sz val="10"/>
            <color indexed="81"/>
            <rFont val="Lucida Console"/>
            <family val="3"/>
          </rPr>
          <t>Tempo de Estoque (Meses)_x000D_
_x000D_
1.800,0</t>
        </r>
      </text>
    </comment>
    <comment ref="A541" authorId="0" shapeId="0" xr:uid="{F7626E44-6B3C-451B-A57C-1EBF00970BB4}">
      <text>
        <r>
          <rPr>
            <sz val="10"/>
            <color indexed="81"/>
            <rFont val="Lucida Console"/>
            <family val="3"/>
          </rPr>
          <t>_x000D_
140047</t>
        </r>
      </text>
    </comment>
    <comment ref="B541" authorId="0" shapeId="0" xr:uid="{F3F458F1-58B5-4992-AEA0-22DEEF554857}">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41" authorId="0" shapeId="0" xr:uid="{ADFD5DB0-45B9-46DC-9FF6-A8D0EEB1609C}">
      <text>
        <r>
          <rPr>
            <sz val="10"/>
            <color indexed="81"/>
            <rFont val="Lucida Console"/>
            <family val="3"/>
          </rPr>
          <t>_x000D_
Últ estimativa : 0_x000D_
Enviada em     : 12.11.2020_x000D_
Ata - Venc     : 61/21 - 04.03.2022</t>
        </r>
      </text>
    </comment>
    <comment ref="O541" authorId="0" shapeId="0" xr:uid="{C9973641-A6DB-4CEF-B005-88ABA4F1D4AC}">
      <text>
        <r>
          <rPr>
            <sz val="10"/>
            <color indexed="81"/>
            <rFont val="Lucida Console"/>
            <family val="3"/>
          </rPr>
          <t>_x000D_
Pertencia a ATA nº 61/21_x000D_
Estimativa de Renovação enviada em 12.11.2020 - Qtd _x000D_
PE  11/21 lote _x000D_
19.02.21 = Finalizado</t>
        </r>
      </text>
    </comment>
    <comment ref="W541" authorId="0" shapeId="0" xr:uid="{0C8C0D9E-43E9-4006-A730-592ACC746DBC}">
      <text>
        <r>
          <rPr>
            <sz val="10"/>
            <color indexed="81"/>
            <rFont val="Lucida Console"/>
            <family val="3"/>
          </rPr>
          <t>_x000D_
DM-Elétrica</t>
        </r>
      </text>
    </comment>
    <comment ref="X541" authorId="0" shapeId="0" xr:uid="{72F7D319-B8DE-4C31-8E03-E4D3615EAD55}">
      <text>
        <r>
          <rPr>
            <sz val="10"/>
            <color indexed="81"/>
            <rFont val="Lucida Console"/>
            <family val="3"/>
          </rPr>
          <t>_x000D_
EQUIP. MAT. P/ GERACAO, TRANSM. DISTR. RETIF...</t>
        </r>
      </text>
    </comment>
    <comment ref="Y541" authorId="0" shapeId="0" xr:uid="{3307B407-AFC9-4E0C-A51A-7B7CC52E32FC}">
      <text>
        <r>
          <rPr>
            <sz val="10"/>
            <color indexed="81"/>
            <rFont val="Lucida Console"/>
            <family val="3"/>
          </rPr>
          <t>_x000D_
FIOS E CABOS ELETRICOS</t>
        </r>
      </text>
    </comment>
    <comment ref="AW541" authorId="0" shapeId="0" xr:uid="{D7A18C50-82B4-4192-9448-EA705605A7CF}">
      <text>
        <r>
          <rPr>
            <sz val="10"/>
            <color indexed="81"/>
            <rFont val="Lucida Console"/>
            <family val="3"/>
          </rPr>
          <t>Tempo de Estoque (Meses)_x000D_
_x000D_
139,0</t>
        </r>
      </text>
    </comment>
    <comment ref="A542" authorId="0" shapeId="0" xr:uid="{44CDA7FD-ED2D-4148-A3D4-3D338567E65B}">
      <text>
        <r>
          <rPr>
            <sz val="10"/>
            <color indexed="81"/>
            <rFont val="Lucida Console"/>
            <family val="3"/>
          </rPr>
          <t>_x000D_
140048</t>
        </r>
      </text>
    </comment>
    <comment ref="B542" authorId="0" shapeId="0" xr:uid="{C72C7E6B-E17C-45B8-902C-5E7D7AD3C944}">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42" authorId="0" shapeId="0" xr:uid="{BEDCE94D-FC94-4654-89AD-4CBCCC837B9F}">
      <text>
        <r>
          <rPr>
            <sz val="10"/>
            <color indexed="81"/>
            <rFont val="Lucida Console"/>
            <family val="3"/>
          </rPr>
          <t>_x000D_
Últ estimativa : 6.000_x000D_
Enviada em     : 12.11.2020_x000D_
Ata - Venc     : 61/21 - 04.03.2022</t>
        </r>
      </text>
    </comment>
    <comment ref="O542" authorId="0" shapeId="0" xr:uid="{7626E3DD-E242-4438-B5E6-D08E78178CC1}">
      <text>
        <r>
          <rPr>
            <sz val="10"/>
            <color indexed="81"/>
            <rFont val="Lucida Console"/>
            <family val="3"/>
          </rPr>
          <t>_x000D_
Pertencia a ATA nº 61/21_x000D_
Estimativa de Renovação enviada em 12.11.2020 - Qtd 6.000_x000D_
PE  11/21 lote _x000D_
19.02.21 = Finalizado</t>
        </r>
      </text>
    </comment>
    <comment ref="W542" authorId="0" shapeId="0" xr:uid="{1041BDCC-DDCD-47F5-97D8-53FB32401368}">
      <text>
        <r>
          <rPr>
            <sz val="10"/>
            <color indexed="81"/>
            <rFont val="Lucida Console"/>
            <family val="3"/>
          </rPr>
          <t>_x000D_
DM-Elétrica</t>
        </r>
      </text>
    </comment>
    <comment ref="X542" authorId="0" shapeId="0" xr:uid="{AE6C2D39-69B3-4029-9F5B-C037BA7CF175}">
      <text>
        <r>
          <rPr>
            <sz val="10"/>
            <color indexed="81"/>
            <rFont val="Lucida Console"/>
            <family val="3"/>
          </rPr>
          <t>_x000D_
EQUIP. MAT. P/ GERACAO, TRANSM. DISTR. RETIF...</t>
        </r>
      </text>
    </comment>
    <comment ref="Y542" authorId="0" shapeId="0" xr:uid="{84DAD20F-951A-4E64-A3A7-29239D9A9450}">
      <text>
        <r>
          <rPr>
            <sz val="10"/>
            <color indexed="81"/>
            <rFont val="Lucida Console"/>
            <family val="3"/>
          </rPr>
          <t>_x000D_
FIOS E CABOS ELETRICOS</t>
        </r>
      </text>
    </comment>
    <comment ref="AW542" authorId="0" shapeId="0" xr:uid="{93996F3A-6CA1-40C4-96A4-6459F7D2B635}">
      <text>
        <r>
          <rPr>
            <sz val="10"/>
            <color indexed="81"/>
            <rFont val="Lucida Console"/>
            <family val="3"/>
          </rPr>
          <t>Tempo de Estoque (Meses)_x000D_
_x000D_
2.000,0</t>
        </r>
      </text>
    </comment>
    <comment ref="A543" authorId="0" shapeId="0" xr:uid="{A4B2F070-9AA1-42C7-BF28-45611F42C01A}">
      <text>
        <r>
          <rPr>
            <sz val="10"/>
            <color indexed="81"/>
            <rFont val="Lucida Console"/>
            <family val="3"/>
          </rPr>
          <t>_x000D_
140049</t>
        </r>
      </text>
    </comment>
    <comment ref="B543" authorId="0" shapeId="0" xr:uid="{F0F9706A-5F9F-42F6-8318-AAAB40614CB1}">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43" authorId="0" shapeId="0" xr:uid="{A712D605-A1B4-44E7-9377-1C5B71F85DFD}">
      <text>
        <r>
          <rPr>
            <sz val="10"/>
            <color indexed="81"/>
            <rFont val="Lucida Console"/>
            <family val="3"/>
          </rPr>
          <t>_x000D_
Últ estimativa : 1.200_x000D_
Enviada em     : 12.11.2020_x000D_
Ata - Venc     : 61/21 - 04.03.2022</t>
        </r>
      </text>
    </comment>
    <comment ref="O543" authorId="0" shapeId="0" xr:uid="{A7FDA47D-3BBF-4567-A56E-701CA851DD78}">
      <text>
        <r>
          <rPr>
            <sz val="10"/>
            <color indexed="81"/>
            <rFont val="Lucida Console"/>
            <family val="3"/>
          </rPr>
          <t>_x000D_
Pertencia a ATA nº 61/21_x000D_
Estimativa de Renovação enviada em 12.11.2020 - Qtd 1.200_x000D_
PE  11/21 lote _x000D_
19.02.21 = Finalizado</t>
        </r>
      </text>
    </comment>
    <comment ref="W543" authorId="0" shapeId="0" xr:uid="{3D78E9C7-0DF2-4136-8818-D4CBC95A1781}">
      <text>
        <r>
          <rPr>
            <sz val="10"/>
            <color indexed="81"/>
            <rFont val="Lucida Console"/>
            <family val="3"/>
          </rPr>
          <t>_x000D_
DM-Elétrica</t>
        </r>
      </text>
    </comment>
    <comment ref="X543" authorId="0" shapeId="0" xr:uid="{83D50134-1752-4668-B619-78D82CFD23BE}">
      <text>
        <r>
          <rPr>
            <sz val="10"/>
            <color indexed="81"/>
            <rFont val="Lucida Console"/>
            <family val="3"/>
          </rPr>
          <t>_x000D_
EQUIP. MAT. P/ GERACAO, TRANSM. DISTR. RETIF...</t>
        </r>
      </text>
    </comment>
    <comment ref="Y543" authorId="0" shapeId="0" xr:uid="{C1384BB2-25FB-46CF-BB5B-8B8F66B0DA64}">
      <text>
        <r>
          <rPr>
            <sz val="10"/>
            <color indexed="81"/>
            <rFont val="Lucida Console"/>
            <family val="3"/>
          </rPr>
          <t>_x000D_
FIOS E CABOS ELETRICOS</t>
        </r>
      </text>
    </comment>
    <comment ref="AW543" authorId="0" shapeId="0" xr:uid="{586130E8-84EF-4FC3-85D1-58871C2169A9}">
      <text>
        <r>
          <rPr>
            <sz val="10"/>
            <color indexed="81"/>
            <rFont val="Lucida Console"/>
            <family val="3"/>
          </rPr>
          <t>Tempo de Estoque (Meses)_x000D_
_x000D_
496,0</t>
        </r>
      </text>
    </comment>
    <comment ref="A544" authorId="0" shapeId="0" xr:uid="{ECBE4C10-DC82-4082-9818-71BEFDA5F054}">
      <text>
        <r>
          <rPr>
            <sz val="10"/>
            <color indexed="81"/>
            <rFont val="Lucida Console"/>
            <family val="3"/>
          </rPr>
          <t>_x000D_
140050</t>
        </r>
      </text>
    </comment>
    <comment ref="B544" authorId="0" shapeId="0" xr:uid="{D0D86852-8479-41F0-A281-36F426365850}">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44" authorId="0" shapeId="0" xr:uid="{2CBC07A9-9741-41EC-BF28-D01CD69D44D7}">
      <text>
        <r>
          <rPr>
            <sz val="10"/>
            <color indexed="81"/>
            <rFont val="Lucida Console"/>
            <family val="3"/>
          </rPr>
          <t>_x000D_
Últ estimativa : 1.200_x000D_
Enviada em     : 12.11.2020_x000D_
Ata - Venc     : 61/21 - 04.03.2022</t>
        </r>
      </text>
    </comment>
    <comment ref="O544" authorId="0" shapeId="0" xr:uid="{2A03F2DE-94F5-463F-AB40-78AF657B6AE7}">
      <text>
        <r>
          <rPr>
            <sz val="10"/>
            <color indexed="81"/>
            <rFont val="Lucida Console"/>
            <family val="3"/>
          </rPr>
          <t>_x000D_
Pertencia a ATA nº 61/21_x000D_
Estimativa de Renovação enviada em 12.11.2020 - Qtd 1.200_x000D_
PE  11/21 lote _x000D_
19.02.21 = Finalizado</t>
        </r>
      </text>
    </comment>
    <comment ref="W544" authorId="0" shapeId="0" xr:uid="{3434383C-A447-4708-B9C8-271D12968349}">
      <text>
        <r>
          <rPr>
            <sz val="10"/>
            <color indexed="81"/>
            <rFont val="Lucida Console"/>
            <family val="3"/>
          </rPr>
          <t>_x000D_
DM-Elétrica</t>
        </r>
      </text>
    </comment>
    <comment ref="X544" authorId="0" shapeId="0" xr:uid="{C00C173C-0F01-488D-9CB2-8AC175D1ABDB}">
      <text>
        <r>
          <rPr>
            <sz val="10"/>
            <color indexed="81"/>
            <rFont val="Lucida Console"/>
            <family val="3"/>
          </rPr>
          <t>_x000D_
EQUIP. MAT. P/ GERACAO, TRANSM. DISTR. RETIF...</t>
        </r>
      </text>
    </comment>
    <comment ref="Y544" authorId="0" shapeId="0" xr:uid="{D1B7C93A-F541-4BD7-BD01-F448378C38CD}">
      <text>
        <r>
          <rPr>
            <sz val="10"/>
            <color indexed="81"/>
            <rFont val="Lucida Console"/>
            <family val="3"/>
          </rPr>
          <t>_x000D_
FIOS E CABOS ELETRICOS</t>
        </r>
      </text>
    </comment>
    <comment ref="AW544" authorId="0" shapeId="0" xr:uid="{65E4D363-844C-4234-82FC-E5E24DD3AF48}">
      <text>
        <r>
          <rPr>
            <sz val="10"/>
            <color indexed="81"/>
            <rFont val="Lucida Console"/>
            <family val="3"/>
          </rPr>
          <t>Tempo de Estoque (Meses)_x000D_
_x000D_
1.501,0</t>
        </r>
      </text>
    </comment>
    <comment ref="A545" authorId="0" shapeId="0" xr:uid="{DA901ED5-183A-42E8-B050-0EE0AED302BE}">
      <text>
        <r>
          <rPr>
            <sz val="10"/>
            <color indexed="81"/>
            <rFont val="Lucida Console"/>
            <family val="3"/>
          </rPr>
          <t>_x000D_
140051</t>
        </r>
      </text>
    </comment>
    <comment ref="B545" authorId="0" shapeId="0" xr:uid="{D55EF9C9-E389-440F-98F8-DF3E152AA5D0}">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45" authorId="0" shapeId="0" xr:uid="{442FFFEC-E389-436D-A351-0265298425DC}">
      <text>
        <r>
          <rPr>
            <sz val="10"/>
            <color indexed="81"/>
            <rFont val="Lucida Console"/>
            <family val="3"/>
          </rPr>
          <t>_x000D_
Últ estimativa : 900_x000D_
Enviada em     : 12.11.2020_x000D_
Ata - Venc     : 61/21 - 04.03.2022</t>
        </r>
      </text>
    </comment>
    <comment ref="O545" authorId="0" shapeId="0" xr:uid="{B68040FA-68EF-4623-B7E9-3A1A566BBFD4}">
      <text>
        <r>
          <rPr>
            <sz val="10"/>
            <color indexed="81"/>
            <rFont val="Lucida Console"/>
            <family val="3"/>
          </rPr>
          <t>_x000D_
Pertencia a ATA nº 61/21_x000D_
Estimativa de Renovação enviada em 12.11.2020 - Qtd 900_x000D_
PE  11/21 lote _x000D_
19.02.21 = Finalizado</t>
        </r>
      </text>
    </comment>
    <comment ref="W545" authorId="0" shapeId="0" xr:uid="{FA557C3C-F72E-40FD-92F6-2C14DF4E2726}">
      <text>
        <r>
          <rPr>
            <sz val="10"/>
            <color indexed="81"/>
            <rFont val="Lucida Console"/>
            <family val="3"/>
          </rPr>
          <t>_x000D_
DM-Elétrica</t>
        </r>
      </text>
    </comment>
    <comment ref="X545" authorId="0" shapeId="0" xr:uid="{734F38E7-5B3D-4C0C-8B4D-EB5580DCD8B9}">
      <text>
        <r>
          <rPr>
            <sz val="10"/>
            <color indexed="81"/>
            <rFont val="Lucida Console"/>
            <family val="3"/>
          </rPr>
          <t>_x000D_
EQUIP. MAT. P/ GERACAO, TRANSM. DISTR. RETIF...</t>
        </r>
      </text>
    </comment>
    <comment ref="Y545" authorId="0" shapeId="0" xr:uid="{51E68C85-82C8-48C5-A119-A4DA247098E6}">
      <text>
        <r>
          <rPr>
            <sz val="10"/>
            <color indexed="81"/>
            <rFont val="Lucida Console"/>
            <family val="3"/>
          </rPr>
          <t>_x000D_
FIOS E CABOS ELETRICOS</t>
        </r>
      </text>
    </comment>
    <comment ref="AW545" authorId="0" shapeId="0" xr:uid="{50F0A00F-8F84-4422-8CCC-4A8E7F92ECF7}">
      <text>
        <r>
          <rPr>
            <sz val="10"/>
            <color indexed="81"/>
            <rFont val="Lucida Console"/>
            <family val="3"/>
          </rPr>
          <t>Tempo de Estoque (Meses)_x000D_
_x000D_
1.538,0</t>
        </r>
      </text>
    </comment>
    <comment ref="A546" authorId="0" shapeId="0" xr:uid="{8DCB584B-0821-48C2-8421-C0D65F3791AF}">
      <text>
        <r>
          <rPr>
            <sz val="10"/>
            <color indexed="81"/>
            <rFont val="Lucida Console"/>
            <family val="3"/>
          </rPr>
          <t>_x000D_
140052</t>
        </r>
      </text>
    </comment>
    <comment ref="B546" authorId="0" shapeId="0" xr:uid="{1F895D84-C589-4B31-8E78-C6A2CB62FBE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46" authorId="0" shapeId="0" xr:uid="{0CA80782-9789-43A4-A90D-61E8D5E7D716}">
      <text>
        <r>
          <rPr>
            <sz val="10"/>
            <color indexed="81"/>
            <rFont val="Lucida Console"/>
            <family val="3"/>
          </rPr>
          <t>_x000D_
Últ estimativa : 1.200_x000D_
Enviada em     : 12.11.2020_x000D_
Ata - Venc     : 61/21 - 04.03.2022</t>
        </r>
      </text>
    </comment>
    <comment ref="O546" authorId="0" shapeId="0" xr:uid="{1663890F-3444-4992-BFAC-732B0545760C}">
      <text>
        <r>
          <rPr>
            <sz val="10"/>
            <color indexed="81"/>
            <rFont val="Lucida Console"/>
            <family val="3"/>
          </rPr>
          <t>_x000D_
Pertencia a ATA nº 61/21_x000D_
Estimativa de Renovação enviada em 12.11.2020 - Qtd 1.200_x000D_
PE  11/21 lote _x000D_
19.02.21 = Finalizado</t>
        </r>
      </text>
    </comment>
    <comment ref="W546" authorId="0" shapeId="0" xr:uid="{ACB534DE-D1D7-4221-9616-F8841E52CAA9}">
      <text>
        <r>
          <rPr>
            <sz val="10"/>
            <color indexed="81"/>
            <rFont val="Lucida Console"/>
            <family val="3"/>
          </rPr>
          <t>_x000D_
DM-Elétrica</t>
        </r>
      </text>
    </comment>
    <comment ref="X546" authorId="0" shapeId="0" xr:uid="{C1EB68D8-7FC9-46ED-A82D-AFBDABC328A8}">
      <text>
        <r>
          <rPr>
            <sz val="10"/>
            <color indexed="81"/>
            <rFont val="Lucida Console"/>
            <family val="3"/>
          </rPr>
          <t>_x000D_
EQUIP. MAT. P/ GERACAO, TRANSM. DISTR. RETIF...</t>
        </r>
      </text>
    </comment>
    <comment ref="Y546" authorId="0" shapeId="0" xr:uid="{B9F9AEBE-B776-4E99-B195-5BB827005F9C}">
      <text>
        <r>
          <rPr>
            <sz val="10"/>
            <color indexed="81"/>
            <rFont val="Lucida Console"/>
            <family val="3"/>
          </rPr>
          <t>_x000D_
FIOS E CABOS ELETRICOS</t>
        </r>
      </text>
    </comment>
    <comment ref="AW546" authorId="0" shapeId="0" xr:uid="{CC41081C-1438-4837-82EC-5E195236F65D}">
      <text>
        <r>
          <rPr>
            <sz val="10"/>
            <color indexed="81"/>
            <rFont val="Lucida Console"/>
            <family val="3"/>
          </rPr>
          <t>Tempo de Estoque (Meses)_x000D_
_x000D_
1.000,0</t>
        </r>
      </text>
    </comment>
    <comment ref="A547" authorId="0" shapeId="0" xr:uid="{73292812-5775-4798-B820-E240DD711ECA}">
      <text>
        <r>
          <rPr>
            <sz val="10"/>
            <color indexed="81"/>
            <rFont val="Lucida Console"/>
            <family val="3"/>
          </rPr>
          <t>_x000D_
140053</t>
        </r>
      </text>
    </comment>
    <comment ref="B547" authorId="0" shapeId="0" xr:uid="{FE7D1433-0CC8-4430-9CAA-398558EE2595}">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47" authorId="0" shapeId="0" xr:uid="{70D401A2-D4DD-417B-AE96-C39980681FAA}">
      <text>
        <r>
          <rPr>
            <sz val="10"/>
            <color indexed="81"/>
            <rFont val="Lucida Console"/>
            <family val="3"/>
          </rPr>
          <t>_x000D_
Últ estimativa : 500_x000D_
Enviada em     : 12.11.2020_x000D_
Ata - Venc     : 61/21 - 04.03.2022</t>
        </r>
      </text>
    </comment>
    <comment ref="O547" authorId="0" shapeId="0" xr:uid="{831D0CC7-0868-47F2-9CD8-74E8C1816D8B}">
      <text>
        <r>
          <rPr>
            <sz val="10"/>
            <color indexed="81"/>
            <rFont val="Lucida Console"/>
            <family val="3"/>
          </rPr>
          <t xml:space="preserve">_x000D_
Pertencia a ATA nº 61/21_x000D_
Estimativa de Renovação enviada em 12.11.2020 - Qtd 500_x000D_
PE  31/22 lote _x000D_
 = </t>
        </r>
      </text>
    </comment>
    <comment ref="W547" authorId="0" shapeId="0" xr:uid="{F029E508-AE1C-46F2-B854-83E3948DA253}">
      <text>
        <r>
          <rPr>
            <sz val="10"/>
            <color indexed="81"/>
            <rFont val="Lucida Console"/>
            <family val="3"/>
          </rPr>
          <t>_x000D_
DM-Elétrica</t>
        </r>
      </text>
    </comment>
    <comment ref="X547" authorId="0" shapeId="0" xr:uid="{8322BAF8-E864-4C41-8E14-2A82104CA681}">
      <text>
        <r>
          <rPr>
            <sz val="10"/>
            <color indexed="81"/>
            <rFont val="Lucida Console"/>
            <family val="3"/>
          </rPr>
          <t>_x000D_
EQUIP. MAT. P/ GERACAO, TRANSM. DISTR. RETIF...</t>
        </r>
      </text>
    </comment>
    <comment ref="Y547" authorId="0" shapeId="0" xr:uid="{FC4018F6-345C-479B-86DA-5BE557B28D5E}">
      <text>
        <r>
          <rPr>
            <sz val="10"/>
            <color indexed="81"/>
            <rFont val="Lucida Console"/>
            <family val="3"/>
          </rPr>
          <t>_x000D_
FIOS E CABOS ELETRICOS</t>
        </r>
      </text>
    </comment>
    <comment ref="Z547" authorId="0" shapeId="0" xr:uid="{F9C53E47-926A-45AD-8195-97E11523C221}">
      <text>
        <r>
          <rPr>
            <sz val="10"/>
            <color indexed="81"/>
            <rFont val="Lucida Console"/>
            <family val="3"/>
          </rPr>
          <t>_x000D_
RC  1.929 / 23  Qtde: 500_x000D_
RC  2.697 / 23  Qtde: 700</t>
        </r>
      </text>
    </comment>
    <comment ref="AW547" authorId="0" shapeId="0" xr:uid="{1275A874-1973-4EE9-9362-6DE8B2AA329A}">
      <text>
        <r>
          <rPr>
            <sz val="10"/>
            <color indexed="81"/>
            <rFont val="Lucida Console"/>
            <family val="3"/>
          </rPr>
          <t>Tempo de Estoque (Meses)_x000D_
_x000D_
1.200,0</t>
        </r>
      </text>
    </comment>
    <comment ref="A548" authorId="0" shapeId="0" xr:uid="{42B95673-C997-4F51-9AC3-6A5A62B87A4A}">
      <text>
        <r>
          <rPr>
            <sz val="10"/>
            <color indexed="81"/>
            <rFont val="Lucida Console"/>
            <family val="3"/>
          </rPr>
          <t>_x000D_
140054</t>
        </r>
      </text>
    </comment>
    <comment ref="B548" authorId="0" shapeId="0" xr:uid="{647A47F0-10C3-4E5F-B2FC-24D6A4FECB9B}">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48" authorId="0" shapeId="0" xr:uid="{EBF9FEA9-075A-4F81-9AFD-58F5EA339D13}">
      <text>
        <r>
          <rPr>
            <sz val="10"/>
            <color indexed="81"/>
            <rFont val="Lucida Console"/>
            <family val="3"/>
          </rPr>
          <t>_x000D_
Últ estimativa : 300_x000D_
Enviada em     : 12.11.2020_x000D_
Ata - Venc     : 61/21 - 04.03.2022</t>
        </r>
      </text>
    </comment>
    <comment ref="O548" authorId="0" shapeId="0" xr:uid="{DD8A85EC-C652-427A-841C-71C891D15CBD}">
      <text>
        <r>
          <rPr>
            <sz val="10"/>
            <color indexed="81"/>
            <rFont val="Lucida Console"/>
            <family val="3"/>
          </rPr>
          <t>_x000D_
Pertencia a ATA nº 61/21_x000D_
Estimativa de Renovação enviada em 12.11.2020 - Qtd 300_x000D_
PE  11/21 lote _x000D_
19.02.21 = Finalizado</t>
        </r>
      </text>
    </comment>
    <comment ref="W548" authorId="0" shapeId="0" xr:uid="{6F96B846-0857-47FF-9FCC-F6CEA14FBC6D}">
      <text>
        <r>
          <rPr>
            <sz val="10"/>
            <color indexed="81"/>
            <rFont val="Lucida Console"/>
            <family val="3"/>
          </rPr>
          <t>_x000D_
DM-Elétrica</t>
        </r>
      </text>
    </comment>
    <comment ref="X548" authorId="0" shapeId="0" xr:uid="{5E985652-3A5C-4794-9E6F-1D7D7D9B036B}">
      <text>
        <r>
          <rPr>
            <sz val="10"/>
            <color indexed="81"/>
            <rFont val="Lucida Console"/>
            <family val="3"/>
          </rPr>
          <t>_x000D_
EQUIP. MAT. P/ GERACAO, TRANSM. DISTR. RETIF...</t>
        </r>
      </text>
    </comment>
    <comment ref="Y548" authorId="0" shapeId="0" xr:uid="{8BC82448-481A-4CEC-8F56-199D66E9FCAA}">
      <text>
        <r>
          <rPr>
            <sz val="10"/>
            <color indexed="81"/>
            <rFont val="Lucida Console"/>
            <family val="3"/>
          </rPr>
          <t>_x000D_
FIOS E CABOS ELETRICOS</t>
        </r>
      </text>
    </comment>
    <comment ref="AW548" authorId="0" shapeId="0" xr:uid="{E5D69E57-0C69-432D-BBCC-DBB4411CDE50}">
      <text>
        <r>
          <rPr>
            <sz val="10"/>
            <color indexed="81"/>
            <rFont val="Lucida Console"/>
            <family val="3"/>
          </rPr>
          <t>Tempo de Estoque (Meses)_x000D_
_x000D_
947,0</t>
        </r>
      </text>
    </comment>
    <comment ref="A549" authorId="0" shapeId="0" xr:uid="{F75BB049-8E23-4E69-A512-20D20428CF86}">
      <text>
        <r>
          <rPr>
            <sz val="10"/>
            <color indexed="81"/>
            <rFont val="Lucida Console"/>
            <family val="3"/>
          </rPr>
          <t>_x000D_
140055</t>
        </r>
      </text>
    </comment>
    <comment ref="B549" authorId="0" shapeId="0" xr:uid="{ED10F00F-BB26-4BA3-B846-171A323DF0E4}">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49" authorId="0" shapeId="0" xr:uid="{60E5E734-129B-47BB-8461-D0504398E868}">
      <text>
        <r>
          <rPr>
            <sz val="10"/>
            <color indexed="81"/>
            <rFont val="Lucida Console"/>
            <family val="3"/>
          </rPr>
          <t>_x000D_
Últ estimativa : 400_x000D_
Enviada em     : 12.11.2020_x000D_
Ata - Venc     : 61/21 - 04.03.2022</t>
        </r>
      </text>
    </comment>
    <comment ref="O549" authorId="0" shapeId="0" xr:uid="{FFA251F7-AD8C-4A21-A194-B84C61C2FA37}">
      <text>
        <r>
          <rPr>
            <sz val="10"/>
            <color indexed="81"/>
            <rFont val="Lucida Console"/>
            <family val="3"/>
          </rPr>
          <t>_x000D_
Pertencia a ATA nº 61/21_x000D_
Estimativa de Renovação enviada em 12.11.2020 - Qtd 400_x000D_
PE  11/21 lote _x000D_
19.02.21 = Finalizado</t>
        </r>
      </text>
    </comment>
    <comment ref="W549" authorId="0" shapeId="0" xr:uid="{0C2198B0-EDAA-414C-96AD-FD007E62F1F6}">
      <text>
        <r>
          <rPr>
            <sz val="10"/>
            <color indexed="81"/>
            <rFont val="Lucida Console"/>
            <family val="3"/>
          </rPr>
          <t>_x000D_
DM-Elétrica</t>
        </r>
      </text>
    </comment>
    <comment ref="X549" authorId="0" shapeId="0" xr:uid="{B4F6B017-956E-4264-81E5-AB15AE7BB502}">
      <text>
        <r>
          <rPr>
            <sz val="10"/>
            <color indexed="81"/>
            <rFont val="Lucida Console"/>
            <family val="3"/>
          </rPr>
          <t>_x000D_
EQUIP. MAT. P/ GERACAO, TRANSM. DISTR. RETIF...</t>
        </r>
      </text>
    </comment>
    <comment ref="Y549" authorId="0" shapeId="0" xr:uid="{A05E5FDA-3F4D-424A-A755-14AABA5239CF}">
      <text>
        <r>
          <rPr>
            <sz val="10"/>
            <color indexed="81"/>
            <rFont val="Lucida Console"/>
            <family val="3"/>
          </rPr>
          <t>_x000D_
FIOS E CABOS ELETRICOS</t>
        </r>
      </text>
    </comment>
    <comment ref="AW549" authorId="0" shapeId="0" xr:uid="{ED093183-FCA2-4F9A-8A7B-D188DE0DEF51}">
      <text>
        <r>
          <rPr>
            <sz val="10"/>
            <color indexed="81"/>
            <rFont val="Lucida Console"/>
            <family val="3"/>
          </rPr>
          <t>Tempo de Estoque (Meses)_x000D_
_x000D_
5.880,0</t>
        </r>
      </text>
    </comment>
    <comment ref="A550" authorId="0" shapeId="0" xr:uid="{8C81B6B3-97E5-46C4-96A2-8B8880AA6615}">
      <text>
        <r>
          <rPr>
            <sz val="10"/>
            <color indexed="81"/>
            <rFont val="Lucida Console"/>
            <family val="3"/>
          </rPr>
          <t>_x000D_
140056</t>
        </r>
      </text>
    </comment>
    <comment ref="B550" authorId="0" shapeId="0" xr:uid="{AB80AF12-B3D3-4B11-8448-708C06D9F4C4}">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50" authorId="0" shapeId="0" xr:uid="{DF970762-C8D0-486D-8F4B-544FAB7C5472}">
      <text>
        <r>
          <rPr>
            <sz val="10"/>
            <color indexed="81"/>
            <rFont val="Lucida Console"/>
            <family val="3"/>
          </rPr>
          <t>_x000D_
Últ estimativa : 300_x000D_
Enviada em     : 12.11.2020_x000D_
Ata - Venc     : 61/21 - 04.03.2022</t>
        </r>
      </text>
    </comment>
    <comment ref="O550" authorId="0" shapeId="0" xr:uid="{DA3C475D-2AE6-4EF7-A531-3559E3CC4BEF}">
      <text>
        <r>
          <rPr>
            <sz val="10"/>
            <color indexed="81"/>
            <rFont val="Lucida Console"/>
            <family val="3"/>
          </rPr>
          <t>_x000D_
Pertencia a ATA nº 61/21_x000D_
Estimativa de Renovação enviada em 12.11.2020 - Qtd 300_x000D_
PE  11/21 lote _x000D_
19.02.21 = Finalizado</t>
        </r>
      </text>
    </comment>
    <comment ref="W550" authorId="0" shapeId="0" xr:uid="{209D053B-3D27-4574-A451-B7E931F5F8BC}">
      <text>
        <r>
          <rPr>
            <sz val="10"/>
            <color indexed="81"/>
            <rFont val="Lucida Console"/>
            <family val="3"/>
          </rPr>
          <t>_x000D_
DM-Elétrica</t>
        </r>
      </text>
    </comment>
    <comment ref="X550" authorId="0" shapeId="0" xr:uid="{474E30A2-4133-4AD9-B266-54DBC51D3B62}">
      <text>
        <r>
          <rPr>
            <sz val="10"/>
            <color indexed="81"/>
            <rFont val="Lucida Console"/>
            <family val="3"/>
          </rPr>
          <t>_x000D_
EQUIP. MAT. P/ GERACAO, TRANSM. DISTR. RETIF...</t>
        </r>
      </text>
    </comment>
    <comment ref="Y550" authorId="0" shapeId="0" xr:uid="{767F5756-B744-4F70-A48D-B8EAAB04F1B6}">
      <text>
        <r>
          <rPr>
            <sz val="10"/>
            <color indexed="81"/>
            <rFont val="Lucida Console"/>
            <family val="3"/>
          </rPr>
          <t>_x000D_
FIOS E CABOS ELETRICOS</t>
        </r>
      </text>
    </comment>
    <comment ref="AW550" authorId="0" shapeId="0" xr:uid="{ED4FA29F-18FD-48BD-919D-EF7DBBD842B6}">
      <text>
        <r>
          <rPr>
            <sz val="10"/>
            <color indexed="81"/>
            <rFont val="Lucida Console"/>
            <family val="3"/>
          </rPr>
          <t>Tempo de Estoque (Meses)_x000D_
_x000D_
1.675,0</t>
        </r>
      </text>
    </comment>
    <comment ref="A551" authorId="0" shapeId="0" xr:uid="{ED0BAA9C-E929-48DB-9FCB-DB058DB92993}">
      <text>
        <r>
          <rPr>
            <sz val="10"/>
            <color indexed="81"/>
            <rFont val="Lucida Console"/>
            <family val="3"/>
          </rPr>
          <t>_x000D_
140057</t>
        </r>
      </text>
    </comment>
    <comment ref="B551" authorId="0" shapeId="0" xr:uid="{8F20AE8B-9ADA-4249-9311-B62197FC5D44}">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51" authorId="0" shapeId="0" xr:uid="{82F746FA-19C0-4DA8-9C68-E68767D80CC2}">
      <text>
        <r>
          <rPr>
            <sz val="10"/>
            <color indexed="81"/>
            <rFont val="Lucida Console"/>
            <family val="3"/>
          </rPr>
          <t>_x000D_
Últ estimativa : 300_x000D_
Enviada em     : 12.11.2020_x000D_
Ata - Venc     : 61/21 - 04.03.2022</t>
        </r>
      </text>
    </comment>
    <comment ref="O551" authorId="0" shapeId="0" xr:uid="{991FCC21-EE7F-4AE2-818B-CBDFF2385CEE}">
      <text>
        <r>
          <rPr>
            <sz val="10"/>
            <color indexed="81"/>
            <rFont val="Lucida Console"/>
            <family val="3"/>
          </rPr>
          <t>_x000D_
Pertencia a ATA nº 61/21_x000D_
Estimativa de Renovação enviada em 12.11.2020 - Qtd 300_x000D_
PE  11/21 lote _x000D_
19.02.21 = Finalizado</t>
        </r>
      </text>
    </comment>
    <comment ref="W551" authorId="0" shapeId="0" xr:uid="{76391EB8-E34B-4420-807A-94036B0A64B3}">
      <text>
        <r>
          <rPr>
            <sz val="10"/>
            <color indexed="81"/>
            <rFont val="Lucida Console"/>
            <family val="3"/>
          </rPr>
          <t>_x000D_
DM-Elétrica</t>
        </r>
      </text>
    </comment>
    <comment ref="X551" authorId="0" shapeId="0" xr:uid="{03173184-B7D0-4E12-B727-5981750E32AA}">
      <text>
        <r>
          <rPr>
            <sz val="10"/>
            <color indexed="81"/>
            <rFont val="Lucida Console"/>
            <family val="3"/>
          </rPr>
          <t>_x000D_
EQUIP. MAT. P/ GERACAO, TRANSM. DISTR. RETIF...</t>
        </r>
      </text>
    </comment>
    <comment ref="Y551" authorId="0" shapeId="0" xr:uid="{E80FC812-930F-4506-86A7-3031AC22B2D9}">
      <text>
        <r>
          <rPr>
            <sz val="10"/>
            <color indexed="81"/>
            <rFont val="Lucida Console"/>
            <family val="3"/>
          </rPr>
          <t>_x000D_
FIOS E CABOS ELETRICOS</t>
        </r>
      </text>
    </comment>
    <comment ref="AW551" authorId="0" shapeId="0" xr:uid="{24D7C009-B6F4-435D-83F9-E5B793A15F16}">
      <text>
        <r>
          <rPr>
            <sz val="10"/>
            <color indexed="81"/>
            <rFont val="Lucida Console"/>
            <family val="3"/>
          </rPr>
          <t>Tempo de Estoque (Meses)_x000D_
_x000D_
974,0</t>
        </r>
      </text>
    </comment>
    <comment ref="A552" authorId="0" shapeId="0" xr:uid="{A8EB3C4B-2215-4793-9FC6-B1BF3ABEE11B}">
      <text>
        <r>
          <rPr>
            <sz val="10"/>
            <color indexed="81"/>
            <rFont val="Lucida Console"/>
            <family val="3"/>
          </rPr>
          <t>_x000D_
140058</t>
        </r>
      </text>
    </comment>
    <comment ref="B552" authorId="0" shapeId="0" xr:uid="{43FE6C4B-2DB6-4103-B626-90D326898723}">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52" authorId="0" shapeId="0" xr:uid="{0FFAE07F-B85B-4AA0-A672-427C3DC0FE48}">
      <text>
        <r>
          <rPr>
            <sz val="10"/>
            <color indexed="81"/>
            <rFont val="Lucida Console"/>
            <family val="3"/>
          </rPr>
          <t>_x000D_
Últ estimativa : 0_x000D_
Enviada em     : 12.11.2020_x000D_
Ata - Venc     : 61/21 - 04.03.2022</t>
        </r>
      </text>
    </comment>
    <comment ref="O552" authorId="0" shapeId="0" xr:uid="{359853AB-1F28-453F-9CEF-9577D38FCAA4}">
      <text>
        <r>
          <rPr>
            <sz val="10"/>
            <color indexed="81"/>
            <rFont val="Lucida Console"/>
            <family val="3"/>
          </rPr>
          <t>_x000D_
Pertencia a ATA nº 61/21_x000D_
Estimativa de Renovação enviada em 12.11.2020 - Qtd _x000D_
PE  11/21 lote _x000D_
19.02.21 = Finalizado</t>
        </r>
      </text>
    </comment>
    <comment ref="W552" authorId="0" shapeId="0" xr:uid="{8FE4001C-E328-4420-A372-82D2CF24332B}">
      <text>
        <r>
          <rPr>
            <sz val="10"/>
            <color indexed="81"/>
            <rFont val="Lucida Console"/>
            <family val="3"/>
          </rPr>
          <t>_x000D_
DM-Elétrica</t>
        </r>
      </text>
    </comment>
    <comment ref="X552" authorId="0" shapeId="0" xr:uid="{EEE9B00D-12F6-4594-A8F6-F471197A98D3}">
      <text>
        <r>
          <rPr>
            <sz val="10"/>
            <color indexed="81"/>
            <rFont val="Lucida Console"/>
            <family val="3"/>
          </rPr>
          <t>_x000D_
EQUIP. MAT. P/ GERACAO, TRANSM. DISTR. RETIF...</t>
        </r>
      </text>
    </comment>
    <comment ref="Y552" authorId="0" shapeId="0" xr:uid="{CB51E7CE-78DD-4785-A46F-460FAD6C208D}">
      <text>
        <r>
          <rPr>
            <sz val="10"/>
            <color indexed="81"/>
            <rFont val="Lucida Console"/>
            <family val="3"/>
          </rPr>
          <t>_x000D_
FIOS E CABOS ELETRICOS</t>
        </r>
      </text>
    </comment>
    <comment ref="AW552" authorId="0" shapeId="0" xr:uid="{1DD4A07A-8763-4E60-A86A-D4970ECBEB98}">
      <text>
        <r>
          <rPr>
            <sz val="10"/>
            <color indexed="81"/>
            <rFont val="Lucida Console"/>
            <family val="3"/>
          </rPr>
          <t>Tempo de Estoque (Meses)_x000D_
_x000D_
272,0</t>
        </r>
      </text>
    </comment>
    <comment ref="A553" authorId="0" shapeId="0" xr:uid="{D1FC75FF-34F4-4675-B452-90771ED55DE6}">
      <text>
        <r>
          <rPr>
            <sz val="10"/>
            <color indexed="81"/>
            <rFont val="Lucida Console"/>
            <family val="3"/>
          </rPr>
          <t>_x000D_
140059</t>
        </r>
      </text>
    </comment>
    <comment ref="B553" authorId="0" shapeId="0" xr:uid="{304B3B53-6CA4-4584-B37E-6A26A5A51E8A}">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53" authorId="0" shapeId="0" xr:uid="{6D446CEA-D1EC-484E-8D56-F1FCFF4CE298}">
      <text>
        <r>
          <rPr>
            <sz val="10"/>
            <color indexed="81"/>
            <rFont val="Lucida Console"/>
            <family val="3"/>
          </rPr>
          <t>_x000D_
Últ estimativa : 400_x000D_
Enviada em     : 12.11.2020_x000D_
Ata - Venc     : 61/21 - 04.03.2022</t>
        </r>
      </text>
    </comment>
    <comment ref="O553" authorId="0" shapeId="0" xr:uid="{5062A65D-CDC4-4829-8E66-47E6DBD3A884}">
      <text>
        <r>
          <rPr>
            <sz val="10"/>
            <color indexed="81"/>
            <rFont val="Lucida Console"/>
            <family val="3"/>
          </rPr>
          <t xml:space="preserve">_x000D_
Pertencia a ATA nº 61/21_x000D_
Estimativa de Renovação enviada em 12.11.2020 - Qtd 400_x000D_
PE  31/22 lote _x000D_
 = </t>
        </r>
      </text>
    </comment>
    <comment ref="W553" authorId="0" shapeId="0" xr:uid="{89CF7C09-0483-4ED6-B604-96FB1EDEA9FC}">
      <text>
        <r>
          <rPr>
            <sz val="10"/>
            <color indexed="81"/>
            <rFont val="Lucida Console"/>
            <family val="3"/>
          </rPr>
          <t>_x000D_
DM-Elétrica</t>
        </r>
      </text>
    </comment>
    <comment ref="X553" authorId="0" shapeId="0" xr:uid="{995C9133-3BFD-45FE-9F42-077843200894}">
      <text>
        <r>
          <rPr>
            <sz val="10"/>
            <color indexed="81"/>
            <rFont val="Lucida Console"/>
            <family val="3"/>
          </rPr>
          <t>_x000D_
EQUIP. MAT. P/ GERACAO, TRANSM. DISTR. RETIF...</t>
        </r>
      </text>
    </comment>
    <comment ref="Y553" authorId="0" shapeId="0" xr:uid="{08326985-4A59-40F1-AA38-CC60A958CF6E}">
      <text>
        <r>
          <rPr>
            <sz val="10"/>
            <color indexed="81"/>
            <rFont val="Lucida Console"/>
            <family val="3"/>
          </rPr>
          <t>_x000D_
FIOS E CABOS ELETRICOS</t>
        </r>
      </text>
    </comment>
    <comment ref="Z553" authorId="0" shapeId="0" xr:uid="{12C1E50B-2314-4B67-840F-A1F25FBE9C69}">
      <text>
        <r>
          <rPr>
            <sz val="10"/>
            <color indexed="81"/>
            <rFont val="Lucida Console"/>
            <family val="3"/>
          </rPr>
          <t>_x000D_
RC  1.929 / 23  Qtde: 500_x000D_
RC  2.957 / 23  Qtde: 1.000</t>
        </r>
      </text>
    </comment>
    <comment ref="AW553" authorId="0" shapeId="0" xr:uid="{BE2BB362-CA94-4FA4-A902-6FE7CBFD22D1}">
      <text>
        <r>
          <rPr>
            <sz val="10"/>
            <color indexed="81"/>
            <rFont val="Lucida Console"/>
            <family val="3"/>
          </rPr>
          <t>Tempo de Estoque (Meses)_x000D_
_x000D_
2.069,0</t>
        </r>
      </text>
    </comment>
    <comment ref="A554" authorId="0" shapeId="0" xr:uid="{04D12876-03D3-4AE1-BC7C-AD9DF2585E8C}">
      <text>
        <r>
          <rPr>
            <sz val="10"/>
            <color indexed="81"/>
            <rFont val="Lucida Console"/>
            <family val="3"/>
          </rPr>
          <t>_x000D_
140060</t>
        </r>
      </text>
    </comment>
    <comment ref="B554" authorId="0" shapeId="0" xr:uid="{E10801BF-8834-4C13-9007-C73D0FDDBF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54" authorId="0" shapeId="0" xr:uid="{514A20B7-9717-44D5-BB52-75D6E07C520E}">
      <text>
        <r>
          <rPr>
            <sz val="10"/>
            <color indexed="81"/>
            <rFont val="Lucida Console"/>
            <family val="3"/>
          </rPr>
          <t>_x000D_
Últ estimativa : 300_x000D_
Enviada em     : 12.11.2020_x000D_
Ata - Venc     : 61/21 - 04.03.2022</t>
        </r>
      </text>
    </comment>
    <comment ref="O554" authorId="0" shapeId="0" xr:uid="{6B5780FB-865A-43D7-B16A-79C312BE6B85}">
      <text>
        <r>
          <rPr>
            <sz val="10"/>
            <color indexed="81"/>
            <rFont val="Lucida Console"/>
            <family val="3"/>
          </rPr>
          <t>_x000D_
Pertencia a ATA nº 61/21_x000D_
Estimativa de Renovação enviada em 12.11.2020 - Qtd 300_x000D_
PE  11/21 lote _x000D_
19.02.21 = Finalizado</t>
        </r>
      </text>
    </comment>
    <comment ref="W554" authorId="0" shapeId="0" xr:uid="{1102F66B-2ED7-4740-9D9C-CBE365F623F9}">
      <text>
        <r>
          <rPr>
            <sz val="10"/>
            <color indexed="81"/>
            <rFont val="Lucida Console"/>
            <family val="3"/>
          </rPr>
          <t>_x000D_
DM-Elétrica</t>
        </r>
      </text>
    </comment>
    <comment ref="X554" authorId="0" shapeId="0" xr:uid="{B87EBA4F-F2D7-4E51-901B-D8301CD65104}">
      <text>
        <r>
          <rPr>
            <sz val="10"/>
            <color indexed="81"/>
            <rFont val="Lucida Console"/>
            <family val="3"/>
          </rPr>
          <t>_x000D_
EQUIP. MAT. P/ GERACAO, TRANSM. DISTR. RETIF...</t>
        </r>
      </text>
    </comment>
    <comment ref="Y554" authorId="0" shapeId="0" xr:uid="{0626B16A-CBFB-4C83-AE90-831FF15694DA}">
      <text>
        <r>
          <rPr>
            <sz val="10"/>
            <color indexed="81"/>
            <rFont val="Lucida Console"/>
            <family val="3"/>
          </rPr>
          <t>_x000D_
FIOS E CABOS ELETRICOS</t>
        </r>
      </text>
    </comment>
    <comment ref="AW554" authorId="0" shapeId="0" xr:uid="{40307236-043B-4596-BD74-612B55EBB264}">
      <text>
        <r>
          <rPr>
            <sz val="10"/>
            <color indexed="81"/>
            <rFont val="Lucida Console"/>
            <family val="3"/>
          </rPr>
          <t>Tempo de Estoque (Meses)_x000D_
_x000D_
557,0</t>
        </r>
      </text>
    </comment>
    <comment ref="A555" authorId="0" shapeId="0" xr:uid="{FD2A41A8-BF9E-46CF-873B-D4257A91005A}">
      <text>
        <r>
          <rPr>
            <sz val="10"/>
            <color indexed="81"/>
            <rFont val="Lucida Console"/>
            <family val="3"/>
          </rPr>
          <t>_x000D_
140061</t>
        </r>
      </text>
    </comment>
    <comment ref="B555" authorId="0" shapeId="0" xr:uid="{8AFDF1F2-03C6-46D5-91D0-5450E7BE30F8}">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55" authorId="0" shapeId="0" xr:uid="{CB98B5CD-E82D-4E7B-B4F4-F01E825024B9}">
      <text>
        <r>
          <rPr>
            <sz val="10"/>
            <color indexed="81"/>
            <rFont val="Lucida Console"/>
            <family val="3"/>
          </rPr>
          <t>_x000D_
Últ estimativa : 0_x000D_
Enviada em     : 12.11.2020_x000D_
Ata - Venc     : 61/21 - 04.03.2022</t>
        </r>
      </text>
    </comment>
    <comment ref="O555" authorId="0" shapeId="0" xr:uid="{C89053B2-BDF9-4450-A800-F02775BC5FB1}">
      <text>
        <r>
          <rPr>
            <sz val="10"/>
            <color indexed="81"/>
            <rFont val="Lucida Console"/>
            <family val="3"/>
          </rPr>
          <t>_x000D_
Pertencia a ATA nº 61/21_x000D_
Estimativa de Renovação enviada em 12.11.2020 - Qtd _x000D_
PE  11/21 lote _x000D_
19.02.21 = Finalizado</t>
        </r>
      </text>
    </comment>
    <comment ref="W555" authorId="0" shapeId="0" xr:uid="{B18E233D-7CE0-4131-8427-37BAF4E37459}">
      <text>
        <r>
          <rPr>
            <sz val="10"/>
            <color indexed="81"/>
            <rFont val="Lucida Console"/>
            <family val="3"/>
          </rPr>
          <t>_x000D_
DM-Elétrica</t>
        </r>
      </text>
    </comment>
    <comment ref="X555" authorId="0" shapeId="0" xr:uid="{E850EB18-7C3D-4644-A45E-F9BB4C42E2C2}">
      <text>
        <r>
          <rPr>
            <sz val="10"/>
            <color indexed="81"/>
            <rFont val="Lucida Console"/>
            <family val="3"/>
          </rPr>
          <t>_x000D_
EQUIP. MAT. P/ GERACAO, TRANSM. DISTR. RETIF...</t>
        </r>
      </text>
    </comment>
    <comment ref="Y555" authorId="0" shapeId="0" xr:uid="{C58CA6FD-22BF-4C76-B0C1-7CA3B06ED35C}">
      <text>
        <r>
          <rPr>
            <sz val="10"/>
            <color indexed="81"/>
            <rFont val="Lucida Console"/>
            <family val="3"/>
          </rPr>
          <t>_x000D_
FIOS E CABOS ELETRICOS</t>
        </r>
      </text>
    </comment>
    <comment ref="AW555" authorId="0" shapeId="0" xr:uid="{1FC179B2-6FFD-422D-9FEF-7B62826F726F}">
      <text>
        <r>
          <rPr>
            <sz val="10"/>
            <color indexed="81"/>
            <rFont val="Lucida Console"/>
            <family val="3"/>
          </rPr>
          <t>Tempo de Estoque (Meses)_x000D_
_x000D_
276,0</t>
        </r>
      </text>
    </comment>
    <comment ref="A556" authorId="0" shapeId="0" xr:uid="{3ED37B8E-5899-4E32-BB9D-AD7ECEB9F713}">
      <text>
        <r>
          <rPr>
            <sz val="10"/>
            <color indexed="81"/>
            <rFont val="Lucida Console"/>
            <family val="3"/>
          </rPr>
          <t>_x000D_
140063</t>
        </r>
      </text>
    </comment>
    <comment ref="B556" authorId="0" shapeId="0" xr:uid="{4B92DFAB-32E9-4986-8E53-1068F838847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56" authorId="0" shapeId="0" xr:uid="{BF43687B-81CB-4CD0-85D1-52EEF457AB19}">
      <text>
        <r>
          <rPr>
            <sz val="10"/>
            <color indexed="81"/>
            <rFont val="Lucida Console"/>
            <family val="3"/>
          </rPr>
          <t>_x000D_
Últ estimativa : 5.000_x000D_
Enviada em     : 12.11.2020_x000D_
Ata - Venc     : 61/21 - 04.03.2022</t>
        </r>
      </text>
    </comment>
    <comment ref="O556" authorId="0" shapeId="0" xr:uid="{D44465EA-A1D9-46C2-A930-11AEA6F5DE4F}">
      <text>
        <r>
          <rPr>
            <sz val="10"/>
            <color indexed="81"/>
            <rFont val="Lucida Console"/>
            <family val="3"/>
          </rPr>
          <t>_x000D_
Pertencia a ATA nº 61/21_x000D_
Estimativa de Renovação enviada em 12.11.2020 - Qtd 5.000_x000D_
PE  11/21 lote _x000D_
19.02.21 = Finalizado</t>
        </r>
      </text>
    </comment>
    <comment ref="W556" authorId="0" shapeId="0" xr:uid="{64377664-475A-4B5F-A013-872D5639D781}">
      <text>
        <r>
          <rPr>
            <sz val="10"/>
            <color indexed="81"/>
            <rFont val="Lucida Console"/>
            <family val="3"/>
          </rPr>
          <t>_x000D_
DM-Elétrica</t>
        </r>
      </text>
    </comment>
    <comment ref="X556" authorId="0" shapeId="0" xr:uid="{D7AAD960-C381-4D3F-B0A6-69653A0CB65D}">
      <text>
        <r>
          <rPr>
            <sz val="10"/>
            <color indexed="81"/>
            <rFont val="Lucida Console"/>
            <family val="3"/>
          </rPr>
          <t>_x000D_
EQUIP. MAT. P/ GERACAO, TRANSM. DISTR. RETIF...</t>
        </r>
      </text>
    </comment>
    <comment ref="Y556" authorId="0" shapeId="0" xr:uid="{83BC9B0B-2FAF-446E-A0C8-9F955A1B02B1}">
      <text>
        <r>
          <rPr>
            <sz val="10"/>
            <color indexed="81"/>
            <rFont val="Lucida Console"/>
            <family val="3"/>
          </rPr>
          <t>_x000D_
FIOS E CABOS ELETRICOS</t>
        </r>
      </text>
    </comment>
    <comment ref="AW556" authorId="0" shapeId="0" xr:uid="{49A6437F-8C51-4CC6-897F-360E16B2E123}">
      <text>
        <r>
          <rPr>
            <sz val="10"/>
            <color indexed="81"/>
            <rFont val="Lucida Console"/>
            <family val="3"/>
          </rPr>
          <t>Tempo de Estoque (Meses)_x000D_
_x000D_
4.000,0</t>
        </r>
      </text>
    </comment>
    <comment ref="A557" authorId="0" shapeId="0" xr:uid="{8DD94495-6574-48A3-89D9-9D900C154038}">
      <text>
        <r>
          <rPr>
            <sz val="10"/>
            <color indexed="81"/>
            <rFont val="Lucida Console"/>
            <family val="3"/>
          </rPr>
          <t>_x000D_
140241</t>
        </r>
      </text>
    </comment>
    <comment ref="B557" authorId="0" shapeId="0" xr:uid="{902CADF5-67E8-49BF-ACFE-553E4CEC838A}">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57" authorId="0" shapeId="0" xr:uid="{662B0901-7176-48A0-904D-EE9F0751F469}">
      <text>
        <r>
          <rPr>
            <sz val="10"/>
            <color indexed="81"/>
            <rFont val="Lucida Console"/>
            <family val="3"/>
          </rPr>
          <t>_x000D_
Últ estimativa : 900_x000D_
Enviada em     : 12.11.2020_x000D_
Ata - Venc     : 61/21 - 04.03.2022</t>
        </r>
      </text>
    </comment>
    <comment ref="O557" authorId="0" shapeId="0" xr:uid="{03DD483A-417C-49F0-A4AB-8F14C5F668AC}">
      <text>
        <r>
          <rPr>
            <sz val="10"/>
            <color indexed="81"/>
            <rFont val="Lucida Console"/>
            <family val="3"/>
          </rPr>
          <t>_x000D_
Pertencia a ATA nº 61/21_x000D_
Estimativa de Renovação enviada em 12.11.2020 - Qtd 900_x000D_
PE  11/21 lote _x000D_
19.02.21 = Finalizado</t>
        </r>
      </text>
    </comment>
    <comment ref="W557" authorId="0" shapeId="0" xr:uid="{B8222C8F-8E8B-44A7-A7BA-3FC3E957B951}">
      <text>
        <r>
          <rPr>
            <sz val="10"/>
            <color indexed="81"/>
            <rFont val="Lucida Console"/>
            <family val="3"/>
          </rPr>
          <t>_x000D_
DM-Elétrica</t>
        </r>
      </text>
    </comment>
    <comment ref="X557" authorId="0" shapeId="0" xr:uid="{BF8A0CAE-4ED3-475B-9D4D-2416CCB5D0AD}">
      <text>
        <r>
          <rPr>
            <sz val="10"/>
            <color indexed="81"/>
            <rFont val="Lucida Console"/>
            <family val="3"/>
          </rPr>
          <t>_x000D_
EQUIP. MAT. P/ GERACAO, TRANSM. DISTR. RETIF...</t>
        </r>
      </text>
    </comment>
    <comment ref="Y557" authorId="0" shapeId="0" xr:uid="{C18A43C2-7969-40D3-A671-63E8BC12EAFA}">
      <text>
        <r>
          <rPr>
            <sz val="10"/>
            <color indexed="81"/>
            <rFont val="Lucida Console"/>
            <family val="3"/>
          </rPr>
          <t>_x000D_
FIOS E CABOS ELETRICOS</t>
        </r>
      </text>
    </comment>
    <comment ref="AW557" authorId="0" shapeId="0" xr:uid="{AC9320AF-AB22-402D-BE4D-E367861E2629}">
      <text>
        <r>
          <rPr>
            <sz val="10"/>
            <color indexed="81"/>
            <rFont val="Lucida Console"/>
            <family val="3"/>
          </rPr>
          <t>Tempo de Estoque (Meses)_x000D_
_x000D_
506,0</t>
        </r>
      </text>
    </comment>
    <comment ref="A558" authorId="0" shapeId="0" xr:uid="{EBBF2D34-F1BC-4039-9DE3-8DBC903B0871}">
      <text>
        <r>
          <rPr>
            <sz val="10"/>
            <color indexed="81"/>
            <rFont val="Lucida Console"/>
            <family val="3"/>
          </rPr>
          <t>_x000D_
140242</t>
        </r>
      </text>
    </comment>
    <comment ref="B558" authorId="0" shapeId="0" xr:uid="{8AE57B5B-F680-46B1-B7E9-238C6A9A9AA5}">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58" authorId="0" shapeId="0" xr:uid="{690D324F-F940-4E49-A7D7-1D7D874E57EC}">
      <text>
        <r>
          <rPr>
            <sz val="10"/>
            <color indexed="81"/>
            <rFont val="Lucida Console"/>
            <family val="3"/>
          </rPr>
          <t>_x000D_
Últ estimativa : 800_x000D_
Enviada em     : 12.11.2020_x000D_
Ata - Venc     : 61/21 - 04.03.2022</t>
        </r>
      </text>
    </comment>
    <comment ref="O558" authorId="0" shapeId="0" xr:uid="{9C26F574-5740-4973-9130-07A5F41AA5F5}">
      <text>
        <r>
          <rPr>
            <sz val="10"/>
            <color indexed="81"/>
            <rFont val="Lucida Console"/>
            <family val="3"/>
          </rPr>
          <t>_x000D_
Pertencia a ATA nº 61/21_x000D_
Estimativa de Renovação enviada em 12.11.2020 - Qtd 800_x000D_
PE  11/21 lote _x000D_
19.02.21 = Finalizado</t>
        </r>
      </text>
    </comment>
    <comment ref="W558" authorId="0" shapeId="0" xr:uid="{7EF61B8B-0602-4D23-A5A0-44A64DF5CD76}">
      <text>
        <r>
          <rPr>
            <sz val="10"/>
            <color indexed="81"/>
            <rFont val="Lucida Console"/>
            <family val="3"/>
          </rPr>
          <t>_x000D_
DM-Elétrica</t>
        </r>
      </text>
    </comment>
    <comment ref="X558" authorId="0" shapeId="0" xr:uid="{2D32E1B3-8A13-4B3D-94BC-F15E8CFB5A39}">
      <text>
        <r>
          <rPr>
            <sz val="10"/>
            <color indexed="81"/>
            <rFont val="Lucida Console"/>
            <family val="3"/>
          </rPr>
          <t>_x000D_
EQUIP. MAT. P/ GERACAO, TRANSM. DISTR. RETIF...</t>
        </r>
      </text>
    </comment>
    <comment ref="Y558" authorId="0" shapeId="0" xr:uid="{CB219797-6423-4D7D-ACF8-958BFE424065}">
      <text>
        <r>
          <rPr>
            <sz val="10"/>
            <color indexed="81"/>
            <rFont val="Lucida Console"/>
            <family val="3"/>
          </rPr>
          <t>_x000D_
FIOS E CABOS ELETRICOS</t>
        </r>
      </text>
    </comment>
    <comment ref="AW558" authorId="0" shapeId="0" xr:uid="{FD7B33AB-5EAD-4673-BAD5-9F3A17D9A0DF}">
      <text>
        <r>
          <rPr>
            <sz val="10"/>
            <color indexed="81"/>
            <rFont val="Lucida Console"/>
            <family val="3"/>
          </rPr>
          <t>Tempo de Estoque (Meses)_x000D_
_x000D_
933,0</t>
        </r>
      </text>
    </comment>
    <comment ref="A559" authorId="0" shapeId="0" xr:uid="{DC9FBAB0-2059-4E99-9804-124FEF343643}">
      <text>
        <r>
          <rPr>
            <sz val="10"/>
            <color indexed="81"/>
            <rFont val="Lucida Console"/>
            <family val="3"/>
          </rPr>
          <t>_x000D_
77819</t>
        </r>
      </text>
    </comment>
    <comment ref="B559" authorId="0" shapeId="0" xr:uid="{7A4F99D7-0A29-47D1-BBA0-E4D1E9EFDC7B}">
      <text>
        <r>
          <rPr>
            <sz val="10"/>
            <color indexed="81"/>
            <rFont val="Lucida Console"/>
            <family val="3"/>
          </rPr>
          <t>DESCRIÇÃO DETALHADA_x000D_
BOBINA DE SACO PLASTICO PICOTADO PARA EMBALAGEM - MED. 35 X 45 CM</t>
        </r>
      </text>
    </comment>
    <comment ref="G559" authorId="0" shapeId="0" xr:uid="{C1D8772D-15C4-4871-A8FF-8E03BC21432F}">
      <text>
        <r>
          <rPr>
            <sz val="10"/>
            <color indexed="81"/>
            <rFont val="Lucida Console"/>
            <family val="3"/>
          </rPr>
          <t>_x000D_
Últ estimativa : 2.500_x000D_
Enviada em     : 24.11.2020_x000D_
Ata - Venc     : 64/20 - 17.03.2021</t>
        </r>
      </text>
    </comment>
    <comment ref="O559" authorId="0" shapeId="0" xr:uid="{6B6C2EF1-C37C-4676-A40B-2059E57B8153}">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59" authorId="0" shapeId="0" xr:uid="{5738B48A-3854-464B-ACB6-67EA125F2D00}">
      <text>
        <r>
          <rPr>
            <sz val="10"/>
            <color indexed="81"/>
            <rFont val="Lucida Console"/>
            <family val="3"/>
          </rPr>
          <t>_x000D_
Administrativo</t>
        </r>
      </text>
    </comment>
    <comment ref="X559" authorId="0" shapeId="0" xr:uid="{768A8079-1B5E-42BD-9D3D-0BDCDCAFDB5F}">
      <text>
        <r>
          <rPr>
            <sz val="10"/>
            <color indexed="81"/>
            <rFont val="Lucida Console"/>
            <family val="3"/>
          </rPr>
          <t>_x000D_
EQUIP.E MAT. P/REFEITORIO, COPA E COZINHA</t>
        </r>
      </text>
    </comment>
    <comment ref="Y559" authorId="0" shapeId="0" xr:uid="{D458CD4E-1201-48B2-A040-91219DB620B5}">
      <text>
        <r>
          <rPr>
            <sz val="10"/>
            <color indexed="81"/>
            <rFont val="Lucida Console"/>
            <family val="3"/>
          </rPr>
          <t>_x000D_
EMBALAGENS DIVERSAS</t>
        </r>
      </text>
    </comment>
    <comment ref="AW559" authorId="0" shapeId="0" xr:uid="{B9507F86-D3A6-415B-BA84-C7C6C8CCE806}">
      <text>
        <r>
          <rPr>
            <sz val="10"/>
            <color indexed="81"/>
            <rFont val="Lucida Console"/>
            <family val="3"/>
          </rPr>
          <t>Tempo de Estoque (Meses)_x000D_
_x000D_
4.186,0</t>
        </r>
      </text>
    </comment>
    <comment ref="A560" authorId="0" shapeId="0" xr:uid="{5CFD2E99-315C-4954-823C-476C463F1EC5}">
      <text>
        <r>
          <rPr>
            <sz val="10"/>
            <color indexed="81"/>
            <rFont val="Lucida Console"/>
            <family val="3"/>
          </rPr>
          <t>_x000D_
115282</t>
        </r>
      </text>
    </comment>
    <comment ref="B560" authorId="0" shapeId="0" xr:uid="{E3B3C94F-379E-4908-AE0B-4362BA2762F2}">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60" authorId="0" shapeId="0" xr:uid="{268511D4-94C9-4CAF-B63D-FD3B50A34004}">
      <text>
        <r>
          <rPr>
            <sz val="10"/>
            <color indexed="81"/>
            <rFont val="Lucida Console"/>
            <family val="3"/>
          </rPr>
          <t>_x000D_
Últ estimativa : 600_x000D_
Enviada em     : 24.11.2020_x000D_
Ata - Venc     : 64/20 - 17.03.2021</t>
        </r>
      </text>
    </comment>
    <comment ref="O560" authorId="0" shapeId="0" xr:uid="{18DF9352-B89E-46CD-9FB6-D50D2FF1CB93}">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60" authorId="0" shapeId="0" xr:uid="{7F14DC92-5087-47A8-9321-6591474848ED}">
      <text>
        <r>
          <rPr>
            <sz val="10"/>
            <color indexed="81"/>
            <rFont val="Lucida Console"/>
            <family val="3"/>
          </rPr>
          <t>_x000D_
Administrativo</t>
        </r>
      </text>
    </comment>
    <comment ref="X560" authorId="0" shapeId="0" xr:uid="{9F2A7970-0861-4E4A-8F68-7A133A1B15F4}">
      <text>
        <r>
          <rPr>
            <sz val="10"/>
            <color indexed="81"/>
            <rFont val="Lucida Console"/>
            <family val="3"/>
          </rPr>
          <t>_x000D_
EMBALAG., RECIP., ACESSOR., EQUIP., MATER. P/ACONDICIO</t>
        </r>
      </text>
    </comment>
    <comment ref="Y560" authorId="0" shapeId="0" xr:uid="{352B9A3F-1333-4EBB-BB75-0B657458446C}">
      <text>
        <r>
          <rPr>
            <sz val="10"/>
            <color indexed="81"/>
            <rFont val="Lucida Console"/>
            <family val="3"/>
          </rPr>
          <t>_x000D_
CARRETEIS E BOBINAS</t>
        </r>
      </text>
    </comment>
    <comment ref="AW560" authorId="0" shapeId="0" xr:uid="{BC34A954-9094-4EB2-842E-6C2F9C1E7612}">
      <text>
        <r>
          <rPr>
            <sz val="10"/>
            <color indexed="81"/>
            <rFont val="Lucida Console"/>
            <family val="3"/>
          </rPr>
          <t>Tempo de Estoque (Meses)_x000D_
_x000D_
2.137,0</t>
        </r>
      </text>
    </comment>
    <comment ref="A561" authorId="0" shapeId="0" xr:uid="{5015919B-398B-4FD2-94C6-7430D00D9C09}">
      <text>
        <r>
          <rPr>
            <sz val="10"/>
            <color indexed="81"/>
            <rFont val="Lucida Console"/>
            <family val="3"/>
          </rPr>
          <t>_x000D_
14921</t>
        </r>
      </text>
    </comment>
    <comment ref="B561" authorId="0" shapeId="0" xr:uid="{AF2FEE59-78A1-437A-86BB-5BEDEDAEC537}">
      <text>
        <r>
          <rPr>
            <sz val="10"/>
            <color indexed="81"/>
            <rFont val="Lucida Console"/>
            <family val="3"/>
          </rPr>
          <t>DESCRIÇÃO DETALHADA_x000D_
FITA ISOLANTE 19 MM X 20 M</t>
        </r>
      </text>
    </comment>
    <comment ref="G561" authorId="0" shapeId="0" xr:uid="{510164DC-AB21-4D58-B991-38832DAA656B}">
      <text>
        <r>
          <rPr>
            <sz val="10"/>
            <color indexed="81"/>
            <rFont val="Lucida Console"/>
            <family val="3"/>
          </rPr>
          <t>_x000D_
Últ estimativa : 1.500_x000D_
Enviada em     : 19.10.2018_x000D_
Ata - Venc     : 70/19 - 28.02.2020</t>
        </r>
      </text>
    </comment>
    <comment ref="O561" authorId="0" shapeId="0" xr:uid="{50CC60E1-015C-465F-A6D0-10A714E4BC76}">
      <text>
        <r>
          <rPr>
            <sz val="10"/>
            <color indexed="81"/>
            <rFont val="Lucida Console"/>
            <family val="3"/>
          </rPr>
          <t>_x000D_
Pertencia a ATA nº 70/19_x000D_
Estimativa de Renovação enviada em 19.10.2018 - Qtd 1.500_x000D_
PP  11/19 lote _x000D_
15.03.19 = Finalizar - contrato assinado. Ata 70/19.</t>
        </r>
      </text>
    </comment>
    <comment ref="W561" authorId="0" shapeId="0" xr:uid="{3C3A40BC-35F8-4B97-9863-811BA2F3B1DB}">
      <text>
        <r>
          <rPr>
            <sz val="10"/>
            <color indexed="81"/>
            <rFont val="Lucida Console"/>
            <family val="3"/>
          </rPr>
          <t>_x000D_
DM-Elétrica</t>
        </r>
      </text>
    </comment>
    <comment ref="X561" authorId="0" shapeId="0" xr:uid="{26B938F8-7E4D-4546-AB08-C03BF1AB1BDA}">
      <text>
        <r>
          <rPr>
            <sz val="10"/>
            <color indexed="81"/>
            <rFont val="Lucida Console"/>
            <family val="3"/>
          </rPr>
          <t>_x000D_
EQUIP. MAT. P/ GERACAO, TRANSM. DISTR. RETIF...</t>
        </r>
      </text>
    </comment>
    <comment ref="Y561" authorId="0" shapeId="0" xr:uid="{6039BAD1-CFBE-4040-8D6A-ED87B848B336}">
      <text>
        <r>
          <rPr>
            <sz val="10"/>
            <color indexed="81"/>
            <rFont val="Lucida Console"/>
            <family val="3"/>
          </rPr>
          <t>_x000D_
ISOLADORES ELETRICOS E MATERIAIS PARA...</t>
        </r>
      </text>
    </comment>
    <comment ref="AW561" authorId="0" shapeId="0" xr:uid="{AAEF0D23-F845-413C-B650-F5F807B98F93}">
      <text>
        <r>
          <rPr>
            <sz val="10"/>
            <color indexed="81"/>
            <rFont val="Lucida Console"/>
            <family val="3"/>
          </rPr>
          <t>Tempo de Estoque (Meses)_x000D_
_x000D_
1.416,0</t>
        </r>
      </text>
    </comment>
    <comment ref="A562" authorId="0" shapeId="0" xr:uid="{F97A52DB-B91A-46A3-AE59-07D17A4B6049}">
      <text>
        <r>
          <rPr>
            <sz val="10"/>
            <color indexed="81"/>
            <rFont val="Lucida Console"/>
            <family val="3"/>
          </rPr>
          <t>_x000D_
52129</t>
        </r>
      </text>
    </comment>
    <comment ref="B562" authorId="0" shapeId="0" xr:uid="{461F0218-81C4-4948-96B1-46ED3BBF4532}">
      <text>
        <r>
          <rPr>
            <sz val="10"/>
            <color indexed="81"/>
            <rFont val="Lucida Console"/>
            <family val="3"/>
          </rPr>
          <t>DESCRIÇÃO DETALHADA_x000D_
DISCO DE CORTE PARA POLICORTE - MED. 10" DIAMETRO EXTERNO -3/4" DIAMETRO INTERNO - 1/8" ESPESSURA</t>
        </r>
      </text>
    </comment>
    <comment ref="G562" authorId="0" shapeId="0" xr:uid="{390513C9-1FE2-44A1-97A6-158C0BE964B4}">
      <text>
        <r>
          <rPr>
            <sz val="10"/>
            <color indexed="81"/>
            <rFont val="Lucida Console"/>
            <family val="3"/>
          </rPr>
          <t>_x000D_
Últ estimativa : 700_x000D_
Enviada em     : 24.10.2019_x000D_
Ata - Venc     : 70/19 - 28.02.2020</t>
        </r>
      </text>
    </comment>
    <comment ref="O562" authorId="0" shapeId="0" xr:uid="{3DCEBC25-DC02-4A35-A153-F1EFA3F0023F}">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62" authorId="0" shapeId="0" xr:uid="{D73CC560-5025-46DB-9D3E-4EB273339F00}">
      <text>
        <r>
          <rPr>
            <sz val="10"/>
            <color indexed="81"/>
            <rFont val="Lucida Console"/>
            <family val="3"/>
          </rPr>
          <t>_x000D_
DM-Serralheria</t>
        </r>
      </text>
    </comment>
    <comment ref="X562" authorId="0" shapeId="0" xr:uid="{712F1B64-3106-48A7-ADA5-0E4BE5126E9E}">
      <text>
        <r>
          <rPr>
            <sz val="10"/>
            <color indexed="81"/>
            <rFont val="Lucida Console"/>
            <family val="3"/>
          </rPr>
          <t>_x000D_
FERRAMENTAS MAQ.FERRAMENTAS,ELETR.PECAS E ACESSORI</t>
        </r>
      </text>
    </comment>
    <comment ref="Y562" authorId="0" shapeId="0" xr:uid="{B83EB1EF-1E80-484A-85F2-60B689B421EC}">
      <text>
        <r>
          <rPr>
            <sz val="10"/>
            <color indexed="81"/>
            <rFont val="Lucida Console"/>
            <family val="3"/>
          </rPr>
          <t>_x000D_
DISCOS, LAMINAS E FITAS DE SERRAS ELETRICAS</t>
        </r>
      </text>
    </comment>
    <comment ref="AW562" authorId="0" shapeId="0" xr:uid="{11F315C0-EFCE-4D98-A796-B59B78536147}">
      <text>
        <r>
          <rPr>
            <sz val="10"/>
            <color indexed="81"/>
            <rFont val="Lucida Console"/>
            <family val="3"/>
          </rPr>
          <t>Tempo de Estoque (Meses)_x000D_
_x000D_
455,0</t>
        </r>
      </text>
    </comment>
    <comment ref="A563" authorId="0" shapeId="0" xr:uid="{6C74BFF9-547C-45C3-B329-A45AC64C8277}">
      <text>
        <r>
          <rPr>
            <sz val="10"/>
            <color indexed="81"/>
            <rFont val="Lucida Console"/>
            <family val="3"/>
          </rPr>
          <t>_x000D_
134560</t>
        </r>
      </text>
    </comment>
    <comment ref="B563" authorId="0" shapeId="0" xr:uid="{D6A33761-63DA-4B62-A889-B58FE398511D}">
      <text>
        <r>
          <rPr>
            <sz val="10"/>
            <color indexed="81"/>
            <rFont val="Lucida Console"/>
            <family val="3"/>
          </rPr>
          <t>DESCRIÇÃO DETALHADA_x000D_
LAMINA DE SERRA EM ACO RAPIDO BI-METAL 1/2" X 12", 18 DPP (DENTES POR POLEGADA), ESPESSURA DE NO MINIMO 0,6 MM</t>
        </r>
      </text>
    </comment>
    <comment ref="G563" authorId="0" shapeId="0" xr:uid="{F4CC8497-D3E2-4BC8-86B5-43A92F2A4BED}">
      <text>
        <r>
          <rPr>
            <sz val="10"/>
            <color indexed="81"/>
            <rFont val="Lucida Console"/>
            <family val="3"/>
          </rPr>
          <t>_x000D_
Últ estimativa : 700_x000D_
Enviada em     : 24.10.2019_x000D_
Ata - Venc     : 70/19 - 28.02.2020</t>
        </r>
      </text>
    </comment>
    <comment ref="O563" authorId="0" shapeId="0" xr:uid="{297BF2D7-A229-416D-BE48-9945FA0C40B5}">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63" authorId="0" shapeId="0" xr:uid="{96A84EC7-EEC7-4D48-A0BB-53EF56908344}">
      <text>
        <r>
          <rPr>
            <sz val="10"/>
            <color indexed="81"/>
            <rFont val="Lucida Console"/>
            <family val="3"/>
          </rPr>
          <t>_x000D_
DM-Serralheria</t>
        </r>
      </text>
    </comment>
    <comment ref="X563" authorId="0" shapeId="0" xr:uid="{4EFE744C-2066-4531-B81F-E85F3E742FFB}">
      <text>
        <r>
          <rPr>
            <sz val="10"/>
            <color indexed="81"/>
            <rFont val="Lucida Console"/>
            <family val="3"/>
          </rPr>
          <t>_x000D_
FERRAMENTAS MAQ.FERRAMENTAS,ELETR.PECAS E ACESSORI</t>
        </r>
      </text>
    </comment>
    <comment ref="Y563" authorId="0" shapeId="0" xr:uid="{C5D4A971-B2E8-493B-B6C9-D46FAD67CD10}">
      <text>
        <r>
          <rPr>
            <sz val="10"/>
            <color indexed="81"/>
            <rFont val="Lucida Console"/>
            <family val="3"/>
          </rPr>
          <t>_x000D_
DISCOS, LAMINAS E FITAS DE SERRAS ELETRICAS</t>
        </r>
      </text>
    </comment>
    <comment ref="AW563" authorId="0" shapeId="0" xr:uid="{53CEE279-32AE-4DF4-BA4B-822CAF6C1BBC}">
      <text>
        <r>
          <rPr>
            <sz val="10"/>
            <color indexed="81"/>
            <rFont val="Lucida Console"/>
            <family val="3"/>
          </rPr>
          <t>Tempo de Estoque (Meses)_x000D_
_x000D_
200,0</t>
        </r>
      </text>
    </comment>
    <comment ref="A564" authorId="0" shapeId="0" xr:uid="{BC8CE872-D3F9-4425-AC09-D515822890A4}">
      <text>
        <r>
          <rPr>
            <sz val="10"/>
            <color indexed="81"/>
            <rFont val="Lucida Console"/>
            <family val="3"/>
          </rPr>
          <t>_x000D_
19871</t>
        </r>
      </text>
    </comment>
    <comment ref="B564" authorId="0" shapeId="0" xr:uid="{562A2986-DB73-40AF-86A8-01B7D1DBC7D9}">
      <text>
        <r>
          <rPr>
            <sz val="10"/>
            <color indexed="81"/>
            <rFont val="Lucida Console"/>
            <family val="3"/>
          </rPr>
          <t>DESCRIÇÃO DETALHADA_x000D_
BROCA DE WIDIA 1/4"</t>
        </r>
      </text>
    </comment>
    <comment ref="G564" authorId="0" shapeId="0" xr:uid="{F2C0EBB3-B3AA-483E-B54A-305A1FB6C530}">
      <text>
        <r>
          <rPr>
            <sz val="10"/>
            <color indexed="81"/>
            <rFont val="Lucida Console"/>
            <family val="3"/>
          </rPr>
          <t>_x000D_
Últ estimativa : 150_x000D_
Enviada em     : 24.10.2019_x000D_
Ata - Venc     : 70/19 - 28.02.2020</t>
        </r>
      </text>
    </comment>
    <comment ref="O564" authorId="0" shapeId="0" xr:uid="{D66ABC49-44AE-428B-A4FD-5F632E0EB33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64" authorId="0" shapeId="0" xr:uid="{A1FDB296-CB3B-49EB-9103-C996EC92D6E9}">
      <text>
        <r>
          <rPr>
            <sz val="10"/>
            <color indexed="81"/>
            <rFont val="Lucida Console"/>
            <family val="3"/>
          </rPr>
          <t>_x000D_
DM-Serralheria</t>
        </r>
      </text>
    </comment>
    <comment ref="X564" authorId="0" shapeId="0" xr:uid="{24BBF616-8F70-46C6-9158-0A2F47AFCDFB}">
      <text>
        <r>
          <rPr>
            <sz val="10"/>
            <color indexed="81"/>
            <rFont val="Lucida Console"/>
            <family val="3"/>
          </rPr>
          <t>_x000D_
FERRAMENTAS MAQ.FERRAMENTAS,ELETR.PECAS E ACESSORI</t>
        </r>
      </text>
    </comment>
    <comment ref="Y564" authorId="0" shapeId="0" xr:uid="{3BE4740B-6A55-4CFF-9F11-629A963AC78B}">
      <text>
        <r>
          <rPr>
            <sz val="10"/>
            <color indexed="81"/>
            <rFont val="Lucida Console"/>
            <family val="3"/>
          </rPr>
          <t>_x000D_
BROCAS</t>
        </r>
      </text>
    </comment>
    <comment ref="AW564" authorId="0" shapeId="0" xr:uid="{B88C6ABA-A5EE-4883-83AA-DBA9834037B3}">
      <text>
        <r>
          <rPr>
            <sz val="10"/>
            <color indexed="81"/>
            <rFont val="Lucida Console"/>
            <family val="3"/>
          </rPr>
          <t>Tempo de Estoque (Meses)_x000D_
_x000D_
96,0</t>
        </r>
      </text>
    </comment>
    <comment ref="A565" authorId="0" shapeId="0" xr:uid="{DA7398A7-8757-4031-A54F-6EA4D6EF27F5}">
      <text>
        <r>
          <rPr>
            <sz val="10"/>
            <color indexed="81"/>
            <rFont val="Lucida Console"/>
            <family val="3"/>
          </rPr>
          <t>_x000D_
19998</t>
        </r>
      </text>
    </comment>
    <comment ref="B565" authorId="0" shapeId="0" xr:uid="{61650533-759C-4AEE-8C81-A3B04A70E6F6}">
      <text>
        <r>
          <rPr>
            <sz val="10"/>
            <color indexed="81"/>
            <rFont val="Lucida Console"/>
            <family val="3"/>
          </rPr>
          <t>DESCRIÇÃO DETALHADA_x000D_
BROCA DE ACO RAPIDO HELICOIDAL DE 1/2" COM HASTE CILINDRICA</t>
        </r>
      </text>
    </comment>
    <comment ref="G565" authorId="0" shapeId="0" xr:uid="{F453D0B6-D835-4955-B37C-23F0EFCF1BD0}">
      <text>
        <r>
          <rPr>
            <sz val="10"/>
            <color indexed="81"/>
            <rFont val="Lucida Console"/>
            <family val="3"/>
          </rPr>
          <t>_x000D_
Últ estimativa : 100_x000D_
Enviada em     : 24.10.2019_x000D_
Ata - Venc     : 70/19 - 28.02.2020</t>
        </r>
      </text>
    </comment>
    <comment ref="O565" authorId="0" shapeId="0" xr:uid="{B43206EF-3391-4B17-96FA-6D6160BE669D}">
      <text>
        <r>
          <rPr>
            <sz val="10"/>
            <color indexed="81"/>
            <rFont val="Lucida Console"/>
            <family val="3"/>
          </rPr>
          <t>_x000D_
Pertencia a ATA nº 70/19_x000D_
Estimativa de Renovação enviada em 24.10.2019 - Qtd 100_x000D_
PE   2/20 lote 3 (Impróspero)_x000D_
23.04.20 = Processo conferido, finalizado.</t>
        </r>
      </text>
    </comment>
    <comment ref="W565" authorId="0" shapeId="0" xr:uid="{B2FA288C-E706-4C84-B85F-20DCC012150B}">
      <text>
        <r>
          <rPr>
            <sz val="10"/>
            <color indexed="81"/>
            <rFont val="Lucida Console"/>
            <family val="3"/>
          </rPr>
          <t>_x000D_
DM-Serralheria</t>
        </r>
      </text>
    </comment>
    <comment ref="X565" authorId="0" shapeId="0" xr:uid="{6A4F995F-C904-4C96-8060-319AEDA8E97A}">
      <text>
        <r>
          <rPr>
            <sz val="10"/>
            <color indexed="81"/>
            <rFont val="Lucida Console"/>
            <family val="3"/>
          </rPr>
          <t>_x000D_
FERRAMENTAS MAQ.FERRAMENTAS,ELETR.PECAS E ACESSORI</t>
        </r>
      </text>
    </comment>
    <comment ref="Y565" authorId="0" shapeId="0" xr:uid="{91AE6BD5-FF50-47FD-A38B-0F1CE3CC814C}">
      <text>
        <r>
          <rPr>
            <sz val="10"/>
            <color indexed="81"/>
            <rFont val="Lucida Console"/>
            <family val="3"/>
          </rPr>
          <t>_x000D_
BROCAS</t>
        </r>
      </text>
    </comment>
    <comment ref="AW565" authorId="0" shapeId="0" xr:uid="{73C68385-DFA5-4A9B-B777-2DE9529F6B44}">
      <text>
        <r>
          <rPr>
            <sz val="10"/>
            <color indexed="81"/>
            <rFont val="Lucida Console"/>
            <family val="3"/>
          </rPr>
          <t>Tempo de Estoque (Meses)_x000D_
_x000D_
150,0</t>
        </r>
      </text>
    </comment>
    <comment ref="A566" authorId="0" shapeId="0" xr:uid="{F2917E54-9431-4904-BA1F-DB6CB090836F}">
      <text>
        <r>
          <rPr>
            <sz val="10"/>
            <color indexed="81"/>
            <rFont val="Lucida Console"/>
            <family val="3"/>
          </rPr>
          <t>_x000D_
20001</t>
        </r>
      </text>
    </comment>
    <comment ref="B566" authorId="0" shapeId="0" xr:uid="{682EFB45-8232-4947-9FD9-A61481B8EE65}">
      <text>
        <r>
          <rPr>
            <sz val="10"/>
            <color indexed="81"/>
            <rFont val="Lucida Console"/>
            <family val="3"/>
          </rPr>
          <t>DESCRIÇÃO DETALHADA_x000D_
BROCA DE ACO RAPIDO HELICOIDAL DE 1/8" COM HASTE CILINDRICA</t>
        </r>
      </text>
    </comment>
    <comment ref="G566" authorId="0" shapeId="0" xr:uid="{9AD8CFEA-31B1-4DD2-BDC8-F486126750DD}">
      <text>
        <r>
          <rPr>
            <sz val="10"/>
            <color indexed="81"/>
            <rFont val="Lucida Console"/>
            <family val="3"/>
          </rPr>
          <t>_x000D_
Últ estimativa : 800_x000D_
Enviada em     : 24.10.2019_x000D_
Ata - Venc     : 70/19 - 28.02.2020</t>
        </r>
      </text>
    </comment>
    <comment ref="O566" authorId="0" shapeId="0" xr:uid="{ECADF064-1AB3-4212-8293-BA7E6B0A4C06}">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66" authorId="0" shapeId="0" xr:uid="{7839255A-2184-4465-A14D-2810F6BC1463}">
      <text>
        <r>
          <rPr>
            <sz val="10"/>
            <color indexed="81"/>
            <rFont val="Lucida Console"/>
            <family val="3"/>
          </rPr>
          <t>_x000D_
DM-Serralheria</t>
        </r>
      </text>
    </comment>
    <comment ref="X566" authorId="0" shapeId="0" xr:uid="{E2AF2143-9AB1-48E5-BB37-EA03CC3411D9}">
      <text>
        <r>
          <rPr>
            <sz val="10"/>
            <color indexed="81"/>
            <rFont val="Lucida Console"/>
            <family val="3"/>
          </rPr>
          <t>_x000D_
FERRAMENTAS MAQ.FERRAMENTAS,ELETR.PECAS E ACESSORI</t>
        </r>
      </text>
    </comment>
    <comment ref="Y566" authorId="0" shapeId="0" xr:uid="{31063CA4-5D00-46CC-9A26-7D0CEBF8F079}">
      <text>
        <r>
          <rPr>
            <sz val="10"/>
            <color indexed="81"/>
            <rFont val="Lucida Console"/>
            <family val="3"/>
          </rPr>
          <t>_x000D_
BROCAS</t>
        </r>
      </text>
    </comment>
    <comment ref="AW566" authorId="0" shapeId="0" xr:uid="{36436FBD-AABF-4191-9698-4357D77E21C0}">
      <text>
        <r>
          <rPr>
            <sz val="10"/>
            <color indexed="81"/>
            <rFont val="Lucida Console"/>
            <family val="3"/>
          </rPr>
          <t>Tempo de Estoque (Meses)_x000D_
_x000D_
700,0</t>
        </r>
      </text>
    </comment>
    <comment ref="A567" authorId="0" shapeId="0" xr:uid="{47993E08-BCB6-4181-842C-1867474EFFF7}">
      <text>
        <r>
          <rPr>
            <sz val="10"/>
            <color indexed="81"/>
            <rFont val="Lucida Console"/>
            <family val="3"/>
          </rPr>
          <t>_x000D_
20034</t>
        </r>
      </text>
    </comment>
    <comment ref="B567" authorId="0" shapeId="0" xr:uid="{221010FE-A057-4765-B0F1-133F5BF1302E}">
      <text>
        <r>
          <rPr>
            <sz val="10"/>
            <color indexed="81"/>
            <rFont val="Lucida Console"/>
            <family val="3"/>
          </rPr>
          <t>DESCRIÇÃO DETALHADA_x000D_
BROCA DE ACO RAPIDO HELICOIDAL DE 3/16" COM HASTE CILINDRICA</t>
        </r>
      </text>
    </comment>
    <comment ref="G567" authorId="0" shapeId="0" xr:uid="{F28573B5-809A-487A-BA34-CB12D7A257E5}">
      <text>
        <r>
          <rPr>
            <sz val="10"/>
            <color indexed="81"/>
            <rFont val="Lucida Console"/>
            <family val="3"/>
          </rPr>
          <t>_x000D_
Últ estimativa : 1.500_x000D_
Enviada em     : 24.10.2019_x000D_
Ata - Venc     : 70/19 - 28.02.2020</t>
        </r>
      </text>
    </comment>
    <comment ref="O567" authorId="0" shapeId="0" xr:uid="{E32F91BA-FC18-4BE6-9548-3853BB2B4681}">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67" authorId="0" shapeId="0" xr:uid="{2023F16C-17E7-42C0-A749-D8FDE1590E49}">
      <text>
        <r>
          <rPr>
            <sz val="10"/>
            <color indexed="81"/>
            <rFont val="Lucida Console"/>
            <family val="3"/>
          </rPr>
          <t>_x000D_
DM-Serralheria</t>
        </r>
      </text>
    </comment>
    <comment ref="X567" authorId="0" shapeId="0" xr:uid="{08628FA2-6AF0-41C8-95BA-F91C7035178D}">
      <text>
        <r>
          <rPr>
            <sz val="10"/>
            <color indexed="81"/>
            <rFont val="Lucida Console"/>
            <family val="3"/>
          </rPr>
          <t>_x000D_
FERRAMENTAS MAQ.FERRAMENTAS,ELETR.PECAS E ACESSORI</t>
        </r>
      </text>
    </comment>
    <comment ref="Y567" authorId="0" shapeId="0" xr:uid="{1676044F-9651-479E-8DF6-D8914AA42558}">
      <text>
        <r>
          <rPr>
            <sz val="10"/>
            <color indexed="81"/>
            <rFont val="Lucida Console"/>
            <family val="3"/>
          </rPr>
          <t>_x000D_
BROCAS</t>
        </r>
      </text>
    </comment>
    <comment ref="AW567" authorId="0" shapeId="0" xr:uid="{18939A52-ED9F-4FA8-BB34-64D9FD261C82}">
      <text>
        <r>
          <rPr>
            <sz val="10"/>
            <color indexed="81"/>
            <rFont val="Lucida Console"/>
            <family val="3"/>
          </rPr>
          <t>Tempo de Estoque (Meses)_x000D_
_x000D_
842,0</t>
        </r>
      </text>
    </comment>
    <comment ref="A568" authorId="0" shapeId="0" xr:uid="{81C2F07E-1D81-4EBE-8C32-E1F3525FFC63}">
      <text>
        <r>
          <rPr>
            <sz val="10"/>
            <color indexed="81"/>
            <rFont val="Lucida Console"/>
            <family val="3"/>
          </rPr>
          <t>_x000D_
20035</t>
        </r>
      </text>
    </comment>
    <comment ref="B568" authorId="0" shapeId="0" xr:uid="{F9E3896A-6E19-43ED-9DF5-2DDBF9EF34F2}">
      <text>
        <r>
          <rPr>
            <sz val="10"/>
            <color indexed="81"/>
            <rFont val="Lucida Console"/>
            <family val="3"/>
          </rPr>
          <t>DESCRIÇÃO DETALHADA_x000D_
BROCA DE ACO RAPIDO HELICOIDAL DE 3/32" COM HASTE CILINDRICA</t>
        </r>
      </text>
    </comment>
    <comment ref="G568" authorId="0" shapeId="0" xr:uid="{B299CA6A-6529-4698-9133-46D39E339D4C}">
      <text>
        <r>
          <rPr>
            <sz val="10"/>
            <color indexed="81"/>
            <rFont val="Lucida Console"/>
            <family val="3"/>
          </rPr>
          <t>_x000D_
Últ estimativa : 230_x000D_
Enviada em     : 24.10.2019_x000D_
Ata - Venc     : 70/19 - 28.02.2020</t>
        </r>
      </text>
    </comment>
    <comment ref="O568" authorId="0" shapeId="0" xr:uid="{C75DF530-C338-48F4-B79D-BF28460B4BD4}">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68" authorId="0" shapeId="0" xr:uid="{F9BD9EA1-67C4-4E06-BDDF-330F881FB870}">
      <text>
        <r>
          <rPr>
            <sz val="10"/>
            <color indexed="81"/>
            <rFont val="Lucida Console"/>
            <family val="3"/>
          </rPr>
          <t>_x000D_
DM-Serralheria</t>
        </r>
      </text>
    </comment>
    <comment ref="X568" authorId="0" shapeId="0" xr:uid="{A1DA0898-A019-448E-A059-F8CE73C03E1E}">
      <text>
        <r>
          <rPr>
            <sz val="10"/>
            <color indexed="81"/>
            <rFont val="Lucida Console"/>
            <family val="3"/>
          </rPr>
          <t>_x000D_
FERRAMENTAS MAQ.FERRAMENTAS,ELETR.PECAS E ACESSORI</t>
        </r>
      </text>
    </comment>
    <comment ref="Y568" authorId="0" shapeId="0" xr:uid="{CF042D85-85C3-421B-82FD-0643DBC4530C}">
      <text>
        <r>
          <rPr>
            <sz val="10"/>
            <color indexed="81"/>
            <rFont val="Lucida Console"/>
            <family val="3"/>
          </rPr>
          <t>_x000D_
BROCAS</t>
        </r>
      </text>
    </comment>
    <comment ref="AW568" authorId="0" shapeId="0" xr:uid="{EB2C10E6-A063-46A4-BB75-0D793FF4B3FC}">
      <text>
        <r>
          <rPr>
            <sz val="10"/>
            <color indexed="81"/>
            <rFont val="Lucida Console"/>
            <family val="3"/>
          </rPr>
          <t>Tempo de Estoque (Meses)_x000D_
_x000D_
899,0</t>
        </r>
      </text>
    </comment>
    <comment ref="A569" authorId="0" shapeId="0" xr:uid="{16D3C763-7E2A-4617-B47D-12C7B89C3124}">
      <text>
        <r>
          <rPr>
            <sz val="10"/>
            <color indexed="81"/>
            <rFont val="Lucida Console"/>
            <family val="3"/>
          </rPr>
          <t>_x000D_
20104</t>
        </r>
      </text>
    </comment>
    <comment ref="B569" authorId="0" shapeId="0" xr:uid="{026B44D4-1A97-418B-91AA-B843AD859B37}">
      <text>
        <r>
          <rPr>
            <sz val="10"/>
            <color indexed="81"/>
            <rFont val="Lucida Console"/>
            <family val="3"/>
          </rPr>
          <t>DESCRIÇÃO DETALHADA_x000D_
BROCA DE ACO RAPIDO HELICOIDAL DE 5/16" COM HASTE CILINDRICA</t>
        </r>
      </text>
    </comment>
    <comment ref="G569" authorId="0" shapeId="0" xr:uid="{BE680D86-B10C-4A46-8D99-DEAF09509536}">
      <text>
        <r>
          <rPr>
            <sz val="10"/>
            <color indexed="81"/>
            <rFont val="Lucida Console"/>
            <family val="3"/>
          </rPr>
          <t>_x000D_
Últ estimativa : 250_x000D_
Enviada em     : 24.10.2019_x000D_
Ata - Venc     : 70/19 - 28.02.2020</t>
        </r>
      </text>
    </comment>
    <comment ref="O569" authorId="0" shapeId="0" xr:uid="{AB9A3EC2-8893-4CEA-906A-A25656B758B7}">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69" authorId="0" shapeId="0" xr:uid="{4C2B1553-655B-406F-A09E-1B6099F9CEE4}">
      <text>
        <r>
          <rPr>
            <sz val="10"/>
            <color indexed="81"/>
            <rFont val="Lucida Console"/>
            <family val="3"/>
          </rPr>
          <t>_x000D_
DM-Serralheria</t>
        </r>
      </text>
    </comment>
    <comment ref="X569" authorId="0" shapeId="0" xr:uid="{4F0985B6-C459-4F2C-9538-F18F93BCF49A}">
      <text>
        <r>
          <rPr>
            <sz val="10"/>
            <color indexed="81"/>
            <rFont val="Lucida Console"/>
            <family val="3"/>
          </rPr>
          <t>_x000D_
FERRAMENTAS MAQ.FERRAMENTAS,ELETR.PECAS E ACESSORI</t>
        </r>
      </text>
    </comment>
    <comment ref="Y569" authorId="0" shapeId="0" xr:uid="{8945CC98-DFB4-4F1C-B710-B18D93B57E88}">
      <text>
        <r>
          <rPr>
            <sz val="10"/>
            <color indexed="81"/>
            <rFont val="Lucida Console"/>
            <family val="3"/>
          </rPr>
          <t>_x000D_
BROCAS</t>
        </r>
      </text>
    </comment>
    <comment ref="AW569" authorId="0" shapeId="0" xr:uid="{2B7D78AA-1497-4842-A727-A290B2727E5E}">
      <text>
        <r>
          <rPr>
            <sz val="10"/>
            <color indexed="81"/>
            <rFont val="Lucida Console"/>
            <family val="3"/>
          </rPr>
          <t>Tempo de Estoque (Meses)_x000D_
_x000D_
384,0</t>
        </r>
      </text>
    </comment>
    <comment ref="A570" authorId="0" shapeId="0" xr:uid="{CDCFC1CC-0B46-4FF8-9DD8-5F8E57A85C23}">
      <text>
        <r>
          <rPr>
            <sz val="10"/>
            <color indexed="81"/>
            <rFont val="Lucida Console"/>
            <family val="3"/>
          </rPr>
          <t>_x000D_
20106</t>
        </r>
      </text>
    </comment>
    <comment ref="B570" authorId="0" shapeId="0" xr:uid="{BA68C358-83CA-4FF3-9DB1-CCD417EBD29F}">
      <text>
        <r>
          <rPr>
            <sz val="10"/>
            <color indexed="81"/>
            <rFont val="Lucida Console"/>
            <family val="3"/>
          </rPr>
          <t>DESCRIÇÃO DETALHADA_x000D_
BROCA DE ACO RAPIDO HELICOIDAL DE 5/32" COM HASTE CILINDRICA</t>
        </r>
      </text>
    </comment>
    <comment ref="G570" authorId="0" shapeId="0" xr:uid="{C3743712-6E57-4367-BE42-C5346C8685CD}">
      <text>
        <r>
          <rPr>
            <sz val="10"/>
            <color indexed="81"/>
            <rFont val="Lucida Console"/>
            <family val="3"/>
          </rPr>
          <t>_x000D_
Últ estimativa : 300_x000D_
Enviada em     : 24.10.2019_x000D_
Ata - Venc     : 70/19 - 28.02.2020</t>
        </r>
      </text>
    </comment>
    <comment ref="O570" authorId="0" shapeId="0" xr:uid="{9BB69B86-C3DF-4374-9A9E-77448AFF3C33}">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70" authorId="0" shapeId="0" xr:uid="{F13384D3-4FC3-4F88-9453-3639926216E1}">
      <text>
        <r>
          <rPr>
            <sz val="10"/>
            <color indexed="81"/>
            <rFont val="Lucida Console"/>
            <family val="3"/>
          </rPr>
          <t>_x000D_
DM-Serralheria</t>
        </r>
      </text>
    </comment>
    <comment ref="X570" authorId="0" shapeId="0" xr:uid="{D1E33A41-BF12-43C7-A4D8-591CB8D55EA7}">
      <text>
        <r>
          <rPr>
            <sz val="10"/>
            <color indexed="81"/>
            <rFont val="Lucida Console"/>
            <family val="3"/>
          </rPr>
          <t>_x000D_
FERRAMENTAS MAQ.FERRAMENTAS,ELETR.PECAS E ACESSORI</t>
        </r>
      </text>
    </comment>
    <comment ref="Y570" authorId="0" shapeId="0" xr:uid="{3CE3E9FE-1808-48A4-9DA5-4F773D17E9E0}">
      <text>
        <r>
          <rPr>
            <sz val="10"/>
            <color indexed="81"/>
            <rFont val="Lucida Console"/>
            <family val="3"/>
          </rPr>
          <t>_x000D_
BROCAS</t>
        </r>
      </text>
    </comment>
    <comment ref="AW570" authorId="0" shapeId="0" xr:uid="{C7439AB2-F3C6-4447-9EA3-5CEC7647B0A0}">
      <text>
        <r>
          <rPr>
            <sz val="10"/>
            <color indexed="81"/>
            <rFont val="Lucida Console"/>
            <family val="3"/>
          </rPr>
          <t>Tempo de Estoque (Meses)_x000D_
_x000D_
869,0</t>
        </r>
      </text>
    </comment>
    <comment ref="A571" authorId="0" shapeId="0" xr:uid="{BDD7CED3-0B34-45E6-BA3F-BF4904C43ECF}">
      <text>
        <r>
          <rPr>
            <sz val="10"/>
            <color indexed="81"/>
            <rFont val="Lucida Console"/>
            <family val="3"/>
          </rPr>
          <t>_x000D_
133371</t>
        </r>
      </text>
    </comment>
    <comment ref="B571" authorId="0" shapeId="0" xr:uid="{F875D103-A946-48D9-8AEC-80DDF2D24023}">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71" authorId="0" shapeId="0" xr:uid="{4E4A8E53-FB4A-4EC3-B8DF-B8620ACD5A1C}">
      <text>
        <r>
          <rPr>
            <sz val="10"/>
            <color indexed="81"/>
            <rFont val="Lucida Console"/>
            <family val="3"/>
          </rPr>
          <t>_x000D_
Últ estimativa : 800_x000D_
Enviada em     : 24.10.2019_x000D_
Ata - Venc     : 75/21 - 15.03.2022</t>
        </r>
      </text>
    </comment>
    <comment ref="O571" authorId="0" shapeId="0" xr:uid="{46EF8D06-E7CA-48B0-BF81-9CBAA0FF500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71" authorId="0" shapeId="0" xr:uid="{78ED8B1D-F999-48D4-B2B4-02ECA43C92E2}">
      <text>
        <r>
          <rPr>
            <sz val="10"/>
            <color indexed="81"/>
            <rFont val="Lucida Console"/>
            <family val="3"/>
          </rPr>
          <t>_x000D_
DM-Serralheria</t>
        </r>
      </text>
    </comment>
    <comment ref="X571" authorId="0" shapeId="0" xr:uid="{8D6C14C1-FB93-4901-B7D9-36586327CDA4}">
      <text>
        <r>
          <rPr>
            <sz val="10"/>
            <color indexed="81"/>
            <rFont val="Lucida Console"/>
            <family val="3"/>
          </rPr>
          <t>_x000D_
FERRAMENTAS MAQ.FERRAMENTAS,ELETR.PECAS E ACESSORI</t>
        </r>
      </text>
    </comment>
    <comment ref="Y571" authorId="0" shapeId="0" xr:uid="{F7EE58E1-B721-46E6-962C-39883B89EC3A}">
      <text>
        <r>
          <rPr>
            <sz val="10"/>
            <color indexed="81"/>
            <rFont val="Lucida Console"/>
            <family val="3"/>
          </rPr>
          <t>_x000D_
ACESSORIOS P/ SOLDA</t>
        </r>
      </text>
    </comment>
    <comment ref="AW571" authorId="0" shapeId="0" xr:uid="{71A3BB51-FF91-42FF-9627-C2F985DD88E9}">
      <text>
        <r>
          <rPr>
            <sz val="10"/>
            <color indexed="81"/>
            <rFont val="Lucida Console"/>
            <family val="3"/>
          </rPr>
          <t>Tempo de Estoque (Meses)_x000D_
_x000D_
420,0</t>
        </r>
      </text>
    </comment>
    <comment ref="A572" authorId="0" shapeId="0" xr:uid="{61FE3C18-73C4-48F4-9ABB-2BDCDA1C5AFB}">
      <text>
        <r>
          <rPr>
            <sz val="10"/>
            <color indexed="81"/>
            <rFont val="Lucida Console"/>
            <family val="3"/>
          </rPr>
          <t>_x000D_
35256</t>
        </r>
      </text>
    </comment>
    <comment ref="B572" authorId="0" shapeId="0" xr:uid="{4F608FD8-79B2-44DC-A7AB-521A64D1CE54}">
      <text>
        <r>
          <rPr>
            <sz val="10"/>
            <color indexed="81"/>
            <rFont val="Lucida Console"/>
            <family val="3"/>
          </rPr>
          <t>DESCRIÇÃO DETALHADA_x000D_
CANTONEIRA EM ALUMINIO - 10 MM DE VAO - BR C/ 3 METROS  (P/ACABAMENTO EM PAREDES DE AZULEJO GROSSO)</t>
        </r>
      </text>
    </comment>
    <comment ref="G572" authorId="0" shapeId="0" xr:uid="{64590257-3091-4018-88A3-E4BBAEE6B460}">
      <text>
        <r>
          <rPr>
            <sz val="10"/>
            <color indexed="81"/>
            <rFont val="Lucida Console"/>
            <family val="3"/>
          </rPr>
          <t>_x000D_
Últ estimativa : 200_x000D_
Enviada em     : 20.05.2020_x000D_
Ata - Venc     : 75/21 - 15.03.2022</t>
        </r>
      </text>
    </comment>
    <comment ref="O572" authorId="0" shapeId="0" xr:uid="{93BD2CA4-AC80-4A9D-89FD-CE53C2577142}">
      <text>
        <r>
          <rPr>
            <sz val="10"/>
            <color indexed="81"/>
            <rFont val="Lucida Console"/>
            <family val="3"/>
          </rPr>
          <t>_x000D_
Pertencia a ATA nº 75/21_x000D_
Estimativa de Renovação enviada em 20.05.2020 - Qtd 200_x000D_
PE 247/20 lote _x000D_
18.02.21 = Finalizado</t>
        </r>
      </text>
    </comment>
    <comment ref="W572" authorId="0" shapeId="0" xr:uid="{5AF9F39F-5259-4D8C-981D-CE022051998E}">
      <text>
        <r>
          <rPr>
            <sz val="10"/>
            <color indexed="81"/>
            <rFont val="Lucida Console"/>
            <family val="3"/>
          </rPr>
          <t>_x000D_
DM-Serralheria</t>
        </r>
      </text>
    </comment>
    <comment ref="X572" authorId="0" shapeId="0" xr:uid="{DACAFBA3-DB1C-4FD3-9292-A0A34721635C}">
      <text>
        <r>
          <rPr>
            <sz val="10"/>
            <color indexed="81"/>
            <rFont val="Lucida Console"/>
            <family val="3"/>
          </rPr>
          <t>_x000D_
METAIS,LAMINAD.,PERFILADOS E ARTEFATOS METALICOS</t>
        </r>
      </text>
    </comment>
    <comment ref="Y572" authorId="0" shapeId="0" xr:uid="{C438371A-C4A7-410B-852C-A7D9B1A8F0DB}">
      <text>
        <r>
          <rPr>
            <sz val="10"/>
            <color indexed="81"/>
            <rFont val="Lucida Console"/>
            <family val="3"/>
          </rPr>
          <t>_x000D_
CANTONEIRAS</t>
        </r>
      </text>
    </comment>
    <comment ref="AW572" authorId="0" shapeId="0" xr:uid="{62B99EAB-6167-455D-9571-0328FCB4487D}">
      <text>
        <r>
          <rPr>
            <sz val="10"/>
            <color indexed="81"/>
            <rFont val="Lucida Console"/>
            <family val="3"/>
          </rPr>
          <t>Tempo de Estoque (Meses)_x000D_
_x000D_
157,0</t>
        </r>
      </text>
    </comment>
    <comment ref="A573" authorId="0" shapeId="0" xr:uid="{D64FFF5B-2DB8-4A48-A4E5-40B23980C82A}">
      <text>
        <r>
          <rPr>
            <sz val="10"/>
            <color indexed="81"/>
            <rFont val="Lucida Console"/>
            <family val="3"/>
          </rPr>
          <t>_x000D_
12830</t>
        </r>
      </text>
    </comment>
    <comment ref="B573" authorId="0" shapeId="0" xr:uid="{50F0E560-7B79-4C35-B477-1B7E0F198054}">
      <text>
        <r>
          <rPr>
            <sz val="10"/>
            <color indexed="81"/>
            <rFont val="Lucida Console"/>
            <family val="3"/>
          </rPr>
          <t>DESCRIÇÃO DETALHADA_x000D_
ADAPTADOR DE PVC SOLDAVEL MARROM 1.1/2". A MARCA DEVERA VIR LITOGRAFADA NA PECA.</t>
        </r>
      </text>
    </comment>
    <comment ref="G573" authorId="0" shapeId="0" xr:uid="{51FD3509-5C8E-47BE-887B-A355A700DD2D}">
      <text>
        <r>
          <rPr>
            <sz val="10"/>
            <color indexed="81"/>
            <rFont val="Lucida Console"/>
            <family val="3"/>
          </rPr>
          <t>_x000D_
Últ estimativa : 600_x000D_
Enviada em     : 24.11.2020_x000D_
Ata - Venc     : 76/19 - 09.03.2020</t>
        </r>
      </text>
    </comment>
    <comment ref="O573" authorId="0" shapeId="0" xr:uid="{C1C4376D-5CC5-4C12-B22A-753A8EC3FA9E}">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73" authorId="0" shapeId="0" xr:uid="{020ADCC6-FE9C-4FBB-9D73-D3CF66E2ECC2}">
      <text>
        <r>
          <rPr>
            <sz val="10"/>
            <color indexed="81"/>
            <rFont val="Lucida Console"/>
            <family val="3"/>
          </rPr>
          <t>_x000D_
DM-Hidráulica</t>
        </r>
      </text>
    </comment>
    <comment ref="X573" authorId="0" shapeId="0" xr:uid="{989F18BA-A90B-483A-9CC3-30F5EBDBE7C3}">
      <text>
        <r>
          <rPr>
            <sz val="10"/>
            <color indexed="81"/>
            <rFont val="Lucida Console"/>
            <family val="3"/>
          </rPr>
          <t>_x000D_
MATERIAL HIDRAULICO, CANOS, TUBOS, MANGUEIRAS, CONEXOES E ACESS.</t>
        </r>
      </text>
    </comment>
    <comment ref="Y573" authorId="0" shapeId="0" xr:uid="{10A15B65-F5EB-4B70-8DDE-963AFCC80CEB}">
      <text>
        <r>
          <rPr>
            <sz val="10"/>
            <color indexed="81"/>
            <rFont val="Lucida Console"/>
            <family val="3"/>
          </rPr>
          <t>_x000D_
ADAP. LUVAS.TES CURVAS COTOVELOS PLUGS FLANGES.....</t>
        </r>
      </text>
    </comment>
    <comment ref="AW573" authorId="0" shapeId="0" xr:uid="{ED4A62D2-B794-413F-B460-D56D19C1A271}">
      <text>
        <r>
          <rPr>
            <sz val="10"/>
            <color indexed="81"/>
            <rFont val="Lucida Console"/>
            <family val="3"/>
          </rPr>
          <t>Tempo de Estoque (Meses)_x000D_
_x000D_
1.482,0</t>
        </r>
      </text>
    </comment>
    <comment ref="A574" authorId="0" shapeId="0" xr:uid="{43E94B10-D018-4463-A84A-FFDFD3326306}">
      <text>
        <r>
          <rPr>
            <sz val="10"/>
            <color indexed="81"/>
            <rFont val="Lucida Console"/>
            <family val="3"/>
          </rPr>
          <t>_x000D_
114976</t>
        </r>
      </text>
    </comment>
    <comment ref="B574" authorId="0" shapeId="0" xr:uid="{2EAE8FD7-104E-41CC-B589-1C605FB096FB}">
      <text>
        <r>
          <rPr>
            <sz val="10"/>
            <color indexed="81"/>
            <rFont val="Lucida Console"/>
            <family val="3"/>
          </rPr>
          <t>DESCRIÇÃO DETALHADA_x000D_
CABO DE COBRE FLEXIVEL BITOLA 240 MM2 ISOLACAO 0,6/1KV , TEMPERATURA 70° C, COR PRETA - ANTICHAMA</t>
        </r>
      </text>
    </comment>
    <comment ref="G574" authorId="0" shapeId="0" xr:uid="{74B9C961-929B-4BFF-B3D1-406CA72BB94F}">
      <text>
        <r>
          <rPr>
            <sz val="10"/>
            <color indexed="81"/>
            <rFont val="Lucida Console"/>
            <family val="3"/>
          </rPr>
          <t>_x000D_
Últ estimativa : 0_x000D_
Enviada em     : 20.12.2018_x000D_
Ata - Venc     : 78/18 - 25.03.2019</t>
        </r>
      </text>
    </comment>
    <comment ref="O574" authorId="0" shapeId="0" xr:uid="{8EF204C5-74A0-4242-A3A1-22FD13716782}">
      <text>
        <r>
          <rPr>
            <sz val="10"/>
            <color indexed="81"/>
            <rFont val="Lucida Console"/>
            <family val="3"/>
          </rPr>
          <t>_x000D_
Pertencia a ATA nº 78/18_x000D_
Estimativa de Renovação enviada em 20.12.2018 - Qtd _x000D_
PP  11/18 lote _x000D_
09.04.18 = Processo finalizado. Ata 78/18.</t>
        </r>
      </text>
    </comment>
    <comment ref="W574" authorId="0" shapeId="0" xr:uid="{3C40A5CD-204B-4FC6-AFB3-166AD16A941E}">
      <text>
        <r>
          <rPr>
            <sz val="10"/>
            <color indexed="81"/>
            <rFont val="Lucida Console"/>
            <family val="3"/>
          </rPr>
          <t>_x000D_
DM-Elétrica</t>
        </r>
      </text>
    </comment>
    <comment ref="X574" authorId="0" shapeId="0" xr:uid="{C9567589-E8CF-49C3-8586-FEBB1DA96485}">
      <text>
        <r>
          <rPr>
            <sz val="10"/>
            <color indexed="81"/>
            <rFont val="Lucida Console"/>
            <family val="3"/>
          </rPr>
          <t>_x000D_
EQUIP. MAT. P/ GERACAO, TRANSM. DISTR. RETIF...</t>
        </r>
      </text>
    </comment>
    <comment ref="Y574" authorId="0" shapeId="0" xr:uid="{9B6C03CF-96AE-4D43-9571-EED127E3E1BA}">
      <text>
        <r>
          <rPr>
            <sz val="10"/>
            <color indexed="81"/>
            <rFont val="Lucida Console"/>
            <family val="3"/>
          </rPr>
          <t>_x000D_
FIOS E CABOS ELETRICOS</t>
        </r>
      </text>
    </comment>
    <comment ref="AW574" authorId="0" shapeId="0" xr:uid="{3AA4A111-C65B-4E5A-8085-45622ABB5D1D}">
      <text>
        <r>
          <rPr>
            <sz val="10"/>
            <color indexed="81"/>
            <rFont val="Lucida Console"/>
            <family val="3"/>
          </rPr>
          <t>Tempo de Estoque (Meses)_x000D_
_x000D_
634,0</t>
        </r>
      </text>
    </comment>
    <comment ref="A575" authorId="0" shapeId="0" xr:uid="{B80227E1-454D-4407-AC2E-17FD023B3F13}">
      <text>
        <r>
          <rPr>
            <sz val="10"/>
            <color indexed="81"/>
            <rFont val="Lucida Console"/>
            <family val="3"/>
          </rPr>
          <t>_x000D_
123372</t>
        </r>
      </text>
    </comment>
    <comment ref="B575" authorId="0" shapeId="0" xr:uid="{170A3E8D-9E04-493C-B6B2-A37A0AF1AC0D}">
      <text>
        <r>
          <rPr>
            <sz val="10"/>
            <color indexed="81"/>
            <rFont val="Lucida Console"/>
            <family val="3"/>
          </rPr>
          <t>DESCRIÇÃO DETALHADA_x000D_
CABO DE COBRE FLEXIVEL BITOLA 95 MM2 , ISOLACAO 0,6/1 KV, COR AZUL - ANTICHAMA</t>
        </r>
      </text>
    </comment>
    <comment ref="G575" authorId="0" shapeId="0" xr:uid="{26D4BC7D-079F-4426-B01F-F814DDB4D61B}">
      <text>
        <r>
          <rPr>
            <sz val="10"/>
            <color indexed="81"/>
            <rFont val="Lucida Console"/>
            <family val="3"/>
          </rPr>
          <t>_x000D_
Últ estimativa : 0_x000D_
Enviada em     : 20.12.2018_x000D_
Ata - Venc     : 78/18 - 25.03.2019</t>
        </r>
      </text>
    </comment>
    <comment ref="O575" authorId="0" shapeId="0" xr:uid="{DBB7E24A-68A1-498E-A5E2-57D958AD62E4}">
      <text>
        <r>
          <rPr>
            <sz val="10"/>
            <color indexed="81"/>
            <rFont val="Lucida Console"/>
            <family val="3"/>
          </rPr>
          <t>_x000D_
Pertencia a ATA nº 78/18_x000D_
Estimativa de Renovação enviada em 20.12.2018 - Qtd _x000D_
PP  11/18 lote _x000D_
09.04.18 = Processo finalizado. Ata 78/18.</t>
        </r>
      </text>
    </comment>
    <comment ref="W575" authorId="0" shapeId="0" xr:uid="{070B1D20-A7E3-4E97-89A2-ABF96333C440}">
      <text>
        <r>
          <rPr>
            <sz val="10"/>
            <color indexed="81"/>
            <rFont val="Lucida Console"/>
            <family val="3"/>
          </rPr>
          <t>_x000D_
DM-Elétrica</t>
        </r>
      </text>
    </comment>
    <comment ref="X575" authorId="0" shapeId="0" xr:uid="{062CFF21-B3F1-4716-97B5-9676A472177D}">
      <text>
        <r>
          <rPr>
            <sz val="10"/>
            <color indexed="81"/>
            <rFont val="Lucida Console"/>
            <family val="3"/>
          </rPr>
          <t>_x000D_
EQUIP. MAT. P/ GERACAO, TRANSM. DISTR. RETIF...</t>
        </r>
      </text>
    </comment>
    <comment ref="Y575" authorId="0" shapeId="0" xr:uid="{D0A2DAA9-DAE8-46BB-A246-1B1FFE3C090D}">
      <text>
        <r>
          <rPr>
            <sz val="10"/>
            <color indexed="81"/>
            <rFont val="Lucida Console"/>
            <family val="3"/>
          </rPr>
          <t>_x000D_
FIOS E CABOS ELETRICOS</t>
        </r>
      </text>
    </comment>
    <comment ref="AW575" authorId="0" shapeId="0" xr:uid="{C39CC02B-C82F-4092-B4AE-5F4D1C363EC5}">
      <text>
        <r>
          <rPr>
            <sz val="10"/>
            <color indexed="81"/>
            <rFont val="Lucida Console"/>
            <family val="3"/>
          </rPr>
          <t>Tempo de Estoque (Meses)_x000D_
_x000D_
651,0</t>
        </r>
      </text>
    </comment>
    <comment ref="A576" authorId="0" shapeId="0" xr:uid="{6B04F0F7-B59E-4FA0-A994-118E7ECCE712}">
      <text>
        <r>
          <rPr>
            <sz val="10"/>
            <color indexed="81"/>
            <rFont val="Lucida Console"/>
            <family val="3"/>
          </rPr>
          <t>_x000D_
129960</t>
        </r>
      </text>
    </comment>
    <comment ref="B576" authorId="0" shapeId="0" xr:uid="{09B1D783-9E60-4D4B-B22A-B7E424B85FA0}">
      <text>
        <r>
          <rPr>
            <sz val="10"/>
            <color indexed="81"/>
            <rFont val="Lucida Console"/>
            <family val="3"/>
          </rPr>
          <t>DESCRIÇÃO DETALHADA_x000D_
CABO DE COBRE FLEXIVEL BITOLA 240MM², 750 V, ISOLACAO DE PVC - 70°C - COR AZUL-CLARO</t>
        </r>
      </text>
    </comment>
    <comment ref="G576" authorId="0" shapeId="0" xr:uid="{81CA227B-FCFB-40B0-AB66-B56D3904DC02}">
      <text>
        <r>
          <rPr>
            <sz val="10"/>
            <color indexed="81"/>
            <rFont val="Lucida Console"/>
            <family val="3"/>
          </rPr>
          <t>_x000D_
Últ estimativa : 0_x000D_
Enviada em     : 20.12.2018_x000D_
Ata - Venc     : 78/18 - 25.03.2019</t>
        </r>
      </text>
    </comment>
    <comment ref="O576" authorId="0" shapeId="0" xr:uid="{B33E3CEB-B0EE-41BD-9AD9-9BD4576F8F26}">
      <text>
        <r>
          <rPr>
            <sz val="10"/>
            <color indexed="81"/>
            <rFont val="Lucida Console"/>
            <family val="3"/>
          </rPr>
          <t>_x000D_
Pertencia a ATA nº 78/18_x000D_
Estimativa de Renovação enviada em 20.12.2018 - Qtd _x000D_
PP  11/18 lote _x000D_
09.04.18 = Processo finalizado. Ata 78/18.</t>
        </r>
      </text>
    </comment>
    <comment ref="W576" authorId="0" shapeId="0" xr:uid="{C11AA425-A303-4070-9160-E5C7A602E0AF}">
      <text>
        <r>
          <rPr>
            <sz val="10"/>
            <color indexed="81"/>
            <rFont val="Lucida Console"/>
            <family val="3"/>
          </rPr>
          <t>_x000D_
DM-Elétrica</t>
        </r>
      </text>
    </comment>
    <comment ref="X576" authorId="0" shapeId="0" xr:uid="{8A440017-7F1F-4DB4-BE02-457E9097AC0D}">
      <text>
        <r>
          <rPr>
            <sz val="10"/>
            <color indexed="81"/>
            <rFont val="Lucida Console"/>
            <family val="3"/>
          </rPr>
          <t>_x000D_
EQUIP. MAT. P/ GERACAO, TRANSM. DISTR. RETIF...</t>
        </r>
      </text>
    </comment>
    <comment ref="Y576" authorId="0" shapeId="0" xr:uid="{9B861EF2-4620-4EF1-9DEF-B4EF10789DBA}">
      <text>
        <r>
          <rPr>
            <sz val="10"/>
            <color indexed="81"/>
            <rFont val="Lucida Console"/>
            <family val="3"/>
          </rPr>
          <t>_x000D_
FIOS E CABOS ELETRICOS</t>
        </r>
      </text>
    </comment>
    <comment ref="AW576" authorId="0" shapeId="0" xr:uid="{4825FCA2-21E8-4C8F-BFB5-94047F01FC8B}">
      <text>
        <r>
          <rPr>
            <sz val="10"/>
            <color indexed="81"/>
            <rFont val="Lucida Console"/>
            <family val="3"/>
          </rPr>
          <t>Tempo de Estoque (Meses)_x000D_
_x000D_
250,0</t>
        </r>
      </text>
    </comment>
    <comment ref="A577" authorId="0" shapeId="0" xr:uid="{CDAD7D97-FFAD-419D-AE80-16CB9BE2104C}">
      <text>
        <r>
          <rPr>
            <sz val="10"/>
            <color indexed="81"/>
            <rFont val="Lucida Console"/>
            <family val="3"/>
          </rPr>
          <t>_x000D_
138552</t>
        </r>
      </text>
    </comment>
    <comment ref="B577" authorId="0" shapeId="0" xr:uid="{62590CC1-9349-46D1-9651-6EAA28E703B5}">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7" authorId="0" shapeId="0" xr:uid="{1300AFBC-CBCE-4FFB-B901-E3C9A2D46624}">
      <text>
        <r>
          <rPr>
            <sz val="10"/>
            <color indexed="81"/>
            <rFont val="Lucida Console"/>
            <family val="3"/>
          </rPr>
          <t>_x000D_
Últ estimativa : 700_x000D_
Enviada em     : 11.11.2020_x000D_
Ata - Venc     : 79/21 - 16.03.2022</t>
        </r>
      </text>
    </comment>
    <comment ref="O577" authorId="0" shapeId="0" xr:uid="{27781BBE-AA73-4701-8659-30F83CDD0912}">
      <text>
        <r>
          <rPr>
            <sz val="10"/>
            <color indexed="81"/>
            <rFont val="Lucida Console"/>
            <family val="3"/>
          </rPr>
          <t>_x000D_
Pertencia a ATA nº 79/21_x000D_
Estimativa de Renovação enviada em 11.11.2020 - Qtd 700_x000D_
PE 245/20 lote _x000D_
20.01.21 = Finalizado</t>
        </r>
      </text>
    </comment>
    <comment ref="W577" authorId="0" shapeId="0" xr:uid="{5DD5879B-CEB5-4A90-BBE4-B722C713968A}">
      <text>
        <r>
          <rPr>
            <sz val="10"/>
            <color indexed="81"/>
            <rFont val="Lucida Console"/>
            <family val="3"/>
          </rPr>
          <t>_x000D_
DM-Elétrica</t>
        </r>
      </text>
    </comment>
    <comment ref="X577" authorId="0" shapeId="0" xr:uid="{1B2A1A0C-83DB-4533-ABF2-E73BCF44F371}">
      <text>
        <r>
          <rPr>
            <sz val="10"/>
            <color indexed="81"/>
            <rFont val="Lucida Console"/>
            <family val="3"/>
          </rPr>
          <t>_x000D_
EQUIP. MAT. P/ GERACAO, TRANSM. DISTR. RETIF...</t>
        </r>
      </text>
    </comment>
    <comment ref="Y577" authorId="0" shapeId="0" xr:uid="{E03EEFD1-A8F0-45C5-B577-2EC0EA6FA536}">
      <text>
        <r>
          <rPr>
            <sz val="10"/>
            <color indexed="81"/>
            <rFont val="Lucida Console"/>
            <family val="3"/>
          </rPr>
          <t>_x000D_
LUMINARIAS E PROJETORES COM EQUIPAMENTO</t>
        </r>
      </text>
    </comment>
    <comment ref="AW577" authorId="0" shapeId="0" xr:uid="{6C615234-D0EA-4664-B1EE-41678C20786D}">
      <text>
        <r>
          <rPr>
            <sz val="10"/>
            <color indexed="81"/>
            <rFont val="Lucida Console"/>
            <family val="3"/>
          </rPr>
          <t>Tempo de Estoque (Meses)_x000D_
_x000D_
529,0</t>
        </r>
      </text>
    </comment>
    <comment ref="A578" authorId="0" shapeId="0" xr:uid="{3CF9C631-C1C1-4A85-92ED-5B095C61B9B9}">
      <text>
        <r>
          <rPr>
            <sz val="10"/>
            <color indexed="81"/>
            <rFont val="Lucida Console"/>
            <family val="3"/>
          </rPr>
          <t>_x000D_
138553</t>
        </r>
      </text>
    </comment>
    <comment ref="B578" authorId="0" shapeId="0" xr:uid="{F3ECD7E7-526C-47B0-81C5-F83DB84E2BA4}">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8" authorId="0" shapeId="0" xr:uid="{75BAE805-EBE3-4140-87C7-6DCB0B7E40D2}">
      <text>
        <r>
          <rPr>
            <sz val="10"/>
            <color indexed="81"/>
            <rFont val="Lucida Console"/>
            <family val="3"/>
          </rPr>
          <t>_x000D_
Últ estimativa : 700_x000D_
Enviada em     : 11.11.2020_x000D_
Ata - Venc     : 79/21 - 16.03.2022</t>
        </r>
      </text>
    </comment>
    <comment ref="O578" authorId="0" shapeId="0" xr:uid="{E9E53819-186F-4369-86BB-87F3FE84EA54}">
      <text>
        <r>
          <rPr>
            <sz val="10"/>
            <color indexed="81"/>
            <rFont val="Lucida Console"/>
            <family val="3"/>
          </rPr>
          <t>_x000D_
Pertencia a ATA nº 79/21_x000D_
Estimativa de Renovação enviada em 11.11.2020 - Qtd 700_x000D_
PE 245/20 lote _x000D_
20.01.21 = Finalizado</t>
        </r>
      </text>
    </comment>
    <comment ref="W578" authorId="0" shapeId="0" xr:uid="{E8AC0C04-2B37-46A4-B3D3-DE5F48C87914}">
      <text>
        <r>
          <rPr>
            <sz val="10"/>
            <color indexed="81"/>
            <rFont val="Lucida Console"/>
            <family val="3"/>
          </rPr>
          <t>_x000D_
DM-Elétrica</t>
        </r>
      </text>
    </comment>
    <comment ref="X578" authorId="0" shapeId="0" xr:uid="{C5301D9D-AF8B-42B6-BA77-AB13231E8FA4}">
      <text>
        <r>
          <rPr>
            <sz val="10"/>
            <color indexed="81"/>
            <rFont val="Lucida Console"/>
            <family val="3"/>
          </rPr>
          <t>_x000D_
EQUIP. MAT. P/ GERACAO, TRANSM. DISTR. RETIF...</t>
        </r>
      </text>
    </comment>
    <comment ref="Y578" authorId="0" shapeId="0" xr:uid="{E6186ECA-0386-4F8D-A91A-4ED6FC300109}">
      <text>
        <r>
          <rPr>
            <sz val="10"/>
            <color indexed="81"/>
            <rFont val="Lucida Console"/>
            <family val="3"/>
          </rPr>
          <t>_x000D_
LUMINARIAS E PROJETORES COM EQUIPAMENTO</t>
        </r>
      </text>
    </comment>
    <comment ref="AW578" authorId="0" shapeId="0" xr:uid="{7444111A-0E80-4A61-8D8D-F4DA657AED82}">
      <text>
        <r>
          <rPr>
            <sz val="10"/>
            <color indexed="81"/>
            <rFont val="Lucida Console"/>
            <family val="3"/>
          </rPr>
          <t>Tempo de Estoque (Meses)_x000D_
_x000D_
660,0</t>
        </r>
      </text>
    </comment>
    <comment ref="A579" authorId="0" shapeId="0" xr:uid="{FAC28277-8BF2-4B37-9288-4695094D2740}">
      <text>
        <r>
          <rPr>
            <sz val="10"/>
            <color indexed="81"/>
            <rFont val="Lucida Console"/>
            <family val="3"/>
          </rPr>
          <t>_x000D_
138554</t>
        </r>
      </text>
    </comment>
    <comment ref="B579" authorId="0" shapeId="0" xr:uid="{D4FFC9CD-003B-4BFA-B525-881E6BF711A6}">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79" authorId="0" shapeId="0" xr:uid="{E88F35DF-3CFA-463D-B705-3CA9917AFA1A}">
      <text>
        <r>
          <rPr>
            <sz val="10"/>
            <color indexed="81"/>
            <rFont val="Lucida Console"/>
            <family val="3"/>
          </rPr>
          <t>_x000D_
Últ estimativa : 700_x000D_
Enviada em     : 11.11.2020_x000D_
Ata - Venc     : 79/21 - 16.03.2022</t>
        </r>
      </text>
    </comment>
    <comment ref="O579" authorId="0" shapeId="0" xr:uid="{39B654A9-C262-405F-9264-A5C7C68C82AB}">
      <text>
        <r>
          <rPr>
            <sz val="10"/>
            <color indexed="81"/>
            <rFont val="Lucida Console"/>
            <family val="3"/>
          </rPr>
          <t>_x000D_
Pertencia a ATA nº 79/21_x000D_
Estimativa de Renovação enviada em 11.11.2020 - Qtd 700_x000D_
PE 245/20 lote _x000D_
20.01.21 = Finalizado</t>
        </r>
      </text>
    </comment>
    <comment ref="W579" authorId="0" shapeId="0" xr:uid="{C6CDA6E5-E848-4FB4-A663-A19A7B18B93B}">
      <text>
        <r>
          <rPr>
            <sz val="10"/>
            <color indexed="81"/>
            <rFont val="Lucida Console"/>
            <family val="3"/>
          </rPr>
          <t>_x000D_
DM-Elétrica</t>
        </r>
      </text>
    </comment>
    <comment ref="X579" authorId="0" shapeId="0" xr:uid="{F187A7F9-D9BF-47A7-8132-2620837B8AC5}">
      <text>
        <r>
          <rPr>
            <sz val="10"/>
            <color indexed="81"/>
            <rFont val="Lucida Console"/>
            <family val="3"/>
          </rPr>
          <t>_x000D_
EQUIP. MAT. P/ GERACAO, TRANSM. DISTR. RETIF...</t>
        </r>
      </text>
    </comment>
    <comment ref="Y579" authorId="0" shapeId="0" xr:uid="{6EA7D661-7420-485C-AC72-B200CFC8D601}">
      <text>
        <r>
          <rPr>
            <sz val="10"/>
            <color indexed="81"/>
            <rFont val="Lucida Console"/>
            <family val="3"/>
          </rPr>
          <t>_x000D_
LUMINARIAS E PROJETORES COM EQUIPAMENTO</t>
        </r>
      </text>
    </comment>
    <comment ref="AW579" authorId="0" shapeId="0" xr:uid="{32D2C505-3172-43E2-88D9-4936318D2763}">
      <text>
        <r>
          <rPr>
            <sz val="10"/>
            <color indexed="81"/>
            <rFont val="Lucida Console"/>
            <family val="3"/>
          </rPr>
          <t>Tempo de Estoque (Meses)_x000D_
_x000D_
378,0</t>
        </r>
      </text>
    </comment>
    <comment ref="A580" authorId="0" shapeId="0" xr:uid="{31F706C3-E007-47EB-8A3F-43F6BF79C06D}">
      <text>
        <r>
          <rPr>
            <sz val="10"/>
            <color indexed="81"/>
            <rFont val="Lucida Console"/>
            <family val="3"/>
          </rPr>
          <t>_x000D_
138551</t>
        </r>
      </text>
    </comment>
    <comment ref="B580" authorId="0" shapeId="0" xr:uid="{F7000128-3D0A-49E5-9C5D-02C9EDCDFA1A}">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80" authorId="0" shapeId="0" xr:uid="{33E5B96A-E35B-42C2-B050-9B748F586B51}">
      <text>
        <r>
          <rPr>
            <sz val="10"/>
            <color indexed="81"/>
            <rFont val="Lucida Console"/>
            <family val="3"/>
          </rPr>
          <t>_x000D_
Últ estimativa : 1.000_x000D_
Enviada em     : 11.11.2020_x000D_
Ata - Venc     : 79/21 - 16.03.2022</t>
        </r>
      </text>
    </comment>
    <comment ref="O580" authorId="0" shapeId="0" xr:uid="{A7802A92-8671-4625-86F6-9205C73B64F2}">
      <text>
        <r>
          <rPr>
            <sz val="10"/>
            <color indexed="81"/>
            <rFont val="Lucida Console"/>
            <family val="3"/>
          </rPr>
          <t>_x000D_
Pertencia a ATA nº 79/21_x000D_
Estimativa de Renovação enviada em 11.11.2020 - Qtd 1.000_x000D_
PE 245/20 lote _x000D_
20.01.21 = Finalizado</t>
        </r>
      </text>
    </comment>
    <comment ref="W580" authorId="0" shapeId="0" xr:uid="{554E51EA-EC50-4BBE-B2E0-AAEF72141E74}">
      <text>
        <r>
          <rPr>
            <sz val="10"/>
            <color indexed="81"/>
            <rFont val="Lucida Console"/>
            <family val="3"/>
          </rPr>
          <t>_x000D_
DM-Elétrica</t>
        </r>
      </text>
    </comment>
    <comment ref="X580" authorId="0" shapeId="0" xr:uid="{777B0555-3913-4A40-9D4E-3C6EF869096B}">
      <text>
        <r>
          <rPr>
            <sz val="10"/>
            <color indexed="81"/>
            <rFont val="Lucida Console"/>
            <family val="3"/>
          </rPr>
          <t>_x000D_
EQUIP. MAT. P/ GERACAO, TRANSM. DISTR. RETIF...</t>
        </r>
      </text>
    </comment>
    <comment ref="Y580" authorId="0" shapeId="0" xr:uid="{C9150171-EBBB-4236-806C-B6FA5886FF38}">
      <text>
        <r>
          <rPr>
            <sz val="10"/>
            <color indexed="81"/>
            <rFont val="Lucida Console"/>
            <family val="3"/>
          </rPr>
          <t>_x000D_
LAMPADAS DE LED</t>
        </r>
      </text>
    </comment>
    <comment ref="AW580" authorId="0" shapeId="0" xr:uid="{1111D986-DB2D-4B83-A868-8978B5F901A2}">
      <text>
        <r>
          <rPr>
            <sz val="10"/>
            <color indexed="81"/>
            <rFont val="Lucida Console"/>
            <family val="3"/>
          </rPr>
          <t>Tempo de Estoque (Meses)_x000D_
_x000D_
500,0</t>
        </r>
      </text>
    </comment>
    <comment ref="A581" authorId="0" shapeId="0" xr:uid="{F925CB6E-A575-4727-AD00-E3F764C1F197}">
      <text>
        <r>
          <rPr>
            <sz val="10"/>
            <color indexed="81"/>
            <rFont val="Lucida Console"/>
            <family val="3"/>
          </rPr>
          <t>_x000D_
4680</t>
        </r>
      </text>
    </comment>
    <comment ref="B581" authorId="0" shapeId="0" xr:uid="{662502E2-34F6-4B09-92DC-EB9BFB0822AC}">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81" authorId="0" shapeId="0" xr:uid="{16C6F3CF-F9B1-4450-A967-46D697AE896F}">
      <text>
        <r>
          <rPr>
            <sz val="10"/>
            <color indexed="81"/>
            <rFont val="Lucida Console"/>
            <family val="3"/>
          </rPr>
          <t>_x000D_
Últ estimativa : 18.000_x000D_
Enviada em     : 09.10.2020_x000D_
Ata - Venc     : 8/20 - 14.01.2021</t>
        </r>
      </text>
    </comment>
    <comment ref="O581" authorId="0" shapeId="0" xr:uid="{5C772CAD-D4C6-4624-998B-AA8F4AA663CF}">
      <text>
        <r>
          <rPr>
            <sz val="10"/>
            <color indexed="81"/>
            <rFont val="Lucida Console"/>
            <family val="3"/>
          </rPr>
          <t>_x000D_
Pertencia a ATA nº 8/20_x000D_
Estimativa de Renovação enviada em 09.10.2020 - Qtd 18.000_x000D_
PP 168/19 lote _x000D_
14.01.20 = ARP da SAÚDE</t>
        </r>
      </text>
    </comment>
    <comment ref="W581" authorId="0" shapeId="0" xr:uid="{6FBE1527-30A1-411E-B864-7DAEB62112F6}">
      <text>
        <r>
          <rPr>
            <sz val="10"/>
            <color indexed="81"/>
            <rFont val="Lucida Console"/>
            <family val="3"/>
          </rPr>
          <t>_x000D_
Administrativo</t>
        </r>
      </text>
    </comment>
    <comment ref="X581" authorId="0" shapeId="0" xr:uid="{E43497E0-BD20-4B5A-8580-5949BFBC9BF3}">
      <text>
        <r>
          <rPr>
            <sz val="10"/>
            <color indexed="81"/>
            <rFont val="Lucida Console"/>
            <family val="3"/>
          </rPr>
          <t>_x000D_
MATERIAIS DE CONSUMO HOSPITALAR</t>
        </r>
      </text>
    </comment>
    <comment ref="Y581" authorId="0" shapeId="0" xr:uid="{B4E6A838-EF10-4270-B371-4A07FBA03887}">
      <text>
        <r>
          <rPr>
            <sz val="10"/>
            <color indexed="81"/>
            <rFont val="Lucida Console"/>
            <family val="3"/>
          </rPr>
          <t>_x000D_
MATERIAIS MEDICO-HOSPITALARES</t>
        </r>
      </text>
    </comment>
    <comment ref="AW581" authorId="0" shapeId="0" xr:uid="{F6F03A30-C04B-4545-B69B-68CBDDA173FD}">
      <text>
        <r>
          <rPr>
            <sz val="10"/>
            <color indexed="81"/>
            <rFont val="Lucida Console"/>
            <family val="3"/>
          </rPr>
          <t>Tempo de Estoque (Meses)_x000D_
_x000D_
27.050,0</t>
        </r>
      </text>
    </comment>
    <comment ref="A582" authorId="0" shapeId="0" xr:uid="{A175D403-BAD8-4C61-9030-B6481D8236C0}">
      <text>
        <r>
          <rPr>
            <sz val="10"/>
            <color indexed="81"/>
            <rFont val="Lucida Console"/>
            <family val="3"/>
          </rPr>
          <t>_x000D_
98359</t>
        </r>
      </text>
    </comment>
    <comment ref="B582" authorId="0" shapeId="0" xr:uid="{6C555915-A704-48B1-82F2-E2D29D1ACC1F}">
      <text>
        <r>
          <rPr>
            <sz val="10"/>
            <color indexed="81"/>
            <rFont val="Lucida Console"/>
            <family val="3"/>
          </rPr>
          <t>DESCRIÇÃO DETALHADA_x000D_
FITA DE BORDA EM PVC TEXTURIZADA, 22MM - ROLO COM 300 MTS</t>
        </r>
      </text>
    </comment>
    <comment ref="G582" authorId="0" shapeId="0" xr:uid="{2BCAE1F5-8541-449E-9546-52F66AC16F88}">
      <text>
        <r>
          <rPr>
            <sz val="10"/>
            <color indexed="81"/>
            <rFont val="Lucida Console"/>
            <family val="3"/>
          </rPr>
          <t>_x000D_
Últ estimativa : 100_x000D_
Enviada em     : 24.11.2020_x000D_
Ata - Venc     : 86/20 - 30.03.2021</t>
        </r>
      </text>
    </comment>
    <comment ref="O582" authorId="0" shapeId="0" xr:uid="{66E85D7C-5595-4482-A036-A6C4318E585B}">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82" authorId="0" shapeId="0" xr:uid="{69F8C22A-FB3D-4DC9-B341-605EF2760073}">
      <text>
        <r>
          <rPr>
            <sz val="10"/>
            <color indexed="81"/>
            <rFont val="Lucida Console"/>
            <family val="3"/>
          </rPr>
          <t>_x000D_
DM-Marcenaria</t>
        </r>
      </text>
    </comment>
    <comment ref="X582" authorId="0" shapeId="0" xr:uid="{B906106A-C70A-43C1-BEF2-A80F0325F87C}">
      <text>
        <r>
          <rPr>
            <sz val="10"/>
            <color indexed="81"/>
            <rFont val="Lucida Console"/>
            <family val="3"/>
          </rPr>
          <t>_x000D_
MOBILIARIO E COFRE</t>
        </r>
      </text>
    </comment>
    <comment ref="Y582" authorId="0" shapeId="0" xr:uid="{087D8459-410C-49EC-882B-228DA6816966}">
      <text>
        <r>
          <rPr>
            <sz val="10"/>
            <color indexed="81"/>
            <rFont val="Lucida Console"/>
            <family val="3"/>
          </rPr>
          <t>_x000D_
ACESSORIOS</t>
        </r>
      </text>
    </comment>
    <comment ref="AW582" authorId="0" shapeId="0" xr:uid="{E979C261-07E0-4C7F-B605-B68912F12E71}">
      <text>
        <r>
          <rPr>
            <sz val="10"/>
            <color indexed="81"/>
            <rFont val="Lucida Console"/>
            <family val="3"/>
          </rPr>
          <t>Tempo de Estoque (Meses)_x000D_
_x000D_
66,0</t>
        </r>
      </text>
    </comment>
    <comment ref="A583" authorId="0" shapeId="0" xr:uid="{9F677EC2-7DCC-4B80-9AA0-A703DB906E43}">
      <text>
        <r>
          <rPr>
            <sz val="10"/>
            <color indexed="81"/>
            <rFont val="Lucida Console"/>
            <family val="3"/>
          </rPr>
          <t>_x000D_
74908</t>
        </r>
      </text>
    </comment>
    <comment ref="B583" authorId="0" shapeId="0" xr:uid="{E88E167A-5F43-4089-B142-107CE36DD8A1}">
      <text>
        <r>
          <rPr>
            <sz val="10"/>
            <color indexed="81"/>
            <rFont val="Lucida Console"/>
            <family val="3"/>
          </rPr>
          <t>DESCRIÇÃO DETALHADA_x000D_
VIGA DE GARAPEIRA BRUTA - MEDIDAS: 06 CM X 16 CM X 4,00 M</t>
        </r>
      </text>
    </comment>
    <comment ref="G583" authorId="0" shapeId="0" xr:uid="{2725A477-59FF-43D2-85F1-F9137A04F581}">
      <text>
        <r>
          <rPr>
            <sz val="10"/>
            <color indexed="81"/>
            <rFont val="Lucida Console"/>
            <family val="3"/>
          </rPr>
          <t>_x000D_
Últ estimativa : 200_x000D_
Enviada em     : 24.11.2020_x000D_
Ata - Venc     : 86/20 - 30.03.2021</t>
        </r>
      </text>
    </comment>
    <comment ref="O583" authorId="0" shapeId="0" xr:uid="{5513FDE9-6165-431B-B9FC-5DC21B0E0861}">
      <text>
        <r>
          <rPr>
            <sz val="10"/>
            <color indexed="81"/>
            <rFont val="Lucida Console"/>
            <family val="3"/>
          </rPr>
          <t>_x000D_
Pertencia a ATA nº 86/20_x000D_
Estimativa de Renovação enviada em 24.11.2020 - Qtd 200_x000D_
PP 242/19 lote _x000D_
02.03.20 = Abertura 02.03.2020 08:30</t>
        </r>
      </text>
    </comment>
    <comment ref="W583" authorId="0" shapeId="0" xr:uid="{3C2C590B-CA93-450F-885A-8FF807D0DC13}">
      <text>
        <r>
          <rPr>
            <sz val="10"/>
            <color indexed="81"/>
            <rFont val="Lucida Console"/>
            <family val="3"/>
          </rPr>
          <t>_x000D_
DM-Construção</t>
        </r>
      </text>
    </comment>
    <comment ref="X583" authorId="0" shapeId="0" xr:uid="{7374965B-82BB-428D-AABE-62FE785AB834}">
      <text>
        <r>
          <rPr>
            <sz val="10"/>
            <color indexed="81"/>
            <rFont val="Lucida Console"/>
            <family val="3"/>
          </rPr>
          <t>_x000D_
MADEIRAS,LAMINADOS,COMPENSADOS E AGLOMERADOS</t>
        </r>
      </text>
    </comment>
    <comment ref="Y583" authorId="0" shapeId="0" xr:uid="{10A2B65F-3129-4C1E-AF4A-46F1C64066F1}">
      <text>
        <r>
          <rPr>
            <sz val="10"/>
            <color indexed="81"/>
            <rFont val="Lucida Console"/>
            <family val="3"/>
          </rPr>
          <t>_x000D_
PONTALETES, CAIBROS, PRANCHAS E VIGAS</t>
        </r>
      </text>
    </comment>
    <comment ref="AW583" authorId="0" shapeId="0" xr:uid="{CB9A3A58-8FC7-4611-AAFB-53A5211C8135}">
      <text>
        <r>
          <rPr>
            <sz val="10"/>
            <color indexed="81"/>
            <rFont val="Lucida Console"/>
            <family val="3"/>
          </rPr>
          <t>Tempo de Estoque (Meses)_x000D_
_x000D_
350,0</t>
        </r>
      </text>
    </comment>
    <comment ref="A584" authorId="0" shapeId="0" xr:uid="{8695859B-176E-4C60-93A5-B33855475C3A}">
      <text>
        <r>
          <rPr>
            <sz val="10"/>
            <color indexed="81"/>
            <rFont val="Lucida Console"/>
            <family val="3"/>
          </rPr>
          <t>_x000D_
108711</t>
        </r>
      </text>
    </comment>
    <comment ref="B584" authorId="0" shapeId="0" xr:uid="{EC5B650D-F05D-4825-962C-2AE512FB08C3}">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84" authorId="0" shapeId="0" xr:uid="{E9648B98-5FCA-4107-98AD-DB5E19DB3A8E}">
      <text>
        <r>
          <rPr>
            <sz val="10"/>
            <color indexed="81"/>
            <rFont val="Lucida Console"/>
            <family val="3"/>
          </rPr>
          <t>_x000D_
Últ estimativa : 0_x000D_
Enviada em     : 24.11.2020_x000D_
Ata - Venc     : 87/20 - 31.03.2021</t>
        </r>
      </text>
    </comment>
    <comment ref="O584" authorId="0" shapeId="0" xr:uid="{7447417B-1D0B-4193-9E60-896D1ED634FF}">
      <text>
        <r>
          <rPr>
            <sz val="10"/>
            <color indexed="81"/>
            <rFont val="Lucida Console"/>
            <family val="3"/>
          </rPr>
          <t>_x000D_
Pertencia a ATA nº 87/20_x000D_
Estimativa de Renovação enviada em 24.11.2020 - Qtd _x000D_
PE  10/20 lote 60 (Impróspero)_x000D_
30.04.20 = Processo conferido, finalizado.</t>
        </r>
      </text>
    </comment>
    <comment ref="W584" authorId="0" shapeId="0" xr:uid="{6C533064-F6D4-447C-A339-EAC6E0100AE7}">
      <text>
        <r>
          <rPr>
            <sz val="10"/>
            <color indexed="81"/>
            <rFont val="Lucida Console"/>
            <family val="3"/>
          </rPr>
          <t>_x000D_
DM-Hidráulica</t>
        </r>
      </text>
    </comment>
    <comment ref="X584" authorId="0" shapeId="0" xr:uid="{E471803E-D3A6-4CDE-B11E-1436B29E3B5C}">
      <text>
        <r>
          <rPr>
            <sz val="10"/>
            <color indexed="81"/>
            <rFont val="Lucida Console"/>
            <family val="3"/>
          </rPr>
          <t>_x000D_
MATERIAL HIDRAULICO, CANOS, TUBOS, MANGUEIRAS, CONEXOES E ACESS.</t>
        </r>
      </text>
    </comment>
    <comment ref="Y584" authorId="0" shapeId="0" xr:uid="{2D9C092C-6C35-482A-8788-96DEB7C8B3B8}">
      <text>
        <r>
          <rPr>
            <sz val="10"/>
            <color indexed="81"/>
            <rFont val="Lucida Console"/>
            <family val="3"/>
          </rPr>
          <t>_x000D_
ARTEF. COMPLEM. P/ PIAS, BIDES, MICTORIOS, BOXES, BEBED.</t>
        </r>
      </text>
    </comment>
    <comment ref="AW584" authorId="0" shapeId="0" xr:uid="{4697E52B-F56F-44C0-987F-3D40A0A7BC66}">
      <text>
        <r>
          <rPr>
            <sz val="10"/>
            <color indexed="81"/>
            <rFont val="Lucida Console"/>
            <family val="3"/>
          </rPr>
          <t>Tempo de Estoque (Meses)_x000D_
_x000D_
108,0</t>
        </r>
      </text>
    </comment>
    <comment ref="A585" authorId="0" shapeId="0" xr:uid="{5D24D2A3-1E06-4F87-9149-9B8B6BF439D9}">
      <text>
        <r>
          <rPr>
            <sz val="10"/>
            <color indexed="81"/>
            <rFont val="Lucida Console"/>
            <family val="3"/>
          </rPr>
          <t>_x000D_
42854</t>
        </r>
      </text>
    </comment>
    <comment ref="B585" authorId="0" shapeId="0" xr:uid="{2C33F48A-C77D-4947-8235-AE6B2DF50B4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85" authorId="0" shapeId="0" xr:uid="{CBE96F11-7327-4AD5-B2AD-B67544AD4296}">
      <text>
        <r>
          <rPr>
            <sz val="10"/>
            <color indexed="81"/>
            <rFont val="Lucida Console"/>
            <family val="3"/>
          </rPr>
          <t>_x000D_
Últ estimativa : 500_x000D_
Enviada em     : 24.11.2020_x000D_
Ata - Venc     : 87/20 - 31.03.2021</t>
        </r>
      </text>
    </comment>
    <comment ref="O585" authorId="0" shapeId="0" xr:uid="{00627BF3-675C-4179-889A-E9A8BB1FB0B7}">
      <text>
        <r>
          <rPr>
            <sz val="10"/>
            <color indexed="81"/>
            <rFont val="Lucida Console"/>
            <family val="3"/>
          </rPr>
          <t>_x000D_
Pertencia a ATA nº 87/20_x000D_
Estimativa de Renovação enviada em 24.11.2020 - Qtd 500_x000D_
PE  10/20 lote 25_x000D_
30.04.20 = Processo conferido, finalizado.</t>
        </r>
      </text>
    </comment>
    <comment ref="W585" authorId="0" shapeId="0" xr:uid="{80B3DD24-A7F5-4135-B52E-6011B3996F39}">
      <text>
        <r>
          <rPr>
            <sz val="10"/>
            <color indexed="81"/>
            <rFont val="Lucida Console"/>
            <family val="3"/>
          </rPr>
          <t>_x000D_
Administrativo</t>
        </r>
      </text>
    </comment>
    <comment ref="X585" authorId="0" shapeId="0" xr:uid="{E275B2A6-C705-4FDB-A58E-B72882DC9C86}">
      <text>
        <r>
          <rPr>
            <sz val="10"/>
            <color indexed="81"/>
            <rFont val="Lucida Console"/>
            <family val="3"/>
          </rPr>
          <t>_x000D_
EQUIP. P/REFR. PURIF. ADUCAO DE AGUA E TRAT. DE ESGOTO</t>
        </r>
      </text>
    </comment>
    <comment ref="Y585" authorId="0" shapeId="0" xr:uid="{D01369E2-5EF4-42C4-AF09-17F1FEF2A462}">
      <text>
        <r>
          <rPr>
            <sz val="10"/>
            <color indexed="81"/>
            <rFont val="Lucida Console"/>
            <family val="3"/>
          </rPr>
          <t>_x000D_
TRATAMENTO E MANUTENCAO DE AGUA EQUIP. PCS. E ACES.</t>
        </r>
      </text>
    </comment>
    <comment ref="AW585" authorId="0" shapeId="0" xr:uid="{E9095B87-8ABE-418A-91A5-7C2CAC12CB95}">
      <text>
        <r>
          <rPr>
            <sz val="10"/>
            <color indexed="81"/>
            <rFont val="Lucida Console"/>
            <family val="3"/>
          </rPr>
          <t>Tempo de Estoque (Meses)_x000D_
_x000D_
1.175,0</t>
        </r>
      </text>
    </comment>
    <comment ref="A586" authorId="0" shapeId="0" xr:uid="{6C916949-63FB-483F-A747-11A66A849C45}">
      <text>
        <r>
          <rPr>
            <sz val="10"/>
            <color indexed="81"/>
            <rFont val="Lucida Console"/>
            <family val="3"/>
          </rPr>
          <t>_x000D_
53446</t>
        </r>
      </text>
    </comment>
    <comment ref="B586" authorId="0" shapeId="0" xr:uid="{3577E3E5-27CF-44BE-9FAC-B31BAA7439E7}">
      <text>
        <r>
          <rPr>
            <sz val="10"/>
            <color indexed="81"/>
            <rFont val="Lucida Console"/>
            <family val="3"/>
          </rPr>
          <t>DESCRIÇÃO DETALHADA_x000D_
REJUNTE BRANCO - SACO COM 01 KG</t>
        </r>
      </text>
    </comment>
    <comment ref="G586" authorId="0" shapeId="0" xr:uid="{365E4EEC-8871-4D33-AB69-8391D6228098}">
      <text>
        <r>
          <rPr>
            <sz val="10"/>
            <color indexed="81"/>
            <rFont val="Lucida Console"/>
            <family val="3"/>
          </rPr>
          <t>_x000D_
Últ estimativa : 3.000_x000D_
Enviada em     : 24.11.2020_x000D_
Ata - Venc     : 87/20 - 31.03.2021</t>
        </r>
      </text>
    </comment>
    <comment ref="M586" authorId="0" shapeId="0" xr:uid="{000DD040-4172-45C6-9BFD-47BA318B786E}">
      <text>
        <r>
          <rPr>
            <sz val="10"/>
            <color indexed="81"/>
            <rFont val="Lucida Console"/>
            <family val="3"/>
          </rPr>
          <t>_x000D_
Validade necessária em meses =&gt; 18,_x000D_
A partir desta planilha limitado até 23.01.2025</t>
        </r>
      </text>
    </comment>
    <comment ref="O586" authorId="0" shapeId="0" xr:uid="{E8A45C85-E7CC-4048-AF09-7B5A19202F72}">
      <text>
        <r>
          <rPr>
            <sz val="10"/>
            <color indexed="81"/>
            <rFont val="Lucida Console"/>
            <family val="3"/>
          </rPr>
          <t>_x000D_
Pertencia a ATA nº 87/20_x000D_
Estimativa de Renovação enviada em 24.11.2020 - Qtd 3.000_x000D_
PE  10/20 lote 26_x000D_
30.04.20 = Processo conferido, finalizado.</t>
        </r>
      </text>
    </comment>
    <comment ref="W586" authorId="0" shapeId="0" xr:uid="{239DEA54-2AB8-4841-BC5D-826D22073419}">
      <text>
        <r>
          <rPr>
            <sz val="10"/>
            <color indexed="81"/>
            <rFont val="Lucida Console"/>
            <family val="3"/>
          </rPr>
          <t>_x000D_
DM-Construção</t>
        </r>
      </text>
    </comment>
    <comment ref="X586" authorId="0" shapeId="0" xr:uid="{FE937D78-2410-4963-B498-A3145BA2A97E}">
      <text>
        <r>
          <rPr>
            <sz val="10"/>
            <color indexed="81"/>
            <rFont val="Lucida Console"/>
            <family val="3"/>
          </rPr>
          <t>_x000D_
MAT.E EQUIP. P/ CONSTR.CIVIL E CONSERV. DE VIAS PUBL.</t>
        </r>
      </text>
    </comment>
    <comment ref="Y586" authorId="0" shapeId="0" xr:uid="{46000375-6AF7-4DD4-A9AE-BCECAB7BD48F}">
      <text>
        <r>
          <rPr>
            <sz val="10"/>
            <color indexed="81"/>
            <rFont val="Lucida Console"/>
            <family val="3"/>
          </rPr>
          <t>_x000D_
AZULEJOS E PASTILHAS</t>
        </r>
      </text>
    </comment>
    <comment ref="AW586" authorId="0" shapeId="0" xr:uid="{CB27E6CA-CB70-440B-9A03-91AFE9A18F0E}">
      <text>
        <r>
          <rPr>
            <sz val="10"/>
            <color indexed="81"/>
            <rFont val="Lucida Console"/>
            <family val="3"/>
          </rPr>
          <t>Tempo de Estoque (Meses)_x000D_
_x000D_
2.323,0</t>
        </r>
      </text>
    </comment>
    <comment ref="A587" authorId="0" shapeId="0" xr:uid="{B92C746A-2507-45DE-AF93-C8AB4DCBB9A4}">
      <text>
        <r>
          <rPr>
            <sz val="10"/>
            <color indexed="81"/>
            <rFont val="Lucida Console"/>
            <family val="3"/>
          </rPr>
          <t>_x000D_
57598</t>
        </r>
      </text>
    </comment>
    <comment ref="B587" authorId="0" shapeId="0" xr:uid="{ABAC7D4E-5C55-4961-9A89-EEB380EF42EC}">
      <text>
        <r>
          <rPr>
            <sz val="10"/>
            <color indexed="81"/>
            <rFont val="Lucida Console"/>
            <family val="3"/>
          </rPr>
          <t>DESCRIÇÃO DETALHADA_x000D_
REJUNTE CINZA CLARO - SC C/ 01 KG</t>
        </r>
      </text>
    </comment>
    <comment ref="G587" authorId="0" shapeId="0" xr:uid="{512607A7-8CCB-4C19-BD08-6668BAD49974}">
      <text>
        <r>
          <rPr>
            <sz val="10"/>
            <color indexed="81"/>
            <rFont val="Lucida Console"/>
            <family val="3"/>
          </rPr>
          <t>_x000D_
Últ estimativa : 1.250_x000D_
Enviada em     : 24.11.2020_x000D_
Ata - Venc     : 87/20 - 31.03.2021</t>
        </r>
      </text>
    </comment>
    <comment ref="O587" authorId="0" shapeId="0" xr:uid="{F1F12626-1D1C-448F-AFBF-32EE894E1A35}">
      <text>
        <r>
          <rPr>
            <sz val="10"/>
            <color indexed="81"/>
            <rFont val="Lucida Console"/>
            <family val="3"/>
          </rPr>
          <t>_x000D_
Pertencia a ATA nº 87/20_x000D_
Estimativa de Renovação enviada em 24.11.2020 - Qtd 1.250_x000D_
PE  10/20 lote 30_x000D_
30.04.20 = Processo conferido, finalizado.</t>
        </r>
      </text>
    </comment>
    <comment ref="W587" authorId="0" shapeId="0" xr:uid="{A4F8B433-AC3F-413F-BAD7-B0184C99B12D}">
      <text>
        <r>
          <rPr>
            <sz val="10"/>
            <color indexed="81"/>
            <rFont val="Lucida Console"/>
            <family val="3"/>
          </rPr>
          <t>_x000D_
DM-Construção</t>
        </r>
      </text>
    </comment>
    <comment ref="X587" authorId="0" shapeId="0" xr:uid="{13265F03-56DE-409D-B7DF-C94FF46544F7}">
      <text>
        <r>
          <rPr>
            <sz val="10"/>
            <color indexed="81"/>
            <rFont val="Lucida Console"/>
            <family val="3"/>
          </rPr>
          <t>_x000D_
MAT.E EQUIP. P/ CONSTR.CIVIL E CONSERV. DE VIAS PUBL.</t>
        </r>
      </text>
    </comment>
    <comment ref="Y587" authorId="0" shapeId="0" xr:uid="{75E8CACC-A61A-4194-B3A0-BD66BDC9A652}">
      <text>
        <r>
          <rPr>
            <sz val="10"/>
            <color indexed="81"/>
            <rFont val="Lucida Console"/>
            <family val="3"/>
          </rPr>
          <t>_x000D_
AZULEJOS E PASTILHAS</t>
        </r>
      </text>
    </comment>
    <comment ref="AW587" authorId="0" shapeId="0" xr:uid="{F2CF94FB-C039-4205-84BB-D68B83FF0306}">
      <text>
        <r>
          <rPr>
            <sz val="10"/>
            <color indexed="81"/>
            <rFont val="Lucida Console"/>
            <family val="3"/>
          </rPr>
          <t>Tempo de Estoque (Meses)_x000D_
_x000D_
1.260,0</t>
        </r>
      </text>
    </comment>
    <comment ref="A588" authorId="0" shapeId="0" xr:uid="{3F7BED44-88DA-47A4-9332-B3C6CACC58B0}">
      <text>
        <r>
          <rPr>
            <sz val="10"/>
            <color indexed="81"/>
            <rFont val="Lucida Console"/>
            <family val="3"/>
          </rPr>
          <t>_x000D_
113846</t>
        </r>
      </text>
    </comment>
    <comment ref="B588" authorId="0" shapeId="0" xr:uid="{66A7ADA2-06E4-4112-8D56-6595317B73BD}">
      <text>
        <r>
          <rPr>
            <sz val="10"/>
            <color indexed="81"/>
            <rFont val="Lucida Console"/>
            <family val="3"/>
          </rPr>
          <t>DESCRIÇÃO DETALHADA_x000D_
REJUNTE BEGE - SACO COM 01 KG</t>
        </r>
      </text>
    </comment>
    <comment ref="G588" authorId="0" shapeId="0" xr:uid="{0D161E3E-0538-478E-8DC5-E64E3F596EF5}">
      <text>
        <r>
          <rPr>
            <sz val="10"/>
            <color indexed="81"/>
            <rFont val="Lucida Console"/>
            <family val="3"/>
          </rPr>
          <t>_x000D_
Últ estimativa : 1.500_x000D_
Enviada em     : 24.11.2020_x000D_
Ata - Venc     : 87/20 - 31.03.2021</t>
        </r>
      </text>
    </comment>
    <comment ref="M588" authorId="0" shapeId="0" xr:uid="{F336887F-B02D-4D66-AE85-1337C6490941}">
      <text>
        <r>
          <rPr>
            <sz val="10"/>
            <color indexed="81"/>
            <rFont val="Lucida Console"/>
            <family val="3"/>
          </rPr>
          <t>_x000D_
Validade necessária em meses =&gt; 18,_x000D_
A partir desta planilha limitado até 23.01.2025</t>
        </r>
      </text>
    </comment>
    <comment ref="O588" authorId="0" shapeId="0" xr:uid="{709A3BCD-50BC-40F5-849B-18437FB7C081}">
      <text>
        <r>
          <rPr>
            <sz val="10"/>
            <color indexed="81"/>
            <rFont val="Lucida Console"/>
            <family val="3"/>
          </rPr>
          <t>_x000D_
Pertencia a ATA nº 87/20_x000D_
Estimativa de Renovação enviada em 24.11.2020 - Qtd 1.500_x000D_
PE  10/20 lote 61_x000D_
30.04.20 = Processo conferido, finalizado.</t>
        </r>
      </text>
    </comment>
    <comment ref="W588" authorId="0" shapeId="0" xr:uid="{FC7DFA2F-BAD1-42F7-BC59-7B9FF2047658}">
      <text>
        <r>
          <rPr>
            <sz val="10"/>
            <color indexed="81"/>
            <rFont val="Lucida Console"/>
            <family val="3"/>
          </rPr>
          <t>_x000D_
DM-Construção</t>
        </r>
      </text>
    </comment>
    <comment ref="X588" authorId="0" shapeId="0" xr:uid="{93BCAF0C-198F-4E9D-9D12-7505AAD29D03}">
      <text>
        <r>
          <rPr>
            <sz val="10"/>
            <color indexed="81"/>
            <rFont val="Lucida Console"/>
            <family val="3"/>
          </rPr>
          <t>_x000D_
MAT.E EQUIP. P/ CONSTR.CIVIL E CONSERV. DE VIAS PUBL.</t>
        </r>
      </text>
    </comment>
    <comment ref="Y588" authorId="0" shapeId="0" xr:uid="{52A9195A-8EEA-4CEC-9A56-27575A2D8FE0}">
      <text>
        <r>
          <rPr>
            <sz val="10"/>
            <color indexed="81"/>
            <rFont val="Lucida Console"/>
            <family val="3"/>
          </rPr>
          <t>_x000D_
AZULEJOS E PASTILHAS</t>
        </r>
      </text>
    </comment>
    <comment ref="AW588" authorId="0" shapeId="0" xr:uid="{EA76A580-E283-4E0D-AB24-2AF26DA96FB3}">
      <text>
        <r>
          <rPr>
            <sz val="10"/>
            <color indexed="81"/>
            <rFont val="Lucida Console"/>
            <family val="3"/>
          </rPr>
          <t>Tempo de Estoque (Meses)_x000D_
_x000D_
2.755,0</t>
        </r>
      </text>
    </comment>
    <comment ref="A589" authorId="0" shapeId="0" xr:uid="{E2027AF2-80BD-4955-B5E9-9754053CFBEA}">
      <text>
        <r>
          <rPr>
            <sz val="10"/>
            <color indexed="81"/>
            <rFont val="Lucida Console"/>
            <family val="3"/>
          </rPr>
          <t>_x000D_
102832</t>
        </r>
      </text>
    </comment>
    <comment ref="B589" authorId="0" shapeId="0" xr:uid="{113F9FE8-BEC9-4A22-9807-F1FE2A12B7E2}">
      <text>
        <r>
          <rPr>
            <sz val="10"/>
            <color indexed="81"/>
            <rFont val="Lucida Console"/>
            <family val="3"/>
          </rPr>
          <t>DESCRIÇÃO DETALHADA_x000D_
PORTA GRELHA REDONDA, EM PVC, 100MM (4"), ALTURA MINIMA DE 20 MM</t>
        </r>
      </text>
    </comment>
    <comment ref="G589" authorId="0" shapeId="0" xr:uid="{821744A0-87F6-4CDF-9AAE-7E2E0CDF53BC}">
      <text>
        <r>
          <rPr>
            <sz val="10"/>
            <color indexed="81"/>
            <rFont val="Lucida Console"/>
            <family val="3"/>
          </rPr>
          <t>_x000D_
Últ estimativa : 0_x000D_
Enviada em     : 24.11.2020_x000D_
Ata - Venc     : 87/20 - 31.03.2021</t>
        </r>
      </text>
    </comment>
    <comment ref="O589" authorId="0" shapeId="0" xr:uid="{5B25F2C7-B04C-4F5B-AFF5-DDBD4BB3871F}">
      <text>
        <r>
          <rPr>
            <sz val="10"/>
            <color indexed="81"/>
            <rFont val="Lucida Console"/>
            <family val="3"/>
          </rPr>
          <t>_x000D_
Pertencia a ATA nº 87/20_x000D_
Estimativa de Renovação enviada em 24.11.2020 - Qtd _x000D_
PE  10/20 lote 55_x000D_
30.04.20 = Processo conferido, finalizado.</t>
        </r>
      </text>
    </comment>
    <comment ref="W589" authorId="0" shapeId="0" xr:uid="{3B62A8CE-62E1-43D8-A6CB-EDC68961ADCE}">
      <text>
        <r>
          <rPr>
            <sz val="10"/>
            <color indexed="81"/>
            <rFont val="Lucida Console"/>
            <family val="3"/>
          </rPr>
          <t>_x000D_
DM-Construção</t>
        </r>
      </text>
    </comment>
    <comment ref="X589" authorId="0" shapeId="0" xr:uid="{721023F3-DD77-4631-A124-F80B790BC7D3}">
      <text>
        <r>
          <rPr>
            <sz val="10"/>
            <color indexed="81"/>
            <rFont val="Lucida Console"/>
            <family val="3"/>
          </rPr>
          <t>_x000D_
MAT.E EQUIP. P/ CONSTR.CIVIL E CONSERV. DE VIAS PUBL.</t>
        </r>
      </text>
    </comment>
    <comment ref="Y589" authorId="0" shapeId="0" xr:uid="{3EF35542-7B66-47BD-AFA0-F0950427379A}">
      <text>
        <r>
          <rPr>
            <sz val="10"/>
            <color indexed="81"/>
            <rFont val="Lucida Console"/>
            <family val="3"/>
          </rPr>
          <t>_x000D_
TAMPOS/GRELHAS P/ USO EM VIAS PUBLICAS</t>
        </r>
      </text>
    </comment>
    <comment ref="AW589" authorId="0" shapeId="0" xr:uid="{08264037-38E8-453E-82DF-AAD82EEB1657}">
      <text>
        <r>
          <rPr>
            <sz val="10"/>
            <color indexed="81"/>
            <rFont val="Lucida Console"/>
            <family val="3"/>
          </rPr>
          <t>Tempo de Estoque (Meses)_x000D_
_x000D_
75,0</t>
        </r>
      </text>
    </comment>
    <comment ref="A590" authorId="0" shapeId="0" xr:uid="{F9464137-0845-42D1-AD09-9206C42B4855}">
      <text>
        <r>
          <rPr>
            <sz val="10"/>
            <color indexed="81"/>
            <rFont val="Lucida Console"/>
            <family val="3"/>
          </rPr>
          <t>_x000D_
54586</t>
        </r>
      </text>
    </comment>
    <comment ref="B590" authorId="0" shapeId="0" xr:uid="{733EC20C-11ED-483A-923C-20991B78546C}">
      <text>
        <r>
          <rPr>
            <sz val="10"/>
            <color indexed="81"/>
            <rFont val="Lucida Console"/>
            <family val="3"/>
          </rPr>
          <t>DESCRIÇÃO DETALHADA_x000D_
COTOVELO 45 GRAUS EM PVC - RIGIDO SOLDAVEL - 6"- (150 MM) -ESGOTO</t>
        </r>
      </text>
    </comment>
    <comment ref="G590" authorId="0" shapeId="0" xr:uid="{05760B7F-2DF4-4A51-A264-0AFEFD4EF236}">
      <text>
        <r>
          <rPr>
            <sz val="10"/>
            <color indexed="81"/>
            <rFont val="Lucida Console"/>
            <family val="3"/>
          </rPr>
          <t>_x000D_
Últ estimativa : 30_x000D_
Enviada em     : 24.11.2020_x000D_
Ata - Venc     : 87/20 - 31.03.2021</t>
        </r>
      </text>
    </comment>
    <comment ref="O590" authorId="0" shapeId="0" xr:uid="{9E21B5C9-020B-4D50-A775-289B8E45968A}">
      <text>
        <r>
          <rPr>
            <sz val="10"/>
            <color indexed="81"/>
            <rFont val="Lucida Console"/>
            <family val="3"/>
          </rPr>
          <t>_x000D_
Pertencia a ATA nº 87/20_x000D_
Estimativa de Renovação enviada em 24.11.2020 - Qtd 30_x000D_
PE  10/20 lote 28_x000D_
30.04.20 = Processo conferido, finalizado.</t>
        </r>
      </text>
    </comment>
    <comment ref="W590" authorId="0" shapeId="0" xr:uid="{FB94CE81-6EDD-404F-8B5D-71E998C0FE2A}">
      <text>
        <r>
          <rPr>
            <sz val="10"/>
            <color indexed="81"/>
            <rFont val="Lucida Console"/>
            <family val="3"/>
          </rPr>
          <t>_x000D_
DM-Hidráulica</t>
        </r>
      </text>
    </comment>
    <comment ref="X590" authorId="0" shapeId="0" xr:uid="{EB75DBFC-1766-4B89-91FC-675E88D11EF8}">
      <text>
        <r>
          <rPr>
            <sz val="10"/>
            <color indexed="81"/>
            <rFont val="Lucida Console"/>
            <family val="3"/>
          </rPr>
          <t>_x000D_
MATERIAL HIDRAULICO, CANOS, TUBOS, MANGUEIRAS, CONEXOES E ACESS.</t>
        </r>
      </text>
    </comment>
    <comment ref="Y590" authorId="0" shapeId="0" xr:uid="{14C3529A-6A2A-48F9-B942-BA93AEEDE2B8}">
      <text>
        <r>
          <rPr>
            <sz val="10"/>
            <color indexed="81"/>
            <rFont val="Lucida Console"/>
            <family val="3"/>
          </rPr>
          <t>_x000D_
CANOS E TUBOS PLASTICOS</t>
        </r>
      </text>
    </comment>
    <comment ref="AW590" authorId="0" shapeId="0" xr:uid="{EDEC7911-A45B-4855-831D-27F6CA189298}">
      <text>
        <r>
          <rPr>
            <sz val="10"/>
            <color indexed="81"/>
            <rFont val="Lucida Console"/>
            <family val="3"/>
          </rPr>
          <t>Tempo de Estoque (Meses)_x000D_
_x000D_
21,0</t>
        </r>
      </text>
    </comment>
    <comment ref="A591" authorId="0" shapeId="0" xr:uid="{D3F130FB-DC21-4222-8175-B862D5E96407}">
      <text>
        <r>
          <rPr>
            <sz val="10"/>
            <color indexed="81"/>
            <rFont val="Lucida Console"/>
            <family val="3"/>
          </rPr>
          <t>_x000D_
54587</t>
        </r>
      </text>
    </comment>
    <comment ref="B591" authorId="0" shapeId="0" xr:uid="{50245251-DF92-4878-860F-FD4DE444B677}">
      <text>
        <r>
          <rPr>
            <sz val="10"/>
            <color indexed="81"/>
            <rFont val="Lucida Console"/>
            <family val="3"/>
          </rPr>
          <t>DESCRIÇÃO DETALHADA_x000D_
COTOVELO 90 GRAUS EM PVC - RIGIDO SOLDAVEL - 6"- (150 MM) -ESGOTO</t>
        </r>
      </text>
    </comment>
    <comment ref="G591" authorId="0" shapeId="0" xr:uid="{A8064FC3-E7CC-49CD-BD27-F254A663E278}">
      <text>
        <r>
          <rPr>
            <sz val="10"/>
            <color indexed="81"/>
            <rFont val="Lucida Console"/>
            <family val="3"/>
          </rPr>
          <t>_x000D_
Últ estimativa : 20_x000D_
Enviada em     : 24.11.2020_x000D_
Ata - Venc     : 87/20 - 31.03.2021</t>
        </r>
      </text>
    </comment>
    <comment ref="O591" authorId="0" shapeId="0" xr:uid="{1A709E10-E228-4795-9DC7-A69E102DEDD1}">
      <text>
        <r>
          <rPr>
            <sz val="10"/>
            <color indexed="81"/>
            <rFont val="Lucida Console"/>
            <family val="3"/>
          </rPr>
          <t>_x000D_
Pertencia a ATA nº 87/20_x000D_
Estimativa de Renovação enviada em 24.11.2020 - Qtd 20_x000D_
PE  10/20 lote 29_x000D_
30.04.20 = Processo conferido, finalizado.</t>
        </r>
      </text>
    </comment>
    <comment ref="W591" authorId="0" shapeId="0" xr:uid="{3507671C-DAF0-4455-BC5F-82E6BCD7DDD5}">
      <text>
        <r>
          <rPr>
            <sz val="10"/>
            <color indexed="81"/>
            <rFont val="Lucida Console"/>
            <family val="3"/>
          </rPr>
          <t>_x000D_
DM-Hidráulica</t>
        </r>
      </text>
    </comment>
    <comment ref="X591" authorId="0" shapeId="0" xr:uid="{A82ECCCB-A619-4C05-9513-0B51DDAC2AA9}">
      <text>
        <r>
          <rPr>
            <sz val="10"/>
            <color indexed="81"/>
            <rFont val="Lucida Console"/>
            <family val="3"/>
          </rPr>
          <t>_x000D_
MATERIAL HIDRAULICO, CANOS, TUBOS, MANGUEIRAS, CONEXOES E ACESS.</t>
        </r>
      </text>
    </comment>
    <comment ref="Y591" authorId="0" shapeId="0" xr:uid="{1E93C5DF-66BE-423D-BCBD-FD41753E9A21}">
      <text>
        <r>
          <rPr>
            <sz val="10"/>
            <color indexed="81"/>
            <rFont val="Lucida Console"/>
            <family val="3"/>
          </rPr>
          <t>_x000D_
CANOS E TUBOS PLASTICOS</t>
        </r>
      </text>
    </comment>
    <comment ref="AW591" authorId="0" shapeId="0" xr:uid="{85F8EA4E-00AA-46F1-8A53-0FD345BAEF98}">
      <text>
        <r>
          <rPr>
            <sz val="10"/>
            <color indexed="81"/>
            <rFont val="Lucida Console"/>
            <family val="3"/>
          </rPr>
          <t>Tempo de Estoque (Meses)_x000D_
_x000D_
27,0</t>
        </r>
      </text>
    </comment>
    <comment ref="A592" authorId="0" shapeId="0" xr:uid="{899E65AA-296E-465E-AF27-CD24D55D2D2C}">
      <text>
        <r>
          <rPr>
            <sz val="10"/>
            <color indexed="81"/>
            <rFont val="Lucida Console"/>
            <family val="3"/>
          </rPr>
          <t>_x000D_
60116</t>
        </r>
      </text>
    </comment>
    <comment ref="B592" authorId="0" shapeId="0" xr:uid="{4D0B0A15-A7AD-402B-9B82-5077091A8DE1}">
      <text>
        <r>
          <rPr>
            <sz val="10"/>
            <color indexed="81"/>
            <rFont val="Lucida Console"/>
            <family val="3"/>
          </rPr>
          <t>DESCRIÇÃO DETALHADA_x000D_
TUBO DESCARGA PONTA AZUL - 18</t>
        </r>
      </text>
    </comment>
    <comment ref="G592" authorId="0" shapeId="0" xr:uid="{EA7F8171-DA72-4288-BAF4-9B32B746A25C}">
      <text>
        <r>
          <rPr>
            <sz val="10"/>
            <color indexed="81"/>
            <rFont val="Lucida Console"/>
            <family val="3"/>
          </rPr>
          <t>_x000D_
Últ estimativa : 170_x000D_
Enviada em     : 24.11.2020_x000D_
Ata - Venc     : 87/20 - 31.03.2021</t>
        </r>
      </text>
    </comment>
    <comment ref="O592" authorId="0" shapeId="0" xr:uid="{301D23E1-57A0-4616-84A5-F2C64BD2A092}">
      <text>
        <r>
          <rPr>
            <sz val="10"/>
            <color indexed="81"/>
            <rFont val="Lucida Console"/>
            <family val="3"/>
          </rPr>
          <t>_x000D_
Pertencia a ATA nº 87/20_x000D_
Estimativa de Renovação enviada em 24.11.2020 - Qtd 170_x000D_
PE  10/20 lote 35_x000D_
30.04.20 = Processo conferido, finalizado.</t>
        </r>
      </text>
    </comment>
    <comment ref="W592" authorId="0" shapeId="0" xr:uid="{9218A088-FB65-4386-B35B-ECA3C13C2751}">
      <text>
        <r>
          <rPr>
            <sz val="10"/>
            <color indexed="81"/>
            <rFont val="Lucida Console"/>
            <family val="3"/>
          </rPr>
          <t>_x000D_
DM-Elétrica</t>
        </r>
      </text>
    </comment>
    <comment ref="X592" authorId="0" shapeId="0" xr:uid="{11F57249-8CB2-4EB6-B4FF-40BA246DFF38}">
      <text>
        <r>
          <rPr>
            <sz val="10"/>
            <color indexed="81"/>
            <rFont val="Lucida Console"/>
            <family val="3"/>
          </rPr>
          <t>_x000D_
MATERIAL HIDRAULICO, CANOS, TUBOS, MANGUEIRAS, CONEXOES E ACESS.</t>
        </r>
      </text>
    </comment>
    <comment ref="Y592" authorId="0" shapeId="0" xr:uid="{B3C5FDE3-C2CB-4AA1-93CE-F3DE9FFC2A63}">
      <text>
        <r>
          <rPr>
            <sz val="10"/>
            <color indexed="81"/>
            <rFont val="Lucida Console"/>
            <family val="3"/>
          </rPr>
          <t>_x000D_
CANOS E TUBOS DE FERRO E METAL</t>
        </r>
      </text>
    </comment>
    <comment ref="AW592" authorId="0" shapeId="0" xr:uid="{53A13122-6EC6-46F9-874C-B878890D564A}">
      <text>
        <r>
          <rPr>
            <sz val="10"/>
            <color indexed="81"/>
            <rFont val="Lucida Console"/>
            <family val="3"/>
          </rPr>
          <t>Tempo de Estoque (Meses)_x000D_
_x000D_
171,0</t>
        </r>
      </text>
    </comment>
    <comment ref="A593" authorId="0" shapeId="0" xr:uid="{19E9AC7C-FC3A-4B76-B640-69647A744F80}">
      <text>
        <r>
          <rPr>
            <sz val="10"/>
            <color indexed="81"/>
            <rFont val="Lucida Console"/>
            <family val="3"/>
          </rPr>
          <t>_x000D_
12813</t>
        </r>
      </text>
    </comment>
    <comment ref="B593" authorId="0" shapeId="0" xr:uid="{6D03BEF7-2402-413D-A11C-9831E261AD82}">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93" authorId="0" shapeId="0" xr:uid="{B0DBA70A-1986-4215-87B8-5C5C9A851353}">
      <text>
        <r>
          <rPr>
            <sz val="10"/>
            <color indexed="81"/>
            <rFont val="Lucida Console"/>
            <family val="3"/>
          </rPr>
          <t>_x000D_
Últ estimativa : 60_x000D_
Enviada em     : 24.11.2020_x000D_
Ata - Venc     : 87/20 - 31.03.2021</t>
        </r>
      </text>
    </comment>
    <comment ref="O593" authorId="0" shapeId="0" xr:uid="{1D9137F9-9178-4610-ACE4-5B04C5393195}">
      <text>
        <r>
          <rPr>
            <sz val="10"/>
            <color indexed="81"/>
            <rFont val="Lucida Console"/>
            <family val="3"/>
          </rPr>
          <t>_x000D_
Pertencia a ATA nº 87/20_x000D_
Estimativa de Renovação enviada em 24.11.2020 - Qtd 60_x000D_
PE  10/20 lote 1_x000D_
30.04.20 = Processo conferido, finalizado.</t>
        </r>
      </text>
    </comment>
    <comment ref="W593" authorId="0" shapeId="0" xr:uid="{BCF65A97-F8CF-4F37-B2DF-C916D1FB913E}">
      <text>
        <r>
          <rPr>
            <sz val="10"/>
            <color indexed="81"/>
            <rFont val="Lucida Console"/>
            <family val="3"/>
          </rPr>
          <t>_x000D_
DM-Hidráulica</t>
        </r>
      </text>
    </comment>
    <comment ref="X593" authorId="0" shapeId="0" xr:uid="{2723DA43-9D75-4E36-A230-355ED6190D55}">
      <text>
        <r>
          <rPr>
            <sz val="10"/>
            <color indexed="81"/>
            <rFont val="Lucida Console"/>
            <family val="3"/>
          </rPr>
          <t>_x000D_
MATERIAL HIDRAULICO, CANOS, TUBOS, MANGUEIRAS, CONEXOES E ACESS.</t>
        </r>
      </text>
    </comment>
    <comment ref="Y593" authorId="0" shapeId="0" xr:uid="{5FF8F6C7-990B-4D82-B41C-D6716684EC12}">
      <text>
        <r>
          <rPr>
            <sz val="10"/>
            <color indexed="81"/>
            <rFont val="Lucida Console"/>
            <family val="3"/>
          </rPr>
          <t>_x000D_
ADAP. LUVAS.TES CURVAS COTOVELOS PLUGS FLANGES.....</t>
        </r>
      </text>
    </comment>
    <comment ref="AW593" authorId="0" shapeId="0" xr:uid="{2D9BE2A1-38C8-4326-91E1-C357B1D017DF}">
      <text>
        <r>
          <rPr>
            <sz val="10"/>
            <color indexed="81"/>
            <rFont val="Lucida Console"/>
            <family val="3"/>
          </rPr>
          <t>Tempo de Estoque (Meses)_x000D_
_x000D_
61,0</t>
        </r>
      </text>
    </comment>
    <comment ref="A594" authorId="0" shapeId="0" xr:uid="{F2DB1164-8A9F-45B2-A604-A68F9F5C925D}">
      <text>
        <r>
          <rPr>
            <sz val="10"/>
            <color indexed="81"/>
            <rFont val="Lucida Console"/>
            <family val="3"/>
          </rPr>
          <t>_x000D_
12821</t>
        </r>
      </text>
    </comment>
    <comment ref="B594" authorId="0" shapeId="0" xr:uid="{B4693A3D-4C0B-4A1D-A1A8-90438023631A}">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94" authorId="0" shapeId="0" xr:uid="{B65AC3D9-A1B1-49BA-9C65-2084B074E7F3}">
      <text>
        <r>
          <rPr>
            <sz val="10"/>
            <color indexed="81"/>
            <rFont val="Lucida Console"/>
            <family val="3"/>
          </rPr>
          <t>_x000D_
Últ estimativa : 100_x000D_
Enviada em     : 24.11.2020_x000D_
Ata - Venc     : 87/20 - 31.03.2021</t>
        </r>
      </text>
    </comment>
    <comment ref="O594" authorId="0" shapeId="0" xr:uid="{9A12A933-F512-4B22-8C47-BCFBA4118428}">
      <text>
        <r>
          <rPr>
            <sz val="10"/>
            <color indexed="81"/>
            <rFont val="Lucida Console"/>
            <family val="3"/>
          </rPr>
          <t>_x000D_
Pertencia a ATA nº 87/20_x000D_
Estimativa de Renovação enviada em 24.11.2020 - Qtd 100_x000D_
PE  10/20 lote 2_x000D_
30.04.20 = Processo conferido, finalizado.</t>
        </r>
      </text>
    </comment>
    <comment ref="W594" authorId="0" shapeId="0" xr:uid="{336D23A1-2C58-451E-850B-A8D90EB33186}">
      <text>
        <r>
          <rPr>
            <sz val="10"/>
            <color indexed="81"/>
            <rFont val="Lucida Console"/>
            <family val="3"/>
          </rPr>
          <t>_x000D_
DM-Hidráulica</t>
        </r>
      </text>
    </comment>
    <comment ref="X594" authorId="0" shapeId="0" xr:uid="{2BDA97C3-E017-4344-826E-0840E5B9967C}">
      <text>
        <r>
          <rPr>
            <sz val="10"/>
            <color indexed="81"/>
            <rFont val="Lucida Console"/>
            <family val="3"/>
          </rPr>
          <t>_x000D_
MATERIAL HIDRAULICO, CANOS, TUBOS, MANGUEIRAS, CONEXOES E ACESS.</t>
        </r>
      </text>
    </comment>
    <comment ref="Y594" authorId="0" shapeId="0" xr:uid="{C14AAFBE-D8F4-4F43-8CF9-DC4C9B4D10AB}">
      <text>
        <r>
          <rPr>
            <sz val="10"/>
            <color indexed="81"/>
            <rFont val="Lucida Console"/>
            <family val="3"/>
          </rPr>
          <t>_x000D_
ADAP. LUVAS.TES CURVAS COTOVELOS PLUGS FLANGES.....</t>
        </r>
      </text>
    </comment>
    <comment ref="AW594" authorId="0" shapeId="0" xr:uid="{6DDC9C13-A602-4374-97C4-399D5155B0E3}">
      <text>
        <r>
          <rPr>
            <sz val="10"/>
            <color indexed="81"/>
            <rFont val="Lucida Console"/>
            <family val="3"/>
          </rPr>
          <t>Tempo de Estoque (Meses)_x000D_
_x000D_
137,0</t>
        </r>
      </text>
    </comment>
    <comment ref="A595" authorId="0" shapeId="0" xr:uid="{B110713E-BCF5-49A9-BBC7-449753A0F258}">
      <text>
        <r>
          <rPr>
            <sz val="10"/>
            <color indexed="81"/>
            <rFont val="Lucida Console"/>
            <family val="3"/>
          </rPr>
          <t>_x000D_
12824</t>
        </r>
      </text>
    </comment>
    <comment ref="B595" authorId="0" shapeId="0" xr:uid="{6644E48B-BDFA-4645-801D-13D3977FF6A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95" authorId="0" shapeId="0" xr:uid="{51D1B34D-B511-4EBD-8888-5F06B9F862D1}">
      <text>
        <r>
          <rPr>
            <sz val="10"/>
            <color indexed="81"/>
            <rFont val="Lucida Console"/>
            <family val="3"/>
          </rPr>
          <t>_x000D_
Últ estimativa : 150_x000D_
Enviada em     : 24.11.2020_x000D_
Ata - Venc     : 87/20 - 31.03.2021</t>
        </r>
      </text>
    </comment>
    <comment ref="O595" authorId="0" shapeId="0" xr:uid="{D186C592-93F5-4B76-8A2E-31F063BD416C}">
      <text>
        <r>
          <rPr>
            <sz val="10"/>
            <color indexed="81"/>
            <rFont val="Lucida Console"/>
            <family val="3"/>
          </rPr>
          <t>_x000D_
Pertencia a ATA nº 87/20_x000D_
Estimativa de Renovação enviada em 24.11.2020 - Qtd 150_x000D_
PE  10/20 lote 3_x000D_
30.04.20 = Processo conferido, finalizado.</t>
        </r>
      </text>
    </comment>
    <comment ref="W595" authorId="0" shapeId="0" xr:uid="{7EF8DECD-4D0A-45CC-9BD9-43DF06F6A64E}">
      <text>
        <r>
          <rPr>
            <sz val="10"/>
            <color indexed="81"/>
            <rFont val="Lucida Console"/>
            <family val="3"/>
          </rPr>
          <t>_x000D_
DM-Hidráulica</t>
        </r>
      </text>
    </comment>
    <comment ref="X595" authorId="0" shapeId="0" xr:uid="{BC7727FD-7F22-4DA1-A3F6-F7890D1422FE}">
      <text>
        <r>
          <rPr>
            <sz val="10"/>
            <color indexed="81"/>
            <rFont val="Lucida Console"/>
            <family val="3"/>
          </rPr>
          <t>_x000D_
MATERIAL HIDRAULICO, CANOS, TUBOS, MANGUEIRAS, CONEXOES E ACESS.</t>
        </r>
      </text>
    </comment>
    <comment ref="Y595" authorId="0" shapeId="0" xr:uid="{C4590EA5-E302-4B13-AE31-072B5E012711}">
      <text>
        <r>
          <rPr>
            <sz val="10"/>
            <color indexed="81"/>
            <rFont val="Lucida Console"/>
            <family val="3"/>
          </rPr>
          <t>_x000D_
ADAP. LUVAS.TES CURVAS COTOVELOS PLUGS FLANGES.....</t>
        </r>
      </text>
    </comment>
    <comment ref="AW595" authorId="0" shapeId="0" xr:uid="{E173B0F7-AFEE-442C-A885-921C27F1A6C6}">
      <text>
        <r>
          <rPr>
            <sz val="10"/>
            <color indexed="81"/>
            <rFont val="Lucida Console"/>
            <family val="3"/>
          </rPr>
          <t>Tempo de Estoque (Meses)_x000D_
_x000D_
92,0</t>
        </r>
      </text>
    </comment>
    <comment ref="A596" authorId="0" shapeId="0" xr:uid="{28DA0561-FE95-4859-9E84-12893CEACFB6}">
      <text>
        <r>
          <rPr>
            <sz val="10"/>
            <color indexed="81"/>
            <rFont val="Lucida Console"/>
            <family val="3"/>
          </rPr>
          <t>_x000D_
12891</t>
        </r>
      </text>
    </comment>
    <comment ref="B596" authorId="0" shapeId="0" xr:uid="{871B249D-4A64-42FF-BC11-666FFF821E47}">
      <text>
        <r>
          <rPr>
            <sz val="10"/>
            <color indexed="81"/>
            <rFont val="Lucida Console"/>
            <family val="3"/>
          </rPr>
          <t>DESCRIÇÃO DETALHADA_x000D_
COTOVELO 90 GRAUS EM PVC RIGIDO SOLDAVEL MARROM DE 32 MM (1"). A MARCA DEVERA VIR LITOGRAFADA NA PECA.</t>
        </r>
      </text>
    </comment>
    <comment ref="G596" authorId="0" shapeId="0" xr:uid="{2A98975F-6883-4E67-974D-9EFFDF0FEEA1}">
      <text>
        <r>
          <rPr>
            <sz val="10"/>
            <color indexed="81"/>
            <rFont val="Lucida Console"/>
            <family val="3"/>
          </rPr>
          <t>_x000D_
Últ estimativa : 100_x000D_
Enviada em     : 24.11.2020_x000D_
Ata - Venc     : 87/20 - 31.03.2021</t>
        </r>
      </text>
    </comment>
    <comment ref="O596" authorId="0" shapeId="0" xr:uid="{23724F1C-1AFB-4B5E-8823-E65623B30062}">
      <text>
        <r>
          <rPr>
            <sz val="10"/>
            <color indexed="81"/>
            <rFont val="Lucida Console"/>
            <family val="3"/>
          </rPr>
          <t>_x000D_
Pertencia a ATA nº 87/20_x000D_
Estimativa de Renovação enviada em 24.11.2020 - Qtd 100_x000D_
PE  10/20 lote 5_x000D_
30.04.20 = Processo conferido, finalizado.</t>
        </r>
      </text>
    </comment>
    <comment ref="W596" authorId="0" shapeId="0" xr:uid="{6003036E-6340-42D6-AC47-3C6E27A83BF7}">
      <text>
        <r>
          <rPr>
            <sz val="10"/>
            <color indexed="81"/>
            <rFont val="Lucida Console"/>
            <family val="3"/>
          </rPr>
          <t>_x000D_
DM-Hidráulica</t>
        </r>
      </text>
    </comment>
    <comment ref="X596" authorId="0" shapeId="0" xr:uid="{7359EC4B-2678-49D4-B719-A45FEBB06420}">
      <text>
        <r>
          <rPr>
            <sz val="10"/>
            <color indexed="81"/>
            <rFont val="Lucida Console"/>
            <family val="3"/>
          </rPr>
          <t>_x000D_
MATERIAL HIDRAULICO, CANOS, TUBOS, MANGUEIRAS, CONEXOES E ACESS.</t>
        </r>
      </text>
    </comment>
    <comment ref="Y596" authorId="0" shapeId="0" xr:uid="{F7791F5D-62CD-4F7D-975F-B04ADD441357}">
      <text>
        <r>
          <rPr>
            <sz val="10"/>
            <color indexed="81"/>
            <rFont val="Lucida Console"/>
            <family val="3"/>
          </rPr>
          <t>_x000D_
ADAP. LUVAS.TES CURVAS COTOVELOS PLUGS FLANGES.....</t>
        </r>
      </text>
    </comment>
    <comment ref="AW596" authorId="0" shapeId="0" xr:uid="{96CAE133-4A1E-43DE-BD84-56E78FD45186}">
      <text>
        <r>
          <rPr>
            <sz val="10"/>
            <color indexed="81"/>
            <rFont val="Lucida Console"/>
            <family val="3"/>
          </rPr>
          <t>Tempo de Estoque (Meses)_x000D_
_x000D_
154,0</t>
        </r>
      </text>
    </comment>
    <comment ref="A597" authorId="0" shapeId="0" xr:uid="{07D94122-E938-43D6-A99C-2D50AEF5E6F4}">
      <text>
        <r>
          <rPr>
            <sz val="10"/>
            <color indexed="81"/>
            <rFont val="Lucida Console"/>
            <family val="3"/>
          </rPr>
          <t>_x000D_
25523</t>
        </r>
      </text>
    </comment>
    <comment ref="B597" authorId="0" shapeId="0" xr:uid="{D882EBF7-018E-4E25-914C-802A004FAD8D}">
      <text>
        <r>
          <rPr>
            <sz val="10"/>
            <color indexed="81"/>
            <rFont val="Lucida Console"/>
            <family val="3"/>
          </rPr>
          <t>DESCRIÇÃO DETALHADA_x000D_
COTOVELO EM PVC AZUL-COLA E ROSCA DE 3/4"</t>
        </r>
      </text>
    </comment>
    <comment ref="G597" authorId="0" shapeId="0" xr:uid="{B2A906BA-897B-48CB-800B-F90F245151E8}">
      <text>
        <r>
          <rPr>
            <sz val="10"/>
            <color indexed="81"/>
            <rFont val="Lucida Console"/>
            <family val="3"/>
          </rPr>
          <t>_x000D_
Últ estimativa : 0_x000D_
Enviada em     : 24.11.2020_x000D_
Ata - Venc     : 87/20 - 31.03.2021</t>
        </r>
      </text>
    </comment>
    <comment ref="O597" authorId="0" shapeId="0" xr:uid="{7B2B30ED-46F9-4A2D-8598-11DBBD413933}">
      <text>
        <r>
          <rPr>
            <sz val="10"/>
            <color indexed="81"/>
            <rFont val="Lucida Console"/>
            <family val="3"/>
          </rPr>
          <t>_x000D_
Pertencia a ATA nº 87/20_x000D_
Estimativa de Renovação enviada em 24.11.2020 - Qtd _x000D_
PE  10/20 lote 15_x000D_
30.04.20 = Processo conferido, finalizado.</t>
        </r>
      </text>
    </comment>
    <comment ref="W597" authorId="0" shapeId="0" xr:uid="{BF79A234-326E-4C85-92C8-C811446987BA}">
      <text>
        <r>
          <rPr>
            <sz val="10"/>
            <color indexed="81"/>
            <rFont val="Lucida Console"/>
            <family val="3"/>
          </rPr>
          <t>_x000D_
DM-Hidráulica</t>
        </r>
      </text>
    </comment>
    <comment ref="X597" authorId="0" shapeId="0" xr:uid="{BBC71FD7-C447-4EBB-8C36-13950E23467B}">
      <text>
        <r>
          <rPr>
            <sz val="10"/>
            <color indexed="81"/>
            <rFont val="Lucida Console"/>
            <family val="3"/>
          </rPr>
          <t>_x000D_
MATERIAL HIDRAULICO, CANOS, TUBOS, MANGUEIRAS, CONEXOES E ACESS.</t>
        </r>
      </text>
    </comment>
    <comment ref="Y597" authorId="0" shapeId="0" xr:uid="{99566A7D-5E27-4121-BE9C-5FD66209041E}">
      <text>
        <r>
          <rPr>
            <sz val="10"/>
            <color indexed="81"/>
            <rFont val="Lucida Console"/>
            <family val="3"/>
          </rPr>
          <t>_x000D_
ADAP. LUVAS.TES CURVAS COTOVELOS PLUGS FLANGES.....</t>
        </r>
      </text>
    </comment>
    <comment ref="AW597" authorId="0" shapeId="0" xr:uid="{CC171307-29E2-4F8E-81C8-634677B11B84}">
      <text>
        <r>
          <rPr>
            <sz val="10"/>
            <color indexed="81"/>
            <rFont val="Lucida Console"/>
            <family val="3"/>
          </rPr>
          <t>Tempo de Estoque (Meses)_x000D_
_x000D_
742,0</t>
        </r>
      </text>
    </comment>
    <comment ref="A598" authorId="0" shapeId="0" xr:uid="{297F60A2-C27E-4831-BE7A-9593EE41DCB6}">
      <text>
        <r>
          <rPr>
            <sz val="10"/>
            <color indexed="81"/>
            <rFont val="Lucida Console"/>
            <family val="3"/>
          </rPr>
          <t>_x000D_
28184</t>
        </r>
      </text>
    </comment>
    <comment ref="B598" authorId="0" shapeId="0" xr:uid="{980F5B68-5ADC-4C46-9D09-DFC3197888C9}">
      <text>
        <r>
          <rPr>
            <sz val="10"/>
            <color indexed="81"/>
            <rFont val="Lucida Console"/>
            <family val="3"/>
          </rPr>
          <t>DESCRIÇÃO DETALHADA_x000D_
ADAPTADOR EM PVC RIGIDO SOLDAVEL MARROM DE 1". A MARCA DEVERA VIR LITOGRAFADA NA PECA.</t>
        </r>
      </text>
    </comment>
    <comment ref="G598" authorId="0" shapeId="0" xr:uid="{36C44D63-9AC9-421C-BA38-D98851849252}">
      <text>
        <r>
          <rPr>
            <sz val="10"/>
            <color indexed="81"/>
            <rFont val="Lucida Console"/>
            <family val="3"/>
          </rPr>
          <t>_x000D_
Últ estimativa : 150_x000D_
Enviada em     : 24.11.2020_x000D_
Ata - Venc     : 87/20 - 31.03.2021</t>
        </r>
      </text>
    </comment>
    <comment ref="O598" authorId="0" shapeId="0" xr:uid="{0B2B2FD0-677B-45AB-B873-05C154EA6706}">
      <text>
        <r>
          <rPr>
            <sz val="10"/>
            <color indexed="81"/>
            <rFont val="Lucida Console"/>
            <family val="3"/>
          </rPr>
          <t>_x000D_
Pertencia a ATA nº 87/20_x000D_
Estimativa de Renovação enviada em 24.11.2020 - Qtd 150_x000D_
PE  10/20 lote 8_x000D_
30.04.20 = Processo conferido, finalizado.</t>
        </r>
      </text>
    </comment>
    <comment ref="W598" authorId="0" shapeId="0" xr:uid="{9C5211FD-C2B9-497F-BA8C-4B082C99CC43}">
      <text>
        <r>
          <rPr>
            <sz val="10"/>
            <color indexed="81"/>
            <rFont val="Lucida Console"/>
            <family val="3"/>
          </rPr>
          <t>_x000D_
DM-Hidráulica</t>
        </r>
      </text>
    </comment>
    <comment ref="X598" authorId="0" shapeId="0" xr:uid="{46A97BF0-4EB1-45F9-AF50-C43E6B490CEC}">
      <text>
        <r>
          <rPr>
            <sz val="10"/>
            <color indexed="81"/>
            <rFont val="Lucida Console"/>
            <family val="3"/>
          </rPr>
          <t>_x000D_
MATERIAL HIDRAULICO, CANOS, TUBOS, MANGUEIRAS, CONEXOES E ACESS.</t>
        </r>
      </text>
    </comment>
    <comment ref="Y598" authorId="0" shapeId="0" xr:uid="{72CBBECE-9E43-4674-BD50-2F76B7EE1D74}">
      <text>
        <r>
          <rPr>
            <sz val="10"/>
            <color indexed="81"/>
            <rFont val="Lucida Console"/>
            <family val="3"/>
          </rPr>
          <t>_x000D_
ADAP. LUVAS.TES CURVAS COTOVELOS PLUGS FLANGES.....</t>
        </r>
      </text>
    </comment>
    <comment ref="AW598" authorId="0" shapeId="0" xr:uid="{4B7FDF2A-6527-4E2D-851C-27566993404F}">
      <text>
        <r>
          <rPr>
            <sz val="10"/>
            <color indexed="81"/>
            <rFont val="Lucida Console"/>
            <family val="3"/>
          </rPr>
          <t>Tempo de Estoque (Meses)_x000D_
_x000D_
410,0</t>
        </r>
      </text>
    </comment>
    <comment ref="A599" authorId="0" shapeId="0" xr:uid="{C0B1D106-7220-4404-8ADE-5C8D03DA6456}">
      <text>
        <r>
          <rPr>
            <sz val="10"/>
            <color indexed="81"/>
            <rFont val="Lucida Console"/>
            <family val="3"/>
          </rPr>
          <t>_x000D_
59097</t>
        </r>
      </text>
    </comment>
    <comment ref="B599" authorId="0" shapeId="0" xr:uid="{0AABC1A3-9BD1-4C17-B6D6-4CCD411A75E7}">
      <text>
        <r>
          <rPr>
            <sz val="10"/>
            <color indexed="81"/>
            <rFont val="Lucida Console"/>
            <family val="3"/>
          </rPr>
          <t>DESCRIÇÃO DETALHADA_x000D_
TUBO DE PVC BRANCO PARA ESGOTO, DE 150 MM - 6" X 06 M, DE ACORDO COM A NORMA NBR 5688 E A MARCA DEVERA VIR LITOGRAFADA NA PECA</t>
        </r>
      </text>
    </comment>
    <comment ref="G599" authorId="0" shapeId="0" xr:uid="{F2E31556-3F19-4F02-8E0E-34A0C2D8E652}">
      <text>
        <r>
          <rPr>
            <sz val="10"/>
            <color indexed="81"/>
            <rFont val="Lucida Console"/>
            <family val="3"/>
          </rPr>
          <t>_x000D_
Últ estimativa : 50_x000D_
Enviada em     : 24.11.2020_x000D_
Ata - Venc     : 87/20 - 31.03.2021</t>
        </r>
      </text>
    </comment>
    <comment ref="O599" authorId="0" shapeId="0" xr:uid="{1F346E40-5468-411B-8851-C180656BBBA5}">
      <text>
        <r>
          <rPr>
            <sz val="10"/>
            <color indexed="81"/>
            <rFont val="Lucida Console"/>
            <family val="3"/>
          </rPr>
          <t>_x000D_
Pertencia a ATA nº 87/20_x000D_
Estimativa de Renovação enviada em 24.11.2020 - Qtd 50_x000D_
PE  10/20 lote 33_x000D_
30.04.20 = Processo conferido, finalizado.</t>
        </r>
      </text>
    </comment>
    <comment ref="W599" authorId="0" shapeId="0" xr:uid="{7EFF49BB-F0A0-4044-BB8A-E06F059355BD}">
      <text>
        <r>
          <rPr>
            <sz val="10"/>
            <color indexed="81"/>
            <rFont val="Lucida Console"/>
            <family val="3"/>
          </rPr>
          <t>_x000D_
DM-Hidráulica</t>
        </r>
      </text>
    </comment>
    <comment ref="X599" authorId="0" shapeId="0" xr:uid="{09C15D05-7FC1-4FFE-9475-818DE86F5C77}">
      <text>
        <r>
          <rPr>
            <sz val="10"/>
            <color indexed="81"/>
            <rFont val="Lucida Console"/>
            <family val="3"/>
          </rPr>
          <t>_x000D_
MATERIAL HIDRAULICO, CANOS, TUBOS, MANGUEIRAS, CONEXOES E ACESS.</t>
        </r>
      </text>
    </comment>
    <comment ref="Y599" authorId="0" shapeId="0" xr:uid="{3DFF6BBE-490D-4DC9-9D0F-CCC14A10EC61}">
      <text>
        <r>
          <rPr>
            <sz val="10"/>
            <color indexed="81"/>
            <rFont val="Lucida Console"/>
            <family val="3"/>
          </rPr>
          <t>_x000D_
ADAP. LUVAS.TES CURVAS COTOVELOS PLUGS FLANGES.....</t>
        </r>
      </text>
    </comment>
    <comment ref="AW599" authorId="0" shapeId="0" xr:uid="{CB1AD452-499A-4B3B-B8B6-3369C746734D}">
      <text>
        <r>
          <rPr>
            <sz val="10"/>
            <color indexed="81"/>
            <rFont val="Lucida Console"/>
            <family val="3"/>
          </rPr>
          <t>Tempo de Estoque (Meses)_x000D_
_x000D_
100,0</t>
        </r>
      </text>
    </comment>
    <comment ref="A600" authorId="0" shapeId="0" xr:uid="{688294BB-054D-4C81-8815-F5C05586B651}">
      <text>
        <r>
          <rPr>
            <sz val="10"/>
            <color indexed="81"/>
            <rFont val="Lucida Console"/>
            <family val="3"/>
          </rPr>
          <t>_x000D_
64636</t>
        </r>
      </text>
    </comment>
    <comment ref="B600" authorId="0" shapeId="0" xr:uid="{35BF59CB-2EB8-47AB-8C0A-A214E35A5FFB}">
      <text>
        <r>
          <rPr>
            <sz val="10"/>
            <color indexed="81"/>
            <rFont val="Lucida Console"/>
            <family val="3"/>
          </rPr>
          <t>DESCRIÇÃO DETALHADA_x000D_
LUVA DE REDUCAO EM PVC RIGIDO - MARROM - SOLDAVEL - 1.1/2"X 3/4" - PARA AGUA</t>
        </r>
      </text>
    </comment>
    <comment ref="G600" authorId="0" shapeId="0" xr:uid="{B00B620E-64B2-4E96-89AC-749D36E91CEC}">
      <text>
        <r>
          <rPr>
            <sz val="10"/>
            <color indexed="81"/>
            <rFont val="Lucida Console"/>
            <family val="3"/>
          </rPr>
          <t>_x000D_
Últ estimativa : 150_x000D_
Enviada em     : 24.11.2020_x000D_
Ata - Venc     : 87/20 - 31.03.2021</t>
        </r>
      </text>
    </comment>
    <comment ref="O600" authorId="0" shapeId="0" xr:uid="{A57A4D71-A481-496E-A0D9-E05C4A6B5CFA}">
      <text>
        <r>
          <rPr>
            <sz val="10"/>
            <color indexed="81"/>
            <rFont val="Lucida Console"/>
            <family val="3"/>
          </rPr>
          <t>_x000D_
Pertencia a ATA nº 87/20_x000D_
Estimativa de Renovação enviada em 24.11.2020 - Qtd 150_x000D_
PE  10/20 lote 38_x000D_
30.04.20 = Processo conferido, finalizado.</t>
        </r>
      </text>
    </comment>
    <comment ref="W600" authorId="0" shapeId="0" xr:uid="{C5D7E7BC-0C92-4515-A7EA-2EA60E8387FC}">
      <text>
        <r>
          <rPr>
            <sz val="10"/>
            <color indexed="81"/>
            <rFont val="Lucida Console"/>
            <family val="3"/>
          </rPr>
          <t>_x000D_
DM-Hidráulica</t>
        </r>
      </text>
    </comment>
    <comment ref="X600" authorId="0" shapeId="0" xr:uid="{EC09F38B-E0D9-4D88-AA12-8332D6A5B140}">
      <text>
        <r>
          <rPr>
            <sz val="10"/>
            <color indexed="81"/>
            <rFont val="Lucida Console"/>
            <family val="3"/>
          </rPr>
          <t>_x000D_
MATERIAL HIDRAULICO, CANOS, TUBOS, MANGUEIRAS, CONEXOES E ACESS.</t>
        </r>
      </text>
    </comment>
    <comment ref="Y600" authorId="0" shapeId="0" xr:uid="{575B874D-DCC0-4928-89E6-3BC43B028CD8}">
      <text>
        <r>
          <rPr>
            <sz val="10"/>
            <color indexed="81"/>
            <rFont val="Lucida Console"/>
            <family val="3"/>
          </rPr>
          <t>_x000D_
ADAP. LUVAS.TES CURVAS COTOVELOS PLUGS FLANGES.....</t>
        </r>
      </text>
    </comment>
    <comment ref="AW600" authorId="0" shapeId="0" xr:uid="{62BEDC16-846C-418D-92DE-26B793B7EA2F}">
      <text>
        <r>
          <rPr>
            <sz val="10"/>
            <color indexed="81"/>
            <rFont val="Lucida Console"/>
            <family val="3"/>
          </rPr>
          <t>Tempo de Estoque (Meses)_x000D_
_x000D_
41,0</t>
        </r>
      </text>
    </comment>
    <comment ref="A601" authorId="0" shapeId="0" xr:uid="{3519C4BC-181A-4EC7-BB45-ADEBA4C32704}">
      <text>
        <r>
          <rPr>
            <sz val="10"/>
            <color indexed="81"/>
            <rFont val="Lucida Console"/>
            <family val="3"/>
          </rPr>
          <t>_x000D_
64647</t>
        </r>
      </text>
    </comment>
    <comment ref="B601" authorId="0" shapeId="0" xr:uid="{0418C80D-8A9F-4CF1-AB4B-33F39BCD9AF9}">
      <text>
        <r>
          <rPr>
            <sz val="10"/>
            <color indexed="81"/>
            <rFont val="Lucida Console"/>
            <family val="3"/>
          </rPr>
          <t>DESCRIÇÃO DETALHADA_x000D_
TE DE REDUCAO EM PVC RIGIDO - SOLDAVEL - 150 X 100 MM - 6"X 4" - PARA ESGOTO</t>
        </r>
      </text>
    </comment>
    <comment ref="G601" authorId="0" shapeId="0" xr:uid="{5E0E8301-2ABF-4BEC-8045-8DEC2B68661F}">
      <text>
        <r>
          <rPr>
            <sz val="10"/>
            <color indexed="81"/>
            <rFont val="Lucida Console"/>
            <family val="3"/>
          </rPr>
          <t>_x000D_
Últ estimativa : 30_x000D_
Enviada em     : 24.11.2020_x000D_
Ata - Venc     : 87/20 - 31.03.2021</t>
        </r>
      </text>
    </comment>
    <comment ref="O601" authorId="0" shapeId="0" xr:uid="{AC5C8F7C-09CF-4C8D-851F-04D6D6BC61CF}">
      <text>
        <r>
          <rPr>
            <sz val="10"/>
            <color indexed="81"/>
            <rFont val="Lucida Console"/>
            <family val="3"/>
          </rPr>
          <t>_x000D_
Pertencia a ATA nº 87/20_x000D_
Estimativa de Renovação enviada em 24.11.2020 - Qtd 30_x000D_
PE  10/20 lote 39_x000D_
30.04.20 = Processo conferido, finalizado.</t>
        </r>
      </text>
    </comment>
    <comment ref="W601" authorId="0" shapeId="0" xr:uid="{6A68E455-EB6E-4068-8688-2D26DFA86D82}">
      <text>
        <r>
          <rPr>
            <sz val="10"/>
            <color indexed="81"/>
            <rFont val="Lucida Console"/>
            <family val="3"/>
          </rPr>
          <t>_x000D_
DM-Hidráulica</t>
        </r>
      </text>
    </comment>
    <comment ref="X601" authorId="0" shapeId="0" xr:uid="{94B49C29-9D41-437D-91F3-BEA4609ABBDC}">
      <text>
        <r>
          <rPr>
            <sz val="10"/>
            <color indexed="81"/>
            <rFont val="Lucida Console"/>
            <family val="3"/>
          </rPr>
          <t>_x000D_
MATERIAL HIDRAULICO, CANOS, TUBOS, MANGUEIRAS, CONEXOES E ACESS.</t>
        </r>
      </text>
    </comment>
    <comment ref="Y601" authorId="0" shapeId="0" xr:uid="{04E06EB5-47D2-46FA-A97A-4D594B3ACFBA}">
      <text>
        <r>
          <rPr>
            <sz val="10"/>
            <color indexed="81"/>
            <rFont val="Lucida Console"/>
            <family val="3"/>
          </rPr>
          <t>_x000D_
ADAP. LUVAS.TES CURVAS COTOVELOS PLUGS FLANGES.....</t>
        </r>
      </text>
    </comment>
    <comment ref="AW601" authorId="0" shapeId="0" xr:uid="{20E8F03E-D623-41D2-B622-42A18290FBF3}">
      <text>
        <r>
          <rPr>
            <sz val="10"/>
            <color indexed="81"/>
            <rFont val="Lucida Console"/>
            <family val="3"/>
          </rPr>
          <t>Tempo de Estoque (Meses)_x000D_
_x000D_
18,0</t>
        </r>
      </text>
    </comment>
    <comment ref="A602" authorId="0" shapeId="0" xr:uid="{6EB6CE75-5F15-48DC-BFDA-63BD570CF5C0}">
      <text>
        <r>
          <rPr>
            <sz val="10"/>
            <color indexed="81"/>
            <rFont val="Lucida Console"/>
            <family val="3"/>
          </rPr>
          <t>_x000D_
74979</t>
        </r>
      </text>
    </comment>
    <comment ref="B602" authorId="0" shapeId="0" xr:uid="{1BCA7DDB-08B3-46A3-A7BF-E8C03B59F298}">
      <text>
        <r>
          <rPr>
            <sz val="10"/>
            <color indexed="81"/>
            <rFont val="Lucida Console"/>
            <family val="3"/>
          </rPr>
          <t>DESCRIÇÃO DETALHADA_x000D_
LUVA DESLIZANTE EM PVC COM ANEL - MARROM - 1 1/2"</t>
        </r>
      </text>
    </comment>
    <comment ref="G602" authorId="0" shapeId="0" xr:uid="{C7BDEF95-6999-44D6-964D-A9CB3AF38D3E}">
      <text>
        <r>
          <rPr>
            <sz val="10"/>
            <color indexed="81"/>
            <rFont val="Lucida Console"/>
            <family val="3"/>
          </rPr>
          <t>_x000D_
Últ estimativa : 100_x000D_
Enviada em     : 24.11.2020_x000D_
Ata - Venc     : 87/20 - 31.03.2021</t>
        </r>
      </text>
    </comment>
    <comment ref="O602" authorId="0" shapeId="0" xr:uid="{7207F553-B052-460C-A3F5-1CE84E56AD9B}">
      <text>
        <r>
          <rPr>
            <sz val="10"/>
            <color indexed="81"/>
            <rFont val="Lucida Console"/>
            <family val="3"/>
          </rPr>
          <t>_x000D_
Pertencia a ATA nº 87/20_x000D_
Estimativa de Renovação enviada em 24.11.2020 - Qtd 100_x000D_
PE  10/20 lote 42_x000D_
30.04.20 = Processo conferido, finalizado.</t>
        </r>
      </text>
    </comment>
    <comment ref="W602" authorId="0" shapeId="0" xr:uid="{E68D8660-34F3-4B83-BF84-E20E7D2EE7B8}">
      <text>
        <r>
          <rPr>
            <sz val="10"/>
            <color indexed="81"/>
            <rFont val="Lucida Console"/>
            <family val="3"/>
          </rPr>
          <t>_x000D_
DM-Hidráulica</t>
        </r>
      </text>
    </comment>
    <comment ref="X602" authorId="0" shapeId="0" xr:uid="{C32AD724-8E67-4E7A-891A-9289E848AE57}">
      <text>
        <r>
          <rPr>
            <sz val="10"/>
            <color indexed="81"/>
            <rFont val="Lucida Console"/>
            <family val="3"/>
          </rPr>
          <t>_x000D_
MATERIAL HIDRAULICO, CANOS, TUBOS, MANGUEIRAS, CONEXOES E ACESS.</t>
        </r>
      </text>
    </comment>
    <comment ref="Y602" authorId="0" shapeId="0" xr:uid="{67024DA6-F02D-49A8-982D-9A63DDB9064E}">
      <text>
        <r>
          <rPr>
            <sz val="10"/>
            <color indexed="81"/>
            <rFont val="Lucida Console"/>
            <family val="3"/>
          </rPr>
          <t>_x000D_
ADAP. LUVAS.TES CURVAS COTOVELOS PLUGS FLANGES.....</t>
        </r>
      </text>
    </comment>
    <comment ref="AW602" authorId="0" shapeId="0" xr:uid="{56BDECB6-BF31-463C-AA2C-3A2E20A778CD}">
      <text>
        <r>
          <rPr>
            <sz val="10"/>
            <color indexed="81"/>
            <rFont val="Lucida Console"/>
            <family val="3"/>
          </rPr>
          <t>Tempo de Estoque (Meses)_x000D_
_x000D_
179,0</t>
        </r>
      </text>
    </comment>
    <comment ref="A603" authorId="0" shapeId="0" xr:uid="{F890F43D-35A7-486A-83F0-6DC44844BD59}">
      <text>
        <r>
          <rPr>
            <sz val="10"/>
            <color indexed="81"/>
            <rFont val="Lucida Console"/>
            <family val="3"/>
          </rPr>
          <t>_x000D_
125173</t>
        </r>
      </text>
    </comment>
    <comment ref="B603" authorId="0" shapeId="0" xr:uid="{B7ABE77A-96B4-4467-871C-7E61F1CB7A59}">
      <text>
        <r>
          <rPr>
            <sz val="10"/>
            <color indexed="81"/>
            <rFont val="Lucida Console"/>
            <family val="3"/>
          </rPr>
          <t>DESCRIÇÃO DETALHADA_x000D_
LUVA DE REDUCAO DE ESGOTO 2" X 1.1/2, MEDINDO 40 X 50 MM DE ACORDO COM NBR 5688, LITOGRAFADO NA PECA.</t>
        </r>
      </text>
    </comment>
    <comment ref="G603" authorId="0" shapeId="0" xr:uid="{6923825C-FC7B-4513-8F7C-709FF6ED0C29}">
      <text>
        <r>
          <rPr>
            <sz val="10"/>
            <color indexed="81"/>
            <rFont val="Lucida Console"/>
            <family val="3"/>
          </rPr>
          <t>_x000D_
Últ estimativa : 150_x000D_
Enviada em     : 24.11.2020_x000D_
Ata - Venc     : 87/20 - 31.03.2021</t>
        </r>
      </text>
    </comment>
    <comment ref="O603" authorId="0" shapeId="0" xr:uid="{9CF8BC9B-5C0E-4368-816B-2936EF7B0397}">
      <text>
        <r>
          <rPr>
            <sz val="10"/>
            <color indexed="81"/>
            <rFont val="Lucida Console"/>
            <family val="3"/>
          </rPr>
          <t>_x000D_
Pertencia a ATA nº 87/20_x000D_
Estimativa de Renovação enviada em 24.11.2020 - Qtd 150_x000D_
PE  10/20 lote 67_x000D_
30.04.20 = Processo conferido, finalizado.</t>
        </r>
      </text>
    </comment>
    <comment ref="W603" authorId="0" shapeId="0" xr:uid="{3AA1FB3C-4907-4C8F-9F40-E5B6FCD4F138}">
      <text>
        <r>
          <rPr>
            <sz val="10"/>
            <color indexed="81"/>
            <rFont val="Lucida Console"/>
            <family val="3"/>
          </rPr>
          <t>_x000D_
DM-Hidráulica</t>
        </r>
      </text>
    </comment>
    <comment ref="X603" authorId="0" shapeId="0" xr:uid="{7D84F77F-7015-4E44-8BAF-22686EC76D89}">
      <text>
        <r>
          <rPr>
            <sz val="10"/>
            <color indexed="81"/>
            <rFont val="Lucida Console"/>
            <family val="3"/>
          </rPr>
          <t>_x000D_
MATERIAL HIDRAULICO, CANOS, TUBOS, MANGUEIRAS, CONEXOES E ACESS.</t>
        </r>
      </text>
    </comment>
    <comment ref="Y603" authorId="0" shapeId="0" xr:uid="{FB189D42-A945-4EDB-BD7F-2701D49F00D1}">
      <text>
        <r>
          <rPr>
            <sz val="10"/>
            <color indexed="81"/>
            <rFont val="Lucida Console"/>
            <family val="3"/>
          </rPr>
          <t>_x000D_
ADAP. LUVAS.TES CURVAS COTOVELOS PLUGS FLANGES.....</t>
        </r>
      </text>
    </comment>
    <comment ref="AW603" authorId="0" shapeId="0" xr:uid="{6B241394-2329-4680-BE8D-FBE2CA05D2D8}">
      <text>
        <r>
          <rPr>
            <sz val="10"/>
            <color indexed="81"/>
            <rFont val="Lucida Console"/>
            <family val="3"/>
          </rPr>
          <t>Tempo de Estoque (Meses)_x000D_
_x000D_
200,0</t>
        </r>
      </text>
    </comment>
    <comment ref="A604" authorId="0" shapeId="0" xr:uid="{01CBEBF1-5C25-46B2-9C4D-67FA45658BBC}">
      <text>
        <r>
          <rPr>
            <sz val="10"/>
            <color indexed="81"/>
            <rFont val="Lucida Console"/>
            <family val="3"/>
          </rPr>
          <t>_x000D_
135300</t>
        </r>
      </text>
    </comment>
    <comment ref="B604" authorId="0" shapeId="0" xr:uid="{124B587C-22ED-47A6-B111-A6CB818F721D}">
      <text>
        <r>
          <rPr>
            <sz val="10"/>
            <color indexed="81"/>
            <rFont val="Lucida Console"/>
            <family val="3"/>
          </rPr>
          <t>DESCRIÇÃO DETALHADA_x000D_
COTOVELO 45°, EM PVC SOLDAVEL PARA AGUA, MARROM, 1 1/2" (50 MM), DE ACORDO COM A NBR 5648. TODAS AS INFORMACOES DEVERAO ESTAR LITOGRAFADAS NA PECA.</t>
        </r>
      </text>
    </comment>
    <comment ref="G604" authorId="0" shapeId="0" xr:uid="{B77B985C-D3EB-4735-8FC2-1DBB458B74DA}">
      <text>
        <r>
          <rPr>
            <sz val="10"/>
            <color indexed="81"/>
            <rFont val="Lucida Console"/>
            <family val="3"/>
          </rPr>
          <t>_x000D_
Últ estimativa : 150_x000D_
Enviada em     : 24.11.2020_x000D_
Ata - Venc     : 87/20 - 31.03.2021</t>
        </r>
      </text>
    </comment>
    <comment ref="O604" authorId="0" shapeId="0" xr:uid="{F65353F7-9BE7-498B-9723-0107C10B0327}">
      <text>
        <r>
          <rPr>
            <sz val="10"/>
            <color indexed="81"/>
            <rFont val="Lucida Console"/>
            <family val="3"/>
          </rPr>
          <t>_x000D_
Pertencia a ATA nº 87/20_x000D_
Estimativa de Renovação enviada em 24.11.2020 - Qtd 150_x000D_
PE  10/20 lote 77_x000D_
30.04.20 = Processo conferido, finalizado.</t>
        </r>
      </text>
    </comment>
    <comment ref="W604" authorId="0" shapeId="0" xr:uid="{97124FD7-7036-4134-A1F8-C53546DD9B80}">
      <text>
        <r>
          <rPr>
            <sz val="10"/>
            <color indexed="81"/>
            <rFont val="Lucida Console"/>
            <family val="3"/>
          </rPr>
          <t>_x000D_
DM-Hidráulica</t>
        </r>
      </text>
    </comment>
    <comment ref="X604" authorId="0" shapeId="0" xr:uid="{E6D33DCF-4A0E-4C05-B30D-9EC5838BC82D}">
      <text>
        <r>
          <rPr>
            <sz val="10"/>
            <color indexed="81"/>
            <rFont val="Lucida Console"/>
            <family val="3"/>
          </rPr>
          <t>_x000D_
MATERIAL HIDRAULICO, CANOS, TUBOS, MANGUEIRAS, CONEXOES E ACESS.</t>
        </r>
      </text>
    </comment>
    <comment ref="Y604" authorId="0" shapeId="0" xr:uid="{AF0F3B48-7A19-49F2-B253-C448EB5FEE88}">
      <text>
        <r>
          <rPr>
            <sz val="10"/>
            <color indexed="81"/>
            <rFont val="Lucida Console"/>
            <family val="3"/>
          </rPr>
          <t>_x000D_
ADAP. LUVAS.TES CURVAS COTOVELOS PLUGS FLANGES.....</t>
        </r>
      </text>
    </comment>
    <comment ref="AW604" authorId="0" shapeId="0" xr:uid="{EB97C7C6-DA79-4F71-93E2-1A19D5517B2C}">
      <text>
        <r>
          <rPr>
            <sz val="10"/>
            <color indexed="81"/>
            <rFont val="Lucida Console"/>
            <family val="3"/>
          </rPr>
          <t>Tempo de Estoque (Meses)_x000D_
_x000D_
333,0</t>
        </r>
      </text>
    </comment>
    <comment ref="A605" authorId="0" shapeId="0" xr:uid="{A7F09689-E082-4CD2-BE81-E36C43238283}">
      <text>
        <r>
          <rPr>
            <sz val="10"/>
            <color indexed="81"/>
            <rFont val="Lucida Console"/>
            <family val="3"/>
          </rPr>
          <t>_x000D_
135301</t>
        </r>
      </text>
    </comment>
    <comment ref="B605" authorId="0" shapeId="0" xr:uid="{E0F569C5-E9BD-43FE-8EF7-F69E32776A45}">
      <text>
        <r>
          <rPr>
            <sz val="10"/>
            <color indexed="81"/>
            <rFont val="Lucida Console"/>
            <family val="3"/>
          </rPr>
          <t>DESCRIÇÃO DETALHADA_x000D_
COTOVELO DE 45°, EM PVC BRANCO, PARA ESGOTO, DE 4" (100 MM), DE ACORDO COM A NORMA NBR 5688. TODAS AS INFORMACOES DEVERAO ESTAR LITOGRAFADAS NA PECA.</t>
        </r>
      </text>
    </comment>
    <comment ref="G605" authorId="0" shapeId="0" xr:uid="{A63960CF-8D97-44AA-A3EF-64D72A8E1F69}">
      <text>
        <r>
          <rPr>
            <sz val="10"/>
            <color indexed="81"/>
            <rFont val="Lucida Console"/>
            <family val="3"/>
          </rPr>
          <t>_x000D_
Últ estimativa : 400_x000D_
Enviada em     : 24.11.2020_x000D_
Ata - Venc     : 87/20 - 31.03.2021</t>
        </r>
      </text>
    </comment>
    <comment ref="O605" authorId="0" shapeId="0" xr:uid="{A9698B81-5EC2-4C68-9D2E-B8F2DBF4A6E5}">
      <text>
        <r>
          <rPr>
            <sz val="10"/>
            <color indexed="81"/>
            <rFont val="Lucida Console"/>
            <family val="3"/>
          </rPr>
          <t xml:space="preserve">_x000D_
Pertencia a ATA nº 87/20_x000D_
Estimativa de Renovação enviada em 24.11.2020 - Qtd 400_x000D_
PE 182/21 lote _x000D_
 = </t>
        </r>
      </text>
    </comment>
    <comment ref="W605" authorId="0" shapeId="0" xr:uid="{908BEF05-03D7-4A79-BF41-6B92D40CFBB0}">
      <text>
        <r>
          <rPr>
            <sz val="10"/>
            <color indexed="81"/>
            <rFont val="Lucida Console"/>
            <family val="3"/>
          </rPr>
          <t>_x000D_
DM-Hidráulica</t>
        </r>
      </text>
    </comment>
    <comment ref="X605" authorId="0" shapeId="0" xr:uid="{69BB3611-7406-4AC6-9A98-004979E4D5BF}">
      <text>
        <r>
          <rPr>
            <sz val="10"/>
            <color indexed="81"/>
            <rFont val="Lucida Console"/>
            <family val="3"/>
          </rPr>
          <t>_x000D_
MATERIAL HIDRAULICO, CANOS, TUBOS, MANGUEIRAS, CONEXOES E ACESS.</t>
        </r>
      </text>
    </comment>
    <comment ref="Y605" authorId="0" shapeId="0" xr:uid="{74E99420-2B74-4703-B323-01973E83D4B8}">
      <text>
        <r>
          <rPr>
            <sz val="10"/>
            <color indexed="81"/>
            <rFont val="Lucida Console"/>
            <family val="3"/>
          </rPr>
          <t>_x000D_
ADAP. LUVAS.TES CURVAS COTOVELOS PLUGS FLANGES.....</t>
        </r>
      </text>
    </comment>
    <comment ref="AW605" authorId="0" shapeId="0" xr:uid="{6BFD8FA3-9B50-40DF-83E4-9B3007CC5FF4}">
      <text>
        <r>
          <rPr>
            <sz val="10"/>
            <color indexed="81"/>
            <rFont val="Lucida Console"/>
            <family val="3"/>
          </rPr>
          <t>Tempo de Estoque (Meses)_x000D_
_x000D_
365,0</t>
        </r>
      </text>
    </comment>
    <comment ref="A606" authorId="0" shapeId="0" xr:uid="{A725AC58-6A87-40FA-B7DB-EFC2235C0FCE}">
      <text>
        <r>
          <rPr>
            <sz val="10"/>
            <color indexed="81"/>
            <rFont val="Lucida Console"/>
            <family val="3"/>
          </rPr>
          <t>_x000D_
135302</t>
        </r>
      </text>
    </comment>
    <comment ref="B606" authorId="0" shapeId="0" xr:uid="{0B4F43D6-DC7F-407B-86CA-384DB5B1321C}">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06" authorId="0" shapeId="0" xr:uid="{42FD92BB-9B15-467E-81B0-0C38B416D00E}">
      <text>
        <r>
          <rPr>
            <sz val="10"/>
            <color indexed="81"/>
            <rFont val="Lucida Console"/>
            <family val="3"/>
          </rPr>
          <t>_x000D_
Últ estimativa : 0_x000D_
Enviada em     : 24.11.2020_x000D_
Ata - Venc     : 87/20 - 31.03.2021</t>
        </r>
      </text>
    </comment>
    <comment ref="O606" authorId="0" shapeId="0" xr:uid="{340D4A21-CFAB-46B2-BB93-2CE465F9A8B4}">
      <text>
        <r>
          <rPr>
            <sz val="10"/>
            <color indexed="81"/>
            <rFont val="Lucida Console"/>
            <family val="3"/>
          </rPr>
          <t>_x000D_
Pertencia a ATA nº 87/20_x000D_
Estimativa de Renovação enviada em 24.11.2020 - Qtd _x000D_
PE  10/20 lote 79_x000D_
30.04.20 = Processo conferido, finalizado.</t>
        </r>
      </text>
    </comment>
    <comment ref="W606" authorId="0" shapeId="0" xr:uid="{AB058B89-42FF-4EFC-BF67-A9C7C3CDEFF6}">
      <text>
        <r>
          <rPr>
            <sz val="10"/>
            <color indexed="81"/>
            <rFont val="Lucida Console"/>
            <family val="3"/>
          </rPr>
          <t>_x000D_
DM-Hidráulica</t>
        </r>
      </text>
    </comment>
    <comment ref="X606" authorId="0" shapeId="0" xr:uid="{83202444-3342-46A4-AD97-82A82FF0C03F}">
      <text>
        <r>
          <rPr>
            <sz val="10"/>
            <color indexed="81"/>
            <rFont val="Lucida Console"/>
            <family val="3"/>
          </rPr>
          <t>_x000D_
MATERIAL HIDRAULICO, CANOS, TUBOS, MANGUEIRAS, CONEXOES E ACESS.</t>
        </r>
      </text>
    </comment>
    <comment ref="Y606" authorId="0" shapeId="0" xr:uid="{03D2A7B9-0376-4AF4-9033-CE5198FBD1B1}">
      <text>
        <r>
          <rPr>
            <sz val="10"/>
            <color indexed="81"/>
            <rFont val="Lucida Console"/>
            <family val="3"/>
          </rPr>
          <t>_x000D_
ADAP. LUVAS.TES CURVAS COTOVELOS PLUGS FLANGES.....</t>
        </r>
      </text>
    </comment>
    <comment ref="AW606" authorId="0" shapeId="0" xr:uid="{9F396363-172E-459D-A4F8-2B6C74B57308}">
      <text>
        <r>
          <rPr>
            <sz val="10"/>
            <color indexed="81"/>
            <rFont val="Lucida Console"/>
            <family val="3"/>
          </rPr>
          <t>Tempo de Estoque (Meses)_x000D_
_x000D_
613,0</t>
        </r>
      </text>
    </comment>
    <comment ref="A607" authorId="0" shapeId="0" xr:uid="{F047A6E7-AA58-42A6-AEE5-10AAE68F6ECC}">
      <text>
        <r>
          <rPr>
            <sz val="10"/>
            <color indexed="81"/>
            <rFont val="Lucida Console"/>
            <family val="3"/>
          </rPr>
          <t>_x000D_
13092</t>
        </r>
      </text>
    </comment>
    <comment ref="B607" authorId="0" shapeId="0" xr:uid="{1C4F2C5D-07F2-410B-80B0-A67AD1A46047}">
      <text>
        <r>
          <rPr>
            <sz val="10"/>
            <color indexed="81"/>
            <rFont val="Lucida Console"/>
            <family val="3"/>
          </rPr>
          <t>DESCRIÇÃO DETALHADA_x000D_
CAIXA SIFONADA REDONDA EM PVC RIGIDO DE 100 X 100 X 50 MM - 4" X 4"X 2"</t>
        </r>
      </text>
    </comment>
    <comment ref="G607" authorId="0" shapeId="0" xr:uid="{3442F852-31F5-40D6-9690-38974C4FE5E5}">
      <text>
        <r>
          <rPr>
            <sz val="10"/>
            <color indexed="81"/>
            <rFont val="Lucida Console"/>
            <family val="3"/>
          </rPr>
          <t>_x000D_
Últ estimativa : 250_x000D_
Enviada em     : 24.11.2020_x000D_
Ata - Venc     : 87/20 - 31.03.2021</t>
        </r>
      </text>
    </comment>
    <comment ref="O607" authorId="0" shapeId="0" xr:uid="{164180AE-3093-4CD1-B136-4B702E9FD55C}">
      <text>
        <r>
          <rPr>
            <sz val="10"/>
            <color indexed="81"/>
            <rFont val="Lucida Console"/>
            <family val="3"/>
          </rPr>
          <t>_x000D_
Pertencia a ATA nº 87/20_x000D_
Estimativa de Renovação enviada em 24.11.2020 - Qtd 250_x000D_
PE  10/20 lote 7_x000D_
30.04.20 = Processo conferido, finalizado.</t>
        </r>
      </text>
    </comment>
    <comment ref="W607" authorId="0" shapeId="0" xr:uid="{24069A41-3914-4F1D-B716-719C94CE4F0C}">
      <text>
        <r>
          <rPr>
            <sz val="10"/>
            <color indexed="81"/>
            <rFont val="Lucida Console"/>
            <family val="3"/>
          </rPr>
          <t>_x000D_
DM-Hidráulica</t>
        </r>
      </text>
    </comment>
    <comment ref="X607" authorId="0" shapeId="0" xr:uid="{4B55CD34-70E3-4C58-8D7F-34C807DC23D3}">
      <text>
        <r>
          <rPr>
            <sz val="10"/>
            <color indexed="81"/>
            <rFont val="Lucida Console"/>
            <family val="3"/>
          </rPr>
          <t>_x000D_
MATERIAL HIDRAULICO, CANOS, TUBOS, MANGUEIRAS, CONEXOES E ACESS.</t>
        </r>
      </text>
    </comment>
    <comment ref="Y607" authorId="0" shapeId="0" xr:uid="{10443FFB-DE07-472A-B220-A85B9738C5F5}">
      <text>
        <r>
          <rPr>
            <sz val="10"/>
            <color indexed="81"/>
            <rFont val="Lucida Console"/>
            <family val="3"/>
          </rPr>
          <t>_x000D_
RALOS SIFOES E CAIXAS</t>
        </r>
      </text>
    </comment>
    <comment ref="AW607" authorId="0" shapeId="0" xr:uid="{14784BA9-68EC-4B38-BD9C-19D25196C058}">
      <text>
        <r>
          <rPr>
            <sz val="10"/>
            <color indexed="81"/>
            <rFont val="Lucida Console"/>
            <family val="3"/>
          </rPr>
          <t>Tempo de Estoque (Meses)_x000D_
_x000D_
200,0</t>
        </r>
      </text>
    </comment>
    <comment ref="A608" authorId="0" shapeId="0" xr:uid="{1DFC0CCA-D413-44C3-9652-765DB4C04C55}">
      <text>
        <r>
          <rPr>
            <sz val="10"/>
            <color indexed="81"/>
            <rFont val="Lucida Console"/>
            <family val="3"/>
          </rPr>
          <t>_x000D_
138055</t>
        </r>
      </text>
    </comment>
    <comment ref="B608" authorId="0" shapeId="0" xr:uid="{0FCD9322-F341-4932-BCCD-59B474FA443D}">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608" authorId="0" shapeId="0" xr:uid="{EFCC5E69-3A06-4DA0-9088-6A02F237318D}">
      <text>
        <r>
          <rPr>
            <sz val="10"/>
            <color indexed="81"/>
            <rFont val="Lucida Console"/>
            <family val="3"/>
          </rPr>
          <t>_x000D_
Últ estimativa : 500_x000D_
Enviada em     : 24.11.2020_x000D_
Ata - Venc     : 87/20 - 31.03.2021</t>
        </r>
      </text>
    </comment>
    <comment ref="O608" authorId="0" shapeId="0" xr:uid="{995D996A-EA98-4E7A-9C00-BFB248921F17}">
      <text>
        <r>
          <rPr>
            <sz val="10"/>
            <color indexed="81"/>
            <rFont val="Lucida Console"/>
            <family val="3"/>
          </rPr>
          <t xml:space="preserve">_x000D_
Pertencia a ATA nº 87/20_x000D_
Estimativa de Renovação enviada em 24.11.2020 - Qtd 500_x000D_
PE 182/21 lote _x000D_
 = </t>
        </r>
      </text>
    </comment>
    <comment ref="W608" authorId="0" shapeId="0" xr:uid="{7100C734-B7FE-4049-9AFE-CC31D777D72F}">
      <text>
        <r>
          <rPr>
            <sz val="10"/>
            <color indexed="81"/>
            <rFont val="Lucida Console"/>
            <family val="3"/>
          </rPr>
          <t>_x000D_
DM-Hidráulica</t>
        </r>
      </text>
    </comment>
    <comment ref="X608" authorId="0" shapeId="0" xr:uid="{FCC3A638-25B2-4816-9F7C-4F4D8DF392C1}">
      <text>
        <r>
          <rPr>
            <sz val="10"/>
            <color indexed="81"/>
            <rFont val="Lucida Console"/>
            <family val="3"/>
          </rPr>
          <t>_x000D_
MATERIAL HIDRAULICO, CANOS, TUBOS, MANGUEIRAS, CONEXOES E ACESS.</t>
        </r>
      </text>
    </comment>
    <comment ref="Y608" authorId="0" shapeId="0" xr:uid="{B6D13D59-9BAA-4FDD-ABC2-9880B22E15AE}">
      <text>
        <r>
          <rPr>
            <sz val="10"/>
            <color indexed="81"/>
            <rFont val="Lucida Console"/>
            <family val="3"/>
          </rPr>
          <t>_x000D_
RALOS SIFOES E CAIXAS</t>
        </r>
      </text>
    </comment>
    <comment ref="AW608" authorId="0" shapeId="0" xr:uid="{5D2A534D-F266-43E8-A05E-31E8B2F06ED8}">
      <text>
        <r>
          <rPr>
            <sz val="10"/>
            <color indexed="81"/>
            <rFont val="Lucida Console"/>
            <family val="3"/>
          </rPr>
          <t>Tempo de Estoque (Meses)_x000D_
_x000D_
546,0</t>
        </r>
      </text>
    </comment>
    <comment ref="A609" authorId="0" shapeId="0" xr:uid="{E73BD50E-418D-4980-B68B-CDC05C47376D}">
      <text>
        <r>
          <rPr>
            <sz val="10"/>
            <color indexed="81"/>
            <rFont val="Lucida Console"/>
            <family val="3"/>
          </rPr>
          <t>_x000D_
24500</t>
        </r>
      </text>
    </comment>
    <comment ref="B609" authorId="0" shapeId="0" xr:uid="{8E93D28B-A7FF-4F73-BD4C-07965CA0AF0F}">
      <text>
        <r>
          <rPr>
            <sz val="10"/>
            <color indexed="81"/>
            <rFont val="Lucida Console"/>
            <family val="3"/>
          </rPr>
          <t>DESCRIÇÃO DETALHADA_x000D_
CANOPLA COMPLETA P/ VALVULA DE DESCARGA</t>
        </r>
      </text>
    </comment>
    <comment ref="G609" authorId="0" shapeId="0" xr:uid="{31D28606-E450-41E4-AF8B-4740FC7723C7}">
      <text>
        <r>
          <rPr>
            <sz val="10"/>
            <color indexed="81"/>
            <rFont val="Lucida Console"/>
            <family val="3"/>
          </rPr>
          <t>_x000D_
Últ estimativa : 250_x000D_
Enviada em     : 24.11.2020_x000D_
Ata - Venc     : 87/20 - 31.03.2021</t>
        </r>
      </text>
    </comment>
    <comment ref="O609" authorId="0" shapeId="0" xr:uid="{B268AF61-5702-4219-9CBD-B4498E2BA6B9}">
      <text>
        <r>
          <rPr>
            <sz val="10"/>
            <color indexed="81"/>
            <rFont val="Lucida Console"/>
            <family val="3"/>
          </rPr>
          <t>_x000D_
Pertencia a ATA nº 87/20_x000D_
Estimativa de Renovação enviada em 24.11.2020 - Qtd 250_x000D_
PE  10/20 lote _x000D_
30.04.20 = Processo conferido, finalizado.</t>
        </r>
      </text>
    </comment>
    <comment ref="W609" authorId="0" shapeId="0" xr:uid="{04CC363D-6388-44A9-BB58-25F1AFE91AD9}">
      <text>
        <r>
          <rPr>
            <sz val="10"/>
            <color indexed="81"/>
            <rFont val="Lucida Console"/>
            <family val="3"/>
          </rPr>
          <t>_x000D_
DM-Hidráulica</t>
        </r>
      </text>
    </comment>
    <comment ref="X609" authorId="0" shapeId="0" xr:uid="{CD46B353-4495-4336-BCDC-D8E858B3227B}">
      <text>
        <r>
          <rPr>
            <sz val="10"/>
            <color indexed="81"/>
            <rFont val="Lucida Console"/>
            <family val="3"/>
          </rPr>
          <t>_x000D_
MATERIAL HIDRAULICO, CANOS, TUBOS, MANGUEIRAS, CONEXOES E ACESS.</t>
        </r>
      </text>
    </comment>
    <comment ref="Y609" authorId="0" shapeId="0" xr:uid="{55E4C5BD-0250-473B-8EED-76727BAE6D21}">
      <text>
        <r>
          <rPr>
            <sz val="10"/>
            <color indexed="81"/>
            <rFont val="Lucida Console"/>
            <family val="3"/>
          </rPr>
          <t>_x000D_
TORNEIRAS VOLANTES CANOPLAS E ACESS. P/ MANGUEIRA</t>
        </r>
      </text>
    </comment>
    <comment ref="AW609" authorId="0" shapeId="0" xr:uid="{054FB33B-6A9F-4C01-9718-47EBDFF2545D}">
      <text>
        <r>
          <rPr>
            <sz val="10"/>
            <color indexed="81"/>
            <rFont val="Lucida Console"/>
            <family val="3"/>
          </rPr>
          <t>Tempo de Estoque (Meses)_x000D_
_x000D_
806,0</t>
        </r>
      </text>
    </comment>
    <comment ref="A610" authorId="0" shapeId="0" xr:uid="{E038AF9E-D0ED-41A2-82D1-88B3038F3B60}">
      <text>
        <r>
          <rPr>
            <sz val="10"/>
            <color indexed="81"/>
            <rFont val="Lucida Console"/>
            <family val="3"/>
          </rPr>
          <t>_x000D_
13117</t>
        </r>
      </text>
    </comment>
    <comment ref="B610" authorId="0" shapeId="0" xr:uid="{71B69730-D44E-4A29-9D95-2347CACE79CD}">
      <text>
        <r>
          <rPr>
            <sz val="10"/>
            <color indexed="81"/>
            <rFont val="Lucida Console"/>
            <family val="3"/>
          </rPr>
          <t>DESCRIÇÃO DETALHADA_x000D_
REGISTRO DE PRESSAO 3/4" COM CANOPLA</t>
        </r>
      </text>
    </comment>
    <comment ref="G610" authorId="0" shapeId="0" xr:uid="{2D6EE6D6-24E9-4282-8FA2-09F5B064E8FC}">
      <text>
        <r>
          <rPr>
            <sz val="10"/>
            <color indexed="81"/>
            <rFont val="Lucida Console"/>
            <family val="3"/>
          </rPr>
          <t>_x000D_
Últ estimativa : 50_x000D_
Enviada em     : 24.11.2020_x000D_
Ata - Venc     : 87/20 - 31.03.2021</t>
        </r>
      </text>
    </comment>
    <comment ref="O610" authorId="0" shapeId="0" xr:uid="{6A33EA3B-90EB-4DD0-896B-369B83162509}">
      <text>
        <r>
          <rPr>
            <sz val="10"/>
            <color indexed="81"/>
            <rFont val="Lucida Console"/>
            <family val="3"/>
          </rPr>
          <t>_x000D_
Pertencia a ATA nº 87/20_x000D_
Estimativa de Renovação enviada em 24.11.2020 - Qtd 50_x000D_
PE  10/20 lote _x000D_
30.04.20 = Processo conferido, finalizado.</t>
        </r>
      </text>
    </comment>
    <comment ref="W610" authorId="0" shapeId="0" xr:uid="{D0789A26-361F-4395-B4FA-723FF7EC7C90}">
      <text>
        <r>
          <rPr>
            <sz val="10"/>
            <color indexed="81"/>
            <rFont val="Lucida Console"/>
            <family val="3"/>
          </rPr>
          <t>_x000D_
DM-Hidráulica</t>
        </r>
      </text>
    </comment>
    <comment ref="X610" authorId="0" shapeId="0" xr:uid="{C1B74376-4412-49F2-92B3-C3B5B4D4213C}">
      <text>
        <r>
          <rPr>
            <sz val="10"/>
            <color indexed="81"/>
            <rFont val="Lucida Console"/>
            <family val="3"/>
          </rPr>
          <t>_x000D_
MATERIAL HIDRAULICO, CANOS, TUBOS, MANGUEIRAS, CONEXOES E ACESS.</t>
        </r>
      </text>
    </comment>
    <comment ref="Y610" authorId="0" shapeId="0" xr:uid="{24FD7BC5-92F2-4C7C-AB52-2D4E780D1C5C}">
      <text>
        <r>
          <rPr>
            <sz val="10"/>
            <color indexed="81"/>
            <rFont val="Lucida Console"/>
            <family val="3"/>
          </rPr>
          <t>_x000D_
REGISTROS VALVULAS E BOIAS</t>
        </r>
      </text>
    </comment>
    <comment ref="AW610" authorId="0" shapeId="0" xr:uid="{3A9D7404-A8D6-4E96-B5A3-75B7C5FC1E80}">
      <text>
        <r>
          <rPr>
            <sz val="10"/>
            <color indexed="81"/>
            <rFont val="Lucida Console"/>
            <family val="3"/>
          </rPr>
          <t>Tempo de Estoque (Meses)_x000D_
_x000D_
104,0</t>
        </r>
      </text>
    </comment>
    <comment ref="A611" authorId="0" shapeId="0" xr:uid="{95F51464-5A7C-4CB7-8DB1-55CF3195A8B3}">
      <text>
        <r>
          <rPr>
            <sz val="10"/>
            <color indexed="81"/>
            <rFont val="Lucida Console"/>
            <family val="3"/>
          </rPr>
          <t>_x000D_
15066</t>
        </r>
      </text>
    </comment>
    <comment ref="B611" authorId="0" shapeId="0" xr:uid="{9C647B99-2EA1-4F5B-B7FD-3141FB73D9E3}">
      <text>
        <r>
          <rPr>
            <sz val="10"/>
            <color indexed="81"/>
            <rFont val="Lucida Console"/>
            <family val="3"/>
          </rPr>
          <t>DESCRIÇÃO DETALHADA_x000D_
REPARO P/ VALVULA DE DESCARGA 1 1/2" (MARCA DOCOL)</t>
        </r>
      </text>
    </comment>
    <comment ref="G611" authorId="0" shapeId="0" xr:uid="{2AA6B948-B134-4991-8483-03F1F2FFB86F}">
      <text>
        <r>
          <rPr>
            <sz val="10"/>
            <color indexed="81"/>
            <rFont val="Lucida Console"/>
            <family val="3"/>
          </rPr>
          <t>_x000D_
Últ estimativa : 150_x000D_
Enviada em     : 24.11.2020_x000D_
Ata - Venc     : 87/20 - 31.03.2021</t>
        </r>
      </text>
    </comment>
    <comment ref="O611" authorId="0" shapeId="0" xr:uid="{B93BE5B4-C60B-4D8E-8D93-B78D5C283098}">
      <text>
        <r>
          <rPr>
            <sz val="10"/>
            <color indexed="81"/>
            <rFont val="Lucida Console"/>
            <family val="3"/>
          </rPr>
          <t>_x000D_
Pertencia a ATA nº 87/20_x000D_
Estimativa de Renovação enviada em 24.11.2020 - Qtd 150_x000D_
PE  10/20 lote 10_x000D_
30.04.20 = Processo conferido, finalizado.</t>
        </r>
      </text>
    </comment>
    <comment ref="W611" authorId="0" shapeId="0" xr:uid="{AD0C62B9-EF8C-4B56-98E5-C638B7C297A5}">
      <text>
        <r>
          <rPr>
            <sz val="10"/>
            <color indexed="81"/>
            <rFont val="Lucida Console"/>
            <family val="3"/>
          </rPr>
          <t>_x000D_
DM-Hidráulica</t>
        </r>
      </text>
    </comment>
    <comment ref="X611" authorId="0" shapeId="0" xr:uid="{EA129737-925F-4654-85F3-779BEA9CF236}">
      <text>
        <r>
          <rPr>
            <sz val="10"/>
            <color indexed="81"/>
            <rFont val="Lucida Console"/>
            <family val="3"/>
          </rPr>
          <t>_x000D_
MATERIAL HIDRAULICO, CANOS, TUBOS, MANGUEIRAS, CONEXOES E ACESS.</t>
        </r>
      </text>
    </comment>
    <comment ref="Y611" authorId="0" shapeId="0" xr:uid="{7B667496-8872-47D7-954F-053FDE744DE9}">
      <text>
        <r>
          <rPr>
            <sz val="10"/>
            <color indexed="81"/>
            <rFont val="Lucida Console"/>
            <family val="3"/>
          </rPr>
          <t>_x000D_
REGISTROS VALVULAS E BOIAS</t>
        </r>
      </text>
    </comment>
    <comment ref="AW611" authorId="0" shapeId="0" xr:uid="{FC95411C-3851-4BE5-9E9B-EA1A41F5423E}">
      <text>
        <r>
          <rPr>
            <sz val="10"/>
            <color indexed="81"/>
            <rFont val="Lucida Console"/>
            <family val="3"/>
          </rPr>
          <t>Tempo de Estoque (Meses)_x000D_
_x000D_
179,0</t>
        </r>
      </text>
    </comment>
    <comment ref="A612" authorId="0" shapeId="0" xr:uid="{AD3DFC66-5C1F-4E77-A1EE-825C72147426}">
      <text>
        <r>
          <rPr>
            <sz val="10"/>
            <color indexed="81"/>
            <rFont val="Lucida Console"/>
            <family val="3"/>
          </rPr>
          <t>_x000D_
25630</t>
        </r>
      </text>
    </comment>
    <comment ref="B612" authorId="0" shapeId="0" xr:uid="{73F65ED0-3EDC-41BA-9CC4-D1D065DA6528}">
      <text>
        <r>
          <rPr>
            <sz val="10"/>
            <color indexed="81"/>
            <rFont val="Lucida Console"/>
            <family val="3"/>
          </rPr>
          <t>DESCRIÇÃO DETALHADA_x000D_
REGISTRO DE GAVETA EM LIGA DE COBRE DE 3/4" C/ CANOPLA</t>
        </r>
      </text>
    </comment>
    <comment ref="G612" authorId="0" shapeId="0" xr:uid="{FF11800C-2F91-4796-A6A6-52FC4AE73D69}">
      <text>
        <r>
          <rPr>
            <sz val="10"/>
            <color indexed="81"/>
            <rFont val="Lucida Console"/>
            <family val="3"/>
          </rPr>
          <t>_x000D_
Últ estimativa : 150_x000D_
Enviada em     : 24.11.2020_x000D_
Ata - Venc     : 87/20 - 31.03.2021</t>
        </r>
      </text>
    </comment>
    <comment ref="O612" authorId="0" shapeId="0" xr:uid="{18950EB0-FDB8-441D-A0D4-E5636041CBA1}">
      <text>
        <r>
          <rPr>
            <sz val="10"/>
            <color indexed="81"/>
            <rFont val="Lucida Console"/>
            <family val="3"/>
          </rPr>
          <t>_x000D_
Pertencia a ATA nº 87/20_x000D_
Estimativa de Renovação enviada em 24.11.2020 - Qtd 150_x000D_
PE  10/20 lote 16_x000D_
30.04.20 = Processo conferido, finalizado.</t>
        </r>
      </text>
    </comment>
    <comment ref="W612" authorId="0" shapeId="0" xr:uid="{370BA3DD-1846-461E-ADC7-C942966E1384}">
      <text>
        <r>
          <rPr>
            <sz val="10"/>
            <color indexed="81"/>
            <rFont val="Lucida Console"/>
            <family val="3"/>
          </rPr>
          <t>_x000D_
DM-Hidráulica</t>
        </r>
      </text>
    </comment>
    <comment ref="X612" authorId="0" shapeId="0" xr:uid="{45454D5E-A283-4AC4-8248-24C15E3A5A30}">
      <text>
        <r>
          <rPr>
            <sz val="10"/>
            <color indexed="81"/>
            <rFont val="Lucida Console"/>
            <family val="3"/>
          </rPr>
          <t>_x000D_
MATERIAL HIDRAULICO, CANOS, TUBOS, MANGUEIRAS, CONEXOES E ACESS.</t>
        </r>
      </text>
    </comment>
    <comment ref="Y612" authorId="0" shapeId="0" xr:uid="{B8AACD7F-E3ED-4C9D-B1A6-3C74F0E70D03}">
      <text>
        <r>
          <rPr>
            <sz val="10"/>
            <color indexed="81"/>
            <rFont val="Lucida Console"/>
            <family val="3"/>
          </rPr>
          <t>_x000D_
REGISTROS VALVULAS E BOIAS</t>
        </r>
      </text>
    </comment>
    <comment ref="AW612" authorId="0" shapeId="0" xr:uid="{75D7E648-D249-488B-A124-A4FDCCE4EAD8}">
      <text>
        <r>
          <rPr>
            <sz val="10"/>
            <color indexed="81"/>
            <rFont val="Lucida Console"/>
            <family val="3"/>
          </rPr>
          <t>Tempo de Estoque (Meses)_x000D_
_x000D_
164,0</t>
        </r>
      </text>
    </comment>
    <comment ref="A613" authorId="0" shapeId="0" xr:uid="{B04065F6-2FAB-4CAD-B61C-DE8D196D508A}">
      <text>
        <r>
          <rPr>
            <sz val="10"/>
            <color indexed="81"/>
            <rFont val="Lucida Console"/>
            <family val="3"/>
          </rPr>
          <t>_x000D_
80385</t>
        </r>
      </text>
    </comment>
    <comment ref="B613" authorId="0" shapeId="0" xr:uid="{5167D0A4-5E6F-48CE-80B3-CBB3C26D1B70}">
      <text>
        <r>
          <rPr>
            <sz val="10"/>
            <color indexed="81"/>
            <rFont val="Lucida Console"/>
            <family val="3"/>
          </rPr>
          <t>DESCRIÇÃO DETALHADA_x000D_
CONJUNTO DE CRUZETA, MOLA E PARAFUSO PARA VALVULA DE DESCARGA</t>
        </r>
      </text>
    </comment>
    <comment ref="G613" authorId="0" shapeId="0" xr:uid="{1ADC57B0-8302-4C1D-9988-BEAE14F097FD}">
      <text>
        <r>
          <rPr>
            <sz val="10"/>
            <color indexed="81"/>
            <rFont val="Lucida Console"/>
            <family val="3"/>
          </rPr>
          <t>_x000D_
Últ estimativa : 50_x000D_
Enviada em     : 24.11.2020_x000D_
Ata - Venc     : 87/20 - 31.03.2021</t>
        </r>
      </text>
    </comment>
    <comment ref="O613" authorId="0" shapeId="0" xr:uid="{121BD140-3522-46E9-9EAD-6077E27B8198}">
      <text>
        <r>
          <rPr>
            <sz val="10"/>
            <color indexed="81"/>
            <rFont val="Lucida Console"/>
            <family val="3"/>
          </rPr>
          <t>_x000D_
Pertencia a ATA nº 87/20_x000D_
Estimativa de Renovação enviada em 24.11.2020 - Qtd 50_x000D_
PE  10/20 lote 43_x000D_
30.04.20 = Processo conferido, finalizado.</t>
        </r>
      </text>
    </comment>
    <comment ref="W613" authorId="0" shapeId="0" xr:uid="{F30A2E5F-3D22-4102-9CCA-6559E0F5CFB1}">
      <text>
        <r>
          <rPr>
            <sz val="10"/>
            <color indexed="81"/>
            <rFont val="Lucida Console"/>
            <family val="3"/>
          </rPr>
          <t>_x000D_
DM-Hidráulica</t>
        </r>
      </text>
    </comment>
    <comment ref="X613" authorId="0" shapeId="0" xr:uid="{D48B1425-6FE2-4071-8E90-0CB84CE16FDF}">
      <text>
        <r>
          <rPr>
            <sz val="10"/>
            <color indexed="81"/>
            <rFont val="Lucida Console"/>
            <family val="3"/>
          </rPr>
          <t>_x000D_
MATERIAL HIDRAULICO, CANOS, TUBOS, MANGUEIRAS, CONEXOES E ACESS.</t>
        </r>
      </text>
    </comment>
    <comment ref="Y613" authorId="0" shapeId="0" xr:uid="{7BF13381-FBC6-486F-9BD9-230C5B4F48B1}">
      <text>
        <r>
          <rPr>
            <sz val="10"/>
            <color indexed="81"/>
            <rFont val="Lucida Console"/>
            <family val="3"/>
          </rPr>
          <t>_x000D_
REGISTROS VALVULAS E BOIAS</t>
        </r>
      </text>
    </comment>
    <comment ref="AW613" authorId="0" shapeId="0" xr:uid="{2D50F2CD-3390-460F-A1E3-1D948F9A43FC}">
      <text>
        <r>
          <rPr>
            <sz val="10"/>
            <color indexed="81"/>
            <rFont val="Lucida Console"/>
            <family val="3"/>
          </rPr>
          <t>Tempo de Estoque (Meses)_x000D_
_x000D_
50,0</t>
        </r>
      </text>
    </comment>
    <comment ref="A614" authorId="0" shapeId="0" xr:uid="{145BCFFD-E14B-445C-BB28-55A8FD534CED}">
      <text>
        <r>
          <rPr>
            <sz val="10"/>
            <color indexed="81"/>
            <rFont val="Lucida Console"/>
            <family val="3"/>
          </rPr>
          <t>_x000D_
80390</t>
        </r>
      </text>
    </comment>
    <comment ref="B614" authorId="0" shapeId="0" xr:uid="{DDB65365-78EB-4C10-BF5E-967DFA65623A}">
      <text>
        <r>
          <rPr>
            <sz val="10"/>
            <color indexed="81"/>
            <rFont val="Lucida Console"/>
            <family val="3"/>
          </rPr>
          <t>DESCRIÇÃO DETALHADA_x000D_
VALVULA AMERICANA 3 1/2" X 1 1/2" EM INOX</t>
        </r>
      </text>
    </comment>
    <comment ref="G614" authorId="0" shapeId="0" xr:uid="{F605FD5C-BBF5-43C1-9855-A717A05E13C8}">
      <text>
        <r>
          <rPr>
            <sz val="10"/>
            <color indexed="81"/>
            <rFont val="Lucida Console"/>
            <family val="3"/>
          </rPr>
          <t>_x000D_
Últ estimativa : 150_x000D_
Enviada em     : 24.11.2020_x000D_
Ata - Venc     : 87/20 - 31.03.2021</t>
        </r>
      </text>
    </comment>
    <comment ref="O614" authorId="0" shapeId="0" xr:uid="{5C003013-E13F-44D6-9D89-8E1B99F5D825}">
      <text>
        <r>
          <rPr>
            <sz val="10"/>
            <color indexed="81"/>
            <rFont val="Lucida Console"/>
            <family val="3"/>
          </rPr>
          <t xml:space="preserve">_x000D_
Pertencia a ATA nº 87/20_x000D_
Estimativa de Renovação enviada em 24.11.2020 - Qtd 150_x000D_
PE 182/21 lote _x000D_
 = </t>
        </r>
      </text>
    </comment>
    <comment ref="W614" authorId="0" shapeId="0" xr:uid="{40A6D78A-940A-4F11-986D-A1D4F09B74F7}">
      <text>
        <r>
          <rPr>
            <sz val="10"/>
            <color indexed="81"/>
            <rFont val="Lucida Console"/>
            <family val="3"/>
          </rPr>
          <t>_x000D_
DM-Hidráulica</t>
        </r>
      </text>
    </comment>
    <comment ref="X614" authorId="0" shapeId="0" xr:uid="{0377E91E-6E9D-4D9D-80D9-36D1F4D3F249}">
      <text>
        <r>
          <rPr>
            <sz val="10"/>
            <color indexed="81"/>
            <rFont val="Lucida Console"/>
            <family val="3"/>
          </rPr>
          <t>_x000D_
MATERIAL HIDRAULICO, CANOS, TUBOS, MANGUEIRAS, CONEXOES E ACESS.</t>
        </r>
      </text>
    </comment>
    <comment ref="Y614" authorId="0" shapeId="0" xr:uid="{A5F1D6FA-C1EF-4551-81E1-8377F72E4247}">
      <text>
        <r>
          <rPr>
            <sz val="10"/>
            <color indexed="81"/>
            <rFont val="Lucida Console"/>
            <family val="3"/>
          </rPr>
          <t>_x000D_
REGISTROS VALVULAS E BOIAS</t>
        </r>
      </text>
    </comment>
    <comment ref="AW614" authorId="0" shapeId="0" xr:uid="{4C48DBB4-572E-4588-8F2A-303FAD43754B}">
      <text>
        <r>
          <rPr>
            <sz val="10"/>
            <color indexed="81"/>
            <rFont val="Lucida Console"/>
            <family val="3"/>
          </rPr>
          <t>Tempo de Estoque (Meses)_x000D_
_x000D_
75,0</t>
        </r>
      </text>
    </comment>
    <comment ref="A615" authorId="0" shapeId="0" xr:uid="{610B9CC1-CE54-43D1-8F4E-AB2AC208B698}">
      <text>
        <r>
          <rPr>
            <sz val="10"/>
            <color indexed="81"/>
            <rFont val="Lucida Console"/>
            <family val="3"/>
          </rPr>
          <t>_x000D_
81807</t>
        </r>
      </text>
    </comment>
    <comment ref="B615" authorId="0" shapeId="0" xr:uid="{0FF9AAA3-CCA7-49D8-8C21-68C354BCDCAE}">
      <text>
        <r>
          <rPr>
            <sz val="10"/>
            <color indexed="81"/>
            <rFont val="Lucida Console"/>
            <family val="3"/>
          </rPr>
          <t>DESCRIÇÃO DETALHADA_x000D_
REPARO PARA VALVULA HYDRA LUXO - REF. 4686924</t>
        </r>
      </text>
    </comment>
    <comment ref="G615" authorId="0" shapeId="0" xr:uid="{8815F2BB-D853-495E-987E-35CCA66BD4E8}">
      <text>
        <r>
          <rPr>
            <sz val="10"/>
            <color indexed="81"/>
            <rFont val="Lucida Console"/>
            <family val="3"/>
          </rPr>
          <t>_x000D_
Últ estimativa : 50_x000D_
Enviada em     : 24.11.2020_x000D_
Ata - Venc     : 87/20 - 31.03.2021</t>
        </r>
      </text>
    </comment>
    <comment ref="O615" authorId="0" shapeId="0" xr:uid="{EAB52663-232A-451E-8B7E-4F237B037A85}">
      <text>
        <r>
          <rPr>
            <sz val="10"/>
            <color indexed="81"/>
            <rFont val="Lucida Console"/>
            <family val="3"/>
          </rPr>
          <t xml:space="preserve">_x000D_
Pertencia a ATA nº 87/20_x000D_
Estimativa de Renovação enviada em 24.11.2020 - Qtd 50_x000D_
PE 182/21 lote _x000D_
 = </t>
        </r>
      </text>
    </comment>
    <comment ref="W615" authorId="0" shapeId="0" xr:uid="{EADDEEFD-EA89-4E30-BA37-AFA86818ED38}">
      <text>
        <r>
          <rPr>
            <sz val="10"/>
            <color indexed="81"/>
            <rFont val="Lucida Console"/>
            <family val="3"/>
          </rPr>
          <t>_x000D_
DM-Hidráulica</t>
        </r>
      </text>
    </comment>
    <comment ref="X615" authorId="0" shapeId="0" xr:uid="{552FA39A-E0B0-4EC5-AF74-AFA77580F3B1}">
      <text>
        <r>
          <rPr>
            <sz val="10"/>
            <color indexed="81"/>
            <rFont val="Lucida Console"/>
            <family val="3"/>
          </rPr>
          <t>_x000D_
MATERIAL HIDRAULICO, CANOS, TUBOS, MANGUEIRAS, CONEXOES E ACESS.</t>
        </r>
      </text>
    </comment>
    <comment ref="Y615" authorId="0" shapeId="0" xr:uid="{2AD288C4-040D-4253-B9C8-F6A54177D29B}">
      <text>
        <r>
          <rPr>
            <sz val="10"/>
            <color indexed="81"/>
            <rFont val="Lucida Console"/>
            <family val="3"/>
          </rPr>
          <t>_x000D_
REGISTROS VALVULAS E BOIAS</t>
        </r>
      </text>
    </comment>
    <comment ref="AW615" authorId="0" shapeId="0" xr:uid="{F0F99AF3-6890-4E42-A8D1-DAFB9F8D4746}">
      <text>
        <r>
          <rPr>
            <sz val="10"/>
            <color indexed="81"/>
            <rFont val="Lucida Console"/>
            <family val="3"/>
          </rPr>
          <t>Tempo de Estoque (Meses)_x000D_
_x000D_
31,0</t>
        </r>
      </text>
    </comment>
    <comment ref="A616" authorId="0" shapeId="0" xr:uid="{6A553393-C2A4-4C89-B215-7D970DC191C3}">
      <text>
        <r>
          <rPr>
            <sz val="10"/>
            <color indexed="81"/>
            <rFont val="Lucida Console"/>
            <family val="3"/>
          </rPr>
          <t>_x000D_
81808</t>
        </r>
      </text>
    </comment>
    <comment ref="B616" authorId="0" shapeId="0" xr:uid="{E2E8DD03-4BF1-43FF-B117-B047B3885BB4}">
      <text>
        <r>
          <rPr>
            <sz val="10"/>
            <color indexed="81"/>
            <rFont val="Lucida Console"/>
            <family val="3"/>
          </rPr>
          <t>DESCRIÇÃO DETALHADA_x000D_
REPARO ACIONADOR PARA VALVULA DE DESCARGA HYDRA LUXO - REF. 4336004</t>
        </r>
      </text>
    </comment>
    <comment ref="G616" authorId="0" shapeId="0" xr:uid="{CE8520BC-86E9-4D56-ACCE-C138843BD427}">
      <text>
        <r>
          <rPr>
            <sz val="10"/>
            <color indexed="81"/>
            <rFont val="Lucida Console"/>
            <family val="3"/>
          </rPr>
          <t>_x000D_
Últ estimativa : 20_x000D_
Enviada em     : 24.11.2020_x000D_
Ata - Venc     : 87/20 - 31.03.2021</t>
        </r>
      </text>
    </comment>
    <comment ref="O616" authorId="0" shapeId="0" xr:uid="{66AABC4C-B59E-47C7-898D-2208705431C0}">
      <text>
        <r>
          <rPr>
            <sz val="10"/>
            <color indexed="81"/>
            <rFont val="Lucida Console"/>
            <family val="3"/>
          </rPr>
          <t>_x000D_
Pertencia a ATA nº 87/20_x000D_
Estimativa de Renovação enviada em 24.11.2020 - Qtd 20_x000D_
PE  10/20 lote _x000D_
30.04.20 = Processo conferido, finalizado.</t>
        </r>
      </text>
    </comment>
    <comment ref="W616" authorId="0" shapeId="0" xr:uid="{0A5C4C29-BDCB-4D54-B777-0F09A9E32092}">
      <text>
        <r>
          <rPr>
            <sz val="10"/>
            <color indexed="81"/>
            <rFont val="Lucida Console"/>
            <family val="3"/>
          </rPr>
          <t>_x000D_
DM-Hidráulica</t>
        </r>
      </text>
    </comment>
    <comment ref="X616" authorId="0" shapeId="0" xr:uid="{151CBCF0-8A96-48AC-A6C7-3C2B7FC4337F}">
      <text>
        <r>
          <rPr>
            <sz val="10"/>
            <color indexed="81"/>
            <rFont val="Lucida Console"/>
            <family val="3"/>
          </rPr>
          <t>_x000D_
MATERIAL HIDRAULICO, CANOS, TUBOS, MANGUEIRAS, CONEXOES E ACESS.</t>
        </r>
      </text>
    </comment>
    <comment ref="Y616" authorId="0" shapeId="0" xr:uid="{064B987C-A8B2-4DB4-A03C-D8790937F16E}">
      <text>
        <r>
          <rPr>
            <sz val="10"/>
            <color indexed="81"/>
            <rFont val="Lucida Console"/>
            <family val="3"/>
          </rPr>
          <t>_x000D_
REGISTROS VALVULAS E BOIAS</t>
        </r>
      </text>
    </comment>
    <comment ref="AW616" authorId="0" shapeId="0" xr:uid="{C158DC1B-4241-419A-A08A-BE4E2E567672}">
      <text>
        <r>
          <rPr>
            <sz val="10"/>
            <color indexed="81"/>
            <rFont val="Lucida Console"/>
            <family val="3"/>
          </rPr>
          <t>Tempo de Estoque (Meses)_x000D_
_x000D_
36,0</t>
        </r>
      </text>
    </comment>
    <comment ref="A617" authorId="0" shapeId="0" xr:uid="{61D6EE92-6925-4222-8119-AA94DCCEBC29}">
      <text>
        <r>
          <rPr>
            <sz val="10"/>
            <color indexed="81"/>
            <rFont val="Lucida Console"/>
            <family val="3"/>
          </rPr>
          <t>_x000D_
95209</t>
        </r>
      </text>
    </comment>
    <comment ref="B617" authorId="0" shapeId="0" xr:uid="{FB886A7E-C5AF-4819-A497-D4F043875196}">
      <text>
        <r>
          <rPr>
            <sz val="10"/>
            <color indexed="81"/>
            <rFont val="Lucida Console"/>
            <family val="3"/>
          </rPr>
          <t>DESCRIÇÃO DETALHADA_x000D_
VALVULA EM PVC PARA LAVATORIO 1" SEM LADRAO</t>
        </r>
      </text>
    </comment>
    <comment ref="G617" authorId="0" shapeId="0" xr:uid="{32242E3B-0510-495D-A5D1-1DD4F22C854F}">
      <text>
        <r>
          <rPr>
            <sz val="10"/>
            <color indexed="81"/>
            <rFont val="Lucida Console"/>
            <family val="3"/>
          </rPr>
          <t>_x000D_
Últ estimativa : 150_x000D_
Enviada em     : 24.11.2020_x000D_
Ata - Venc     : 87/20 - 31.03.2021</t>
        </r>
      </text>
    </comment>
    <comment ref="O617" authorId="0" shapeId="0" xr:uid="{9F9EA5C5-4A63-4C7D-8E1C-B0B21A7DEE09}">
      <text>
        <r>
          <rPr>
            <sz val="10"/>
            <color indexed="81"/>
            <rFont val="Lucida Console"/>
            <family val="3"/>
          </rPr>
          <t>_x000D_
Pertencia a ATA nº 87/20_x000D_
Estimativa de Renovação enviada em 24.11.2020 - Qtd 150_x000D_
PE  10/20 lote 52_x000D_
30.04.20 = Processo conferido, finalizado.</t>
        </r>
      </text>
    </comment>
    <comment ref="W617" authorId="0" shapeId="0" xr:uid="{958F8E6D-AB34-44DE-9E70-697B99B287EA}">
      <text>
        <r>
          <rPr>
            <sz val="10"/>
            <color indexed="81"/>
            <rFont val="Lucida Console"/>
            <family val="3"/>
          </rPr>
          <t>_x000D_
DM-Hidráulica</t>
        </r>
      </text>
    </comment>
    <comment ref="X617" authorId="0" shapeId="0" xr:uid="{45A69A78-02D0-4314-A28C-F9B8A6D0FA56}">
      <text>
        <r>
          <rPr>
            <sz val="10"/>
            <color indexed="81"/>
            <rFont val="Lucida Console"/>
            <family val="3"/>
          </rPr>
          <t>_x000D_
MATERIAL HIDRAULICO, CANOS, TUBOS, MANGUEIRAS, CONEXOES E ACESS.</t>
        </r>
      </text>
    </comment>
    <comment ref="Y617" authorId="0" shapeId="0" xr:uid="{BCFD1901-BC58-455D-9862-E1C2754AA4E3}">
      <text>
        <r>
          <rPr>
            <sz val="10"/>
            <color indexed="81"/>
            <rFont val="Lucida Console"/>
            <family val="3"/>
          </rPr>
          <t>_x000D_
REGISTROS VALVULAS E BOIAS</t>
        </r>
      </text>
    </comment>
    <comment ref="AW617" authorId="0" shapeId="0" xr:uid="{436BDAFF-F02A-4E4C-99A0-F1576748D41D}">
      <text>
        <r>
          <rPr>
            <sz val="10"/>
            <color indexed="81"/>
            <rFont val="Lucida Console"/>
            <family val="3"/>
          </rPr>
          <t>Tempo de Estoque (Meses)_x000D_
_x000D_
113,0</t>
        </r>
      </text>
    </comment>
    <comment ref="A618" authorId="0" shapeId="0" xr:uid="{2EECE457-8198-4139-991E-1CCCA9936D3C}">
      <text>
        <r>
          <rPr>
            <sz val="10"/>
            <color indexed="81"/>
            <rFont val="Lucida Console"/>
            <family val="3"/>
          </rPr>
          <t>_x000D_
59069</t>
        </r>
      </text>
    </comment>
    <comment ref="B618" authorId="0" shapeId="0" xr:uid="{EAC6D87E-9EA0-43D0-9B22-E2130086736C}">
      <text>
        <r>
          <rPr>
            <sz val="10"/>
            <color indexed="81"/>
            <rFont val="Lucida Console"/>
            <family val="3"/>
          </rPr>
          <t>DESCRIÇÃO DETALHADA_x000D_
TE DE REDUCAO EM PVC SOLDAVEL, ROSCA, DE 25 MM - 1/2" - AZUL</t>
        </r>
      </text>
    </comment>
    <comment ref="G618" authorId="0" shapeId="0" xr:uid="{A4440626-FED4-4D86-9C37-AB9528ECB4B7}">
      <text>
        <r>
          <rPr>
            <sz val="10"/>
            <color indexed="81"/>
            <rFont val="Lucida Console"/>
            <family val="3"/>
          </rPr>
          <t>_x000D_
Últ estimativa : 200_x000D_
Enviada em     : 24.11.2020_x000D_
Ata - Venc     : 87/20 - 31.03.2021</t>
        </r>
      </text>
    </comment>
    <comment ref="O618" authorId="0" shapeId="0" xr:uid="{7224FE08-320A-4303-A71F-CBD5BCD089D3}">
      <text>
        <r>
          <rPr>
            <sz val="10"/>
            <color indexed="81"/>
            <rFont val="Lucida Console"/>
            <family val="3"/>
          </rPr>
          <t>_x000D_
Pertencia a ATA nº 87/20_x000D_
Estimativa de Renovação enviada em 24.11.2020 - Qtd 200_x000D_
PE  10/20 lote _x000D_
30.04.20 = Processo conferido, finalizado.</t>
        </r>
      </text>
    </comment>
    <comment ref="W618" authorId="0" shapeId="0" xr:uid="{07D12B5B-9B10-4DD3-AE60-8986AF650758}">
      <text>
        <r>
          <rPr>
            <sz val="10"/>
            <color indexed="81"/>
            <rFont val="Lucida Console"/>
            <family val="3"/>
          </rPr>
          <t>_x000D_
DM-Hidráulica</t>
        </r>
      </text>
    </comment>
    <comment ref="X618" authorId="0" shapeId="0" xr:uid="{0D86613A-4403-4A37-A1D5-B7A9A7BDED8A}">
      <text>
        <r>
          <rPr>
            <sz val="10"/>
            <color indexed="81"/>
            <rFont val="Lucida Console"/>
            <family val="3"/>
          </rPr>
          <t>_x000D_
MATERIAL HIDRAULICO, CANOS, TUBOS, MANGUEIRAS, CONEXOES E ACESS.</t>
        </r>
      </text>
    </comment>
    <comment ref="Y618" authorId="0" shapeId="0" xr:uid="{8D6F4365-152D-475B-A85C-F36616D8082B}">
      <text>
        <r>
          <rPr>
            <sz val="10"/>
            <color indexed="81"/>
            <rFont val="Lucida Console"/>
            <family val="3"/>
          </rPr>
          <t>_x000D_
ADAP. LUVAS.TES CURVAS COTOVELOS PLUGS FLANGES.....</t>
        </r>
      </text>
    </comment>
    <comment ref="AW618" authorId="0" shapeId="0" xr:uid="{1AB3F5D9-1A15-4FD4-89AC-D70952A38CEE}">
      <text>
        <r>
          <rPr>
            <sz val="10"/>
            <color indexed="81"/>
            <rFont val="Lucida Console"/>
            <family val="3"/>
          </rPr>
          <t>Tempo de Estoque (Meses)_x000D_
_x000D_
117,0</t>
        </r>
      </text>
    </comment>
    <comment ref="A619" authorId="0" shapeId="0" xr:uid="{1FF08399-1D3A-4E4A-A65E-83F181A0ED40}">
      <text>
        <r>
          <rPr>
            <sz val="10"/>
            <color indexed="81"/>
            <rFont val="Lucida Console"/>
            <family val="3"/>
          </rPr>
          <t>_x000D_
102588</t>
        </r>
      </text>
    </comment>
    <comment ref="B619" authorId="0" shapeId="0" xr:uid="{72425082-EAFD-40BC-980E-CD2D866D9391}">
      <text>
        <r>
          <rPr>
            <sz val="10"/>
            <color indexed="81"/>
            <rFont val="Lucida Console"/>
            <family val="3"/>
          </rPr>
          <t>DESCRIÇÃO DETALHADA_x000D_
GRELHA P/RALO EM INOX, 100MM (4"), COM DISPOSITIVO DE VEDACAO P/INSETOS</t>
        </r>
      </text>
    </comment>
    <comment ref="G619" authorId="0" shapeId="0" xr:uid="{C0EBE639-BDC1-4FA0-87A3-90387D6FB39C}">
      <text>
        <r>
          <rPr>
            <sz val="10"/>
            <color indexed="81"/>
            <rFont val="Lucida Console"/>
            <family val="3"/>
          </rPr>
          <t>_x000D_
Últ estimativa : 0_x000D_
Enviada em     : 24.11.2020_x000D_
Ata - Venc     : 87/20 - 31.03.2021</t>
        </r>
      </text>
    </comment>
    <comment ref="O619" authorId="0" shapeId="0" xr:uid="{58CD85E9-06EC-4D96-A908-D63025BA1FD5}">
      <text>
        <r>
          <rPr>
            <sz val="10"/>
            <color indexed="81"/>
            <rFont val="Lucida Console"/>
            <family val="3"/>
          </rPr>
          <t xml:space="preserve">_x000D_
Pertencia a ATA nº 87/20_x000D_
Estimativa de Renovação enviada em 24.11.2020 - Qtd _x000D_
PE 182/21 lote _x000D_
 = </t>
        </r>
      </text>
    </comment>
    <comment ref="W619" authorId="0" shapeId="0" xr:uid="{DAF8939B-8F39-4C61-906D-0EEC431CE16A}">
      <text>
        <r>
          <rPr>
            <sz val="10"/>
            <color indexed="81"/>
            <rFont val="Lucida Console"/>
            <family val="3"/>
          </rPr>
          <t>_x000D_
DM-Hidráulica</t>
        </r>
      </text>
    </comment>
    <comment ref="X619" authorId="0" shapeId="0" xr:uid="{199D12C8-6822-4508-A032-17F92BFFD20C}">
      <text>
        <r>
          <rPr>
            <sz val="10"/>
            <color indexed="81"/>
            <rFont val="Lucida Console"/>
            <family val="3"/>
          </rPr>
          <t>_x000D_
MATERIAL HIDRAULICO, CANOS, TUBOS, MANGUEIRAS, CONEXOES E ACESS.</t>
        </r>
      </text>
    </comment>
    <comment ref="Y619" authorId="0" shapeId="0" xr:uid="{5070F555-B9A2-4CEE-9ABE-47E17E833D72}">
      <text>
        <r>
          <rPr>
            <sz val="10"/>
            <color indexed="81"/>
            <rFont val="Lucida Console"/>
            <family val="3"/>
          </rPr>
          <t>_x000D_
RALOS SIFOES E CAIXAS</t>
        </r>
      </text>
    </comment>
    <comment ref="AW619" authorId="0" shapeId="0" xr:uid="{77C51657-C4AA-4D40-A82C-EAD6B8B02705}">
      <text>
        <r>
          <rPr>
            <sz val="10"/>
            <color indexed="81"/>
            <rFont val="Lucida Console"/>
            <family val="3"/>
          </rPr>
          <t>Tempo de Estoque (Meses)_x000D_
_x000D_
500,0</t>
        </r>
      </text>
    </comment>
    <comment ref="A620" authorId="0" shapeId="0" xr:uid="{7F5ED675-6C16-4F0B-B3C2-4BE81AF575ED}">
      <text>
        <r>
          <rPr>
            <sz val="10"/>
            <color indexed="81"/>
            <rFont val="Lucida Console"/>
            <family val="3"/>
          </rPr>
          <t>_x000D_
13186</t>
        </r>
      </text>
    </comment>
    <comment ref="B620" authorId="0" shapeId="0" xr:uid="{C6CA26E7-06EB-4B80-8469-B698BF86608D}">
      <text>
        <r>
          <rPr>
            <sz val="10"/>
            <color indexed="81"/>
            <rFont val="Lucida Console"/>
            <family val="3"/>
          </rPr>
          <t>DESCRIÇÃO DETALHADA_x000D_
COLA P/ MADEIRA - 1 LITRO</t>
        </r>
      </text>
    </comment>
    <comment ref="G620" authorId="0" shapeId="0" xr:uid="{B0444F0A-251B-400F-8A8D-15176ADB45ED}">
      <text>
        <r>
          <rPr>
            <sz val="10"/>
            <color indexed="81"/>
            <rFont val="Lucida Console"/>
            <family val="3"/>
          </rPr>
          <t>_x000D_
Últ estimativa : 100_x000D_
Enviada em     : 17.12.2020_x000D_
Ata - Venc     : 88/20 - 01.04.2021</t>
        </r>
      </text>
    </comment>
    <comment ref="O620" authorId="0" shapeId="0" xr:uid="{68E467A3-6A3A-4A96-AFB8-4AA5F96F75CD}">
      <text>
        <r>
          <rPr>
            <sz val="10"/>
            <color indexed="81"/>
            <rFont val="Lucida Console"/>
            <family val="3"/>
          </rPr>
          <t>_x000D_
Pertencia a ATA nº 88/20_x000D_
Estimativa de Renovação enviada em 17.12.2020 - Qtd 100_x000D_
PE   6/20 lote 5_x000D_
28.04.21 = Processo conferido, finalizado.</t>
        </r>
      </text>
    </comment>
    <comment ref="W620" authorId="0" shapeId="0" xr:uid="{B6CF765D-0ADD-4C6A-945B-21FDE6F34B1F}">
      <text>
        <r>
          <rPr>
            <sz val="10"/>
            <color indexed="81"/>
            <rFont val="Lucida Console"/>
            <family val="3"/>
          </rPr>
          <t>_x000D_
DM-Marcenaria</t>
        </r>
      </text>
    </comment>
    <comment ref="X620" authorId="0" shapeId="0" xr:uid="{4A587667-8364-438A-A2CE-222F0A3D78CA}">
      <text>
        <r>
          <rPr>
            <sz val="10"/>
            <color indexed="81"/>
            <rFont val="Lucida Console"/>
            <family val="3"/>
          </rPr>
          <t>_x000D_
MADEIRAS,LAMINADOS,COMPENSADOS E AGLOMERADOS</t>
        </r>
      </text>
    </comment>
    <comment ref="Y620" authorId="0" shapeId="0" xr:uid="{699872FA-F9EA-42F8-A02B-22B31532C9AB}">
      <text>
        <r>
          <rPr>
            <sz val="10"/>
            <color indexed="81"/>
            <rFont val="Lucida Console"/>
            <family val="3"/>
          </rPr>
          <t>_x000D_
ADESIVOS ESPECIFICOS PARA MADEIRA</t>
        </r>
      </text>
    </comment>
    <comment ref="AW620" authorId="0" shapeId="0" xr:uid="{E8C04C40-F089-412B-94D8-04D44829D76B}">
      <text>
        <r>
          <rPr>
            <sz val="10"/>
            <color indexed="81"/>
            <rFont val="Lucida Console"/>
            <family val="3"/>
          </rPr>
          <t>Tempo de Estoque (Meses)_x000D_
_x000D_
90,0</t>
        </r>
      </text>
    </comment>
    <comment ref="A621" authorId="0" shapeId="0" xr:uid="{12E2E3A1-69A7-48EA-95F5-4793C7FD1EC9}">
      <text>
        <r>
          <rPr>
            <sz val="10"/>
            <color indexed="81"/>
            <rFont val="Lucida Console"/>
            <family val="3"/>
          </rPr>
          <t>_x000D_
12856</t>
        </r>
      </text>
    </comment>
    <comment ref="B621" authorId="0" shapeId="0" xr:uid="{152AA7A3-6BF5-4E49-A4B2-20A20E153C9B}">
      <text>
        <r>
          <rPr>
            <sz val="10"/>
            <color indexed="81"/>
            <rFont val="Lucida Console"/>
            <family val="3"/>
          </rPr>
          <t>DESCRIÇÃO DETALHADA_x000D_
TRINCHA PARA PINTURA - 2", COM CERDAS 100% NATURAIS</t>
        </r>
      </text>
    </comment>
    <comment ref="G621" authorId="0" shapeId="0" xr:uid="{87017671-E90B-447C-B47D-99E7CFCB5873}">
      <text>
        <r>
          <rPr>
            <sz val="10"/>
            <color indexed="81"/>
            <rFont val="Lucida Console"/>
            <family val="3"/>
          </rPr>
          <t>_x000D_
Últ estimativa : 4.500_x000D_
Enviada em     : 17.12.2020_x000D_
Ata - Venc     : 88/20 - 01.04.2021</t>
        </r>
      </text>
    </comment>
    <comment ref="O621" authorId="0" shapeId="0" xr:uid="{CAA6503D-1CEF-4DE4-9AA4-5AFA19054673}">
      <text>
        <r>
          <rPr>
            <sz val="10"/>
            <color indexed="81"/>
            <rFont val="Lucida Console"/>
            <family val="3"/>
          </rPr>
          <t>_x000D_
Pertencia a ATA nº 88/20_x000D_
Estimativa de Renovação enviada em 17.12.2020 - Qtd 4.500_x000D_
PE   6/20 lote 3_x000D_
28.04.21 = Processo conferido, finalizado.</t>
        </r>
      </text>
    </comment>
    <comment ref="W621" authorId="0" shapeId="0" xr:uid="{AA1D562C-95BE-41A5-A87D-11AB2412365A}">
      <text>
        <r>
          <rPr>
            <sz val="10"/>
            <color indexed="81"/>
            <rFont val="Lucida Console"/>
            <family val="3"/>
          </rPr>
          <t>_x000D_
DM-Pintura</t>
        </r>
      </text>
    </comment>
    <comment ref="X621" authorId="0" shapeId="0" xr:uid="{6546599D-1866-4579-B505-7E1158284A8B}">
      <text>
        <r>
          <rPr>
            <sz val="10"/>
            <color indexed="81"/>
            <rFont val="Lucida Console"/>
            <family val="3"/>
          </rPr>
          <t>_x000D_
EQUIP. E MATERIAIS P/PINTURAS E IMPERMEABILIZACAO</t>
        </r>
      </text>
    </comment>
    <comment ref="Y621" authorId="0" shapeId="0" xr:uid="{BE6818FC-A496-49AA-8F34-3BC0DB0010A5}">
      <text>
        <r>
          <rPr>
            <sz val="10"/>
            <color indexed="81"/>
            <rFont val="Lucida Console"/>
            <family val="3"/>
          </rPr>
          <t>_x000D_
MATERIAIS PARA PINTURA</t>
        </r>
      </text>
    </comment>
    <comment ref="AW621" authorId="0" shapeId="0" xr:uid="{0004A317-0622-486D-9374-AE0194792B55}">
      <text>
        <r>
          <rPr>
            <sz val="10"/>
            <color indexed="81"/>
            <rFont val="Lucida Console"/>
            <family val="3"/>
          </rPr>
          <t>Tempo de Estoque (Meses)_x000D_
_x000D_
5.644,0</t>
        </r>
      </text>
    </comment>
    <comment ref="A622" authorId="0" shapeId="0" xr:uid="{133CFC5D-E6CC-46C0-B53A-54B97955A035}">
      <text>
        <r>
          <rPr>
            <sz val="10"/>
            <color indexed="81"/>
            <rFont val="Lucida Console"/>
            <family val="3"/>
          </rPr>
          <t>_x000D_
17562</t>
        </r>
      </text>
    </comment>
    <comment ref="B622" authorId="0" shapeId="0" xr:uid="{C071B05F-D05D-45F7-8C78-6CC2C919AAE9}">
      <text>
        <r>
          <rPr>
            <sz val="10"/>
            <color indexed="81"/>
            <rFont val="Lucida Console"/>
            <family val="3"/>
          </rPr>
          <t>DESCRIÇÃO DETALHADA_x000D_
DISCO DE DESBASTE 7" X 1/4" X 7/8" - CONFORME NORMAS DA ABNT</t>
        </r>
      </text>
    </comment>
    <comment ref="G622" authorId="0" shapeId="0" xr:uid="{59B4AF4E-21D2-4FCB-89B5-D4B527D2E7BF}">
      <text>
        <r>
          <rPr>
            <sz val="10"/>
            <color indexed="81"/>
            <rFont val="Lucida Console"/>
            <family val="3"/>
          </rPr>
          <t>_x000D_
Últ estimativa : 0_x000D_
Enviada em     : 17.12.2020_x000D_
Ata - Venc     : 88/20 - 01.04.2021</t>
        </r>
      </text>
    </comment>
    <comment ref="O622" authorId="0" shapeId="0" xr:uid="{A36A2F26-994D-4EDC-8B3A-C96C00CC8FE9}">
      <text>
        <r>
          <rPr>
            <sz val="10"/>
            <color indexed="81"/>
            <rFont val="Lucida Console"/>
            <family val="3"/>
          </rPr>
          <t>_x000D_
Pertencia a ATA nº 88/20_x000D_
Estimativa de Renovação enviada em 17.12.2020 - Qtd _x000D_
PE   6/20 lote 9_x000D_
28.04.21 = Processo conferido, finalizado.</t>
        </r>
      </text>
    </comment>
    <comment ref="W622" authorId="0" shapeId="0" xr:uid="{F507A65C-698D-45F7-8E37-870D25CEAF22}">
      <text>
        <r>
          <rPr>
            <sz val="10"/>
            <color indexed="81"/>
            <rFont val="Lucida Console"/>
            <family val="3"/>
          </rPr>
          <t>_x000D_
DM-Serralheria</t>
        </r>
      </text>
    </comment>
    <comment ref="X622" authorId="0" shapeId="0" xr:uid="{DFAF9101-EDE5-4E46-8419-5B3285F91767}">
      <text>
        <r>
          <rPr>
            <sz val="10"/>
            <color indexed="81"/>
            <rFont val="Lucida Console"/>
            <family val="3"/>
          </rPr>
          <t>_x000D_
ABRASIVOS</t>
        </r>
      </text>
    </comment>
    <comment ref="Y622" authorId="0" shapeId="0" xr:uid="{8B2F3114-3E76-4B48-AF63-B9615D33C15C}">
      <text>
        <r>
          <rPr>
            <sz val="10"/>
            <color indexed="81"/>
            <rFont val="Lucida Console"/>
            <family val="3"/>
          </rPr>
          <t>_x000D_
REBOLOS RESINOIDES</t>
        </r>
      </text>
    </comment>
    <comment ref="AW622" authorId="0" shapeId="0" xr:uid="{9D309234-FC80-4417-BE29-EB4112722374}">
      <text>
        <r>
          <rPr>
            <sz val="10"/>
            <color indexed="81"/>
            <rFont val="Lucida Console"/>
            <family val="3"/>
          </rPr>
          <t>Tempo de Estoque (Meses)_x000D_
_x000D_
443,0</t>
        </r>
      </text>
    </comment>
    <comment ref="A623" authorId="0" shapeId="0" xr:uid="{5A71F499-2227-4607-8314-DCA4840E0D12}">
      <text>
        <r>
          <rPr>
            <sz val="10"/>
            <color indexed="81"/>
            <rFont val="Lucida Console"/>
            <family val="3"/>
          </rPr>
          <t>_x000D_
54144</t>
        </r>
      </text>
    </comment>
    <comment ref="B623" authorId="0" shapeId="0" xr:uid="{0379FDB9-BA24-44C7-BA9F-FD56157A9DBB}">
      <text>
        <r>
          <rPr>
            <sz val="10"/>
            <color indexed="81"/>
            <rFont val="Lucida Console"/>
            <family val="3"/>
          </rPr>
          <t>DESCRIÇÃO DETALHADA_x000D_
JUNCAO INTERNA "I" - 38 X 38 MM</t>
        </r>
      </text>
    </comment>
    <comment ref="G623" authorId="0" shapeId="0" xr:uid="{43F1299D-790F-48D0-A6C4-30B67E425F11}">
      <text>
        <r>
          <rPr>
            <sz val="10"/>
            <color indexed="81"/>
            <rFont val="Lucida Console"/>
            <family val="3"/>
          </rPr>
          <t>_x000D_
Últ estimativa : 0_x000D_
Enviada em     : 23.09.2020_x000D_
Ata - Venc     : 9/20 - 14.01.2021</t>
        </r>
      </text>
    </comment>
    <comment ref="O623" authorId="0" shapeId="0" xr:uid="{76EE4780-FB8B-4B17-9314-1552F581346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3" authorId="0" shapeId="0" xr:uid="{013BA28B-C1C3-4C89-83F5-B01C4178E137}">
      <text>
        <r>
          <rPr>
            <sz val="10"/>
            <color indexed="81"/>
            <rFont val="Lucida Console"/>
            <family val="3"/>
          </rPr>
          <t>_x000D_
DM-Elétrica</t>
        </r>
      </text>
    </comment>
    <comment ref="X623" authorId="0" shapeId="0" xr:uid="{F1338EED-7D81-4DCF-914C-FEE7D7D1F9AD}">
      <text>
        <r>
          <rPr>
            <sz val="10"/>
            <color indexed="81"/>
            <rFont val="Lucida Console"/>
            <family val="3"/>
          </rPr>
          <t>_x000D_
EQUIP. MAT. P/ GERACAO, TRANSM. DISTR. RETIF...</t>
        </r>
      </text>
    </comment>
    <comment ref="Y623" authorId="0" shapeId="0" xr:uid="{B3CF7385-ED70-4EA4-8EEA-6C716BE72727}">
      <text>
        <r>
          <rPr>
            <sz val="10"/>
            <color indexed="81"/>
            <rFont val="Lucida Console"/>
            <family val="3"/>
          </rPr>
          <t>_x000D_
ELETRODUTOS E ACESSORIOS</t>
        </r>
      </text>
    </comment>
    <comment ref="AW623" authorId="0" shapeId="0" xr:uid="{38F841E9-DC04-4EE1-9FAF-7B6363909B1F}">
      <text>
        <r>
          <rPr>
            <sz val="10"/>
            <color indexed="81"/>
            <rFont val="Lucida Console"/>
            <family val="3"/>
          </rPr>
          <t>Tempo de Estoque (Meses)_x000D_
_x000D_
381,0</t>
        </r>
      </text>
    </comment>
    <comment ref="A624" authorId="0" shapeId="0" xr:uid="{6E74EBE5-508B-42CE-BEE4-A3698EADF2D0}">
      <text>
        <r>
          <rPr>
            <sz val="10"/>
            <color indexed="81"/>
            <rFont val="Lucida Console"/>
            <family val="3"/>
          </rPr>
          <t>_x000D_
120995</t>
        </r>
      </text>
    </comment>
    <comment ref="B624" authorId="0" shapeId="0" xr:uid="{8DB1826B-2A0C-4F70-BDB8-C2CBB90A3551}">
      <text>
        <r>
          <rPr>
            <sz val="10"/>
            <color indexed="81"/>
            <rFont val="Lucida Console"/>
            <family val="3"/>
          </rPr>
          <t>DESCRIÇÃO DETALHADA_x000D_
ELETRODUTO CORRUGADO 1" - COR: AMARELA</t>
        </r>
      </text>
    </comment>
    <comment ref="G624" authorId="0" shapeId="0" xr:uid="{CDC85E7C-2D1F-4794-A291-06D83514A66B}">
      <text>
        <r>
          <rPr>
            <sz val="10"/>
            <color indexed="81"/>
            <rFont val="Lucida Console"/>
            <family val="3"/>
          </rPr>
          <t>_x000D_
Últ estimativa : 0_x000D_
Enviada em     : 23.09.2020_x000D_
Ata - Venc     : 9/20 - 14.01.2021</t>
        </r>
      </text>
    </comment>
    <comment ref="O624" authorId="0" shapeId="0" xr:uid="{34E82C0E-DA53-42BA-8606-7E974FE2025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4" authorId="0" shapeId="0" xr:uid="{DEF7C0CE-6C2F-499D-A818-8B9BA9385783}">
      <text>
        <r>
          <rPr>
            <sz val="10"/>
            <color indexed="81"/>
            <rFont val="Lucida Console"/>
            <family val="3"/>
          </rPr>
          <t>_x000D_
DM-Elétrica</t>
        </r>
      </text>
    </comment>
    <comment ref="X624" authorId="0" shapeId="0" xr:uid="{704CA571-87B9-4A86-A76E-92D39C5FE2BC}">
      <text>
        <r>
          <rPr>
            <sz val="10"/>
            <color indexed="81"/>
            <rFont val="Lucida Console"/>
            <family val="3"/>
          </rPr>
          <t>_x000D_
EQUIP. MAT. P/ GERACAO, TRANSM. DISTR. RETIF...</t>
        </r>
      </text>
    </comment>
    <comment ref="Y624" authorId="0" shapeId="0" xr:uid="{FF73F9E1-E123-417F-841C-E89DC8A501E2}">
      <text>
        <r>
          <rPr>
            <sz val="10"/>
            <color indexed="81"/>
            <rFont val="Lucida Console"/>
            <family val="3"/>
          </rPr>
          <t>_x000D_
ELETRODUTOS E ACESSORIOS</t>
        </r>
      </text>
    </comment>
    <comment ref="AW624" authorId="0" shapeId="0" xr:uid="{CF11C049-ECCD-48D4-A1B0-3B87C4EBB980}">
      <text>
        <r>
          <rPr>
            <sz val="10"/>
            <color indexed="81"/>
            <rFont val="Lucida Console"/>
            <family val="3"/>
          </rPr>
          <t>Tempo de Estoque (Meses)_x000D_
_x000D_
180,0</t>
        </r>
      </text>
    </comment>
    <comment ref="A625" authorId="0" shapeId="0" xr:uid="{26CC7925-7370-4BB4-B5BA-BF9AC7C7BE7A}">
      <text>
        <r>
          <rPr>
            <sz val="10"/>
            <color indexed="81"/>
            <rFont val="Lucida Console"/>
            <family val="3"/>
          </rPr>
          <t>_x000D_
15656</t>
        </r>
      </text>
    </comment>
    <comment ref="B625" authorId="0" shapeId="0" xr:uid="{2A752EB4-9580-4CB3-9A65-57AC2D7BB349}">
      <text>
        <r>
          <rPr>
            <sz val="10"/>
            <color indexed="81"/>
            <rFont val="Lucida Console"/>
            <family val="3"/>
          </rPr>
          <t>DESCRIÇÃO DETALHADA_x000D_
TERMINAL A PRESSAO REFORCADO P/ 1 CABO DE COBRE 95MM2 C/ 1FURO DE FIXACAO</t>
        </r>
      </text>
    </comment>
    <comment ref="G625" authorId="0" shapeId="0" xr:uid="{16E13DD2-1C89-42F3-BEA5-12E2E726881B}">
      <text>
        <r>
          <rPr>
            <sz val="10"/>
            <color indexed="81"/>
            <rFont val="Lucida Console"/>
            <family val="3"/>
          </rPr>
          <t>_x000D_
Últ estimativa : 0_x000D_
Enviada em     : 23.09.2020_x000D_
Ata - Venc     : 9/20 - 14.01.2021</t>
        </r>
      </text>
    </comment>
    <comment ref="O625" authorId="0" shapeId="0" xr:uid="{9725E856-38B5-47A1-AB62-5595BF0D95E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5" authorId="0" shapeId="0" xr:uid="{88959B95-DB61-4E42-AFFF-A1C44482D4DF}">
      <text>
        <r>
          <rPr>
            <sz val="10"/>
            <color indexed="81"/>
            <rFont val="Lucida Console"/>
            <family val="3"/>
          </rPr>
          <t>_x000D_
DM-Elétrica</t>
        </r>
      </text>
    </comment>
    <comment ref="X625" authorId="0" shapeId="0" xr:uid="{5D3EB124-596C-4701-916A-E0C6B6A31C33}">
      <text>
        <r>
          <rPr>
            <sz val="10"/>
            <color indexed="81"/>
            <rFont val="Lucida Console"/>
            <family val="3"/>
          </rPr>
          <t>_x000D_
EQUIP. MAT. P/ GERACAO, TRANSM. DISTR. RETIF...</t>
        </r>
      </text>
    </comment>
    <comment ref="Y625" authorId="0" shapeId="0" xr:uid="{BA8BD19A-66C9-47B8-8411-CD4188C1E189}">
      <text>
        <r>
          <rPr>
            <sz val="10"/>
            <color indexed="81"/>
            <rFont val="Lucida Console"/>
            <family val="3"/>
          </rPr>
          <t>_x000D_
TERMINAIS</t>
        </r>
      </text>
    </comment>
    <comment ref="AW625" authorId="0" shapeId="0" xr:uid="{1DC2E2E4-E894-41E6-9D42-858792F4147E}">
      <text>
        <r>
          <rPr>
            <sz val="10"/>
            <color indexed="81"/>
            <rFont val="Lucida Console"/>
            <family val="3"/>
          </rPr>
          <t>Tempo de Estoque (Meses)_x000D_
_x000D_
136,0</t>
        </r>
      </text>
    </comment>
    <comment ref="A626" authorId="0" shapeId="0" xr:uid="{56BFEC2B-2D6E-4099-8AD8-701C007FDD93}">
      <text>
        <r>
          <rPr>
            <sz val="10"/>
            <color indexed="81"/>
            <rFont val="Lucida Console"/>
            <family val="3"/>
          </rPr>
          <t>_x000D_
54019</t>
        </r>
      </text>
    </comment>
    <comment ref="B626" authorId="0" shapeId="0" xr:uid="{7BAC3DCE-68F2-4F83-937D-902DE37BCC93}">
      <text>
        <r>
          <rPr>
            <sz val="10"/>
            <color indexed="81"/>
            <rFont val="Lucida Console"/>
            <family val="3"/>
          </rPr>
          <t>DESCRIÇÃO DETALHADA_x000D_
SAPATA INTERNA 38X38MM, COM CHAPA PARA FIXACAO NA PAREDE MEDINDO 100X100MM COM 04 FUROS DE 5/16 EM SUAS EXTREMIDADES E ESPESSURA MINIMA DE 2MM.</t>
        </r>
      </text>
    </comment>
    <comment ref="G626" authorId="0" shapeId="0" xr:uid="{3007BE3A-63BB-4F9C-AF8A-94AA4F07F432}">
      <text>
        <r>
          <rPr>
            <sz val="10"/>
            <color indexed="81"/>
            <rFont val="Lucida Console"/>
            <family val="3"/>
          </rPr>
          <t>_x000D_
Últ estimativa : 0_x000D_
Enviada em     : 23.09.2020_x000D_
Ata - Venc     : 9/20 - 14.01.2021</t>
        </r>
      </text>
    </comment>
    <comment ref="O626" authorId="0" shapeId="0" xr:uid="{A541C930-FB5B-464B-812E-664F61344A7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6" authorId="0" shapeId="0" xr:uid="{8E925B6D-2DB8-4318-BFDD-EDE53DC9D835}">
      <text>
        <r>
          <rPr>
            <sz val="10"/>
            <color indexed="81"/>
            <rFont val="Lucida Console"/>
            <family val="3"/>
          </rPr>
          <t>_x000D_
DM-Elétrica</t>
        </r>
      </text>
    </comment>
    <comment ref="X626" authorId="0" shapeId="0" xr:uid="{DD56E69C-7D8F-434C-84AA-BF1639B6FBE0}">
      <text>
        <r>
          <rPr>
            <sz val="10"/>
            <color indexed="81"/>
            <rFont val="Lucida Console"/>
            <family val="3"/>
          </rPr>
          <t>_x000D_
EQUIP. MAT. P/ GERACAO, TRANSM. DISTR. RETIF...</t>
        </r>
      </text>
    </comment>
    <comment ref="Y626" authorId="0" shapeId="0" xr:uid="{FC7933CC-8704-4EAF-8F7D-6AD29959800C}">
      <text>
        <r>
          <rPr>
            <sz val="10"/>
            <color indexed="81"/>
            <rFont val="Lucida Console"/>
            <family val="3"/>
          </rPr>
          <t>_x000D_
SUPORTES</t>
        </r>
      </text>
    </comment>
    <comment ref="AW626" authorId="0" shapeId="0" xr:uid="{6628E069-2260-4720-8A5D-8A67A9CBCA83}">
      <text>
        <r>
          <rPr>
            <sz val="10"/>
            <color indexed="81"/>
            <rFont val="Lucida Console"/>
            <family val="3"/>
          </rPr>
          <t>Tempo de Estoque (Meses)_x000D_
_x000D_
615,0</t>
        </r>
      </text>
    </comment>
    <comment ref="A627" authorId="0" shapeId="0" xr:uid="{598A8E44-26F8-49C2-92D8-0C9AE52972EE}">
      <text>
        <r>
          <rPr>
            <sz val="10"/>
            <color indexed="81"/>
            <rFont val="Lucida Console"/>
            <family val="3"/>
          </rPr>
          <t>_x000D_
95229</t>
        </r>
      </text>
    </comment>
    <comment ref="B627" authorId="0" shapeId="0" xr:uid="{3957163E-368D-4F4D-917A-B52DACBE1B4D}">
      <text>
        <r>
          <rPr>
            <sz val="10"/>
            <color indexed="81"/>
            <rFont val="Lucida Console"/>
            <family val="3"/>
          </rPr>
          <t>DESCRIÇÃO DETALHADA_x000D_
ABRACADEIRA DE NYLON COMPRIMENTO 300 MM</t>
        </r>
      </text>
    </comment>
    <comment ref="G627" authorId="0" shapeId="0" xr:uid="{B7502AB7-B1D9-4C95-9236-9BF2BE2305E8}">
      <text>
        <r>
          <rPr>
            <sz val="10"/>
            <color indexed="81"/>
            <rFont val="Lucida Console"/>
            <family val="3"/>
          </rPr>
          <t>_x000D_
Últ estimativa : 0_x000D_
Enviada em     : 23.09.2021_x000D_
Ata - Venc     : 9/20 - 14.01.2021</t>
        </r>
      </text>
    </comment>
    <comment ref="O627" authorId="0" shapeId="0" xr:uid="{ABAA018F-1A7C-4A44-8A39-E8BECB974648}">
      <text>
        <r>
          <rPr>
            <sz val="10"/>
            <color indexed="81"/>
            <rFont val="Lucida Console"/>
            <family val="3"/>
          </rPr>
          <t xml:space="preserve">_x000D_
Pertencia a ATA nº 9/20_x000D_
Estimativa de Renovação enviada em 23.09.2021 - Qtd _x000D_
</t>
        </r>
      </text>
    </comment>
    <comment ref="W627" authorId="0" shapeId="0" xr:uid="{B13DF980-ECEC-4FFD-9F78-C3811F058BDF}">
      <text>
        <r>
          <rPr>
            <sz val="10"/>
            <color indexed="81"/>
            <rFont val="Lucida Console"/>
            <family val="3"/>
          </rPr>
          <t>_x000D_
DM-Elétrica</t>
        </r>
      </text>
    </comment>
    <comment ref="X627" authorId="0" shapeId="0" xr:uid="{FEC909B3-4E14-48B4-AE1F-F772FDAFC1FA}">
      <text>
        <r>
          <rPr>
            <sz val="10"/>
            <color indexed="81"/>
            <rFont val="Lucida Console"/>
            <family val="3"/>
          </rPr>
          <t>_x000D_
EQUIP. MAT. P/ GERACAO, TRANSM. DISTR. RETIF...</t>
        </r>
      </text>
    </comment>
    <comment ref="Y627" authorId="0" shapeId="0" xr:uid="{39AEBFA8-9759-40E8-801E-6B12BBECEDD3}">
      <text>
        <r>
          <rPr>
            <sz val="10"/>
            <color indexed="81"/>
            <rFont val="Lucida Console"/>
            <family val="3"/>
          </rPr>
          <t>_x000D_
BRACADEIRAS E CINTAS</t>
        </r>
      </text>
    </comment>
    <comment ref="AW627" authorId="0" shapeId="0" xr:uid="{31B41D53-FB46-4F9D-9AD2-B49F5583DE8B}">
      <text>
        <r>
          <rPr>
            <sz val="10"/>
            <color indexed="81"/>
            <rFont val="Lucida Console"/>
            <family val="3"/>
          </rPr>
          <t>Tempo de Estoque (Meses)_x000D_
_x000D_
2.000,0</t>
        </r>
      </text>
    </comment>
    <comment ref="A628" authorId="0" shapeId="0" xr:uid="{5D420D16-37DC-4439-B89A-B4114C6368C9}">
      <text>
        <r>
          <rPr>
            <sz val="10"/>
            <color indexed="81"/>
            <rFont val="Lucida Console"/>
            <family val="3"/>
          </rPr>
          <t>_x000D_
13179</t>
        </r>
      </text>
    </comment>
    <comment ref="B628" authorId="0" shapeId="0" xr:uid="{85A37DEF-7AF2-4268-947F-01DEB59BFDD3}">
      <text>
        <r>
          <rPr>
            <sz val="10"/>
            <color indexed="81"/>
            <rFont val="Lucida Console"/>
            <family val="3"/>
          </rPr>
          <t>DESCRIÇÃO DETALHADA_x000D_
BUCHA DE FIXACAO N° 8 DE PLASTICO</t>
        </r>
      </text>
    </comment>
    <comment ref="G628" authorId="0" shapeId="0" xr:uid="{995692F1-CCE3-43FC-9EF4-DC8D3E4BB438}">
      <text>
        <r>
          <rPr>
            <sz val="10"/>
            <color indexed="81"/>
            <rFont val="Lucida Console"/>
            <family val="3"/>
          </rPr>
          <t>_x000D_
Últ estimativa : 0_x000D_
Enviada em     : 23.09.2020_x000D_
Ata - Venc     : 9/20 - 14.01.2021</t>
        </r>
      </text>
    </comment>
    <comment ref="O628" authorId="0" shapeId="0" xr:uid="{8C006BD0-A647-425B-99CB-91D2A3ACEE2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8" authorId="0" shapeId="0" xr:uid="{E4BA4C8B-568C-4070-B975-65A4D837A544}">
      <text>
        <r>
          <rPr>
            <sz val="10"/>
            <color indexed="81"/>
            <rFont val="Lucida Console"/>
            <family val="3"/>
          </rPr>
          <t>_x000D_
DM-Construção</t>
        </r>
      </text>
    </comment>
    <comment ref="X628" authorId="0" shapeId="0" xr:uid="{C3F1E9D6-42F0-444E-8EC3-22697D793CD1}">
      <text>
        <r>
          <rPr>
            <sz val="10"/>
            <color indexed="81"/>
            <rFont val="Lucida Console"/>
            <family val="3"/>
          </rPr>
          <t>_x000D_
PARAFUSOS ELEM. VEDACAO UNIAO CONEX . FIXACAO</t>
        </r>
      </text>
    </comment>
    <comment ref="Y628" authorId="0" shapeId="0" xr:uid="{27CA9EE1-46E8-45DB-BBDF-E7A57F717365}">
      <text>
        <r>
          <rPr>
            <sz val="10"/>
            <color indexed="81"/>
            <rFont val="Lucida Console"/>
            <family val="3"/>
          </rPr>
          <t>_x000D_
BUCHAS CHUMBADORES E GANCHOS</t>
        </r>
      </text>
    </comment>
    <comment ref="AW628" authorId="0" shapeId="0" xr:uid="{5CD22C4F-3649-406A-914D-19340C2B88E0}">
      <text>
        <r>
          <rPr>
            <sz val="10"/>
            <color indexed="81"/>
            <rFont val="Lucida Console"/>
            <family val="3"/>
          </rPr>
          <t>Tempo de Estoque (Meses)_x000D_
_x000D_
12.611,0</t>
        </r>
      </text>
    </comment>
    <comment ref="A629" authorId="0" shapeId="0" xr:uid="{6EC0C841-72D8-408E-8510-DE0AE42FCB68}">
      <text>
        <r>
          <rPr>
            <sz val="10"/>
            <color indexed="81"/>
            <rFont val="Lucida Console"/>
            <family val="3"/>
          </rPr>
          <t>_x000D_
29293</t>
        </r>
      </text>
    </comment>
    <comment ref="B629" authorId="0" shapeId="0" xr:uid="{46EC2E16-85E9-40A8-BDDF-D439DC4A390D}">
      <text>
        <r>
          <rPr>
            <sz val="10"/>
            <color indexed="81"/>
            <rFont val="Lucida Console"/>
            <family val="3"/>
          </rPr>
          <t>DESCRIÇÃO DETALHADA_x000D_
BUCHA DE FIXACAO N° 10 - DE NYLON</t>
        </r>
      </text>
    </comment>
    <comment ref="G629" authorId="0" shapeId="0" xr:uid="{68A25C7E-FF0A-4652-A4E8-BA043EFD77D7}">
      <text>
        <r>
          <rPr>
            <sz val="10"/>
            <color indexed="81"/>
            <rFont val="Lucida Console"/>
            <family val="3"/>
          </rPr>
          <t>_x000D_
Últ estimativa : 0_x000D_
Enviada em     : 23.09.2020_x000D_
Ata - Venc     : 9/20 - 14.01.2021</t>
        </r>
      </text>
    </comment>
    <comment ref="O629" authorId="0" shapeId="0" xr:uid="{C90C4338-606D-42E4-BEB0-370B051A186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9" authorId="0" shapeId="0" xr:uid="{D566C963-AF53-4821-B567-3DBEB7EB8D16}">
      <text>
        <r>
          <rPr>
            <sz val="10"/>
            <color indexed="81"/>
            <rFont val="Lucida Console"/>
            <family val="3"/>
          </rPr>
          <t>_x000D_
DM-Construção</t>
        </r>
      </text>
    </comment>
    <comment ref="X629" authorId="0" shapeId="0" xr:uid="{B80C978A-7837-4031-BC21-77B7DEB539A4}">
      <text>
        <r>
          <rPr>
            <sz val="10"/>
            <color indexed="81"/>
            <rFont val="Lucida Console"/>
            <family val="3"/>
          </rPr>
          <t>_x000D_
PARAFUSOS ELEM. VEDACAO UNIAO CONEX . FIXACAO</t>
        </r>
      </text>
    </comment>
    <comment ref="Y629" authorId="0" shapeId="0" xr:uid="{F8971D39-28B1-46A0-A611-91D101C6EA7B}">
      <text>
        <r>
          <rPr>
            <sz val="10"/>
            <color indexed="81"/>
            <rFont val="Lucida Console"/>
            <family val="3"/>
          </rPr>
          <t>_x000D_
BUCHAS CHUMBADORES E GANCHOS</t>
        </r>
      </text>
    </comment>
    <comment ref="AW629" authorId="0" shapeId="0" xr:uid="{47C59D86-1FD7-4CA8-9BC6-D58675B38C6B}">
      <text>
        <r>
          <rPr>
            <sz val="10"/>
            <color indexed="81"/>
            <rFont val="Lucida Console"/>
            <family val="3"/>
          </rPr>
          <t>Tempo de Estoque (Meses)_x000D_
_x000D_
5.000,0</t>
        </r>
      </text>
    </comment>
    <comment ref="A630" authorId="0" shapeId="0" xr:uid="{64830740-83B6-4612-A23C-DF06EC650159}">
      <text>
        <r>
          <rPr>
            <sz val="10"/>
            <color indexed="81"/>
            <rFont val="Lucida Console"/>
            <family val="3"/>
          </rPr>
          <t>_x000D_
106546</t>
        </r>
      </text>
    </comment>
    <comment ref="B630" authorId="0" shapeId="0" xr:uid="{1218F811-71F3-4E03-9439-E99DD6B1CD00}">
      <text>
        <r>
          <rPr>
            <sz val="10"/>
            <color indexed="81"/>
            <rFont val="Lucida Console"/>
            <family val="3"/>
          </rPr>
          <t>DESCRIÇÃO DETALHADA_x000D_
CHUMBADOR GALVANIZADO CBA  5/16"  X  3.1/4"</t>
        </r>
      </text>
    </comment>
    <comment ref="G630" authorId="0" shapeId="0" xr:uid="{77A1C86F-3E15-4EBE-9F1F-E1DA9AF1B035}">
      <text>
        <r>
          <rPr>
            <sz val="10"/>
            <color indexed="81"/>
            <rFont val="Lucida Console"/>
            <family val="3"/>
          </rPr>
          <t>_x000D_
Últ estimativa : 0_x000D_
Enviada em     : 23.09.2020_x000D_
Ata - Venc     : 9/20 - 14.01.2021</t>
        </r>
      </text>
    </comment>
    <comment ref="O630" authorId="0" shapeId="0" xr:uid="{62DF3EB3-FFE9-4C49-9D33-963C9C326EB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0" authorId="0" shapeId="0" xr:uid="{091D463B-82D8-4E11-BA7F-CC87C3D72FDA}">
      <text>
        <r>
          <rPr>
            <sz val="10"/>
            <color indexed="81"/>
            <rFont val="Lucida Console"/>
            <family val="3"/>
          </rPr>
          <t>_x000D_
DM-Construção</t>
        </r>
      </text>
    </comment>
    <comment ref="X630" authorId="0" shapeId="0" xr:uid="{26E9D066-4793-4370-A69E-7C897E3C2222}">
      <text>
        <r>
          <rPr>
            <sz val="10"/>
            <color indexed="81"/>
            <rFont val="Lucida Console"/>
            <family val="3"/>
          </rPr>
          <t>_x000D_
PARAFUSOS ELEM. VEDACAO UNIAO CONEX . FIXACAO</t>
        </r>
      </text>
    </comment>
    <comment ref="Y630" authorId="0" shapeId="0" xr:uid="{A8A781EA-32CA-4C5F-94D6-52EC1B751ECC}">
      <text>
        <r>
          <rPr>
            <sz val="10"/>
            <color indexed="81"/>
            <rFont val="Lucida Console"/>
            <family val="3"/>
          </rPr>
          <t>_x000D_
BUCHAS CHUMBADORES E GANCHOS</t>
        </r>
      </text>
    </comment>
    <comment ref="AW630" authorId="0" shapeId="0" xr:uid="{7039E0C4-A3CB-4A62-A943-96EEF5B7B945}">
      <text>
        <r>
          <rPr>
            <sz val="10"/>
            <color indexed="81"/>
            <rFont val="Lucida Console"/>
            <family val="3"/>
          </rPr>
          <t>Tempo de Estoque (Meses)_x000D_
_x000D_
2.431,0</t>
        </r>
      </text>
    </comment>
    <comment ref="A631" authorId="0" shapeId="0" xr:uid="{02AABD31-8290-42E5-8E26-01E7913238B7}">
      <text>
        <r>
          <rPr>
            <sz val="10"/>
            <color indexed="81"/>
            <rFont val="Lucida Console"/>
            <family val="3"/>
          </rPr>
          <t>_x000D_
134567</t>
        </r>
      </text>
    </comment>
    <comment ref="B631" authorId="0" shapeId="0" xr:uid="{A22C5988-C704-4D5B-A1D5-F59E1D262B2E}">
      <text>
        <r>
          <rPr>
            <sz val="10"/>
            <color indexed="81"/>
            <rFont val="Lucida Console"/>
            <family val="3"/>
          </rPr>
          <t xml:space="preserve">DESCRIÇÃO DETALHADA_x000D_
BUCHA DE FIXACAO UNIVERSAL Nº 8 DE NYLON PARA BASES OCAS E MACICAS </t>
        </r>
      </text>
    </comment>
    <comment ref="G631" authorId="0" shapeId="0" xr:uid="{33CAA4B7-C100-406B-83FC-222224D7AC96}">
      <text>
        <r>
          <rPr>
            <sz val="10"/>
            <color indexed="81"/>
            <rFont val="Lucida Console"/>
            <family val="3"/>
          </rPr>
          <t>_x000D_
Últ estimativa : 0_x000D_
Enviada em     : 23.09.2020_x000D_
Ata - Venc     : 9/20 - 14.01.2021</t>
        </r>
      </text>
    </comment>
    <comment ref="O631" authorId="0" shapeId="0" xr:uid="{33AF10FC-7778-4A4B-8203-9BD1947BC94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1" authorId="0" shapeId="0" xr:uid="{54EC52C3-2DA0-4562-8845-06155CB847E5}">
      <text>
        <r>
          <rPr>
            <sz val="10"/>
            <color indexed="81"/>
            <rFont val="Lucida Console"/>
            <family val="3"/>
          </rPr>
          <t>_x000D_
DM-Construção</t>
        </r>
      </text>
    </comment>
    <comment ref="X631" authorId="0" shapeId="0" xr:uid="{050771E7-5DBC-445A-83ED-BC39724FD82D}">
      <text>
        <r>
          <rPr>
            <sz val="10"/>
            <color indexed="81"/>
            <rFont val="Lucida Console"/>
            <family val="3"/>
          </rPr>
          <t>_x000D_
PARAFUSOS ELEM. VEDACAO UNIAO CONEX . FIXACAO</t>
        </r>
      </text>
    </comment>
    <comment ref="Y631" authorId="0" shapeId="0" xr:uid="{3D4A106B-CF60-480A-9DAA-69EBEA42C63D}">
      <text>
        <r>
          <rPr>
            <sz val="10"/>
            <color indexed="81"/>
            <rFont val="Lucida Console"/>
            <family val="3"/>
          </rPr>
          <t>_x000D_
BUCHAS CHUMBADORES E GANCHOS</t>
        </r>
      </text>
    </comment>
    <comment ref="AW631" authorId="0" shapeId="0" xr:uid="{2B0A56B8-BB95-4069-A6B7-93B2EA8204DE}">
      <text>
        <r>
          <rPr>
            <sz val="10"/>
            <color indexed="81"/>
            <rFont val="Lucida Console"/>
            <family val="3"/>
          </rPr>
          <t>Tempo de Estoque (Meses)_x000D_
_x000D_
14.107,0</t>
        </r>
      </text>
    </comment>
    <comment ref="A632" authorId="0" shapeId="0" xr:uid="{58B091B1-F2CC-4292-A7AB-46D1E8663661}">
      <text>
        <r>
          <rPr>
            <sz val="10"/>
            <color indexed="81"/>
            <rFont val="Lucida Console"/>
            <family val="3"/>
          </rPr>
          <t>_x000D_
134568</t>
        </r>
      </text>
    </comment>
    <comment ref="B632" authorId="0" shapeId="0" xr:uid="{99E6D68D-29C5-4465-91D9-FCC4F3AA1D58}">
      <text>
        <r>
          <rPr>
            <sz val="10"/>
            <color indexed="81"/>
            <rFont val="Lucida Console"/>
            <family val="3"/>
          </rPr>
          <t xml:space="preserve">DESCRIÇÃO DETALHADA_x000D_
BUCHA DE FIXACAO UNIVERSAL Nº 10 DE NYLON PARA BASES OCAS E MACICAS </t>
        </r>
      </text>
    </comment>
    <comment ref="G632" authorId="0" shapeId="0" xr:uid="{EAB55356-E70F-4985-B198-33F33E7FCAC7}">
      <text>
        <r>
          <rPr>
            <sz val="10"/>
            <color indexed="81"/>
            <rFont val="Lucida Console"/>
            <family val="3"/>
          </rPr>
          <t>_x000D_
Últ estimativa : 0_x000D_
Enviada em     : 23.09.2020_x000D_
Ata - Venc     : 9/20 - 14.01.2021</t>
        </r>
      </text>
    </comment>
    <comment ref="O632" authorId="0" shapeId="0" xr:uid="{A7DFD820-B6A0-45ED-8087-A94CFC21521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2" authorId="0" shapeId="0" xr:uid="{90A0DCAB-00A1-4867-8168-52FA73FD9916}">
      <text>
        <r>
          <rPr>
            <sz val="10"/>
            <color indexed="81"/>
            <rFont val="Lucida Console"/>
            <family val="3"/>
          </rPr>
          <t>_x000D_
DM-Construção</t>
        </r>
      </text>
    </comment>
    <comment ref="X632" authorId="0" shapeId="0" xr:uid="{F3C44918-F659-46DE-AE61-87C16C7DF462}">
      <text>
        <r>
          <rPr>
            <sz val="10"/>
            <color indexed="81"/>
            <rFont val="Lucida Console"/>
            <family val="3"/>
          </rPr>
          <t>_x000D_
PARAFUSOS ELEM. VEDACAO UNIAO CONEX . FIXACAO</t>
        </r>
      </text>
    </comment>
    <comment ref="Y632" authorId="0" shapeId="0" xr:uid="{DA3BC1FA-6D06-438A-947E-E6ADF84EEBDE}">
      <text>
        <r>
          <rPr>
            <sz val="10"/>
            <color indexed="81"/>
            <rFont val="Lucida Console"/>
            <family val="3"/>
          </rPr>
          <t>_x000D_
BUCHAS CHUMBADORES E GANCHOS</t>
        </r>
      </text>
    </comment>
    <comment ref="AW632" authorId="0" shapeId="0" xr:uid="{8CD5A03F-0F2B-41C1-B25B-BCD46B229E79}">
      <text>
        <r>
          <rPr>
            <sz val="10"/>
            <color indexed="81"/>
            <rFont val="Lucida Console"/>
            <family val="3"/>
          </rPr>
          <t>Tempo de Estoque (Meses)_x000D_
_x000D_
7.206,0</t>
        </r>
      </text>
    </comment>
    <comment ref="A633" authorId="0" shapeId="0" xr:uid="{57DF7335-F680-45B4-B152-CFC9B9E6AD31}">
      <text>
        <r>
          <rPr>
            <sz val="10"/>
            <color indexed="81"/>
            <rFont val="Lucida Console"/>
            <family val="3"/>
          </rPr>
          <t>_x000D_
26215</t>
        </r>
      </text>
    </comment>
    <comment ref="B633" authorId="0" shapeId="0" xr:uid="{C222A515-BB5C-4CC9-B996-3B6E124AD05B}">
      <text>
        <r>
          <rPr>
            <sz val="10"/>
            <color indexed="81"/>
            <rFont val="Lucida Console"/>
            <family val="3"/>
          </rPr>
          <t>DESCRIÇÃO DETALHADA_x000D_
CHAPA DE MADEIRA COMPENSADA NAVAL C/ 2,20 X 1,60 M ESP.20 MM</t>
        </r>
      </text>
    </comment>
    <comment ref="G633" authorId="0" shapeId="0" xr:uid="{BED670CF-454C-43A9-998B-37C6025B365E}">
      <text>
        <r>
          <rPr>
            <sz val="10"/>
            <color indexed="81"/>
            <rFont val="Lucida Console"/>
            <family val="3"/>
          </rPr>
          <t>_x000D_
Últ estimativa : 50_x000D_
Enviada em     : 24.11.2020_x000D_
Ata - Venc     : 90/21 - 27.03.2022</t>
        </r>
      </text>
    </comment>
    <comment ref="O633" authorId="0" shapeId="0" xr:uid="{E07D8A53-E424-4EA5-A2B1-A1FAD7A7440A}">
      <text>
        <r>
          <rPr>
            <sz val="10"/>
            <color indexed="81"/>
            <rFont val="Lucida Console"/>
            <family val="3"/>
          </rPr>
          <t>_x000D_
Pertencia a ATA nº 90/21_x000D_
Estimativa de Renovação enviada em 24.11.2020 - Qtd 50_x000D_
PE  23/21 lote _x000D_
08.03.21 = Processo finalizado. Ata 90/21.</t>
        </r>
      </text>
    </comment>
    <comment ref="W633" authorId="0" shapeId="0" xr:uid="{79349B40-1ABC-42FA-9378-142A64917162}">
      <text>
        <r>
          <rPr>
            <sz val="10"/>
            <color indexed="81"/>
            <rFont val="Lucida Console"/>
            <family val="3"/>
          </rPr>
          <t>_x000D_
DM-Marcenaria</t>
        </r>
      </text>
    </comment>
    <comment ref="X633" authorId="0" shapeId="0" xr:uid="{E31CE8D5-A3B5-419C-B359-E322B25C2C4E}">
      <text>
        <r>
          <rPr>
            <sz val="10"/>
            <color indexed="81"/>
            <rFont val="Lucida Console"/>
            <family val="3"/>
          </rPr>
          <t>_x000D_
MADEIRAS,LAMINADOS,COMPENSADOS E AGLOMERADOS</t>
        </r>
      </text>
    </comment>
    <comment ref="Y633" authorId="0" shapeId="0" xr:uid="{F0C1042E-0704-41CA-8E37-FF3D89091300}">
      <text>
        <r>
          <rPr>
            <sz val="10"/>
            <color indexed="81"/>
            <rFont val="Lucida Console"/>
            <family val="3"/>
          </rPr>
          <t>_x000D_
CHAPAS DE MADEIRA AGLOMERADA E COMPENSADAS</t>
        </r>
      </text>
    </comment>
    <comment ref="AW633" authorId="0" shapeId="0" xr:uid="{14B31BB9-413A-469D-B840-2DC0CC362AE9}">
      <text>
        <r>
          <rPr>
            <sz val="10"/>
            <color indexed="81"/>
            <rFont val="Lucida Console"/>
            <family val="3"/>
          </rPr>
          <t>Tempo de Estoque (Meses)_x000D_
_x000D_
46,0</t>
        </r>
      </text>
    </comment>
    <comment ref="A634" authorId="0" shapeId="0" xr:uid="{DE1EC55E-4622-4EF6-B388-0CE7F62F6EAF}">
      <text>
        <r>
          <rPr>
            <sz val="10"/>
            <color indexed="81"/>
            <rFont val="Lucida Console"/>
            <family val="3"/>
          </rPr>
          <t>_x000D_
76583</t>
        </r>
      </text>
    </comment>
    <comment ref="B634" authorId="0" shapeId="0" xr:uid="{30F34F58-5D1E-42B6-B939-4974CA1D8548}">
      <text>
        <r>
          <rPr>
            <sz val="10"/>
            <color indexed="81"/>
            <rFont val="Lucida Console"/>
            <family val="3"/>
          </rPr>
          <t>DESCRIÇÃO DETALHADA_x000D_
CHAPA DE MADEIRA COMPENSADO LAMINADO DE VIROLA - MEDIDAS: 2,20 M X 1,60 M X 15 MM</t>
        </r>
      </text>
    </comment>
    <comment ref="G634" authorId="0" shapeId="0" xr:uid="{FF39883D-1DD1-4525-A922-4E2821335873}">
      <text>
        <r>
          <rPr>
            <sz val="10"/>
            <color indexed="81"/>
            <rFont val="Lucida Console"/>
            <family val="3"/>
          </rPr>
          <t>_x000D_
Últ estimativa : 0_x000D_
Enviada em     : 24.11.2020_x000D_
Ata - Venc     : 90/21 - 27.03.2022</t>
        </r>
      </text>
    </comment>
    <comment ref="O634" authorId="0" shapeId="0" xr:uid="{55D5A269-73D0-4C5B-893B-420CBC4FDB0D}">
      <text>
        <r>
          <rPr>
            <sz val="10"/>
            <color indexed="81"/>
            <rFont val="Lucida Console"/>
            <family val="3"/>
          </rPr>
          <t>_x000D_
Pertencia a ATA nº 90/21_x000D_
Estimativa de Renovação enviada em 24.11.2020 - Qtd _x000D_
PE  23/21 lote _x000D_
08.03.21 = Processo finalizado. Ata 90/21.</t>
        </r>
      </text>
    </comment>
    <comment ref="W634" authorId="0" shapeId="0" xr:uid="{FF1DFAA5-0855-4F9E-95A2-D6BDC2D45CAA}">
      <text>
        <r>
          <rPr>
            <sz val="10"/>
            <color indexed="81"/>
            <rFont val="Lucida Console"/>
            <family val="3"/>
          </rPr>
          <t>_x000D_
DM-Marcenaria</t>
        </r>
      </text>
    </comment>
    <comment ref="X634" authorId="0" shapeId="0" xr:uid="{6D14E6BD-3BB0-41A7-A6CC-6A181D0A1271}">
      <text>
        <r>
          <rPr>
            <sz val="10"/>
            <color indexed="81"/>
            <rFont val="Lucida Console"/>
            <family val="3"/>
          </rPr>
          <t>_x000D_
MADEIRAS,LAMINADOS,COMPENSADOS E AGLOMERADOS</t>
        </r>
      </text>
    </comment>
    <comment ref="Y634" authorId="0" shapeId="0" xr:uid="{88AA2CA7-3AC3-47AA-AFCC-E707D1085B3F}">
      <text>
        <r>
          <rPr>
            <sz val="10"/>
            <color indexed="81"/>
            <rFont val="Lucida Console"/>
            <family val="3"/>
          </rPr>
          <t>_x000D_
CHAPAS DE MADEIRA AGLOMERADA E COMPENSADAS</t>
        </r>
      </text>
    </comment>
    <comment ref="AW634" authorId="0" shapeId="0" xr:uid="{B0D6EAFB-69D1-4063-B1C5-17121B632B96}">
      <text>
        <r>
          <rPr>
            <sz val="10"/>
            <color indexed="81"/>
            <rFont val="Lucida Console"/>
            <family val="3"/>
          </rPr>
          <t>Tempo de Estoque (Meses)_x000D_
_x000D_
205,0</t>
        </r>
      </text>
    </comment>
    <comment ref="A635" authorId="0" shapeId="0" xr:uid="{5160148C-01AE-47AD-877D-C0B6BAC06125}">
      <text>
        <r>
          <rPr>
            <sz val="10"/>
            <color indexed="81"/>
            <rFont val="Lucida Console"/>
            <family val="3"/>
          </rPr>
          <t>_x000D_
13655</t>
        </r>
      </text>
    </comment>
    <comment ref="B635" authorId="0" shapeId="0" xr:uid="{37D3138D-A905-428B-BC7A-C64681DAE90D}">
      <text>
        <r>
          <rPr>
            <sz val="10"/>
            <color indexed="81"/>
            <rFont val="Lucida Console"/>
            <family val="3"/>
          </rPr>
          <t>DESCRIÇÃO DETALHADA_x000D_
PASTA DE CARTOLINA PLASTIFICADA MOD. C/ FERRAGEM - PRETA -MED. 33,5 X 23,5 CM (VARIACAO +/- 02 CM)</t>
        </r>
      </text>
    </comment>
    <comment ref="G635" authorId="0" shapeId="0" xr:uid="{50969147-70F3-4E6B-A545-C2DCEC31330D}">
      <text>
        <r>
          <rPr>
            <sz val="10"/>
            <color indexed="81"/>
            <rFont val="Lucida Console"/>
            <family val="3"/>
          </rPr>
          <t>_x000D_
Últ estimativa : 14.000_x000D_
Enviada em     : 19.12.2019_x000D_
Ata - Venc     : 99/20 - 23.04.2021</t>
        </r>
      </text>
    </comment>
    <comment ref="O635" authorId="0" shapeId="0" xr:uid="{6F7E01DE-3DB2-4941-9BBA-8ACB3EF3F5EA}">
      <text>
        <r>
          <rPr>
            <sz val="10"/>
            <color indexed="81"/>
            <rFont val="Lucida Console"/>
            <family val="3"/>
          </rPr>
          <t>_x000D_
Pertencia a ATA nº 99/20_x000D_
Estimativa de Renovação enviada em 19.12.2019 - Qtd 14.000_x000D_
PE  61/21 lote 4 (Impróspero)_x000D_
30.04.21 = Finalizado. Ata 143/20</t>
        </r>
      </text>
    </comment>
    <comment ref="W635" authorId="0" shapeId="0" xr:uid="{EA191EB7-3D1C-4F33-894A-EB0EFD346FB5}">
      <text>
        <r>
          <rPr>
            <sz val="10"/>
            <color indexed="81"/>
            <rFont val="Lucida Console"/>
            <family val="3"/>
          </rPr>
          <t>_x000D_
Pedagógico</t>
        </r>
      </text>
    </comment>
    <comment ref="X635" authorId="0" shapeId="0" xr:uid="{8F8B0A2F-CC7F-4E83-8935-C5E4CB8F6B45}">
      <text>
        <r>
          <rPr>
            <sz val="10"/>
            <color indexed="81"/>
            <rFont val="Lucida Console"/>
            <family val="3"/>
          </rPr>
          <t>_x000D_
MAQ., EQUIP., COMP., ACES., MAT. PARA ESCRIT.E ESCOLAR</t>
        </r>
      </text>
    </comment>
    <comment ref="Y635" authorId="0" shapeId="0" xr:uid="{96B9C92F-C37F-4AFD-A42B-D5F0F857E258}">
      <text>
        <r>
          <rPr>
            <sz val="10"/>
            <color indexed="81"/>
            <rFont val="Lucida Console"/>
            <family val="3"/>
          </rPr>
          <t>_x000D_
CAPAS, CLASSIF., PRANCHETAS, CADERNOS, ENVELOPES, PASTAS, FICHAS, LIVROS</t>
        </r>
      </text>
    </comment>
    <comment ref="AW635" authorId="0" shapeId="0" xr:uid="{6C7939A0-A520-4626-8F47-12FD7C28AF91}">
      <text>
        <r>
          <rPr>
            <sz val="10"/>
            <color indexed="81"/>
            <rFont val="Lucida Console"/>
            <family val="3"/>
          </rPr>
          <t>Tempo de Estoque (Meses)_x000D_
_x000D_
6.920,0</t>
        </r>
      </text>
    </comment>
    <comment ref="A636" authorId="0" shapeId="0" xr:uid="{39472F3D-86A1-44D5-BD51-1ECE0E7B5346}">
      <text>
        <r>
          <rPr>
            <sz val="10"/>
            <color indexed="81"/>
            <rFont val="Lucida Console"/>
            <family val="3"/>
          </rPr>
          <t>_x000D_
17132</t>
        </r>
      </text>
    </comment>
    <comment ref="B636" authorId="0" shapeId="0" xr:uid="{426AE063-3F84-419E-BE13-ADB9D2F4F28F}">
      <text>
        <r>
          <rPr>
            <sz val="10"/>
            <color indexed="81"/>
            <rFont val="Lucida Console"/>
            <family val="3"/>
          </rPr>
          <t>DESCRIÇÃO DETALHADA_x000D_
ELASTICO - EMBALAGEM COM 100GR</t>
        </r>
      </text>
    </comment>
    <comment ref="G636" authorId="0" shapeId="0" xr:uid="{E78C8338-19A4-490A-85F9-C60681DB7179}">
      <text>
        <r>
          <rPr>
            <sz val="10"/>
            <color indexed="81"/>
            <rFont val="Lucida Console"/>
            <family val="3"/>
          </rPr>
          <t>_x000D_
Últ estimativa : 1.000_x000D_
Enviada em     : 19.12.2019_x000D_
Ata - Venc     : 99/20 - 23.04.2021</t>
        </r>
      </text>
    </comment>
    <comment ref="O636" authorId="0" shapeId="0" xr:uid="{72F22F62-1F5D-46FB-8F59-66369E06CBAD}">
      <text>
        <r>
          <rPr>
            <sz val="10"/>
            <color indexed="81"/>
            <rFont val="Lucida Console"/>
            <family val="3"/>
          </rPr>
          <t>_x000D_
Pertencia a ATA nº 99/20_x000D_
Estimativa de Renovação enviada em 19.12.2019 - Qtd 1.000_x000D_
PE  61/21 lote 5 (Impróspero)_x000D_
30.04.21 = Finalizado. Ata 143/20</t>
        </r>
      </text>
    </comment>
    <comment ref="W636" authorId="0" shapeId="0" xr:uid="{FF3455A9-6A6B-42A4-9AFD-8C14A0147178}">
      <text>
        <r>
          <rPr>
            <sz val="10"/>
            <color indexed="81"/>
            <rFont val="Lucida Console"/>
            <family val="3"/>
          </rPr>
          <t>_x000D_
Administrativo</t>
        </r>
      </text>
    </comment>
    <comment ref="X636" authorId="0" shapeId="0" xr:uid="{F8630FC1-8C50-4128-8A60-DAD303A42B2E}">
      <text>
        <r>
          <rPr>
            <sz val="10"/>
            <color indexed="81"/>
            <rFont val="Lucida Console"/>
            <family val="3"/>
          </rPr>
          <t>_x000D_
MAQ., EQUIP., COMP., ACES., MAT. PARA ESCRIT.E ESCOLAR</t>
        </r>
      </text>
    </comment>
    <comment ref="Y636" authorId="0" shapeId="0" xr:uid="{BFC7C9FE-543C-4799-888E-3BD3800C07A0}">
      <text>
        <r>
          <rPr>
            <sz val="10"/>
            <color indexed="81"/>
            <rFont val="Lucida Console"/>
            <family val="3"/>
          </rPr>
          <t>_x000D_
FURAD.GRAMP.COLCHETE,GRAMPOS,CLIPS,ELAST.BARB.FIT.</t>
        </r>
      </text>
    </comment>
    <comment ref="AW636" authorId="0" shapeId="0" xr:uid="{934ABD7E-FAAF-4F56-BF8C-BCE8A3558BBD}">
      <text>
        <r>
          <rPr>
            <sz val="10"/>
            <color indexed="81"/>
            <rFont val="Lucida Console"/>
            <family val="3"/>
          </rPr>
          <t>Tempo de Estoque (Meses)_x000D_
_x000D_
1.580,0</t>
        </r>
      </text>
    </comment>
    <comment ref="A637" authorId="0" shapeId="0" xr:uid="{82343939-299F-494A-A20C-0771E4895BE2}">
      <text>
        <r>
          <rPr>
            <sz val="10"/>
            <color indexed="81"/>
            <rFont val="Lucida Console"/>
            <family val="3"/>
          </rPr>
          <t>_x000D_
63385</t>
        </r>
      </text>
    </comment>
    <comment ref="B637" authorId="0" shapeId="0" xr:uid="{C77E0F17-B743-4F81-8408-BE78D8F23867}">
      <text>
        <r>
          <rPr>
            <sz val="10"/>
            <color indexed="81"/>
            <rFont val="Lucida Console"/>
            <family val="3"/>
          </rPr>
          <t>DESCRIÇÃO DETALHADA_x000D_
PAPEL SULFITE - 66 X 96 CM  120 G/M2 - BRANCO</t>
        </r>
      </text>
    </comment>
    <comment ref="G637" authorId="0" shapeId="0" xr:uid="{A815B52E-CDB7-4420-9D9B-452FCB47062D}">
      <text>
        <r>
          <rPr>
            <sz val="10"/>
            <color indexed="81"/>
            <rFont val="Lucida Console"/>
            <family val="3"/>
          </rPr>
          <t>_x000D_
Últ estimativa : 60.000_x000D_
Enviada em     : 19.12.2019_x000D_
Ata - Venc     : 99/20 - 23.04.2021</t>
        </r>
      </text>
    </comment>
    <comment ref="O637" authorId="0" shapeId="0" xr:uid="{633D7111-A8FA-473C-BD36-283A4DE2ADF6}">
      <text>
        <r>
          <rPr>
            <sz val="10"/>
            <color indexed="81"/>
            <rFont val="Lucida Console"/>
            <family val="3"/>
          </rPr>
          <t>_x000D_
Pertencia a ATA nº 99/20_x000D_
Estimativa de Renovação enviada em 19.12.2019 - Qtd 60.000_x000D_
PE  61/21 lote 12 (Impróspero)_x000D_
30.04.21 = Finalizado. Ata 143/20</t>
        </r>
      </text>
    </comment>
    <comment ref="W637" authorId="0" shapeId="0" xr:uid="{2FC3DD2E-9C70-4F9B-BB87-B82E6661A4E4}">
      <text>
        <r>
          <rPr>
            <sz val="10"/>
            <color indexed="81"/>
            <rFont val="Lucida Console"/>
            <family val="3"/>
          </rPr>
          <t>_x000D_
Pedagógico</t>
        </r>
      </text>
    </comment>
    <comment ref="X637" authorId="0" shapeId="0" xr:uid="{1CF442E3-D4BD-497C-A813-DAAB43A40AB2}">
      <text>
        <r>
          <rPr>
            <sz val="10"/>
            <color indexed="81"/>
            <rFont val="Lucida Console"/>
            <family val="3"/>
          </rPr>
          <t>_x000D_
MAQ. E EQUIP. P/ IND. GRAFICA COMP. ACESS. E PAPEI</t>
        </r>
      </text>
    </comment>
    <comment ref="Y637" authorId="0" shapeId="0" xr:uid="{0A3DB9D1-FD60-40D3-870B-2DB743554265}">
      <text>
        <r>
          <rPr>
            <sz val="10"/>
            <color indexed="81"/>
            <rFont val="Lucida Console"/>
            <family val="3"/>
          </rPr>
          <t>_x000D_
PAPEIS PARA ESCRITORIO</t>
        </r>
      </text>
    </comment>
    <comment ref="AW637" authorId="0" shapeId="0" xr:uid="{4BFD9A25-BA6F-40E4-8794-AD6367D8F97B}">
      <text>
        <r>
          <rPr>
            <sz val="10"/>
            <color indexed="81"/>
            <rFont val="Lucida Console"/>
            <family val="3"/>
          </rPr>
          <t>Tempo de Estoque (Meses)_x000D_
_x000D_
18.800,0</t>
        </r>
      </text>
    </comment>
    <comment ref="A638" authorId="0" shapeId="0" xr:uid="{F2B385AC-89C7-4350-9471-2551DE35E89D}">
      <text>
        <r>
          <rPr>
            <sz val="10"/>
            <color indexed="81"/>
            <rFont val="Lucida Console"/>
            <family val="3"/>
          </rPr>
          <t>_x000D_
119318</t>
        </r>
      </text>
    </comment>
    <comment ref="B638" authorId="0" shapeId="0" xr:uid="{621FAB95-8C0C-4953-A0ED-E55D8923D3C4}">
      <text>
        <r>
          <rPr>
            <sz val="10"/>
            <color indexed="81"/>
            <rFont val="Lucida Console"/>
            <family val="3"/>
          </rPr>
          <t>DESCRIÇÃO DETALHADA_x000D_
TINTA A BASE DE AGUA PARA CARIMBO AUTO ENTINTADO  - FRASCO COM  30 ML - COR PRETA</t>
        </r>
      </text>
    </comment>
    <comment ref="W638" authorId="0" shapeId="0" xr:uid="{AC9D6E8A-A8F8-4CCB-9F5D-AA52B08FC601}">
      <text>
        <r>
          <rPr>
            <sz val="10"/>
            <color indexed="81"/>
            <rFont val="Lucida Console"/>
            <family val="3"/>
          </rPr>
          <t>_x000D_
Administrativo</t>
        </r>
      </text>
    </comment>
    <comment ref="X638" authorId="0" shapeId="0" xr:uid="{735ED30A-93B6-4AFD-ACC7-DA9A4B92BA85}">
      <text>
        <r>
          <rPr>
            <sz val="10"/>
            <color indexed="81"/>
            <rFont val="Lucida Console"/>
            <family val="3"/>
          </rPr>
          <t>_x000D_
MAQ., EQUIP., COMP., ACES., MAT. PARA ESCRIT.E ESCOLAR</t>
        </r>
      </text>
    </comment>
    <comment ref="Y638" authorId="0" shapeId="0" xr:uid="{D8207189-3D3E-415F-918E-80F363386F80}">
      <text>
        <r>
          <rPr>
            <sz val="10"/>
            <color indexed="81"/>
            <rFont val="Lucida Console"/>
            <family val="3"/>
          </rPr>
          <t>_x000D_
CARIMBOS, ALMOFADAS, TINTAS E SUPORTES</t>
        </r>
      </text>
    </comment>
    <comment ref="AW638" authorId="0" shapeId="0" xr:uid="{CE9ACB36-C7C1-42FC-BA7E-671D3966D8CA}">
      <text>
        <r>
          <rPr>
            <sz val="10"/>
            <color indexed="81"/>
            <rFont val="Lucida Console"/>
            <family val="3"/>
          </rPr>
          <t>Tempo de Estoque (Meses)_x000D_
_x000D_
50,0</t>
        </r>
      </text>
    </comment>
    <comment ref="A639" authorId="0" shapeId="0" xr:uid="{16655A33-41CB-49BA-ADA0-07B55F65471E}">
      <text>
        <r>
          <rPr>
            <sz val="10"/>
            <color indexed="81"/>
            <rFont val="Lucida Console"/>
            <family val="3"/>
          </rPr>
          <t>_x000D_
131917</t>
        </r>
      </text>
    </comment>
    <comment ref="B639" authorId="0" shapeId="0" xr:uid="{FCF1EEA8-A54A-406F-8508-7AB5E460FE5C}">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39" authorId="0" shapeId="0" xr:uid="{93769FE7-80D3-4F21-9D87-E120FF2B55F6}">
      <text>
        <r>
          <rPr>
            <sz val="10"/>
            <color indexed="81"/>
            <rFont val="Lucida Console"/>
            <family val="3"/>
          </rPr>
          <t>_x000D_
Pedagógico</t>
        </r>
      </text>
    </comment>
    <comment ref="X639" authorId="0" shapeId="0" xr:uid="{889103EB-431A-4DF0-BE58-B4C5D7608412}">
      <text>
        <r>
          <rPr>
            <sz val="10"/>
            <color indexed="81"/>
            <rFont val="Lucida Console"/>
            <family val="3"/>
          </rPr>
          <t>_x000D_
MAQ., EQUIP., COMP., ACES., MAT. PARA ESCRIT.E ESCOLAR</t>
        </r>
      </text>
    </comment>
    <comment ref="Y639" authorId="0" shapeId="0" xr:uid="{EA2ACFF7-555F-4649-A67D-DC965A3A4BFE}">
      <text>
        <r>
          <rPr>
            <sz val="10"/>
            <color indexed="81"/>
            <rFont val="Lucida Console"/>
            <family val="3"/>
          </rPr>
          <t>_x000D_
LAPIS, BORRACHA, APONTADORES, REGUAS E CORRETIVOS P/ ESCRIT.</t>
        </r>
      </text>
    </comment>
    <comment ref="AW639" authorId="0" shapeId="0" xr:uid="{65357BD9-6F7D-4EA4-8A19-D0C2D6704047}">
      <text>
        <r>
          <rPr>
            <sz val="10"/>
            <color indexed="81"/>
            <rFont val="Lucida Console"/>
            <family val="3"/>
          </rPr>
          <t>Tempo de Estoque (Meses)_x000D_
_x000D_
3.876,0</t>
        </r>
      </text>
    </comment>
    <comment ref="A640" authorId="0" shapeId="0" xr:uid="{733FE5F6-AFBB-426E-A7B8-1F9FE5065C0E}">
      <text>
        <r>
          <rPr>
            <sz val="10"/>
            <color indexed="81"/>
            <rFont val="Lucida Console"/>
            <family val="3"/>
          </rPr>
          <t>_x000D_
131926</t>
        </r>
      </text>
    </comment>
    <comment ref="B640" authorId="0" shapeId="0" xr:uid="{23584DB5-9C84-4250-BAAC-0AFF5F30BF7C}">
      <text>
        <r>
          <rPr>
            <sz val="10"/>
            <color indexed="81"/>
            <rFont val="Lucida Console"/>
            <family val="3"/>
          </rPr>
          <t>DESCRIÇÃO DETALHADA_x000D_
LAPIS PRETO 6B, MEDINDO 175MM (VARIACAO DE +/-10MM) DE COMPRIMENTO.</t>
        </r>
      </text>
    </comment>
    <comment ref="W640" authorId="0" shapeId="0" xr:uid="{BA73EC92-A04B-47F8-A616-ABD9D13AA4DD}">
      <text>
        <r>
          <rPr>
            <sz val="10"/>
            <color indexed="81"/>
            <rFont val="Lucida Console"/>
            <family val="3"/>
          </rPr>
          <t>_x000D_
Pedagógico</t>
        </r>
      </text>
    </comment>
    <comment ref="X640" authorId="0" shapeId="0" xr:uid="{F4E28F03-F52A-4330-84DE-DFAA2B07F2F6}">
      <text>
        <r>
          <rPr>
            <sz val="10"/>
            <color indexed="81"/>
            <rFont val="Lucida Console"/>
            <family val="3"/>
          </rPr>
          <t>_x000D_
MAQ., EQUIP., COMP., ACES., MAT. PARA ESCRIT.E ESCOLAR</t>
        </r>
      </text>
    </comment>
    <comment ref="Y640" authorId="0" shapeId="0" xr:uid="{5A080C9D-3EC7-40AC-BFA5-86210A90B0B1}">
      <text>
        <r>
          <rPr>
            <sz val="10"/>
            <color indexed="81"/>
            <rFont val="Lucida Console"/>
            <family val="3"/>
          </rPr>
          <t>_x000D_
LAPIS, BORRACHA, APONTADORES, REGUAS E CORRETIVOS P/ ESCRIT.</t>
        </r>
      </text>
    </comment>
    <comment ref="AW640" authorId="0" shapeId="0" xr:uid="{75077D68-54F9-4768-93EF-2F23D9091F34}">
      <text>
        <r>
          <rPr>
            <sz val="10"/>
            <color indexed="81"/>
            <rFont val="Lucida Console"/>
            <family val="3"/>
          </rPr>
          <t>Tempo de Estoque (Meses)_x000D_
_x000D_
11.393,0</t>
        </r>
      </text>
    </comment>
    <comment ref="A641" authorId="0" shapeId="0" xr:uid="{21115057-E135-4645-BFE4-DAAD83B5B297}">
      <text>
        <r>
          <rPr>
            <sz val="10"/>
            <color indexed="81"/>
            <rFont val="Lucida Console"/>
            <family val="3"/>
          </rPr>
          <t>_x000D_
131930</t>
        </r>
      </text>
    </comment>
    <comment ref="B641" authorId="0" shapeId="0" xr:uid="{E490EE66-2BF6-4B1C-9D31-A4B4DD723BD9}">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41" authorId="0" shapeId="0" xr:uid="{0B4374F9-9770-4DC4-BDE7-614EB5F0EA1C}">
      <text>
        <r>
          <rPr>
            <sz val="10"/>
            <color indexed="81"/>
            <rFont val="Lucida Console"/>
            <family val="3"/>
          </rPr>
          <t>_x000D_
Pedagógico</t>
        </r>
      </text>
    </comment>
    <comment ref="X641" authorId="0" shapeId="0" xr:uid="{F29C0611-0123-425D-A550-E1400702215C}">
      <text>
        <r>
          <rPr>
            <sz val="10"/>
            <color indexed="81"/>
            <rFont val="Lucida Console"/>
            <family val="3"/>
          </rPr>
          <t>_x000D_
MAQ., EQUIP., COMP., ACES., MAT. PARA ESCRIT.E ESCOLAR</t>
        </r>
      </text>
    </comment>
    <comment ref="Y641" authorId="0" shapeId="0" xr:uid="{2ADC014E-35F3-465B-9606-5B5448E8C174}">
      <text>
        <r>
          <rPr>
            <sz val="10"/>
            <color indexed="81"/>
            <rFont val="Lucida Console"/>
            <family val="3"/>
          </rPr>
          <t>_x000D_
LAPIS, BORRACHA, APONTADORES, REGUAS E CORRETIVOS P/ ESCRIT.</t>
        </r>
      </text>
    </comment>
    <comment ref="AW641" authorId="0" shapeId="0" xr:uid="{2BBB294E-A49F-4EC2-B1BE-578E9270D79F}">
      <text>
        <r>
          <rPr>
            <sz val="10"/>
            <color indexed="81"/>
            <rFont val="Lucida Console"/>
            <family val="3"/>
          </rPr>
          <t>Tempo de Estoque (Meses)_x000D_
_x000D_
11.504,0</t>
        </r>
      </text>
    </comment>
    <comment ref="A642" authorId="0" shapeId="0" xr:uid="{7A12F94C-96A0-4D2B-93FD-FC291C265A70}">
      <text>
        <r>
          <rPr>
            <sz val="10"/>
            <color indexed="81"/>
            <rFont val="Lucida Console"/>
            <family val="3"/>
          </rPr>
          <t>_x000D_
131937</t>
        </r>
      </text>
    </comment>
    <comment ref="B642" authorId="0" shapeId="0" xr:uid="{690810D8-61E4-4432-AA0E-D20CDF5496DB}">
      <text>
        <r>
          <rPr>
            <sz val="10"/>
            <color indexed="81"/>
            <rFont val="Lucida Console"/>
            <family val="3"/>
          </rPr>
          <t xml:space="preserve">DESCRIÇÃO DETALHADA_x000D_
PINCEL PARA PINTURA, CABO EM MADEIRA CURTO, FORMATO BROXA REDONDO, CERDA GRIS, TAMANHO 4. </t>
        </r>
      </text>
    </comment>
    <comment ref="W642" authorId="0" shapeId="0" xr:uid="{5E5A60B4-9C25-4678-B130-2A9F56822984}">
      <text>
        <r>
          <rPr>
            <sz val="10"/>
            <color indexed="81"/>
            <rFont val="Lucida Console"/>
            <family val="3"/>
          </rPr>
          <t>_x000D_
Pedagógico</t>
        </r>
      </text>
    </comment>
    <comment ref="X642" authorId="0" shapeId="0" xr:uid="{1FF6FC52-E52D-4F7D-907A-6B1ADAF2D380}">
      <text>
        <r>
          <rPr>
            <sz val="10"/>
            <color indexed="81"/>
            <rFont val="Lucida Console"/>
            <family val="3"/>
          </rPr>
          <t>_x000D_
MAQ., EQUIP., COMP., ACES., MAT. PARA ESCRIT.E ESCOLAR</t>
        </r>
      </text>
    </comment>
    <comment ref="Y642" authorId="0" shapeId="0" xr:uid="{E40F6794-DFFB-4C36-8329-D373371D3DD8}">
      <text>
        <r>
          <rPr>
            <sz val="10"/>
            <color indexed="81"/>
            <rFont val="Lucida Console"/>
            <family val="3"/>
          </rPr>
          <t>_x000D_
LAPIS, BORRACHA, APONTADORES, REGUAS E CORRETIVOS P/ ESCRIT.</t>
        </r>
      </text>
    </comment>
    <comment ref="AW642" authorId="0" shapeId="0" xr:uid="{BFE57D65-EA69-4B9B-A50B-E0A6AD6BC8D4}">
      <text>
        <r>
          <rPr>
            <sz val="10"/>
            <color indexed="81"/>
            <rFont val="Lucida Console"/>
            <family val="3"/>
          </rPr>
          <t>Tempo de Estoque (Meses)_x000D_
_x000D_
1.450,0</t>
        </r>
      </text>
    </comment>
    <comment ref="A643" authorId="0" shapeId="0" xr:uid="{BB06AE27-5B1C-4A7D-9F80-C126EF1CA572}">
      <text>
        <r>
          <rPr>
            <sz val="10"/>
            <color indexed="81"/>
            <rFont val="Lucida Console"/>
            <family val="3"/>
          </rPr>
          <t>_x000D_
135701</t>
        </r>
      </text>
    </comment>
    <comment ref="B643" authorId="0" shapeId="0" xr:uid="{202E6DB1-66D9-4D7B-88B2-3AAB40207B6E}">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43" authorId="0" shapeId="0" xr:uid="{EDF37160-BBF4-4745-9ABB-2364ED494093}">
      <text>
        <r>
          <rPr>
            <sz val="10"/>
            <color indexed="81"/>
            <rFont val="Lucida Console"/>
            <family val="3"/>
          </rPr>
          <t>_x000D_
Pedagógico</t>
        </r>
      </text>
    </comment>
    <comment ref="X643" authorId="0" shapeId="0" xr:uid="{FD820A04-936D-404F-AAEE-AB065C10AB69}">
      <text>
        <r>
          <rPr>
            <sz val="10"/>
            <color indexed="81"/>
            <rFont val="Lucida Console"/>
            <family val="3"/>
          </rPr>
          <t>_x000D_
MAQ., EQUIP., COMP., ACES., MAT. PARA ESCRIT.E ESCOLAR</t>
        </r>
      </text>
    </comment>
    <comment ref="Y643" authorId="0" shapeId="0" xr:uid="{0F435419-ECF9-4F96-A9A9-B6CA1C9F53BD}">
      <text>
        <r>
          <rPr>
            <sz val="10"/>
            <color indexed="81"/>
            <rFont val="Lucida Console"/>
            <family val="3"/>
          </rPr>
          <t>_x000D_
LAPIS, BORRACHA, APONTADORES, REGUAS E CORRETIVOS P/ ESCRIT.</t>
        </r>
      </text>
    </comment>
    <comment ref="AW643" authorId="0" shapeId="0" xr:uid="{2DA8150F-0B2B-4040-B6D4-E2ABDA87237B}">
      <text>
        <r>
          <rPr>
            <sz val="10"/>
            <color indexed="81"/>
            <rFont val="Lucida Console"/>
            <family val="3"/>
          </rPr>
          <t>Tempo de Estoque (Meses)_x000D_
_x000D_
2.049,0</t>
        </r>
      </text>
    </comment>
    <comment ref="A644" authorId="0" shapeId="0" xr:uid="{E57CE38C-9150-412E-92ED-36BB8D60C2EF}">
      <text>
        <r>
          <rPr>
            <sz val="10"/>
            <color indexed="81"/>
            <rFont val="Lucida Console"/>
            <family val="3"/>
          </rPr>
          <t>_x000D_
138450</t>
        </r>
      </text>
    </comment>
    <comment ref="B644" authorId="0" shapeId="0" xr:uid="{FC39B1DF-8334-4B72-902C-C1B863B430F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44" authorId="0" shapeId="0" xr:uid="{4D7F2862-6872-44B8-B03C-E3E530E3F74D}">
      <text>
        <r>
          <rPr>
            <sz val="10"/>
            <color indexed="81"/>
            <rFont val="Lucida Console"/>
            <family val="3"/>
          </rPr>
          <t>_x000D_
Pedagógico</t>
        </r>
      </text>
    </comment>
    <comment ref="X644" authorId="0" shapeId="0" xr:uid="{8D2FFA6B-EC78-4E37-88AD-16D5CCA2FC80}">
      <text>
        <r>
          <rPr>
            <sz val="10"/>
            <color indexed="81"/>
            <rFont val="Lucida Console"/>
            <family val="3"/>
          </rPr>
          <t>_x000D_
MAQ., EQUIP., COMP., ACES., MAT. PARA ESCRIT.E ESCOLAR</t>
        </r>
      </text>
    </comment>
    <comment ref="Y644" authorId="0" shapeId="0" xr:uid="{FE601CD6-282F-402E-AA3E-4E2F9E784B9F}">
      <text>
        <r>
          <rPr>
            <sz val="10"/>
            <color indexed="81"/>
            <rFont val="Lucida Console"/>
            <family val="3"/>
          </rPr>
          <t>_x000D_
LAPIS, BORRACHA, APONTADORES, REGUAS E CORRETIVOS P/ ESCRIT.</t>
        </r>
      </text>
    </comment>
    <comment ref="AW644" authorId="0" shapeId="0" xr:uid="{37F385D5-5A59-423B-A2E4-BDC6CE68FD15}">
      <text>
        <r>
          <rPr>
            <sz val="10"/>
            <color indexed="81"/>
            <rFont val="Lucida Console"/>
            <family val="3"/>
          </rPr>
          <t>Tempo de Estoque (Meses)_x000D_
_x000D_
20.386,0</t>
        </r>
      </text>
    </comment>
    <comment ref="A645" authorId="0" shapeId="0" xr:uid="{9F7CD834-7268-4B41-8BE4-C56B63D19C6A}">
      <text>
        <r>
          <rPr>
            <sz val="10"/>
            <color indexed="81"/>
            <rFont val="Lucida Console"/>
            <family val="3"/>
          </rPr>
          <t>_x000D_
138451</t>
        </r>
      </text>
    </comment>
    <comment ref="B645" authorId="0" shapeId="0" xr:uid="{C1B9B761-36F9-44BF-AFB1-CC57187FD827}">
      <text>
        <r>
          <rPr>
            <sz val="10"/>
            <color indexed="81"/>
            <rFont val="Lucida Console"/>
            <family val="3"/>
          </rPr>
          <t xml:space="preserve">DESCRIÇÃO DETALHADA_x000D_
BORRACHA BRANCA COMUM NUMERO 20 (SEM CINTA), CONFECCIONADA EM MATERIAL NATURAL E MACIO, ATOXICA. APLICAVEL PARA QUALQUER SUPERFICIE E GRADUACAO DE GRAFITE. MEDIDA: 40MM X 30MM X 10MM (VARIACAO +/- 2MM). PRODUTO CERTIFICADO PELO INMETRO. </t>
        </r>
      </text>
    </comment>
    <comment ref="W645" authorId="0" shapeId="0" xr:uid="{B3DA492D-5CAE-48D2-BEE9-D121010361E9}">
      <text>
        <r>
          <rPr>
            <sz val="10"/>
            <color indexed="81"/>
            <rFont val="Lucida Console"/>
            <family val="3"/>
          </rPr>
          <t>_x000D_
Pedagógico</t>
        </r>
      </text>
    </comment>
    <comment ref="X645" authorId="0" shapeId="0" xr:uid="{C12F133A-7EBB-4E4F-999C-C38574D4C98A}">
      <text>
        <r>
          <rPr>
            <sz val="10"/>
            <color indexed="81"/>
            <rFont val="Lucida Console"/>
            <family val="3"/>
          </rPr>
          <t>_x000D_
MAQ., EQUIP., COMP., ACES., MAT. PARA ESCRIT.E ESCOLAR</t>
        </r>
      </text>
    </comment>
    <comment ref="Y645" authorId="0" shapeId="0" xr:uid="{C5E85965-04F1-42F6-82F8-8D0CBC134E27}">
      <text>
        <r>
          <rPr>
            <sz val="10"/>
            <color indexed="81"/>
            <rFont val="Lucida Console"/>
            <family val="3"/>
          </rPr>
          <t>_x000D_
LAPIS, BORRACHA, APONTADORES, REGUAS E CORRETIVOS P/ ESCRIT.</t>
        </r>
      </text>
    </comment>
    <comment ref="AW645" authorId="0" shapeId="0" xr:uid="{8B1C7934-6755-4707-9B60-448C75A40ECF}">
      <text>
        <r>
          <rPr>
            <sz val="10"/>
            <color indexed="81"/>
            <rFont val="Lucida Console"/>
            <family val="3"/>
          </rPr>
          <t>Tempo de Estoque (Meses)_x000D_
_x000D_
64.557,0</t>
        </r>
      </text>
    </comment>
    <comment ref="A646" authorId="0" shapeId="0" xr:uid="{623A0D1B-9BBA-47CE-9ED3-846832EDF14A}">
      <text>
        <r>
          <rPr>
            <sz val="10"/>
            <color indexed="81"/>
            <rFont val="Lucida Console"/>
            <family val="3"/>
          </rPr>
          <t>_x000D_
138463</t>
        </r>
      </text>
    </comment>
    <comment ref="B646" authorId="0" shapeId="0" xr:uid="{AA75D0F8-9B7B-473B-AA38-4CCDFAC7E03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46" authorId="0" shapeId="0" xr:uid="{8C793D59-58EB-4C79-91C4-6F08BCBA12EE}">
      <text>
        <r>
          <rPr>
            <sz val="10"/>
            <color indexed="81"/>
            <rFont val="Lucida Console"/>
            <family val="3"/>
          </rPr>
          <t>_x000D_
Pedagógico</t>
        </r>
      </text>
    </comment>
    <comment ref="X646" authorId="0" shapeId="0" xr:uid="{FC7A2533-D39A-43AD-9C3A-D101F076F3C2}">
      <text>
        <r>
          <rPr>
            <sz val="10"/>
            <color indexed="81"/>
            <rFont val="Lucida Console"/>
            <family val="3"/>
          </rPr>
          <t>_x000D_
MAQ., EQUIP., COMP., ACES., MAT. PARA ESCRIT.E ESCOLAR</t>
        </r>
      </text>
    </comment>
    <comment ref="Y646" authorId="0" shapeId="0" xr:uid="{2895B8B6-FB39-45F7-81A3-9CAEDBD2556E}">
      <text>
        <r>
          <rPr>
            <sz val="10"/>
            <color indexed="81"/>
            <rFont val="Lucida Console"/>
            <family val="3"/>
          </rPr>
          <t>_x000D_
LAPIS, BORRACHA, APONTADORES, REGUAS E CORRETIVOS P/ ESCRIT.</t>
        </r>
      </text>
    </comment>
    <comment ref="AW646" authorId="0" shapeId="0" xr:uid="{2EA4F613-A940-46CD-8886-90CAB4E5F3C3}">
      <text>
        <r>
          <rPr>
            <sz val="10"/>
            <color indexed="81"/>
            <rFont val="Lucida Console"/>
            <family val="3"/>
          </rPr>
          <t>Tempo de Estoque (Meses)_x000D_
_x000D_
23.964,0</t>
        </r>
      </text>
    </comment>
    <comment ref="A647" authorId="0" shapeId="0" xr:uid="{2446F8D4-35D3-4E9E-AD8F-34A98109BEBC}">
      <text>
        <r>
          <rPr>
            <sz val="10"/>
            <color indexed="81"/>
            <rFont val="Lucida Console"/>
            <family val="3"/>
          </rPr>
          <t>_x000D_
138464</t>
        </r>
      </text>
    </comment>
    <comment ref="B647" authorId="0" shapeId="0" xr:uid="{831788EC-A5BC-4BEC-9627-D6D9F518FFEF}">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47" authorId="0" shapeId="0" xr:uid="{B2C930F2-5BDD-4E24-B728-1D90D89BD9B3}">
      <text>
        <r>
          <rPr>
            <sz val="10"/>
            <color indexed="81"/>
            <rFont val="Lucida Console"/>
            <family val="3"/>
          </rPr>
          <t>_x000D_
Pedagógico</t>
        </r>
      </text>
    </comment>
    <comment ref="X647" authorId="0" shapeId="0" xr:uid="{154FC015-D5FD-43E5-B872-06913F25493A}">
      <text>
        <r>
          <rPr>
            <sz val="10"/>
            <color indexed="81"/>
            <rFont val="Lucida Console"/>
            <family val="3"/>
          </rPr>
          <t>_x000D_
MAQ., EQUIP., COMP., ACES., MAT. PARA ESCRIT.E ESCOLAR</t>
        </r>
      </text>
    </comment>
    <comment ref="Y647" authorId="0" shapeId="0" xr:uid="{13972F79-9003-4E01-9CAC-714455374632}">
      <text>
        <r>
          <rPr>
            <sz val="10"/>
            <color indexed="81"/>
            <rFont val="Lucida Console"/>
            <family val="3"/>
          </rPr>
          <t>_x000D_
LAPIS, BORRACHA, APONTADORES, REGUAS E CORRETIVOS P/ ESCRIT.</t>
        </r>
      </text>
    </comment>
    <comment ref="AW647" authorId="0" shapeId="0" xr:uid="{12D43A80-4B62-4F15-89F0-DC86D839B3F0}">
      <text>
        <r>
          <rPr>
            <sz val="10"/>
            <color indexed="81"/>
            <rFont val="Lucida Console"/>
            <family val="3"/>
          </rPr>
          <t>Tempo de Estoque (Meses)_x000D_
_x000D_
74.640,0</t>
        </r>
      </text>
    </comment>
    <comment ref="A648" authorId="0" shapeId="0" xr:uid="{6E1E3E53-9A5B-4568-8E10-0BACBEAD92A6}">
      <text>
        <r>
          <rPr>
            <sz val="10"/>
            <color indexed="81"/>
            <rFont val="Lucida Console"/>
            <family val="3"/>
          </rPr>
          <t>_x000D_
139144</t>
        </r>
      </text>
    </comment>
    <comment ref="B648" authorId="0" shapeId="0" xr:uid="{3D53D8A2-7812-4C76-A44E-D6C454D77603}">
      <text>
        <r>
          <rPr>
            <sz val="10"/>
            <color indexed="81"/>
            <rFont val="Lucida Console"/>
            <family val="3"/>
          </rPr>
          <t>DESCRIÇÃO DETALHADA_x000D_
PINCEL PARA PINTURA, CABO EM MADEIRA (CURTO OU LONGO), FORMATO CHATO, CERDA BRANCA, TAMANHO 24.</t>
        </r>
      </text>
    </comment>
    <comment ref="W648" authorId="0" shapeId="0" xr:uid="{104A4296-CF8A-45C4-80F9-6A9DC3E601C0}">
      <text>
        <r>
          <rPr>
            <sz val="10"/>
            <color indexed="81"/>
            <rFont val="Lucida Console"/>
            <family val="3"/>
          </rPr>
          <t>_x000D_
Pedagógico</t>
        </r>
      </text>
    </comment>
    <comment ref="X648" authorId="0" shapeId="0" xr:uid="{DF4E2BFB-B555-4121-9342-B092E3AAC653}">
      <text>
        <r>
          <rPr>
            <sz val="10"/>
            <color indexed="81"/>
            <rFont val="Lucida Console"/>
            <family val="3"/>
          </rPr>
          <t>_x000D_
MAQ., EQUIP., COMP., ACES., MAT. PARA ESCRIT.E ESCOLAR</t>
        </r>
      </text>
    </comment>
    <comment ref="Y648" authorId="0" shapeId="0" xr:uid="{87C51694-2BBB-49F7-AF06-71DE80987436}">
      <text>
        <r>
          <rPr>
            <sz val="10"/>
            <color indexed="81"/>
            <rFont val="Lucida Console"/>
            <family val="3"/>
          </rPr>
          <t>_x000D_
LAPIS, BORRACHA, APONTADORES, REGUAS E CORRETIVOS P/ ESCRIT.</t>
        </r>
      </text>
    </comment>
    <comment ref="AW648" authorId="0" shapeId="0" xr:uid="{D9D953BB-1844-4731-8770-48F65890C5B0}">
      <text>
        <r>
          <rPr>
            <sz val="10"/>
            <color indexed="81"/>
            <rFont val="Lucida Console"/>
            <family val="3"/>
          </rPr>
          <t>Tempo de Estoque (Meses)_x000D_
_x000D_
1.757,0</t>
        </r>
      </text>
    </comment>
    <comment ref="A649" authorId="0" shapeId="0" xr:uid="{AB123060-5FDE-4EAF-A4A9-F2BD52A3431A}">
      <text>
        <r>
          <rPr>
            <sz val="10"/>
            <color indexed="81"/>
            <rFont val="Lucida Console"/>
            <family val="3"/>
          </rPr>
          <t>_x000D_
11418</t>
        </r>
      </text>
    </comment>
    <comment ref="B649" authorId="0" shapeId="0" xr:uid="{F836206A-BFD6-47D1-B039-E75A9AB3DB2B}">
      <text>
        <r>
          <rPr>
            <sz val="10"/>
            <color indexed="81"/>
            <rFont val="Lucida Console"/>
            <family val="3"/>
          </rPr>
          <t>DESCRIÇÃO DETALHADA_x000D_
CANETA P/ RETROPROJETOR - PRETA, PONTA 2 MM</t>
        </r>
      </text>
    </comment>
    <comment ref="W649" authorId="0" shapeId="0" xr:uid="{7C3430A4-3A75-4350-847F-C97917BADDDB}">
      <text>
        <r>
          <rPr>
            <sz val="10"/>
            <color indexed="81"/>
            <rFont val="Lucida Console"/>
            <family val="3"/>
          </rPr>
          <t>_x000D_
Pedagógico</t>
        </r>
      </text>
    </comment>
    <comment ref="X649" authorId="0" shapeId="0" xr:uid="{8E760E73-D8B4-4FE3-A4A8-11B152782E77}">
      <text>
        <r>
          <rPr>
            <sz val="10"/>
            <color indexed="81"/>
            <rFont val="Lucida Console"/>
            <family val="3"/>
          </rPr>
          <t>_x000D_
MAQ., EQUIP., COMP., ACES., MAT. PARA ESCRIT.E ESCOLAR</t>
        </r>
      </text>
    </comment>
    <comment ref="Y649" authorId="0" shapeId="0" xr:uid="{0601C0E4-00DB-43AA-8FF1-19E363214DA7}">
      <text>
        <r>
          <rPr>
            <sz val="10"/>
            <color indexed="81"/>
            <rFont val="Lucida Console"/>
            <family val="3"/>
          </rPr>
          <t>_x000D_
CANETAS</t>
        </r>
      </text>
    </comment>
    <comment ref="AW649" authorId="0" shapeId="0" xr:uid="{328257F9-A89E-40B8-AA1C-F2638D6E0314}">
      <text>
        <r>
          <rPr>
            <sz val="10"/>
            <color indexed="81"/>
            <rFont val="Lucida Console"/>
            <family val="3"/>
          </rPr>
          <t>Tempo de Estoque (Meses)_x000D_
_x000D_
3.478,0</t>
        </r>
      </text>
    </comment>
    <comment ref="A650" authorId="0" shapeId="0" xr:uid="{D3FA859D-8AA8-4BD2-9F69-FD66C4D329BD}">
      <text>
        <r>
          <rPr>
            <sz val="10"/>
            <color indexed="81"/>
            <rFont val="Lucida Console"/>
            <family val="3"/>
          </rPr>
          <t>_x000D_
11509</t>
        </r>
      </text>
    </comment>
    <comment ref="B650" authorId="0" shapeId="0" xr:uid="{BF0CF5CD-5013-45D9-BD1F-7B4C06EC6DC7}">
      <text>
        <r>
          <rPr>
            <sz val="10"/>
            <color indexed="81"/>
            <rFont val="Lucida Console"/>
            <family val="3"/>
          </rPr>
          <t>DESCRIÇÃO DETALHADA_x000D_
CANETA P/ RETROPROJETOR - VERMELHA, PONTA 2 MM</t>
        </r>
      </text>
    </comment>
    <comment ref="W650" authorId="0" shapeId="0" xr:uid="{E1F17C27-668D-4844-91E8-85CC45DB341F}">
      <text>
        <r>
          <rPr>
            <sz val="10"/>
            <color indexed="81"/>
            <rFont val="Lucida Console"/>
            <family val="3"/>
          </rPr>
          <t>_x000D_
Pedagógico</t>
        </r>
      </text>
    </comment>
    <comment ref="X650" authorId="0" shapeId="0" xr:uid="{0F658730-E80D-49D2-8E09-0A750D997222}">
      <text>
        <r>
          <rPr>
            <sz val="10"/>
            <color indexed="81"/>
            <rFont val="Lucida Console"/>
            <family val="3"/>
          </rPr>
          <t>_x000D_
MAQ., EQUIP., COMP., ACES., MAT. PARA ESCRIT.E ESCOLAR</t>
        </r>
      </text>
    </comment>
    <comment ref="Y650" authorId="0" shapeId="0" xr:uid="{3E4610B0-90B5-46B9-8913-E02CBD8BB648}">
      <text>
        <r>
          <rPr>
            <sz val="10"/>
            <color indexed="81"/>
            <rFont val="Lucida Console"/>
            <family val="3"/>
          </rPr>
          <t>_x000D_
CANETAS</t>
        </r>
      </text>
    </comment>
    <comment ref="AW650" authorId="0" shapeId="0" xr:uid="{03DD13BA-C3B6-44CA-A138-5583B5FAFF54}">
      <text>
        <r>
          <rPr>
            <sz val="10"/>
            <color indexed="81"/>
            <rFont val="Lucida Console"/>
            <family val="3"/>
          </rPr>
          <t>Tempo de Estoque (Meses)_x000D_
_x000D_
3.819,0</t>
        </r>
      </text>
    </comment>
    <comment ref="A651" authorId="0" shapeId="0" xr:uid="{D6ECC6F0-B099-4FE4-A261-4B7E1E9782B5}">
      <text>
        <r>
          <rPr>
            <sz val="10"/>
            <color indexed="81"/>
            <rFont val="Lucida Console"/>
            <family val="3"/>
          </rPr>
          <t>_x000D_
132646</t>
        </r>
      </text>
    </comment>
    <comment ref="B651" authorId="0" shapeId="0" xr:uid="{3E00C430-87E5-4647-982D-8EF7A2742B82}">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51" authorId="0" shapeId="0" xr:uid="{01B676C0-9EF0-419A-A2B6-5CE61F7099AA}">
      <text>
        <r>
          <rPr>
            <sz val="10"/>
            <color indexed="81"/>
            <rFont val="Lucida Console"/>
            <family val="3"/>
          </rPr>
          <t>_x000D_
Pedagógico</t>
        </r>
      </text>
    </comment>
    <comment ref="X651" authorId="0" shapeId="0" xr:uid="{54EA2113-FAB0-46B0-9344-1F9D4AA24FA0}">
      <text>
        <r>
          <rPr>
            <sz val="10"/>
            <color indexed="81"/>
            <rFont val="Lucida Console"/>
            <family val="3"/>
          </rPr>
          <t>_x000D_
MAQ., EQUIP., COMP., ACES., MAT. PARA ESCRIT.E ESCOLAR</t>
        </r>
      </text>
    </comment>
    <comment ref="Y651" authorId="0" shapeId="0" xr:uid="{CF943DC4-D020-4319-ACB1-0375DA7681C2}">
      <text>
        <r>
          <rPr>
            <sz val="10"/>
            <color indexed="81"/>
            <rFont val="Lucida Console"/>
            <family val="3"/>
          </rPr>
          <t>_x000D_
CANETAS</t>
        </r>
      </text>
    </comment>
    <comment ref="AW651" authorId="0" shapeId="0" xr:uid="{6DFC8EA1-09D1-48D7-B794-FDEB23BF4DCA}">
      <text>
        <r>
          <rPr>
            <sz val="10"/>
            <color indexed="81"/>
            <rFont val="Lucida Console"/>
            <family val="3"/>
          </rPr>
          <t>Tempo de Estoque (Meses)_x000D_
_x000D_
7.883,0</t>
        </r>
      </text>
    </comment>
    <comment ref="A652" authorId="0" shapeId="0" xr:uid="{B6E6DE89-5858-4EDA-A851-1A59F4D3AB84}">
      <text>
        <r>
          <rPr>
            <sz val="10"/>
            <color indexed="81"/>
            <rFont val="Lucida Console"/>
            <family val="3"/>
          </rPr>
          <t>_x000D_
132647</t>
        </r>
      </text>
    </comment>
    <comment ref="B652" authorId="0" shapeId="0" xr:uid="{7A731F44-56C8-4A6F-9E80-FB9D770D1D5B}">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52" authorId="0" shapeId="0" xr:uid="{AC77F9A3-189F-4BAE-9CD4-671E4A6116E8}">
      <text>
        <r>
          <rPr>
            <sz val="10"/>
            <color indexed="81"/>
            <rFont val="Lucida Console"/>
            <family val="3"/>
          </rPr>
          <t>_x000D_
Pedagógico</t>
        </r>
      </text>
    </comment>
    <comment ref="X652" authorId="0" shapeId="0" xr:uid="{B8099C14-0149-4F9A-AAEE-E3BF04E855AD}">
      <text>
        <r>
          <rPr>
            <sz val="10"/>
            <color indexed="81"/>
            <rFont val="Lucida Console"/>
            <family val="3"/>
          </rPr>
          <t>_x000D_
MAQ., EQUIP., COMP., ACES., MAT. PARA ESCRIT.E ESCOLAR</t>
        </r>
      </text>
    </comment>
    <comment ref="Y652" authorId="0" shapeId="0" xr:uid="{05EEADB1-C7A7-4DB5-B381-2A188CC63A9A}">
      <text>
        <r>
          <rPr>
            <sz val="10"/>
            <color indexed="81"/>
            <rFont val="Lucida Console"/>
            <family val="3"/>
          </rPr>
          <t>_x000D_
CANETAS</t>
        </r>
      </text>
    </comment>
    <comment ref="AW652" authorId="0" shapeId="0" xr:uid="{5A225E2C-0CD6-4AB3-8919-6E5034E29CBB}">
      <text>
        <r>
          <rPr>
            <sz val="10"/>
            <color indexed="81"/>
            <rFont val="Lucida Console"/>
            <family val="3"/>
          </rPr>
          <t>Tempo de Estoque (Meses)_x000D_
_x000D_
4.785,0</t>
        </r>
      </text>
    </comment>
    <comment ref="A653" authorId="0" shapeId="0" xr:uid="{7CB10A39-3DC1-453F-87C7-036E6ED2AC9C}">
      <text>
        <r>
          <rPr>
            <sz val="10"/>
            <color indexed="81"/>
            <rFont val="Lucida Console"/>
            <family val="3"/>
          </rPr>
          <t>_x000D_
132649</t>
        </r>
      </text>
    </comment>
    <comment ref="B653" authorId="0" shapeId="0" xr:uid="{0BD24CF7-C90A-4658-8C36-88254CA632C3}">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53" authorId="0" shapeId="0" xr:uid="{03C86B09-A5E8-47E6-960C-03C38AA07218}">
      <text>
        <r>
          <rPr>
            <sz val="10"/>
            <color indexed="81"/>
            <rFont val="Lucida Console"/>
            <family val="3"/>
          </rPr>
          <t>_x000D_
Pedagógico</t>
        </r>
      </text>
    </comment>
    <comment ref="X653" authorId="0" shapeId="0" xr:uid="{A7F059C3-A087-4BE3-AF65-EC7BD6F08D46}">
      <text>
        <r>
          <rPr>
            <sz val="10"/>
            <color indexed="81"/>
            <rFont val="Lucida Console"/>
            <family val="3"/>
          </rPr>
          <t>_x000D_
MAQ., EQUIP., COMP., ACES., MAT. PARA ESCRIT.E ESCOLAR</t>
        </r>
      </text>
    </comment>
    <comment ref="Y653" authorId="0" shapeId="0" xr:uid="{01C62F01-6FC6-46B0-8C62-960D308B640A}">
      <text>
        <r>
          <rPr>
            <sz val="10"/>
            <color indexed="81"/>
            <rFont val="Lucida Console"/>
            <family val="3"/>
          </rPr>
          <t>_x000D_
CANETAS</t>
        </r>
      </text>
    </comment>
    <comment ref="AW653" authorId="0" shapeId="0" xr:uid="{5549B3AE-2CD4-4092-A4E8-713584AD492A}">
      <text>
        <r>
          <rPr>
            <sz val="10"/>
            <color indexed="81"/>
            <rFont val="Lucida Console"/>
            <family val="3"/>
          </rPr>
          <t>Tempo de Estoque (Meses)_x000D_
_x000D_
4.300,0</t>
        </r>
      </text>
    </comment>
    <comment ref="A654" authorId="0" shapeId="0" xr:uid="{5CDDDC8D-E79C-4D7E-A2AB-9015F0B160CE}">
      <text>
        <r>
          <rPr>
            <sz val="10"/>
            <color indexed="81"/>
            <rFont val="Lucida Console"/>
            <family val="3"/>
          </rPr>
          <t>_x000D_
132655</t>
        </r>
      </text>
    </comment>
    <comment ref="B654" authorId="0" shapeId="0" xr:uid="{14B203BA-BF93-49D0-867E-EB7714F170E0}">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54" authorId="0" shapeId="0" xr:uid="{F02D7717-1451-43BE-B7A8-66819BE189CE}">
      <text>
        <r>
          <rPr>
            <sz val="10"/>
            <color indexed="81"/>
            <rFont val="Lucida Console"/>
            <family val="3"/>
          </rPr>
          <t>_x000D_
Pedagógico</t>
        </r>
      </text>
    </comment>
    <comment ref="X654" authorId="0" shapeId="0" xr:uid="{D5E26D02-3C73-42E2-9610-7279DA4453A3}">
      <text>
        <r>
          <rPr>
            <sz val="10"/>
            <color indexed="81"/>
            <rFont val="Lucida Console"/>
            <family val="3"/>
          </rPr>
          <t>_x000D_
MAQ., EQUIP., COMP., ACES., MAT. PARA ESCRIT.E ESCOLAR</t>
        </r>
      </text>
    </comment>
    <comment ref="Y654" authorId="0" shapeId="0" xr:uid="{9F8FA6DE-B5B6-4E6B-808B-CD0B95F489DB}">
      <text>
        <r>
          <rPr>
            <sz val="10"/>
            <color indexed="81"/>
            <rFont val="Lucida Console"/>
            <family val="3"/>
          </rPr>
          <t>_x000D_
CANETAS</t>
        </r>
      </text>
    </comment>
    <comment ref="AW654" authorId="0" shapeId="0" xr:uid="{AE53C487-009E-4C01-B398-007276CF6321}">
      <text>
        <r>
          <rPr>
            <sz val="10"/>
            <color indexed="81"/>
            <rFont val="Lucida Console"/>
            <family val="3"/>
          </rPr>
          <t>Tempo de Estoque (Meses)_x000D_
_x000D_
11.241,0</t>
        </r>
      </text>
    </comment>
    <comment ref="A655" authorId="0" shapeId="0" xr:uid="{B89462FE-252D-4C44-B97D-D8F99137D8C6}">
      <text>
        <r>
          <rPr>
            <sz val="10"/>
            <color indexed="81"/>
            <rFont val="Lucida Console"/>
            <family val="3"/>
          </rPr>
          <t>_x000D_
132656</t>
        </r>
      </text>
    </comment>
    <comment ref="B655" authorId="0" shapeId="0" xr:uid="{75EB160B-2197-448E-81DB-10F8C2E37C2C}">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55" authorId="0" shapeId="0" xr:uid="{21D1344C-D566-46A5-AA5C-20356B3B0DBA}">
      <text>
        <r>
          <rPr>
            <sz val="10"/>
            <color indexed="81"/>
            <rFont val="Lucida Console"/>
            <family val="3"/>
          </rPr>
          <t>_x000D_
Pedagógico</t>
        </r>
      </text>
    </comment>
    <comment ref="X655" authorId="0" shapeId="0" xr:uid="{510E13DA-A50A-4936-9458-C7492DCBD88A}">
      <text>
        <r>
          <rPr>
            <sz val="10"/>
            <color indexed="81"/>
            <rFont val="Lucida Console"/>
            <family val="3"/>
          </rPr>
          <t>_x000D_
MAQ., EQUIP., COMP., ACES., MAT. PARA ESCRIT.E ESCOLAR</t>
        </r>
      </text>
    </comment>
    <comment ref="Y655" authorId="0" shapeId="0" xr:uid="{227D063C-8804-4437-8561-542E1FA8315F}">
      <text>
        <r>
          <rPr>
            <sz val="10"/>
            <color indexed="81"/>
            <rFont val="Lucida Console"/>
            <family val="3"/>
          </rPr>
          <t>_x000D_
CANETAS</t>
        </r>
      </text>
    </comment>
    <comment ref="AW655" authorId="0" shapeId="0" xr:uid="{9E7E927C-D530-441A-8805-D2B3EA519B11}">
      <text>
        <r>
          <rPr>
            <sz val="10"/>
            <color indexed="81"/>
            <rFont val="Lucida Console"/>
            <family val="3"/>
          </rPr>
          <t>Tempo de Estoque (Meses)_x000D_
_x000D_
11.287,0</t>
        </r>
      </text>
    </comment>
    <comment ref="A656" authorId="0" shapeId="0" xr:uid="{F04BF475-E8D1-4546-9064-9E87368F283D}">
      <text>
        <r>
          <rPr>
            <sz val="10"/>
            <color indexed="81"/>
            <rFont val="Lucida Console"/>
            <family val="3"/>
          </rPr>
          <t>_x000D_
23581</t>
        </r>
      </text>
    </comment>
    <comment ref="B656" authorId="0" shapeId="0" xr:uid="{BC407443-FCD8-4430-87F4-89C045C8C90B}">
      <text>
        <r>
          <rPr>
            <sz val="10"/>
            <color indexed="81"/>
            <rFont val="Lucida Console"/>
            <family val="3"/>
          </rPr>
          <t>DESCRIÇÃO DETALHADA_x000D_
ENVELOPE BRANCO - OFICIO - 114 X 229 MM- GRAMATURA MINIMA 63 G/M²</t>
        </r>
      </text>
    </comment>
    <comment ref="W656" authorId="0" shapeId="0" xr:uid="{F6A3F2F4-1CA8-4403-9938-D9520F2BD4B1}">
      <text>
        <r>
          <rPr>
            <sz val="10"/>
            <color indexed="81"/>
            <rFont val="Lucida Console"/>
            <family val="3"/>
          </rPr>
          <t>_x000D_
Pedagógico</t>
        </r>
      </text>
    </comment>
    <comment ref="X656" authorId="0" shapeId="0" xr:uid="{B3917CEA-C07A-4E00-80D3-EE96D88C2A05}">
      <text>
        <r>
          <rPr>
            <sz val="10"/>
            <color indexed="81"/>
            <rFont val="Lucida Console"/>
            <family val="3"/>
          </rPr>
          <t>_x000D_
MAQ., EQUIP., COMP., ACES., MAT. PARA ESCRIT.E ESCOLAR</t>
        </r>
      </text>
    </comment>
    <comment ref="Y656" authorId="0" shapeId="0" xr:uid="{6E32183B-2DF8-4D78-9C60-E7BB730EB0C0}">
      <text>
        <r>
          <rPr>
            <sz val="10"/>
            <color indexed="81"/>
            <rFont val="Lucida Console"/>
            <family val="3"/>
          </rPr>
          <t>_x000D_
CAPAS, CLASSIF., PRANCHETAS, CADERNOS, ENVELOPES, PASTAS, FICHAS, LIVROS</t>
        </r>
      </text>
    </comment>
    <comment ref="AW656" authorId="0" shapeId="0" xr:uid="{7D50A0AB-1974-47F8-A502-CB5270087185}">
      <text>
        <r>
          <rPr>
            <sz val="10"/>
            <color indexed="81"/>
            <rFont val="Lucida Console"/>
            <family val="3"/>
          </rPr>
          <t>Tempo de Estoque (Meses)_x000D_
_x000D_
15.851,0</t>
        </r>
      </text>
    </comment>
    <comment ref="A657" authorId="0" shapeId="0" xr:uid="{59DE705B-F376-4AC6-BB49-DED80B8C8146}">
      <text>
        <r>
          <rPr>
            <sz val="10"/>
            <color indexed="81"/>
            <rFont val="Lucida Console"/>
            <family val="3"/>
          </rPr>
          <t>_x000D_
59074</t>
        </r>
      </text>
    </comment>
    <comment ref="B657" authorId="0" shapeId="0" xr:uid="{D5441A98-D3FD-4BBD-8F23-AD98587647B9}">
      <text>
        <r>
          <rPr>
            <sz val="10"/>
            <color indexed="81"/>
            <rFont val="Lucida Console"/>
            <family val="3"/>
          </rPr>
          <t>DESCRIÇÃO DETALHADA_x000D_
BLOCO P/ RECADOS AUTO COLANTE - MED 76 X 102 MM - BLOCO COM 100 UNIDADES</t>
        </r>
      </text>
    </comment>
    <comment ref="W657" authorId="0" shapeId="0" xr:uid="{7FF253F4-48EF-42AB-B1EB-7AC56A96B5C9}">
      <text>
        <r>
          <rPr>
            <sz val="10"/>
            <color indexed="81"/>
            <rFont val="Lucida Console"/>
            <family val="3"/>
          </rPr>
          <t>_x000D_
Pedagógico</t>
        </r>
      </text>
    </comment>
    <comment ref="X657" authorId="0" shapeId="0" xr:uid="{8A366690-3B0D-4DCA-8F47-519E0FA5776F}">
      <text>
        <r>
          <rPr>
            <sz val="10"/>
            <color indexed="81"/>
            <rFont val="Lucida Console"/>
            <family val="3"/>
          </rPr>
          <t>_x000D_
MAQ., EQUIP., COMP., ACES., MAT. PARA ESCRIT.E ESCOLAR</t>
        </r>
      </text>
    </comment>
    <comment ref="Y657" authorId="0" shapeId="0" xr:uid="{04FD2682-E09C-44C8-984C-EA1F4F3E211D}">
      <text>
        <r>
          <rPr>
            <sz val="10"/>
            <color indexed="81"/>
            <rFont val="Lucida Console"/>
            <family val="3"/>
          </rPr>
          <t>_x000D_
CAPAS, CLASSIF., PRANCHETAS, CADERNOS, ENVELOPES, PASTAS, FICHAS, LIVROS</t>
        </r>
      </text>
    </comment>
    <comment ref="AW657" authorId="0" shapeId="0" xr:uid="{D565F4FE-33AE-4BC0-ABB1-6E1030EB43DD}">
      <text>
        <r>
          <rPr>
            <sz val="10"/>
            <color indexed="81"/>
            <rFont val="Lucida Console"/>
            <family val="3"/>
          </rPr>
          <t>Tempo de Estoque (Meses)_x000D_
_x000D_
1.000,0</t>
        </r>
      </text>
    </comment>
    <comment ref="A658" authorId="0" shapeId="0" xr:uid="{F19DD2B8-D963-4246-92F9-68FC3BDA2B0B}">
      <text>
        <r>
          <rPr>
            <sz val="10"/>
            <color indexed="81"/>
            <rFont val="Lucida Console"/>
            <family val="3"/>
          </rPr>
          <t>_x000D_
69222</t>
        </r>
      </text>
    </comment>
    <comment ref="B658" authorId="0" shapeId="0" xr:uid="{CEAA55C1-C004-4AB8-9B68-9C19E0713872}">
      <text>
        <r>
          <rPr>
            <sz val="10"/>
            <color indexed="81"/>
            <rFont val="Lucida Console"/>
            <family val="3"/>
          </rPr>
          <t>DESCRIÇÃO DETALHADA_x000D_
BLOCO P/ RECADOS AUTO COLANTE - MED. 38 X 51 MM - BLOCO COM 100 UNIDADES</t>
        </r>
      </text>
    </comment>
    <comment ref="W658" authorId="0" shapeId="0" xr:uid="{E864C539-24ED-47A9-A1BE-4D06E220FC71}">
      <text>
        <r>
          <rPr>
            <sz val="10"/>
            <color indexed="81"/>
            <rFont val="Lucida Console"/>
            <family val="3"/>
          </rPr>
          <t>_x000D_
Pedagógico</t>
        </r>
      </text>
    </comment>
    <comment ref="X658" authorId="0" shapeId="0" xr:uid="{2737AA1A-E1FA-4783-B92D-486F7727EA80}">
      <text>
        <r>
          <rPr>
            <sz val="10"/>
            <color indexed="81"/>
            <rFont val="Lucida Console"/>
            <family val="3"/>
          </rPr>
          <t>_x000D_
MAQ., EQUIP., COMP., ACES., MAT. PARA ESCRIT.E ESCOLAR</t>
        </r>
      </text>
    </comment>
    <comment ref="Y658" authorId="0" shapeId="0" xr:uid="{8A324226-F2F3-4826-92F3-1924F9E2FEAB}">
      <text>
        <r>
          <rPr>
            <sz val="10"/>
            <color indexed="81"/>
            <rFont val="Lucida Console"/>
            <family val="3"/>
          </rPr>
          <t>_x000D_
CAPAS, CLASSIF., PRANCHETAS, CADERNOS, ENVELOPES, PASTAS, FICHAS, LIVROS</t>
        </r>
      </text>
    </comment>
    <comment ref="AW658" authorId="0" shapeId="0" xr:uid="{8AB41A28-C39D-4DDC-9ADA-C24FF4966041}">
      <text>
        <r>
          <rPr>
            <sz val="10"/>
            <color indexed="81"/>
            <rFont val="Lucida Console"/>
            <family val="3"/>
          </rPr>
          <t>Tempo de Estoque (Meses)_x000D_
_x000D_
1.500,0</t>
        </r>
      </text>
    </comment>
    <comment ref="A659" authorId="0" shapeId="0" xr:uid="{D09770B7-7027-4EAA-A53A-28A17D7A2770}">
      <text>
        <r>
          <rPr>
            <sz val="10"/>
            <color indexed="81"/>
            <rFont val="Lucida Console"/>
            <family val="3"/>
          </rPr>
          <t>_x000D_
79687</t>
        </r>
      </text>
    </comment>
    <comment ref="B659" authorId="0" shapeId="0" xr:uid="{CC54E7FC-237D-40DB-B621-1F7ECA295704}">
      <text>
        <r>
          <rPr>
            <sz val="10"/>
            <color indexed="81"/>
            <rFont val="Lucida Console"/>
            <family val="3"/>
          </rPr>
          <t>DESCRIÇÃO DETALHADA_x000D_
CAPA EM POLIPROPILENO, TAMANHO A4, 0,30 MM DE ESPESSURA, TRANSPARENTE</t>
        </r>
      </text>
    </comment>
    <comment ref="W659" authorId="0" shapeId="0" xr:uid="{EDABC183-47FA-46C8-BA1A-759D9689FA02}">
      <text>
        <r>
          <rPr>
            <sz val="10"/>
            <color indexed="81"/>
            <rFont val="Lucida Console"/>
            <family val="3"/>
          </rPr>
          <t>_x000D_
Pedagógico</t>
        </r>
      </text>
    </comment>
    <comment ref="X659" authorId="0" shapeId="0" xr:uid="{20F2F021-914D-4479-8CDF-D7BDE836AE54}">
      <text>
        <r>
          <rPr>
            <sz val="10"/>
            <color indexed="81"/>
            <rFont val="Lucida Console"/>
            <family val="3"/>
          </rPr>
          <t>_x000D_
MAQ., EQUIP., COMP., ACES., MAT. PARA ESCRIT.E ESCOLAR</t>
        </r>
      </text>
    </comment>
    <comment ref="Y659" authorId="0" shapeId="0" xr:uid="{467388A2-29CC-4CC6-8BB3-ACDDC9215197}">
      <text>
        <r>
          <rPr>
            <sz val="10"/>
            <color indexed="81"/>
            <rFont val="Lucida Console"/>
            <family val="3"/>
          </rPr>
          <t>_x000D_
CAPAS, CLASSIF., PRANCHETAS, CADERNOS, ENVELOPES, PASTAS, FICHAS, LIVROS</t>
        </r>
      </text>
    </comment>
    <comment ref="AW659" authorId="0" shapeId="0" xr:uid="{4E36C2F4-C60D-45F2-8833-C1F2EBFF9751}">
      <text>
        <r>
          <rPr>
            <sz val="10"/>
            <color indexed="81"/>
            <rFont val="Lucida Console"/>
            <family val="3"/>
          </rPr>
          <t>Tempo de Estoque (Meses)_x000D_
_x000D_
15.049,0</t>
        </r>
      </text>
    </comment>
    <comment ref="A660" authorId="0" shapeId="0" xr:uid="{E150A61C-1C0E-465B-A73D-5DE738EB8B7F}">
      <text>
        <r>
          <rPr>
            <sz val="10"/>
            <color indexed="81"/>
            <rFont val="Lucida Console"/>
            <family val="3"/>
          </rPr>
          <t>_x000D_
79688</t>
        </r>
      </text>
    </comment>
    <comment ref="B660" authorId="0" shapeId="0" xr:uid="{39BF68B3-6B9B-46CB-820C-1BDCDDDA114A}">
      <text>
        <r>
          <rPr>
            <sz val="10"/>
            <color indexed="81"/>
            <rFont val="Lucida Console"/>
            <family val="3"/>
          </rPr>
          <t>DESCRIÇÃO DETALHADA_x000D_
CAPA EM POLIPROPILENO, TAMANHO A4, 0,30 MM DE ESPESSURA, PRETO</t>
        </r>
      </text>
    </comment>
    <comment ref="W660" authorId="0" shapeId="0" xr:uid="{F52C7062-BA9D-4ADA-B54F-98262D70969F}">
      <text>
        <r>
          <rPr>
            <sz val="10"/>
            <color indexed="81"/>
            <rFont val="Lucida Console"/>
            <family val="3"/>
          </rPr>
          <t>_x000D_
Pedagógico</t>
        </r>
      </text>
    </comment>
    <comment ref="X660" authorId="0" shapeId="0" xr:uid="{9A10D3BE-68C6-4D49-8A0C-DD6FC2A3A2DF}">
      <text>
        <r>
          <rPr>
            <sz val="10"/>
            <color indexed="81"/>
            <rFont val="Lucida Console"/>
            <family val="3"/>
          </rPr>
          <t>_x000D_
MAQ., EQUIP., COMP., ACES., MAT. PARA ESCRIT.E ESCOLAR</t>
        </r>
      </text>
    </comment>
    <comment ref="Y660" authorId="0" shapeId="0" xr:uid="{C48DADF0-0040-43CD-99AE-FE9FC358FAEA}">
      <text>
        <r>
          <rPr>
            <sz val="10"/>
            <color indexed="81"/>
            <rFont val="Lucida Console"/>
            <family val="3"/>
          </rPr>
          <t>_x000D_
CAPAS, CLASSIF., PRANCHETAS, CADERNOS, ENVELOPES, PASTAS, FICHAS, LIVROS</t>
        </r>
      </text>
    </comment>
    <comment ref="AW660" authorId="0" shapeId="0" xr:uid="{1E1C5148-BC29-4090-BCD5-C67C1BC357FE}">
      <text>
        <r>
          <rPr>
            <sz val="10"/>
            <color indexed="81"/>
            <rFont val="Lucida Console"/>
            <family val="3"/>
          </rPr>
          <t>Tempo de Estoque (Meses)_x000D_
_x000D_
20.784,0</t>
        </r>
      </text>
    </comment>
    <comment ref="A661" authorId="0" shapeId="0" xr:uid="{EFA8C209-E8A1-4F84-9717-5A944848F19F}">
      <text>
        <r>
          <rPr>
            <sz val="10"/>
            <color indexed="81"/>
            <rFont val="Lucida Console"/>
            <family val="3"/>
          </rPr>
          <t>_x000D_
83627</t>
        </r>
      </text>
    </comment>
    <comment ref="B661" authorId="0" shapeId="0" xr:uid="{70FA6FAA-116C-4C7C-8C61-DB345CF38764}">
      <text>
        <r>
          <rPr>
            <sz val="10"/>
            <color indexed="81"/>
            <rFont val="Lucida Console"/>
            <family val="3"/>
          </rPr>
          <t>DESCRIÇÃO DETALHADA_x000D_
SACO PLASTICO - GROSSO - 4 FUROS - TAMANHO OFICIO</t>
        </r>
      </text>
    </comment>
    <comment ref="W661" authorId="0" shapeId="0" xr:uid="{5578A846-ADAF-4BF0-BA9C-C4592CA9582C}">
      <text>
        <r>
          <rPr>
            <sz val="10"/>
            <color indexed="81"/>
            <rFont val="Lucida Console"/>
            <family val="3"/>
          </rPr>
          <t>_x000D_
Pedagógico</t>
        </r>
      </text>
    </comment>
    <comment ref="X661" authorId="0" shapeId="0" xr:uid="{81A0DB3D-70A2-4F7E-A830-AA492DD91C0D}">
      <text>
        <r>
          <rPr>
            <sz val="10"/>
            <color indexed="81"/>
            <rFont val="Lucida Console"/>
            <family val="3"/>
          </rPr>
          <t>_x000D_
MAQ., EQUIP., COMP., ACES., MAT. PARA ESCRIT.E ESCOLAR</t>
        </r>
      </text>
    </comment>
    <comment ref="Y661" authorId="0" shapeId="0" xr:uid="{06B65D34-1BFE-45A3-8C72-9390539139AB}">
      <text>
        <r>
          <rPr>
            <sz val="10"/>
            <color indexed="81"/>
            <rFont val="Lucida Console"/>
            <family val="3"/>
          </rPr>
          <t>_x000D_
CAPAS, CLASSIF., PRANCHETAS, CADERNOS, ENVELOPES, PASTAS, FICHAS, LIVROS</t>
        </r>
      </text>
    </comment>
    <comment ref="AW661" authorId="0" shapeId="0" xr:uid="{FE0B38DF-3F23-4B83-9A77-F794CA1BB1DD}">
      <text>
        <r>
          <rPr>
            <sz val="10"/>
            <color indexed="81"/>
            <rFont val="Lucida Console"/>
            <family val="3"/>
          </rPr>
          <t>Tempo de Estoque (Meses)_x000D_
_x000D_
63.531,0</t>
        </r>
      </text>
    </comment>
    <comment ref="A662" authorId="0" shapeId="0" xr:uid="{E1463BAF-42C3-4C63-8736-4ECC861E053A}">
      <text>
        <r>
          <rPr>
            <sz val="10"/>
            <color indexed="81"/>
            <rFont val="Lucida Console"/>
            <family val="3"/>
          </rPr>
          <t>_x000D_
84878</t>
        </r>
      </text>
    </comment>
    <comment ref="B662" authorId="0" shapeId="0" xr:uid="{A73B1D3B-52F6-4E1B-8E6B-96CF2675A28C}">
      <text>
        <r>
          <rPr>
            <sz val="10"/>
            <color indexed="81"/>
            <rFont val="Lucida Console"/>
            <family val="3"/>
          </rPr>
          <t>DESCRIÇÃO DETALHADA_x000D_
ENVELOPE OURO TIPO SACO 80 X 115 MM- GRAMATURA MINIMA 80 G/M²</t>
        </r>
      </text>
    </comment>
    <comment ref="W662" authorId="0" shapeId="0" xr:uid="{AAEBCC9A-31C0-488E-BD4A-1A1F6499BC70}">
      <text>
        <r>
          <rPr>
            <sz val="10"/>
            <color indexed="81"/>
            <rFont val="Lucida Console"/>
            <family val="3"/>
          </rPr>
          <t>_x000D_
Pedagógico</t>
        </r>
      </text>
    </comment>
    <comment ref="X662" authorId="0" shapeId="0" xr:uid="{816E8820-9859-4DB0-A191-A6E487F6618A}">
      <text>
        <r>
          <rPr>
            <sz val="10"/>
            <color indexed="81"/>
            <rFont val="Lucida Console"/>
            <family val="3"/>
          </rPr>
          <t>_x000D_
MAQ., EQUIP., COMP., ACES., MAT. PARA ESCRIT.E ESCOLAR</t>
        </r>
      </text>
    </comment>
    <comment ref="Y662" authorId="0" shapeId="0" xr:uid="{55CD2D68-05DD-4160-9965-354E29D4FC57}">
      <text>
        <r>
          <rPr>
            <sz val="10"/>
            <color indexed="81"/>
            <rFont val="Lucida Console"/>
            <family val="3"/>
          </rPr>
          <t>_x000D_
CAPAS, CLASSIF., PRANCHETAS, CADERNOS, ENVELOPES, PASTAS, FICHAS, LIVROS</t>
        </r>
      </text>
    </comment>
    <comment ref="AW662" authorId="0" shapeId="0" xr:uid="{F0D00EA6-7257-4511-B9BD-C96B6A626222}">
      <text>
        <r>
          <rPr>
            <sz val="10"/>
            <color indexed="81"/>
            <rFont val="Lucida Console"/>
            <family val="3"/>
          </rPr>
          <t>Tempo de Estoque (Meses)_x000D_
_x000D_
59.886,0</t>
        </r>
      </text>
    </comment>
    <comment ref="A663" authorId="0" shapeId="0" xr:uid="{9945D835-1D80-4630-86F9-47FAC737265F}">
      <text>
        <r>
          <rPr>
            <sz val="10"/>
            <color indexed="81"/>
            <rFont val="Lucida Console"/>
            <family val="3"/>
          </rPr>
          <t>_x000D_
133450</t>
        </r>
      </text>
    </comment>
    <comment ref="B663" authorId="0" shapeId="0" xr:uid="{01AB4F6D-52AE-48C1-A46D-A585BF9DE783}">
      <text>
        <r>
          <rPr>
            <sz val="10"/>
            <color indexed="81"/>
            <rFont val="Lucida Console"/>
            <family val="3"/>
          </rPr>
          <t>DESCRIÇÃO DETALHADA_x000D_
LIVRO DE ATA, CAPA DURA, COM 50 FOLHAS - MEDIDA: 206 X 300 MM (VARIACAO +/- 6 MM)</t>
        </r>
      </text>
    </comment>
    <comment ref="W663" authorId="0" shapeId="0" xr:uid="{3AA0BDC8-604D-4985-A7BC-2702638C1080}">
      <text>
        <r>
          <rPr>
            <sz val="10"/>
            <color indexed="81"/>
            <rFont val="Lucida Console"/>
            <family val="3"/>
          </rPr>
          <t>_x000D_
Pedagógico</t>
        </r>
      </text>
    </comment>
    <comment ref="X663" authorId="0" shapeId="0" xr:uid="{130EF29B-C18D-4BAA-B9E5-0C21F45F3AFE}">
      <text>
        <r>
          <rPr>
            <sz val="10"/>
            <color indexed="81"/>
            <rFont val="Lucida Console"/>
            <family val="3"/>
          </rPr>
          <t>_x000D_
MAQ., EQUIP., COMP., ACES., MAT. PARA ESCRIT.E ESCOLAR</t>
        </r>
      </text>
    </comment>
    <comment ref="Y663" authorId="0" shapeId="0" xr:uid="{9F49BEB1-329C-44F5-9881-498B36FC0065}">
      <text>
        <r>
          <rPr>
            <sz val="10"/>
            <color indexed="81"/>
            <rFont val="Lucida Console"/>
            <family val="3"/>
          </rPr>
          <t>_x000D_
CAPAS, CLASSIF., PRANCHETAS, CADERNOS, ENVELOPES, PASTAS, FICHAS, LIVROS</t>
        </r>
      </text>
    </comment>
    <comment ref="AW663" authorId="0" shapeId="0" xr:uid="{73A01014-B1DB-455D-B12B-7BC14F9D5C3A}">
      <text>
        <r>
          <rPr>
            <sz val="10"/>
            <color indexed="81"/>
            <rFont val="Lucida Console"/>
            <family val="3"/>
          </rPr>
          <t>Tempo de Estoque (Meses)_x000D_
_x000D_
3.179,0</t>
        </r>
      </text>
    </comment>
    <comment ref="A664" authorId="0" shapeId="0" xr:uid="{142AA22B-C561-4D53-AC5A-9D19742BE55C}">
      <text>
        <r>
          <rPr>
            <sz val="10"/>
            <color indexed="81"/>
            <rFont val="Lucida Console"/>
            <family val="3"/>
          </rPr>
          <t>_x000D_
138453</t>
        </r>
      </text>
    </comment>
    <comment ref="B664" authorId="0" shapeId="0" xr:uid="{04F02E52-14AD-401A-A918-DED8D9BC77B3}">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64" authorId="0" shapeId="0" xr:uid="{3F03A9C9-C51F-4CEE-A977-A5B56DD152F1}">
      <text>
        <r>
          <rPr>
            <sz val="10"/>
            <color indexed="81"/>
            <rFont val="Lucida Console"/>
            <family val="3"/>
          </rPr>
          <t>_x000D_
Pedagógico</t>
        </r>
      </text>
    </comment>
    <comment ref="X664" authorId="0" shapeId="0" xr:uid="{BF873EE7-7CA0-4CEC-B5B9-7C40180D4CBD}">
      <text>
        <r>
          <rPr>
            <sz val="10"/>
            <color indexed="81"/>
            <rFont val="Lucida Console"/>
            <family val="3"/>
          </rPr>
          <t>_x000D_
MAQ., EQUIP., COMP., ACES., MAT. PARA ESCRIT.E ESCOLAR</t>
        </r>
      </text>
    </comment>
    <comment ref="Y664" authorId="0" shapeId="0" xr:uid="{EE3A817F-1833-442D-97A9-C56C33643C8E}">
      <text>
        <r>
          <rPr>
            <sz val="10"/>
            <color indexed="81"/>
            <rFont val="Lucida Console"/>
            <family val="3"/>
          </rPr>
          <t>_x000D_
CAPAS, CLASSIF., PRANCHETAS, CADERNOS, ENVELOPES, PASTAS, FICHAS, LIVROS</t>
        </r>
      </text>
    </comment>
    <comment ref="AW664" authorId="0" shapeId="0" xr:uid="{E192003A-982C-4B1E-8AA5-84CA69E1DCC4}">
      <text>
        <r>
          <rPr>
            <sz val="10"/>
            <color indexed="81"/>
            <rFont val="Lucida Console"/>
            <family val="3"/>
          </rPr>
          <t>Tempo de Estoque (Meses)_x000D_
_x000D_
34.340,0</t>
        </r>
      </text>
    </comment>
    <comment ref="A665" authorId="0" shapeId="0" xr:uid="{8A3E0E46-D28D-4374-B7C9-A2458D24B42A}">
      <text>
        <r>
          <rPr>
            <sz val="10"/>
            <color indexed="81"/>
            <rFont val="Lucida Console"/>
            <family val="3"/>
          </rPr>
          <t>_x000D_
138457</t>
        </r>
      </text>
    </comment>
    <comment ref="B665" authorId="0" shapeId="0" xr:uid="{CE420685-77FA-4C06-A495-9F1B6F7F5DF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65" authorId="0" shapeId="0" xr:uid="{DF823038-0ABD-4ECB-BA25-02D3B1BD2C10}">
      <text>
        <r>
          <rPr>
            <sz val="10"/>
            <color indexed="81"/>
            <rFont val="Lucida Console"/>
            <family val="3"/>
          </rPr>
          <t>_x000D_
Pedagógico</t>
        </r>
      </text>
    </comment>
    <comment ref="X665" authorId="0" shapeId="0" xr:uid="{90C99BA4-F7F8-4903-B6A3-18C3FF91B44F}">
      <text>
        <r>
          <rPr>
            <sz val="10"/>
            <color indexed="81"/>
            <rFont val="Lucida Console"/>
            <family val="3"/>
          </rPr>
          <t>_x000D_
MAQ., EQUIP., COMP., ACES., MAT. PARA ESCRIT.E ESCOLAR</t>
        </r>
      </text>
    </comment>
    <comment ref="Y665" authorId="0" shapeId="0" xr:uid="{11F31E91-47A4-4744-91F3-AEC4B1941F3D}">
      <text>
        <r>
          <rPr>
            <sz val="10"/>
            <color indexed="81"/>
            <rFont val="Lucida Console"/>
            <family val="3"/>
          </rPr>
          <t>_x000D_
CAPAS, CLASSIF., PRANCHETAS, CADERNOS, ENVELOPES, PASTAS, FICHAS, LIVROS</t>
        </r>
      </text>
    </comment>
    <comment ref="AW665" authorId="0" shapeId="0" xr:uid="{6B3989A2-9466-4365-AD04-4F8EC6EB5FED}">
      <text>
        <r>
          <rPr>
            <sz val="10"/>
            <color indexed="81"/>
            <rFont val="Lucida Console"/>
            <family val="3"/>
          </rPr>
          <t>Tempo de Estoque (Meses)_x000D_
_x000D_
1.577,0</t>
        </r>
      </text>
    </comment>
    <comment ref="A666" authorId="0" shapeId="0" xr:uid="{1AFCC03C-F48E-450C-AE2B-932ED006B4D1}">
      <text>
        <r>
          <rPr>
            <sz val="10"/>
            <color indexed="81"/>
            <rFont val="Lucida Console"/>
            <family val="3"/>
          </rPr>
          <t>_x000D_
138458</t>
        </r>
      </text>
    </comment>
    <comment ref="B666" authorId="0" shapeId="0" xr:uid="{CCE257EA-76E4-428B-BD64-311D11013639}">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66" authorId="0" shapeId="0" xr:uid="{3EB6529D-AABE-44C4-82A1-94DD89E804DA}">
      <text>
        <r>
          <rPr>
            <sz val="10"/>
            <color indexed="81"/>
            <rFont val="Lucida Console"/>
            <family val="3"/>
          </rPr>
          <t>_x000D_
Pedagógico</t>
        </r>
      </text>
    </comment>
    <comment ref="X666" authorId="0" shapeId="0" xr:uid="{E61EB767-3D93-47BF-B51E-10CA817A5DFC}">
      <text>
        <r>
          <rPr>
            <sz val="10"/>
            <color indexed="81"/>
            <rFont val="Lucida Console"/>
            <family val="3"/>
          </rPr>
          <t>_x000D_
MAQ., EQUIP., COMP., ACES., MAT. PARA ESCRIT.E ESCOLAR</t>
        </r>
      </text>
    </comment>
    <comment ref="Y666" authorId="0" shapeId="0" xr:uid="{0D3AE2D3-8254-44F2-A08C-BB83F2AE06DF}">
      <text>
        <r>
          <rPr>
            <sz val="10"/>
            <color indexed="81"/>
            <rFont val="Lucida Console"/>
            <family val="3"/>
          </rPr>
          <t>_x000D_
CAPAS, CLASSIF., PRANCHETAS, CADERNOS, ENVELOPES, PASTAS, FICHAS, LIVROS</t>
        </r>
      </text>
    </comment>
    <comment ref="AW666" authorId="0" shapeId="0" xr:uid="{1684BB56-7694-4C19-A86E-94B114433538}">
      <text>
        <r>
          <rPr>
            <sz val="10"/>
            <color indexed="81"/>
            <rFont val="Lucida Console"/>
            <family val="3"/>
          </rPr>
          <t>Tempo de Estoque (Meses)_x000D_
_x000D_
9.067,0</t>
        </r>
      </text>
    </comment>
    <comment ref="A667" authorId="0" shapeId="0" xr:uid="{9A8C15EF-8048-46A2-9627-1405FA16671C}">
      <text>
        <r>
          <rPr>
            <sz val="10"/>
            <color indexed="81"/>
            <rFont val="Lucida Console"/>
            <family val="3"/>
          </rPr>
          <t>_x000D_
11264</t>
        </r>
      </text>
    </comment>
    <comment ref="B667" authorId="0" shapeId="0" xr:uid="{3111E60E-1315-429E-8FB8-B2F504688ABE}">
      <text>
        <r>
          <rPr>
            <sz val="10"/>
            <color indexed="81"/>
            <rFont val="Lucida Console"/>
            <family val="3"/>
          </rPr>
          <t>DESCRIÇÃO DETALHADA_x000D_
PERFURADOR P/ PAPEL - 2 FUROS - MEDIO</t>
        </r>
      </text>
    </comment>
    <comment ref="W667" authorId="0" shapeId="0" xr:uid="{BCD85E4F-1AC4-4091-884A-42668B756D69}">
      <text>
        <r>
          <rPr>
            <sz val="10"/>
            <color indexed="81"/>
            <rFont val="Lucida Console"/>
            <family val="3"/>
          </rPr>
          <t>_x000D_
Administrativo</t>
        </r>
      </text>
    </comment>
    <comment ref="X667" authorId="0" shapeId="0" xr:uid="{06236833-9E4C-48A8-9240-C5E3703B0075}">
      <text>
        <r>
          <rPr>
            <sz val="10"/>
            <color indexed="81"/>
            <rFont val="Lucida Console"/>
            <family val="3"/>
          </rPr>
          <t>_x000D_
MAQ., EQUIP., COMP., ACES., MAT. PARA ESCRIT.E ESCOLAR</t>
        </r>
      </text>
    </comment>
    <comment ref="Y667" authorId="0" shapeId="0" xr:uid="{FF8C5A33-C6C7-49A1-8FDF-1CDE11F9CBAF}">
      <text>
        <r>
          <rPr>
            <sz val="10"/>
            <color indexed="81"/>
            <rFont val="Lucida Console"/>
            <family val="3"/>
          </rPr>
          <t>_x000D_
FURAD.GRAMP.COLCHETE,GRAMPOS,CLIPS,ELAST.BARB.FIT.</t>
        </r>
      </text>
    </comment>
    <comment ref="AW667" authorId="0" shapeId="0" xr:uid="{C1F96C1C-9DD7-4A42-9E15-0B3BFE372618}">
      <text>
        <r>
          <rPr>
            <sz val="10"/>
            <color indexed="81"/>
            <rFont val="Lucida Console"/>
            <family val="3"/>
          </rPr>
          <t>Tempo de Estoque (Meses)_x000D_
_x000D_
242,0</t>
        </r>
      </text>
    </comment>
    <comment ref="A668" authorId="0" shapeId="0" xr:uid="{E3A3AE19-ECDD-44C6-9331-C80258D01E78}">
      <text>
        <r>
          <rPr>
            <sz val="10"/>
            <color indexed="81"/>
            <rFont val="Lucida Console"/>
            <family val="3"/>
          </rPr>
          <t>_x000D_
17135</t>
        </r>
      </text>
    </comment>
    <comment ref="B668" authorId="0" shapeId="0" xr:uid="{8D5EFDBA-8DC8-4ACF-A5EC-52203CD1E025}">
      <text>
        <r>
          <rPr>
            <sz val="10"/>
            <color indexed="81"/>
            <rFont val="Lucida Console"/>
            <family val="3"/>
          </rPr>
          <t>DESCRIÇÃO DETALHADA_x000D_
GRAMPO TRILHO P/ PASTA 80 MM</t>
        </r>
      </text>
    </comment>
    <comment ref="W668" authorId="0" shapeId="0" xr:uid="{6941C882-0B2E-4B08-9D99-347AABF9D666}">
      <text>
        <r>
          <rPr>
            <sz val="10"/>
            <color indexed="81"/>
            <rFont val="Lucida Console"/>
            <family val="3"/>
          </rPr>
          <t>_x000D_
Administrativo</t>
        </r>
      </text>
    </comment>
    <comment ref="X668" authorId="0" shapeId="0" xr:uid="{94173618-76B7-40A0-8DBA-8CFA12E4274C}">
      <text>
        <r>
          <rPr>
            <sz val="10"/>
            <color indexed="81"/>
            <rFont val="Lucida Console"/>
            <family val="3"/>
          </rPr>
          <t>_x000D_
MAQ., EQUIP., COMP., ACES., MAT. PARA ESCRIT.E ESCOLAR</t>
        </r>
      </text>
    </comment>
    <comment ref="Y668" authorId="0" shapeId="0" xr:uid="{AEF3D584-A8FD-4ADF-AC2C-E140D7C3D8A5}">
      <text>
        <r>
          <rPr>
            <sz val="10"/>
            <color indexed="81"/>
            <rFont val="Lucida Console"/>
            <family val="3"/>
          </rPr>
          <t>_x000D_
FURAD.GRAMP.COLCHETE,GRAMPOS,CLIPS,ELAST.BARB.FIT.</t>
        </r>
      </text>
    </comment>
    <comment ref="AW668" authorId="0" shapeId="0" xr:uid="{89297F4A-1622-4D97-9F87-7812D4F118F9}">
      <text>
        <r>
          <rPr>
            <sz val="10"/>
            <color indexed="81"/>
            <rFont val="Lucida Console"/>
            <family val="3"/>
          </rPr>
          <t>Tempo de Estoque (Meses)_x000D_
_x000D_
2.780,0</t>
        </r>
      </text>
    </comment>
    <comment ref="A669" authorId="0" shapeId="0" xr:uid="{E8653537-36DE-45A3-BF8C-D29417E19908}">
      <text>
        <r>
          <rPr>
            <sz val="10"/>
            <color indexed="81"/>
            <rFont val="Lucida Console"/>
            <family val="3"/>
          </rPr>
          <t>_x000D_
29952</t>
        </r>
      </text>
    </comment>
    <comment ref="B669" authorId="0" shapeId="0" xr:uid="{56EE4B61-B45C-4173-8D2E-B7CDFF635FA8}">
      <text>
        <r>
          <rPr>
            <sz val="10"/>
            <color indexed="81"/>
            <rFont val="Lucida Console"/>
            <family val="3"/>
          </rPr>
          <t xml:space="preserve">DESCRIÇÃO DETALHADA_x000D_
TESOURA EM ACO INOXIDAVEL, COM CABO EM POLIPROPILENO, 18 CM (VARIAÇÃO +/- 3 CM) </t>
        </r>
      </text>
    </comment>
    <comment ref="W669" authorId="0" shapeId="0" xr:uid="{73612B0D-1BA8-49FE-BC2E-D760E8B5F45E}">
      <text>
        <r>
          <rPr>
            <sz val="10"/>
            <color indexed="81"/>
            <rFont val="Lucida Console"/>
            <family val="3"/>
          </rPr>
          <t>_x000D_
Administrativo</t>
        </r>
      </text>
    </comment>
    <comment ref="X669" authorId="0" shapeId="0" xr:uid="{99BC2986-A61E-49DD-BB38-4B736BC8FD20}">
      <text>
        <r>
          <rPr>
            <sz val="10"/>
            <color indexed="81"/>
            <rFont val="Lucida Console"/>
            <family val="3"/>
          </rPr>
          <t>_x000D_
MAQ., EQUIP., COMP., ACES., MAT. PARA ESCRIT.E ESCOLAR</t>
        </r>
      </text>
    </comment>
    <comment ref="Y669" authorId="0" shapeId="0" xr:uid="{32E40A7B-ACBD-44FE-8946-9159F7DFDAE2}">
      <text>
        <r>
          <rPr>
            <sz val="10"/>
            <color indexed="81"/>
            <rFont val="Lucida Console"/>
            <family val="3"/>
          </rPr>
          <t>_x000D_
FURAD.GRAMP.COLCHETE,GRAMPOS,CLIPS,ELAST.BARB.FIT.</t>
        </r>
      </text>
    </comment>
    <comment ref="AW669" authorId="0" shapeId="0" xr:uid="{C9D5EAE7-C3E8-4ABA-A908-F29AF839866A}">
      <text>
        <r>
          <rPr>
            <sz val="10"/>
            <color indexed="81"/>
            <rFont val="Lucida Console"/>
            <family val="3"/>
          </rPr>
          <t>Tempo de Estoque (Meses)_x000D_
_x000D_
2.025,0</t>
        </r>
      </text>
    </comment>
    <comment ref="A670" authorId="0" shapeId="0" xr:uid="{5652648F-C0F6-4F69-B59F-48A5353C372E}">
      <text>
        <r>
          <rPr>
            <sz val="10"/>
            <color indexed="81"/>
            <rFont val="Lucida Console"/>
            <family val="3"/>
          </rPr>
          <t>_x000D_
54682</t>
        </r>
      </text>
    </comment>
    <comment ref="B670" authorId="0" shapeId="0" xr:uid="{5720B5D8-84D8-4763-A8A0-990F6C8876A6}">
      <text>
        <r>
          <rPr>
            <sz val="10"/>
            <color indexed="81"/>
            <rFont val="Lucida Console"/>
            <family val="3"/>
          </rPr>
          <t>DESCRIÇÃO DETALHADA_x000D_
BARBANTE DE ALGODAO 4 FIOS - ROLO COM 250 GR</t>
        </r>
      </text>
    </comment>
    <comment ref="W670" authorId="0" shapeId="0" xr:uid="{2773FE1F-BD89-4255-B172-5F3435817BDC}">
      <text>
        <r>
          <rPr>
            <sz val="10"/>
            <color indexed="81"/>
            <rFont val="Lucida Console"/>
            <family val="3"/>
          </rPr>
          <t>_x000D_
Administrativo</t>
        </r>
      </text>
    </comment>
    <comment ref="X670" authorId="0" shapeId="0" xr:uid="{98832B00-9DF1-49A0-9C97-3DE48DE6339B}">
      <text>
        <r>
          <rPr>
            <sz val="10"/>
            <color indexed="81"/>
            <rFont val="Lucida Console"/>
            <family val="3"/>
          </rPr>
          <t>_x000D_
MAQ., EQUIP., COMP., ACES., MAT. PARA ESCRIT.E ESCOLAR</t>
        </r>
      </text>
    </comment>
    <comment ref="Y670" authorId="0" shapeId="0" xr:uid="{11524338-BA08-4ED6-9CAF-FD4505CCF3FB}">
      <text>
        <r>
          <rPr>
            <sz val="10"/>
            <color indexed="81"/>
            <rFont val="Lucida Console"/>
            <family val="3"/>
          </rPr>
          <t>_x000D_
FURAD.GRAMP.COLCHETE,GRAMPOS,CLIPS,ELAST.BARB.FIT.</t>
        </r>
      </text>
    </comment>
    <comment ref="AW670" authorId="0" shapeId="0" xr:uid="{361C1472-4991-4A48-8445-D50C6BCD0FFE}">
      <text>
        <r>
          <rPr>
            <sz val="10"/>
            <color indexed="81"/>
            <rFont val="Lucida Console"/>
            <family val="3"/>
          </rPr>
          <t>Tempo de Estoque (Meses)_x000D_
_x000D_
1.836,0</t>
        </r>
      </text>
    </comment>
    <comment ref="A671" authorId="0" shapeId="0" xr:uid="{80E325E1-989E-4459-96C9-6788745207E6}">
      <text>
        <r>
          <rPr>
            <sz val="10"/>
            <color indexed="81"/>
            <rFont val="Lucida Console"/>
            <family val="3"/>
          </rPr>
          <t>_x000D_
138471</t>
        </r>
      </text>
    </comment>
    <comment ref="B671" authorId="0" shapeId="0" xr:uid="{74877180-4D4C-4536-A51B-936189ECCFCA}">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71" authorId="0" shapeId="0" xr:uid="{40E0EB12-D0A6-4529-B518-03F97714943C}">
      <text>
        <r>
          <rPr>
            <sz val="10"/>
            <color indexed="81"/>
            <rFont val="Lucida Console"/>
            <family val="3"/>
          </rPr>
          <t>_x000D_
Administrativo</t>
        </r>
      </text>
    </comment>
    <comment ref="X671" authorId="0" shapeId="0" xr:uid="{3B15A338-7B2D-4539-AC8F-280BBCBBD596}">
      <text>
        <r>
          <rPr>
            <sz val="10"/>
            <color indexed="81"/>
            <rFont val="Lucida Console"/>
            <family val="3"/>
          </rPr>
          <t>_x000D_
MAQ., EQUIP., COMP., ACES., MAT. PARA ESCRIT.E ESCOLAR</t>
        </r>
      </text>
    </comment>
    <comment ref="Y671" authorId="0" shapeId="0" xr:uid="{E66DCD97-9F34-4D3F-95F9-2737E2F14835}">
      <text>
        <r>
          <rPr>
            <sz val="10"/>
            <color indexed="81"/>
            <rFont val="Lucida Console"/>
            <family val="3"/>
          </rPr>
          <t>_x000D_
FURAD.GRAMP.COLCHETE,GRAMPOS,CLIPS,ELAST.BARB.FIT.</t>
        </r>
      </text>
    </comment>
    <comment ref="AW671" authorId="0" shapeId="0" xr:uid="{55478F86-135A-4A42-94F2-D368D664AF2A}">
      <text>
        <r>
          <rPr>
            <sz val="10"/>
            <color indexed="81"/>
            <rFont val="Lucida Console"/>
            <family val="3"/>
          </rPr>
          <t>Tempo de Estoque (Meses)_x000D_
_x000D_
9.000,0</t>
        </r>
      </text>
    </comment>
    <comment ref="A672" authorId="0" shapeId="0" xr:uid="{66874616-11D4-4E4D-9641-F67E8F157B9C}">
      <text>
        <r>
          <rPr>
            <sz val="10"/>
            <color indexed="81"/>
            <rFont val="Lucida Console"/>
            <family val="3"/>
          </rPr>
          <t>_x000D_
15530</t>
        </r>
      </text>
    </comment>
    <comment ref="B672" authorId="0" shapeId="0" xr:uid="{AE1617FC-D06E-4676-90B7-396A1F263DD2}">
      <text>
        <r>
          <rPr>
            <sz val="10"/>
            <color indexed="81"/>
            <rFont val="Lucida Console"/>
            <family val="3"/>
          </rPr>
          <t>DESCRIÇÃO DETALHADA_x000D_
PAPEL ALMACO C/ PAUTA</t>
        </r>
      </text>
    </comment>
    <comment ref="W672" authorId="0" shapeId="0" xr:uid="{59256607-BF32-42E5-9067-42B31E859658}">
      <text>
        <r>
          <rPr>
            <sz val="10"/>
            <color indexed="81"/>
            <rFont val="Lucida Console"/>
            <family val="3"/>
          </rPr>
          <t>_x000D_
Administrativo</t>
        </r>
      </text>
    </comment>
    <comment ref="X672" authorId="0" shapeId="0" xr:uid="{21B5E979-F5D2-4804-9ED2-94647462C7B4}">
      <text>
        <r>
          <rPr>
            <sz val="10"/>
            <color indexed="81"/>
            <rFont val="Lucida Console"/>
            <family val="3"/>
          </rPr>
          <t>_x000D_
MAQ., EQUIP., COMP., ACES., MAT. PARA ESCRIT.E ESCOLAR</t>
        </r>
      </text>
    </comment>
    <comment ref="Y672" authorId="0" shapeId="0" xr:uid="{26074856-E869-4366-91B2-A72FD16A8C46}">
      <text>
        <r>
          <rPr>
            <sz val="10"/>
            <color indexed="81"/>
            <rFont val="Lucida Console"/>
            <family val="3"/>
          </rPr>
          <t>_x000D_
PAPEIS PADRONIZADOS E TIMBRADOS</t>
        </r>
      </text>
    </comment>
    <comment ref="AW672" authorId="0" shapeId="0" xr:uid="{8BB57934-F27F-498B-AC82-8F278DC34AF7}">
      <text>
        <r>
          <rPr>
            <sz val="10"/>
            <color indexed="81"/>
            <rFont val="Lucida Console"/>
            <family val="3"/>
          </rPr>
          <t>Tempo de Estoque (Meses)_x000D_
_x000D_
28.619,0</t>
        </r>
      </text>
    </comment>
    <comment ref="A673" authorId="0" shapeId="0" xr:uid="{CCB8710A-F911-42C2-A68B-C2EC8F493CF7}">
      <text>
        <r>
          <rPr>
            <sz val="10"/>
            <color indexed="81"/>
            <rFont val="Lucida Console"/>
            <family val="3"/>
          </rPr>
          <t>_x000D_
132290</t>
        </r>
      </text>
    </comment>
    <comment ref="B673" authorId="0" shapeId="0" xr:uid="{BF96014E-4C90-4034-95E9-04FB06FEDE7A}">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73" authorId="0" shapeId="0" xr:uid="{E7AC6397-8E07-45CC-A8DE-CA9DEF79A0B1}">
      <text>
        <r>
          <rPr>
            <sz val="10"/>
            <color indexed="81"/>
            <rFont val="Lucida Console"/>
            <family val="3"/>
          </rPr>
          <t>_x000D_
Pedagógico</t>
        </r>
      </text>
    </comment>
    <comment ref="X673" authorId="0" shapeId="0" xr:uid="{7B786E17-5076-4512-B91B-8C6A5DFBA314}">
      <text>
        <r>
          <rPr>
            <sz val="10"/>
            <color indexed="81"/>
            <rFont val="Lucida Console"/>
            <family val="3"/>
          </rPr>
          <t>_x000D_
MAQ., EQUIP., COMP., ACES., MAT. PARA ESCRIT.E ESCOLAR</t>
        </r>
      </text>
    </comment>
    <comment ref="Y673" authorId="0" shapeId="0" xr:uid="{F4766415-62A1-4C7B-8C59-10A535A053D3}">
      <text>
        <r>
          <rPr>
            <sz val="10"/>
            <color indexed="81"/>
            <rFont val="Lucida Console"/>
            <family val="3"/>
          </rPr>
          <t>_x000D_
ETIQUETA COLAS E FITAS ADESIVAS</t>
        </r>
      </text>
    </comment>
    <comment ref="AW673" authorId="0" shapeId="0" xr:uid="{1447091B-4A60-442D-BE27-AC95F80C01E8}">
      <text>
        <r>
          <rPr>
            <sz val="10"/>
            <color indexed="81"/>
            <rFont val="Lucida Console"/>
            <family val="3"/>
          </rPr>
          <t>Tempo de Estoque (Meses)_x000D_
_x000D_
3.536,0</t>
        </r>
      </text>
    </comment>
    <comment ref="A674" authorId="0" shapeId="0" xr:uid="{F1CBEAA0-2CE6-460C-988C-2962329D0A8A}">
      <text>
        <r>
          <rPr>
            <sz val="10"/>
            <color indexed="81"/>
            <rFont val="Lucida Console"/>
            <family val="3"/>
          </rPr>
          <t>_x000D_
132394</t>
        </r>
      </text>
    </comment>
    <comment ref="B674" authorId="0" shapeId="0" xr:uid="{187D2206-853F-487F-9A41-23533B3AB563}">
      <text>
        <r>
          <rPr>
            <sz val="10"/>
            <color indexed="81"/>
            <rFont val="Lucida Console"/>
            <family val="3"/>
          </rPr>
          <t>DESCRIÇÃO DETALHADA_x000D_
FITA ADESIVA COLORIDA, MEDINDO APROXIMADAMENTE 12MM X 10M. COR: AMARELA. COMPOSICAO: FILME POLIPROPILENO COM ADESIVO ACRILICO A BASE D´AGUA.</t>
        </r>
      </text>
    </comment>
    <comment ref="W674" authorId="0" shapeId="0" xr:uid="{24D7A192-D6E1-43B3-BB61-4C4787090338}">
      <text>
        <r>
          <rPr>
            <sz val="10"/>
            <color indexed="81"/>
            <rFont val="Lucida Console"/>
            <family val="3"/>
          </rPr>
          <t>_x000D_
Pedagógico</t>
        </r>
      </text>
    </comment>
    <comment ref="X674" authorId="0" shapeId="0" xr:uid="{C14D7D41-D8F8-4DFB-9DB7-FC34BDCD9C9B}">
      <text>
        <r>
          <rPr>
            <sz val="10"/>
            <color indexed="81"/>
            <rFont val="Lucida Console"/>
            <family val="3"/>
          </rPr>
          <t>_x000D_
MAQ., EQUIP., COMP., ACES., MAT. PARA ESCRIT.E ESCOLAR</t>
        </r>
      </text>
    </comment>
    <comment ref="Y674" authorId="0" shapeId="0" xr:uid="{9DE2FFF2-D35C-4DD5-8F12-178FCC94712C}">
      <text>
        <r>
          <rPr>
            <sz val="10"/>
            <color indexed="81"/>
            <rFont val="Lucida Console"/>
            <family val="3"/>
          </rPr>
          <t>_x000D_
ETIQUETA COLAS E FITAS ADESIVAS</t>
        </r>
      </text>
    </comment>
    <comment ref="AW674" authorId="0" shapeId="0" xr:uid="{17B2EFD8-4B6A-4022-AFAE-0B6E9DD9666D}">
      <text>
        <r>
          <rPr>
            <sz val="10"/>
            <color indexed="81"/>
            <rFont val="Lucida Console"/>
            <family val="3"/>
          </rPr>
          <t>Tempo de Estoque (Meses)_x000D_
_x000D_
3.860,0</t>
        </r>
      </text>
    </comment>
    <comment ref="A675" authorId="0" shapeId="0" xr:uid="{69A80A81-AB7D-4CF5-A8CC-987E7FBADA4F}">
      <text>
        <r>
          <rPr>
            <sz val="10"/>
            <color indexed="81"/>
            <rFont val="Lucida Console"/>
            <family val="3"/>
          </rPr>
          <t>_x000D_
132395</t>
        </r>
      </text>
    </comment>
    <comment ref="B675" authorId="0" shapeId="0" xr:uid="{1320D379-81B4-4F79-9338-44595F06A2ED}">
      <text>
        <r>
          <rPr>
            <sz val="10"/>
            <color indexed="81"/>
            <rFont val="Lucida Console"/>
            <family val="3"/>
          </rPr>
          <t>DESCRIÇÃO DETALHADA_x000D_
FITA ADESIVA COLORIDA, MEDINDO APROXIMADAMENTE 12MM X 10M. COR: AZUL ESCURA. COMPOSICAO: FILME POLIPROPILENO COM ADESIVO ACRILICO A BASE D´AGUA.</t>
        </r>
      </text>
    </comment>
    <comment ref="W675" authorId="0" shapeId="0" xr:uid="{75168542-3A02-4E29-899A-D637F66AE451}">
      <text>
        <r>
          <rPr>
            <sz val="10"/>
            <color indexed="81"/>
            <rFont val="Lucida Console"/>
            <family val="3"/>
          </rPr>
          <t>_x000D_
Pedagógico</t>
        </r>
      </text>
    </comment>
    <comment ref="X675" authorId="0" shapeId="0" xr:uid="{12B907BF-9CB5-42F9-B7A4-09EAA6FD850E}">
      <text>
        <r>
          <rPr>
            <sz val="10"/>
            <color indexed="81"/>
            <rFont val="Lucida Console"/>
            <family val="3"/>
          </rPr>
          <t>_x000D_
MAQ., EQUIP., COMP., ACES., MAT. PARA ESCRIT.E ESCOLAR</t>
        </r>
      </text>
    </comment>
    <comment ref="Y675" authorId="0" shapeId="0" xr:uid="{EF27B146-CA75-454D-80AD-1DA0107EA7A5}">
      <text>
        <r>
          <rPr>
            <sz val="10"/>
            <color indexed="81"/>
            <rFont val="Lucida Console"/>
            <family val="3"/>
          </rPr>
          <t>_x000D_
ETIQUETA COLAS E FITAS ADESIVAS</t>
        </r>
      </text>
    </comment>
    <comment ref="AW675" authorId="0" shapeId="0" xr:uid="{D6AFB7C6-9774-49FE-AA4D-FE2667D80048}">
      <text>
        <r>
          <rPr>
            <sz val="10"/>
            <color indexed="81"/>
            <rFont val="Lucida Console"/>
            <family val="3"/>
          </rPr>
          <t>Tempo de Estoque (Meses)_x000D_
_x000D_
3.687,0</t>
        </r>
      </text>
    </comment>
    <comment ref="A676" authorId="0" shapeId="0" xr:uid="{BF72634C-0A5B-4FBC-86C8-576107C9DD00}">
      <text>
        <r>
          <rPr>
            <sz val="10"/>
            <color indexed="81"/>
            <rFont val="Lucida Console"/>
            <family val="3"/>
          </rPr>
          <t>_x000D_
132299</t>
        </r>
      </text>
    </comment>
    <comment ref="B676" authorId="0" shapeId="0" xr:uid="{0918969A-BCC4-4FDF-8E11-16C866CE8B17}">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76" authorId="0" shapeId="0" xr:uid="{26DC0690-AEFE-4C78-8416-8C1E6A5370D0}">
      <text>
        <r>
          <rPr>
            <sz val="10"/>
            <color indexed="81"/>
            <rFont val="Lucida Console"/>
            <family val="3"/>
          </rPr>
          <t>_x000D_
Pedagógico</t>
        </r>
      </text>
    </comment>
    <comment ref="X676" authorId="0" shapeId="0" xr:uid="{74769C74-2AEF-49BD-AEBE-6E1BEA23EF3B}">
      <text>
        <r>
          <rPr>
            <sz val="10"/>
            <color indexed="81"/>
            <rFont val="Lucida Console"/>
            <family val="3"/>
          </rPr>
          <t>_x000D_
MAQ., EQUIP., COMP., ACES., MAT. PARA ESCRIT.E ESCOLAR</t>
        </r>
      </text>
    </comment>
    <comment ref="Y676" authorId="0" shapeId="0" xr:uid="{909F564D-F4F3-4B4F-B486-BC81BA632CF5}">
      <text>
        <r>
          <rPr>
            <sz val="10"/>
            <color indexed="81"/>
            <rFont val="Lucida Console"/>
            <family val="3"/>
          </rPr>
          <t>_x000D_
MATERIAIS DE DESENHO TECNICO</t>
        </r>
      </text>
    </comment>
    <comment ref="AW676" authorId="0" shapeId="0" xr:uid="{84146565-29E9-4ADC-8FD7-94BBDD45FC58}">
      <text>
        <r>
          <rPr>
            <sz val="10"/>
            <color indexed="81"/>
            <rFont val="Lucida Console"/>
            <family val="3"/>
          </rPr>
          <t>Tempo de Estoque (Meses)_x000D_
_x000D_
2.653,0</t>
        </r>
      </text>
    </comment>
    <comment ref="A677" authorId="0" shapeId="0" xr:uid="{67B7F44A-6711-457A-80C8-C4A87361F660}">
      <text>
        <r>
          <rPr>
            <sz val="10"/>
            <color indexed="81"/>
            <rFont val="Lucida Console"/>
            <family val="3"/>
          </rPr>
          <t>_x000D_
132300</t>
        </r>
      </text>
    </comment>
    <comment ref="B677" authorId="0" shapeId="0" xr:uid="{BFF64333-EDDC-416E-8A29-C9D9147594FE}">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77" authorId="0" shapeId="0" xr:uid="{B9B8DF93-3869-4992-AFA0-D1A033F54585}">
      <text>
        <r>
          <rPr>
            <sz val="10"/>
            <color indexed="81"/>
            <rFont val="Lucida Console"/>
            <family val="3"/>
          </rPr>
          <t>_x000D_
Pedagógico</t>
        </r>
      </text>
    </comment>
    <comment ref="X677" authorId="0" shapeId="0" xr:uid="{AC2B0B91-4396-49FB-AD50-8917EE1C726A}">
      <text>
        <r>
          <rPr>
            <sz val="10"/>
            <color indexed="81"/>
            <rFont val="Lucida Console"/>
            <family val="3"/>
          </rPr>
          <t>_x000D_
MAQ., EQUIP., COMP., ACES., MAT. PARA ESCRIT.E ESCOLAR</t>
        </r>
      </text>
    </comment>
    <comment ref="Y677" authorId="0" shapeId="0" xr:uid="{FA71DFA1-4981-4BDD-ABB4-B3D38AA76D4A}">
      <text>
        <r>
          <rPr>
            <sz val="10"/>
            <color indexed="81"/>
            <rFont val="Lucida Console"/>
            <family val="3"/>
          </rPr>
          <t>_x000D_
MATERIAIS DE DESENHO TECNICO</t>
        </r>
      </text>
    </comment>
    <comment ref="AW677" authorId="0" shapeId="0" xr:uid="{41C91B2D-A175-4B77-A022-475D996440B0}">
      <text>
        <r>
          <rPr>
            <sz val="10"/>
            <color indexed="81"/>
            <rFont val="Lucida Console"/>
            <family val="3"/>
          </rPr>
          <t>Tempo de Estoque (Meses)_x000D_
_x000D_
4.984,0</t>
        </r>
      </text>
    </comment>
    <comment ref="A678" authorId="0" shapeId="0" xr:uid="{ED673D7A-FC18-4DC1-8FBC-FFCB04665E7A}">
      <text>
        <r>
          <rPr>
            <sz val="10"/>
            <color indexed="81"/>
            <rFont val="Lucida Console"/>
            <family val="3"/>
          </rPr>
          <t>_x000D_
133788</t>
        </r>
      </text>
    </comment>
    <comment ref="B678" authorId="0" shapeId="0" xr:uid="{5EBF6F30-3CFE-409B-8E24-3143F9156875}">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8" authorId="0" shapeId="0" xr:uid="{2FD8AF2C-5531-4B8C-91EF-B21CEDAFFA6F}">
      <text>
        <r>
          <rPr>
            <sz val="10"/>
            <color indexed="81"/>
            <rFont val="Lucida Console"/>
            <family val="3"/>
          </rPr>
          <t>_x000D_
Pedagógico</t>
        </r>
      </text>
    </comment>
    <comment ref="X678" authorId="0" shapeId="0" xr:uid="{8FAA36C8-BA4E-4CFD-93F2-D227B2340F11}">
      <text>
        <r>
          <rPr>
            <sz val="10"/>
            <color indexed="81"/>
            <rFont val="Lucida Console"/>
            <family val="3"/>
          </rPr>
          <t>_x000D_
MAQ., EQUIP., COMP., ACES., MAT. PARA ESCRIT.E ESCOLAR</t>
        </r>
      </text>
    </comment>
    <comment ref="Y678" authorId="0" shapeId="0" xr:uid="{F0621818-32A4-4C6F-B686-1B63D16BDCDB}">
      <text>
        <r>
          <rPr>
            <sz val="10"/>
            <color indexed="81"/>
            <rFont val="Lucida Console"/>
            <family val="3"/>
          </rPr>
          <t>_x000D_
MATERIAIS DE DESENHO TECNICO</t>
        </r>
      </text>
    </comment>
    <comment ref="AW678" authorId="0" shapeId="0" xr:uid="{0FC80FD6-4B29-4588-AA47-8F55C53D23E3}">
      <text>
        <r>
          <rPr>
            <sz val="10"/>
            <color indexed="81"/>
            <rFont val="Lucida Console"/>
            <family val="3"/>
          </rPr>
          <t>Tempo de Estoque (Meses)_x000D_
_x000D_
636,0</t>
        </r>
      </text>
    </comment>
    <comment ref="A679" authorId="0" shapeId="0" xr:uid="{E5B6671F-6337-4E14-B4FC-2F77C8199C72}">
      <text>
        <r>
          <rPr>
            <sz val="10"/>
            <color indexed="81"/>
            <rFont val="Lucida Console"/>
            <family val="3"/>
          </rPr>
          <t>_x000D_
133790</t>
        </r>
      </text>
    </comment>
    <comment ref="B679" authorId="0" shapeId="0" xr:uid="{402453A1-E1FE-4634-8147-063ECD6B2C0E}">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9" authorId="0" shapeId="0" xr:uid="{17626FEE-23FE-487A-9378-B61C6266C3E6}">
      <text>
        <r>
          <rPr>
            <sz val="10"/>
            <color indexed="81"/>
            <rFont val="Lucida Console"/>
            <family val="3"/>
          </rPr>
          <t>_x000D_
Pedagógico</t>
        </r>
      </text>
    </comment>
    <comment ref="X679" authorId="0" shapeId="0" xr:uid="{E763D653-80F0-4180-8005-99F998B214E5}">
      <text>
        <r>
          <rPr>
            <sz val="10"/>
            <color indexed="81"/>
            <rFont val="Lucida Console"/>
            <family val="3"/>
          </rPr>
          <t>_x000D_
MAQ., EQUIP., COMP., ACES., MAT. PARA ESCRIT.E ESCOLAR</t>
        </r>
      </text>
    </comment>
    <comment ref="Y679" authorId="0" shapeId="0" xr:uid="{630E6562-B70F-45B4-A86A-4327CFE08BC8}">
      <text>
        <r>
          <rPr>
            <sz val="10"/>
            <color indexed="81"/>
            <rFont val="Lucida Console"/>
            <family val="3"/>
          </rPr>
          <t>_x000D_
MATERIAIS DE DESENHO TECNICO</t>
        </r>
      </text>
    </comment>
    <comment ref="AW679" authorId="0" shapeId="0" xr:uid="{C7C4AF32-DADB-4FA2-A978-C113024225B4}">
      <text>
        <r>
          <rPr>
            <sz val="10"/>
            <color indexed="81"/>
            <rFont val="Lucida Console"/>
            <family val="3"/>
          </rPr>
          <t>Tempo de Estoque (Meses)_x000D_
_x000D_
1.754,0</t>
        </r>
      </text>
    </comment>
    <comment ref="A680" authorId="0" shapeId="0" xr:uid="{9524DA29-E841-45B9-9234-3A16037EC9B7}">
      <text>
        <r>
          <rPr>
            <sz val="10"/>
            <color indexed="81"/>
            <rFont val="Lucida Console"/>
            <family val="3"/>
          </rPr>
          <t>_x000D_
133791</t>
        </r>
      </text>
    </comment>
    <comment ref="B680" authorId="0" shapeId="0" xr:uid="{73163F41-E52D-401A-95A1-FBE18CE6A41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80" authorId="0" shapeId="0" xr:uid="{0F420C39-4FBC-4965-832D-F2701E1CBC19}">
      <text>
        <r>
          <rPr>
            <sz val="10"/>
            <color indexed="81"/>
            <rFont val="Lucida Console"/>
            <family val="3"/>
          </rPr>
          <t>_x000D_
Pedagógico</t>
        </r>
      </text>
    </comment>
    <comment ref="X680" authorId="0" shapeId="0" xr:uid="{9BFA887E-DD09-44B2-A547-B5EF82CCB63B}">
      <text>
        <r>
          <rPr>
            <sz val="10"/>
            <color indexed="81"/>
            <rFont val="Lucida Console"/>
            <family val="3"/>
          </rPr>
          <t>_x000D_
MAQ., EQUIP., COMP., ACES., MAT. PARA ESCRIT.E ESCOLAR</t>
        </r>
      </text>
    </comment>
    <comment ref="Y680" authorId="0" shapeId="0" xr:uid="{5F193ABB-B73C-4291-97FB-E038080E55FB}">
      <text>
        <r>
          <rPr>
            <sz val="10"/>
            <color indexed="81"/>
            <rFont val="Lucida Console"/>
            <family val="3"/>
          </rPr>
          <t>_x000D_
MATERIAIS DE DESENHO TECNICO</t>
        </r>
      </text>
    </comment>
    <comment ref="AW680" authorId="0" shapeId="0" xr:uid="{571E105C-2D74-4E52-A773-9C58FDBCBF57}">
      <text>
        <r>
          <rPr>
            <sz val="10"/>
            <color indexed="81"/>
            <rFont val="Lucida Console"/>
            <family val="3"/>
          </rPr>
          <t>Tempo de Estoque (Meses)_x000D_
_x000D_
1.640,0</t>
        </r>
      </text>
    </comment>
    <comment ref="A681" authorId="0" shapeId="0" xr:uid="{E0711346-5F9C-43ED-AF12-E35F5B8C5985}">
      <text>
        <r>
          <rPr>
            <sz val="10"/>
            <color indexed="81"/>
            <rFont val="Lucida Console"/>
            <family val="3"/>
          </rPr>
          <t>_x000D_
138462</t>
        </r>
      </text>
    </comment>
    <comment ref="B681" authorId="0" shapeId="0" xr:uid="{460AB56A-C234-4E81-84AC-D4500979B7BA}">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81" authorId="0" shapeId="0" xr:uid="{D564189D-11C8-4134-AC68-62DD761EC4ED}">
      <text>
        <r>
          <rPr>
            <sz val="10"/>
            <color indexed="81"/>
            <rFont val="Lucida Console"/>
            <family val="3"/>
          </rPr>
          <t>_x000D_
Pedagógico</t>
        </r>
      </text>
    </comment>
    <comment ref="X681" authorId="0" shapeId="0" xr:uid="{68DA41C0-2D67-4A6F-BACA-6358EDB15E78}">
      <text>
        <r>
          <rPr>
            <sz val="10"/>
            <color indexed="81"/>
            <rFont val="Lucida Console"/>
            <family val="3"/>
          </rPr>
          <t>_x000D_
MAQ., EQUIP., COMP., ACES., MAT. PARA ESCRIT.E ESCOLAR</t>
        </r>
      </text>
    </comment>
    <comment ref="Y681" authorId="0" shapeId="0" xr:uid="{D5506E01-2472-4D8A-AC9B-FA57F92EC67A}">
      <text>
        <r>
          <rPr>
            <sz val="10"/>
            <color indexed="81"/>
            <rFont val="Lucida Console"/>
            <family val="3"/>
          </rPr>
          <t>_x000D_
MATERIAIS DE DESENHO TECNICO</t>
        </r>
      </text>
    </comment>
    <comment ref="AW681" authorId="0" shapeId="0" xr:uid="{2A7215DB-B270-47AB-A0C4-B8EB2BBDAB92}">
      <text>
        <r>
          <rPr>
            <sz val="10"/>
            <color indexed="81"/>
            <rFont val="Lucida Console"/>
            <family val="3"/>
          </rPr>
          <t>Tempo de Estoque (Meses)_x000D_
_x000D_
8.597,0</t>
        </r>
      </text>
    </comment>
    <comment ref="A682" authorId="0" shapeId="0" xr:uid="{F3C78732-EB66-43EF-A46D-5ADCE7D307E9}">
      <text>
        <r>
          <rPr>
            <sz val="10"/>
            <color indexed="81"/>
            <rFont val="Lucida Console"/>
            <family val="3"/>
          </rPr>
          <t>_x000D_
140933</t>
        </r>
      </text>
    </comment>
    <comment ref="B682" authorId="0" shapeId="0" xr:uid="{DDC9E213-93B2-4683-91A6-03D18FD4781D}">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82" authorId="0" shapeId="0" xr:uid="{901FA536-C4CE-4525-B860-6D6081D10064}">
      <text>
        <r>
          <rPr>
            <sz val="10"/>
            <color indexed="81"/>
            <rFont val="Lucida Console"/>
            <family val="3"/>
          </rPr>
          <t>_x000D_
Pedagógico</t>
        </r>
      </text>
    </comment>
    <comment ref="X682" authorId="0" shapeId="0" xr:uid="{46DD0F7D-7EAA-4FDD-A844-4BAC982AFE27}">
      <text>
        <r>
          <rPr>
            <sz val="10"/>
            <color indexed="81"/>
            <rFont val="Lucida Console"/>
            <family val="3"/>
          </rPr>
          <t>_x000D_
MAQ., EQUIP., COMP., ACES., MAT. PARA ESCRIT.E ESCOLAR</t>
        </r>
      </text>
    </comment>
    <comment ref="Y682" authorId="0" shapeId="0" xr:uid="{A783F0FA-9FEF-457A-941F-841232D6D23B}">
      <text>
        <r>
          <rPr>
            <sz val="10"/>
            <color indexed="81"/>
            <rFont val="Lucida Console"/>
            <family val="3"/>
          </rPr>
          <t>_x000D_
MATERIAIS DE DESENHO TECNICO</t>
        </r>
      </text>
    </comment>
    <comment ref="AW682" authorId="0" shapeId="0" xr:uid="{D9320CC3-0CE1-4F14-B9A5-CDD88DE7F5B8}">
      <text>
        <r>
          <rPr>
            <sz val="10"/>
            <color indexed="81"/>
            <rFont val="Lucida Console"/>
            <family val="3"/>
          </rPr>
          <t>Tempo de Estoque (Meses)_x000D_
_x000D_
924,0</t>
        </r>
      </text>
    </comment>
    <comment ref="A683" authorId="0" shapeId="0" xr:uid="{7BDECE12-CEA8-4ED5-9C15-1C721E206235}">
      <text>
        <r>
          <rPr>
            <sz val="10"/>
            <color indexed="81"/>
            <rFont val="Lucida Console"/>
            <family val="3"/>
          </rPr>
          <t>_x000D_
13539</t>
        </r>
      </text>
    </comment>
    <comment ref="B683" authorId="0" shapeId="0" xr:uid="{1C9D565E-6D34-4882-BCE4-873AC6F56E82}">
      <text>
        <r>
          <rPr>
            <sz val="10"/>
            <color indexed="81"/>
            <rFont val="Lucida Console"/>
            <family val="3"/>
          </rPr>
          <t>DESCRIÇÃO DETALHADA_x000D_
APAGADOR PARA QUADRO BRANCO - NAO MAGNETICO</t>
        </r>
      </text>
    </comment>
    <comment ref="W683" authorId="0" shapeId="0" xr:uid="{36185D97-5A07-46A5-8F8E-92FA7D355EBA}">
      <text>
        <r>
          <rPr>
            <sz val="10"/>
            <color indexed="81"/>
            <rFont val="Lucida Console"/>
            <family val="3"/>
          </rPr>
          <t>_x000D_
Pedagógico</t>
        </r>
      </text>
    </comment>
    <comment ref="X683" authorId="0" shapeId="0" xr:uid="{CAF55A11-6FB8-418E-B485-BB50B0D9E912}">
      <text>
        <r>
          <rPr>
            <sz val="10"/>
            <color indexed="81"/>
            <rFont val="Lucida Console"/>
            <family val="3"/>
          </rPr>
          <t>_x000D_
MAQ., EQUIP., COMP., ACES., MAT. PARA ESCRIT.E ESCOLAR</t>
        </r>
      </text>
    </comment>
    <comment ref="Y683" authorId="0" shapeId="0" xr:uid="{C90812E3-CFAA-406B-AB51-F1FB621A7B5A}">
      <text>
        <r>
          <rPr>
            <sz val="10"/>
            <color indexed="81"/>
            <rFont val="Lucida Console"/>
            <family val="3"/>
          </rPr>
          <t>_x000D_
MATERIAIS ESCOLARES E DIDATICOS</t>
        </r>
      </text>
    </comment>
    <comment ref="AW683" authorId="0" shapeId="0" xr:uid="{0119F94C-DAFD-4618-AB69-61BA0F6CEA9B}">
      <text>
        <r>
          <rPr>
            <sz val="10"/>
            <color indexed="81"/>
            <rFont val="Lucida Console"/>
            <family val="3"/>
          </rPr>
          <t>Tempo de Estoque (Meses)_x000D_
_x000D_
1.425,0</t>
        </r>
      </text>
    </comment>
    <comment ref="A684" authorId="0" shapeId="0" xr:uid="{94982DD3-B783-4284-A400-19EACE3FEB84}">
      <text>
        <r>
          <rPr>
            <sz val="10"/>
            <color indexed="81"/>
            <rFont val="Lucida Console"/>
            <family val="3"/>
          </rPr>
          <t>_x000D_
16512</t>
        </r>
      </text>
    </comment>
    <comment ref="B684" authorId="0" shapeId="0" xr:uid="{F666BB71-67B6-499D-A970-84095CD02848}">
      <text>
        <r>
          <rPr>
            <sz val="10"/>
            <color indexed="81"/>
            <rFont val="Lucida Console"/>
            <family val="3"/>
          </rPr>
          <t>DESCRIÇÃO DETALHADA_x000D_
GIZ DE CORES DIVERSAS, ANTIALERGICO, CAIXA COM 50 UNIDADES</t>
        </r>
      </text>
    </comment>
    <comment ref="W684" authorId="0" shapeId="0" xr:uid="{16208929-C7F8-4A2D-8085-C1A15B9E17FF}">
      <text>
        <r>
          <rPr>
            <sz val="10"/>
            <color indexed="81"/>
            <rFont val="Lucida Console"/>
            <family val="3"/>
          </rPr>
          <t>_x000D_
Pedagógico</t>
        </r>
      </text>
    </comment>
    <comment ref="X684" authorId="0" shapeId="0" xr:uid="{53433048-2D4E-4D9D-885D-E50C0C237717}">
      <text>
        <r>
          <rPr>
            <sz val="10"/>
            <color indexed="81"/>
            <rFont val="Lucida Console"/>
            <family val="3"/>
          </rPr>
          <t>_x000D_
MAQ., EQUIP., COMP., ACES., MAT. PARA ESCRIT.E ESCOLAR</t>
        </r>
      </text>
    </comment>
    <comment ref="Y684" authorId="0" shapeId="0" xr:uid="{FADEB8D8-0DB3-48E9-A8DE-4F87279C205F}">
      <text>
        <r>
          <rPr>
            <sz val="10"/>
            <color indexed="81"/>
            <rFont val="Lucida Console"/>
            <family val="3"/>
          </rPr>
          <t>_x000D_
MATERIAIS ESCOLARES E DIDATICOS</t>
        </r>
      </text>
    </comment>
    <comment ref="AW684" authorId="0" shapeId="0" xr:uid="{3669D8D7-9073-4D0F-9F8F-329E993DDCD3}">
      <text>
        <r>
          <rPr>
            <sz val="10"/>
            <color indexed="81"/>
            <rFont val="Lucida Console"/>
            <family val="3"/>
          </rPr>
          <t>Tempo de Estoque (Meses)_x000D_
_x000D_
1.100,0</t>
        </r>
      </text>
    </comment>
    <comment ref="A685" authorId="0" shapeId="0" xr:uid="{A3740823-6CC1-4F74-B432-5BD7CA92AE65}">
      <text>
        <r>
          <rPr>
            <sz val="10"/>
            <color indexed="81"/>
            <rFont val="Lucida Console"/>
            <family val="3"/>
          </rPr>
          <t>_x000D_
91250</t>
        </r>
      </text>
    </comment>
    <comment ref="B685" authorId="0" shapeId="0" xr:uid="{0C2404C8-5519-4E81-94B1-FDBD540331D6}">
      <text>
        <r>
          <rPr>
            <sz val="10"/>
            <color indexed="81"/>
            <rFont val="Lucida Console"/>
            <family val="3"/>
          </rPr>
          <t>DESCRIÇÃO DETALHADA_x000D_
PLASTICO BOLHA - MEDIDA 1,20 M LARGURA</t>
        </r>
      </text>
    </comment>
    <comment ref="W685" authorId="0" shapeId="0" xr:uid="{ED3D4A67-40FD-4B91-BB65-AFF31F8E79B3}">
      <text>
        <r>
          <rPr>
            <sz val="10"/>
            <color indexed="81"/>
            <rFont val="Lucida Console"/>
            <family val="3"/>
          </rPr>
          <t>_x000D_
Pedagógico</t>
        </r>
      </text>
    </comment>
    <comment ref="X685" authorId="0" shapeId="0" xr:uid="{A5A4E064-BFE6-4814-BF92-21D2813CCDAE}">
      <text>
        <r>
          <rPr>
            <sz val="10"/>
            <color indexed="81"/>
            <rFont val="Lucida Console"/>
            <family val="3"/>
          </rPr>
          <t>_x000D_
MAQ., EQUIP., COMP., ACES., MAT. PARA ESCRIT.E ESCOLAR</t>
        </r>
      </text>
    </comment>
    <comment ref="Y685" authorId="0" shapeId="0" xr:uid="{5E8D4838-8D53-4832-B640-D929414BFC81}">
      <text>
        <r>
          <rPr>
            <sz val="10"/>
            <color indexed="81"/>
            <rFont val="Lucida Console"/>
            <family val="3"/>
          </rPr>
          <t>_x000D_
MATERIAIS ESCOLARES E DIDATICOS</t>
        </r>
      </text>
    </comment>
    <comment ref="AW685" authorId="0" shapeId="0" xr:uid="{4FA63A45-E40A-4538-BDC7-88B29AC73EE4}">
      <text>
        <r>
          <rPr>
            <sz val="10"/>
            <color indexed="81"/>
            <rFont val="Lucida Console"/>
            <family val="3"/>
          </rPr>
          <t>Tempo de Estoque (Meses)_x000D_
_x000D_
665,0</t>
        </r>
      </text>
    </comment>
    <comment ref="A686" authorId="0" shapeId="0" xr:uid="{E083B342-985B-45F9-9DAD-D81F90D115A7}">
      <text>
        <r>
          <rPr>
            <sz val="10"/>
            <color indexed="81"/>
            <rFont val="Lucida Console"/>
            <family val="3"/>
          </rPr>
          <t>_x000D_
78646</t>
        </r>
      </text>
    </comment>
    <comment ref="B686" authorId="0" shapeId="0" xr:uid="{94745735-E1CD-4886-AB90-020EDCCE0BA0}">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86" authorId="0" shapeId="0" xr:uid="{D120DA36-70F2-4917-BF16-699C8442F336}">
      <text>
        <r>
          <rPr>
            <sz val="10"/>
            <color indexed="81"/>
            <rFont val="Lucida Console"/>
            <family val="3"/>
          </rPr>
          <t>_x000D_
Pedagógico</t>
        </r>
      </text>
    </comment>
    <comment ref="X686" authorId="0" shapeId="0" xr:uid="{A17FD8BD-6212-4BF2-BB7F-F4B380BD7A56}">
      <text>
        <r>
          <rPr>
            <sz val="10"/>
            <color indexed="81"/>
            <rFont val="Lucida Console"/>
            <family val="3"/>
          </rPr>
          <t>_x000D_
MAQ., EQUIP., COMP., ACES., MAT. PARA ESCRIT.E ESCOLAR</t>
        </r>
      </text>
    </comment>
    <comment ref="Y686" authorId="0" shapeId="0" xr:uid="{D8294E4E-54FF-4DD0-951C-88D757431E7F}">
      <text>
        <r>
          <rPr>
            <sz val="10"/>
            <color indexed="81"/>
            <rFont val="Lucida Console"/>
            <family val="3"/>
          </rPr>
          <t>_x000D_
TINTAS  E PINCEIS ESCOLARES</t>
        </r>
      </text>
    </comment>
    <comment ref="AW686" authorId="0" shapeId="0" xr:uid="{A43CDF83-B135-4C7B-8B2A-D62B82F6072E}">
      <text>
        <r>
          <rPr>
            <sz val="10"/>
            <color indexed="81"/>
            <rFont val="Lucida Console"/>
            <family val="3"/>
          </rPr>
          <t>Tempo de Estoque (Meses)_x000D_
_x000D_
2.518,0</t>
        </r>
      </text>
    </comment>
    <comment ref="A687" authorId="0" shapeId="0" xr:uid="{352D7037-1E17-4A15-9B3D-6300014CEB34}">
      <text>
        <r>
          <rPr>
            <sz val="10"/>
            <color indexed="81"/>
            <rFont val="Lucida Console"/>
            <family val="3"/>
          </rPr>
          <t>_x000D_
80872</t>
        </r>
      </text>
    </comment>
    <comment ref="B687" authorId="0" shapeId="0" xr:uid="{CE7C7B14-353E-43FC-909C-3E623ECE5370}">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87" authorId="0" shapeId="0" xr:uid="{FB8C7D40-FB95-4B5B-8A96-B1E88160A4EA}">
      <text>
        <r>
          <rPr>
            <sz val="10"/>
            <color indexed="81"/>
            <rFont val="Lucida Console"/>
            <family val="3"/>
          </rPr>
          <t>_x000D_
Pedagógico</t>
        </r>
      </text>
    </comment>
    <comment ref="X687" authorId="0" shapeId="0" xr:uid="{9247D917-84C5-4B08-AFF4-ACF91B971FC9}">
      <text>
        <r>
          <rPr>
            <sz val="10"/>
            <color indexed="81"/>
            <rFont val="Lucida Console"/>
            <family val="3"/>
          </rPr>
          <t>_x000D_
MAQ., EQUIP., COMP., ACES., MAT. PARA ESCRIT.E ESCOLAR</t>
        </r>
      </text>
    </comment>
    <comment ref="Y687" authorId="0" shapeId="0" xr:uid="{E2FDD622-6B1B-4088-BC44-06D6E29AFD40}">
      <text>
        <r>
          <rPr>
            <sz val="10"/>
            <color indexed="81"/>
            <rFont val="Lucida Console"/>
            <family val="3"/>
          </rPr>
          <t>_x000D_
TINTAS  E PINCEIS ESCOLARES</t>
        </r>
      </text>
    </comment>
    <comment ref="AW687" authorId="0" shapeId="0" xr:uid="{44093C1B-0093-4317-9BB5-6612B05A8C05}">
      <text>
        <r>
          <rPr>
            <sz val="10"/>
            <color indexed="81"/>
            <rFont val="Lucida Console"/>
            <family val="3"/>
          </rPr>
          <t>Tempo de Estoque (Meses)_x000D_
_x000D_
2.300,0</t>
        </r>
      </text>
    </comment>
    <comment ref="A688" authorId="0" shapeId="0" xr:uid="{8D0988E9-A49C-4D97-A9B4-821DA4B4EDCE}">
      <text>
        <r>
          <rPr>
            <sz val="10"/>
            <color indexed="81"/>
            <rFont val="Lucida Console"/>
            <family val="3"/>
          </rPr>
          <t>_x000D_
106697</t>
        </r>
      </text>
    </comment>
    <comment ref="B688" authorId="0" shapeId="0" xr:uid="{9AF2073E-40DD-45ED-BF77-D3124AF79DE7}">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88" authorId="0" shapeId="0" xr:uid="{7E6CE160-DC0A-44D5-9C48-BB5AB02A7B9E}">
      <text>
        <r>
          <rPr>
            <sz val="10"/>
            <color indexed="81"/>
            <rFont val="Lucida Console"/>
            <family val="3"/>
          </rPr>
          <t>_x000D_
Pedagógico</t>
        </r>
      </text>
    </comment>
    <comment ref="X688" authorId="0" shapeId="0" xr:uid="{3387FC7E-68E3-46CF-ACA9-927ADF4396F0}">
      <text>
        <r>
          <rPr>
            <sz val="10"/>
            <color indexed="81"/>
            <rFont val="Lucida Console"/>
            <family val="3"/>
          </rPr>
          <t>_x000D_
MAQ., EQUIP., COMP., ACES., MAT. PARA ESCRIT.E ESCOLAR</t>
        </r>
      </text>
    </comment>
    <comment ref="Y688" authorId="0" shapeId="0" xr:uid="{118F546E-DD49-45C2-BDB4-328A2EC2F4BE}">
      <text>
        <r>
          <rPr>
            <sz val="10"/>
            <color indexed="81"/>
            <rFont val="Lucida Console"/>
            <family val="3"/>
          </rPr>
          <t>_x000D_
TINTAS  E PINCEIS ESCOLARES</t>
        </r>
      </text>
    </comment>
    <comment ref="AW688" authorId="0" shapeId="0" xr:uid="{08A63104-1518-410E-92EF-0F2B722EB2B2}">
      <text>
        <r>
          <rPr>
            <sz val="10"/>
            <color indexed="81"/>
            <rFont val="Lucida Console"/>
            <family val="3"/>
          </rPr>
          <t>Tempo de Estoque (Meses)_x000D_
_x000D_
2.271,0</t>
        </r>
      </text>
    </comment>
    <comment ref="A689" authorId="0" shapeId="0" xr:uid="{A072473A-D635-466A-9C32-01651BF2BC20}">
      <text>
        <r>
          <rPr>
            <sz val="10"/>
            <color indexed="81"/>
            <rFont val="Lucida Console"/>
            <family val="3"/>
          </rPr>
          <t>_x000D_
135303</t>
        </r>
      </text>
    </comment>
    <comment ref="B689" authorId="0" shapeId="0" xr:uid="{5B34F2FE-E8D5-48DF-A63E-3FE09A5E7A52}">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89" authorId="0" shapeId="0" xr:uid="{6B06185D-0E23-4C4D-B920-6E2350DB6205}">
      <text>
        <r>
          <rPr>
            <sz val="10"/>
            <color indexed="81"/>
            <rFont val="Lucida Console"/>
            <family val="3"/>
          </rPr>
          <t>_x000D_
Administrativo</t>
        </r>
      </text>
    </comment>
    <comment ref="X689" authorId="0" shapeId="0" xr:uid="{F38DF9CE-6C16-4D74-8EE8-C68A3BE1005C}">
      <text>
        <r>
          <rPr>
            <sz val="10"/>
            <color indexed="81"/>
            <rFont val="Lucida Console"/>
            <family val="3"/>
          </rPr>
          <t>_x000D_
EQUIP. P/REFR. PURIF. ADUCAO DE AGUA E TRAT. DE ESGOTO</t>
        </r>
      </text>
    </comment>
    <comment ref="Y689" authorId="0" shapeId="0" xr:uid="{A48D78AC-F9C1-40C2-A87C-EE28120CFA25}">
      <text>
        <r>
          <rPr>
            <sz val="10"/>
            <color indexed="81"/>
            <rFont val="Lucida Console"/>
            <family val="3"/>
          </rPr>
          <t>_x000D_
FILTROS, TALHAS E ELEMENTOS P/...</t>
        </r>
      </text>
    </comment>
    <comment ref="AW689" authorId="0" shapeId="0" xr:uid="{FD3E28B0-EAC7-4F68-B0E5-0C6E4BAC0F70}">
      <text>
        <r>
          <rPr>
            <sz val="10"/>
            <color indexed="81"/>
            <rFont val="Lucida Console"/>
            <family val="3"/>
          </rPr>
          <t>Tempo de Estoque (Meses)_x000D_
_x000D_
106,0</t>
        </r>
      </text>
    </comment>
    <comment ref="A690" authorId="0" shapeId="0" xr:uid="{E7D31C24-F849-4F1C-A5EF-90397DCBE7CA}">
      <text>
        <r>
          <rPr>
            <sz val="10"/>
            <color indexed="81"/>
            <rFont val="Lucida Console"/>
            <family val="3"/>
          </rPr>
          <t>_x000D_
106129</t>
        </r>
      </text>
    </comment>
    <comment ref="B690" authorId="0" shapeId="0" xr:uid="{3C206337-2915-4EC3-8279-76C70ECD17F3}">
      <text>
        <r>
          <rPr>
            <sz val="10"/>
            <color indexed="81"/>
            <rFont val="Lucida Console"/>
            <family val="3"/>
          </rPr>
          <t>DESCRIÇÃO DETALHADA_x000D_
RELE TERMICO 5.5 A 8A LRD12 ( SCH )</t>
        </r>
      </text>
    </comment>
    <comment ref="W690" authorId="0" shapeId="0" xr:uid="{3B9F4A3E-9BAC-4DD5-A1D9-88E12B32F1A2}">
      <text>
        <r>
          <rPr>
            <sz val="10"/>
            <color indexed="81"/>
            <rFont val="Lucida Console"/>
            <family val="3"/>
          </rPr>
          <t>_x000D_
DM-Elétrica</t>
        </r>
      </text>
    </comment>
    <comment ref="X690" authorId="0" shapeId="0" xr:uid="{ECCD8A17-5900-4CCF-9ABE-6810A4958A2B}">
      <text>
        <r>
          <rPr>
            <sz val="10"/>
            <color indexed="81"/>
            <rFont val="Lucida Console"/>
            <family val="3"/>
          </rPr>
          <t>_x000D_
EQUIP. P/ COND. VENT. PURIF. DE AR, COMPONENTES E ACES.</t>
        </r>
      </text>
    </comment>
    <comment ref="Y690" authorId="0" shapeId="0" xr:uid="{99307BE1-6CD4-489F-9D76-591B15DCE196}">
      <text>
        <r>
          <rPr>
            <sz val="10"/>
            <color indexed="81"/>
            <rFont val="Lucida Console"/>
            <family val="3"/>
          </rPr>
          <t>_x000D_
EQUIP. E ACES. DE AQUEC. REFRIG. PRESSUR. E COND. DE AR</t>
        </r>
      </text>
    </comment>
    <comment ref="AW690" authorId="0" shapeId="0" xr:uid="{753D425C-EA61-4EF0-988D-FBF65B32D735}">
      <text>
        <r>
          <rPr>
            <sz val="10"/>
            <color indexed="81"/>
            <rFont val="Lucida Console"/>
            <family val="3"/>
          </rPr>
          <t>Tempo de Estoque (Meses)_x000D_
_x000D_
6,0</t>
        </r>
      </text>
    </comment>
    <comment ref="A691" authorId="0" shapeId="0" xr:uid="{5CBD0523-F37F-467F-BA7D-5B48FEFAAD8A}">
      <text>
        <r>
          <rPr>
            <sz val="10"/>
            <color indexed="81"/>
            <rFont val="Lucida Console"/>
            <family val="3"/>
          </rPr>
          <t>_x000D_
106130</t>
        </r>
      </text>
    </comment>
    <comment ref="B691" authorId="0" shapeId="0" xr:uid="{66687F93-523B-424C-AFF3-213A33F5A79A}">
      <text>
        <r>
          <rPr>
            <sz val="10"/>
            <color indexed="81"/>
            <rFont val="Lucida Console"/>
            <family val="3"/>
          </rPr>
          <t>DESCRIÇÃO DETALHADA_x000D_
RELE TERMICO 7 A 10A LRD14 ( SCH )</t>
        </r>
      </text>
    </comment>
    <comment ref="W691" authorId="0" shapeId="0" xr:uid="{588EEB90-97D9-4E17-A828-811865564C7E}">
      <text>
        <r>
          <rPr>
            <sz val="10"/>
            <color indexed="81"/>
            <rFont val="Lucida Console"/>
            <family val="3"/>
          </rPr>
          <t>_x000D_
DM-Elétrica</t>
        </r>
      </text>
    </comment>
    <comment ref="X691" authorId="0" shapeId="0" xr:uid="{38A73527-C382-4FD4-8F43-D20ACCB94617}">
      <text>
        <r>
          <rPr>
            <sz val="10"/>
            <color indexed="81"/>
            <rFont val="Lucida Console"/>
            <family val="3"/>
          </rPr>
          <t>_x000D_
EQUIP. P/ COND. VENT. PURIF. DE AR, COMPONENTES E ACES.</t>
        </r>
      </text>
    </comment>
    <comment ref="Y691" authorId="0" shapeId="0" xr:uid="{B1FB8F4D-78B9-458B-AC41-9F7C211BC529}">
      <text>
        <r>
          <rPr>
            <sz val="10"/>
            <color indexed="81"/>
            <rFont val="Lucida Console"/>
            <family val="3"/>
          </rPr>
          <t>_x000D_
EQUIP. E ACES. DE AQUEC. REFRIG. PRESSUR. E COND. DE AR</t>
        </r>
      </text>
    </comment>
    <comment ref="AW691" authorId="0" shapeId="0" xr:uid="{EF5954AF-7E3A-4987-8669-0EBBA89C7819}">
      <text>
        <r>
          <rPr>
            <sz val="10"/>
            <color indexed="81"/>
            <rFont val="Lucida Console"/>
            <family val="3"/>
          </rPr>
          <t>Tempo de Estoque (Meses)_x000D_
_x000D_
8,0</t>
        </r>
      </text>
    </comment>
    <comment ref="A692" authorId="0" shapeId="0" xr:uid="{B8C9F54C-8EAF-41E6-B52E-13EBF5928E68}">
      <text>
        <r>
          <rPr>
            <sz val="10"/>
            <color indexed="81"/>
            <rFont val="Lucida Console"/>
            <family val="3"/>
          </rPr>
          <t>_x000D_
106131</t>
        </r>
      </text>
    </comment>
    <comment ref="B692" authorId="0" shapeId="0" xr:uid="{E1E9C026-AEE9-492E-8922-5F9435ABA4D3}">
      <text>
        <r>
          <rPr>
            <sz val="10"/>
            <color indexed="81"/>
            <rFont val="Lucida Console"/>
            <family val="3"/>
          </rPr>
          <t>DESCRIÇÃO DETALHADA_x000D_
RELE TERMICO 12 A 18A LRD21 ( SCH )</t>
        </r>
      </text>
    </comment>
    <comment ref="W692" authorId="0" shapeId="0" xr:uid="{A8D2082F-DFCE-427E-AF6E-E7CE6188C373}">
      <text>
        <r>
          <rPr>
            <sz val="10"/>
            <color indexed="81"/>
            <rFont val="Lucida Console"/>
            <family val="3"/>
          </rPr>
          <t>_x000D_
DM-Elétrica</t>
        </r>
      </text>
    </comment>
    <comment ref="X692" authorId="0" shapeId="0" xr:uid="{E605C7A5-40A2-4B23-9F06-224B74DCDA80}">
      <text>
        <r>
          <rPr>
            <sz val="10"/>
            <color indexed="81"/>
            <rFont val="Lucida Console"/>
            <family val="3"/>
          </rPr>
          <t>_x000D_
EQUIP. P/ COND. VENT. PURIF. DE AR, COMPONENTES E ACES.</t>
        </r>
      </text>
    </comment>
    <comment ref="Y692" authorId="0" shapeId="0" xr:uid="{12A1C4A8-0B4D-416B-845D-41F4A51AB04A}">
      <text>
        <r>
          <rPr>
            <sz val="10"/>
            <color indexed="81"/>
            <rFont val="Lucida Console"/>
            <family val="3"/>
          </rPr>
          <t>_x000D_
EQUIP. E ACES. DE AQUEC. REFRIG. PRESSUR. E COND. DE AR</t>
        </r>
      </text>
    </comment>
    <comment ref="AW692" authorId="0" shapeId="0" xr:uid="{B3F329AF-EDDB-45B4-8318-341664953C30}">
      <text>
        <r>
          <rPr>
            <sz val="10"/>
            <color indexed="81"/>
            <rFont val="Lucida Console"/>
            <family val="3"/>
          </rPr>
          <t>Tempo de Estoque (Meses)_x000D_
_x000D_
11,0</t>
        </r>
      </text>
    </comment>
    <comment ref="A693" authorId="0" shapeId="0" xr:uid="{798484A3-4B13-489E-8A02-5F2D3695510F}">
      <text>
        <r>
          <rPr>
            <sz val="10"/>
            <color indexed="81"/>
            <rFont val="Lucida Console"/>
            <family val="3"/>
          </rPr>
          <t>_x000D_
107790</t>
        </r>
      </text>
    </comment>
    <comment ref="B693" authorId="0" shapeId="0" xr:uid="{12CA88EA-CB94-4BA9-BC16-97A5A589B916}">
      <text>
        <r>
          <rPr>
            <sz val="10"/>
            <color indexed="81"/>
            <rFont val="Lucida Console"/>
            <family val="3"/>
          </rPr>
          <t>DESCRIÇÃO DETALHADA_x000D_
CONTROLADOR ROTATIVO DE VELOCIDADE COM CHAVE PARA VENTILADORES COM PLACA 4 X 2 . COR BRANCA.</t>
        </r>
      </text>
    </comment>
    <comment ref="W693" authorId="0" shapeId="0" xr:uid="{AA0B3FEE-04E5-41E1-9E0D-4ADE25D68966}">
      <text>
        <r>
          <rPr>
            <sz val="10"/>
            <color indexed="81"/>
            <rFont val="Lucida Console"/>
            <family val="3"/>
          </rPr>
          <t>_x000D_
DM-Elétrica</t>
        </r>
      </text>
    </comment>
    <comment ref="X693" authorId="0" shapeId="0" xr:uid="{E4018FBA-5C6F-49C9-B068-CCA82FBEB670}">
      <text>
        <r>
          <rPr>
            <sz val="10"/>
            <color indexed="81"/>
            <rFont val="Lucida Console"/>
            <family val="3"/>
          </rPr>
          <t>_x000D_
EQUIP. P/ COND. VENT. PURIF. DE AR, COMPONENTES E ACES.</t>
        </r>
      </text>
    </comment>
    <comment ref="Y693" authorId="0" shapeId="0" xr:uid="{CA07D01D-538A-4018-BC6B-CF7636041CFA}">
      <text>
        <r>
          <rPr>
            <sz val="10"/>
            <color indexed="81"/>
            <rFont val="Lucida Console"/>
            <family val="3"/>
          </rPr>
          <t>_x000D_
EQUIP. E ACES.P/ VENTILACAO E CIRCULACAO DE AR</t>
        </r>
      </text>
    </comment>
    <comment ref="AW693" authorId="0" shapeId="0" xr:uid="{91EDC6CB-D4BD-4745-9523-A8E152C74C61}">
      <text>
        <r>
          <rPr>
            <sz val="10"/>
            <color indexed="81"/>
            <rFont val="Lucida Console"/>
            <family val="3"/>
          </rPr>
          <t>Tempo de Estoque (Meses)_x000D_
_x000D_
241,0</t>
        </r>
      </text>
    </comment>
    <comment ref="A694" authorId="0" shapeId="0" xr:uid="{E67A7635-D16E-4830-86F2-7FE61304E506}">
      <text>
        <r>
          <rPr>
            <sz val="10"/>
            <color indexed="81"/>
            <rFont val="Lucida Console"/>
            <family val="3"/>
          </rPr>
          <t>_x000D_
23016</t>
        </r>
      </text>
    </comment>
    <comment ref="B694" authorId="0" shapeId="0" xr:uid="{3FA2942B-4603-49FA-8C98-965CC0BFE308}">
      <text>
        <r>
          <rPr>
            <sz val="10"/>
            <color indexed="81"/>
            <rFont val="Lucida Console"/>
            <family val="3"/>
          </rPr>
          <t>DESCRIÇÃO DETALHADA_x000D_
MASSA CORRIDA ACRILICA - LT COM 18 L</t>
        </r>
      </text>
    </comment>
    <comment ref="W694" authorId="0" shapeId="0" xr:uid="{C4A09002-5AB6-4A72-86BB-2F5821593831}">
      <text>
        <r>
          <rPr>
            <sz val="10"/>
            <color indexed="81"/>
            <rFont val="Lucida Console"/>
            <family val="3"/>
          </rPr>
          <t>_x000D_
DM-Construção</t>
        </r>
      </text>
    </comment>
    <comment ref="X694" authorId="0" shapeId="0" xr:uid="{26A3A25C-82C2-4441-B85B-E15799BB6686}">
      <text>
        <r>
          <rPr>
            <sz val="10"/>
            <color indexed="81"/>
            <rFont val="Lucida Console"/>
            <family val="3"/>
          </rPr>
          <t>_x000D_
MAT.E EQUIP. P/ CONSTR.CIVIL E CONSERV. DE VIAS PUBL.</t>
        </r>
      </text>
    </comment>
    <comment ref="Y694" authorId="0" shapeId="0" xr:uid="{7B8A3818-8BF4-44DA-8779-B047599AAA18}">
      <text>
        <r>
          <rPr>
            <sz val="10"/>
            <color indexed="81"/>
            <rFont val="Lucida Console"/>
            <family val="3"/>
          </rPr>
          <t>_x000D_
CIMENTO, CAL E GESSO</t>
        </r>
      </text>
    </comment>
    <comment ref="AW694" authorId="0" shapeId="0" xr:uid="{2FEAD5AA-2B4A-4238-867A-51240E06209B}">
      <text>
        <r>
          <rPr>
            <sz val="10"/>
            <color indexed="81"/>
            <rFont val="Lucida Console"/>
            <family val="3"/>
          </rPr>
          <t>Tempo de Estoque (Meses)_x000D_
_x000D_
122,0</t>
        </r>
      </text>
    </comment>
    <comment ref="A695" authorId="0" shapeId="0" xr:uid="{FA3A3A84-7B5E-4733-9195-98A66AE9C38A}">
      <text>
        <r>
          <rPr>
            <sz val="10"/>
            <color indexed="81"/>
            <rFont val="Lucida Console"/>
            <family val="3"/>
          </rPr>
          <t>_x000D_
130632</t>
        </r>
      </text>
    </comment>
    <comment ref="B695" authorId="0" shapeId="0" xr:uid="{AE8C336D-71C0-4198-88B4-F6AAEE440686}">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95" authorId="0" shapeId="0" xr:uid="{3563BD70-BFE2-4FE3-8F5D-FF1A5B8F2D34}">
      <text>
        <r>
          <rPr>
            <sz val="10"/>
            <color indexed="81"/>
            <rFont val="Lucida Console"/>
            <family val="3"/>
          </rPr>
          <t>_x000D_
DM-Construção</t>
        </r>
      </text>
    </comment>
    <comment ref="X695" authorId="0" shapeId="0" xr:uid="{0A6518C7-5ED7-4FC6-9D6C-E8DDB94CCACF}">
      <text>
        <r>
          <rPr>
            <sz val="10"/>
            <color indexed="81"/>
            <rFont val="Lucida Console"/>
            <family val="3"/>
          </rPr>
          <t>_x000D_
MAT.E EQUIP. P/ CONSTR.CIVIL E CONSERV. DE VIAS PUBL.</t>
        </r>
      </text>
    </comment>
    <comment ref="Y695" authorId="0" shapeId="0" xr:uid="{44D8D91B-C0A7-4D5F-B13C-357A1AD93F1F}">
      <text>
        <r>
          <rPr>
            <sz val="10"/>
            <color indexed="81"/>
            <rFont val="Lucida Console"/>
            <family val="3"/>
          </rPr>
          <t>_x000D_
CIMENTO, CAL E GESSO</t>
        </r>
      </text>
    </comment>
    <comment ref="AW695" authorId="0" shapeId="0" xr:uid="{9E577665-DE53-449C-A64E-549A77855790}">
      <text>
        <r>
          <rPr>
            <sz val="10"/>
            <color indexed="81"/>
            <rFont val="Lucida Console"/>
            <family val="3"/>
          </rPr>
          <t>Tempo de Estoque (Meses)_x000D_
_x000D_
60,0</t>
        </r>
      </text>
    </comment>
    <comment ref="A696" authorId="0" shapeId="0" xr:uid="{80BBF9DD-C51D-411F-94E2-C0E8B2310991}">
      <text>
        <r>
          <rPr>
            <sz val="10"/>
            <color indexed="81"/>
            <rFont val="Lucida Console"/>
            <family val="3"/>
          </rPr>
          <t>_x000D_
13197</t>
        </r>
      </text>
    </comment>
    <comment ref="B696" authorId="0" shapeId="0" xr:uid="{54CFC170-C967-49C2-96F5-4DCF27CEB7BC}">
      <text>
        <r>
          <rPr>
            <sz val="10"/>
            <color indexed="81"/>
            <rFont val="Lucida Console"/>
            <family val="3"/>
          </rPr>
          <t>DESCRIÇÃO DETALHADA_x000D_
DOBRADICA DE FERRO POLIDO 1.1/2"</t>
        </r>
      </text>
    </comment>
    <comment ref="W696" authorId="0" shapeId="0" xr:uid="{724599E7-3BDD-4347-B844-0891B3D60DF4}">
      <text>
        <r>
          <rPr>
            <sz val="10"/>
            <color indexed="81"/>
            <rFont val="Lucida Console"/>
            <family val="3"/>
          </rPr>
          <t>_x000D_
DM-Construção</t>
        </r>
      </text>
    </comment>
    <comment ref="X696" authorId="0" shapeId="0" xr:uid="{0F33F190-661C-48AC-9B06-1A4AE7644E38}">
      <text>
        <r>
          <rPr>
            <sz val="10"/>
            <color indexed="81"/>
            <rFont val="Lucida Console"/>
            <family val="3"/>
          </rPr>
          <t>_x000D_
MAT.E EQUIP. P/ CONSTR.CIVIL E CONSERV. DE VIAS PUBL.</t>
        </r>
      </text>
    </comment>
    <comment ref="Y696" authorId="0" shapeId="0" xr:uid="{F9080DA2-01A5-43AA-BCEE-00DF7A59E108}">
      <text>
        <r>
          <rPr>
            <sz val="10"/>
            <color indexed="81"/>
            <rFont val="Lucida Console"/>
            <family val="3"/>
          </rPr>
          <t>_x000D_
FECHADURAS, DOBRADICAS E MACANETAS</t>
        </r>
      </text>
    </comment>
    <comment ref="AW696" authorId="0" shapeId="0" xr:uid="{358EC7B6-1705-4490-91B7-92FFF898A781}">
      <text>
        <r>
          <rPr>
            <sz val="10"/>
            <color indexed="81"/>
            <rFont val="Lucida Console"/>
            <family val="3"/>
          </rPr>
          <t>Tempo de Estoque (Meses)_x000D_
_x000D_
269,0</t>
        </r>
      </text>
    </comment>
    <comment ref="A697" authorId="0" shapeId="0" xr:uid="{86D1BA94-CE3B-4BDA-B51D-309454EA8C5D}">
      <text>
        <r>
          <rPr>
            <sz val="10"/>
            <color indexed="81"/>
            <rFont val="Lucida Console"/>
            <family val="3"/>
          </rPr>
          <t>_x000D_
23607</t>
        </r>
      </text>
    </comment>
    <comment ref="B697" authorId="0" shapeId="0" xr:uid="{965E0F29-DE58-4EFB-B7EA-CFCB125F7110}">
      <text>
        <r>
          <rPr>
            <sz val="10"/>
            <color indexed="81"/>
            <rFont val="Lucida Console"/>
            <family val="3"/>
          </rPr>
          <t>DESCRIÇÃO DETALHADA_x000D_
TARJETA CROMADA 2"</t>
        </r>
      </text>
    </comment>
    <comment ref="W697" authorId="0" shapeId="0" xr:uid="{5DF321C3-1559-45CB-87E2-A4C59F688F4E}">
      <text>
        <r>
          <rPr>
            <sz val="10"/>
            <color indexed="81"/>
            <rFont val="Lucida Console"/>
            <family val="3"/>
          </rPr>
          <t>_x000D_
DM-Marcenaria</t>
        </r>
      </text>
    </comment>
    <comment ref="X697" authorId="0" shapeId="0" xr:uid="{CAF6EBD9-F272-49EC-B39C-3DD326AC9886}">
      <text>
        <r>
          <rPr>
            <sz val="10"/>
            <color indexed="81"/>
            <rFont val="Lucida Console"/>
            <family val="3"/>
          </rPr>
          <t>_x000D_
MAT.E EQUIP. P/ CONSTR.CIVIL E CONSERV. DE VIAS PUBL.</t>
        </r>
      </text>
    </comment>
    <comment ref="Y697" authorId="0" shapeId="0" xr:uid="{59134EED-A479-4CBD-9911-7BD295998823}">
      <text>
        <r>
          <rPr>
            <sz val="10"/>
            <color indexed="81"/>
            <rFont val="Lucida Console"/>
            <family val="3"/>
          </rPr>
          <t>_x000D_
MACANETAS, TRINCOS, TRAMELAS E TRANQUETAS</t>
        </r>
      </text>
    </comment>
    <comment ref="AW697" authorId="0" shapeId="0" xr:uid="{CF1D2047-3A6F-4E1A-B8C2-7D67D77A00C7}">
      <text>
        <r>
          <rPr>
            <sz val="10"/>
            <color indexed="81"/>
            <rFont val="Lucida Console"/>
            <family val="3"/>
          </rPr>
          <t>Tempo de Estoque (Meses)_x000D_
_x000D_
575,0</t>
        </r>
      </text>
    </comment>
    <comment ref="A698" authorId="0" shapeId="0" xr:uid="{5432248B-A1E4-47BC-B3E0-CC1C5C3125F6}">
      <text>
        <r>
          <rPr>
            <sz val="10"/>
            <color indexed="81"/>
            <rFont val="Lucida Console"/>
            <family val="3"/>
          </rPr>
          <t>_x000D_
14056</t>
        </r>
      </text>
    </comment>
    <comment ref="B698" authorId="0" shapeId="0" xr:uid="{71BB6A4C-BEAA-4D1E-8F09-D12B2534B1D3}">
      <text>
        <r>
          <rPr>
            <sz val="10"/>
            <color indexed="81"/>
            <rFont val="Lucida Console"/>
            <family val="3"/>
          </rPr>
          <t>DESCRIÇÃO DETALHADA_x000D_
PORTA CADEADO DE FERRO ZINCADO DE 3 1/2"</t>
        </r>
      </text>
    </comment>
    <comment ref="W698" authorId="0" shapeId="0" xr:uid="{14A0E01F-CE87-4754-9C35-AE060B939E8F}">
      <text>
        <r>
          <rPr>
            <sz val="10"/>
            <color indexed="81"/>
            <rFont val="Lucida Console"/>
            <family val="3"/>
          </rPr>
          <t>_x000D_
Administrativo</t>
        </r>
      </text>
    </comment>
    <comment ref="X698" authorId="0" shapeId="0" xr:uid="{5C829FC4-AD59-4A59-A86D-E3C32DE866E1}">
      <text>
        <r>
          <rPr>
            <sz val="10"/>
            <color indexed="81"/>
            <rFont val="Lucida Console"/>
            <family val="3"/>
          </rPr>
          <t>_x000D_
MAT.E EQUIP. P/ CONSTR.CIVIL E CONSERV. DE VIAS PUBL.</t>
        </r>
      </text>
    </comment>
    <comment ref="Y698" authorId="0" shapeId="0" xr:uid="{F16C639A-C762-41D3-9614-8E50968C26F5}">
      <text>
        <r>
          <rPr>
            <sz val="10"/>
            <color indexed="81"/>
            <rFont val="Lucida Console"/>
            <family val="3"/>
          </rPr>
          <t>_x000D_
CADEADOS</t>
        </r>
      </text>
    </comment>
    <comment ref="AW698" authorId="0" shapeId="0" xr:uid="{BF450F74-9C99-4FAE-A59A-43C5749BD389}">
      <text>
        <r>
          <rPr>
            <sz val="10"/>
            <color indexed="81"/>
            <rFont val="Lucida Console"/>
            <family val="3"/>
          </rPr>
          <t>Tempo de Estoque (Meses)_x000D_
_x000D_
122,0</t>
        </r>
      </text>
    </comment>
    <comment ref="A699" authorId="0" shapeId="0" xr:uid="{391BF708-107A-477F-A2A2-A6E14099610E}">
      <text>
        <r>
          <rPr>
            <sz val="10"/>
            <color indexed="81"/>
            <rFont val="Lucida Console"/>
            <family val="3"/>
          </rPr>
          <t>_x000D_
87247</t>
        </r>
      </text>
    </comment>
    <comment ref="B699" authorId="0" shapeId="0" xr:uid="{6F660B3A-CFA3-4CAD-B456-4914B444ECD0}">
      <text>
        <r>
          <rPr>
            <sz val="10"/>
            <color indexed="81"/>
            <rFont val="Lucida Console"/>
            <family val="3"/>
          </rPr>
          <t>DESCRIÇÃO DETALHADA_x000D_
PORTA CADEADO DE FERRO ZINCADO 2"</t>
        </r>
      </text>
    </comment>
    <comment ref="W699" authorId="0" shapeId="0" xr:uid="{F84DAD00-FD05-4ECF-B096-35C559998F62}">
      <text>
        <r>
          <rPr>
            <sz val="10"/>
            <color indexed="81"/>
            <rFont val="Lucida Console"/>
            <family val="3"/>
          </rPr>
          <t>_x000D_
Administrativo</t>
        </r>
      </text>
    </comment>
    <comment ref="X699" authorId="0" shapeId="0" xr:uid="{B18D6675-2D45-403C-BEC9-FF1D7CB78407}">
      <text>
        <r>
          <rPr>
            <sz val="10"/>
            <color indexed="81"/>
            <rFont val="Lucida Console"/>
            <family val="3"/>
          </rPr>
          <t>_x000D_
MAT.E EQUIP. P/ CONSTR.CIVIL E CONSERV. DE VIAS PUBL.</t>
        </r>
      </text>
    </comment>
    <comment ref="Y699" authorId="0" shapeId="0" xr:uid="{A589E1AA-C73C-4334-B3AA-1C85720FACA4}">
      <text>
        <r>
          <rPr>
            <sz val="10"/>
            <color indexed="81"/>
            <rFont val="Lucida Console"/>
            <family val="3"/>
          </rPr>
          <t>_x000D_
CADEADOS</t>
        </r>
      </text>
    </comment>
    <comment ref="AW699" authorId="0" shapeId="0" xr:uid="{D89A94EB-E345-4DEA-B029-FAAD1B5C85E4}">
      <text>
        <r>
          <rPr>
            <sz val="10"/>
            <color indexed="81"/>
            <rFont val="Lucida Console"/>
            <family val="3"/>
          </rPr>
          <t>Tempo de Estoque (Meses)_x000D_
_x000D_
347,0</t>
        </r>
      </text>
    </comment>
    <comment ref="A700" authorId="0" shapeId="0" xr:uid="{FBC54807-DCE2-4860-B388-458FF8FA1DEA}">
      <text>
        <r>
          <rPr>
            <sz val="10"/>
            <color indexed="81"/>
            <rFont val="Lucida Console"/>
            <family val="3"/>
          </rPr>
          <t>_x000D_
88876</t>
        </r>
      </text>
    </comment>
    <comment ref="B700" authorId="0" shapeId="0" xr:uid="{9D6AB1BF-F9A2-4017-BAC9-F41F023923DC}">
      <text>
        <r>
          <rPr>
            <sz val="10"/>
            <color indexed="81"/>
            <rFont val="Lucida Console"/>
            <family val="3"/>
          </rPr>
          <t>DESCRIÇÃO DETALHADA_x000D_
ALAVANCA EM FERRO  PARA VITRO, TAMANHO PADRAO</t>
        </r>
      </text>
    </comment>
    <comment ref="W700" authorId="0" shapeId="0" xr:uid="{072CEE80-C2E9-44BA-80E9-22A15CC89D18}">
      <text>
        <r>
          <rPr>
            <sz val="10"/>
            <color indexed="81"/>
            <rFont val="Lucida Console"/>
            <family val="3"/>
          </rPr>
          <t>_x000D_
DM-Construção</t>
        </r>
      </text>
    </comment>
    <comment ref="X700" authorId="0" shapeId="0" xr:uid="{00C7B4C6-4312-4BA8-ACE2-284AC7B9167A}">
      <text>
        <r>
          <rPr>
            <sz val="10"/>
            <color indexed="81"/>
            <rFont val="Lucida Console"/>
            <family val="3"/>
          </rPr>
          <t>_x000D_
MAT.E EQUIP. P/ CONSTR.CIVIL E CONSERV. DE VIAS PUBL.</t>
        </r>
      </text>
    </comment>
    <comment ref="Y700" authorId="0" shapeId="0" xr:uid="{9D0B9281-7598-4491-9684-C7CD500D6B99}">
      <text>
        <r>
          <rPr>
            <sz val="10"/>
            <color indexed="81"/>
            <rFont val="Lucida Console"/>
            <family val="3"/>
          </rPr>
          <t>_x000D_
CAIXILHOS, JANELAS E VITROS</t>
        </r>
      </text>
    </comment>
    <comment ref="AW700" authorId="0" shapeId="0" xr:uid="{93B88833-0434-4EEB-AD2E-10B43CA2C07E}">
      <text>
        <r>
          <rPr>
            <sz val="10"/>
            <color indexed="81"/>
            <rFont val="Lucida Console"/>
            <family val="3"/>
          </rPr>
          <t>Tempo de Estoque (Meses)_x000D_
_x000D_
692,0</t>
        </r>
      </text>
    </comment>
    <comment ref="A701" authorId="0" shapeId="0" xr:uid="{DE5D1859-5D08-4168-979D-E4F10BEFFAFA}">
      <text>
        <r>
          <rPr>
            <sz val="10"/>
            <color indexed="81"/>
            <rFont val="Lucida Console"/>
            <family val="3"/>
          </rPr>
          <t>_x000D_
78303</t>
        </r>
      </text>
    </comment>
    <comment ref="B701" authorId="0" shapeId="0" xr:uid="{7BE509B7-CEDC-40D5-8FCF-6B64BCAF8D69}">
      <text>
        <r>
          <rPr>
            <sz val="10"/>
            <color indexed="81"/>
            <rFont val="Lucida Console"/>
            <family val="3"/>
          </rPr>
          <t>DESCRIÇÃO DETALHADA_x000D_
PIA DE ACO INOX COM 01 CUBA, MEDINDO 1,50 M DE COMP. E LARGURA MINIMA DE 53 CM</t>
        </r>
      </text>
    </comment>
    <comment ref="W701" authorId="0" shapeId="0" xr:uid="{284A78E5-4A33-4C19-841F-E1DF45E556B7}">
      <text>
        <r>
          <rPr>
            <sz val="10"/>
            <color indexed="81"/>
            <rFont val="Lucida Console"/>
            <family val="3"/>
          </rPr>
          <t>_x000D_
DM-Construção</t>
        </r>
      </text>
    </comment>
    <comment ref="X701" authorId="0" shapeId="0" xr:uid="{CABBAF06-6959-420B-9622-8A1825207200}">
      <text>
        <r>
          <rPr>
            <sz val="10"/>
            <color indexed="81"/>
            <rFont val="Lucida Console"/>
            <family val="3"/>
          </rPr>
          <t>_x000D_
MAT.E EQUIP. P/ CONSTR.CIVIL E CONSERV. DE VIAS PUBL.</t>
        </r>
      </text>
    </comment>
    <comment ref="Y701" authorId="0" shapeId="0" xr:uid="{8E9948B1-0EFB-4791-BE82-87EEB22F7737}">
      <text>
        <r>
          <rPr>
            <sz val="10"/>
            <color indexed="81"/>
            <rFont val="Lucida Console"/>
            <family val="3"/>
          </rPr>
          <t>_x000D_
TANQUES, LAVATORIOS E PIAS</t>
        </r>
      </text>
    </comment>
    <comment ref="AC701" authorId="0" shapeId="0" xr:uid="{2754E07C-B3FE-4C45-921F-DB2450DEFA1F}">
      <text>
        <r>
          <rPr>
            <sz val="10"/>
            <color indexed="81"/>
            <rFont val="Lucida Console"/>
            <family val="3"/>
          </rPr>
          <t>_x000D_
AF  8.936/23 | Vc 24.08.2023 | Saldo     20 | RELLEK TEK COMERCIAL LTDA ( 162825 )</t>
        </r>
      </text>
    </comment>
    <comment ref="AG701" authorId="0" shapeId="0" xr:uid="{3DB63C6F-FE87-43F2-969F-D3CC98C22FEE}">
      <text>
        <r>
          <rPr>
            <sz val="10"/>
            <color indexed="81"/>
            <rFont val="Lucida Console"/>
            <family val="3"/>
          </rPr>
          <t>_x000D_
AF  8.936/23 | Vc 24.08.2023 | Saldo     20 | RELLEK TEK COMERCIAL LTDA ( 162825 )</t>
        </r>
      </text>
    </comment>
    <comment ref="AW701" authorId="0" shapeId="0" xr:uid="{727640E7-5EAA-4C72-91FB-16EB197C75C0}">
      <text>
        <r>
          <rPr>
            <sz val="10"/>
            <color indexed="81"/>
            <rFont val="Lucida Console"/>
            <family val="3"/>
          </rPr>
          <t>Tempo de Estoque (Meses)_x000D_
_x000D_
20,0</t>
        </r>
      </text>
    </comment>
    <comment ref="A702" authorId="0" shapeId="0" xr:uid="{F817FC2C-1B0A-4D52-A72C-95956A82819D}">
      <text>
        <r>
          <rPr>
            <sz val="10"/>
            <color indexed="81"/>
            <rFont val="Lucida Console"/>
            <family val="3"/>
          </rPr>
          <t>_x000D_
144153</t>
        </r>
      </text>
    </comment>
    <comment ref="B702" authorId="0" shapeId="0" xr:uid="{58910B40-9E72-448B-9A9F-44A61FF5602A}">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02" authorId="0" shapeId="0" xr:uid="{4802E606-A40B-4D42-9465-312988AA07B7}">
      <text>
        <r>
          <rPr>
            <sz val="10"/>
            <color indexed="81"/>
            <rFont val="Lucida Console"/>
            <family val="3"/>
          </rPr>
          <t>_x000D_
DM-Construção</t>
        </r>
      </text>
    </comment>
    <comment ref="X702" authorId="0" shapeId="0" xr:uid="{3F2F8945-12E7-4BB1-9C4B-DD0E701CC29A}">
      <text>
        <r>
          <rPr>
            <sz val="10"/>
            <color indexed="81"/>
            <rFont val="Lucida Console"/>
            <family val="3"/>
          </rPr>
          <t>_x000D_
MAT.E EQUIP. P/ CONSTR.CIVIL E CONSERV. DE VIAS PUBL.</t>
        </r>
      </text>
    </comment>
    <comment ref="Y702" authorId="0" shapeId="0" xr:uid="{25686F7C-56EC-46CD-92B0-DD4ABEBE1DA4}">
      <text>
        <r>
          <rPr>
            <sz val="10"/>
            <color indexed="81"/>
            <rFont val="Lucida Console"/>
            <family val="3"/>
          </rPr>
          <t>_x000D_
TANQUES, LAVATORIOS E PIAS</t>
        </r>
      </text>
    </comment>
    <comment ref="AW702" authorId="0" shapeId="0" xr:uid="{9B00C974-9916-495C-84F6-5DB1FB2C7DB0}">
      <text>
        <r>
          <rPr>
            <sz val="10"/>
            <color indexed="81"/>
            <rFont val="Lucida Console"/>
            <family val="3"/>
          </rPr>
          <t>Tempo de Estoque (Meses)_x000D_
_x000D_
479,0</t>
        </r>
      </text>
    </comment>
    <comment ref="A703" authorId="0" shapeId="0" xr:uid="{42463E24-CB7C-46F5-B33F-A3F5AB507D31}">
      <text>
        <r>
          <rPr>
            <sz val="10"/>
            <color indexed="81"/>
            <rFont val="Lucida Console"/>
            <family val="3"/>
          </rPr>
          <t>_x000D_
105294</t>
        </r>
      </text>
    </comment>
    <comment ref="B703" authorId="0" shapeId="0" xr:uid="{4647225B-A771-482D-950F-CA0696DADF9E}">
      <text>
        <r>
          <rPr>
            <sz val="10"/>
            <color indexed="81"/>
            <rFont val="Lucida Console"/>
            <family val="3"/>
          </rPr>
          <t>DESCRIÇÃO DETALHADA_x000D_
GRELHA REDONDA PARA RALO EM INOX, 6" COM DISPOSITIVO DE VEDACAO PARA INSETO</t>
        </r>
      </text>
    </comment>
    <comment ref="W703" authorId="0" shapeId="0" xr:uid="{C36BE671-9985-4535-A2F8-8C83E0C020C1}">
      <text>
        <r>
          <rPr>
            <sz val="10"/>
            <color indexed="81"/>
            <rFont val="Lucida Console"/>
            <family val="3"/>
          </rPr>
          <t>_x000D_
DM-Construção</t>
        </r>
      </text>
    </comment>
    <comment ref="X703" authorId="0" shapeId="0" xr:uid="{653A10E9-4512-4D74-B239-6A30FCF9C0D3}">
      <text>
        <r>
          <rPr>
            <sz val="10"/>
            <color indexed="81"/>
            <rFont val="Lucida Console"/>
            <family val="3"/>
          </rPr>
          <t>_x000D_
MAT.E EQUIP. P/ CONSTR.CIVIL E CONSERV. DE VIAS PUBL.</t>
        </r>
      </text>
    </comment>
    <comment ref="Y703" authorId="0" shapeId="0" xr:uid="{4A7EBD05-A41D-47AB-87EF-AA86F1F74C82}">
      <text>
        <r>
          <rPr>
            <sz val="10"/>
            <color indexed="81"/>
            <rFont val="Lucida Console"/>
            <family val="3"/>
          </rPr>
          <t>_x000D_
TAMPOS/GRELHAS P/ USO EM VIAS PUBLICAS</t>
        </r>
      </text>
    </comment>
    <comment ref="AW703" authorId="0" shapeId="0" xr:uid="{D73608D4-7A73-4A2F-8634-54FBCDB8DECD}">
      <text>
        <r>
          <rPr>
            <sz val="10"/>
            <color indexed="81"/>
            <rFont val="Lucida Console"/>
            <family val="3"/>
          </rPr>
          <t>Tempo de Estoque (Meses)_x000D_
_x000D_
175,0</t>
        </r>
      </text>
    </comment>
    <comment ref="A704" authorId="0" shapeId="0" xr:uid="{F081C062-2161-4623-AB2D-8081AB03F1DA}">
      <text>
        <r>
          <rPr>
            <sz val="10"/>
            <color indexed="81"/>
            <rFont val="Lucida Console"/>
            <family val="3"/>
          </rPr>
          <t>_x000D_
106909</t>
        </r>
      </text>
    </comment>
    <comment ref="B704" authorId="0" shapeId="0" xr:uid="{F7992D4D-2BA6-4FDF-A47B-F1BF4E2C5059}">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04" authorId="0" shapeId="0" xr:uid="{90AAA8A6-BF77-4F63-B0EE-47E780E0DC95}">
      <text>
        <r>
          <rPr>
            <sz val="10"/>
            <color indexed="81"/>
            <rFont val="Lucida Console"/>
            <family val="3"/>
          </rPr>
          <t>_x000D_
SegMedTra</t>
        </r>
      </text>
    </comment>
    <comment ref="X704" authorId="0" shapeId="0" xr:uid="{95CEE942-1AA6-485E-9621-113BCFDFED9F}">
      <text>
        <r>
          <rPr>
            <sz val="10"/>
            <color indexed="81"/>
            <rFont val="Lucida Console"/>
            <family val="3"/>
          </rPr>
          <t>_x000D_
EQUIP PROT IND, INST MAT P/ SINAL, CONTR, COMB ...</t>
        </r>
      </text>
    </comment>
    <comment ref="Y704" authorId="0" shapeId="0" xr:uid="{BFF253C4-E0E1-4A9E-BE9B-0F72C429FA5B}">
      <text>
        <r>
          <rPr>
            <sz val="10"/>
            <color indexed="81"/>
            <rFont val="Lucida Console"/>
            <family val="3"/>
          </rPr>
          <t>_x000D_
CALCADOS, LUVAS, OCULOS, MASCARAS, CAPACETES, CASSETETE</t>
        </r>
      </text>
    </comment>
    <comment ref="AW704" authorId="0" shapeId="0" xr:uid="{71B92580-C997-4B90-9B08-525BFC88F4BC}">
      <text>
        <r>
          <rPr>
            <sz val="10"/>
            <color indexed="81"/>
            <rFont val="Lucida Console"/>
            <family val="3"/>
          </rPr>
          <t>Tempo de Estoque (Meses)_x000D_
_x000D_
3,0</t>
        </r>
      </text>
    </comment>
    <comment ref="A705" authorId="0" shapeId="0" xr:uid="{B30F8D14-669B-477B-B9A5-3914E6F72C89}">
      <text>
        <r>
          <rPr>
            <sz val="10"/>
            <color indexed="81"/>
            <rFont val="Lucida Console"/>
            <family val="3"/>
          </rPr>
          <t>_x000D_
106910</t>
        </r>
      </text>
    </comment>
    <comment ref="B705" authorId="0" shapeId="0" xr:uid="{68504D5C-5A49-428F-9255-B87982D81F1A}">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05" authorId="0" shapeId="0" xr:uid="{DED40397-7571-44BA-A8B7-FCB1FBC1B852}">
      <text>
        <r>
          <rPr>
            <sz val="10"/>
            <color indexed="81"/>
            <rFont val="Lucida Console"/>
            <family val="3"/>
          </rPr>
          <t>_x000D_
SegMedTra</t>
        </r>
      </text>
    </comment>
    <comment ref="X705" authorId="0" shapeId="0" xr:uid="{C1587AF2-FFE6-4CB4-AA4A-548189545CE5}">
      <text>
        <r>
          <rPr>
            <sz val="10"/>
            <color indexed="81"/>
            <rFont val="Lucida Console"/>
            <family val="3"/>
          </rPr>
          <t>_x000D_
EQUIP PROT IND, INST MAT P/ SINAL, CONTR, COMB ...</t>
        </r>
      </text>
    </comment>
    <comment ref="Y705" authorId="0" shapeId="0" xr:uid="{76D9E5B0-755A-461E-B17F-7BBFEF3F0755}">
      <text>
        <r>
          <rPr>
            <sz val="10"/>
            <color indexed="81"/>
            <rFont val="Lucida Console"/>
            <family val="3"/>
          </rPr>
          <t>_x000D_
CALCADOS, LUVAS, OCULOS, MASCARAS, CAPACETES, CASSETETE</t>
        </r>
      </text>
    </comment>
    <comment ref="AW705" authorId="0" shapeId="0" xr:uid="{32DD93A2-235B-4A69-87EE-BE3C596C2A72}">
      <text>
        <r>
          <rPr>
            <sz val="10"/>
            <color indexed="81"/>
            <rFont val="Lucida Console"/>
            <family val="3"/>
          </rPr>
          <t>Tempo de Estoque (Meses)_x000D_
_x000D_
7,0</t>
        </r>
      </text>
    </comment>
    <comment ref="A706" authorId="0" shapeId="0" xr:uid="{43338D01-D2FF-4FA4-8E8E-58B77C4460DF}">
      <text>
        <r>
          <rPr>
            <sz val="10"/>
            <color indexed="81"/>
            <rFont val="Lucida Console"/>
            <family val="3"/>
          </rPr>
          <t>_x000D_
106911</t>
        </r>
      </text>
    </comment>
    <comment ref="B706" authorId="0" shapeId="0" xr:uid="{34DF316E-0CF6-4CD3-A6F9-6316EF857CEE}">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06" authorId="0" shapeId="0" xr:uid="{1270715E-0DE7-49BE-83F9-410A98764282}">
      <text>
        <r>
          <rPr>
            <sz val="10"/>
            <color indexed="81"/>
            <rFont val="Lucida Console"/>
            <family val="3"/>
          </rPr>
          <t>_x000D_
SegMedTra</t>
        </r>
      </text>
    </comment>
    <comment ref="X706" authorId="0" shapeId="0" xr:uid="{CD66A084-596D-4654-B29D-B474310FA8FF}">
      <text>
        <r>
          <rPr>
            <sz val="10"/>
            <color indexed="81"/>
            <rFont val="Lucida Console"/>
            <family val="3"/>
          </rPr>
          <t>_x000D_
EQUIP PROT IND, INST MAT P/ SINAL, CONTR, COMB ...</t>
        </r>
      </text>
    </comment>
    <comment ref="Y706" authorId="0" shapeId="0" xr:uid="{54E6341F-6DC3-4E27-AD62-D4D28C1DA55B}">
      <text>
        <r>
          <rPr>
            <sz val="10"/>
            <color indexed="81"/>
            <rFont val="Lucida Console"/>
            <family val="3"/>
          </rPr>
          <t>_x000D_
CALCADOS, LUVAS, OCULOS, MASCARAS, CAPACETES, CASSETETE</t>
        </r>
      </text>
    </comment>
    <comment ref="AW706" authorId="0" shapeId="0" xr:uid="{270707C8-B0D3-4CBF-AC10-09CF39F7F983}">
      <text>
        <r>
          <rPr>
            <sz val="10"/>
            <color indexed="81"/>
            <rFont val="Lucida Console"/>
            <family val="3"/>
          </rPr>
          <t>Tempo de Estoque (Meses)_x000D_
_x000D_
6,0</t>
        </r>
      </text>
    </comment>
    <comment ref="A707" authorId="0" shapeId="0" xr:uid="{78769494-0B29-4B92-99F1-BA31C4BDBE37}">
      <text>
        <r>
          <rPr>
            <sz val="10"/>
            <color indexed="81"/>
            <rFont val="Lucida Console"/>
            <family val="3"/>
          </rPr>
          <t>_x000D_
106913</t>
        </r>
      </text>
    </comment>
    <comment ref="B707" authorId="0" shapeId="0" xr:uid="{D2E588FD-11B7-4842-AEAC-995369C4BD8C}">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07" authorId="0" shapeId="0" xr:uid="{FEB2D441-D62F-423C-BB0C-2C1861654BAF}">
      <text>
        <r>
          <rPr>
            <sz val="10"/>
            <color indexed="81"/>
            <rFont val="Lucida Console"/>
            <family val="3"/>
          </rPr>
          <t>_x000D_
SegMedTra</t>
        </r>
      </text>
    </comment>
    <comment ref="X707" authorId="0" shapeId="0" xr:uid="{DD15BFBF-0C03-493C-8A50-39E6AC143142}">
      <text>
        <r>
          <rPr>
            <sz val="10"/>
            <color indexed="81"/>
            <rFont val="Lucida Console"/>
            <family val="3"/>
          </rPr>
          <t>_x000D_
EQUIP PROT IND, INST MAT P/ SINAL, CONTR, COMB ...</t>
        </r>
      </text>
    </comment>
    <comment ref="Y707" authorId="0" shapeId="0" xr:uid="{FA70AA80-04FE-4796-ACDD-AE633200E7B4}">
      <text>
        <r>
          <rPr>
            <sz val="10"/>
            <color indexed="81"/>
            <rFont val="Lucida Console"/>
            <family val="3"/>
          </rPr>
          <t>_x000D_
CALCADOS, LUVAS, OCULOS, MASCARAS, CAPACETES, CASSETETE</t>
        </r>
      </text>
    </comment>
    <comment ref="AW707" authorId="0" shapeId="0" xr:uid="{82F9A41E-357C-49D2-B725-7361CF9287A1}">
      <text>
        <r>
          <rPr>
            <sz val="10"/>
            <color indexed="81"/>
            <rFont val="Lucida Console"/>
            <family val="3"/>
          </rPr>
          <t>Tempo de Estoque (Meses)_x000D_
_x000D_
3,0</t>
        </r>
      </text>
    </comment>
    <comment ref="A708" authorId="0" shapeId="0" xr:uid="{2A0B5272-0FE0-4284-9937-74DF832767DA}">
      <text>
        <r>
          <rPr>
            <sz val="10"/>
            <color indexed="81"/>
            <rFont val="Lucida Console"/>
            <family val="3"/>
          </rPr>
          <t>_x000D_
132799</t>
        </r>
      </text>
    </comment>
    <comment ref="B708" authorId="0" shapeId="0" xr:uid="{1058787A-3CF1-47A7-BD07-89D696D2A39A}">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08" authorId="0" shapeId="0" xr:uid="{1E62E016-DF4F-4024-A4B1-A90436536856}">
      <text>
        <r>
          <rPr>
            <sz val="10"/>
            <color indexed="81"/>
            <rFont val="Lucida Console"/>
            <family val="3"/>
          </rPr>
          <t>_x000D_
SegMedTra</t>
        </r>
      </text>
    </comment>
    <comment ref="X708" authorId="0" shapeId="0" xr:uid="{B30F44EE-5A41-4EAF-B88E-81CB9CA262A4}">
      <text>
        <r>
          <rPr>
            <sz val="10"/>
            <color indexed="81"/>
            <rFont val="Lucida Console"/>
            <family val="3"/>
          </rPr>
          <t>_x000D_
EQUIP PROT IND, INST MAT P/ SINAL, CONTR, COMB ...</t>
        </r>
      </text>
    </comment>
    <comment ref="Y708" authorId="0" shapeId="0" xr:uid="{A3D825D3-02D1-48B3-9C9F-747AC2CB11C9}">
      <text>
        <r>
          <rPr>
            <sz val="10"/>
            <color indexed="81"/>
            <rFont val="Lucida Console"/>
            <family val="3"/>
          </rPr>
          <t>_x000D_
CALCADOS, LUVAS, OCULOS, MASCARAS, CAPACETES, CASSETETE</t>
        </r>
      </text>
    </comment>
    <comment ref="AW708" authorId="0" shapeId="0" xr:uid="{EEFEA264-1DC9-46C2-BA30-1271DB03A2DF}">
      <text>
        <r>
          <rPr>
            <sz val="10"/>
            <color indexed="81"/>
            <rFont val="Lucida Console"/>
            <family val="3"/>
          </rPr>
          <t>Tempo de Estoque (Meses)_x000D_
_x000D_
10,0</t>
        </r>
      </text>
    </comment>
    <comment ref="A709" authorId="0" shapeId="0" xr:uid="{C96EAA47-608A-4909-96AC-0FBEF8DCFFEE}">
      <text>
        <r>
          <rPr>
            <sz val="10"/>
            <color indexed="81"/>
            <rFont val="Lucida Console"/>
            <family val="3"/>
          </rPr>
          <t>_x000D_
136818</t>
        </r>
      </text>
    </comment>
    <comment ref="B709" authorId="0" shapeId="0" xr:uid="{E3273CD8-8C61-40FA-8243-3DBF325BB0AC}">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09" authorId="0" shapeId="0" xr:uid="{FA4F64D6-1BDE-4D97-8EB6-B989202B6921}">
      <text>
        <r>
          <rPr>
            <sz val="10"/>
            <color indexed="81"/>
            <rFont val="Lucida Console"/>
            <family val="3"/>
          </rPr>
          <t>_x000D_
SegMedTra</t>
        </r>
      </text>
    </comment>
    <comment ref="X709" authorId="0" shapeId="0" xr:uid="{120998CA-12E2-4D29-8F00-25EE4BEBC5C4}">
      <text>
        <r>
          <rPr>
            <sz val="10"/>
            <color indexed="81"/>
            <rFont val="Lucida Console"/>
            <family val="3"/>
          </rPr>
          <t>_x000D_
EQUIP PROT IND, INST MAT P/ SINAL, CONTR, COMB ...</t>
        </r>
      </text>
    </comment>
    <comment ref="Y709" authorId="0" shapeId="0" xr:uid="{2DCF7B86-89DF-48FB-A32F-DA18CA093B3E}">
      <text>
        <r>
          <rPr>
            <sz val="10"/>
            <color indexed="81"/>
            <rFont val="Lucida Console"/>
            <family val="3"/>
          </rPr>
          <t>_x000D_
CALCADOS, LUVAS, OCULOS, MASCARAS, CAPACETES, CASSETETE</t>
        </r>
      </text>
    </comment>
    <comment ref="AW709" authorId="0" shapeId="0" xr:uid="{00E46A63-2B2E-414C-8621-94EAE0E8D7C5}">
      <text>
        <r>
          <rPr>
            <sz val="10"/>
            <color indexed="81"/>
            <rFont val="Lucida Console"/>
            <family val="3"/>
          </rPr>
          <t>Tempo de Estoque (Meses)_x000D_
_x000D_
1.161,0</t>
        </r>
      </text>
    </comment>
    <comment ref="A710" authorId="0" shapeId="0" xr:uid="{388DE6D8-8F84-497A-A4B0-8B5E10D103C0}">
      <text>
        <r>
          <rPr>
            <sz val="10"/>
            <color indexed="81"/>
            <rFont val="Lucida Console"/>
            <family val="3"/>
          </rPr>
          <t>_x000D_
136819</t>
        </r>
      </text>
    </comment>
    <comment ref="B710" authorId="0" shapeId="0" xr:uid="{65C74B3C-FF98-4DA4-988B-8A81B5CA9EA9}">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0" authorId="0" shapeId="0" xr:uid="{4339C4DE-70E4-419E-9898-960238910481}">
      <text>
        <r>
          <rPr>
            <sz val="10"/>
            <color indexed="81"/>
            <rFont val="Lucida Console"/>
            <family val="3"/>
          </rPr>
          <t>_x000D_
SegMedTra</t>
        </r>
      </text>
    </comment>
    <comment ref="X710" authorId="0" shapeId="0" xr:uid="{7158CD19-4C91-4D16-8EAD-C528EEE0AF12}">
      <text>
        <r>
          <rPr>
            <sz val="10"/>
            <color indexed="81"/>
            <rFont val="Lucida Console"/>
            <family val="3"/>
          </rPr>
          <t>_x000D_
EQUIP PROT IND, INST MAT P/ SINAL, CONTR, COMB ...</t>
        </r>
      </text>
    </comment>
    <comment ref="Y710" authorId="0" shapeId="0" xr:uid="{1A161297-C723-4765-BA74-EDD1153FFE21}">
      <text>
        <r>
          <rPr>
            <sz val="10"/>
            <color indexed="81"/>
            <rFont val="Lucida Console"/>
            <family val="3"/>
          </rPr>
          <t>_x000D_
CALCADOS, LUVAS, OCULOS, MASCARAS, CAPACETES, CASSETETE</t>
        </r>
      </text>
    </comment>
    <comment ref="AW710" authorId="0" shapeId="0" xr:uid="{5D01B21D-CFF6-4CB4-BE8E-0D4876852755}">
      <text>
        <r>
          <rPr>
            <sz val="10"/>
            <color indexed="81"/>
            <rFont val="Lucida Console"/>
            <family val="3"/>
          </rPr>
          <t>Tempo de Estoque (Meses)_x000D_
_x000D_
241,0</t>
        </r>
      </text>
    </comment>
    <comment ref="A711" authorId="0" shapeId="0" xr:uid="{ECBA8F01-93CD-4E58-8034-58E77B8BCC38}">
      <text>
        <r>
          <rPr>
            <sz val="10"/>
            <color indexed="81"/>
            <rFont val="Lucida Console"/>
            <family val="3"/>
          </rPr>
          <t>_x000D_
136823</t>
        </r>
      </text>
    </comment>
    <comment ref="B711" authorId="0" shapeId="0" xr:uid="{90D9A0F2-2141-480E-A49D-C85FCBE2DD8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11" authorId="0" shapeId="0" xr:uid="{0EF63867-A861-4E1F-9794-DC83A339129C}">
      <text>
        <r>
          <rPr>
            <sz val="10"/>
            <color indexed="81"/>
            <rFont val="Lucida Console"/>
            <family val="3"/>
          </rPr>
          <t>_x000D_
SegMedTra</t>
        </r>
      </text>
    </comment>
    <comment ref="X711" authorId="0" shapeId="0" xr:uid="{2F223B71-03B7-4957-9E23-53A0CABF9A07}">
      <text>
        <r>
          <rPr>
            <sz val="10"/>
            <color indexed="81"/>
            <rFont val="Lucida Console"/>
            <family val="3"/>
          </rPr>
          <t>_x000D_
EQUIP PROT IND, INST MAT P/ SINAL, CONTR, COMB ...</t>
        </r>
      </text>
    </comment>
    <comment ref="Y711" authorId="0" shapeId="0" xr:uid="{2BA326EF-60C6-4AAA-9F3E-05C920898960}">
      <text>
        <r>
          <rPr>
            <sz val="10"/>
            <color indexed="81"/>
            <rFont val="Lucida Console"/>
            <family val="3"/>
          </rPr>
          <t>_x000D_
CALCADOS, LUVAS, OCULOS, MASCARAS, CAPACETES, CASSETETE</t>
        </r>
      </text>
    </comment>
    <comment ref="AW711" authorId="0" shapeId="0" xr:uid="{CF5FB7C7-C066-42F2-B050-5959B4065003}">
      <text>
        <r>
          <rPr>
            <sz val="10"/>
            <color indexed="81"/>
            <rFont val="Lucida Console"/>
            <family val="3"/>
          </rPr>
          <t>Tempo de Estoque (Meses)_x000D_
_x000D_
51,0</t>
        </r>
      </text>
    </comment>
    <comment ref="A712" authorId="0" shapeId="0" xr:uid="{DCBC9199-5BB4-42C0-B9AA-E81F8057DE3A}">
      <text>
        <r>
          <rPr>
            <sz val="10"/>
            <color indexed="81"/>
            <rFont val="Lucida Console"/>
            <family val="3"/>
          </rPr>
          <t>_x000D_
136824</t>
        </r>
      </text>
    </comment>
    <comment ref="B712" authorId="0" shapeId="0" xr:uid="{76D38C27-7B23-46B2-A150-581B66707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12" authorId="0" shapeId="0" xr:uid="{EA7D3457-1A4C-48C4-AFBB-D65A9A860FD1}">
      <text>
        <r>
          <rPr>
            <sz val="10"/>
            <color indexed="81"/>
            <rFont val="Lucida Console"/>
            <family val="3"/>
          </rPr>
          <t>_x000D_
SegMedTra</t>
        </r>
      </text>
    </comment>
    <comment ref="X712" authorId="0" shapeId="0" xr:uid="{B1B065DE-E8A7-4572-A240-84BD52B8CE31}">
      <text>
        <r>
          <rPr>
            <sz val="10"/>
            <color indexed="81"/>
            <rFont val="Lucida Console"/>
            <family val="3"/>
          </rPr>
          <t>_x000D_
EQUIP PROT IND, INST MAT P/ SINAL, CONTR, COMB ...</t>
        </r>
      </text>
    </comment>
    <comment ref="Y712" authorId="0" shapeId="0" xr:uid="{F23E5D4A-7B34-4907-91AA-081073C770AB}">
      <text>
        <r>
          <rPr>
            <sz val="10"/>
            <color indexed="81"/>
            <rFont val="Lucida Console"/>
            <family val="3"/>
          </rPr>
          <t>_x000D_
CALCADOS, LUVAS, OCULOS, MASCARAS, CAPACETES, CASSETETE</t>
        </r>
      </text>
    </comment>
    <comment ref="AW712" authorId="0" shapeId="0" xr:uid="{4D3F464A-9BE7-4131-BADD-DD41D13CB411}">
      <text>
        <r>
          <rPr>
            <sz val="10"/>
            <color indexed="81"/>
            <rFont val="Lucida Console"/>
            <family val="3"/>
          </rPr>
          <t>Tempo de Estoque (Meses)_x000D_
_x000D_
11,0</t>
        </r>
      </text>
    </comment>
    <comment ref="A713" authorId="0" shapeId="0" xr:uid="{90E2743B-30E7-4A1F-BF07-144ED42433E3}">
      <text>
        <r>
          <rPr>
            <sz val="10"/>
            <color indexed="81"/>
            <rFont val="Lucida Console"/>
            <family val="3"/>
          </rPr>
          <t>_x000D_
136825</t>
        </r>
      </text>
    </comment>
    <comment ref="B713" authorId="0" shapeId="0" xr:uid="{715AEAAD-A68F-4EFB-8A9A-59FC5DDA071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13" authorId="0" shapeId="0" xr:uid="{916D1F13-4728-4259-84F4-BDDE8FE8151C}">
      <text>
        <r>
          <rPr>
            <sz val="10"/>
            <color indexed="81"/>
            <rFont val="Lucida Console"/>
            <family val="3"/>
          </rPr>
          <t>_x000D_
SegMedTra</t>
        </r>
      </text>
    </comment>
    <comment ref="X713" authorId="0" shapeId="0" xr:uid="{7CE9B14C-11C8-421B-9DBE-54548CB59DC7}">
      <text>
        <r>
          <rPr>
            <sz val="10"/>
            <color indexed="81"/>
            <rFont val="Lucida Console"/>
            <family val="3"/>
          </rPr>
          <t>_x000D_
EQUIP PROT IND, INST MAT P/ SINAL, CONTR, COMB ...</t>
        </r>
      </text>
    </comment>
    <comment ref="Y713" authorId="0" shapeId="0" xr:uid="{54305DCE-3846-471F-8FFD-F45B0A7FDBEB}">
      <text>
        <r>
          <rPr>
            <sz val="10"/>
            <color indexed="81"/>
            <rFont val="Lucida Console"/>
            <family val="3"/>
          </rPr>
          <t>_x000D_
CALCADOS, LUVAS, OCULOS, MASCARAS, CAPACETES, CASSETETE</t>
        </r>
      </text>
    </comment>
    <comment ref="AW713" authorId="0" shapeId="0" xr:uid="{7090D12D-A4DD-45F8-9928-15166550082A}">
      <text>
        <r>
          <rPr>
            <sz val="10"/>
            <color indexed="81"/>
            <rFont val="Lucida Console"/>
            <family val="3"/>
          </rPr>
          <t>Tempo de Estoque (Meses)_x000D_
_x000D_
3,0</t>
        </r>
      </text>
    </comment>
    <comment ref="A714" authorId="0" shapeId="0" xr:uid="{68B86A50-1C9C-4817-9949-89DEA200D7B2}">
      <text>
        <r>
          <rPr>
            <sz val="10"/>
            <color indexed="81"/>
            <rFont val="Lucida Console"/>
            <family val="3"/>
          </rPr>
          <t>_x000D_
136826</t>
        </r>
      </text>
    </comment>
    <comment ref="B714" authorId="0" shapeId="0" xr:uid="{7FA28FB0-FCCA-412E-BB65-8109FC36DA0C}">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14" authorId="0" shapeId="0" xr:uid="{3C8E5FEC-0F86-4267-A864-3FF1E99EDEA6}">
      <text>
        <r>
          <rPr>
            <sz val="10"/>
            <color indexed="81"/>
            <rFont val="Lucida Console"/>
            <family val="3"/>
          </rPr>
          <t>_x000D_
SegMedTra</t>
        </r>
      </text>
    </comment>
    <comment ref="X714" authorId="0" shapeId="0" xr:uid="{6905AA62-69EE-4EA5-82CF-C56FCA74EAF4}">
      <text>
        <r>
          <rPr>
            <sz val="10"/>
            <color indexed="81"/>
            <rFont val="Lucida Console"/>
            <family val="3"/>
          </rPr>
          <t>_x000D_
EQUIP PROT IND, INST MAT P/ SINAL, CONTR, COMB ...</t>
        </r>
      </text>
    </comment>
    <comment ref="Y714" authorId="0" shapeId="0" xr:uid="{93517A4D-2A2A-427C-ACAB-4C09BB5BBA97}">
      <text>
        <r>
          <rPr>
            <sz val="10"/>
            <color indexed="81"/>
            <rFont val="Lucida Console"/>
            <family val="3"/>
          </rPr>
          <t>_x000D_
CALCADOS, LUVAS, OCULOS, MASCARAS, CAPACETES, CASSETETE</t>
        </r>
      </text>
    </comment>
    <comment ref="AW714" authorId="0" shapeId="0" xr:uid="{A6FA97F6-355E-4EA2-A814-9F48803283A9}">
      <text>
        <r>
          <rPr>
            <sz val="10"/>
            <color indexed="81"/>
            <rFont val="Lucida Console"/>
            <family val="3"/>
          </rPr>
          <t>Tempo de Estoque (Meses)_x000D_
_x000D_
17,0</t>
        </r>
      </text>
    </comment>
    <comment ref="A715" authorId="0" shapeId="0" xr:uid="{9D31AA47-9101-469C-95BF-07719431590A}">
      <text>
        <r>
          <rPr>
            <sz val="10"/>
            <color indexed="81"/>
            <rFont val="Lucida Console"/>
            <family val="3"/>
          </rPr>
          <t>_x000D_
136829</t>
        </r>
      </text>
    </comment>
    <comment ref="B715" authorId="0" shapeId="0" xr:uid="{00D58C6E-18EB-499D-A12B-9520B7D41EC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15" authorId="0" shapeId="0" xr:uid="{E63C157A-398C-4553-A94D-3325A7315C04}">
      <text>
        <r>
          <rPr>
            <sz val="10"/>
            <color indexed="81"/>
            <rFont val="Lucida Console"/>
            <family val="3"/>
          </rPr>
          <t>_x000D_
SegMedTra</t>
        </r>
      </text>
    </comment>
    <comment ref="X715" authorId="0" shapeId="0" xr:uid="{B9AA99DF-B0CB-4BD9-960A-FCE755BBE6FA}">
      <text>
        <r>
          <rPr>
            <sz val="10"/>
            <color indexed="81"/>
            <rFont val="Lucida Console"/>
            <family val="3"/>
          </rPr>
          <t>_x000D_
EQUIP PROT IND, INST MAT P/ SINAL, CONTR, COMB ...</t>
        </r>
      </text>
    </comment>
    <comment ref="Y715" authorId="0" shapeId="0" xr:uid="{E7E0126B-B6DC-46C3-994F-A19083E2F2F7}">
      <text>
        <r>
          <rPr>
            <sz val="10"/>
            <color indexed="81"/>
            <rFont val="Lucida Console"/>
            <family val="3"/>
          </rPr>
          <t>_x000D_
CALCADOS, LUVAS, OCULOS, MASCARAS, CAPACETES, CASSETETE</t>
        </r>
      </text>
    </comment>
    <comment ref="AW715" authorId="0" shapeId="0" xr:uid="{B54537DD-4D9C-4DBA-9B42-E9BDA16886A4}">
      <text>
        <r>
          <rPr>
            <sz val="10"/>
            <color indexed="81"/>
            <rFont val="Lucida Console"/>
            <family val="3"/>
          </rPr>
          <t>Tempo de Estoque (Meses)_x000D_
_x000D_
5,0</t>
        </r>
      </text>
    </comment>
    <comment ref="A716" authorId="0" shapeId="0" xr:uid="{8824A912-3252-48B9-BD1F-73D8D1E7FB71}">
      <text>
        <r>
          <rPr>
            <sz val="10"/>
            <color indexed="81"/>
            <rFont val="Lucida Console"/>
            <family val="3"/>
          </rPr>
          <t>_x000D_
136853</t>
        </r>
      </text>
    </comment>
    <comment ref="B716" authorId="0" shapeId="0" xr:uid="{73E5EC7B-0E78-416A-80E1-ED52BEDFC974}">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16" authorId="0" shapeId="0" xr:uid="{82F74C47-4053-4822-9B13-7E464F1B9E4D}">
      <text>
        <r>
          <rPr>
            <sz val="10"/>
            <color indexed="81"/>
            <rFont val="Lucida Console"/>
            <family val="3"/>
          </rPr>
          <t>_x000D_
SegMedTra</t>
        </r>
      </text>
    </comment>
    <comment ref="X716" authorId="0" shapeId="0" xr:uid="{3BAE2DD4-E06D-487C-AFAC-1001A13FCFD2}">
      <text>
        <r>
          <rPr>
            <sz val="10"/>
            <color indexed="81"/>
            <rFont val="Lucida Console"/>
            <family val="3"/>
          </rPr>
          <t>_x000D_
EQUIP PROT IND, INST MAT P/ SINAL, CONTR, COMB ...</t>
        </r>
      </text>
    </comment>
    <comment ref="Y716" authorId="0" shapeId="0" xr:uid="{5FFD47FE-26F7-4C98-93B2-AACDD72C9844}">
      <text>
        <r>
          <rPr>
            <sz val="10"/>
            <color indexed="81"/>
            <rFont val="Lucida Console"/>
            <family val="3"/>
          </rPr>
          <t>_x000D_
CALCADOS, LUVAS, OCULOS, MASCARAS, CAPACETES, CASSETETE</t>
        </r>
      </text>
    </comment>
    <comment ref="AW716" authorId="0" shapeId="0" xr:uid="{B928CEF6-1BD8-4F1B-AA36-453072832336}">
      <text>
        <r>
          <rPr>
            <sz val="10"/>
            <color indexed="81"/>
            <rFont val="Lucida Console"/>
            <family val="3"/>
          </rPr>
          <t>Tempo de Estoque (Meses)_x000D_
_x000D_
55,0</t>
        </r>
      </text>
    </comment>
    <comment ref="A717" authorId="0" shapeId="0" xr:uid="{F5941825-0A46-43E9-994E-0B542BBDE856}">
      <text>
        <r>
          <rPr>
            <sz val="10"/>
            <color indexed="81"/>
            <rFont val="Lucida Console"/>
            <family val="3"/>
          </rPr>
          <t>_x000D_
136854</t>
        </r>
      </text>
    </comment>
    <comment ref="B717" authorId="0" shapeId="0" xr:uid="{83855EF4-169E-4418-A587-6BB730F5E858}">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17" authorId="0" shapeId="0" xr:uid="{9C880AEB-6B0F-49A1-8E3D-0DBBA551055D}">
      <text>
        <r>
          <rPr>
            <sz val="10"/>
            <color indexed="81"/>
            <rFont val="Lucida Console"/>
            <family val="3"/>
          </rPr>
          <t>_x000D_
SegMedTra</t>
        </r>
      </text>
    </comment>
    <comment ref="X717" authorId="0" shapeId="0" xr:uid="{B9E4AB06-0AA5-4A72-80BA-646277AB11EE}">
      <text>
        <r>
          <rPr>
            <sz val="10"/>
            <color indexed="81"/>
            <rFont val="Lucida Console"/>
            <family val="3"/>
          </rPr>
          <t>_x000D_
EQUIP PROT IND, INST MAT P/ SINAL, CONTR, COMB ...</t>
        </r>
      </text>
    </comment>
    <comment ref="Y717" authorId="0" shapeId="0" xr:uid="{BCDE29C0-50C3-4ADF-B4BD-5B8ACC9F6214}">
      <text>
        <r>
          <rPr>
            <sz val="10"/>
            <color indexed="81"/>
            <rFont val="Lucida Console"/>
            <family val="3"/>
          </rPr>
          <t>_x000D_
CALCADOS, LUVAS, OCULOS, MASCARAS, CAPACETES, CASSETETE</t>
        </r>
      </text>
    </comment>
    <comment ref="AW717" authorId="0" shapeId="0" xr:uid="{DACEC34A-FB14-45A5-91FB-EBDE0702FD7B}">
      <text>
        <r>
          <rPr>
            <sz val="10"/>
            <color indexed="81"/>
            <rFont val="Lucida Console"/>
            <family val="3"/>
          </rPr>
          <t>Tempo de Estoque (Meses)_x000D_
_x000D_
66,0</t>
        </r>
      </text>
    </comment>
    <comment ref="A718" authorId="0" shapeId="0" xr:uid="{CAEB7FF9-9953-4F4D-9507-3F1C75F8E6BC}">
      <text>
        <r>
          <rPr>
            <sz val="10"/>
            <color indexed="81"/>
            <rFont val="Lucida Console"/>
            <family val="3"/>
          </rPr>
          <t>_x000D_
136855</t>
        </r>
      </text>
    </comment>
    <comment ref="B718" authorId="0" shapeId="0" xr:uid="{D52EE93B-463A-4C56-A302-E5259ABE58CE}">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18" authorId="0" shapeId="0" xr:uid="{89E9EA17-C9C1-43E8-8780-CBD73C688F94}">
      <text>
        <r>
          <rPr>
            <sz val="10"/>
            <color indexed="81"/>
            <rFont val="Lucida Console"/>
            <family val="3"/>
          </rPr>
          <t>_x000D_
SegMedTra</t>
        </r>
      </text>
    </comment>
    <comment ref="X718" authorId="0" shapeId="0" xr:uid="{CC8184E9-D981-440B-99A3-B9EBA34CBC0B}">
      <text>
        <r>
          <rPr>
            <sz val="10"/>
            <color indexed="81"/>
            <rFont val="Lucida Console"/>
            <family val="3"/>
          </rPr>
          <t>_x000D_
EQUIP PROT IND, INST MAT P/ SINAL, CONTR, COMB ...</t>
        </r>
      </text>
    </comment>
    <comment ref="Y718" authorId="0" shapeId="0" xr:uid="{A309EC0F-AA61-4C8A-A5B0-82D3A10FE3F1}">
      <text>
        <r>
          <rPr>
            <sz val="10"/>
            <color indexed="81"/>
            <rFont val="Lucida Console"/>
            <family val="3"/>
          </rPr>
          <t>_x000D_
CALCADOS, LUVAS, OCULOS, MASCARAS, CAPACETES, CASSETETE</t>
        </r>
      </text>
    </comment>
    <comment ref="AW718" authorId="0" shapeId="0" xr:uid="{077D6246-4E0B-4C90-AD0E-0F1F944D98ED}">
      <text>
        <r>
          <rPr>
            <sz val="10"/>
            <color indexed="81"/>
            <rFont val="Lucida Console"/>
            <family val="3"/>
          </rPr>
          <t>Tempo de Estoque (Meses)_x000D_
_x000D_
80,0</t>
        </r>
      </text>
    </comment>
    <comment ref="A719" authorId="0" shapeId="0" xr:uid="{893E2857-EBDD-4688-9EB5-DB0FB630842F}">
      <text>
        <r>
          <rPr>
            <sz val="10"/>
            <color indexed="81"/>
            <rFont val="Lucida Console"/>
            <family val="3"/>
          </rPr>
          <t>_x000D_
136858</t>
        </r>
      </text>
    </comment>
    <comment ref="B719" authorId="0" shapeId="0" xr:uid="{EC393999-66F4-48D4-BA98-1D06918A0712}">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19" authorId="0" shapeId="0" xr:uid="{01189F6D-623F-45E2-B509-8AD3A1DBBACE}">
      <text>
        <r>
          <rPr>
            <sz val="10"/>
            <color indexed="81"/>
            <rFont val="Lucida Console"/>
            <family val="3"/>
          </rPr>
          <t>_x000D_
SegMedTra</t>
        </r>
      </text>
    </comment>
    <comment ref="X719" authorId="0" shapeId="0" xr:uid="{15D80F98-8F22-434A-8EC3-5F35E4E0B6FD}">
      <text>
        <r>
          <rPr>
            <sz val="10"/>
            <color indexed="81"/>
            <rFont val="Lucida Console"/>
            <family val="3"/>
          </rPr>
          <t>_x000D_
EQUIP PROT IND, INST MAT P/ SINAL, CONTR, COMB ...</t>
        </r>
      </text>
    </comment>
    <comment ref="Y719" authorId="0" shapeId="0" xr:uid="{A041D359-8473-4F4E-922E-B7E3B53BCAF5}">
      <text>
        <r>
          <rPr>
            <sz val="10"/>
            <color indexed="81"/>
            <rFont val="Lucida Console"/>
            <family val="3"/>
          </rPr>
          <t>_x000D_
CALCADOS, LUVAS, OCULOS, MASCARAS, CAPACETES, CASSETETE</t>
        </r>
      </text>
    </comment>
    <comment ref="AW719" authorId="0" shapeId="0" xr:uid="{32875728-B4D4-47C1-828B-D7ED1482E2C7}">
      <text>
        <r>
          <rPr>
            <sz val="10"/>
            <color indexed="81"/>
            <rFont val="Lucida Console"/>
            <family val="3"/>
          </rPr>
          <t>Tempo de Estoque (Meses)_x000D_
_x000D_
28,0</t>
        </r>
      </text>
    </comment>
    <comment ref="A720" authorId="0" shapeId="0" xr:uid="{9918F93A-C518-4B38-8F14-4D09268F69A9}">
      <text>
        <r>
          <rPr>
            <sz val="10"/>
            <color indexed="81"/>
            <rFont val="Lucida Console"/>
            <family val="3"/>
          </rPr>
          <t>_x000D_
136859</t>
        </r>
      </text>
    </comment>
    <comment ref="B720" authorId="0" shapeId="0" xr:uid="{5CB8887A-C603-4654-8F5C-A753006223AF}">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0" authorId="0" shapeId="0" xr:uid="{2BB2D950-60D8-4424-86EE-4BE1871EFEC8}">
      <text>
        <r>
          <rPr>
            <sz val="10"/>
            <color indexed="81"/>
            <rFont val="Lucida Console"/>
            <family val="3"/>
          </rPr>
          <t>_x000D_
SegMedTra</t>
        </r>
      </text>
    </comment>
    <comment ref="X720" authorId="0" shapeId="0" xr:uid="{FD6AA9BB-9E6D-4BAA-8989-F65832D0A8F9}">
      <text>
        <r>
          <rPr>
            <sz val="10"/>
            <color indexed="81"/>
            <rFont val="Lucida Console"/>
            <family val="3"/>
          </rPr>
          <t>_x000D_
EQUIP PROT IND, INST MAT P/ SINAL, CONTR, COMB ...</t>
        </r>
      </text>
    </comment>
    <comment ref="Y720" authorId="0" shapeId="0" xr:uid="{50DD4626-AFC0-438A-A239-52A147B53824}">
      <text>
        <r>
          <rPr>
            <sz val="10"/>
            <color indexed="81"/>
            <rFont val="Lucida Console"/>
            <family val="3"/>
          </rPr>
          <t>_x000D_
CALCADOS, LUVAS, OCULOS, MASCARAS, CAPACETES, CASSETETE</t>
        </r>
      </text>
    </comment>
    <comment ref="AW720" authorId="0" shapeId="0" xr:uid="{11D4960B-29CF-4C3D-822D-1346B5B4B905}">
      <text>
        <r>
          <rPr>
            <sz val="10"/>
            <color indexed="81"/>
            <rFont val="Lucida Console"/>
            <family val="3"/>
          </rPr>
          <t>Tempo de Estoque (Meses)_x000D_
_x000D_
44,0</t>
        </r>
      </text>
    </comment>
    <comment ref="A721" authorId="0" shapeId="0" xr:uid="{196CB5E0-C740-4FB3-B6F8-52E0A3810377}">
      <text>
        <r>
          <rPr>
            <sz val="10"/>
            <color indexed="81"/>
            <rFont val="Lucida Console"/>
            <family val="3"/>
          </rPr>
          <t>_x000D_
136860</t>
        </r>
      </text>
    </comment>
    <comment ref="B721" authorId="0" shapeId="0" xr:uid="{30EA6AED-715B-419F-AD14-0C9B143E22AB}">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21" authorId="0" shapeId="0" xr:uid="{498D0A33-DDA7-4E6C-AE27-A3D5FBEA1FB4}">
      <text>
        <r>
          <rPr>
            <sz val="10"/>
            <color indexed="81"/>
            <rFont val="Lucida Console"/>
            <family val="3"/>
          </rPr>
          <t>_x000D_
SegMedTra</t>
        </r>
      </text>
    </comment>
    <comment ref="X721" authorId="0" shapeId="0" xr:uid="{151DDC49-61ED-4368-A628-30BB1FD4A8E7}">
      <text>
        <r>
          <rPr>
            <sz val="10"/>
            <color indexed="81"/>
            <rFont val="Lucida Console"/>
            <family val="3"/>
          </rPr>
          <t>_x000D_
EQUIP PROT IND, INST MAT P/ SINAL, CONTR, COMB ...</t>
        </r>
      </text>
    </comment>
    <comment ref="Y721" authorId="0" shapeId="0" xr:uid="{B937A3FD-016B-4520-A7A1-9696045B6544}">
      <text>
        <r>
          <rPr>
            <sz val="10"/>
            <color indexed="81"/>
            <rFont val="Lucida Console"/>
            <family val="3"/>
          </rPr>
          <t>_x000D_
CALCADOS, LUVAS, OCULOS, MASCARAS, CAPACETES, CASSETETE</t>
        </r>
      </text>
    </comment>
    <comment ref="AW721" authorId="0" shapeId="0" xr:uid="{83C002C8-4381-411D-AD57-AD35B957620A}">
      <text>
        <r>
          <rPr>
            <sz val="10"/>
            <color indexed="81"/>
            <rFont val="Lucida Console"/>
            <family val="3"/>
          </rPr>
          <t>Tempo de Estoque (Meses)_x000D_
_x000D_
9,0</t>
        </r>
      </text>
    </comment>
    <comment ref="A722" authorId="0" shapeId="0" xr:uid="{DDE347EA-6A71-479B-B1C7-61E338F80EB7}">
      <text>
        <r>
          <rPr>
            <sz val="10"/>
            <color indexed="81"/>
            <rFont val="Lucida Console"/>
            <family val="3"/>
          </rPr>
          <t>_x000D_
136876</t>
        </r>
      </text>
    </comment>
    <comment ref="B722" authorId="0" shapeId="0" xr:uid="{F43ABA4E-2199-457B-8F02-E2550274BCDA}">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22" authorId="0" shapeId="0" xr:uid="{9DFC2962-1601-465C-84C1-B10271B0049D}">
      <text>
        <r>
          <rPr>
            <sz val="10"/>
            <color indexed="81"/>
            <rFont val="Lucida Console"/>
            <family val="3"/>
          </rPr>
          <t>_x000D_
SegMedTra</t>
        </r>
      </text>
    </comment>
    <comment ref="X722" authorId="0" shapeId="0" xr:uid="{F00A6451-8D16-4B84-ACDD-BEEE7B01FA1B}">
      <text>
        <r>
          <rPr>
            <sz val="10"/>
            <color indexed="81"/>
            <rFont val="Lucida Console"/>
            <family val="3"/>
          </rPr>
          <t>_x000D_
EQUIP PROT IND, INST MAT P/ SINAL, CONTR, COMB ...</t>
        </r>
      </text>
    </comment>
    <comment ref="Y722" authorId="0" shapeId="0" xr:uid="{4F8E7402-F2F6-43F5-977D-B88079D26311}">
      <text>
        <r>
          <rPr>
            <sz val="10"/>
            <color indexed="81"/>
            <rFont val="Lucida Console"/>
            <family val="3"/>
          </rPr>
          <t>_x000D_
CALCADOS, LUVAS, OCULOS, MASCARAS, CAPACETES, CASSETETE</t>
        </r>
      </text>
    </comment>
    <comment ref="AW722" authorId="0" shapeId="0" xr:uid="{1766C3B1-545F-4DEB-9275-AED998530A45}">
      <text>
        <r>
          <rPr>
            <sz val="10"/>
            <color indexed="81"/>
            <rFont val="Lucida Console"/>
            <family val="3"/>
          </rPr>
          <t>Tempo de Estoque (Meses)_x000D_
_x000D_
6,0</t>
        </r>
      </text>
    </comment>
    <comment ref="A723" authorId="0" shapeId="0" xr:uid="{40333B1C-FE2F-44CB-80C8-BB9C0FCEC76E}">
      <text>
        <r>
          <rPr>
            <sz val="10"/>
            <color indexed="81"/>
            <rFont val="Lucida Console"/>
            <family val="3"/>
          </rPr>
          <t>_x000D_
136877</t>
        </r>
      </text>
    </comment>
    <comment ref="B723" authorId="0" shapeId="0" xr:uid="{C9684BF4-4CFE-4E36-AFD4-0D9FF3B90553}">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23" authorId="0" shapeId="0" xr:uid="{4FFE3C5D-3C41-4500-B9D0-A84E01A32991}">
      <text>
        <r>
          <rPr>
            <sz val="10"/>
            <color indexed="81"/>
            <rFont val="Lucida Console"/>
            <family val="3"/>
          </rPr>
          <t>_x000D_
SegMedTra</t>
        </r>
      </text>
    </comment>
    <comment ref="X723" authorId="0" shapeId="0" xr:uid="{19BC3693-9609-4953-9F6A-065157CE0FE4}">
      <text>
        <r>
          <rPr>
            <sz val="10"/>
            <color indexed="81"/>
            <rFont val="Lucida Console"/>
            <family val="3"/>
          </rPr>
          <t>_x000D_
EQUIP PROT IND, INST MAT P/ SINAL, CONTR, COMB ...</t>
        </r>
      </text>
    </comment>
    <comment ref="Y723" authorId="0" shapeId="0" xr:uid="{A0745A45-E990-49AA-93AA-D0F803868B0B}">
      <text>
        <r>
          <rPr>
            <sz val="10"/>
            <color indexed="81"/>
            <rFont val="Lucida Console"/>
            <family val="3"/>
          </rPr>
          <t>_x000D_
CALCADOS, LUVAS, OCULOS, MASCARAS, CAPACETES, CASSETETE</t>
        </r>
      </text>
    </comment>
    <comment ref="AW723" authorId="0" shapeId="0" xr:uid="{7A5C7C5E-7C60-460D-85CC-425DF338A998}">
      <text>
        <r>
          <rPr>
            <sz val="10"/>
            <color indexed="81"/>
            <rFont val="Lucida Console"/>
            <family val="3"/>
          </rPr>
          <t>Tempo de Estoque (Meses)_x000D_
_x000D_
13,0</t>
        </r>
      </text>
    </comment>
    <comment ref="A724" authorId="0" shapeId="0" xr:uid="{149529AD-010C-40AB-A4BA-52E1E1BFA1F2}">
      <text>
        <r>
          <rPr>
            <sz val="10"/>
            <color indexed="81"/>
            <rFont val="Lucida Console"/>
            <family val="3"/>
          </rPr>
          <t>_x000D_
136880</t>
        </r>
      </text>
    </comment>
    <comment ref="B724" authorId="0" shapeId="0" xr:uid="{A6ACB383-730D-4A78-BCE7-570B7F7EC890}">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24" authorId="0" shapeId="0" xr:uid="{06CF75D7-CDA5-49E5-8AA9-C1F7D66229E3}">
      <text>
        <r>
          <rPr>
            <sz val="10"/>
            <color indexed="81"/>
            <rFont val="Lucida Console"/>
            <family val="3"/>
          </rPr>
          <t>_x000D_
SegMedTra</t>
        </r>
      </text>
    </comment>
    <comment ref="X724" authorId="0" shapeId="0" xr:uid="{E2C92DFF-1216-4CCC-91DC-8C0CA45D2075}">
      <text>
        <r>
          <rPr>
            <sz val="10"/>
            <color indexed="81"/>
            <rFont val="Lucida Console"/>
            <family val="3"/>
          </rPr>
          <t>_x000D_
EQUIP PROT IND, INST MAT P/ SINAL, CONTR, COMB ...</t>
        </r>
      </text>
    </comment>
    <comment ref="Y724" authorId="0" shapeId="0" xr:uid="{853613BC-6AF1-42D7-A999-04EA441FB167}">
      <text>
        <r>
          <rPr>
            <sz val="10"/>
            <color indexed="81"/>
            <rFont val="Lucida Console"/>
            <family val="3"/>
          </rPr>
          <t>_x000D_
CALCADOS, LUVAS, OCULOS, MASCARAS, CAPACETES, CASSETETE</t>
        </r>
      </text>
    </comment>
    <comment ref="AW724" authorId="0" shapeId="0" xr:uid="{2A4FBDD3-6071-48CF-BA80-E9ADA8F95BF5}">
      <text>
        <r>
          <rPr>
            <sz val="10"/>
            <color indexed="81"/>
            <rFont val="Lucida Console"/>
            <family val="3"/>
          </rPr>
          <t>Tempo de Estoque (Meses)_x000D_
_x000D_
47,0</t>
        </r>
      </text>
    </comment>
    <comment ref="A725" authorId="0" shapeId="0" xr:uid="{56D33F04-6B7B-4FAF-95A6-3438200BDC24}">
      <text>
        <r>
          <rPr>
            <sz val="10"/>
            <color indexed="81"/>
            <rFont val="Lucida Console"/>
            <family val="3"/>
          </rPr>
          <t>_x000D_
137019</t>
        </r>
      </text>
    </comment>
    <comment ref="B725" authorId="0" shapeId="0" xr:uid="{BB37FDB8-72A6-40FF-B322-13C446FC2C7D}">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25" authorId="0" shapeId="0" xr:uid="{F89FC6B8-8944-4B5E-A95E-1324A4DFDE1B}">
      <text>
        <r>
          <rPr>
            <sz val="10"/>
            <color indexed="81"/>
            <rFont val="Lucida Console"/>
            <family val="3"/>
          </rPr>
          <t>_x000D_
SegMedTra</t>
        </r>
      </text>
    </comment>
    <comment ref="X725" authorId="0" shapeId="0" xr:uid="{18066991-4A8B-4476-A095-71426AD70D7D}">
      <text>
        <r>
          <rPr>
            <sz val="10"/>
            <color indexed="81"/>
            <rFont val="Lucida Console"/>
            <family val="3"/>
          </rPr>
          <t>_x000D_
EQUIP PROT IND, INST MAT P/ SINAL, CONTR, COMB ...</t>
        </r>
      </text>
    </comment>
    <comment ref="Y725" authorId="0" shapeId="0" xr:uid="{85CACD47-1BB4-4BD7-A5B3-722934EE3106}">
      <text>
        <r>
          <rPr>
            <sz val="10"/>
            <color indexed="81"/>
            <rFont val="Lucida Console"/>
            <family val="3"/>
          </rPr>
          <t>_x000D_
CALCADOS, LUVAS, OCULOS, MASCARAS, CAPACETES, CASSETETE</t>
        </r>
      </text>
    </comment>
    <comment ref="AW725" authorId="0" shapeId="0" xr:uid="{D98A93B9-7D76-497C-A377-54123314A1A5}">
      <text>
        <r>
          <rPr>
            <sz val="10"/>
            <color indexed="81"/>
            <rFont val="Lucida Console"/>
            <family val="3"/>
          </rPr>
          <t>Tempo de Estoque (Meses)_x000D_
_x000D_
492,0</t>
        </r>
      </text>
    </comment>
    <comment ref="A726" authorId="0" shapeId="0" xr:uid="{F438261A-9370-4F2F-A0CF-92726D528140}">
      <text>
        <r>
          <rPr>
            <sz val="10"/>
            <color indexed="81"/>
            <rFont val="Lucida Console"/>
            <family val="3"/>
          </rPr>
          <t>_x000D_
137053</t>
        </r>
      </text>
    </comment>
    <comment ref="B726" authorId="0" shapeId="0" xr:uid="{A162BEEE-E053-4C9A-8E7A-ECA4D6CE9169}">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26" authorId="0" shapeId="0" xr:uid="{05DB4156-E4A5-4B8A-993E-B4C5397A195E}">
      <text>
        <r>
          <rPr>
            <sz val="10"/>
            <color indexed="81"/>
            <rFont val="Lucida Console"/>
            <family val="3"/>
          </rPr>
          <t>_x000D_
SegMedTra</t>
        </r>
      </text>
    </comment>
    <comment ref="X726" authorId="0" shapeId="0" xr:uid="{83BD1A35-F90C-4C45-A4FF-52168D26228F}">
      <text>
        <r>
          <rPr>
            <sz val="10"/>
            <color indexed="81"/>
            <rFont val="Lucida Console"/>
            <family val="3"/>
          </rPr>
          <t>_x000D_
EQUIP PROT IND, INST MAT P/ SINAL, CONTR, COMB ...</t>
        </r>
      </text>
    </comment>
    <comment ref="Y726" authorId="0" shapeId="0" xr:uid="{78015578-BBAE-4842-BD31-F3A1DE7A332A}">
      <text>
        <r>
          <rPr>
            <sz val="10"/>
            <color indexed="81"/>
            <rFont val="Lucida Console"/>
            <family val="3"/>
          </rPr>
          <t>_x000D_
CALCADOS, LUVAS, OCULOS, MASCARAS, CAPACETES, CASSETETE</t>
        </r>
      </text>
    </comment>
    <comment ref="AW726" authorId="0" shapeId="0" xr:uid="{945F228E-F95B-418F-8257-D55E1725583E}">
      <text>
        <r>
          <rPr>
            <sz val="10"/>
            <color indexed="81"/>
            <rFont val="Lucida Console"/>
            <family val="3"/>
          </rPr>
          <t>Tempo de Estoque (Meses)_x000D_
_x000D_
16,0</t>
        </r>
      </text>
    </comment>
    <comment ref="A727" authorId="0" shapeId="0" xr:uid="{5C3BF2AF-9A91-4A43-8962-FBF63425014B}">
      <text>
        <r>
          <rPr>
            <sz val="10"/>
            <color indexed="81"/>
            <rFont val="Lucida Console"/>
            <family val="3"/>
          </rPr>
          <t>_x000D_
137798</t>
        </r>
      </text>
    </comment>
    <comment ref="B727" authorId="0" shapeId="0" xr:uid="{84CEAB56-8FE4-40FF-B41C-FEFC0F0BEFC8}">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27" authorId="0" shapeId="0" xr:uid="{16EA6273-4B10-40F6-A327-68AC73E9711B}">
      <text>
        <r>
          <rPr>
            <sz val="10"/>
            <color indexed="81"/>
            <rFont val="Lucida Console"/>
            <family val="3"/>
          </rPr>
          <t>_x000D_
SegMedTra</t>
        </r>
      </text>
    </comment>
    <comment ref="X727" authorId="0" shapeId="0" xr:uid="{26504007-F633-4503-86C9-1EF3AAD00C5E}">
      <text>
        <r>
          <rPr>
            <sz val="10"/>
            <color indexed="81"/>
            <rFont val="Lucida Console"/>
            <family val="3"/>
          </rPr>
          <t>_x000D_
EQUIP PROT IND, INST MAT P/ SINAL, CONTR, COMB ...</t>
        </r>
      </text>
    </comment>
    <comment ref="Y727" authorId="0" shapeId="0" xr:uid="{127AF45A-88E0-4A38-B8BC-81F968A181D7}">
      <text>
        <r>
          <rPr>
            <sz val="10"/>
            <color indexed="81"/>
            <rFont val="Lucida Console"/>
            <family val="3"/>
          </rPr>
          <t>_x000D_
CALCADOS, LUVAS, OCULOS, MASCARAS, CAPACETES, CASSETETE</t>
        </r>
      </text>
    </comment>
    <comment ref="AW727" authorId="0" shapeId="0" xr:uid="{7AE38DED-3AFB-4839-BB03-9C70582A6206}">
      <text>
        <r>
          <rPr>
            <sz val="10"/>
            <color indexed="81"/>
            <rFont val="Lucida Console"/>
            <family val="3"/>
          </rPr>
          <t>Tempo de Estoque (Meses)_x000D_
_x000D_
18,0</t>
        </r>
      </text>
    </comment>
    <comment ref="A728" authorId="0" shapeId="0" xr:uid="{11EEF886-9EED-4554-B778-D20898916BC5}">
      <text>
        <r>
          <rPr>
            <sz val="10"/>
            <color indexed="81"/>
            <rFont val="Lucida Console"/>
            <family val="3"/>
          </rPr>
          <t>_x000D_
137799</t>
        </r>
      </text>
    </comment>
    <comment ref="B728" authorId="0" shapeId="0" xr:uid="{EECECCCC-FE67-48FC-9A39-DE7478CD75AF}">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28" authorId="0" shapeId="0" xr:uid="{F160D6B8-2A8C-4727-876A-527137D60ED8}">
      <text>
        <r>
          <rPr>
            <sz val="10"/>
            <color indexed="81"/>
            <rFont val="Lucida Console"/>
            <family val="3"/>
          </rPr>
          <t>_x000D_
SegMedTra</t>
        </r>
      </text>
    </comment>
    <comment ref="X728" authorId="0" shapeId="0" xr:uid="{7E69AC6C-5505-4D81-9FEF-AFFE0767BF68}">
      <text>
        <r>
          <rPr>
            <sz val="10"/>
            <color indexed="81"/>
            <rFont val="Lucida Console"/>
            <family val="3"/>
          </rPr>
          <t>_x000D_
EQUIP PROT IND, INST MAT P/ SINAL, CONTR, COMB ...</t>
        </r>
      </text>
    </comment>
    <comment ref="Y728" authorId="0" shapeId="0" xr:uid="{F8B93BA6-C6E0-4E6D-BF79-EA403630C5C7}">
      <text>
        <r>
          <rPr>
            <sz val="10"/>
            <color indexed="81"/>
            <rFont val="Lucida Console"/>
            <family val="3"/>
          </rPr>
          <t>_x000D_
CALCADOS, LUVAS, OCULOS, MASCARAS, CAPACETES, CASSETETE</t>
        </r>
      </text>
    </comment>
    <comment ref="AW728" authorId="0" shapeId="0" xr:uid="{92730EC9-314F-4817-8416-507DAC306F4C}">
      <text>
        <r>
          <rPr>
            <sz val="10"/>
            <color indexed="81"/>
            <rFont val="Lucida Console"/>
            <family val="3"/>
          </rPr>
          <t>Tempo de Estoque (Meses)_x000D_
_x000D_
77,0</t>
        </r>
      </text>
    </comment>
    <comment ref="A729" authorId="0" shapeId="0" xr:uid="{F6A7969D-5CD8-41C6-99F2-814A0168860D}">
      <text>
        <r>
          <rPr>
            <sz val="10"/>
            <color indexed="81"/>
            <rFont val="Lucida Console"/>
            <family val="3"/>
          </rPr>
          <t>_x000D_
137800</t>
        </r>
      </text>
    </comment>
    <comment ref="B729" authorId="0" shapeId="0" xr:uid="{DAE3FD1D-0B17-4243-B4C9-583B14041FB8}">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29" authorId="0" shapeId="0" xr:uid="{4029F6F2-1E52-4E54-84BE-6E418E6FC3F6}">
      <text>
        <r>
          <rPr>
            <sz val="10"/>
            <color indexed="81"/>
            <rFont val="Lucida Console"/>
            <family val="3"/>
          </rPr>
          <t>_x000D_
SegMedTra</t>
        </r>
      </text>
    </comment>
    <comment ref="X729" authorId="0" shapeId="0" xr:uid="{47653B03-D30B-4077-8EA6-9605A1F75E13}">
      <text>
        <r>
          <rPr>
            <sz val="10"/>
            <color indexed="81"/>
            <rFont val="Lucida Console"/>
            <family val="3"/>
          </rPr>
          <t>_x000D_
EQUIP PROT IND, INST MAT P/ SINAL, CONTR, COMB ...</t>
        </r>
      </text>
    </comment>
    <comment ref="Y729" authorId="0" shapeId="0" xr:uid="{5E940FAE-11D7-4742-A13B-D88F64E45486}">
      <text>
        <r>
          <rPr>
            <sz val="10"/>
            <color indexed="81"/>
            <rFont val="Lucida Console"/>
            <family val="3"/>
          </rPr>
          <t>_x000D_
CALCADOS, LUVAS, OCULOS, MASCARAS, CAPACETES, CASSETETE</t>
        </r>
      </text>
    </comment>
    <comment ref="AW729" authorId="0" shapeId="0" xr:uid="{4CD6BF3A-AD4C-45E3-981D-51FEEC116FED}">
      <text>
        <r>
          <rPr>
            <sz val="10"/>
            <color indexed="81"/>
            <rFont val="Lucida Console"/>
            <family val="3"/>
          </rPr>
          <t>Tempo de Estoque (Meses)_x000D_
_x000D_
59,0</t>
        </r>
      </text>
    </comment>
    <comment ref="A730" authorId="0" shapeId="0" xr:uid="{831AC6B5-1203-43AD-9D3F-FDC4D69274EE}">
      <text>
        <r>
          <rPr>
            <sz val="10"/>
            <color indexed="81"/>
            <rFont val="Lucida Console"/>
            <family val="3"/>
          </rPr>
          <t>_x000D_
143099</t>
        </r>
      </text>
    </comment>
    <comment ref="B730" authorId="0" shapeId="0" xr:uid="{5ACC2400-AC52-420C-9422-EC42F949B3B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0" authorId="0" shapeId="0" xr:uid="{BAEC7239-B1FA-497D-A222-C7F28184A8FC}">
      <text>
        <r>
          <rPr>
            <sz val="10"/>
            <color indexed="81"/>
            <rFont val="Lucida Console"/>
            <family val="3"/>
          </rPr>
          <t>_x000D_
SegMedTra</t>
        </r>
      </text>
    </comment>
    <comment ref="X730" authorId="0" shapeId="0" xr:uid="{A3D9B7C0-57B3-4CDB-B7E9-BB69B4A8BF01}">
      <text>
        <r>
          <rPr>
            <sz val="10"/>
            <color indexed="81"/>
            <rFont val="Lucida Console"/>
            <family val="3"/>
          </rPr>
          <t>_x000D_
EQUIP PROT IND, INST MAT P/ SINAL, CONTR, COMB ...</t>
        </r>
      </text>
    </comment>
    <comment ref="Y730" authorId="0" shapeId="0" xr:uid="{D1E7856C-F350-4EE5-BBAB-618925AECADA}">
      <text>
        <r>
          <rPr>
            <sz val="10"/>
            <color indexed="81"/>
            <rFont val="Lucida Console"/>
            <family val="3"/>
          </rPr>
          <t>_x000D_
CALCADOS, LUVAS, OCULOS, MASCARAS, CAPACETES, CASSETETE</t>
        </r>
      </text>
    </comment>
    <comment ref="AW730" authorId="0" shapeId="0" xr:uid="{A83EE75C-F0FD-42AC-BD48-1E165EAFCECA}">
      <text>
        <r>
          <rPr>
            <sz val="10"/>
            <color indexed="81"/>
            <rFont val="Lucida Console"/>
            <family val="3"/>
          </rPr>
          <t>Tempo de Estoque (Meses)_x000D_
_x000D_
1.776,0</t>
        </r>
      </text>
    </comment>
    <comment ref="A731" authorId="0" shapeId="0" xr:uid="{8F0B1529-39DB-45F9-B776-5A0EA582E8C9}">
      <text>
        <r>
          <rPr>
            <sz val="10"/>
            <color indexed="81"/>
            <rFont val="Lucida Console"/>
            <family val="3"/>
          </rPr>
          <t>_x000D_
105113</t>
        </r>
      </text>
    </comment>
    <comment ref="B731" authorId="0" shapeId="0" xr:uid="{F82D49B3-CADB-4EA7-BEFC-4EFA87C1B8A5}">
      <text>
        <r>
          <rPr>
            <sz val="10"/>
            <color indexed="81"/>
            <rFont val="Lucida Console"/>
            <family val="3"/>
          </rPr>
          <t>DESCRIÇÃO DETALHADA_x000D_
CAMISA DE BRIM, N° 1, CONFECCIONADA EM TECIDO 100% ALGODAO, NA COR AZUL MARINHO.</t>
        </r>
      </text>
    </comment>
    <comment ref="W731" authorId="0" shapeId="0" xr:uid="{F2337ACD-5485-4698-A037-EB8FF0E85E73}">
      <text>
        <r>
          <rPr>
            <sz val="10"/>
            <color indexed="81"/>
            <rFont val="Lucida Console"/>
            <family val="3"/>
          </rPr>
          <t>_x000D_
SegMedTra</t>
        </r>
      </text>
    </comment>
    <comment ref="X731" authorId="0" shapeId="0" xr:uid="{D31A9704-23E9-4FCF-AFD6-8C18CFD7B83A}">
      <text>
        <r>
          <rPr>
            <sz val="10"/>
            <color indexed="81"/>
            <rFont val="Lucida Console"/>
            <family val="3"/>
          </rPr>
          <t>_x000D_
EQUIP PROT IND, INST MAT P/ SINAL, CONTR, COMB ...</t>
        </r>
      </text>
    </comment>
    <comment ref="Y731" authorId="0" shapeId="0" xr:uid="{FD7BD777-226D-4126-AE8B-2AC77C4C6138}">
      <text>
        <r>
          <rPr>
            <sz val="10"/>
            <color indexed="81"/>
            <rFont val="Lucida Console"/>
            <family val="3"/>
          </rPr>
          <t>_x000D_
ATA DE REGISTRO DE PRECOS</t>
        </r>
      </text>
    </comment>
    <comment ref="AW731" authorId="0" shapeId="0" xr:uid="{DC479924-F152-4E3D-B802-0ABFCDD0063B}">
      <text>
        <r>
          <rPr>
            <sz val="10"/>
            <color indexed="81"/>
            <rFont val="Lucida Console"/>
            <family val="3"/>
          </rPr>
          <t>Tempo de Estoque (Meses)_x000D_
_x000D_
5,0</t>
        </r>
      </text>
    </comment>
    <comment ref="A732" authorId="0" shapeId="0" xr:uid="{78ABEB96-34CF-4936-957F-8B22A3086050}">
      <text>
        <r>
          <rPr>
            <sz val="10"/>
            <color indexed="81"/>
            <rFont val="Lucida Console"/>
            <family val="3"/>
          </rPr>
          <t>_x000D_
142982</t>
        </r>
      </text>
    </comment>
    <comment ref="B732" authorId="0" shapeId="0" xr:uid="{897CB99A-E5F2-4E23-A7B6-F6F83D9B3EDA}">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32" authorId="0" shapeId="0" xr:uid="{AC9576F1-1BD3-4495-8965-221EFFDC9820}">
      <text>
        <r>
          <rPr>
            <sz val="10"/>
            <color indexed="81"/>
            <rFont val="Lucida Console"/>
            <family val="3"/>
          </rPr>
          <t xml:space="preserve">_x000D_
</t>
        </r>
      </text>
    </comment>
    <comment ref="X732" authorId="0" shapeId="0" xr:uid="{F5A09933-B880-49F8-9F61-F39896034DD9}">
      <text>
        <r>
          <rPr>
            <sz val="10"/>
            <color indexed="81"/>
            <rFont val="Lucida Console"/>
            <family val="3"/>
          </rPr>
          <t>_x000D_
EQUIP. MAT. P/ GERACAO, TRANSM. DISTR. RETIF...</t>
        </r>
      </text>
    </comment>
    <comment ref="Y732" authorId="0" shapeId="0" xr:uid="{6522B46B-A522-4C83-90A4-BBA674593845}">
      <text>
        <r>
          <rPr>
            <sz val="10"/>
            <color indexed="81"/>
            <rFont val="Lucida Console"/>
            <family val="3"/>
          </rPr>
          <t>_x000D_
CONTADORES</t>
        </r>
      </text>
    </comment>
    <comment ref="AW732" authorId="0" shapeId="0" xr:uid="{D2DE8176-7C4E-4B26-9424-EB1106515ADF}">
      <text>
        <r>
          <rPr>
            <sz val="10"/>
            <color indexed="81"/>
            <rFont val="Lucida Console"/>
            <family val="3"/>
          </rPr>
          <t>Tempo de Estoque (Meses)_x000D_
_x000D_
100,0</t>
        </r>
      </text>
    </comment>
    <comment ref="A733" authorId="0" shapeId="0" xr:uid="{54023B07-1EA4-410F-B334-B0BAF387B7C1}">
      <text>
        <r>
          <rPr>
            <sz val="10"/>
            <color indexed="81"/>
            <rFont val="Lucida Console"/>
            <family val="3"/>
          </rPr>
          <t>_x000D_
45637</t>
        </r>
      </text>
    </comment>
    <comment ref="B733" authorId="0" shapeId="0" xr:uid="{70C00152-2857-42E3-8634-7F12F12AAA70}">
      <text>
        <r>
          <rPr>
            <sz val="10"/>
            <color indexed="81"/>
            <rFont val="Lucida Console"/>
            <family val="3"/>
          </rPr>
          <t>DESCRIÇÃO DETALHADA_x000D_
CHAVE BOIA INFERIOR 15 A (CONTROLE DE NIVEL AUTOMATICO)</t>
        </r>
      </text>
    </comment>
    <comment ref="W733" authorId="0" shapeId="0" xr:uid="{47F88562-6A7A-4B46-9FED-D6FEBAAD3090}">
      <text>
        <r>
          <rPr>
            <sz val="10"/>
            <color indexed="81"/>
            <rFont val="Lucida Console"/>
            <family val="3"/>
          </rPr>
          <t>_x000D_
DM-Elétrica</t>
        </r>
      </text>
    </comment>
    <comment ref="X733" authorId="0" shapeId="0" xr:uid="{7806677A-56D9-483B-8FCE-BAECF21F5B95}">
      <text>
        <r>
          <rPr>
            <sz val="10"/>
            <color indexed="81"/>
            <rFont val="Lucida Console"/>
            <family val="3"/>
          </rPr>
          <t>_x000D_
EQUIP. MAT. P/ GERACAO, TRANSM. DISTR. RETIF...</t>
        </r>
      </text>
    </comment>
    <comment ref="Y733" authorId="0" shapeId="0" xr:uid="{B1CE9268-0DE6-417B-9284-F38A951FE6AC}">
      <text>
        <r>
          <rPr>
            <sz val="10"/>
            <color indexed="81"/>
            <rFont val="Lucida Console"/>
            <family val="3"/>
          </rPr>
          <t>_x000D_
CHAVES BOIA</t>
        </r>
      </text>
    </comment>
    <comment ref="AW733" authorId="0" shapeId="0" xr:uid="{0812B683-611F-41E2-B11E-A856BE8183CB}">
      <text>
        <r>
          <rPr>
            <sz val="10"/>
            <color indexed="81"/>
            <rFont val="Lucida Console"/>
            <family val="3"/>
          </rPr>
          <t>Tempo de Estoque (Meses)_x000D_
_x000D_
787,0</t>
        </r>
      </text>
    </comment>
    <comment ref="A734" authorId="0" shapeId="0" xr:uid="{F5918348-FB7E-4245-BD3D-10831F714FD6}">
      <text>
        <r>
          <rPr>
            <sz val="10"/>
            <color indexed="81"/>
            <rFont val="Lucida Console"/>
            <family val="3"/>
          </rPr>
          <t>_x000D_
72184</t>
        </r>
      </text>
    </comment>
    <comment ref="B734" authorId="0" shapeId="0" xr:uid="{7288D4C2-B28C-469B-8EE0-70567E366598}">
      <text>
        <r>
          <rPr>
            <sz val="10"/>
            <color indexed="81"/>
            <rFont val="Lucida Console"/>
            <family val="3"/>
          </rPr>
          <t>DESCRIÇÃO DETALHADA_x000D_
PILHA PALITO AAA - ALCALINA</t>
        </r>
      </text>
    </comment>
    <comment ref="W734" authorId="0" shapeId="0" xr:uid="{19F273A7-7237-4A09-A78F-B8A4BEB661B3}">
      <text>
        <r>
          <rPr>
            <sz val="10"/>
            <color indexed="81"/>
            <rFont val="Lucida Console"/>
            <family val="3"/>
          </rPr>
          <t>_x000D_
Administrativo</t>
        </r>
      </text>
    </comment>
    <comment ref="X734" authorId="0" shapeId="0" xr:uid="{E53E4290-B895-408A-B0AF-78ADCD544597}">
      <text>
        <r>
          <rPr>
            <sz val="10"/>
            <color indexed="81"/>
            <rFont val="Lucida Console"/>
            <family val="3"/>
          </rPr>
          <t>_x000D_
EQUIP. MAT. P/ GERACAO, TRANSM. DISTR. RETIF...</t>
        </r>
      </text>
    </comment>
    <comment ref="Y734" authorId="0" shapeId="0" xr:uid="{C8D60864-BEEC-419E-A96F-D46C9C63F86E}">
      <text>
        <r>
          <rPr>
            <sz val="10"/>
            <color indexed="81"/>
            <rFont val="Lucida Console"/>
            <family val="3"/>
          </rPr>
          <t>_x000D_
PILHAS E BATERIAS PORTATEIS</t>
        </r>
      </text>
    </comment>
    <comment ref="AW734" authorId="0" shapeId="0" xr:uid="{F771D490-7004-4DA8-9873-ADA892898A00}">
      <text>
        <r>
          <rPr>
            <sz val="10"/>
            <color indexed="81"/>
            <rFont val="Lucida Console"/>
            <family val="3"/>
          </rPr>
          <t>Tempo de Estoque (Meses)_x000D_
_x000D_
5.989,0</t>
        </r>
      </text>
    </comment>
    <comment ref="A735" authorId="0" shapeId="0" xr:uid="{7AA0A135-5035-4721-BC80-42868ED33BA6}">
      <text>
        <r>
          <rPr>
            <sz val="10"/>
            <color indexed="81"/>
            <rFont val="Lucida Console"/>
            <family val="3"/>
          </rPr>
          <t>_x000D_
110889</t>
        </r>
      </text>
    </comment>
    <comment ref="B735" authorId="0" shapeId="0" xr:uid="{BF815632-52F9-4F26-A32A-174ECC07047E}">
      <text>
        <r>
          <rPr>
            <sz val="10"/>
            <color indexed="81"/>
            <rFont val="Lucida Console"/>
            <family val="3"/>
          </rPr>
          <t>DESCRIÇÃO DETALHADA_x000D_
CABO DE COBRE FLEXIVEL BITOLA 150 MM²,  0,6/1 KV ISOLACAO DE PVC 70° C, COR PRETA - ANTI-CHAMA</t>
        </r>
      </text>
    </comment>
    <comment ref="W735" authorId="0" shapeId="0" xr:uid="{CC506F4D-D24C-49E7-918F-BCEE39A2C1B6}">
      <text>
        <r>
          <rPr>
            <sz val="10"/>
            <color indexed="81"/>
            <rFont val="Lucida Console"/>
            <family val="3"/>
          </rPr>
          <t>_x000D_
DM-Elétrica</t>
        </r>
      </text>
    </comment>
    <comment ref="X735" authorId="0" shapeId="0" xr:uid="{4B55A915-2DF6-4967-8D97-560433F149D0}">
      <text>
        <r>
          <rPr>
            <sz val="10"/>
            <color indexed="81"/>
            <rFont val="Lucida Console"/>
            <family val="3"/>
          </rPr>
          <t>_x000D_
EQUIP. MAT. P/ GERACAO, TRANSM. DISTR. RETIF...</t>
        </r>
      </text>
    </comment>
    <comment ref="Y735" authorId="0" shapeId="0" xr:uid="{280B6F91-6AD2-40CE-BF1E-F3E6A2DB1B8D}">
      <text>
        <r>
          <rPr>
            <sz val="10"/>
            <color indexed="81"/>
            <rFont val="Lucida Console"/>
            <family val="3"/>
          </rPr>
          <t>_x000D_
FIOS E CABOS ELETRICOS</t>
        </r>
      </text>
    </comment>
    <comment ref="Z735" authorId="0" shapeId="0" xr:uid="{62CC3BD8-46DA-4916-A086-D41A2318342F}">
      <text>
        <r>
          <rPr>
            <sz val="10"/>
            <color indexed="81"/>
            <rFont val="Lucida Console"/>
            <family val="3"/>
          </rPr>
          <t>_x000D_
RC  1.929 / 23  Qtde: 200_x000D_
RC  2.956 / 23  Qtde: 100</t>
        </r>
      </text>
    </comment>
    <comment ref="AW735" authorId="0" shapeId="0" xr:uid="{7B1F2AE9-CD19-479E-AE63-BFE8F8E347C7}">
      <text>
        <r>
          <rPr>
            <sz val="10"/>
            <color indexed="81"/>
            <rFont val="Lucida Console"/>
            <family val="3"/>
          </rPr>
          <t>Tempo de Estoque (Meses)_x000D_
_x000D_
380,0</t>
        </r>
      </text>
    </comment>
    <comment ref="A736" authorId="0" shapeId="0" xr:uid="{3733763C-C2C6-4341-AAE1-4185ADEB3549}">
      <text>
        <r>
          <rPr>
            <sz val="10"/>
            <color indexed="81"/>
            <rFont val="Lucida Console"/>
            <family val="3"/>
          </rPr>
          <t>_x000D_
123370</t>
        </r>
      </text>
    </comment>
    <comment ref="B736" authorId="0" shapeId="0" xr:uid="{B13687B6-ADA9-464D-B305-179987E24694}">
      <text>
        <r>
          <rPr>
            <sz val="10"/>
            <color indexed="81"/>
            <rFont val="Lucida Console"/>
            <family val="3"/>
          </rPr>
          <t xml:space="preserve">DESCRIÇÃO DETALHADA_x000D_
CABO DE COBRE FLEXIVEL BITOLA 185 MM2 , ISOLACAO 0,6/1 KV, COR PRETA - ANTICHAMA </t>
        </r>
      </text>
    </comment>
    <comment ref="W736" authorId="0" shapeId="0" xr:uid="{B98E4B33-57B1-4ECD-ADBA-152D64C385C6}">
      <text>
        <r>
          <rPr>
            <sz val="10"/>
            <color indexed="81"/>
            <rFont val="Lucida Console"/>
            <family val="3"/>
          </rPr>
          <t>_x000D_
DM-Elétrica</t>
        </r>
      </text>
    </comment>
    <comment ref="X736" authorId="0" shapeId="0" xr:uid="{416AA422-8683-41D8-9278-7331069C802B}">
      <text>
        <r>
          <rPr>
            <sz val="10"/>
            <color indexed="81"/>
            <rFont val="Lucida Console"/>
            <family val="3"/>
          </rPr>
          <t>_x000D_
EQUIP. MAT. P/ GERACAO, TRANSM. DISTR. RETIF...</t>
        </r>
      </text>
    </comment>
    <comment ref="Y736" authorId="0" shapeId="0" xr:uid="{F1B232A0-7C7E-4CEA-AF2B-269AE29D2722}">
      <text>
        <r>
          <rPr>
            <sz val="10"/>
            <color indexed="81"/>
            <rFont val="Lucida Console"/>
            <family val="3"/>
          </rPr>
          <t>_x000D_
FIOS E CABOS ELETRICOS</t>
        </r>
      </text>
    </comment>
    <comment ref="AW736" authorId="0" shapeId="0" xr:uid="{519F42D5-69C8-4B23-B738-6E2144FED6DB}">
      <text>
        <r>
          <rPr>
            <sz val="10"/>
            <color indexed="81"/>
            <rFont val="Lucida Console"/>
            <family val="3"/>
          </rPr>
          <t>Tempo de Estoque (Meses)_x000D_
_x000D_
49,0</t>
        </r>
      </text>
    </comment>
    <comment ref="A737" authorId="0" shapeId="0" xr:uid="{039646CE-48C4-49FD-96CE-76F82E0EA9BD}">
      <text>
        <r>
          <rPr>
            <sz val="10"/>
            <color indexed="81"/>
            <rFont val="Lucida Console"/>
            <family val="3"/>
          </rPr>
          <t>_x000D_
132229</t>
        </r>
      </text>
    </comment>
    <comment ref="B737" authorId="0" shapeId="0" xr:uid="{40AA380F-8ABE-4BFD-9806-EAB526F5B278}">
      <text>
        <r>
          <rPr>
            <sz val="10"/>
            <color indexed="81"/>
            <rFont val="Lucida Console"/>
            <family val="3"/>
          </rPr>
          <t>DESCRIÇÃO DETALHADA_x000D_
CABO DE COBRE FLEXIVEL, BITOLA 50MM2, 0,6/1 KV, ISOLACAO DE PVC 70° C, COR AZUL CLARO - ANTI-CHAMA</t>
        </r>
      </text>
    </comment>
    <comment ref="W737" authorId="0" shapeId="0" xr:uid="{D4209537-6E3A-4AB4-BE05-38A67C49E8F1}">
      <text>
        <r>
          <rPr>
            <sz val="10"/>
            <color indexed="81"/>
            <rFont val="Lucida Console"/>
            <family val="3"/>
          </rPr>
          <t>_x000D_
DM-Elétrica</t>
        </r>
      </text>
    </comment>
    <comment ref="X737" authorId="0" shapeId="0" xr:uid="{3CB6821A-C668-4C71-B0AE-086EB88079C5}">
      <text>
        <r>
          <rPr>
            <sz val="10"/>
            <color indexed="81"/>
            <rFont val="Lucida Console"/>
            <family val="3"/>
          </rPr>
          <t>_x000D_
EQUIP. MAT. P/ GERACAO, TRANSM. DISTR. RETIF...</t>
        </r>
      </text>
    </comment>
    <comment ref="Y737" authorId="0" shapeId="0" xr:uid="{4F371A0C-7B09-4D0D-91A5-A65E89A64BE4}">
      <text>
        <r>
          <rPr>
            <sz val="10"/>
            <color indexed="81"/>
            <rFont val="Lucida Console"/>
            <family val="3"/>
          </rPr>
          <t>_x000D_
FIOS E CABOS ELETRICOS</t>
        </r>
      </text>
    </comment>
    <comment ref="AW737" authorId="0" shapeId="0" xr:uid="{926770B4-CBC6-47B3-A2CA-91AFAB58EFBB}">
      <text>
        <r>
          <rPr>
            <sz val="10"/>
            <color indexed="81"/>
            <rFont val="Lucida Console"/>
            <family val="3"/>
          </rPr>
          <t>Tempo de Estoque (Meses)_x000D_
_x000D_
970,5</t>
        </r>
      </text>
    </comment>
    <comment ref="A738" authorId="0" shapeId="0" xr:uid="{A2FF948C-BCDF-406F-9946-403018AD0408}">
      <text>
        <r>
          <rPr>
            <sz val="10"/>
            <color indexed="81"/>
            <rFont val="Lucida Console"/>
            <family val="3"/>
          </rPr>
          <t>_x000D_
140125</t>
        </r>
      </text>
    </comment>
    <comment ref="B738" authorId="0" shapeId="0" xr:uid="{1DA4D474-4877-4E4F-B39E-536800E29DF6}">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38" authorId="0" shapeId="0" xr:uid="{64C679E2-D926-4D8D-B939-55C00A7FBF02}">
      <text>
        <r>
          <rPr>
            <sz val="10"/>
            <color indexed="81"/>
            <rFont val="Lucida Console"/>
            <family val="3"/>
          </rPr>
          <t>_x000D_
DM-Elétrica</t>
        </r>
      </text>
    </comment>
    <comment ref="X738" authorId="0" shapeId="0" xr:uid="{AF248A56-B60D-4901-8591-ED7E8C267DF7}">
      <text>
        <r>
          <rPr>
            <sz val="10"/>
            <color indexed="81"/>
            <rFont val="Lucida Console"/>
            <family val="3"/>
          </rPr>
          <t>_x000D_
EQUIP. MAT. P/ GERACAO, TRANSM. DISTR. RETIF...</t>
        </r>
      </text>
    </comment>
    <comment ref="Y738" authorId="0" shapeId="0" xr:uid="{C68E60F6-5325-470B-B1F0-B6360F75B207}">
      <text>
        <r>
          <rPr>
            <sz val="10"/>
            <color indexed="81"/>
            <rFont val="Lucida Console"/>
            <family val="3"/>
          </rPr>
          <t>_x000D_
FIOS E CABOS ELETRICOS</t>
        </r>
      </text>
    </comment>
    <comment ref="AW738" authorId="0" shapeId="0" xr:uid="{0669BDED-21F9-4FB2-9E2B-6089C52BFCA9}">
      <text>
        <r>
          <rPr>
            <sz val="10"/>
            <color indexed="81"/>
            <rFont val="Lucida Console"/>
            <family val="3"/>
          </rPr>
          <t>Tempo de Estoque (Meses)_x000D_
_x000D_
550,0</t>
        </r>
      </text>
    </comment>
    <comment ref="A739" authorId="0" shapeId="0" xr:uid="{2CBFCA9D-F125-488F-9830-6B4BF0427B50}">
      <text>
        <r>
          <rPr>
            <sz val="10"/>
            <color indexed="81"/>
            <rFont val="Lucida Console"/>
            <family val="3"/>
          </rPr>
          <t>_x000D_
140126</t>
        </r>
      </text>
    </comment>
    <comment ref="B739" authorId="0" shapeId="0" xr:uid="{BF6125A0-F129-459D-903E-86302BBFBE3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39" authorId="0" shapeId="0" xr:uid="{79C0C7AC-CE6F-4B5D-BE1B-A5EA6F75AB37}">
      <text>
        <r>
          <rPr>
            <sz val="10"/>
            <color indexed="81"/>
            <rFont val="Lucida Console"/>
            <family val="3"/>
          </rPr>
          <t>_x000D_
DM-Elétrica</t>
        </r>
      </text>
    </comment>
    <comment ref="X739" authorId="0" shapeId="0" xr:uid="{93342D80-2F34-42CD-88FA-991453D68E51}">
      <text>
        <r>
          <rPr>
            <sz val="10"/>
            <color indexed="81"/>
            <rFont val="Lucida Console"/>
            <family val="3"/>
          </rPr>
          <t>_x000D_
EQUIP. MAT. P/ GERACAO, TRANSM. DISTR. RETIF...</t>
        </r>
      </text>
    </comment>
    <comment ref="Y739" authorId="0" shapeId="0" xr:uid="{EC92ABD4-C71D-48D5-ADCE-2927E36425BB}">
      <text>
        <r>
          <rPr>
            <sz val="10"/>
            <color indexed="81"/>
            <rFont val="Lucida Console"/>
            <family val="3"/>
          </rPr>
          <t>_x000D_
FIOS E CABOS ELETRICOS</t>
        </r>
      </text>
    </comment>
    <comment ref="AW739" authorId="0" shapeId="0" xr:uid="{FA2B8E78-F67F-401E-A8B7-A57D4C7A2181}">
      <text>
        <r>
          <rPr>
            <sz val="10"/>
            <color indexed="81"/>
            <rFont val="Lucida Console"/>
            <family val="3"/>
          </rPr>
          <t>Tempo de Estoque (Meses)_x000D_
_x000D_
891,0</t>
        </r>
      </text>
    </comment>
    <comment ref="A740" authorId="0" shapeId="0" xr:uid="{AED8F6F5-2610-408F-AD76-85E9975EE99F}">
      <text>
        <r>
          <rPr>
            <sz val="10"/>
            <color indexed="81"/>
            <rFont val="Lucida Console"/>
            <family val="3"/>
          </rPr>
          <t>_x000D_
88731</t>
        </r>
      </text>
    </comment>
    <comment ref="B740" authorId="0" shapeId="0" xr:uid="{1F9850C0-5B2A-4E08-8891-CD6E006D459E}">
      <text>
        <r>
          <rPr>
            <sz val="10"/>
            <color indexed="81"/>
            <rFont val="Lucida Console"/>
            <family val="3"/>
          </rPr>
          <t>DESCRIÇÃO DETALHADA_x000D_
DISJUNTOR NORMA DIN CURVA C PADRAO, TRIPOLAR, 10 AMPERES</t>
        </r>
      </text>
    </comment>
    <comment ref="W740" authorId="0" shapeId="0" xr:uid="{9E917B44-67E7-415D-8546-22819235EAC0}">
      <text>
        <r>
          <rPr>
            <sz val="10"/>
            <color indexed="81"/>
            <rFont val="Lucida Console"/>
            <family val="3"/>
          </rPr>
          <t>_x000D_
DM-Elétrica</t>
        </r>
      </text>
    </comment>
    <comment ref="X740" authorId="0" shapeId="0" xr:uid="{2ED45392-A675-4981-8535-F3130FF7DB7D}">
      <text>
        <r>
          <rPr>
            <sz val="10"/>
            <color indexed="81"/>
            <rFont val="Lucida Console"/>
            <family val="3"/>
          </rPr>
          <t>_x000D_
EQUIP. MAT. P/ GERACAO, TRANSM. DISTR. RETIF...</t>
        </r>
      </text>
    </comment>
    <comment ref="Y740" authorId="0" shapeId="0" xr:uid="{3D906CE7-DCA4-437E-AA7E-D0496090DCF2}">
      <text>
        <r>
          <rPr>
            <sz val="10"/>
            <color indexed="81"/>
            <rFont val="Lucida Console"/>
            <family val="3"/>
          </rPr>
          <t>_x000D_
DISJUNTORES</t>
        </r>
      </text>
    </comment>
    <comment ref="AW740" authorId="0" shapeId="0" xr:uid="{81398213-9B72-4D77-9C0F-21F9204709C8}">
      <text>
        <r>
          <rPr>
            <sz val="10"/>
            <color indexed="81"/>
            <rFont val="Lucida Console"/>
            <family val="3"/>
          </rPr>
          <t>Tempo de Estoque (Meses)_x000D_
_x000D_
40,0</t>
        </r>
      </text>
    </comment>
    <comment ref="A741" authorId="0" shapeId="0" xr:uid="{1CE98618-9078-414F-AFC9-52046D494418}">
      <text>
        <r>
          <rPr>
            <sz val="10"/>
            <color indexed="81"/>
            <rFont val="Lucida Console"/>
            <family val="3"/>
          </rPr>
          <t>_x000D_
93486</t>
        </r>
      </text>
    </comment>
    <comment ref="B741" authorId="0" shapeId="0" xr:uid="{F08D9CC2-67F1-4EA2-81F4-A1BD492CE737}">
      <text>
        <r>
          <rPr>
            <sz val="10"/>
            <color indexed="81"/>
            <rFont val="Lucida Console"/>
            <family val="3"/>
          </rPr>
          <t>DESCRIÇÃO DETALHADA_x000D_
INTERRUPTOR DIFERENCIAL RESIDUAL TETRAPOLAR ELETROMECANICO NORMA IEC 61008 TENSAO MINIMA 240V CORRENTE NOMINAL 40 AMPERES SENSIBILIDADE 30 MA</t>
        </r>
      </text>
    </comment>
    <comment ref="W741" authorId="0" shapeId="0" xr:uid="{C8BAEBA8-C534-4754-9CA3-45DD28134057}">
      <text>
        <r>
          <rPr>
            <sz val="10"/>
            <color indexed="81"/>
            <rFont val="Lucida Console"/>
            <family val="3"/>
          </rPr>
          <t>_x000D_
DM-Elétrica</t>
        </r>
      </text>
    </comment>
    <comment ref="X741" authorId="0" shapeId="0" xr:uid="{649324D9-F253-4511-88C7-F1E28839448D}">
      <text>
        <r>
          <rPr>
            <sz val="10"/>
            <color indexed="81"/>
            <rFont val="Lucida Console"/>
            <family val="3"/>
          </rPr>
          <t>_x000D_
EQUIP. MAT. P/ GERACAO, TRANSM. DISTR. RETIF...</t>
        </r>
      </text>
    </comment>
    <comment ref="Y741" authorId="0" shapeId="0" xr:uid="{3130E038-B7BB-4B0D-8A72-E65FE428626E}">
      <text>
        <r>
          <rPr>
            <sz val="10"/>
            <color indexed="81"/>
            <rFont val="Lucida Console"/>
            <family val="3"/>
          </rPr>
          <t>_x000D_
DISJUNTORES</t>
        </r>
      </text>
    </comment>
    <comment ref="AW741" authorId="0" shapeId="0" xr:uid="{9AF902BE-6649-4B4D-9787-0B0FEF7316CD}">
      <text>
        <r>
          <rPr>
            <sz val="10"/>
            <color indexed="81"/>
            <rFont val="Lucida Console"/>
            <family val="3"/>
          </rPr>
          <t>Tempo de Estoque (Meses)_x000D_
_x000D_
87,0</t>
        </r>
      </text>
    </comment>
    <comment ref="A742" authorId="0" shapeId="0" xr:uid="{EFF536AD-E5B3-4153-958E-8FAF6A51E1D4}">
      <text>
        <r>
          <rPr>
            <sz val="10"/>
            <color indexed="81"/>
            <rFont val="Lucida Console"/>
            <family val="3"/>
          </rPr>
          <t>_x000D_
93487</t>
        </r>
      </text>
    </comment>
    <comment ref="B742" authorId="0" shapeId="0" xr:uid="{FABFFC06-C59E-4468-865B-A79EB8073C8C}">
      <text>
        <r>
          <rPr>
            <sz val="10"/>
            <color indexed="81"/>
            <rFont val="Lucida Console"/>
            <family val="3"/>
          </rPr>
          <t>DESCRIÇÃO DETALHADA_x000D_
INTERRUPTOR DIFERENCIAL RESIDUAL TETRAPOLAR ELETROMECANICO NORMA IEC 61008 TENSAO MINIMA 240V CORRENTE NOMINAL 63 AMPERES SENSIBILIDADE 30 MA</t>
        </r>
      </text>
    </comment>
    <comment ref="W742" authorId="0" shapeId="0" xr:uid="{420EC896-B3A5-4B23-9B41-3C776F910BF5}">
      <text>
        <r>
          <rPr>
            <sz val="10"/>
            <color indexed="81"/>
            <rFont val="Lucida Console"/>
            <family val="3"/>
          </rPr>
          <t>_x000D_
DM-Elétrica</t>
        </r>
      </text>
    </comment>
    <comment ref="X742" authorId="0" shapeId="0" xr:uid="{BD1DF9B5-4371-4355-AC14-282574FF7D46}">
      <text>
        <r>
          <rPr>
            <sz val="10"/>
            <color indexed="81"/>
            <rFont val="Lucida Console"/>
            <family val="3"/>
          </rPr>
          <t>_x000D_
EQUIP. MAT. P/ GERACAO, TRANSM. DISTR. RETIF...</t>
        </r>
      </text>
    </comment>
    <comment ref="Y742" authorId="0" shapeId="0" xr:uid="{9EC8B3CE-A1B2-43E3-9AC6-2E953CD48137}">
      <text>
        <r>
          <rPr>
            <sz val="10"/>
            <color indexed="81"/>
            <rFont val="Lucida Console"/>
            <family val="3"/>
          </rPr>
          <t>_x000D_
DISJUNTORES</t>
        </r>
      </text>
    </comment>
    <comment ref="AW742" authorId="0" shapeId="0" xr:uid="{CAC870CC-3DB2-47EA-BB41-C3F04150A29F}">
      <text>
        <r>
          <rPr>
            <sz val="10"/>
            <color indexed="81"/>
            <rFont val="Lucida Console"/>
            <family val="3"/>
          </rPr>
          <t>Tempo de Estoque (Meses)_x000D_
_x000D_
7,0</t>
        </r>
      </text>
    </comment>
    <comment ref="A743" authorId="0" shapeId="0" xr:uid="{96D00F31-4594-4FBC-9361-133F08BED7D7}">
      <text>
        <r>
          <rPr>
            <sz val="10"/>
            <color indexed="81"/>
            <rFont val="Lucida Console"/>
            <family val="3"/>
          </rPr>
          <t>_x000D_
93488</t>
        </r>
      </text>
    </comment>
    <comment ref="B743" authorId="0" shapeId="0" xr:uid="{5B45F631-EC13-4309-91D5-D64E09AC68F3}">
      <text>
        <r>
          <rPr>
            <sz val="10"/>
            <color indexed="81"/>
            <rFont val="Lucida Console"/>
            <family val="3"/>
          </rPr>
          <t>DESCRIÇÃO DETALHADA_x000D_
INTERRUPTOR DIFERENCIAL RESIDUAL TETRAPOLAR ELETROMECANICO NORMA IEC 61008 TENSAO MINIMA 240V CORRENTE NOMINAL 80 AMPERES SENSIBILIDADE 30 MA</t>
        </r>
      </text>
    </comment>
    <comment ref="W743" authorId="0" shapeId="0" xr:uid="{454071CC-832A-47F5-94F4-A54122B2A8DF}">
      <text>
        <r>
          <rPr>
            <sz val="10"/>
            <color indexed="81"/>
            <rFont val="Lucida Console"/>
            <family val="3"/>
          </rPr>
          <t>_x000D_
DM-Elétrica</t>
        </r>
      </text>
    </comment>
    <comment ref="X743" authorId="0" shapeId="0" xr:uid="{0644334C-EF77-4874-BD2F-82B7A4124D92}">
      <text>
        <r>
          <rPr>
            <sz val="10"/>
            <color indexed="81"/>
            <rFont val="Lucida Console"/>
            <family val="3"/>
          </rPr>
          <t>_x000D_
EQUIP. MAT. P/ GERACAO, TRANSM. DISTR. RETIF...</t>
        </r>
      </text>
    </comment>
    <comment ref="Y743" authorId="0" shapeId="0" xr:uid="{427052AE-C666-4FB7-A7AA-14DF0865F541}">
      <text>
        <r>
          <rPr>
            <sz val="10"/>
            <color indexed="81"/>
            <rFont val="Lucida Console"/>
            <family val="3"/>
          </rPr>
          <t>_x000D_
DISJUNTORES</t>
        </r>
      </text>
    </comment>
    <comment ref="AW743" authorId="0" shapeId="0" xr:uid="{441AD8F1-C9C4-4016-9A27-E33837940EA5}">
      <text>
        <r>
          <rPr>
            <sz val="10"/>
            <color indexed="81"/>
            <rFont val="Lucida Console"/>
            <family val="3"/>
          </rPr>
          <t>Tempo de Estoque (Meses)_x000D_
_x000D_
17,0</t>
        </r>
      </text>
    </comment>
    <comment ref="A744" authorId="0" shapeId="0" xr:uid="{7818B497-9B48-4A7D-B59E-6BB76DF6DB6C}">
      <text>
        <r>
          <rPr>
            <sz val="10"/>
            <color indexed="81"/>
            <rFont val="Lucida Console"/>
            <family val="3"/>
          </rPr>
          <t>_x000D_
102822</t>
        </r>
      </text>
    </comment>
    <comment ref="B744" authorId="0" shapeId="0" xr:uid="{CD55A80A-897A-4A31-9357-2204275A8396}">
      <text>
        <r>
          <rPr>
            <sz val="10"/>
            <color indexed="81"/>
            <rFont val="Lucida Console"/>
            <family val="3"/>
          </rPr>
          <t>DESCRIÇÃO DETALHADA_x000D_
TRILHO PARA DISJUNTOR TIPO DIN</t>
        </r>
      </text>
    </comment>
    <comment ref="W744" authorId="0" shapeId="0" xr:uid="{EA1E3495-B6C6-43D9-836E-4FECBC335517}">
      <text>
        <r>
          <rPr>
            <sz val="10"/>
            <color indexed="81"/>
            <rFont val="Lucida Console"/>
            <family val="3"/>
          </rPr>
          <t>_x000D_
DM-Elétrica</t>
        </r>
      </text>
    </comment>
    <comment ref="X744" authorId="0" shapeId="0" xr:uid="{51F09F73-6055-47F8-AEAE-3013158167E3}">
      <text>
        <r>
          <rPr>
            <sz val="10"/>
            <color indexed="81"/>
            <rFont val="Lucida Console"/>
            <family val="3"/>
          </rPr>
          <t>_x000D_
EQUIP. MAT. P/ GERACAO, TRANSM. DISTR. RETIF...</t>
        </r>
      </text>
    </comment>
    <comment ref="Y744" authorId="0" shapeId="0" xr:uid="{7ADC77CD-CE02-428F-8BA2-AAEDB2FF711D}">
      <text>
        <r>
          <rPr>
            <sz val="10"/>
            <color indexed="81"/>
            <rFont val="Lucida Console"/>
            <family val="3"/>
          </rPr>
          <t>_x000D_
DISJUNTORES</t>
        </r>
      </text>
    </comment>
    <comment ref="AW744" authorId="0" shapeId="0" xr:uid="{78DDACDC-55A2-4F3F-9685-1C0303896DB4}">
      <text>
        <r>
          <rPr>
            <sz val="10"/>
            <color indexed="81"/>
            <rFont val="Lucida Console"/>
            <family val="3"/>
          </rPr>
          <t>Tempo de Estoque (Meses)_x000D_
_x000D_
60,0</t>
        </r>
      </text>
    </comment>
    <comment ref="A745" authorId="0" shapeId="0" xr:uid="{50AF6FE4-A06D-4243-BBAB-6910F0709619}">
      <text>
        <r>
          <rPr>
            <sz val="10"/>
            <color indexed="81"/>
            <rFont val="Lucida Console"/>
            <family val="3"/>
          </rPr>
          <t>_x000D_
37518</t>
        </r>
      </text>
    </comment>
    <comment ref="B745" authorId="0" shapeId="0" xr:uid="{9BE2DBB3-C52E-4EF4-8F41-0CB149A2C92A}">
      <text>
        <r>
          <rPr>
            <sz val="10"/>
            <color indexed="81"/>
            <rFont val="Lucida Console"/>
            <family val="3"/>
          </rPr>
          <t>DESCRIÇÃO DETALHADA_x000D_
ROLDANA PLASTICA P/ FIXACAO DE FIOS ELETRICOS - 30 X 30 - C/ PREGO P / FIXACAO</t>
        </r>
      </text>
    </comment>
    <comment ref="W745" authorId="0" shapeId="0" xr:uid="{906575D9-8B47-4BEF-8575-6255CC07280B}">
      <text>
        <r>
          <rPr>
            <sz val="10"/>
            <color indexed="81"/>
            <rFont val="Lucida Console"/>
            <family val="3"/>
          </rPr>
          <t>_x000D_
DM-Elétrica</t>
        </r>
      </text>
    </comment>
    <comment ref="X745" authorId="0" shapeId="0" xr:uid="{35EDBAC7-14F8-4816-ADAE-7D958C8BBF8B}">
      <text>
        <r>
          <rPr>
            <sz val="10"/>
            <color indexed="81"/>
            <rFont val="Lucida Console"/>
            <family val="3"/>
          </rPr>
          <t>_x000D_
EQUIP. MAT. P/ GERACAO, TRANSM. DISTR. RETIF...</t>
        </r>
      </text>
    </comment>
    <comment ref="Y745" authorId="0" shapeId="0" xr:uid="{17EF5DCC-8868-479A-99F4-0D2F1776C8E6}">
      <text>
        <r>
          <rPr>
            <sz val="10"/>
            <color indexed="81"/>
            <rFont val="Lucida Console"/>
            <family val="3"/>
          </rPr>
          <t>_x000D_
ACESSORIOS</t>
        </r>
      </text>
    </comment>
    <comment ref="AW745" authorId="0" shapeId="0" xr:uid="{2039670B-0291-48EF-96B5-ADB8921484DF}">
      <text>
        <r>
          <rPr>
            <sz val="10"/>
            <color indexed="81"/>
            <rFont val="Lucida Console"/>
            <family val="3"/>
          </rPr>
          <t>Tempo de Estoque (Meses)_x000D_
_x000D_
350,0</t>
        </r>
      </text>
    </comment>
    <comment ref="A746" authorId="0" shapeId="0" xr:uid="{E1557C2D-130A-43CE-8CED-C6D2A5962A1C}">
      <text>
        <r>
          <rPr>
            <sz val="10"/>
            <color indexed="81"/>
            <rFont val="Lucida Console"/>
            <family val="3"/>
          </rPr>
          <t>_x000D_
37519</t>
        </r>
      </text>
    </comment>
    <comment ref="B746" authorId="0" shapeId="0" xr:uid="{5C9EBDB5-0675-40E9-8567-C60AAE4659C0}">
      <text>
        <r>
          <rPr>
            <sz val="10"/>
            <color indexed="81"/>
            <rFont val="Lucida Console"/>
            <family val="3"/>
          </rPr>
          <t>DESCRIÇÃO DETALHADA_x000D_
ROLDANA PLASTICA P/ FIXACAO DE FIOS ELETRICOS - 24 X 24 - C/ PREGO P/ FIXACAO</t>
        </r>
      </text>
    </comment>
    <comment ref="W746" authorId="0" shapeId="0" xr:uid="{DCCFE3E7-9D50-436D-A90F-345E2F8ADB68}">
      <text>
        <r>
          <rPr>
            <sz val="10"/>
            <color indexed="81"/>
            <rFont val="Lucida Console"/>
            <family val="3"/>
          </rPr>
          <t>_x000D_
DM-Elétrica</t>
        </r>
      </text>
    </comment>
    <comment ref="X746" authorId="0" shapeId="0" xr:uid="{CE286503-57E0-4DAE-B9F0-797023C465A6}">
      <text>
        <r>
          <rPr>
            <sz val="10"/>
            <color indexed="81"/>
            <rFont val="Lucida Console"/>
            <family val="3"/>
          </rPr>
          <t>_x000D_
EQUIP. MAT. P/ GERACAO, TRANSM. DISTR. RETIF...</t>
        </r>
      </text>
    </comment>
    <comment ref="Y746" authorId="0" shapeId="0" xr:uid="{CC583034-4446-4698-B7ED-14902AE6101C}">
      <text>
        <r>
          <rPr>
            <sz val="10"/>
            <color indexed="81"/>
            <rFont val="Lucida Console"/>
            <family val="3"/>
          </rPr>
          <t>_x000D_
ACESSORIOS</t>
        </r>
      </text>
    </comment>
    <comment ref="AW746" authorId="0" shapeId="0" xr:uid="{AD80CDA6-B82A-4F3C-A783-8A08972A5B30}">
      <text>
        <r>
          <rPr>
            <sz val="10"/>
            <color indexed="81"/>
            <rFont val="Lucida Console"/>
            <family val="3"/>
          </rPr>
          <t>Tempo de Estoque (Meses)_x000D_
_x000D_
2.345,0</t>
        </r>
      </text>
    </comment>
    <comment ref="A747" authorId="0" shapeId="0" xr:uid="{7403B601-28DB-44B6-B35A-2CED8038B4E9}">
      <text>
        <r>
          <rPr>
            <sz val="10"/>
            <color indexed="81"/>
            <rFont val="Lucida Console"/>
            <family val="3"/>
          </rPr>
          <t>_x000D_
104665</t>
        </r>
      </text>
    </comment>
    <comment ref="B747" authorId="0" shapeId="0" xr:uid="{78F013FC-8A01-4F30-BF51-2916EF1EAC65}">
      <text>
        <r>
          <rPr>
            <sz val="10"/>
            <color indexed="81"/>
            <rFont val="Lucida Console"/>
            <family val="3"/>
          </rPr>
          <t>DESCRIÇÃO DETALHADA_x000D_
KIT BARRAMENTO CONTENDO: BARRAMENTO TRIFASICO DE COBRE CHATO ELETROLITICO 150 A  PARA 44 DISJUNTORES TIPO DIN BARRAS DE TERRA E NEUTRO.</t>
        </r>
      </text>
    </comment>
    <comment ref="W747" authorId="0" shapeId="0" xr:uid="{AA0E2CFB-0461-442F-86F5-E538AE3F4418}">
      <text>
        <r>
          <rPr>
            <sz val="10"/>
            <color indexed="81"/>
            <rFont val="Lucida Console"/>
            <family val="3"/>
          </rPr>
          <t>_x000D_
DM-Elétrica</t>
        </r>
      </text>
    </comment>
    <comment ref="X747" authorId="0" shapeId="0" xr:uid="{B896BC92-078C-4ECB-9A10-83608F466224}">
      <text>
        <r>
          <rPr>
            <sz val="10"/>
            <color indexed="81"/>
            <rFont val="Lucida Console"/>
            <family val="3"/>
          </rPr>
          <t>_x000D_
EQUIP. MAT. P/ GERACAO, TRANSM. DISTR. RETIF...</t>
        </r>
      </text>
    </comment>
    <comment ref="Y747" authorId="0" shapeId="0" xr:uid="{4A0ECB02-898D-41B0-81FA-78B3923BC474}">
      <text>
        <r>
          <rPr>
            <sz val="10"/>
            <color indexed="81"/>
            <rFont val="Lucida Console"/>
            <family val="3"/>
          </rPr>
          <t>_x000D_
ACESSORIOS</t>
        </r>
      </text>
    </comment>
    <comment ref="AW747" authorId="0" shapeId="0" xr:uid="{E4541CB5-5FED-46C8-9B78-075465F7C363}">
      <text>
        <r>
          <rPr>
            <sz val="10"/>
            <color indexed="81"/>
            <rFont val="Lucida Console"/>
            <family val="3"/>
          </rPr>
          <t>Tempo de Estoque (Meses)_x000D_
_x000D_
108,0</t>
        </r>
      </text>
    </comment>
    <comment ref="A748" authorId="0" shapeId="0" xr:uid="{E01C3475-A6A4-4955-B2F6-A4D0563E61F5}">
      <text>
        <r>
          <rPr>
            <sz val="10"/>
            <color indexed="81"/>
            <rFont val="Lucida Console"/>
            <family val="3"/>
          </rPr>
          <t>_x000D_
113238</t>
        </r>
      </text>
    </comment>
    <comment ref="B748" authorId="0" shapeId="0" xr:uid="{BDB99D02-72C2-40AA-BA9B-BDC449158026}">
      <text>
        <r>
          <rPr>
            <sz val="10"/>
            <color indexed="81"/>
            <rFont val="Lucida Console"/>
            <family val="3"/>
          </rPr>
          <t>DESCRIÇÃO DETALHADA_x000D_
KIT BARRAMENTO CONTENDO: BARRAMENTO TRIFASICO DE COBRE CHATO ELETROLITICO 225 A  PARA 70 DISJUNTORES TIPO DIN BARRAS DE TERRA E NEUTRO</t>
        </r>
      </text>
    </comment>
    <comment ref="W748" authorId="0" shapeId="0" xr:uid="{25C70320-1C15-4B1D-B171-1771074F9A66}">
      <text>
        <r>
          <rPr>
            <sz val="10"/>
            <color indexed="81"/>
            <rFont val="Lucida Console"/>
            <family val="3"/>
          </rPr>
          <t>_x000D_
DM-Elétrica</t>
        </r>
      </text>
    </comment>
    <comment ref="X748" authorId="0" shapeId="0" xr:uid="{7D3E5AC4-C1B1-497F-8900-AB649B5A260E}">
      <text>
        <r>
          <rPr>
            <sz val="10"/>
            <color indexed="81"/>
            <rFont val="Lucida Console"/>
            <family val="3"/>
          </rPr>
          <t>_x000D_
EQUIP. MAT. P/ GERACAO, TRANSM. DISTR. RETIF...</t>
        </r>
      </text>
    </comment>
    <comment ref="Y748" authorId="0" shapeId="0" xr:uid="{736DD866-34D8-4C57-BADF-C28F0672C92F}">
      <text>
        <r>
          <rPr>
            <sz val="10"/>
            <color indexed="81"/>
            <rFont val="Lucida Console"/>
            <family val="3"/>
          </rPr>
          <t>_x000D_
ACESSORIOS</t>
        </r>
      </text>
    </comment>
    <comment ref="AW748" authorId="0" shapeId="0" xr:uid="{6BFAA522-5ED7-4A1F-9D18-017F56FA06DB}">
      <text>
        <r>
          <rPr>
            <sz val="10"/>
            <color indexed="81"/>
            <rFont val="Lucida Console"/>
            <family val="3"/>
          </rPr>
          <t>Tempo de Estoque (Meses)_x000D_
_x000D_
49,0</t>
        </r>
      </text>
    </comment>
    <comment ref="A749" authorId="0" shapeId="0" xr:uid="{C3E9FA14-651A-4B6E-9164-9CB63DD51D2E}">
      <text>
        <r>
          <rPr>
            <sz val="10"/>
            <color indexed="81"/>
            <rFont val="Lucida Console"/>
            <family val="3"/>
          </rPr>
          <t>_x000D_
108398</t>
        </r>
      </text>
    </comment>
    <comment ref="B749" authorId="0" shapeId="0" xr:uid="{0540E548-1D73-4F95-9355-C7C3CEE170AD}">
      <text>
        <r>
          <rPr>
            <sz val="10"/>
            <color indexed="81"/>
            <rFont val="Lucida Console"/>
            <family val="3"/>
          </rPr>
          <t>DESCRIÇÃO DETALHADA_x000D_
QUADRO DE DISTRIBUICAO DE EMBUTIR PARA 56 DISJUNTORES TIPO DIN COM  KIT BARRAMENTO TRIFASICO 225 A BARRA DE TERRA E NEUTRO.</t>
        </r>
      </text>
    </comment>
    <comment ref="W749" authorId="0" shapeId="0" xr:uid="{B20F2AE4-D603-4D46-AB99-1B342EE9F0B9}">
      <text>
        <r>
          <rPr>
            <sz val="10"/>
            <color indexed="81"/>
            <rFont val="Lucida Console"/>
            <family val="3"/>
          </rPr>
          <t>_x000D_
DM-Elétrica</t>
        </r>
      </text>
    </comment>
    <comment ref="X749" authorId="0" shapeId="0" xr:uid="{15511A59-B5F4-47CC-BB67-4F374A323F33}">
      <text>
        <r>
          <rPr>
            <sz val="10"/>
            <color indexed="81"/>
            <rFont val="Lucida Console"/>
            <family val="3"/>
          </rPr>
          <t>_x000D_
EQUIP. MAT. P/ GERACAO, TRANSM. DISTR. RETIF...</t>
        </r>
      </text>
    </comment>
    <comment ref="Y749" authorId="0" shapeId="0" xr:uid="{CAA5AB1A-AC64-4826-B95E-90E1BA23507B}">
      <text>
        <r>
          <rPr>
            <sz val="10"/>
            <color indexed="81"/>
            <rFont val="Lucida Console"/>
            <family val="3"/>
          </rPr>
          <t>_x000D_
QUADROS</t>
        </r>
      </text>
    </comment>
    <comment ref="AW749" authorId="0" shapeId="0" xr:uid="{CCD22CB1-E4CD-46BE-8552-984059AAC9FE}">
      <text>
        <r>
          <rPr>
            <sz val="10"/>
            <color indexed="81"/>
            <rFont val="Lucida Console"/>
            <family val="3"/>
          </rPr>
          <t>Tempo de Estoque (Meses)_x000D_
_x000D_
25,0</t>
        </r>
      </text>
    </comment>
    <comment ref="A750" authorId="0" shapeId="0" xr:uid="{5CF12186-81C8-4B11-9029-621B1748FF05}">
      <text>
        <r>
          <rPr>
            <sz val="10"/>
            <color indexed="81"/>
            <rFont val="Lucida Console"/>
            <family val="3"/>
          </rPr>
          <t>_x000D_
111841</t>
        </r>
      </text>
    </comment>
    <comment ref="B750" authorId="0" shapeId="0" xr:uid="{E9BE2C3C-6B2F-48C5-9139-AA9C7C3757C7}">
      <text>
        <r>
          <rPr>
            <sz val="10"/>
            <color indexed="81"/>
            <rFont val="Lucida Console"/>
            <family val="3"/>
          </rPr>
          <t>DESCRIÇÃO DETALHADA_x000D_
QUADRO DE DISTRIBUICAO DE SOBREPOR TRIFASICO 225 AMPERES PARA 70 DISJUNTORES TIPO DIN</t>
        </r>
      </text>
    </comment>
    <comment ref="W750" authorId="0" shapeId="0" xr:uid="{BA721D4D-8D51-43AA-890E-80016089B098}">
      <text>
        <r>
          <rPr>
            <sz val="10"/>
            <color indexed="81"/>
            <rFont val="Lucida Console"/>
            <family val="3"/>
          </rPr>
          <t>_x000D_
DM-Elétrica</t>
        </r>
      </text>
    </comment>
    <comment ref="X750" authorId="0" shapeId="0" xr:uid="{FD9D5152-6729-4469-9438-AC271DFE6B1A}">
      <text>
        <r>
          <rPr>
            <sz val="10"/>
            <color indexed="81"/>
            <rFont val="Lucida Console"/>
            <family val="3"/>
          </rPr>
          <t>_x000D_
EQUIP. MAT. P/ GERACAO, TRANSM. DISTR. RETIF...</t>
        </r>
      </text>
    </comment>
    <comment ref="Y750" authorId="0" shapeId="0" xr:uid="{9475ABB7-5587-4007-90F2-DE605E9D0BB2}">
      <text>
        <r>
          <rPr>
            <sz val="10"/>
            <color indexed="81"/>
            <rFont val="Lucida Console"/>
            <family val="3"/>
          </rPr>
          <t>_x000D_
QUADROS</t>
        </r>
      </text>
    </comment>
    <comment ref="AW750" authorId="0" shapeId="0" xr:uid="{6016088D-6829-42B9-ADFB-2304C09C71F9}">
      <text>
        <r>
          <rPr>
            <sz val="10"/>
            <color indexed="81"/>
            <rFont val="Lucida Console"/>
            <family val="3"/>
          </rPr>
          <t>Tempo de Estoque (Meses)_x000D_
_x000D_
21,0</t>
        </r>
      </text>
    </comment>
    <comment ref="A751" authorId="0" shapeId="0" xr:uid="{579DCC7B-A4DA-4A9A-980E-CED3D52D1C58}">
      <text>
        <r>
          <rPr>
            <sz val="10"/>
            <color indexed="81"/>
            <rFont val="Lucida Console"/>
            <family val="3"/>
          </rPr>
          <t>_x000D_
114773</t>
        </r>
      </text>
    </comment>
    <comment ref="B751" authorId="0" shapeId="0" xr:uid="{2B86E484-7188-426A-8902-C59555B085A9}">
      <text>
        <r>
          <rPr>
            <sz val="10"/>
            <color indexed="81"/>
            <rFont val="Lucida Console"/>
            <family val="3"/>
          </rPr>
          <t>DESCRIÇÃO DETALHADA_x000D_
QUADRO DE DISTRIBUICAO PARA 36 DISJUNTORES TIPO DIN DE PVC, DE EMBUTIR</t>
        </r>
      </text>
    </comment>
    <comment ref="W751" authorId="0" shapeId="0" xr:uid="{0AD817F3-1399-4B68-B75F-3F2D9C92E074}">
      <text>
        <r>
          <rPr>
            <sz val="10"/>
            <color indexed="81"/>
            <rFont val="Lucida Console"/>
            <family val="3"/>
          </rPr>
          <t>_x000D_
DM-Elétrica</t>
        </r>
      </text>
    </comment>
    <comment ref="X751" authorId="0" shapeId="0" xr:uid="{0FF949EB-73FC-4237-9E47-403C19F91BE8}">
      <text>
        <r>
          <rPr>
            <sz val="10"/>
            <color indexed="81"/>
            <rFont val="Lucida Console"/>
            <family val="3"/>
          </rPr>
          <t>_x000D_
EQUIP. MAT. P/ GERACAO, TRANSM. DISTR. RETIF...</t>
        </r>
      </text>
    </comment>
    <comment ref="Y751" authorId="0" shapeId="0" xr:uid="{C6728869-A22B-4886-B199-6C9319481398}">
      <text>
        <r>
          <rPr>
            <sz val="10"/>
            <color indexed="81"/>
            <rFont val="Lucida Console"/>
            <family val="3"/>
          </rPr>
          <t>_x000D_
QUADROS</t>
        </r>
      </text>
    </comment>
    <comment ref="AW751" authorId="0" shapeId="0" xr:uid="{3D3EDF77-733F-4C4A-8B42-9C03863B1216}">
      <text>
        <r>
          <rPr>
            <sz val="10"/>
            <color indexed="81"/>
            <rFont val="Lucida Console"/>
            <family val="3"/>
          </rPr>
          <t>Tempo de Estoque (Meses)_x000D_
_x000D_
22,0</t>
        </r>
      </text>
    </comment>
    <comment ref="A752" authorId="0" shapeId="0" xr:uid="{ED5BE44F-D939-4EE9-995B-BD65410615DF}">
      <text>
        <r>
          <rPr>
            <sz val="10"/>
            <color indexed="81"/>
            <rFont val="Lucida Console"/>
            <family val="3"/>
          </rPr>
          <t>_x000D_
114771</t>
        </r>
      </text>
    </comment>
    <comment ref="B752" authorId="0" shapeId="0" xr:uid="{C808C804-61EB-4A85-8C3E-7FE19FE137F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52" authorId="0" shapeId="0" xr:uid="{91DBA62C-DEBD-4301-AB81-4A6206FD47EC}">
      <text>
        <r>
          <rPr>
            <sz val="10"/>
            <color indexed="81"/>
            <rFont val="Lucida Console"/>
            <family val="3"/>
          </rPr>
          <t>_x000D_
DM-Elétrica</t>
        </r>
      </text>
    </comment>
    <comment ref="X752" authorId="0" shapeId="0" xr:uid="{4EC2D343-532E-43B5-8C14-10B668B86B8D}">
      <text>
        <r>
          <rPr>
            <sz val="10"/>
            <color indexed="81"/>
            <rFont val="Lucida Console"/>
            <family val="3"/>
          </rPr>
          <t>_x000D_
EQUIP. MAT. P/ GERACAO, TRANSM. DISTR. RETIF...</t>
        </r>
      </text>
    </comment>
    <comment ref="Y752" authorId="0" shapeId="0" xr:uid="{594F6516-424B-469E-88E9-2B6F9CC1C3E5}">
      <text>
        <r>
          <rPr>
            <sz val="10"/>
            <color indexed="81"/>
            <rFont val="Lucida Console"/>
            <family val="3"/>
          </rPr>
          <t>_x000D_
CAIXAS</t>
        </r>
      </text>
    </comment>
    <comment ref="AW752" authorId="0" shapeId="0" xr:uid="{146BAC08-8D91-4E8F-BB61-D57062B4A70E}">
      <text>
        <r>
          <rPr>
            <sz val="10"/>
            <color indexed="81"/>
            <rFont val="Lucida Console"/>
            <family val="3"/>
          </rPr>
          <t>Tempo de Estoque (Meses)_x000D_
_x000D_
105,0</t>
        </r>
      </text>
    </comment>
    <comment ref="A753" authorId="0" shapeId="0" xr:uid="{4BFEBA36-D6F2-484F-8CCD-23AFA40C83EC}">
      <text>
        <r>
          <rPr>
            <sz val="10"/>
            <color indexed="81"/>
            <rFont val="Lucida Console"/>
            <family val="3"/>
          </rPr>
          <t>_x000D_
117734</t>
        </r>
      </text>
    </comment>
    <comment ref="B753" authorId="0" shapeId="0" xr:uid="{72C023B6-EB55-45C5-9C45-177BD145D317}">
      <text>
        <r>
          <rPr>
            <sz val="10"/>
            <color indexed="81"/>
            <rFont val="Lucida Console"/>
            <family val="3"/>
          </rPr>
          <t>DESCRIÇÃO DETALHADA_x000D_
CAIXA PLASTICA DE SOBREPOR COM TAMPA - MEDIDAS: 23 X 17 X 9 CM</t>
        </r>
      </text>
    </comment>
    <comment ref="W753" authorId="0" shapeId="0" xr:uid="{82D80BF5-E61C-40BE-A45D-2F623C118098}">
      <text>
        <r>
          <rPr>
            <sz val="10"/>
            <color indexed="81"/>
            <rFont val="Lucida Console"/>
            <family val="3"/>
          </rPr>
          <t>_x000D_
DM-Elétrica</t>
        </r>
      </text>
    </comment>
    <comment ref="X753" authorId="0" shapeId="0" xr:uid="{351A58F6-BFFB-4213-8D17-7EF82C4310EC}">
      <text>
        <r>
          <rPr>
            <sz val="10"/>
            <color indexed="81"/>
            <rFont val="Lucida Console"/>
            <family val="3"/>
          </rPr>
          <t>_x000D_
EQUIP. MAT. P/ GERACAO, TRANSM. DISTR. RETIF...</t>
        </r>
      </text>
    </comment>
    <comment ref="Y753" authorId="0" shapeId="0" xr:uid="{F4B0F033-8E7D-4F7B-8DAD-8E956D8FB522}">
      <text>
        <r>
          <rPr>
            <sz val="10"/>
            <color indexed="81"/>
            <rFont val="Lucida Console"/>
            <family val="3"/>
          </rPr>
          <t>_x000D_
CAIXAS</t>
        </r>
      </text>
    </comment>
    <comment ref="AW753" authorId="0" shapeId="0" xr:uid="{5044D274-31B4-4A17-8C43-63721DE91164}">
      <text>
        <r>
          <rPr>
            <sz val="10"/>
            <color indexed="81"/>
            <rFont val="Lucida Console"/>
            <family val="3"/>
          </rPr>
          <t>Tempo de Estoque (Meses)_x000D_
_x000D_
114,0</t>
        </r>
      </text>
    </comment>
    <comment ref="A754" authorId="0" shapeId="0" xr:uid="{F2D5E68F-9C4F-4A71-B155-27ED36235481}">
      <text>
        <r>
          <rPr>
            <sz val="10"/>
            <color indexed="81"/>
            <rFont val="Lucida Console"/>
            <family val="3"/>
          </rPr>
          <t>_x000D_
13009</t>
        </r>
      </text>
    </comment>
    <comment ref="B754" authorId="0" shapeId="0" xr:uid="{1DF6F970-8E06-48EA-9716-97AE354F6585}">
      <text>
        <r>
          <rPr>
            <sz val="10"/>
            <color indexed="81"/>
            <rFont val="Lucida Console"/>
            <family val="3"/>
          </rPr>
          <t>DESCRIÇÃO DETALHADA_x000D_
ELETRODUTO FLEXIVEL CORRUGADO DE 3/4" - COR AMARELA</t>
        </r>
      </text>
    </comment>
    <comment ref="W754" authorId="0" shapeId="0" xr:uid="{74A5841D-64FE-4714-B7FF-CB6F2B35531A}">
      <text>
        <r>
          <rPr>
            <sz val="10"/>
            <color indexed="81"/>
            <rFont val="Lucida Console"/>
            <family val="3"/>
          </rPr>
          <t>_x000D_
DM-Elétrica</t>
        </r>
      </text>
    </comment>
    <comment ref="X754" authorId="0" shapeId="0" xr:uid="{1AEE04CD-7B33-4F5A-A886-FDD553D574D6}">
      <text>
        <r>
          <rPr>
            <sz val="10"/>
            <color indexed="81"/>
            <rFont val="Lucida Console"/>
            <family val="3"/>
          </rPr>
          <t>_x000D_
EQUIP. MAT. P/ GERACAO, TRANSM. DISTR. RETIF...</t>
        </r>
      </text>
    </comment>
    <comment ref="Y754" authorId="0" shapeId="0" xr:uid="{C81B50E0-9AB4-4419-809C-413D43A17584}">
      <text>
        <r>
          <rPr>
            <sz val="10"/>
            <color indexed="81"/>
            <rFont val="Lucida Console"/>
            <family val="3"/>
          </rPr>
          <t>_x000D_
ELETRODUTOS E ACESSORIOS</t>
        </r>
      </text>
    </comment>
    <comment ref="AW754" authorId="0" shapeId="0" xr:uid="{36B660C2-6CF1-4F7E-A733-898D0024E352}">
      <text>
        <r>
          <rPr>
            <sz val="10"/>
            <color indexed="81"/>
            <rFont val="Lucida Console"/>
            <family val="3"/>
          </rPr>
          <t>Tempo de Estoque (Meses)_x000D_
_x000D_
606,0</t>
        </r>
      </text>
    </comment>
    <comment ref="A755" authorId="0" shapeId="0" xr:uid="{3F1F7E2A-B514-46E4-BF84-0E26184C2C81}">
      <text>
        <r>
          <rPr>
            <sz val="10"/>
            <color indexed="81"/>
            <rFont val="Lucida Console"/>
            <family val="3"/>
          </rPr>
          <t>_x000D_
31580</t>
        </r>
      </text>
    </comment>
    <comment ref="B755" authorId="0" shapeId="0" xr:uid="{7C935BD8-0E12-478B-963A-AAC490D74020}">
      <text>
        <r>
          <rPr>
            <sz val="10"/>
            <color indexed="81"/>
            <rFont val="Lucida Console"/>
            <family val="3"/>
          </rPr>
          <t>DESCRIÇÃO DETALHADA_x000D_
LUVA EM ACO CARBONO GALVANIZADO P/ ELETRODUTO 2" - ROSQUEAVEL</t>
        </r>
      </text>
    </comment>
    <comment ref="W755" authorId="0" shapeId="0" xr:uid="{09EA5079-27E1-4DA5-98A3-1A394AA6D52A}">
      <text>
        <r>
          <rPr>
            <sz val="10"/>
            <color indexed="81"/>
            <rFont val="Lucida Console"/>
            <family val="3"/>
          </rPr>
          <t>_x000D_
DM-Elétrica</t>
        </r>
      </text>
    </comment>
    <comment ref="X755" authorId="0" shapeId="0" xr:uid="{9A281CA9-D7FD-4558-8DA3-B1D4B272C3FA}">
      <text>
        <r>
          <rPr>
            <sz val="10"/>
            <color indexed="81"/>
            <rFont val="Lucida Console"/>
            <family val="3"/>
          </rPr>
          <t>_x000D_
EQUIP. MAT. P/ GERACAO, TRANSM. DISTR. RETIF...</t>
        </r>
      </text>
    </comment>
    <comment ref="Y755" authorId="0" shapeId="0" xr:uid="{1179BE72-8AE8-4805-A390-6D7FE28C0383}">
      <text>
        <r>
          <rPr>
            <sz val="10"/>
            <color indexed="81"/>
            <rFont val="Lucida Console"/>
            <family val="3"/>
          </rPr>
          <t>_x000D_
ELETRODUTOS E ACESSORIOS</t>
        </r>
      </text>
    </comment>
    <comment ref="AW755" authorId="0" shapeId="0" xr:uid="{C3A6CBF4-CA5C-4225-85E8-09BFA454A514}">
      <text>
        <r>
          <rPr>
            <sz val="10"/>
            <color indexed="81"/>
            <rFont val="Lucida Console"/>
            <family val="3"/>
          </rPr>
          <t>Tempo de Estoque (Meses)_x000D_
_x000D_
88,0</t>
        </r>
      </text>
    </comment>
    <comment ref="A756" authorId="0" shapeId="0" xr:uid="{4202E83D-87A5-4128-A920-824A7D144401}">
      <text>
        <r>
          <rPr>
            <sz val="10"/>
            <color indexed="81"/>
            <rFont val="Lucida Console"/>
            <family val="3"/>
          </rPr>
          <t>_x000D_
54017</t>
        </r>
      </text>
    </comment>
    <comment ref="B756" authorId="0" shapeId="0" xr:uid="{49323238-8797-4EA9-BF8A-A4025F7B3B20}">
      <text>
        <r>
          <rPr>
            <sz val="10"/>
            <color indexed="81"/>
            <rFont val="Lucida Console"/>
            <family val="3"/>
          </rPr>
          <t>DESCRIÇÃO DETALHADA_x000D_
JUNCAO INTERNA "T" 38 X 38 MM</t>
        </r>
      </text>
    </comment>
    <comment ref="W756" authorId="0" shapeId="0" xr:uid="{2D8F7064-0082-440A-9BB4-4151B27AD5B4}">
      <text>
        <r>
          <rPr>
            <sz val="10"/>
            <color indexed="81"/>
            <rFont val="Lucida Console"/>
            <family val="3"/>
          </rPr>
          <t>_x000D_
DM-Elétrica</t>
        </r>
      </text>
    </comment>
    <comment ref="X756" authorId="0" shapeId="0" xr:uid="{2138DDA7-5466-47B1-8C4F-5469E6787377}">
      <text>
        <r>
          <rPr>
            <sz val="10"/>
            <color indexed="81"/>
            <rFont val="Lucida Console"/>
            <family val="3"/>
          </rPr>
          <t>_x000D_
EQUIP. MAT. P/ GERACAO, TRANSM. DISTR. RETIF...</t>
        </r>
      </text>
    </comment>
    <comment ref="Y756" authorId="0" shapeId="0" xr:uid="{01B7292E-C418-4CEA-A250-7B1DAEBDCBEC}">
      <text>
        <r>
          <rPr>
            <sz val="10"/>
            <color indexed="81"/>
            <rFont val="Lucida Console"/>
            <family val="3"/>
          </rPr>
          <t>_x000D_
ELETRODUTOS E ACESSORIOS</t>
        </r>
      </text>
    </comment>
    <comment ref="AW756" authorId="0" shapeId="0" xr:uid="{E8F356FC-8189-4F0A-96D7-31F261F90668}">
      <text>
        <r>
          <rPr>
            <sz val="10"/>
            <color indexed="81"/>
            <rFont val="Lucida Console"/>
            <family val="3"/>
          </rPr>
          <t>Tempo de Estoque (Meses)_x000D_
_x000D_
60,0</t>
        </r>
      </text>
    </comment>
    <comment ref="A757" authorId="0" shapeId="0" xr:uid="{BE79DFEB-91C7-4604-A26D-BE24A039A5D8}">
      <text>
        <r>
          <rPr>
            <sz val="10"/>
            <color indexed="81"/>
            <rFont val="Lucida Console"/>
            <family val="3"/>
          </rPr>
          <t>_x000D_
54018</t>
        </r>
      </text>
    </comment>
    <comment ref="B757" authorId="0" shapeId="0" xr:uid="{BE770CC4-E2D7-4CEE-B77F-6F87894AC0B4}">
      <text>
        <r>
          <rPr>
            <sz val="10"/>
            <color indexed="81"/>
            <rFont val="Lucida Console"/>
            <family val="3"/>
          </rPr>
          <t>DESCRIÇÃO DETALHADA_x000D_
JUNCAO INTERNA "L"  38 X 38 MM</t>
        </r>
      </text>
    </comment>
    <comment ref="W757" authorId="0" shapeId="0" xr:uid="{73B7CA49-27FD-40BE-B145-A61D41C602EC}">
      <text>
        <r>
          <rPr>
            <sz val="10"/>
            <color indexed="81"/>
            <rFont val="Lucida Console"/>
            <family val="3"/>
          </rPr>
          <t>_x000D_
DM-Elétrica</t>
        </r>
      </text>
    </comment>
    <comment ref="X757" authorId="0" shapeId="0" xr:uid="{F6B77431-C441-4548-944E-0DC9BB199D15}">
      <text>
        <r>
          <rPr>
            <sz val="10"/>
            <color indexed="81"/>
            <rFont val="Lucida Console"/>
            <family val="3"/>
          </rPr>
          <t>_x000D_
EQUIP. MAT. P/ GERACAO, TRANSM. DISTR. RETIF...</t>
        </r>
      </text>
    </comment>
    <comment ref="Y757" authorId="0" shapeId="0" xr:uid="{8C000261-2FDB-4F88-8302-F6C513E32C9C}">
      <text>
        <r>
          <rPr>
            <sz val="10"/>
            <color indexed="81"/>
            <rFont val="Lucida Console"/>
            <family val="3"/>
          </rPr>
          <t>_x000D_
ELETRODUTOS E ACESSORIOS</t>
        </r>
      </text>
    </comment>
    <comment ref="AW757" authorId="0" shapeId="0" xr:uid="{F5F1D569-0C45-4EBA-8110-E0CA33DC570D}">
      <text>
        <r>
          <rPr>
            <sz val="10"/>
            <color indexed="81"/>
            <rFont val="Lucida Console"/>
            <family val="3"/>
          </rPr>
          <t>Tempo de Estoque (Meses)_x000D_
_x000D_
480,0</t>
        </r>
      </text>
    </comment>
    <comment ref="A758" authorId="0" shapeId="0" xr:uid="{F8D50DA4-EC58-4111-A80C-8E1E8BF6BA98}">
      <text>
        <r>
          <rPr>
            <sz val="10"/>
            <color indexed="81"/>
            <rFont val="Lucida Console"/>
            <family val="3"/>
          </rPr>
          <t>_x000D_
54026</t>
        </r>
      </text>
    </comment>
    <comment ref="B758" authorId="0" shapeId="0" xr:uid="{FF2B1389-3F66-49C1-B6F2-FBC9CEC73820}">
      <text>
        <r>
          <rPr>
            <sz val="10"/>
            <color indexed="81"/>
            <rFont val="Lucida Console"/>
            <family val="3"/>
          </rPr>
          <t>DESCRIÇÃO DETALHADA_x000D_
VERGALHAO ROSQUEADO DE 1/4" X 3 METROS</t>
        </r>
      </text>
    </comment>
    <comment ref="W758" authorId="0" shapeId="0" xr:uid="{03CF31A2-73A9-480B-A724-FC2A6F1A3840}">
      <text>
        <r>
          <rPr>
            <sz val="10"/>
            <color indexed="81"/>
            <rFont val="Lucida Console"/>
            <family val="3"/>
          </rPr>
          <t>_x000D_
DM-Elétrica</t>
        </r>
      </text>
    </comment>
    <comment ref="X758" authorId="0" shapeId="0" xr:uid="{E7DEE8B4-BF0D-46BE-8416-4BCAB4D49CD8}">
      <text>
        <r>
          <rPr>
            <sz val="10"/>
            <color indexed="81"/>
            <rFont val="Lucida Console"/>
            <family val="3"/>
          </rPr>
          <t>_x000D_
EQUIP. MAT. P/ GERACAO, TRANSM. DISTR. RETIF...</t>
        </r>
      </text>
    </comment>
    <comment ref="Y758" authorId="0" shapeId="0" xr:uid="{92ADC1EA-3883-4D2B-A045-AD622603FADE}">
      <text>
        <r>
          <rPr>
            <sz val="10"/>
            <color indexed="81"/>
            <rFont val="Lucida Console"/>
            <family val="3"/>
          </rPr>
          <t>_x000D_
ELETRODUTOS E ACESSORIOS</t>
        </r>
      </text>
    </comment>
    <comment ref="AW758" authorId="0" shapeId="0" xr:uid="{7626222B-97E6-49D9-919B-A0B3F4AC3E59}">
      <text>
        <r>
          <rPr>
            <sz val="10"/>
            <color indexed="81"/>
            <rFont val="Lucida Console"/>
            <family val="3"/>
          </rPr>
          <t>Tempo de Estoque (Meses)_x000D_
_x000D_
125,0</t>
        </r>
      </text>
    </comment>
    <comment ref="A759" authorId="0" shapeId="0" xr:uid="{EBE576FD-5B63-4A37-BB7B-4B4C2CA5FBED}">
      <text>
        <r>
          <rPr>
            <sz val="10"/>
            <color indexed="81"/>
            <rFont val="Lucida Console"/>
            <family val="3"/>
          </rPr>
          <t>_x000D_
99788</t>
        </r>
      </text>
    </comment>
    <comment ref="B759" authorId="0" shapeId="0" xr:uid="{7DA86806-0367-4C59-AFC6-8B909A0412E8}">
      <text>
        <r>
          <rPr>
            <sz val="10"/>
            <color indexed="81"/>
            <rFont val="Lucida Console"/>
            <family val="3"/>
          </rPr>
          <t>DESCRIÇÃO DETALHADA_x000D_
BUCHA C/ARRUELA EM ZAMAK P/ELETRODUTO - DIAMETRO 1 1/2"</t>
        </r>
      </text>
    </comment>
    <comment ref="W759" authorId="0" shapeId="0" xr:uid="{E2EE06FC-78BC-4A23-A425-AA7E2BBD2B06}">
      <text>
        <r>
          <rPr>
            <sz val="10"/>
            <color indexed="81"/>
            <rFont val="Lucida Console"/>
            <family val="3"/>
          </rPr>
          <t>_x000D_
DM-Elétrica</t>
        </r>
      </text>
    </comment>
    <comment ref="X759" authorId="0" shapeId="0" xr:uid="{59B0FB86-1FE5-43EB-8483-BD45F77AFC9C}">
      <text>
        <r>
          <rPr>
            <sz val="10"/>
            <color indexed="81"/>
            <rFont val="Lucida Console"/>
            <family val="3"/>
          </rPr>
          <t>_x000D_
EQUIP. MAT. P/ GERACAO, TRANSM. DISTR. RETIF...</t>
        </r>
      </text>
    </comment>
    <comment ref="Y759" authorId="0" shapeId="0" xr:uid="{5E33EF37-EA61-48DD-A20E-7E95D5058687}">
      <text>
        <r>
          <rPr>
            <sz val="10"/>
            <color indexed="81"/>
            <rFont val="Lucida Console"/>
            <family val="3"/>
          </rPr>
          <t>_x000D_
ELETRODUTOS E ACESSORIOS</t>
        </r>
      </text>
    </comment>
    <comment ref="AW759" authorId="0" shapeId="0" xr:uid="{76D07912-AAE6-46D4-A287-FD222994C93E}">
      <text>
        <r>
          <rPr>
            <sz val="10"/>
            <color indexed="81"/>
            <rFont val="Lucida Console"/>
            <family val="3"/>
          </rPr>
          <t>Tempo de Estoque (Meses)_x000D_
_x000D_
150,0</t>
        </r>
      </text>
    </comment>
    <comment ref="A760" authorId="0" shapeId="0" xr:uid="{4B9D74DE-3045-4FB1-9B1A-F347A0F8BD4F}">
      <text>
        <r>
          <rPr>
            <sz val="10"/>
            <color indexed="81"/>
            <rFont val="Lucida Console"/>
            <family val="3"/>
          </rPr>
          <t>_x000D_
102776</t>
        </r>
      </text>
    </comment>
    <comment ref="B760" authorId="0" shapeId="0" xr:uid="{CB0CEE30-996D-417E-B6A1-1FEF269078E1}">
      <text>
        <r>
          <rPr>
            <sz val="10"/>
            <color indexed="81"/>
            <rFont val="Lucida Console"/>
            <family val="3"/>
          </rPr>
          <t>DESCRIÇÃO DETALHADA_x000D_
CURVA LONGA DE ACO P/ELETRODUTO GALVANIZADO A FOGO, 90º - DIAMETRO 2"</t>
        </r>
      </text>
    </comment>
    <comment ref="W760" authorId="0" shapeId="0" xr:uid="{CB96CB77-87F1-4B11-9C76-A3396B306351}">
      <text>
        <r>
          <rPr>
            <sz val="10"/>
            <color indexed="81"/>
            <rFont val="Lucida Console"/>
            <family val="3"/>
          </rPr>
          <t>_x000D_
DM-Elétrica</t>
        </r>
      </text>
    </comment>
    <comment ref="X760" authorId="0" shapeId="0" xr:uid="{3E996788-C865-465B-893C-02AF063B5443}">
      <text>
        <r>
          <rPr>
            <sz val="10"/>
            <color indexed="81"/>
            <rFont val="Lucida Console"/>
            <family val="3"/>
          </rPr>
          <t>_x000D_
EQUIP. MAT. P/ GERACAO, TRANSM. DISTR. RETIF...</t>
        </r>
      </text>
    </comment>
    <comment ref="Y760" authorId="0" shapeId="0" xr:uid="{92FE75F3-FEAF-468A-BFB0-9B02FEE14BBE}">
      <text>
        <r>
          <rPr>
            <sz val="10"/>
            <color indexed="81"/>
            <rFont val="Lucida Console"/>
            <family val="3"/>
          </rPr>
          <t>_x000D_
ELETRODUTOS E ACESSORIOS</t>
        </r>
      </text>
    </comment>
    <comment ref="AW760" authorId="0" shapeId="0" xr:uid="{C77E3A22-29D1-4931-B5E4-BB9825DC51DB}">
      <text>
        <r>
          <rPr>
            <sz val="10"/>
            <color indexed="81"/>
            <rFont val="Lucida Console"/>
            <family val="3"/>
          </rPr>
          <t>Tempo de Estoque (Meses)_x000D_
_x000D_
40,0</t>
        </r>
      </text>
    </comment>
    <comment ref="A761" authorId="0" shapeId="0" xr:uid="{A07AADD1-9338-4850-A759-801DF1E63385}">
      <text>
        <r>
          <rPr>
            <sz val="10"/>
            <color indexed="81"/>
            <rFont val="Lucida Console"/>
            <family val="3"/>
          </rPr>
          <t>_x000D_
106408</t>
        </r>
      </text>
    </comment>
    <comment ref="B761" authorId="0" shapeId="0" xr:uid="{37769D51-F13C-4167-A33B-447AE364A879}">
      <text>
        <r>
          <rPr>
            <sz val="10"/>
            <color indexed="81"/>
            <rFont val="Lucida Console"/>
            <family val="3"/>
          </rPr>
          <t>DESCRIÇÃO DETALHADA_x000D_
CONDULETE EM LIGA DE ALUMINIO FUNDIDO TIPO "MULTIPLO" - Ø 1 1/2" - S/VEDACAO</t>
        </r>
      </text>
    </comment>
    <comment ref="W761" authorId="0" shapeId="0" xr:uid="{809459EA-53B9-4A3B-A818-A5E69092AA1B}">
      <text>
        <r>
          <rPr>
            <sz val="10"/>
            <color indexed="81"/>
            <rFont val="Lucida Console"/>
            <family val="3"/>
          </rPr>
          <t>_x000D_
DM-Elétrica</t>
        </r>
      </text>
    </comment>
    <comment ref="X761" authorId="0" shapeId="0" xr:uid="{A5DADA2C-7FAA-491E-BCB4-816E0C967256}">
      <text>
        <r>
          <rPr>
            <sz val="10"/>
            <color indexed="81"/>
            <rFont val="Lucida Console"/>
            <family val="3"/>
          </rPr>
          <t>_x000D_
EQUIP. MAT. P/ GERACAO, TRANSM. DISTR. RETIF...</t>
        </r>
      </text>
    </comment>
    <comment ref="Y761" authorId="0" shapeId="0" xr:uid="{9183C585-8B32-423D-A7D2-E340720D9FC6}">
      <text>
        <r>
          <rPr>
            <sz val="10"/>
            <color indexed="81"/>
            <rFont val="Lucida Console"/>
            <family val="3"/>
          </rPr>
          <t>_x000D_
ELETRODUTOS E ACESSORIOS</t>
        </r>
      </text>
    </comment>
    <comment ref="AW761" authorId="0" shapeId="0" xr:uid="{B922EE7B-7EF2-4638-ABDB-EAE0330A547E}">
      <text>
        <r>
          <rPr>
            <sz val="10"/>
            <color indexed="81"/>
            <rFont val="Lucida Console"/>
            <family val="3"/>
          </rPr>
          <t>Tempo de Estoque (Meses)_x000D_
_x000D_
104,0</t>
        </r>
      </text>
    </comment>
    <comment ref="A762" authorId="0" shapeId="0" xr:uid="{96442AFE-BA2F-4F04-B433-9D7A34F28242}">
      <text>
        <r>
          <rPr>
            <sz val="10"/>
            <color indexed="81"/>
            <rFont val="Lucida Console"/>
            <family val="3"/>
          </rPr>
          <t>_x000D_
110702</t>
        </r>
      </text>
    </comment>
    <comment ref="B762" authorId="0" shapeId="0" xr:uid="{833541E7-0EE0-44AA-A102-AD18018B3F9E}">
      <text>
        <r>
          <rPr>
            <sz val="10"/>
            <color indexed="81"/>
            <rFont val="Lucida Console"/>
            <family val="3"/>
          </rPr>
          <t>DESCRIÇÃO DETALHADA_x000D_
ELETRODUTO GALVANIZADO A FOGO - LEVE  1"  -  ESPESSURA PAREDE:0,70 MM. DIAMETRO EXTERNO: 31,75 MM.</t>
        </r>
      </text>
    </comment>
    <comment ref="W762" authorId="0" shapeId="0" xr:uid="{0CC71220-0A66-417F-8CA5-416BAE514828}">
      <text>
        <r>
          <rPr>
            <sz val="10"/>
            <color indexed="81"/>
            <rFont val="Lucida Console"/>
            <family val="3"/>
          </rPr>
          <t>_x000D_
DM-Elétrica</t>
        </r>
      </text>
    </comment>
    <comment ref="X762" authorId="0" shapeId="0" xr:uid="{4AEC2BCD-A9CD-4C98-BD0B-11B40C6855A5}">
      <text>
        <r>
          <rPr>
            <sz val="10"/>
            <color indexed="81"/>
            <rFont val="Lucida Console"/>
            <family val="3"/>
          </rPr>
          <t>_x000D_
EQUIP. MAT. P/ GERACAO, TRANSM. DISTR. RETIF...</t>
        </r>
      </text>
    </comment>
    <comment ref="Y762" authorId="0" shapeId="0" xr:uid="{001D9F43-518A-4940-9E0F-E795946073F8}">
      <text>
        <r>
          <rPr>
            <sz val="10"/>
            <color indexed="81"/>
            <rFont val="Lucida Console"/>
            <family val="3"/>
          </rPr>
          <t>_x000D_
ELETRODUTOS E ACESSORIOS</t>
        </r>
      </text>
    </comment>
    <comment ref="AW762" authorId="0" shapeId="0" xr:uid="{AA99A026-3A7B-4065-8401-7A70ED7C4FB0}">
      <text>
        <r>
          <rPr>
            <sz val="10"/>
            <color indexed="81"/>
            <rFont val="Lucida Console"/>
            <family val="3"/>
          </rPr>
          <t>Tempo de Estoque (Meses)_x000D_
_x000D_
186,0</t>
        </r>
      </text>
    </comment>
    <comment ref="A763" authorId="0" shapeId="0" xr:uid="{20A6F9CF-7F4E-46EE-BF2A-C97B5B34C89D}">
      <text>
        <r>
          <rPr>
            <sz val="10"/>
            <color indexed="81"/>
            <rFont val="Lucida Console"/>
            <family val="3"/>
          </rPr>
          <t>_x000D_
15272</t>
        </r>
      </text>
    </comment>
    <comment ref="B763" authorId="0" shapeId="0" xr:uid="{C67C0FC6-AF87-42F9-911F-28BF57CA9068}">
      <text>
        <r>
          <rPr>
            <sz val="10"/>
            <color indexed="81"/>
            <rFont val="Lucida Console"/>
            <family val="3"/>
          </rPr>
          <t>DESCRIÇÃO DETALHADA_x000D_
CONECTOR TIPO SPLIT BOLT-SIMPLES/SIMPLES P/ 2 CABOS DE COBRE DE 16MM2</t>
        </r>
      </text>
    </comment>
    <comment ref="W763" authorId="0" shapeId="0" xr:uid="{8530BF73-F08A-4843-8350-B737CF28AC72}">
      <text>
        <r>
          <rPr>
            <sz val="10"/>
            <color indexed="81"/>
            <rFont val="Lucida Console"/>
            <family val="3"/>
          </rPr>
          <t>_x000D_
DM-Elétrica</t>
        </r>
      </text>
    </comment>
    <comment ref="X763" authorId="0" shapeId="0" xr:uid="{A555564E-CD27-40EF-AB8F-75151325B4F8}">
      <text>
        <r>
          <rPr>
            <sz val="10"/>
            <color indexed="81"/>
            <rFont val="Lucida Console"/>
            <family val="3"/>
          </rPr>
          <t>_x000D_
EQUIP. MAT. P/ GERACAO, TRANSM. DISTR. RETIF...</t>
        </r>
      </text>
    </comment>
    <comment ref="Y763" authorId="0" shapeId="0" xr:uid="{6E72FF1E-024F-4489-BE7E-25F373780FA8}">
      <text>
        <r>
          <rPr>
            <sz val="10"/>
            <color indexed="81"/>
            <rFont val="Lucida Console"/>
            <family val="3"/>
          </rPr>
          <t>_x000D_
CONECTORES</t>
        </r>
      </text>
    </comment>
    <comment ref="AW763" authorId="0" shapeId="0" xr:uid="{F73E1E3A-0943-4114-8DCA-CE6BF30C2C4B}">
      <text>
        <r>
          <rPr>
            <sz val="10"/>
            <color indexed="81"/>
            <rFont val="Lucida Console"/>
            <family val="3"/>
          </rPr>
          <t>Tempo de Estoque (Meses)_x000D_
_x000D_
100,0</t>
        </r>
      </text>
    </comment>
    <comment ref="A764" authorId="0" shapeId="0" xr:uid="{DBEC5730-0B7E-4A31-99BF-E237CFFD4CB6}">
      <text>
        <r>
          <rPr>
            <sz val="10"/>
            <color indexed="81"/>
            <rFont val="Lucida Console"/>
            <family val="3"/>
          </rPr>
          <t>_x000D_
15469</t>
        </r>
      </text>
    </comment>
    <comment ref="B764" authorId="0" shapeId="0" xr:uid="{0F7EBD60-C2C6-467D-955C-82381B306FD6}">
      <text>
        <r>
          <rPr>
            <sz val="10"/>
            <color indexed="81"/>
            <rFont val="Lucida Console"/>
            <family val="3"/>
          </rPr>
          <t>DESCRIÇÃO DETALHADA_x000D_
CONECTOR TIPO SPLIT BOLT-SIMPLES/SIMPLES P/ 2 CABOS DE COBRE DE 50MM2</t>
        </r>
      </text>
    </comment>
    <comment ref="W764" authorId="0" shapeId="0" xr:uid="{0EF43FDA-D53F-4A29-BC10-0D2B7BBFAFA5}">
      <text>
        <r>
          <rPr>
            <sz val="10"/>
            <color indexed="81"/>
            <rFont val="Lucida Console"/>
            <family val="3"/>
          </rPr>
          <t>_x000D_
DM-Elétrica</t>
        </r>
      </text>
    </comment>
    <comment ref="X764" authorId="0" shapeId="0" xr:uid="{5802FF71-E9CE-4435-9F4A-A058FFB69ACB}">
      <text>
        <r>
          <rPr>
            <sz val="10"/>
            <color indexed="81"/>
            <rFont val="Lucida Console"/>
            <family val="3"/>
          </rPr>
          <t>_x000D_
EQUIP. MAT. P/ GERACAO, TRANSM. DISTR. RETIF...</t>
        </r>
      </text>
    </comment>
    <comment ref="Y764" authorId="0" shapeId="0" xr:uid="{328DED07-4665-427C-B9D5-069791A9255E}">
      <text>
        <r>
          <rPr>
            <sz val="10"/>
            <color indexed="81"/>
            <rFont val="Lucida Console"/>
            <family val="3"/>
          </rPr>
          <t>_x000D_
CONECTORES</t>
        </r>
      </text>
    </comment>
    <comment ref="AW764" authorId="0" shapeId="0" xr:uid="{F1D421BA-34D5-41CC-80AC-1DBACCCDC780}">
      <text>
        <r>
          <rPr>
            <sz val="10"/>
            <color indexed="81"/>
            <rFont val="Lucida Console"/>
            <family val="3"/>
          </rPr>
          <t>Tempo de Estoque (Meses)_x000D_
_x000D_
75,0</t>
        </r>
      </text>
    </comment>
    <comment ref="A765" authorId="0" shapeId="0" xr:uid="{E79695FB-C656-408F-B86C-A5ED70E4FA5F}">
      <text>
        <r>
          <rPr>
            <sz val="10"/>
            <color indexed="81"/>
            <rFont val="Lucida Console"/>
            <family val="3"/>
          </rPr>
          <t>_x000D_
15648</t>
        </r>
      </text>
    </comment>
    <comment ref="B765" authorId="0" shapeId="0" xr:uid="{0FC203CF-DFD1-4E09-AD01-E80BCA0D2718}">
      <text>
        <r>
          <rPr>
            <sz val="10"/>
            <color indexed="81"/>
            <rFont val="Lucida Console"/>
            <family val="3"/>
          </rPr>
          <t>DESCRIÇÃO DETALHADA_x000D_
TERMINAL A PRESSAO REFORCADO P/ 1 CABO DE COBRE 50MM2 C/ 1 FURO DE FIXACAO</t>
        </r>
      </text>
    </comment>
    <comment ref="W765" authorId="0" shapeId="0" xr:uid="{4CF2BC00-BE52-42E6-B435-6E0E4F8A0F27}">
      <text>
        <r>
          <rPr>
            <sz val="10"/>
            <color indexed="81"/>
            <rFont val="Lucida Console"/>
            <family val="3"/>
          </rPr>
          <t>_x000D_
DM-Elétrica</t>
        </r>
      </text>
    </comment>
    <comment ref="X765" authorId="0" shapeId="0" xr:uid="{7FFD3FE6-D7C0-4F84-ACF6-13B318F40154}">
      <text>
        <r>
          <rPr>
            <sz val="10"/>
            <color indexed="81"/>
            <rFont val="Lucida Console"/>
            <family val="3"/>
          </rPr>
          <t>_x000D_
EQUIP. MAT. P/ GERACAO, TRANSM. DISTR. RETIF...</t>
        </r>
      </text>
    </comment>
    <comment ref="Y765" authorId="0" shapeId="0" xr:uid="{194C5A9E-7AB2-497E-B4D5-039A06CA212C}">
      <text>
        <r>
          <rPr>
            <sz val="10"/>
            <color indexed="81"/>
            <rFont val="Lucida Console"/>
            <family val="3"/>
          </rPr>
          <t>_x000D_
TERMINAIS</t>
        </r>
      </text>
    </comment>
    <comment ref="AW765" authorId="0" shapeId="0" xr:uid="{6586201A-9838-418F-B739-37E8F6B41751}">
      <text>
        <r>
          <rPr>
            <sz val="10"/>
            <color indexed="81"/>
            <rFont val="Lucida Console"/>
            <family val="3"/>
          </rPr>
          <t>Tempo de Estoque (Meses)_x000D_
_x000D_
46,0</t>
        </r>
      </text>
    </comment>
    <comment ref="A766" authorId="0" shapeId="0" xr:uid="{134DA392-25BB-4D8D-BA73-A77EBE9FCAC0}">
      <text>
        <r>
          <rPr>
            <sz val="10"/>
            <color indexed="81"/>
            <rFont val="Lucida Console"/>
            <family val="3"/>
          </rPr>
          <t>_x000D_
110892</t>
        </r>
      </text>
    </comment>
    <comment ref="B766" authorId="0" shapeId="0" xr:uid="{9D745F22-B23E-4E4E-8C21-4019454B1E50}">
      <text>
        <r>
          <rPr>
            <sz val="10"/>
            <color indexed="81"/>
            <rFont val="Lucida Console"/>
            <family val="3"/>
          </rPr>
          <t>DESCRIÇÃO DETALHADA_x000D_
TERMINAL A COMPRESSAO REFORCADO P/ 1 CABO DE COBRE 150MM2 C/ 1 FURO DE FIXACAO</t>
        </r>
      </text>
    </comment>
    <comment ref="W766" authorId="0" shapeId="0" xr:uid="{4F2CEF2B-21EE-4FF1-8818-4FA7012404B8}">
      <text>
        <r>
          <rPr>
            <sz val="10"/>
            <color indexed="81"/>
            <rFont val="Lucida Console"/>
            <family val="3"/>
          </rPr>
          <t>_x000D_
DM-Elétrica</t>
        </r>
      </text>
    </comment>
    <comment ref="X766" authorId="0" shapeId="0" xr:uid="{360EFC22-78CC-4CD8-9428-8DA5B7059DCA}">
      <text>
        <r>
          <rPr>
            <sz val="10"/>
            <color indexed="81"/>
            <rFont val="Lucida Console"/>
            <family val="3"/>
          </rPr>
          <t>_x000D_
EQUIP. MAT. P/ GERACAO, TRANSM. DISTR. RETIF...</t>
        </r>
      </text>
    </comment>
    <comment ref="Y766" authorId="0" shapeId="0" xr:uid="{542ECCCF-2E49-4089-8D16-5007B4C6CA81}">
      <text>
        <r>
          <rPr>
            <sz val="10"/>
            <color indexed="81"/>
            <rFont val="Lucida Console"/>
            <family val="3"/>
          </rPr>
          <t>_x000D_
TERMINAIS</t>
        </r>
      </text>
    </comment>
    <comment ref="AW766" authorId="0" shapeId="0" xr:uid="{3E37BC9C-6AA0-41FB-8AAB-F5958F0D3D35}">
      <text>
        <r>
          <rPr>
            <sz val="10"/>
            <color indexed="81"/>
            <rFont val="Lucida Console"/>
            <family val="3"/>
          </rPr>
          <t>Tempo de Estoque (Meses)_x000D_
_x000D_
154,0</t>
        </r>
      </text>
    </comment>
    <comment ref="A767" authorId="0" shapeId="0" xr:uid="{2F89E91E-77CF-4B96-8C5D-1710FA15F510}">
      <text>
        <r>
          <rPr>
            <sz val="10"/>
            <color indexed="81"/>
            <rFont val="Lucida Console"/>
            <family val="3"/>
          </rPr>
          <t>_x000D_
110893</t>
        </r>
      </text>
    </comment>
    <comment ref="B767" authorId="0" shapeId="0" xr:uid="{D40B22D6-D13A-4D06-9646-94C40270E527}">
      <text>
        <r>
          <rPr>
            <sz val="10"/>
            <color indexed="81"/>
            <rFont val="Lucida Console"/>
            <family val="3"/>
          </rPr>
          <t>DESCRIÇÃO DETALHADA_x000D_
TERMINAL A COMPRESSAO REFORCADO P/ 1 CABO DE COBRE 95 MM2 C/ 1 FURO DE FIXACAO</t>
        </r>
      </text>
    </comment>
    <comment ref="W767" authorId="0" shapeId="0" xr:uid="{C5D3B87C-872D-45F0-B74F-63CCC9C9EC33}">
      <text>
        <r>
          <rPr>
            <sz val="10"/>
            <color indexed="81"/>
            <rFont val="Lucida Console"/>
            <family val="3"/>
          </rPr>
          <t>_x000D_
DM-Elétrica</t>
        </r>
      </text>
    </comment>
    <comment ref="X767" authorId="0" shapeId="0" xr:uid="{7BB3184B-0E70-4BCC-ABFF-E24167AC432A}">
      <text>
        <r>
          <rPr>
            <sz val="10"/>
            <color indexed="81"/>
            <rFont val="Lucida Console"/>
            <family val="3"/>
          </rPr>
          <t>_x000D_
EQUIP. MAT. P/ GERACAO, TRANSM. DISTR. RETIF...</t>
        </r>
      </text>
    </comment>
    <comment ref="Y767" authorId="0" shapeId="0" xr:uid="{50E2DF76-97CC-420D-A834-D70EDF4167FD}">
      <text>
        <r>
          <rPr>
            <sz val="10"/>
            <color indexed="81"/>
            <rFont val="Lucida Console"/>
            <family val="3"/>
          </rPr>
          <t>_x000D_
TERMINAIS</t>
        </r>
      </text>
    </comment>
    <comment ref="AW767" authorId="0" shapeId="0" xr:uid="{7AC70A03-B958-4919-80AA-ECEA6DEFBE76}">
      <text>
        <r>
          <rPr>
            <sz val="10"/>
            <color indexed="81"/>
            <rFont val="Lucida Console"/>
            <family val="3"/>
          </rPr>
          <t>Tempo de Estoque (Meses)_x000D_
_x000D_
159,0</t>
        </r>
      </text>
    </comment>
    <comment ref="A768" authorId="0" shapeId="0" xr:uid="{3118D715-EF40-41E8-9892-2D4AC1DF9164}">
      <text>
        <r>
          <rPr>
            <sz val="10"/>
            <color indexed="81"/>
            <rFont val="Lucida Console"/>
            <family val="3"/>
          </rPr>
          <t>_x000D_
112494</t>
        </r>
      </text>
    </comment>
    <comment ref="B768" authorId="0" shapeId="0" xr:uid="{5EA3A2BB-2DF8-4236-9CF1-9F369C638641}">
      <text>
        <r>
          <rPr>
            <sz val="10"/>
            <color indexed="81"/>
            <rFont val="Lucida Console"/>
            <family val="3"/>
          </rPr>
          <t>DESCRIÇÃO DETALHADA_x000D_
TERMINAL A COMPRESSAO PARA 1 CABO DE COBRE 25 MM2 COM 1 FURO DE FIXACAO</t>
        </r>
      </text>
    </comment>
    <comment ref="W768" authorId="0" shapeId="0" xr:uid="{E270C2FA-4634-4C82-8396-79622F77AC45}">
      <text>
        <r>
          <rPr>
            <sz val="10"/>
            <color indexed="81"/>
            <rFont val="Lucida Console"/>
            <family val="3"/>
          </rPr>
          <t>_x000D_
DM-Elétrica</t>
        </r>
      </text>
    </comment>
    <comment ref="X768" authorId="0" shapeId="0" xr:uid="{25C51545-D5F7-41EA-B83C-707900E91098}">
      <text>
        <r>
          <rPr>
            <sz val="10"/>
            <color indexed="81"/>
            <rFont val="Lucida Console"/>
            <family val="3"/>
          </rPr>
          <t>_x000D_
EQUIP. MAT. P/ GERACAO, TRANSM. DISTR. RETIF...</t>
        </r>
      </text>
    </comment>
    <comment ref="Y768" authorId="0" shapeId="0" xr:uid="{3D7F38A4-6581-4DBD-9858-1CEDC4EE3FA3}">
      <text>
        <r>
          <rPr>
            <sz val="10"/>
            <color indexed="81"/>
            <rFont val="Lucida Console"/>
            <family val="3"/>
          </rPr>
          <t>_x000D_
TERMINAIS</t>
        </r>
      </text>
    </comment>
    <comment ref="AW768" authorId="0" shapeId="0" xr:uid="{E541A689-CE94-4F74-BE2E-C7F8B419A12E}">
      <text>
        <r>
          <rPr>
            <sz val="10"/>
            <color indexed="81"/>
            <rFont val="Lucida Console"/>
            <family val="3"/>
          </rPr>
          <t>Tempo de Estoque (Meses)_x000D_
_x000D_
376,0</t>
        </r>
      </text>
    </comment>
    <comment ref="A769" authorId="0" shapeId="0" xr:uid="{FF7832D1-F16D-48B5-AF9C-E72D961FBAEF}">
      <text>
        <r>
          <rPr>
            <sz val="10"/>
            <color indexed="81"/>
            <rFont val="Lucida Console"/>
            <family val="3"/>
          </rPr>
          <t>_x000D_
113242</t>
        </r>
      </text>
    </comment>
    <comment ref="B769" authorId="0" shapeId="0" xr:uid="{E044E395-AA98-4649-BEBE-309419781FAD}">
      <text>
        <r>
          <rPr>
            <sz val="10"/>
            <color indexed="81"/>
            <rFont val="Lucida Console"/>
            <family val="3"/>
          </rPr>
          <t>DESCRIÇÃO DETALHADA_x000D_
TERMINAL A COMPRESSAO PARA 1 CABO DE COBRE 50 MM2 TIPO ANEL</t>
        </r>
      </text>
    </comment>
    <comment ref="W769" authorId="0" shapeId="0" xr:uid="{92F746A4-8A4F-4AB6-80FC-768FA388EE9F}">
      <text>
        <r>
          <rPr>
            <sz val="10"/>
            <color indexed="81"/>
            <rFont val="Lucida Console"/>
            <family val="3"/>
          </rPr>
          <t>_x000D_
DM-Elétrica</t>
        </r>
      </text>
    </comment>
    <comment ref="X769" authorId="0" shapeId="0" xr:uid="{AB41D025-7811-45CA-BD5E-E6345FE44AB5}">
      <text>
        <r>
          <rPr>
            <sz val="10"/>
            <color indexed="81"/>
            <rFont val="Lucida Console"/>
            <family val="3"/>
          </rPr>
          <t>_x000D_
EQUIP. MAT. P/ GERACAO, TRANSM. DISTR. RETIF...</t>
        </r>
      </text>
    </comment>
    <comment ref="Y769" authorId="0" shapeId="0" xr:uid="{21A3B1A7-E0F8-40F4-AFA2-0CD56D3BA440}">
      <text>
        <r>
          <rPr>
            <sz val="10"/>
            <color indexed="81"/>
            <rFont val="Lucida Console"/>
            <family val="3"/>
          </rPr>
          <t>_x000D_
TERMINAIS</t>
        </r>
      </text>
    </comment>
    <comment ref="AW769" authorId="0" shapeId="0" xr:uid="{0EAD5E0F-11A4-485C-9029-52D1E496E951}">
      <text>
        <r>
          <rPr>
            <sz val="10"/>
            <color indexed="81"/>
            <rFont val="Lucida Console"/>
            <family val="3"/>
          </rPr>
          <t>Tempo de Estoque (Meses)_x000D_
_x000D_
150,0</t>
        </r>
      </text>
    </comment>
    <comment ref="A770" authorId="0" shapeId="0" xr:uid="{4F676FFA-9003-42B8-885D-2FDF1D0BA180}">
      <text>
        <r>
          <rPr>
            <sz val="10"/>
            <color indexed="81"/>
            <rFont val="Lucida Console"/>
            <family val="3"/>
          </rPr>
          <t>_x000D_
31555</t>
        </r>
      </text>
    </comment>
    <comment ref="B770" authorId="0" shapeId="0" xr:uid="{9BA5A81A-559B-46BF-9CAD-FFCFAC8D5A7E}">
      <text>
        <r>
          <rPr>
            <sz val="10"/>
            <color indexed="81"/>
            <rFont val="Lucida Console"/>
            <family val="3"/>
          </rPr>
          <t>DESCRIÇÃO DETALHADA_x000D_
HASTE DE ATERRAMENTO DE COBRE - 5/8" X 3,00 METROS</t>
        </r>
      </text>
    </comment>
    <comment ref="W770" authorId="0" shapeId="0" xr:uid="{7A9ACC57-111F-40A7-BAA2-A4828C42DC57}">
      <text>
        <r>
          <rPr>
            <sz val="10"/>
            <color indexed="81"/>
            <rFont val="Lucida Console"/>
            <family val="3"/>
          </rPr>
          <t>_x000D_
DM-Elétrica</t>
        </r>
      </text>
    </comment>
    <comment ref="X770" authorId="0" shapeId="0" xr:uid="{11E1529A-E442-4AA5-B9BE-7479ABF5B947}">
      <text>
        <r>
          <rPr>
            <sz val="10"/>
            <color indexed="81"/>
            <rFont val="Lucida Console"/>
            <family val="3"/>
          </rPr>
          <t>_x000D_
EQUIP. MAT. P/ GERACAO, TRANSM. DISTR. RETIF...</t>
        </r>
      </text>
    </comment>
    <comment ref="Y770" authorId="0" shapeId="0" xr:uid="{D8B1D25B-E0FF-4122-8766-987012C84922}">
      <text>
        <r>
          <rPr>
            <sz val="10"/>
            <color indexed="81"/>
            <rFont val="Lucida Console"/>
            <family val="3"/>
          </rPr>
          <t>_x000D_
ISOLADORES ELETRICOS E MATERIAIS PARA...</t>
        </r>
      </text>
    </comment>
    <comment ref="AW770" authorId="0" shapeId="0" xr:uid="{AAC21F98-4651-45CF-A357-F505EB59B6E2}">
      <text>
        <r>
          <rPr>
            <sz val="10"/>
            <color indexed="81"/>
            <rFont val="Lucida Console"/>
            <family val="3"/>
          </rPr>
          <t>Tempo de Estoque (Meses)_x000D_
_x000D_
74,0</t>
        </r>
      </text>
    </comment>
    <comment ref="A771" authorId="0" shapeId="0" xr:uid="{7102354A-E295-4590-A758-AD4BD25B14A8}">
      <text>
        <r>
          <rPr>
            <sz val="10"/>
            <color indexed="81"/>
            <rFont val="Lucida Console"/>
            <family val="3"/>
          </rPr>
          <t>_x000D_
132751</t>
        </r>
      </text>
    </comment>
    <comment ref="B771" authorId="0" shapeId="0" xr:uid="{B8B47591-C345-48EB-B849-4A099209A08D}">
      <text>
        <r>
          <rPr>
            <sz val="10"/>
            <color indexed="81"/>
            <rFont val="Lucida Console"/>
            <family val="3"/>
          </rPr>
          <t>DESCRIÇÃO DETALHADA_x000D_
FITA PET VIRGEM (ALTA RESISTENCIA) 16MM X 0,80MM, UTILIZADA EM SELADOR ELETRICO, ROLO COM 20KG  - APROXIMADO. 1180 MTS</t>
        </r>
      </text>
    </comment>
    <comment ref="W771" authorId="0" shapeId="0" xr:uid="{A34622EE-79EB-42FA-9FD4-69F644B512FC}">
      <text>
        <r>
          <rPr>
            <sz val="10"/>
            <color indexed="81"/>
            <rFont val="Lucida Console"/>
            <family val="3"/>
          </rPr>
          <t>_x000D_
DM-Elétrica</t>
        </r>
      </text>
    </comment>
    <comment ref="X771" authorId="0" shapeId="0" xr:uid="{FE8ABB40-C04A-4E29-AE8A-B582B447C020}">
      <text>
        <r>
          <rPr>
            <sz val="10"/>
            <color indexed="81"/>
            <rFont val="Lucida Console"/>
            <family val="3"/>
          </rPr>
          <t>_x000D_
EQUIP. MAT. P/ GERACAO, TRANSM. DISTR. RETIF...</t>
        </r>
      </text>
    </comment>
    <comment ref="Y771" authorId="0" shapeId="0" xr:uid="{F66758C1-A9C1-413A-B4BE-20D85B52C9F2}">
      <text>
        <r>
          <rPr>
            <sz val="10"/>
            <color indexed="81"/>
            <rFont val="Lucida Console"/>
            <family val="3"/>
          </rPr>
          <t>_x000D_
ISOLADORES ELETRICOS E MATERIAIS PARA...</t>
        </r>
      </text>
    </comment>
    <comment ref="AW771" authorId="0" shapeId="0" xr:uid="{58AB34E1-71C9-4F0D-9904-F243CC19D3BD}">
      <text>
        <r>
          <rPr>
            <sz val="10"/>
            <color indexed="81"/>
            <rFont val="Lucida Console"/>
            <family val="3"/>
          </rPr>
          <t>Tempo de Estoque (Meses)_x000D_
_x000D_
3,0</t>
        </r>
      </text>
    </comment>
    <comment ref="A772" authorId="0" shapeId="0" xr:uid="{7F78834D-10E0-479F-96A1-0AFE7E48CA8A}">
      <text>
        <r>
          <rPr>
            <sz val="10"/>
            <color indexed="81"/>
            <rFont val="Lucida Console"/>
            <family val="3"/>
          </rPr>
          <t>_x000D_
14012</t>
        </r>
      </text>
    </comment>
    <comment ref="B772" authorId="0" shapeId="0" xr:uid="{037393E9-9B26-4618-B97E-4E49301DFF45}">
      <text>
        <r>
          <rPr>
            <sz val="10"/>
            <color indexed="81"/>
            <rFont val="Lucida Console"/>
            <family val="3"/>
          </rPr>
          <t>DESCRIÇÃO DETALHADA_x000D_
ABRACADEIRA GALVANIZADA TIPO U DE 3/4"</t>
        </r>
      </text>
    </comment>
    <comment ref="W772" authorId="0" shapeId="0" xr:uid="{8DAB4403-7ECE-4D2B-B0C1-3A2CFABA9EC1}">
      <text>
        <r>
          <rPr>
            <sz val="10"/>
            <color indexed="81"/>
            <rFont val="Lucida Console"/>
            <family val="3"/>
          </rPr>
          <t>_x000D_
DM-Elétrica</t>
        </r>
      </text>
    </comment>
    <comment ref="X772" authorId="0" shapeId="0" xr:uid="{C8867630-79A4-4562-8B70-F0ACA0D55B68}">
      <text>
        <r>
          <rPr>
            <sz val="10"/>
            <color indexed="81"/>
            <rFont val="Lucida Console"/>
            <family val="3"/>
          </rPr>
          <t>_x000D_
EQUIP. MAT. P/ GERACAO, TRANSM. DISTR. RETIF...</t>
        </r>
      </text>
    </comment>
    <comment ref="Y772" authorId="0" shapeId="0" xr:uid="{D4C93E20-FF2F-4D97-9B5A-EED503FFDCCA}">
      <text>
        <r>
          <rPr>
            <sz val="10"/>
            <color indexed="81"/>
            <rFont val="Lucida Console"/>
            <family val="3"/>
          </rPr>
          <t>_x000D_
BRACADEIRAS E CINTAS</t>
        </r>
      </text>
    </comment>
    <comment ref="AW772" authorId="0" shapeId="0" xr:uid="{76360CCD-C019-4144-9A43-3A4926AADDF3}">
      <text>
        <r>
          <rPr>
            <sz val="10"/>
            <color indexed="81"/>
            <rFont val="Lucida Console"/>
            <family val="3"/>
          </rPr>
          <t>Tempo de Estoque (Meses)_x000D_
_x000D_
3.516,0</t>
        </r>
      </text>
    </comment>
    <comment ref="A773" authorId="0" shapeId="0" xr:uid="{05956BA0-B573-4DBF-8B32-24ADA3AC0907}">
      <text>
        <r>
          <rPr>
            <sz val="10"/>
            <color indexed="81"/>
            <rFont val="Lucida Console"/>
            <family val="3"/>
          </rPr>
          <t>_x000D_
95228</t>
        </r>
      </text>
    </comment>
    <comment ref="B773" authorId="0" shapeId="0" xr:uid="{7FD2C818-C6E3-4BC3-9787-5A91BEA5BBFF}">
      <text>
        <r>
          <rPr>
            <sz val="10"/>
            <color indexed="81"/>
            <rFont val="Lucida Console"/>
            <family val="3"/>
          </rPr>
          <t xml:space="preserve">DESCRIÇÃO DETALHADA_x000D_
ABRACADEIRA DE NYLON COMPRIMENTO 200 MM </t>
        </r>
      </text>
    </comment>
    <comment ref="W773" authorId="0" shapeId="0" xr:uid="{51AF93F8-80BE-4F1E-802B-E642956B1E72}">
      <text>
        <r>
          <rPr>
            <sz val="10"/>
            <color indexed="81"/>
            <rFont val="Lucida Console"/>
            <family val="3"/>
          </rPr>
          <t>_x000D_
DM-Elétrica</t>
        </r>
      </text>
    </comment>
    <comment ref="X773" authorId="0" shapeId="0" xr:uid="{162936D4-87CB-4A80-AAE4-82D004F373A4}">
      <text>
        <r>
          <rPr>
            <sz val="10"/>
            <color indexed="81"/>
            <rFont val="Lucida Console"/>
            <family val="3"/>
          </rPr>
          <t>_x000D_
EQUIP. MAT. P/ GERACAO, TRANSM. DISTR. RETIF...</t>
        </r>
      </text>
    </comment>
    <comment ref="Y773" authorId="0" shapeId="0" xr:uid="{0ABFC845-E80F-410D-BB7D-F498B8609A7D}">
      <text>
        <r>
          <rPr>
            <sz val="10"/>
            <color indexed="81"/>
            <rFont val="Lucida Console"/>
            <family val="3"/>
          </rPr>
          <t>_x000D_
BRACADEIRAS E CINTAS</t>
        </r>
      </text>
    </comment>
    <comment ref="AW773" authorId="0" shapeId="0" xr:uid="{4914CBBA-02EF-4AC0-803D-25B423D5F534}">
      <text>
        <r>
          <rPr>
            <sz val="10"/>
            <color indexed="81"/>
            <rFont val="Lucida Console"/>
            <family val="3"/>
          </rPr>
          <t>Tempo de Estoque (Meses)_x000D_
_x000D_
2.446,0</t>
        </r>
      </text>
    </comment>
    <comment ref="A774" authorId="0" shapeId="0" xr:uid="{FB84FA7C-8300-4BEF-816C-FC62DF2A0E18}">
      <text>
        <r>
          <rPr>
            <sz val="10"/>
            <color indexed="81"/>
            <rFont val="Lucida Console"/>
            <family val="3"/>
          </rPr>
          <t>_x000D_
108697</t>
        </r>
      </text>
    </comment>
    <comment ref="B774" authorId="0" shapeId="0" xr:uid="{2233B329-EA23-4851-B076-7C899D81DBA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74" authorId="0" shapeId="0" xr:uid="{A24F9E66-716E-4369-B385-7E65DCE5FD96}">
      <text>
        <r>
          <rPr>
            <sz val="10"/>
            <color indexed="81"/>
            <rFont val="Lucida Console"/>
            <family val="3"/>
          </rPr>
          <t>_x000D_
DM-Elétrica</t>
        </r>
      </text>
    </comment>
    <comment ref="X774" authorId="0" shapeId="0" xr:uid="{4B5CC9BC-99CE-4B1A-BF7E-17BC0111A3B8}">
      <text>
        <r>
          <rPr>
            <sz val="10"/>
            <color indexed="81"/>
            <rFont val="Lucida Console"/>
            <family val="3"/>
          </rPr>
          <t>_x000D_
EQUIP. MAT. P/ GERACAO, TRANSM. DISTR. RETIF...</t>
        </r>
      </text>
    </comment>
    <comment ref="Y774" authorId="0" shapeId="0" xr:uid="{58DA21BD-1D40-4425-8823-3EE078595610}">
      <text>
        <r>
          <rPr>
            <sz val="10"/>
            <color indexed="81"/>
            <rFont val="Lucida Console"/>
            <family val="3"/>
          </rPr>
          <t>_x000D_
MATERIAIS ORNAMENTAIS</t>
        </r>
      </text>
    </comment>
    <comment ref="AW774" authorId="0" shapeId="0" xr:uid="{269E30FB-7CEA-40D9-83A2-664536BD0B18}">
      <text>
        <r>
          <rPr>
            <sz val="10"/>
            <color indexed="81"/>
            <rFont val="Lucida Console"/>
            <family val="3"/>
          </rPr>
          <t>Tempo de Estoque (Meses)_x000D_
_x000D_
37,0</t>
        </r>
      </text>
    </comment>
    <comment ref="A775" authorId="0" shapeId="0" xr:uid="{DEC6E7A6-03A5-45EC-97E4-36085FA65BCD}">
      <text>
        <r>
          <rPr>
            <sz val="10"/>
            <color indexed="81"/>
            <rFont val="Lucida Console"/>
            <family val="3"/>
          </rPr>
          <t>_x000D_
51222</t>
        </r>
      </text>
    </comment>
    <comment ref="B775" authorId="0" shapeId="0" xr:uid="{4DE8E384-9623-439C-8B33-6710FE7639A5}">
      <text>
        <r>
          <rPr>
            <sz val="10"/>
            <color indexed="81"/>
            <rFont val="Lucida Console"/>
            <family val="3"/>
          </rPr>
          <t>DESCRIÇÃO DETALHADA_x000D_
LUMINARIA FECHADA TIPO CALHA - P/ LAMPADA FLUORESCENTE - 2 X 20 W, CALHA COM SOQUETE DE PRESSAO E SUPORTE PARA FIXACAO TIPO PE DE GALINHA</t>
        </r>
      </text>
    </comment>
    <comment ref="W775" authorId="0" shapeId="0" xr:uid="{61ABD5F5-AD15-4226-B423-3139853909E0}">
      <text>
        <r>
          <rPr>
            <sz val="10"/>
            <color indexed="81"/>
            <rFont val="Lucida Console"/>
            <family val="3"/>
          </rPr>
          <t>_x000D_
DM-Elétrica</t>
        </r>
      </text>
    </comment>
    <comment ref="X775" authorId="0" shapeId="0" xr:uid="{1C324078-77B0-40E7-AFC0-EE1F5FF0C257}">
      <text>
        <r>
          <rPr>
            <sz val="10"/>
            <color indexed="81"/>
            <rFont val="Lucida Console"/>
            <family val="3"/>
          </rPr>
          <t>_x000D_
EQUIP. MAT. P/ GERACAO, TRANSM. DISTR. RETIF...</t>
        </r>
      </text>
    </comment>
    <comment ref="Y775" authorId="0" shapeId="0" xr:uid="{CD7D9C0F-2EEA-4B30-9940-3AE63B62F412}">
      <text>
        <r>
          <rPr>
            <sz val="10"/>
            <color indexed="81"/>
            <rFont val="Lucida Console"/>
            <family val="3"/>
          </rPr>
          <t>_x000D_
LUMINARIAS E PROJETORES COM EQUIPAMENTO</t>
        </r>
      </text>
    </comment>
    <comment ref="AW775" authorId="0" shapeId="0" xr:uid="{1CEBC885-2EB2-4237-BE88-44350D21C86A}">
      <text>
        <r>
          <rPr>
            <sz val="10"/>
            <color indexed="81"/>
            <rFont val="Lucida Console"/>
            <family val="3"/>
          </rPr>
          <t>Tempo de Estoque (Meses)_x000D_
_x000D_
81,0</t>
        </r>
      </text>
    </comment>
    <comment ref="A776" authorId="0" shapeId="0" xr:uid="{A5CDE043-9CD3-463D-B891-6536ED9CC803}">
      <text>
        <r>
          <rPr>
            <sz val="10"/>
            <color indexed="81"/>
            <rFont val="Lucida Console"/>
            <family val="3"/>
          </rPr>
          <t>_x000D_
105259</t>
        </r>
      </text>
    </comment>
    <comment ref="B776" authorId="0" shapeId="0" xr:uid="{E70E3C18-2A9B-4BE4-9FDA-11489A9E8C39}">
      <text>
        <r>
          <rPr>
            <sz val="10"/>
            <color indexed="81"/>
            <rFont val="Lucida Console"/>
            <family val="3"/>
          </rPr>
          <t xml:space="preserve">DESCRIÇÃO DETALHADA_x000D_
PAPEL ADESIVO P/ ENCADERNACAO (TIPO CONTACT) - 0,50 M DE LARGURA (VARIACAO +/- 0,05M) - TRANSPARENTE - ROLO COM 25 M </t>
        </r>
      </text>
    </comment>
    <comment ref="W776" authorId="0" shapeId="0" xr:uid="{97C63C74-20ED-43E3-9807-7736EF99D1C0}">
      <text>
        <r>
          <rPr>
            <sz val="10"/>
            <color indexed="81"/>
            <rFont val="Lucida Console"/>
            <family val="3"/>
          </rPr>
          <t>_x000D_
Administrativo</t>
        </r>
      </text>
    </comment>
    <comment ref="X776" authorId="0" shapeId="0" xr:uid="{F8CE339F-7F78-4010-80A1-21CB6F66B0F3}">
      <text>
        <r>
          <rPr>
            <sz val="10"/>
            <color indexed="81"/>
            <rFont val="Lucida Console"/>
            <family val="3"/>
          </rPr>
          <t>_x000D_
MAQ. E EQUIP. P/ IND. GRAFICA COMP. ACESS. E PAPEI</t>
        </r>
      </text>
    </comment>
    <comment ref="Y776" authorId="0" shapeId="0" xr:uid="{CFB16EAD-86A2-4A7F-9531-59E655B86C89}">
      <text>
        <r>
          <rPr>
            <sz val="10"/>
            <color indexed="81"/>
            <rFont val="Lucida Console"/>
            <family val="3"/>
          </rPr>
          <t>_x000D_
PAPEIS ESPECIAIS</t>
        </r>
      </text>
    </comment>
    <comment ref="AW776" authorId="0" shapeId="0" xr:uid="{5410C80C-C105-4A3F-A0E3-58C9039D6C3C}">
      <text>
        <r>
          <rPr>
            <sz val="10"/>
            <color indexed="81"/>
            <rFont val="Lucida Console"/>
            <family val="3"/>
          </rPr>
          <t>Tempo de Estoque (Meses)_x000D_
_x000D_
1.823,0</t>
        </r>
      </text>
    </comment>
    <comment ref="A777" authorId="0" shapeId="0" xr:uid="{E01B0888-0ABC-4210-A199-4B347281D090}">
      <text>
        <r>
          <rPr>
            <sz val="10"/>
            <color indexed="81"/>
            <rFont val="Lucida Console"/>
            <family val="3"/>
          </rPr>
          <t>_x000D_
72222</t>
        </r>
      </text>
    </comment>
    <comment ref="B777" authorId="0" shapeId="0" xr:uid="{EEC61A1C-3F79-4FDE-8817-86D9F1A891CC}">
      <text>
        <r>
          <rPr>
            <sz val="10"/>
            <color indexed="81"/>
            <rFont val="Lucida Console"/>
            <family val="3"/>
          </rPr>
          <t>DESCRIÇÃO DETALHADA_x000D_
ESPIRAL N. 12 (12 MM) DE PVC - PACOTE COM 100 UNIDADES</t>
        </r>
      </text>
    </comment>
    <comment ref="W777" authorId="0" shapeId="0" xr:uid="{A5F856F4-A3F9-453D-A3F7-6594F391F7C4}">
      <text>
        <r>
          <rPr>
            <sz val="10"/>
            <color indexed="81"/>
            <rFont val="Lucida Console"/>
            <family val="3"/>
          </rPr>
          <t>_x000D_
Pedagógico</t>
        </r>
      </text>
    </comment>
    <comment ref="X777" authorId="0" shapeId="0" xr:uid="{93678F02-9015-4E22-833C-900604B99DBF}">
      <text>
        <r>
          <rPr>
            <sz val="10"/>
            <color indexed="81"/>
            <rFont val="Lucida Console"/>
            <family val="3"/>
          </rPr>
          <t>_x000D_
MAQ. E EQUIP. P/ IND. GRAFICA COMP. ACESS. E PAPEI</t>
        </r>
      </text>
    </comment>
    <comment ref="Y777" authorId="0" shapeId="0" xr:uid="{441ECAF0-E874-4BD5-9ABB-B4E47646FA28}">
      <text>
        <r>
          <rPr>
            <sz val="10"/>
            <color indexed="81"/>
            <rFont val="Lucida Console"/>
            <family val="3"/>
          </rPr>
          <t>_x000D_
MATERIAIS E ACESSORIOS P/ ENCADERNACAO</t>
        </r>
      </text>
    </comment>
    <comment ref="AW777" authorId="0" shapeId="0" xr:uid="{515F80B4-45A6-4B7F-8423-CA04D9F2FE26}">
      <text>
        <r>
          <rPr>
            <sz val="10"/>
            <color indexed="81"/>
            <rFont val="Lucida Console"/>
            <family val="3"/>
          </rPr>
          <t>Tempo de Estoque (Meses)_x000D_
_x000D_
1.624,0</t>
        </r>
      </text>
    </comment>
    <comment ref="A778" authorId="0" shapeId="0" xr:uid="{6584C05E-49F9-491E-AF85-A852FE7FC417}">
      <text>
        <r>
          <rPr>
            <sz val="10"/>
            <color indexed="81"/>
            <rFont val="Lucida Console"/>
            <family val="3"/>
          </rPr>
          <t>_x000D_
132405</t>
        </r>
      </text>
    </comment>
    <comment ref="B778" authorId="0" shapeId="0" xr:uid="{D0126963-786B-4237-BF3C-CACB5C22B45A}">
      <text>
        <r>
          <rPr>
            <sz val="10"/>
            <color indexed="81"/>
            <rFont val="Lucida Console"/>
            <family val="3"/>
          </rPr>
          <t>DESCRIÇÃO DETALHADA_x000D_
ESPIRAL 9 MM DE PVC - PACOTE COM 100 UNIDADES.</t>
        </r>
      </text>
    </comment>
    <comment ref="W778" authorId="0" shapeId="0" xr:uid="{15D8E36A-C889-42E8-A913-A8C16C1B04BC}">
      <text>
        <r>
          <rPr>
            <sz val="10"/>
            <color indexed="81"/>
            <rFont val="Lucida Console"/>
            <family val="3"/>
          </rPr>
          <t>_x000D_
Pedagógico</t>
        </r>
      </text>
    </comment>
    <comment ref="X778" authorId="0" shapeId="0" xr:uid="{3F5A6EB7-94E4-4D42-AD69-00065649759E}">
      <text>
        <r>
          <rPr>
            <sz val="10"/>
            <color indexed="81"/>
            <rFont val="Lucida Console"/>
            <family val="3"/>
          </rPr>
          <t>_x000D_
MAQ. E EQUIP. P/ IND. GRAFICA COMP. ACESS. E PAPEI</t>
        </r>
      </text>
    </comment>
    <comment ref="Y778" authorId="0" shapeId="0" xr:uid="{C2603F80-240E-42DF-AECD-BB1F4589A9AF}">
      <text>
        <r>
          <rPr>
            <sz val="10"/>
            <color indexed="81"/>
            <rFont val="Lucida Console"/>
            <family val="3"/>
          </rPr>
          <t>_x000D_
MATERIAIS E ACESSORIOS P/ ENCADERNACAO</t>
        </r>
      </text>
    </comment>
    <comment ref="AW778" authorId="0" shapeId="0" xr:uid="{2AC87E6F-984F-4863-A40C-45AA4886D0E2}">
      <text>
        <r>
          <rPr>
            <sz val="10"/>
            <color indexed="81"/>
            <rFont val="Lucida Console"/>
            <family val="3"/>
          </rPr>
          <t>Tempo de Estoque (Meses)_x000D_
_x000D_
2.281,0</t>
        </r>
      </text>
    </comment>
    <comment ref="A779" authorId="0" shapeId="0" xr:uid="{EEBE6E5F-6331-4E1D-8E4B-F20647012E50}">
      <text>
        <r>
          <rPr>
            <sz val="10"/>
            <color indexed="81"/>
            <rFont val="Lucida Console"/>
            <family val="3"/>
          </rPr>
          <t>_x000D_
132407</t>
        </r>
      </text>
    </comment>
    <comment ref="B779" authorId="0" shapeId="0" xr:uid="{976AB7F6-F8D4-43A4-BCEA-E16FA2B100F5}">
      <text>
        <r>
          <rPr>
            <sz val="10"/>
            <color indexed="81"/>
            <rFont val="Lucida Console"/>
            <family val="3"/>
          </rPr>
          <t>DESCRIÇÃO DETALHADA_x000D_
ESPIRAL 25 MM DE PVC - PACOTE COM NO MINIMO 45 UNIDADES.</t>
        </r>
      </text>
    </comment>
    <comment ref="W779" authorId="0" shapeId="0" xr:uid="{1129194C-AB1B-44F1-A11C-F921F5A27147}">
      <text>
        <r>
          <rPr>
            <sz val="10"/>
            <color indexed="81"/>
            <rFont val="Lucida Console"/>
            <family val="3"/>
          </rPr>
          <t>_x000D_
Pedagógico</t>
        </r>
      </text>
    </comment>
    <comment ref="X779" authorId="0" shapeId="0" xr:uid="{3A4A8D11-4C18-4FC3-828D-C727AEE8F4C6}">
      <text>
        <r>
          <rPr>
            <sz val="10"/>
            <color indexed="81"/>
            <rFont val="Lucida Console"/>
            <family val="3"/>
          </rPr>
          <t>_x000D_
MAQ. E EQUIP. P/ IND. GRAFICA COMP. ACESS. E PAPEI</t>
        </r>
      </text>
    </comment>
    <comment ref="Y779" authorId="0" shapeId="0" xr:uid="{2ABF5DB1-EC0F-4195-8AB8-48ECF8D3D6AE}">
      <text>
        <r>
          <rPr>
            <sz val="10"/>
            <color indexed="81"/>
            <rFont val="Lucida Console"/>
            <family val="3"/>
          </rPr>
          <t>_x000D_
MATERIAIS E ACESSORIOS P/ ENCADERNACAO</t>
        </r>
      </text>
    </comment>
    <comment ref="AW779" authorId="0" shapeId="0" xr:uid="{FA71AFB7-69DB-43D4-967E-C05731622292}">
      <text>
        <r>
          <rPr>
            <sz val="10"/>
            <color indexed="81"/>
            <rFont val="Lucida Console"/>
            <family val="3"/>
          </rPr>
          <t>Tempo de Estoque (Meses)_x000D_
_x000D_
2.290,0</t>
        </r>
      </text>
    </comment>
    <comment ref="A780" authorId="0" shapeId="0" xr:uid="{6B9B8811-EC05-4BD4-ABC1-C71D86D577B3}">
      <text>
        <r>
          <rPr>
            <sz val="10"/>
            <color indexed="81"/>
            <rFont val="Lucida Console"/>
            <family val="3"/>
          </rPr>
          <t>_x000D_
63991</t>
        </r>
      </text>
    </comment>
    <comment ref="B780" authorId="0" shapeId="0" xr:uid="{99691C98-DD25-43F1-91BB-AECF537C1D71}">
      <text>
        <r>
          <rPr>
            <sz val="10"/>
            <color indexed="81"/>
            <rFont val="Lucida Console"/>
            <family val="3"/>
          </rPr>
          <t>DESCRIÇÃO DETALHADA_x000D_
BALDINHO DE PRAIA EM PLASTICO - COLORIDO, ATOXICO, COM ACESSORIOS (PAZINHA, RASTELO, ETC)</t>
        </r>
      </text>
    </comment>
    <comment ref="W780" authorId="0" shapeId="0" xr:uid="{DB90C7EB-9BD2-4D33-8739-D9781503EC39}">
      <text>
        <r>
          <rPr>
            <sz val="10"/>
            <color indexed="81"/>
            <rFont val="Lucida Console"/>
            <family val="3"/>
          </rPr>
          <t>_x000D_
Pedagógico</t>
        </r>
      </text>
    </comment>
    <comment ref="X780" authorId="0" shapeId="0" xr:uid="{64B2F4B6-8BA6-4C19-A61C-D1A194A2FED9}">
      <text>
        <r>
          <rPr>
            <sz val="10"/>
            <color indexed="81"/>
            <rFont val="Lucida Console"/>
            <family val="3"/>
          </rPr>
          <t>_x000D_
EQUIP. E MAT. P/ RECREACAO, ATLETISMO, DESPORTO...</t>
        </r>
      </text>
    </comment>
    <comment ref="Y780" authorId="0" shapeId="0" xr:uid="{23D36E1A-D7BB-4C4A-9622-71C4DF24D25A}">
      <text>
        <r>
          <rPr>
            <sz val="10"/>
            <color indexed="81"/>
            <rFont val="Lucida Console"/>
            <family val="3"/>
          </rPr>
          <t>_x000D_
BRINQUEDOS, JOGOS E ARTIGOS P/ BEBE</t>
        </r>
      </text>
    </comment>
    <comment ref="AW780" authorId="0" shapeId="0" xr:uid="{ABF8FE0A-9871-40E6-8D6C-3B3A3BA21DE2}">
      <text>
        <r>
          <rPr>
            <sz val="10"/>
            <color indexed="81"/>
            <rFont val="Lucida Console"/>
            <family val="3"/>
          </rPr>
          <t>Tempo de Estoque (Meses)_x000D_
_x000D_
4.400,0</t>
        </r>
      </text>
    </comment>
    <comment ref="A781" authorId="0" shapeId="0" xr:uid="{F6C60FEA-1124-4E0F-B359-BA27BACC20E9}">
      <text>
        <r>
          <rPr>
            <sz val="10"/>
            <color indexed="81"/>
            <rFont val="Lucida Console"/>
            <family val="3"/>
          </rPr>
          <t>_x000D_
98732</t>
        </r>
      </text>
    </comment>
    <comment ref="B781" authorId="0" shapeId="0" xr:uid="{885E5B33-00AD-4758-8A3B-DCEEF6F18F8F}">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1" authorId="0" shapeId="0" xr:uid="{AF8FE907-33F8-4CEB-9335-A4C7C5BAEFD7}">
      <text>
        <r>
          <rPr>
            <sz val="10"/>
            <color indexed="81"/>
            <rFont val="Lucida Console"/>
            <family val="3"/>
          </rPr>
          <t>_x000D_
Eventos</t>
        </r>
      </text>
    </comment>
    <comment ref="X781" authorId="0" shapeId="0" xr:uid="{0814F0E2-ACC4-41BE-B8D5-2270883F3819}">
      <text>
        <r>
          <rPr>
            <sz val="10"/>
            <color indexed="81"/>
            <rFont val="Lucida Console"/>
            <family val="3"/>
          </rPr>
          <t>_x000D_
EQUIP. E MAT. P/ RECREACAO, ATLETISMO, DESPORTO...</t>
        </r>
      </text>
    </comment>
    <comment ref="Y781" authorId="0" shapeId="0" xr:uid="{39DD3E30-2A9E-46B5-A164-A9E7042A4335}">
      <text>
        <r>
          <rPr>
            <sz val="10"/>
            <color indexed="81"/>
            <rFont val="Lucida Console"/>
            <family val="3"/>
          </rPr>
          <t>_x000D_
BANDEIRAS, STANDARTES, FAIXAS, FLAMULAS E BALOES INFLAVEIS PROMOCIONAIS</t>
        </r>
      </text>
    </comment>
    <comment ref="AW781" authorId="0" shapeId="0" xr:uid="{8058618C-BBB2-43B6-93B8-FF04243692A2}">
      <text>
        <r>
          <rPr>
            <sz val="10"/>
            <color indexed="81"/>
            <rFont val="Lucida Console"/>
            <family val="3"/>
          </rPr>
          <t>Tempo de Estoque (Meses)_x000D_
_x000D_
55,0</t>
        </r>
      </text>
    </comment>
    <comment ref="A782" authorId="0" shapeId="0" xr:uid="{B6CCA464-7029-4621-8716-A6899910F1AE}">
      <text>
        <r>
          <rPr>
            <sz val="10"/>
            <color indexed="81"/>
            <rFont val="Lucida Console"/>
            <family val="3"/>
          </rPr>
          <t>_x000D_
98733</t>
        </r>
      </text>
    </comment>
    <comment ref="B782" authorId="0" shapeId="0" xr:uid="{A07CBD25-C0BF-434D-AADA-8423E9805A0D}">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82" authorId="0" shapeId="0" xr:uid="{71D56B53-39DF-4008-9323-51EF40BE02C0}">
      <text>
        <r>
          <rPr>
            <sz val="10"/>
            <color indexed="81"/>
            <rFont val="Lucida Console"/>
            <family val="3"/>
          </rPr>
          <t>_x000D_
Eventos</t>
        </r>
      </text>
    </comment>
    <comment ref="X782" authorId="0" shapeId="0" xr:uid="{14BAC947-50EA-45A2-9635-B4F84F4ED3AD}">
      <text>
        <r>
          <rPr>
            <sz val="10"/>
            <color indexed="81"/>
            <rFont val="Lucida Console"/>
            <family val="3"/>
          </rPr>
          <t>_x000D_
EQUIP. E MAT. P/ RECREACAO, ATLETISMO, DESPORTO...</t>
        </r>
      </text>
    </comment>
    <comment ref="Y782" authorId="0" shapeId="0" xr:uid="{230C4E05-E301-4211-BF32-E5530DFC61CF}">
      <text>
        <r>
          <rPr>
            <sz val="10"/>
            <color indexed="81"/>
            <rFont val="Lucida Console"/>
            <family val="3"/>
          </rPr>
          <t>_x000D_
BANDEIRAS, STANDARTES, FAIXAS, FLAMULAS E BALOES INFLAVEIS PROMOCIONAIS</t>
        </r>
      </text>
    </comment>
    <comment ref="AW782" authorId="0" shapeId="0" xr:uid="{8826CF3C-A81D-4738-B650-2B88BF381709}">
      <text>
        <r>
          <rPr>
            <sz val="10"/>
            <color indexed="81"/>
            <rFont val="Lucida Console"/>
            <family val="3"/>
          </rPr>
          <t>Tempo de Estoque (Meses)_x000D_
_x000D_
41,0</t>
        </r>
      </text>
    </comment>
    <comment ref="A783" authorId="0" shapeId="0" xr:uid="{4F9D613B-BC26-415B-B161-AFC9033CECE7}">
      <text>
        <r>
          <rPr>
            <sz val="10"/>
            <color indexed="81"/>
            <rFont val="Lucida Console"/>
            <family val="3"/>
          </rPr>
          <t>_x000D_
98734</t>
        </r>
      </text>
    </comment>
    <comment ref="B783" authorId="0" shapeId="0" xr:uid="{24B9BEA4-A14D-418B-8637-A61050B53047}">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783" authorId="0" shapeId="0" xr:uid="{68155DB4-5571-4B27-9C92-F542DECB0E84}">
      <text>
        <r>
          <rPr>
            <sz val="10"/>
            <color indexed="81"/>
            <rFont val="Lucida Console"/>
            <family val="3"/>
          </rPr>
          <t>_x000D_
Eventos</t>
        </r>
      </text>
    </comment>
    <comment ref="X783" authorId="0" shapeId="0" xr:uid="{88006C1B-92C6-4648-92A9-6EA27250DE9F}">
      <text>
        <r>
          <rPr>
            <sz val="10"/>
            <color indexed="81"/>
            <rFont val="Lucida Console"/>
            <family val="3"/>
          </rPr>
          <t>_x000D_
EQUIP. E MAT. P/ RECREACAO, ATLETISMO, DESPORTO...</t>
        </r>
      </text>
    </comment>
    <comment ref="Y783" authorId="0" shapeId="0" xr:uid="{7B9E1816-8BD9-4B4F-B88C-16994532113D}">
      <text>
        <r>
          <rPr>
            <sz val="10"/>
            <color indexed="81"/>
            <rFont val="Lucida Console"/>
            <family val="3"/>
          </rPr>
          <t>_x000D_
BANDEIRAS, STANDARTES, FAIXAS, FLAMULAS E BALOES INFLAVEIS PROMOCIONAIS</t>
        </r>
      </text>
    </comment>
    <comment ref="AW783" authorId="0" shapeId="0" xr:uid="{670681A8-370C-4730-8209-3DCF66AC461B}">
      <text>
        <r>
          <rPr>
            <sz val="10"/>
            <color indexed="81"/>
            <rFont val="Lucida Console"/>
            <family val="3"/>
          </rPr>
          <t>Tempo de Estoque (Meses)_x000D_
_x000D_
36,0</t>
        </r>
      </text>
    </comment>
    <comment ref="A784" authorId="0" shapeId="0" xr:uid="{C33BD0C5-7790-4607-93C7-AFD71508D936}">
      <text>
        <r>
          <rPr>
            <sz val="10"/>
            <color indexed="81"/>
            <rFont val="Lucida Console"/>
            <family val="3"/>
          </rPr>
          <t>_x000D_
106038</t>
        </r>
      </text>
    </comment>
    <comment ref="B784" authorId="0" shapeId="0" xr:uid="{127A4240-FF8A-447E-B1B6-9F27844A32EC}">
      <text>
        <r>
          <rPr>
            <sz val="10"/>
            <color indexed="81"/>
            <rFont val="Lucida Console"/>
            <family val="3"/>
          </rPr>
          <t>DESCRIÇÃO DETALHADA_x000D_
CONECTOR RJ-45 FEMEA, PARA CABO UTP CATEGORIA 6</t>
        </r>
      </text>
    </comment>
    <comment ref="W784" authorId="0" shapeId="0" xr:uid="{8D681CF0-1678-4CCA-A528-1982D1F76E41}">
      <text>
        <r>
          <rPr>
            <sz val="10"/>
            <color indexed="81"/>
            <rFont val="Lucida Console"/>
            <family val="3"/>
          </rPr>
          <t>_x000D_
Informática</t>
        </r>
      </text>
    </comment>
    <comment ref="X784" authorId="0" shapeId="0" xr:uid="{AA54116B-46E9-416B-9727-3BF48A67286B}">
      <text>
        <r>
          <rPr>
            <sz val="10"/>
            <color indexed="81"/>
            <rFont val="Lucida Console"/>
            <family val="3"/>
          </rPr>
          <t>_x000D_
COMPUT.SOFT. PROCES. EQUIP. SUPRI. COMP. ACESS. INFORMAT</t>
        </r>
      </text>
    </comment>
    <comment ref="Y784" authorId="0" shapeId="0" xr:uid="{34211893-C0D2-487D-ADAC-14BA953C47E4}">
      <text>
        <r>
          <rPr>
            <sz val="10"/>
            <color indexed="81"/>
            <rFont val="Lucida Console"/>
            <family val="3"/>
          </rPr>
          <t>_x000D_
CABEAMENTO, CONECTORES E TOMADAS</t>
        </r>
      </text>
    </comment>
    <comment ref="AW784" authorId="0" shapeId="0" xr:uid="{6A113765-CBEF-4105-8397-D9485A387917}">
      <text>
        <r>
          <rPr>
            <sz val="10"/>
            <color indexed="81"/>
            <rFont val="Lucida Console"/>
            <family val="3"/>
          </rPr>
          <t>Tempo de Estoque (Meses)_x000D_
_x000D_
700,0</t>
        </r>
      </text>
    </comment>
    <comment ref="A785" authorId="0" shapeId="0" xr:uid="{ADCD6E8C-C6DF-40AD-BB9C-0BA2FC3E31D1}">
      <text>
        <r>
          <rPr>
            <sz val="10"/>
            <color indexed="81"/>
            <rFont val="Lucida Console"/>
            <family val="3"/>
          </rPr>
          <t>_x000D_
136564</t>
        </r>
      </text>
    </comment>
    <comment ref="B785" authorId="0" shapeId="0" xr:uid="{9A4E8C26-C66E-48F5-BA37-43D1EAB0C302}">
      <text>
        <r>
          <rPr>
            <sz val="10"/>
            <color indexed="81"/>
            <rFont val="Lucida Console"/>
            <family val="3"/>
          </rPr>
          <t>DESCRIÇÃO DETALHADA_x000D_
CABO UTP 23 AWG X 4 PARES CATEGORIA 6,CM</t>
        </r>
      </text>
    </comment>
    <comment ref="W785" authorId="0" shapeId="0" xr:uid="{87B695CE-9E2B-46E0-A3DE-27916CC02052}">
      <text>
        <r>
          <rPr>
            <sz val="10"/>
            <color indexed="81"/>
            <rFont val="Lucida Console"/>
            <family val="3"/>
          </rPr>
          <t>_x000D_
Informática</t>
        </r>
      </text>
    </comment>
    <comment ref="X785" authorId="0" shapeId="0" xr:uid="{9CA9DCE9-63EF-46CA-A6B5-8E9AC1D2CF78}">
      <text>
        <r>
          <rPr>
            <sz val="10"/>
            <color indexed="81"/>
            <rFont val="Lucida Console"/>
            <family val="3"/>
          </rPr>
          <t>_x000D_
COMPUT.SOFT. PROCES. EQUIP. SUPRI. COMP. ACESS. INFORMAT</t>
        </r>
      </text>
    </comment>
    <comment ref="Y785" authorId="0" shapeId="0" xr:uid="{5AB5D8D6-EE77-4B96-B59F-5EE6DC7A4FE9}">
      <text>
        <r>
          <rPr>
            <sz val="10"/>
            <color indexed="81"/>
            <rFont val="Lucida Console"/>
            <family val="3"/>
          </rPr>
          <t>_x000D_
CABEAMENTO, CONECTORES E TOMADAS</t>
        </r>
      </text>
    </comment>
    <comment ref="AW785" authorId="0" shapeId="0" xr:uid="{C69887DC-8126-48C7-81F2-466BABC38923}">
      <text>
        <r>
          <rPr>
            <sz val="10"/>
            <color indexed="81"/>
            <rFont val="Lucida Console"/>
            <family val="3"/>
          </rPr>
          <t>Tempo de Estoque (Meses)_x000D_
_x000D_
18.605,0</t>
        </r>
      </text>
    </comment>
    <comment ref="A786" authorId="0" shapeId="0" xr:uid="{FCD74A6B-EF60-42D0-A949-0D0FA44E0143}">
      <text>
        <r>
          <rPr>
            <sz val="10"/>
            <color indexed="81"/>
            <rFont val="Lucida Console"/>
            <family val="3"/>
          </rPr>
          <t>_x000D_
27761</t>
        </r>
      </text>
    </comment>
    <comment ref="B786" authorId="0" shapeId="0" xr:uid="{52F1B960-B991-475D-8E56-2AF8D34FEB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86" authorId="0" shapeId="0" xr:uid="{0C77306B-08B1-4584-81BA-0AF1BBE38563}">
      <text>
        <r>
          <rPr>
            <sz val="10"/>
            <color indexed="81"/>
            <rFont val="Lucida Console"/>
            <family val="3"/>
          </rPr>
          <t>_x000D_
DM-Hidráulica</t>
        </r>
      </text>
    </comment>
    <comment ref="X786" authorId="0" shapeId="0" xr:uid="{410C0429-ED51-4207-8727-2F04E43FCA21}">
      <text>
        <r>
          <rPr>
            <sz val="10"/>
            <color indexed="81"/>
            <rFont val="Lucida Console"/>
            <family val="3"/>
          </rPr>
          <t>_x000D_
MATERIAL HIDRAULICO, CANOS, TUBOS, MANGUEIRAS, CONEXOES E ACESS.</t>
        </r>
      </text>
    </comment>
    <comment ref="Y786" authorId="0" shapeId="0" xr:uid="{6C09A1AD-DB32-449E-8F9E-E15FD542F7FE}">
      <text>
        <r>
          <rPr>
            <sz val="10"/>
            <color indexed="81"/>
            <rFont val="Lucida Console"/>
            <family val="3"/>
          </rPr>
          <t>_x000D_
CANOS E TUBOS PLASTICOS</t>
        </r>
      </text>
    </comment>
    <comment ref="AW786" authorId="0" shapeId="0" xr:uid="{857403D7-AB3B-4BC6-95EA-B62F1A738872}">
      <text>
        <r>
          <rPr>
            <sz val="10"/>
            <color indexed="81"/>
            <rFont val="Lucida Console"/>
            <family val="3"/>
          </rPr>
          <t>Tempo de Estoque (Meses)_x000D_
_x000D_
52,0</t>
        </r>
      </text>
    </comment>
    <comment ref="A787" authorId="0" shapeId="0" xr:uid="{59EB3D7C-84F3-41EE-847D-0C7B4833D5A2}">
      <text>
        <r>
          <rPr>
            <sz val="10"/>
            <color indexed="81"/>
            <rFont val="Lucida Console"/>
            <family val="3"/>
          </rPr>
          <t>_x000D_
27764</t>
        </r>
      </text>
    </comment>
    <comment ref="B787" authorId="0" shapeId="0" xr:uid="{A109C7FF-94F2-4C5F-AE8D-BD68BEE00E25}">
      <text>
        <r>
          <rPr>
            <sz val="10"/>
            <color indexed="81"/>
            <rFont val="Lucida Console"/>
            <family val="3"/>
          </rPr>
          <t>DESCRIÇÃO DETALHADA_x000D_
TUBO DE POLIETILENO DE 1" - (PONTA VERMELHA)</t>
        </r>
      </text>
    </comment>
    <comment ref="W787" authorId="0" shapeId="0" xr:uid="{BAE0EC97-5F6A-42D5-A297-3BC42D58DD8E}">
      <text>
        <r>
          <rPr>
            <sz val="10"/>
            <color indexed="81"/>
            <rFont val="Lucida Console"/>
            <family val="3"/>
          </rPr>
          <t>_x000D_
DM-Hidráulica</t>
        </r>
      </text>
    </comment>
    <comment ref="X787" authorId="0" shapeId="0" xr:uid="{49511E5F-E868-4E1E-959F-006C485D62FE}">
      <text>
        <r>
          <rPr>
            <sz val="10"/>
            <color indexed="81"/>
            <rFont val="Lucida Console"/>
            <family val="3"/>
          </rPr>
          <t>_x000D_
MATERIAL HIDRAULICO, CANOS, TUBOS, MANGUEIRAS, CONEXOES E ACESS.</t>
        </r>
      </text>
    </comment>
    <comment ref="Y787" authorId="0" shapeId="0" xr:uid="{AB2DC555-CC8F-4850-8980-7ED06BCD8C9C}">
      <text>
        <r>
          <rPr>
            <sz val="10"/>
            <color indexed="81"/>
            <rFont val="Lucida Console"/>
            <family val="3"/>
          </rPr>
          <t>_x000D_
CANOS E TUBOS PLASTICOS</t>
        </r>
      </text>
    </comment>
    <comment ref="AW787" authorId="0" shapeId="0" xr:uid="{D36B6211-74B7-4B51-9785-785204F933A7}">
      <text>
        <r>
          <rPr>
            <sz val="10"/>
            <color indexed="81"/>
            <rFont val="Lucida Console"/>
            <family val="3"/>
          </rPr>
          <t>Tempo de Estoque (Meses)_x000D_
_x000D_
560,0</t>
        </r>
      </text>
    </comment>
    <comment ref="A788" authorId="0" shapeId="0" xr:uid="{028DB85B-DD1C-4AE5-B163-BBD491655F4B}">
      <text>
        <r>
          <rPr>
            <sz val="10"/>
            <color indexed="81"/>
            <rFont val="Lucida Console"/>
            <family val="3"/>
          </rPr>
          <t>_x000D_
28512</t>
        </r>
      </text>
    </comment>
    <comment ref="B788" authorId="0" shapeId="0" xr:uid="{D0E05ABB-857A-44EA-BC0E-18319CB75650}">
      <text>
        <r>
          <rPr>
            <sz val="10"/>
            <color indexed="81"/>
            <rFont val="Lucida Console"/>
            <family val="3"/>
          </rPr>
          <t>DESCRIÇÃO DETALHADA_x000D_
TUBO DE POLIETILENO DE 3/4" -  (PONTA VERMELHA)</t>
        </r>
      </text>
    </comment>
    <comment ref="W788" authorId="0" shapeId="0" xr:uid="{1B2A081B-E7D7-4B53-9E07-3FBB0650D7C1}">
      <text>
        <r>
          <rPr>
            <sz val="10"/>
            <color indexed="81"/>
            <rFont val="Lucida Console"/>
            <family val="3"/>
          </rPr>
          <t>_x000D_
DM-Hidráulica</t>
        </r>
      </text>
    </comment>
    <comment ref="X788" authorId="0" shapeId="0" xr:uid="{CBE5E72A-914C-40CF-9674-316E40C281A8}">
      <text>
        <r>
          <rPr>
            <sz val="10"/>
            <color indexed="81"/>
            <rFont val="Lucida Console"/>
            <family val="3"/>
          </rPr>
          <t>_x000D_
MATERIAL HIDRAULICO, CANOS, TUBOS, MANGUEIRAS, CONEXOES E ACESS.</t>
        </r>
      </text>
    </comment>
    <comment ref="Y788" authorId="0" shapeId="0" xr:uid="{22EBFCEA-32DE-4559-B932-C8809F40B71B}">
      <text>
        <r>
          <rPr>
            <sz val="10"/>
            <color indexed="81"/>
            <rFont val="Lucida Console"/>
            <family val="3"/>
          </rPr>
          <t>_x000D_
CANOS E TUBOS PLASTICOS</t>
        </r>
      </text>
    </comment>
    <comment ref="AW788" authorId="0" shapeId="0" xr:uid="{BF16EBD2-9455-4F0A-B5AE-87405748C2C7}">
      <text>
        <r>
          <rPr>
            <sz val="10"/>
            <color indexed="81"/>
            <rFont val="Lucida Console"/>
            <family val="3"/>
          </rPr>
          <t>Tempo de Estoque (Meses)_x000D_
_x000D_
404,0</t>
        </r>
      </text>
    </comment>
    <comment ref="A789" authorId="0" shapeId="0" xr:uid="{C13DC101-1BEE-4742-8CA8-51FC15337B47}">
      <text>
        <r>
          <rPr>
            <sz val="10"/>
            <color indexed="81"/>
            <rFont val="Lucida Console"/>
            <family val="3"/>
          </rPr>
          <t>_x000D_
123710</t>
        </r>
      </text>
    </comment>
    <comment ref="B789" authorId="0" shapeId="0" xr:uid="{514C0B44-1ED2-4B92-B044-C86EF7823D7F}">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89" authorId="0" shapeId="0" xr:uid="{CE72E9AC-A6D2-4C09-96AF-D929820412B9}">
      <text>
        <r>
          <rPr>
            <sz val="10"/>
            <color indexed="81"/>
            <rFont val="Lucida Console"/>
            <family val="3"/>
          </rPr>
          <t>_x000D_
DM-Construção</t>
        </r>
      </text>
    </comment>
    <comment ref="X789" authorId="0" shapeId="0" xr:uid="{3D4B0B28-95F3-4881-9E04-10AF399E2068}">
      <text>
        <r>
          <rPr>
            <sz val="10"/>
            <color indexed="81"/>
            <rFont val="Lucida Console"/>
            <family val="3"/>
          </rPr>
          <t>_x000D_
MATERIAL HIDRAULICO, CANOS, TUBOS, MANGUEIRAS, CONEXOES E ACESS.</t>
        </r>
      </text>
    </comment>
    <comment ref="Y789" authorId="0" shapeId="0" xr:uid="{60887785-FB72-4DCE-964C-8BAEB2D805B7}">
      <text>
        <r>
          <rPr>
            <sz val="10"/>
            <color indexed="81"/>
            <rFont val="Lucida Console"/>
            <family val="3"/>
          </rPr>
          <t>_x000D_
MANGUEIRAS PLASTICAS E METALICAS</t>
        </r>
      </text>
    </comment>
    <comment ref="AW789" authorId="0" shapeId="0" xr:uid="{3CFCDF04-A5FA-4D13-8181-FE6D5F32C185}">
      <text>
        <r>
          <rPr>
            <sz val="10"/>
            <color indexed="81"/>
            <rFont val="Lucida Console"/>
            <family val="3"/>
          </rPr>
          <t>Tempo de Estoque (Meses)_x000D_
_x000D_
100,0</t>
        </r>
      </text>
    </comment>
    <comment ref="A790" authorId="0" shapeId="0" xr:uid="{44D8E141-057A-41AC-9597-DF06B87933E6}">
      <text>
        <r>
          <rPr>
            <sz val="10"/>
            <color indexed="81"/>
            <rFont val="Lucida Console"/>
            <family val="3"/>
          </rPr>
          <t>_x000D_
13068</t>
        </r>
      </text>
    </comment>
    <comment ref="B790" authorId="0" shapeId="0" xr:uid="{23389B61-C75B-42FB-A799-6CB4E81B0B3B}">
      <text>
        <r>
          <rPr>
            <sz val="10"/>
            <color indexed="81"/>
            <rFont val="Lucida Console"/>
            <family val="3"/>
          </rPr>
          <t>DESCRIÇÃO DETALHADA_x000D_
TE DE REDUCAO PVC RIGIDO SOLDAVEL MARROM 1.1/2 X 3/4". A MARCA DEVERA VIR LITOGRAFADA NA PECA.</t>
        </r>
      </text>
    </comment>
    <comment ref="W790" authorId="0" shapeId="0" xr:uid="{8AF8F0C3-2E95-4021-930D-3AA43A0B1507}">
      <text>
        <r>
          <rPr>
            <sz val="10"/>
            <color indexed="81"/>
            <rFont val="Lucida Console"/>
            <family val="3"/>
          </rPr>
          <t>_x000D_
DM-Hidráulica</t>
        </r>
      </text>
    </comment>
    <comment ref="X790" authorId="0" shapeId="0" xr:uid="{50883705-D879-4575-8385-7056FCC6EBE1}">
      <text>
        <r>
          <rPr>
            <sz val="10"/>
            <color indexed="81"/>
            <rFont val="Lucida Console"/>
            <family val="3"/>
          </rPr>
          <t>_x000D_
MATERIAL HIDRAULICO, CANOS, TUBOS, MANGUEIRAS, CONEXOES E ACESS.</t>
        </r>
      </text>
    </comment>
    <comment ref="Y790" authorId="0" shapeId="0" xr:uid="{31604C90-C228-4832-91F5-06D2F5FDA01A}">
      <text>
        <r>
          <rPr>
            <sz val="10"/>
            <color indexed="81"/>
            <rFont val="Lucida Console"/>
            <family val="3"/>
          </rPr>
          <t>_x000D_
ADAP. LUVAS.TES CURVAS COTOVELOS PLUGS FLANGES.....</t>
        </r>
      </text>
    </comment>
    <comment ref="AW790" authorId="0" shapeId="0" xr:uid="{B30A8325-CBBD-4670-87EB-79F0C057C382}">
      <text>
        <r>
          <rPr>
            <sz val="10"/>
            <color indexed="81"/>
            <rFont val="Lucida Console"/>
            <family val="3"/>
          </rPr>
          <t>Tempo de Estoque (Meses)_x000D_
_x000D_
163,0</t>
        </r>
      </text>
    </comment>
    <comment ref="A791" authorId="0" shapeId="0" xr:uid="{EE4F116D-39B3-4F97-BC89-F1F1A08B3E07}">
      <text>
        <r>
          <rPr>
            <sz val="10"/>
            <color indexed="81"/>
            <rFont val="Lucida Console"/>
            <family val="3"/>
          </rPr>
          <t>_x000D_
13102</t>
        </r>
      </text>
    </comment>
    <comment ref="B791" authorId="0" shapeId="0" xr:uid="{3B58857C-81B7-4AC2-8771-39EBB5AF46FB}">
      <text>
        <r>
          <rPr>
            <sz val="10"/>
            <color indexed="81"/>
            <rFont val="Lucida Console"/>
            <family val="3"/>
          </rPr>
          <t>DESCRIÇÃO DETALHADA_x000D_
TE DE REDUCAO EM PVC RIGIDO SOLDAVEL MARROM 1" X 3/4". A MARCA DEVERA VIR LITOGRAFADA NA PECA.</t>
        </r>
      </text>
    </comment>
    <comment ref="W791" authorId="0" shapeId="0" xr:uid="{E561AB1F-7B8F-41D8-993D-88B5177CB8B2}">
      <text>
        <r>
          <rPr>
            <sz val="10"/>
            <color indexed="81"/>
            <rFont val="Lucida Console"/>
            <family val="3"/>
          </rPr>
          <t>_x000D_
DM-Hidráulica</t>
        </r>
      </text>
    </comment>
    <comment ref="X791" authorId="0" shapeId="0" xr:uid="{0D934CD7-3C76-484E-B75C-E8AAD91EF433}">
      <text>
        <r>
          <rPr>
            <sz val="10"/>
            <color indexed="81"/>
            <rFont val="Lucida Console"/>
            <family val="3"/>
          </rPr>
          <t>_x000D_
MATERIAL HIDRAULICO, CANOS, TUBOS, MANGUEIRAS, CONEXOES E ACESS.</t>
        </r>
      </text>
    </comment>
    <comment ref="Y791" authorId="0" shapeId="0" xr:uid="{10E0843C-1A0B-4191-85F6-96578BDFC1B8}">
      <text>
        <r>
          <rPr>
            <sz val="10"/>
            <color indexed="81"/>
            <rFont val="Lucida Console"/>
            <family val="3"/>
          </rPr>
          <t>_x000D_
ADAP. LUVAS.TES CURVAS COTOVELOS PLUGS FLANGES.....</t>
        </r>
      </text>
    </comment>
    <comment ref="AW791" authorId="0" shapeId="0" xr:uid="{B5D87F90-A2E9-422B-9B6F-8804C06A2457}">
      <text>
        <r>
          <rPr>
            <sz val="10"/>
            <color indexed="81"/>
            <rFont val="Lucida Console"/>
            <family val="3"/>
          </rPr>
          <t>Tempo de Estoque (Meses)_x000D_
_x000D_
24,0</t>
        </r>
      </text>
    </comment>
    <comment ref="A792" authorId="0" shapeId="0" xr:uid="{DF524EF9-4D13-40A7-A246-BF4EA87EB52C}">
      <text>
        <r>
          <rPr>
            <sz val="10"/>
            <color indexed="81"/>
            <rFont val="Lucida Console"/>
            <family val="3"/>
          </rPr>
          <t>_x000D_
38534</t>
        </r>
      </text>
    </comment>
    <comment ref="B792" authorId="0" shapeId="0" xr:uid="{36D3BC40-CC9C-448E-9A32-175DA05BEE31}">
      <text>
        <r>
          <rPr>
            <sz val="10"/>
            <color indexed="81"/>
            <rFont val="Lucida Console"/>
            <family val="3"/>
          </rPr>
          <t>DESCRIÇÃO DETALHADA_x000D_
COTOVELO 90 GRAUS EM PVC RIGIDO SOLDAVEL MARROM  - 2". A MARCA DEVERA VIR LITOGRAFADA NA PECA.</t>
        </r>
      </text>
    </comment>
    <comment ref="W792" authorId="0" shapeId="0" xr:uid="{90982968-BC9D-4493-9212-DCF8167EB5EB}">
      <text>
        <r>
          <rPr>
            <sz val="10"/>
            <color indexed="81"/>
            <rFont val="Lucida Console"/>
            <family val="3"/>
          </rPr>
          <t>_x000D_
DM-Hidráulica</t>
        </r>
      </text>
    </comment>
    <comment ref="X792" authorId="0" shapeId="0" xr:uid="{65A7F35B-7F7C-441D-AAD9-23A09B34818C}">
      <text>
        <r>
          <rPr>
            <sz val="10"/>
            <color indexed="81"/>
            <rFont val="Lucida Console"/>
            <family val="3"/>
          </rPr>
          <t>_x000D_
MATERIAL HIDRAULICO, CANOS, TUBOS, MANGUEIRAS, CONEXOES E ACESS.</t>
        </r>
      </text>
    </comment>
    <comment ref="Y792" authorId="0" shapeId="0" xr:uid="{AAB0D933-AD90-41C7-894D-8D15FAD18F6A}">
      <text>
        <r>
          <rPr>
            <sz val="10"/>
            <color indexed="81"/>
            <rFont val="Lucida Console"/>
            <family val="3"/>
          </rPr>
          <t>_x000D_
ADAP. LUVAS.TES CURVAS COTOVELOS PLUGS FLANGES.....</t>
        </r>
      </text>
    </comment>
    <comment ref="AW792" authorId="0" shapeId="0" xr:uid="{B8A4E529-9879-44DF-956D-A6918CC2AB9D}">
      <text>
        <r>
          <rPr>
            <sz val="10"/>
            <color indexed="81"/>
            <rFont val="Lucida Console"/>
            <family val="3"/>
          </rPr>
          <t>Tempo de Estoque (Meses)_x000D_
_x000D_
102,0</t>
        </r>
      </text>
    </comment>
    <comment ref="A793" authorId="0" shapeId="0" xr:uid="{D770BF28-D4D0-494C-818E-2B178BA8D000}">
      <text>
        <r>
          <rPr>
            <sz val="10"/>
            <color indexed="81"/>
            <rFont val="Lucida Console"/>
            <family val="3"/>
          </rPr>
          <t>_x000D_
40772</t>
        </r>
      </text>
    </comment>
    <comment ref="B793" authorId="0" shapeId="0" xr:uid="{5F72C9CF-BC4C-4158-B3D3-842667AE0CD3}">
      <text>
        <r>
          <rPr>
            <sz val="10"/>
            <color indexed="81"/>
            <rFont val="Lucida Console"/>
            <family val="3"/>
          </rPr>
          <t xml:space="preserve">DESCRIÇÃO DETALHADA_x000D_
LUVA DE PVC RIGIDO SOLDAVEL MARROM DE 1.1/4", DE ACORDO COM A NBR 5648 E A MARCA, MEDIDA E NBR DEVERAO VIR LITOGRAFADA NA PECA </t>
        </r>
      </text>
    </comment>
    <comment ref="W793" authorId="0" shapeId="0" xr:uid="{246E11CA-AED9-4259-A623-ACDC11C5991C}">
      <text>
        <r>
          <rPr>
            <sz val="10"/>
            <color indexed="81"/>
            <rFont val="Lucida Console"/>
            <family val="3"/>
          </rPr>
          <t>_x000D_
DM-Hidráulica</t>
        </r>
      </text>
    </comment>
    <comment ref="X793" authorId="0" shapeId="0" xr:uid="{CBF6427E-FA85-42EE-A81D-B3D3B4CD45E8}">
      <text>
        <r>
          <rPr>
            <sz val="10"/>
            <color indexed="81"/>
            <rFont val="Lucida Console"/>
            <family val="3"/>
          </rPr>
          <t>_x000D_
MATERIAL HIDRAULICO, CANOS, TUBOS, MANGUEIRAS, CONEXOES E ACESS.</t>
        </r>
      </text>
    </comment>
    <comment ref="Y793" authorId="0" shapeId="0" xr:uid="{58B2B25F-FF93-4989-A25D-AF197C1C3C20}">
      <text>
        <r>
          <rPr>
            <sz val="10"/>
            <color indexed="81"/>
            <rFont val="Lucida Console"/>
            <family val="3"/>
          </rPr>
          <t>_x000D_
ADAP. LUVAS.TES CURVAS COTOVELOS PLUGS FLANGES.....</t>
        </r>
      </text>
    </comment>
    <comment ref="AW793" authorId="0" shapeId="0" xr:uid="{3FDDE00E-19F8-4EEE-ADE2-FEE97392BC24}">
      <text>
        <r>
          <rPr>
            <sz val="10"/>
            <color indexed="81"/>
            <rFont val="Lucida Console"/>
            <family val="3"/>
          </rPr>
          <t>Tempo de Estoque (Meses)_x000D_
_x000D_
163,0</t>
        </r>
      </text>
    </comment>
    <comment ref="A794" authorId="0" shapeId="0" xr:uid="{E2636649-F320-42D7-97D3-2D8975D6E65D}">
      <text>
        <r>
          <rPr>
            <sz val="10"/>
            <color indexed="81"/>
            <rFont val="Lucida Console"/>
            <family val="3"/>
          </rPr>
          <t>_x000D_
44789</t>
        </r>
      </text>
    </comment>
    <comment ref="B794" authorId="0" shapeId="0" xr:uid="{962B0354-1B86-45B0-A784-9A3B69B04D38}">
      <text>
        <r>
          <rPr>
            <sz val="10"/>
            <color indexed="81"/>
            <rFont val="Lucida Console"/>
            <family val="3"/>
          </rPr>
          <t>DESCRIÇÃO DETALHADA_x000D_
LUVA DE REDUCAO EM PVC RIGIDO SOLDAVEL MARROM DE 2" X 1 1/2". A MARCA DEVERA VIR LITOGRAFADA NA PECA.</t>
        </r>
      </text>
    </comment>
    <comment ref="W794" authorId="0" shapeId="0" xr:uid="{3D0B861B-C8E2-4015-9224-4EC9C46F9B19}">
      <text>
        <r>
          <rPr>
            <sz val="10"/>
            <color indexed="81"/>
            <rFont val="Lucida Console"/>
            <family val="3"/>
          </rPr>
          <t>_x000D_
DM-Hidráulica</t>
        </r>
      </text>
    </comment>
    <comment ref="X794" authorId="0" shapeId="0" xr:uid="{F25403BC-606E-40DD-BDFF-76E4B62A4BB3}">
      <text>
        <r>
          <rPr>
            <sz val="10"/>
            <color indexed="81"/>
            <rFont val="Lucida Console"/>
            <family val="3"/>
          </rPr>
          <t>_x000D_
MATERIAL HIDRAULICO, CANOS, TUBOS, MANGUEIRAS, CONEXOES E ACESS.</t>
        </r>
      </text>
    </comment>
    <comment ref="Y794" authorId="0" shapeId="0" xr:uid="{C9593FE3-E5EA-47EA-B889-A87811B4AFD5}">
      <text>
        <r>
          <rPr>
            <sz val="10"/>
            <color indexed="81"/>
            <rFont val="Lucida Console"/>
            <family val="3"/>
          </rPr>
          <t>_x000D_
ADAP. LUVAS.TES CURVAS COTOVELOS PLUGS FLANGES.....</t>
        </r>
      </text>
    </comment>
    <comment ref="AW794" authorId="0" shapeId="0" xr:uid="{47E4ED15-7548-4E02-A759-6763C74B9AA7}">
      <text>
        <r>
          <rPr>
            <sz val="10"/>
            <color indexed="81"/>
            <rFont val="Lucida Console"/>
            <family val="3"/>
          </rPr>
          <t>Tempo de Estoque (Meses)_x000D_
_x000D_
123,0</t>
        </r>
      </text>
    </comment>
    <comment ref="A795" authorId="0" shapeId="0" xr:uid="{BBB7F2A0-9807-4A57-9F7C-4BDFF87469B6}">
      <text>
        <r>
          <rPr>
            <sz val="10"/>
            <color indexed="81"/>
            <rFont val="Lucida Console"/>
            <family val="3"/>
          </rPr>
          <t>_x000D_
64635</t>
        </r>
      </text>
    </comment>
    <comment ref="B795" authorId="0" shapeId="0" xr:uid="{C025063D-82F0-4B7B-9BA5-E1C1582E3AFE}">
      <text>
        <r>
          <rPr>
            <sz val="10"/>
            <color indexed="81"/>
            <rFont val="Lucida Console"/>
            <family val="3"/>
          </rPr>
          <t>DESCRIÇÃO DETALHADA_x000D_
LUVA DE REDUCAO EM PVC RIGIDO - BRANCA - 150 X 100 MM - 6"X 4" - PARA ESGOTO</t>
        </r>
      </text>
    </comment>
    <comment ref="W795" authorId="0" shapeId="0" xr:uid="{36D69ABD-69B1-4CE0-982B-1F30FD3AEACD}">
      <text>
        <r>
          <rPr>
            <sz val="10"/>
            <color indexed="81"/>
            <rFont val="Lucida Console"/>
            <family val="3"/>
          </rPr>
          <t>_x000D_
DM-Hidráulica</t>
        </r>
      </text>
    </comment>
    <comment ref="X795" authorId="0" shapeId="0" xr:uid="{2CA74E10-D1CF-443A-806A-C53A5A43CA1B}">
      <text>
        <r>
          <rPr>
            <sz val="10"/>
            <color indexed="81"/>
            <rFont val="Lucida Console"/>
            <family val="3"/>
          </rPr>
          <t>_x000D_
MATERIAL HIDRAULICO, CANOS, TUBOS, MANGUEIRAS, CONEXOES E ACESS.</t>
        </r>
      </text>
    </comment>
    <comment ref="Y795" authorId="0" shapeId="0" xr:uid="{C994ABC6-E71C-4420-A4E7-55B554C49CB5}">
      <text>
        <r>
          <rPr>
            <sz val="10"/>
            <color indexed="81"/>
            <rFont val="Lucida Console"/>
            <family val="3"/>
          </rPr>
          <t>_x000D_
ADAP. LUVAS.TES CURVAS COTOVELOS PLUGS FLANGES.....</t>
        </r>
      </text>
    </comment>
    <comment ref="AW795" authorId="0" shapeId="0" xr:uid="{F0C8C94E-8B35-4813-AB1D-262269545707}">
      <text>
        <r>
          <rPr>
            <sz val="10"/>
            <color indexed="81"/>
            <rFont val="Lucida Console"/>
            <family val="3"/>
          </rPr>
          <t>Tempo de Estoque (Meses)_x000D_
_x000D_
70,0</t>
        </r>
      </text>
    </comment>
    <comment ref="A796" authorId="0" shapeId="0" xr:uid="{8418ECE0-2B28-4A73-A830-BA7288282B50}">
      <text>
        <r>
          <rPr>
            <sz val="10"/>
            <color indexed="81"/>
            <rFont val="Lucida Console"/>
            <family val="3"/>
          </rPr>
          <t>_x000D_
64648</t>
        </r>
      </text>
    </comment>
    <comment ref="B796" authorId="0" shapeId="0" xr:uid="{A8B18D43-BACB-4DC4-9320-A12A8BDD50AD}">
      <text>
        <r>
          <rPr>
            <sz val="10"/>
            <color indexed="81"/>
            <rFont val="Lucida Console"/>
            <family val="3"/>
          </rPr>
          <t>DESCRIÇÃO DETALHADA_x000D_
TE EM PVC RIGIDO - SOLDAVEL - 90 GRAUS - 150 MM - 6" - PARAESGOTO</t>
        </r>
      </text>
    </comment>
    <comment ref="W796" authorId="0" shapeId="0" xr:uid="{6AE85359-D7D0-4D5B-A408-9AE170F093F6}">
      <text>
        <r>
          <rPr>
            <sz val="10"/>
            <color indexed="81"/>
            <rFont val="Lucida Console"/>
            <family val="3"/>
          </rPr>
          <t>_x000D_
DM-Hidráulica</t>
        </r>
      </text>
    </comment>
    <comment ref="X796" authorId="0" shapeId="0" xr:uid="{CBC5975E-8CC4-41C6-B1D7-2C03851E39DE}">
      <text>
        <r>
          <rPr>
            <sz val="10"/>
            <color indexed="81"/>
            <rFont val="Lucida Console"/>
            <family val="3"/>
          </rPr>
          <t>_x000D_
MATERIAL HIDRAULICO, CANOS, TUBOS, MANGUEIRAS, CONEXOES E ACESS.</t>
        </r>
      </text>
    </comment>
    <comment ref="Y796" authorId="0" shapeId="0" xr:uid="{33BE00C3-1B8E-4B29-80D0-F7A5CD0A94DA}">
      <text>
        <r>
          <rPr>
            <sz val="10"/>
            <color indexed="81"/>
            <rFont val="Lucida Console"/>
            <family val="3"/>
          </rPr>
          <t>_x000D_
ADAP. LUVAS.TES CURVAS COTOVELOS PLUGS FLANGES.....</t>
        </r>
      </text>
    </comment>
    <comment ref="AW796" authorId="0" shapeId="0" xr:uid="{1C9BE78A-029F-401F-A93D-08271EB3B8FD}">
      <text>
        <r>
          <rPr>
            <sz val="10"/>
            <color indexed="81"/>
            <rFont val="Lucida Console"/>
            <family val="3"/>
          </rPr>
          <t>Tempo de Estoque (Meses)_x000D_
_x000D_
24,0</t>
        </r>
      </text>
    </comment>
    <comment ref="A797" authorId="0" shapeId="0" xr:uid="{E38F7BFE-74EB-45E1-BA37-CAE36DBFB342}">
      <text>
        <r>
          <rPr>
            <sz val="10"/>
            <color indexed="81"/>
            <rFont val="Lucida Console"/>
            <family val="3"/>
          </rPr>
          <t>_x000D_
128229</t>
        </r>
      </text>
    </comment>
    <comment ref="B797" authorId="0" shapeId="0" xr:uid="{724C1A5D-87C0-453D-854E-938A359BB1E9}">
      <text>
        <r>
          <rPr>
            <sz val="10"/>
            <color indexed="81"/>
            <rFont val="Lucida Console"/>
            <family val="3"/>
          </rPr>
          <t>DESCRIÇÃO DETALHADA_x000D_
CAP DE PVC MARROM PARA AGUA DE 50 MM  X  1 1/2" - DE ACORDO COM NBR 5648 E A MARCA, MEDIDA E NBR DEVERAO VIR LITOGRAFADA NA PECA</t>
        </r>
      </text>
    </comment>
    <comment ref="W797" authorId="0" shapeId="0" xr:uid="{DC802863-BF21-4E2B-87E4-76EBE5601F17}">
      <text>
        <r>
          <rPr>
            <sz val="10"/>
            <color indexed="81"/>
            <rFont val="Lucida Console"/>
            <family val="3"/>
          </rPr>
          <t>_x000D_
DM-Hidráulica</t>
        </r>
      </text>
    </comment>
    <comment ref="X797" authorId="0" shapeId="0" xr:uid="{C00717B7-B3AE-4FF3-96CF-400FB5300C60}">
      <text>
        <r>
          <rPr>
            <sz val="10"/>
            <color indexed="81"/>
            <rFont val="Lucida Console"/>
            <family val="3"/>
          </rPr>
          <t>_x000D_
MATERIAL HIDRAULICO, CANOS, TUBOS, MANGUEIRAS, CONEXOES E ACESS.</t>
        </r>
      </text>
    </comment>
    <comment ref="Y797" authorId="0" shapeId="0" xr:uid="{A968E5C6-14E7-47B7-892B-6E4339383398}">
      <text>
        <r>
          <rPr>
            <sz val="10"/>
            <color indexed="81"/>
            <rFont val="Lucida Console"/>
            <family val="3"/>
          </rPr>
          <t>_x000D_
ADAP. LUVAS.TES CURVAS COTOVELOS PLUGS FLANGES.....</t>
        </r>
      </text>
    </comment>
    <comment ref="AW797" authorId="0" shapeId="0" xr:uid="{CB35BF68-B8E7-4671-A0FB-4C8CEE19D630}">
      <text>
        <r>
          <rPr>
            <sz val="10"/>
            <color indexed="81"/>
            <rFont val="Lucida Console"/>
            <family val="3"/>
          </rPr>
          <t>Tempo de Estoque (Meses)_x000D_
_x000D_
108,0</t>
        </r>
      </text>
    </comment>
    <comment ref="A798" authorId="0" shapeId="0" xr:uid="{6243DEAD-7750-449B-A4B2-870C93A4C973}">
      <text>
        <r>
          <rPr>
            <sz val="10"/>
            <color indexed="81"/>
            <rFont val="Lucida Console"/>
            <family val="3"/>
          </rPr>
          <t>_x000D_
105114</t>
        </r>
      </text>
    </comment>
    <comment ref="B798" authorId="0" shapeId="0" xr:uid="{2077E133-EBC4-47B9-9BB7-06AD8193D369}">
      <text>
        <r>
          <rPr>
            <sz val="10"/>
            <color indexed="81"/>
            <rFont val="Lucida Console"/>
            <family val="3"/>
          </rPr>
          <t>DESCRIÇÃO DETALHADA_x000D_
CAMISA DE BRIM, N° 2, CONFECCIONADA EM TECIDO 100% ALGODAO, NA COR AZUL MARINHO</t>
        </r>
      </text>
    </comment>
    <comment ref="W798" authorId="0" shapeId="0" xr:uid="{2B86DF41-4562-4E8E-ACA9-8076C646A192}">
      <text>
        <r>
          <rPr>
            <sz val="10"/>
            <color indexed="81"/>
            <rFont val="Lucida Console"/>
            <family val="3"/>
          </rPr>
          <t>_x000D_
SegMedTra</t>
        </r>
      </text>
    </comment>
    <comment ref="X798" authorId="0" shapeId="0" xr:uid="{7730DC89-74F7-4B6A-95D8-FD6DCE79DB4A}">
      <text>
        <r>
          <rPr>
            <sz val="10"/>
            <color indexed="81"/>
            <rFont val="Lucida Console"/>
            <family val="3"/>
          </rPr>
          <t>_x000D_
VEST., ART.P/ TOUC.E HIG. PES. MAQ., EQUIP., MAT.E ACES.</t>
        </r>
      </text>
    </comment>
    <comment ref="Y798" authorId="0" shapeId="0" xr:uid="{65EDDF82-33A3-481F-AC1F-5CB9C7733364}">
      <text>
        <r>
          <rPr>
            <sz val="10"/>
            <color indexed="81"/>
            <rFont val="Lucida Console"/>
            <family val="3"/>
          </rPr>
          <t>_x000D_
CAMISA E CAMISETA</t>
        </r>
      </text>
    </comment>
    <comment ref="AW798" authorId="0" shapeId="0" xr:uid="{5446B16A-2F38-4A43-9480-A6AA73EC003D}">
      <text>
        <r>
          <rPr>
            <sz val="10"/>
            <color indexed="81"/>
            <rFont val="Lucida Console"/>
            <family val="3"/>
          </rPr>
          <t>Tempo de Estoque (Meses)_x000D_
_x000D_
39,0</t>
        </r>
      </text>
    </comment>
    <comment ref="A799" authorId="0" shapeId="0" xr:uid="{AB28EC2D-B408-4034-A5D5-F8D363D245E5}">
      <text>
        <r>
          <rPr>
            <sz val="10"/>
            <color indexed="81"/>
            <rFont val="Lucida Console"/>
            <family val="3"/>
          </rPr>
          <t>_x000D_
105115</t>
        </r>
      </text>
    </comment>
    <comment ref="B799" authorId="0" shapeId="0" xr:uid="{DD70AE88-8287-44D7-B30D-4D0B2AACA39F}">
      <text>
        <r>
          <rPr>
            <sz val="10"/>
            <color indexed="81"/>
            <rFont val="Lucida Console"/>
            <family val="3"/>
          </rPr>
          <t>DESCRIÇÃO DETALHADA_x000D_
CAMISA DE BRIM, N° 3, CONFECCIONADA EM TECIDO 100% ALGODAO, NA COR AZUL MARINHO</t>
        </r>
      </text>
    </comment>
    <comment ref="W799" authorId="0" shapeId="0" xr:uid="{ECA9630B-55A5-43E2-8CE4-FFBAE0EBD107}">
      <text>
        <r>
          <rPr>
            <sz val="10"/>
            <color indexed="81"/>
            <rFont val="Lucida Console"/>
            <family val="3"/>
          </rPr>
          <t>_x000D_
SegMedTra</t>
        </r>
      </text>
    </comment>
    <comment ref="X799" authorId="0" shapeId="0" xr:uid="{395CAABC-4C09-4320-A3A6-869A1D717BF8}">
      <text>
        <r>
          <rPr>
            <sz val="10"/>
            <color indexed="81"/>
            <rFont val="Lucida Console"/>
            <family val="3"/>
          </rPr>
          <t>_x000D_
VEST., ART.P/ TOUC.E HIG. PES. MAQ., EQUIP., MAT.E ACES.</t>
        </r>
      </text>
    </comment>
    <comment ref="Y799" authorId="0" shapeId="0" xr:uid="{B8954465-3DEE-4BD6-8182-F4AE36729B8F}">
      <text>
        <r>
          <rPr>
            <sz val="10"/>
            <color indexed="81"/>
            <rFont val="Lucida Console"/>
            <family val="3"/>
          </rPr>
          <t>_x000D_
CAMISA E CAMISETA</t>
        </r>
      </text>
    </comment>
    <comment ref="AW799" authorId="0" shapeId="0" xr:uid="{15B39C9E-517D-489A-A97F-205620EDE556}">
      <text>
        <r>
          <rPr>
            <sz val="10"/>
            <color indexed="81"/>
            <rFont val="Lucida Console"/>
            <family val="3"/>
          </rPr>
          <t>Tempo de Estoque (Meses)_x000D_
_x000D_
24,0</t>
        </r>
      </text>
    </comment>
    <comment ref="A800" authorId="0" shapeId="0" xr:uid="{95888690-6930-45CB-AE04-D10FF1195F37}">
      <text>
        <r>
          <rPr>
            <sz val="10"/>
            <color indexed="81"/>
            <rFont val="Lucida Console"/>
            <family val="3"/>
          </rPr>
          <t>_x000D_
105118</t>
        </r>
      </text>
    </comment>
    <comment ref="B800" authorId="0" shapeId="0" xr:uid="{42BE7601-62E6-402F-AE11-6BD0D307DC19}">
      <text>
        <r>
          <rPr>
            <sz val="10"/>
            <color indexed="81"/>
            <rFont val="Lucida Console"/>
            <family val="3"/>
          </rPr>
          <t>DESCRIÇÃO DETALHADA_x000D_
CAMISA DE BRIM, N° 6, CONFECCIONADA EM TECIDO 100% ALGODAO, NA COR AZUL MARINHO</t>
        </r>
      </text>
    </comment>
    <comment ref="W800" authorId="0" shapeId="0" xr:uid="{870CBF04-0A4C-458A-9F19-5BC9522E7D25}">
      <text>
        <r>
          <rPr>
            <sz val="10"/>
            <color indexed="81"/>
            <rFont val="Lucida Console"/>
            <family val="3"/>
          </rPr>
          <t>_x000D_
SegMedTra</t>
        </r>
      </text>
    </comment>
    <comment ref="X800" authorId="0" shapeId="0" xr:uid="{B571C5A7-96BF-42C4-AA57-9B9219653A1F}">
      <text>
        <r>
          <rPr>
            <sz val="10"/>
            <color indexed="81"/>
            <rFont val="Lucida Console"/>
            <family val="3"/>
          </rPr>
          <t>_x000D_
VEST., ART.P/ TOUC.E HIG. PES. MAQ., EQUIP., MAT.E ACES.</t>
        </r>
      </text>
    </comment>
    <comment ref="Y800" authorId="0" shapeId="0" xr:uid="{EA972345-D70C-463D-BCAE-9A1ADE5DB55E}">
      <text>
        <r>
          <rPr>
            <sz val="10"/>
            <color indexed="81"/>
            <rFont val="Lucida Console"/>
            <family val="3"/>
          </rPr>
          <t>_x000D_
CAMISA E CAMISETA</t>
        </r>
      </text>
    </comment>
    <comment ref="AW800" authorId="0" shapeId="0" xr:uid="{1AF243C2-E2DD-40E7-9260-F460A760A18D}">
      <text>
        <r>
          <rPr>
            <sz val="10"/>
            <color indexed="81"/>
            <rFont val="Lucida Console"/>
            <family val="3"/>
          </rPr>
          <t>Tempo de Estoque (Meses)_x000D_
_x000D_
2,0</t>
        </r>
      </text>
    </comment>
    <comment ref="A801" authorId="0" shapeId="0" xr:uid="{FF13CA5B-46C6-4865-B31C-19EDF2D0C50F}">
      <text>
        <r>
          <rPr>
            <sz val="10"/>
            <color indexed="81"/>
            <rFont val="Lucida Console"/>
            <family val="3"/>
          </rPr>
          <t>_x000D_
136674</t>
        </r>
      </text>
    </comment>
    <comment ref="B801" authorId="0" shapeId="0" xr:uid="{0BC7F063-09AA-4DC1-997A-2C0AACD01FCB}">
      <text>
        <r>
          <rPr>
            <sz val="10"/>
            <color indexed="81"/>
            <rFont val="Lucida Console"/>
            <family val="3"/>
          </rPr>
          <t>DESCRIÇÃO DETALHADA_x000D_
CAMISA DE BRIM N° 2, CONFECCIONADA EM TECIDO 100% ALGODAO, NA COR AZUL MARINHO, MANGAS LONGAS.</t>
        </r>
      </text>
    </comment>
    <comment ref="W801" authorId="0" shapeId="0" xr:uid="{CA8B5CF6-8256-44E8-BA42-75E7E7D1110E}">
      <text>
        <r>
          <rPr>
            <sz val="10"/>
            <color indexed="81"/>
            <rFont val="Lucida Console"/>
            <family val="3"/>
          </rPr>
          <t>_x000D_
SegMedTra</t>
        </r>
      </text>
    </comment>
    <comment ref="X801" authorId="0" shapeId="0" xr:uid="{3A6B0DD4-409A-4491-86E2-1583916E5B57}">
      <text>
        <r>
          <rPr>
            <sz val="10"/>
            <color indexed="81"/>
            <rFont val="Lucida Console"/>
            <family val="3"/>
          </rPr>
          <t>_x000D_
VEST., ART.P/ TOUC.E HIG. PES. MAQ., EQUIP., MAT.E ACES.</t>
        </r>
      </text>
    </comment>
    <comment ref="Y801" authorId="0" shapeId="0" xr:uid="{2BA60BBA-67D9-4F4A-9C0B-9C8B4F194364}">
      <text>
        <r>
          <rPr>
            <sz val="10"/>
            <color indexed="81"/>
            <rFont val="Lucida Console"/>
            <family val="3"/>
          </rPr>
          <t>_x000D_
CAMISA E CAMISETA</t>
        </r>
      </text>
    </comment>
    <comment ref="AW801" authorId="0" shapeId="0" xr:uid="{5EFDCBF2-4C8C-4E9D-90F9-3408A684DA41}">
      <text>
        <r>
          <rPr>
            <sz val="10"/>
            <color indexed="81"/>
            <rFont val="Lucida Console"/>
            <family val="3"/>
          </rPr>
          <t>Tempo de Estoque (Meses)_x000D_
_x000D_
6,0</t>
        </r>
      </text>
    </comment>
    <comment ref="A802" authorId="0" shapeId="0" xr:uid="{1A1164F9-94AA-44F6-9DEF-FC1DDDE7B8D9}">
      <text>
        <r>
          <rPr>
            <sz val="10"/>
            <color indexed="81"/>
            <rFont val="Lucida Console"/>
            <family val="3"/>
          </rPr>
          <t>_x000D_
136675</t>
        </r>
      </text>
    </comment>
    <comment ref="B802" authorId="0" shapeId="0" xr:uid="{0CE54DE6-2FCB-4820-A19F-4ADFD67754A1}">
      <text>
        <r>
          <rPr>
            <sz val="10"/>
            <color indexed="81"/>
            <rFont val="Lucida Console"/>
            <family val="3"/>
          </rPr>
          <t>DESCRIÇÃO DETALHADA_x000D_
CAMISA DE BRIM N° 3, CONFECCIONADA EM TECIDO 100% ALGODAO, NA COR AZUL MARINHO, MANGAS LONGAS.</t>
        </r>
      </text>
    </comment>
    <comment ref="W802" authorId="0" shapeId="0" xr:uid="{BD3F612F-4853-459A-B80E-5D7EC8D96B1D}">
      <text>
        <r>
          <rPr>
            <sz val="10"/>
            <color indexed="81"/>
            <rFont val="Lucida Console"/>
            <family val="3"/>
          </rPr>
          <t>_x000D_
SegMedTra</t>
        </r>
      </text>
    </comment>
    <comment ref="X802" authorId="0" shapeId="0" xr:uid="{638DD968-3133-4036-8662-8DA46BD0B06F}">
      <text>
        <r>
          <rPr>
            <sz val="10"/>
            <color indexed="81"/>
            <rFont val="Lucida Console"/>
            <family val="3"/>
          </rPr>
          <t>_x000D_
VEST., ART.P/ TOUC.E HIG. PES. MAQ., EQUIP., MAT.E ACES.</t>
        </r>
      </text>
    </comment>
    <comment ref="Y802" authorId="0" shapeId="0" xr:uid="{3CE314AD-6C0B-4608-9F66-3851372F2826}">
      <text>
        <r>
          <rPr>
            <sz val="10"/>
            <color indexed="81"/>
            <rFont val="Lucida Console"/>
            <family val="3"/>
          </rPr>
          <t>_x000D_
CAMISA E CAMISETA</t>
        </r>
      </text>
    </comment>
    <comment ref="AW802" authorId="0" shapeId="0" xr:uid="{7C2CFF1A-65D6-4B3C-AD55-AC9349EF9DB2}">
      <text>
        <r>
          <rPr>
            <sz val="10"/>
            <color indexed="81"/>
            <rFont val="Lucida Console"/>
            <family val="3"/>
          </rPr>
          <t>Tempo de Estoque (Meses)_x000D_
_x000D_
2,0</t>
        </r>
      </text>
    </comment>
    <comment ref="A803" authorId="0" shapeId="0" xr:uid="{8D1F3C04-72F9-480D-9270-FCC442D3D5CC}">
      <text>
        <r>
          <rPr>
            <sz val="10"/>
            <color indexed="81"/>
            <rFont val="Lucida Console"/>
            <family val="3"/>
          </rPr>
          <t>_x000D_
105106</t>
        </r>
      </text>
    </comment>
    <comment ref="B803" authorId="0" shapeId="0" xr:uid="{F0C23BCC-5209-49CA-BCBD-88C31EE4B1C8}">
      <text>
        <r>
          <rPr>
            <sz val="10"/>
            <color indexed="81"/>
            <rFont val="Lucida Console"/>
            <family val="3"/>
          </rPr>
          <t>DESCRIÇÃO DETALHADA_x000D_
CALCA DE BRIM N° 40, CONFECCIONADA EM TECIDO MISTO 67% ALGODAO NA COR AZUL MARINHO</t>
        </r>
      </text>
    </comment>
    <comment ref="W803" authorId="0" shapeId="0" xr:uid="{AC6A2CF4-040F-459F-AB93-B44DDF26CF02}">
      <text>
        <r>
          <rPr>
            <sz val="10"/>
            <color indexed="81"/>
            <rFont val="Lucida Console"/>
            <family val="3"/>
          </rPr>
          <t>_x000D_
SegMedTra</t>
        </r>
      </text>
    </comment>
    <comment ref="X803" authorId="0" shapeId="0" xr:uid="{94B46B97-0412-4F53-9B07-24EB26076D60}">
      <text>
        <r>
          <rPr>
            <sz val="10"/>
            <color indexed="81"/>
            <rFont val="Lucida Console"/>
            <family val="3"/>
          </rPr>
          <t>_x000D_
VEST., ART.P/ TOUC.E HIG. PES. MAQ., EQUIP., MAT.E ACES.</t>
        </r>
      </text>
    </comment>
    <comment ref="Y803" authorId="0" shapeId="0" xr:uid="{C79A86B2-04D9-4BE7-B27D-F535EBC4BF7E}">
      <text>
        <r>
          <rPr>
            <sz val="10"/>
            <color indexed="81"/>
            <rFont val="Lucida Console"/>
            <family val="3"/>
          </rPr>
          <t>_x000D_
UNIFORME P/ USO CIVIL - VESTIMENTA</t>
        </r>
      </text>
    </comment>
    <comment ref="AW803" authorId="0" shapeId="0" xr:uid="{D727539C-63C5-425E-BE9D-249604A72829}">
      <text>
        <r>
          <rPr>
            <sz val="10"/>
            <color indexed="81"/>
            <rFont val="Lucida Console"/>
            <family val="3"/>
          </rPr>
          <t>Tempo de Estoque (Meses)_x000D_
_x000D_
13,0</t>
        </r>
      </text>
    </comment>
    <comment ref="A804" authorId="0" shapeId="0" xr:uid="{54D2EEC3-AD58-45D3-B458-9C47D0C4B68A}">
      <text>
        <r>
          <rPr>
            <sz val="10"/>
            <color indexed="81"/>
            <rFont val="Lucida Console"/>
            <family val="3"/>
          </rPr>
          <t>_x000D_
105107</t>
        </r>
      </text>
    </comment>
    <comment ref="B804" authorId="0" shapeId="0" xr:uid="{16B1B59A-1A6F-455D-9B1D-52D572891F95}">
      <text>
        <r>
          <rPr>
            <sz val="10"/>
            <color indexed="81"/>
            <rFont val="Lucida Console"/>
            <family val="3"/>
          </rPr>
          <t>DESCRIÇÃO DETALHADA_x000D_
CALCA DE BRIM N° 42, CONFECCIONADA EM TECIDO MISTO 67% ALGODAO NA COR AZUL MARINHO</t>
        </r>
      </text>
    </comment>
    <comment ref="W804" authorId="0" shapeId="0" xr:uid="{9D6EE69E-B891-4DBD-897C-F4AA48EB6D54}">
      <text>
        <r>
          <rPr>
            <sz val="10"/>
            <color indexed="81"/>
            <rFont val="Lucida Console"/>
            <family val="3"/>
          </rPr>
          <t>_x000D_
SegMedTra</t>
        </r>
      </text>
    </comment>
    <comment ref="X804" authorId="0" shapeId="0" xr:uid="{F719879C-5024-46B3-AD42-D9693779CBE9}">
      <text>
        <r>
          <rPr>
            <sz val="10"/>
            <color indexed="81"/>
            <rFont val="Lucida Console"/>
            <family val="3"/>
          </rPr>
          <t>_x000D_
VEST., ART.P/ TOUC.E HIG. PES. MAQ., EQUIP., MAT.E ACES.</t>
        </r>
      </text>
    </comment>
    <comment ref="Y804" authorId="0" shapeId="0" xr:uid="{C0181C2D-6E7D-43CC-B019-F070CA0991A1}">
      <text>
        <r>
          <rPr>
            <sz val="10"/>
            <color indexed="81"/>
            <rFont val="Lucida Console"/>
            <family val="3"/>
          </rPr>
          <t>_x000D_
UNIFORME P/ USO CIVIL - VESTIMENTA</t>
        </r>
      </text>
    </comment>
    <comment ref="AW804" authorId="0" shapeId="0" xr:uid="{B4AA78D0-BBE1-4B63-A449-8A52F0965B50}">
      <text>
        <r>
          <rPr>
            <sz val="10"/>
            <color indexed="81"/>
            <rFont val="Lucida Console"/>
            <family val="3"/>
          </rPr>
          <t>Tempo de Estoque (Meses)_x000D_
_x000D_
8,0</t>
        </r>
      </text>
    </comment>
    <comment ref="A805" authorId="0" shapeId="0" xr:uid="{B1B00B75-8DC7-4A6F-BE15-80843935B574}">
      <text>
        <r>
          <rPr>
            <sz val="10"/>
            <color indexed="81"/>
            <rFont val="Lucida Console"/>
            <family val="3"/>
          </rPr>
          <t>_x000D_
105108</t>
        </r>
      </text>
    </comment>
    <comment ref="B805" authorId="0" shapeId="0" xr:uid="{4FE4B003-AA78-441A-8950-6C6462C203E7}">
      <text>
        <r>
          <rPr>
            <sz val="10"/>
            <color indexed="81"/>
            <rFont val="Lucida Console"/>
            <family val="3"/>
          </rPr>
          <t>DESCRIÇÃO DETALHADA_x000D_
CALCA DE BRIM N° 44, CONFECCIONADA EM TECIDO MISTO 67% ALGODAO NA COR AZUL MARINHO</t>
        </r>
      </text>
    </comment>
    <comment ref="W805" authorId="0" shapeId="0" xr:uid="{229D10B2-55B1-4458-B796-95EFDE2C00DB}">
      <text>
        <r>
          <rPr>
            <sz val="10"/>
            <color indexed="81"/>
            <rFont val="Lucida Console"/>
            <family val="3"/>
          </rPr>
          <t>_x000D_
SegMedTra</t>
        </r>
      </text>
    </comment>
    <comment ref="X805" authorId="0" shapeId="0" xr:uid="{FA1FD59D-6828-403E-B45D-4AC06BEA7D63}">
      <text>
        <r>
          <rPr>
            <sz val="10"/>
            <color indexed="81"/>
            <rFont val="Lucida Console"/>
            <family val="3"/>
          </rPr>
          <t>_x000D_
VEST., ART.P/ TOUC.E HIG. PES. MAQ., EQUIP., MAT.E ACES.</t>
        </r>
      </text>
    </comment>
    <comment ref="Y805" authorId="0" shapeId="0" xr:uid="{EE387E56-193C-45D9-9503-4B3AD1804B15}">
      <text>
        <r>
          <rPr>
            <sz val="10"/>
            <color indexed="81"/>
            <rFont val="Lucida Console"/>
            <family val="3"/>
          </rPr>
          <t>_x000D_
UNIFORME P/ USO CIVIL - VESTIMENTA</t>
        </r>
      </text>
    </comment>
    <comment ref="AW805" authorId="0" shapeId="0" xr:uid="{131EF566-F092-4135-8070-AD5B66877737}">
      <text>
        <r>
          <rPr>
            <sz val="10"/>
            <color indexed="81"/>
            <rFont val="Lucida Console"/>
            <family val="3"/>
          </rPr>
          <t>Tempo de Estoque (Meses)_x000D_
_x000D_
23,0</t>
        </r>
      </text>
    </comment>
    <comment ref="A806" authorId="0" shapeId="0" xr:uid="{C5FD2AFD-DAB7-4049-B271-CABB84BAD776}">
      <text>
        <r>
          <rPr>
            <sz val="10"/>
            <color indexed="81"/>
            <rFont val="Lucida Console"/>
            <family val="3"/>
          </rPr>
          <t>_x000D_
105110</t>
        </r>
      </text>
    </comment>
    <comment ref="B806" authorId="0" shapeId="0" xr:uid="{89FA4698-5E96-4369-A2CA-1731966AE723}">
      <text>
        <r>
          <rPr>
            <sz val="10"/>
            <color indexed="81"/>
            <rFont val="Lucida Console"/>
            <family val="3"/>
          </rPr>
          <t>DESCRIÇÃO DETALHADA_x000D_
CALCA DE BRIM N° 48, CONFECCIONADA EM TECIDO MISTO 67% ALGODAO NA COR AZUL MARINHO</t>
        </r>
      </text>
    </comment>
    <comment ref="W806" authorId="0" shapeId="0" xr:uid="{7BF542EC-B57A-40E2-BC6C-B9A0E94E8E25}">
      <text>
        <r>
          <rPr>
            <sz val="10"/>
            <color indexed="81"/>
            <rFont val="Lucida Console"/>
            <family val="3"/>
          </rPr>
          <t>_x000D_
SegMedTra</t>
        </r>
      </text>
    </comment>
    <comment ref="X806" authorId="0" shapeId="0" xr:uid="{6CE7BE55-9570-4ACA-860D-F482CA6C1D93}">
      <text>
        <r>
          <rPr>
            <sz val="10"/>
            <color indexed="81"/>
            <rFont val="Lucida Console"/>
            <family val="3"/>
          </rPr>
          <t>_x000D_
VEST., ART.P/ TOUC.E HIG. PES. MAQ., EQUIP., MAT.E ACES.</t>
        </r>
      </text>
    </comment>
    <comment ref="Y806" authorId="0" shapeId="0" xr:uid="{B63984F0-6DF8-4EB4-BF2F-40F99C6E7561}">
      <text>
        <r>
          <rPr>
            <sz val="10"/>
            <color indexed="81"/>
            <rFont val="Lucida Console"/>
            <family val="3"/>
          </rPr>
          <t>_x000D_
UNIFORME P/ USO CIVIL - VESTIMENTA</t>
        </r>
      </text>
    </comment>
    <comment ref="AW806" authorId="0" shapeId="0" xr:uid="{E4761EC5-F967-4543-981A-741C92B1B070}">
      <text>
        <r>
          <rPr>
            <sz val="10"/>
            <color indexed="81"/>
            <rFont val="Lucida Console"/>
            <family val="3"/>
          </rPr>
          <t>Tempo de Estoque (Meses)_x000D_
_x000D_
12,0</t>
        </r>
      </text>
    </comment>
    <comment ref="A807" authorId="0" shapeId="0" xr:uid="{E26106A7-4F6E-4988-9DAB-2CFAAABEA6EA}">
      <text>
        <r>
          <rPr>
            <sz val="10"/>
            <color indexed="81"/>
            <rFont val="Lucida Console"/>
            <family val="3"/>
          </rPr>
          <t>_x000D_
105112</t>
        </r>
      </text>
    </comment>
    <comment ref="B807" authorId="0" shapeId="0" xr:uid="{D5A5A296-1D2B-40D9-824F-1E5A80008EDF}">
      <text>
        <r>
          <rPr>
            <sz val="10"/>
            <color indexed="81"/>
            <rFont val="Lucida Console"/>
            <family val="3"/>
          </rPr>
          <t>DESCRIÇÃO DETALHADA_x000D_
CALCA DE BRIM N° 52, CONFECCIONADA EM TECIDO MISTO 67% ALGODAO NA COR AZUL MARINHO</t>
        </r>
      </text>
    </comment>
    <comment ref="W807" authorId="0" shapeId="0" xr:uid="{D26C255B-72A1-479E-A572-700ED1710C0A}">
      <text>
        <r>
          <rPr>
            <sz val="10"/>
            <color indexed="81"/>
            <rFont val="Lucida Console"/>
            <family val="3"/>
          </rPr>
          <t>_x000D_
SegMedTra</t>
        </r>
      </text>
    </comment>
    <comment ref="X807" authorId="0" shapeId="0" xr:uid="{6B71D616-6B92-413D-9CE9-5543EA700478}">
      <text>
        <r>
          <rPr>
            <sz val="10"/>
            <color indexed="81"/>
            <rFont val="Lucida Console"/>
            <family val="3"/>
          </rPr>
          <t>_x000D_
VEST., ART.P/ TOUC.E HIG. PES. MAQ., EQUIP., MAT.E ACES.</t>
        </r>
      </text>
    </comment>
    <comment ref="Y807" authorId="0" shapeId="0" xr:uid="{D2B3F5EC-DE55-4041-9C18-C62EE11CA61C}">
      <text>
        <r>
          <rPr>
            <sz val="10"/>
            <color indexed="81"/>
            <rFont val="Lucida Console"/>
            <family val="3"/>
          </rPr>
          <t>_x000D_
UNIFORME P/ USO CIVIL - VESTIMENTA</t>
        </r>
      </text>
    </comment>
    <comment ref="AW807" authorId="0" shapeId="0" xr:uid="{B6E1F191-3E78-4834-B15E-924A7B79342C}">
      <text>
        <r>
          <rPr>
            <sz val="10"/>
            <color indexed="81"/>
            <rFont val="Lucida Console"/>
            <family val="3"/>
          </rPr>
          <t>Tempo de Estoque (Meses)_x000D_
_x000D_
4,0</t>
        </r>
      </text>
    </comment>
    <comment ref="A808" authorId="0" shapeId="0" xr:uid="{AA09484C-0771-48B8-B6A0-180D0747C753}">
      <text>
        <r>
          <rPr>
            <sz val="10"/>
            <color indexed="81"/>
            <rFont val="Lucida Console"/>
            <family val="3"/>
          </rPr>
          <t>_x000D_
105704</t>
        </r>
      </text>
    </comment>
    <comment ref="B808" authorId="0" shapeId="0" xr:uid="{18450E02-6FDD-42AA-92F5-FBDEB07F1A1A}">
      <text>
        <r>
          <rPr>
            <sz val="10"/>
            <color indexed="81"/>
            <rFont val="Lucida Console"/>
            <family val="3"/>
          </rPr>
          <t>DESCRIÇÃO DETALHADA_x000D_
CALCA DE BRIM N° 56, CONFECCIONADA EM TECIDO MISTO 67% ALGODAO NA COR AZUL MARINHO</t>
        </r>
      </text>
    </comment>
    <comment ref="W808" authorId="0" shapeId="0" xr:uid="{EEA154A2-F3FF-40F5-A692-42957E923EA6}">
      <text>
        <r>
          <rPr>
            <sz val="10"/>
            <color indexed="81"/>
            <rFont val="Lucida Console"/>
            <family val="3"/>
          </rPr>
          <t>_x000D_
SegMedTra</t>
        </r>
      </text>
    </comment>
    <comment ref="X808" authorId="0" shapeId="0" xr:uid="{5445C7C4-3CEA-4AC7-A10C-7FB77B9A9788}">
      <text>
        <r>
          <rPr>
            <sz val="10"/>
            <color indexed="81"/>
            <rFont val="Lucida Console"/>
            <family val="3"/>
          </rPr>
          <t>_x000D_
VEST., ART.P/ TOUC.E HIG. PES. MAQ., EQUIP., MAT.E ACES.</t>
        </r>
      </text>
    </comment>
    <comment ref="Y808" authorId="0" shapeId="0" xr:uid="{E6D1928F-F0F9-4C57-85F8-A1EF881D2B3C}">
      <text>
        <r>
          <rPr>
            <sz val="10"/>
            <color indexed="81"/>
            <rFont val="Lucida Console"/>
            <family val="3"/>
          </rPr>
          <t>_x000D_
UNIFORME P/ USO CIVIL - VESTIMENTA</t>
        </r>
      </text>
    </comment>
    <comment ref="AW808" authorId="0" shapeId="0" xr:uid="{836A7200-B314-4AAE-9C83-724FB11989A5}">
      <text>
        <r>
          <rPr>
            <sz val="10"/>
            <color indexed="81"/>
            <rFont val="Lucida Console"/>
            <family val="3"/>
          </rPr>
          <t>Tempo de Estoque (Meses)_x000D_
_x000D_
20,0</t>
        </r>
      </text>
    </comment>
    <comment ref="A809" authorId="0" shapeId="0" xr:uid="{AA461C59-97DC-427A-A909-64D045139C04}">
      <text>
        <r>
          <rPr>
            <sz val="10"/>
            <color indexed="81"/>
            <rFont val="Lucida Console"/>
            <family val="3"/>
          </rPr>
          <t>_x000D_
127105</t>
        </r>
      </text>
    </comment>
    <comment ref="B809" authorId="0" shapeId="0" xr:uid="{F1680438-4AEC-4766-8209-AC6BC0FE4366}">
      <text>
        <r>
          <rPr>
            <sz val="10"/>
            <color indexed="81"/>
            <rFont val="Lucida Console"/>
            <family val="3"/>
          </rPr>
          <t xml:space="preserve">DESCRIÇÃO DETALHADA_x000D_
CALCA DE BRIM N° 38, CONFECCIONADA EM TECIDO MISTO 67% ALGODAO NA COR AZUL MARINHO.   </t>
        </r>
      </text>
    </comment>
    <comment ref="W809" authorId="0" shapeId="0" xr:uid="{CCF64EEC-2F2B-4467-95E9-2A7E502BF1FA}">
      <text>
        <r>
          <rPr>
            <sz val="10"/>
            <color indexed="81"/>
            <rFont val="Lucida Console"/>
            <family val="3"/>
          </rPr>
          <t>_x000D_
SegMedTra</t>
        </r>
      </text>
    </comment>
    <comment ref="X809" authorId="0" shapeId="0" xr:uid="{4F393DD0-6261-4285-AD29-94BCCB58F802}">
      <text>
        <r>
          <rPr>
            <sz val="10"/>
            <color indexed="81"/>
            <rFont val="Lucida Console"/>
            <family val="3"/>
          </rPr>
          <t>_x000D_
VEST., ART.P/ TOUC.E HIG. PES. MAQ., EQUIP., MAT.E ACES.</t>
        </r>
      </text>
    </comment>
    <comment ref="Y809" authorId="0" shapeId="0" xr:uid="{56474975-C459-4772-ACE0-AB6F118925BD}">
      <text>
        <r>
          <rPr>
            <sz val="10"/>
            <color indexed="81"/>
            <rFont val="Lucida Console"/>
            <family val="3"/>
          </rPr>
          <t>_x000D_
UNIFORME P/ USO CIVIL - VESTIMENTA</t>
        </r>
      </text>
    </comment>
    <comment ref="AW809" authorId="0" shapeId="0" xr:uid="{532F9DA3-17EE-4993-AE99-D4507F2F9612}">
      <text>
        <r>
          <rPr>
            <sz val="10"/>
            <color indexed="81"/>
            <rFont val="Lucida Console"/>
            <family val="3"/>
          </rPr>
          <t>Tempo de Estoque (Meses)_x000D_
_x000D_
10,0</t>
        </r>
      </text>
    </comment>
    <comment ref="A810" authorId="0" shapeId="0" xr:uid="{F420548E-8A63-4334-88D1-1AED33EC83F5}">
      <text>
        <r>
          <rPr>
            <sz val="10"/>
            <color indexed="81"/>
            <rFont val="Lucida Console"/>
            <family val="3"/>
          </rPr>
          <t>_x000D_
127106</t>
        </r>
      </text>
    </comment>
    <comment ref="B810" authorId="0" shapeId="0" xr:uid="{0052B9B4-C450-42ED-A680-812DD45E4CCA}">
      <text>
        <r>
          <rPr>
            <sz val="10"/>
            <color indexed="81"/>
            <rFont val="Lucida Console"/>
            <family val="3"/>
          </rPr>
          <t xml:space="preserve">DESCRIÇÃO DETALHADA_x000D_
CALCA DE BRIM N° 36, CONFECCIONADA EM TECIDO MISTO 67% ALGODAO NA COR AZUL MARINHO.   </t>
        </r>
      </text>
    </comment>
    <comment ref="W810" authorId="0" shapeId="0" xr:uid="{8F1F0112-27B9-475C-B385-39D862D78CAF}">
      <text>
        <r>
          <rPr>
            <sz val="10"/>
            <color indexed="81"/>
            <rFont val="Lucida Console"/>
            <family val="3"/>
          </rPr>
          <t>_x000D_
SegMedTra</t>
        </r>
      </text>
    </comment>
    <comment ref="X810" authorId="0" shapeId="0" xr:uid="{68E7E1CE-880D-4ECC-BC0C-3A136F48BCFF}">
      <text>
        <r>
          <rPr>
            <sz val="10"/>
            <color indexed="81"/>
            <rFont val="Lucida Console"/>
            <family val="3"/>
          </rPr>
          <t>_x000D_
VEST., ART.P/ TOUC.E HIG. PES. MAQ., EQUIP., MAT.E ACES.</t>
        </r>
      </text>
    </comment>
    <comment ref="Y810" authorId="0" shapeId="0" xr:uid="{60DA02E7-91CE-4C0A-8908-8C28150E6805}">
      <text>
        <r>
          <rPr>
            <sz val="10"/>
            <color indexed="81"/>
            <rFont val="Lucida Console"/>
            <family val="3"/>
          </rPr>
          <t>_x000D_
UNIFORME P/ USO CIVIL - VESTIMENTA</t>
        </r>
      </text>
    </comment>
    <comment ref="AW810" authorId="0" shapeId="0" xr:uid="{19921686-807F-42C2-B865-E7865254268A}">
      <text>
        <r>
          <rPr>
            <sz val="10"/>
            <color indexed="81"/>
            <rFont val="Lucida Console"/>
            <family val="3"/>
          </rPr>
          <t>Tempo de Estoque (Meses)_x000D_
_x000D_
10,0</t>
        </r>
      </text>
    </comment>
    <comment ref="A811" authorId="0" shapeId="0" xr:uid="{97D078EE-5039-4489-9FCC-B4048156DF3F}">
      <text>
        <r>
          <rPr>
            <sz val="10"/>
            <color indexed="81"/>
            <rFont val="Lucida Console"/>
            <family val="3"/>
          </rPr>
          <t>_x000D_
127107</t>
        </r>
      </text>
    </comment>
    <comment ref="B811" authorId="0" shapeId="0" xr:uid="{3353CD33-FCEA-4A49-BFDA-5A852587AF29}">
      <text>
        <r>
          <rPr>
            <sz val="10"/>
            <color indexed="81"/>
            <rFont val="Lucida Console"/>
            <family val="3"/>
          </rPr>
          <t xml:space="preserve">DESCRIÇÃO DETALHADA_x000D_
CALCA DE BRIM N° 50, CONFECCIONADA EM TECIDO MISTO 67% ALGODAO NA COR AZUL MARINHO.   </t>
        </r>
      </text>
    </comment>
    <comment ref="W811" authorId="0" shapeId="0" xr:uid="{0E3D6F9A-EF19-4B15-AC72-38A4422A6B19}">
      <text>
        <r>
          <rPr>
            <sz val="10"/>
            <color indexed="81"/>
            <rFont val="Lucida Console"/>
            <family val="3"/>
          </rPr>
          <t>_x000D_
SegMedTra</t>
        </r>
      </text>
    </comment>
    <comment ref="X811" authorId="0" shapeId="0" xr:uid="{57B763B7-7024-4F5E-A15E-85617A886D85}">
      <text>
        <r>
          <rPr>
            <sz val="10"/>
            <color indexed="81"/>
            <rFont val="Lucida Console"/>
            <family val="3"/>
          </rPr>
          <t>_x000D_
VEST., ART.P/ TOUC.E HIG. PES. MAQ., EQUIP., MAT.E ACES.</t>
        </r>
      </text>
    </comment>
    <comment ref="Y811" authorId="0" shapeId="0" xr:uid="{00536103-1269-48CF-9EC4-59EF29CBF906}">
      <text>
        <r>
          <rPr>
            <sz val="10"/>
            <color indexed="81"/>
            <rFont val="Lucida Console"/>
            <family val="3"/>
          </rPr>
          <t>_x000D_
UNIFORME P/ USO CIVIL - VESTIMENTA</t>
        </r>
      </text>
    </comment>
    <comment ref="AW811" authorId="0" shapeId="0" xr:uid="{A19C1F3C-8563-46C2-AD24-F934895665E5}">
      <text>
        <r>
          <rPr>
            <sz val="10"/>
            <color indexed="81"/>
            <rFont val="Lucida Console"/>
            <family val="3"/>
          </rPr>
          <t>Tempo de Estoque (Meses)_x000D_
_x000D_
14,0</t>
        </r>
      </text>
    </comment>
    <comment ref="A812" authorId="0" shapeId="0" xr:uid="{C955975B-172C-4D4B-B681-1535073E31A7}">
      <text>
        <r>
          <rPr>
            <sz val="10"/>
            <color indexed="81"/>
            <rFont val="Lucida Console"/>
            <family val="3"/>
          </rPr>
          <t>_x000D_
126838</t>
        </r>
      </text>
    </comment>
    <comment ref="B812" authorId="0" shapeId="0" xr:uid="{D00DFA7D-A4CD-4CD7-AF1F-F4DFF3EE8EA2}">
      <text>
        <r>
          <rPr>
            <sz val="10"/>
            <color indexed="81"/>
            <rFont val="Lucida Console"/>
            <family val="3"/>
          </rPr>
          <t>DESCRIÇÃO DETALHADA_x000D_
PARAFUSO MAQUINA CABECA REDONDA 3/8" X 3/4"</t>
        </r>
      </text>
    </comment>
    <comment ref="W812" authorId="0" shapeId="0" xr:uid="{82D8AE4F-7164-42DD-B47F-A5BC0AFF6C2A}">
      <text>
        <r>
          <rPr>
            <sz val="10"/>
            <color indexed="81"/>
            <rFont val="Lucida Console"/>
            <family val="3"/>
          </rPr>
          <t>_x000D_
DM-Serralheria</t>
        </r>
      </text>
    </comment>
    <comment ref="X812" authorId="0" shapeId="0" xr:uid="{B2535A5F-17E8-4FC7-A562-6CA6A855630E}">
      <text>
        <r>
          <rPr>
            <sz val="10"/>
            <color indexed="81"/>
            <rFont val="Lucida Console"/>
            <family val="3"/>
          </rPr>
          <t>_x000D_
PARAFUSOS ELEM. VEDACAO UNIAO CONEX . FIXACAO</t>
        </r>
      </text>
    </comment>
    <comment ref="Y812" authorId="0" shapeId="0" xr:uid="{F1DCDAE0-F44D-48B7-A336-A041221A4C75}">
      <text>
        <r>
          <rPr>
            <sz val="10"/>
            <color indexed="81"/>
            <rFont val="Lucida Console"/>
            <family val="3"/>
          </rPr>
          <t>_x000D_
PARAFUSO P/ MAQUINA</t>
        </r>
      </text>
    </comment>
    <comment ref="AW812" authorId="0" shapeId="0" xr:uid="{E2F64966-8BC7-4C16-9DB8-60BFBAF73BFC}">
      <text>
        <r>
          <rPr>
            <sz val="10"/>
            <color indexed="81"/>
            <rFont val="Lucida Console"/>
            <family val="3"/>
          </rPr>
          <t>Tempo de Estoque (Meses)_x000D_
_x000D_
2.471,0</t>
        </r>
      </text>
    </comment>
    <comment ref="A813" authorId="0" shapeId="0" xr:uid="{A01F7507-FAA6-4C2D-A869-F325B8E2ABA1}">
      <text>
        <r>
          <rPr>
            <sz val="10"/>
            <color indexed="81"/>
            <rFont val="Lucida Console"/>
            <family val="3"/>
          </rPr>
          <t>_x000D_
89863</t>
        </r>
      </text>
    </comment>
    <comment ref="B813" authorId="0" shapeId="0" xr:uid="{9F34537D-972C-4FF0-BDE3-AD7CD9A0CC8B}">
      <text>
        <r>
          <rPr>
            <sz val="10"/>
            <color indexed="81"/>
            <rFont val="Lucida Console"/>
            <family val="3"/>
          </rPr>
          <t>DESCRIÇÃO DETALHADA_x000D_
PARAFUSO ZINCO AMARELO, CABECA CHATA PH 4,0 X 25 - CAIXA COM 500 UNIDADES</t>
        </r>
      </text>
    </comment>
    <comment ref="W813" authorId="0" shapeId="0" xr:uid="{D7060B28-6DD9-430F-AF27-7CDC077A60C9}">
      <text>
        <r>
          <rPr>
            <sz val="10"/>
            <color indexed="81"/>
            <rFont val="Lucida Console"/>
            <family val="3"/>
          </rPr>
          <t>_x000D_
DM-Marcenaria</t>
        </r>
      </text>
    </comment>
    <comment ref="X813" authorId="0" shapeId="0" xr:uid="{878B7962-39B4-489C-B96B-E2BD3A800B00}">
      <text>
        <r>
          <rPr>
            <sz val="10"/>
            <color indexed="81"/>
            <rFont val="Lucida Console"/>
            <family val="3"/>
          </rPr>
          <t>_x000D_
PARAFUSOS ELEM. VEDACAO UNIAO CONEX . FIXACAO</t>
        </r>
      </text>
    </comment>
    <comment ref="Y813" authorId="0" shapeId="0" xr:uid="{7AFC6A38-9633-4216-A78C-A1CBAA7DEF14}">
      <text>
        <r>
          <rPr>
            <sz val="10"/>
            <color indexed="81"/>
            <rFont val="Lucida Console"/>
            <family val="3"/>
          </rPr>
          <t>_x000D_
PARAFUSO P/ MOVEIS</t>
        </r>
      </text>
    </comment>
    <comment ref="AW813" authorId="0" shapeId="0" xr:uid="{AA12BE87-A4E2-4A97-B0DC-4E5322977589}">
      <text>
        <r>
          <rPr>
            <sz val="10"/>
            <color indexed="81"/>
            <rFont val="Lucida Console"/>
            <family val="3"/>
          </rPr>
          <t>Tempo de Estoque (Meses)_x000D_
_x000D_
357,0</t>
        </r>
      </text>
    </comment>
    <comment ref="A814" authorId="0" shapeId="0" xr:uid="{ECD0553B-0F70-4BF5-A549-EB5D91D05210}">
      <text>
        <r>
          <rPr>
            <sz val="10"/>
            <color indexed="81"/>
            <rFont val="Lucida Console"/>
            <family val="3"/>
          </rPr>
          <t>_x000D_
89864</t>
        </r>
      </text>
    </comment>
    <comment ref="B814" authorId="0" shapeId="0" xr:uid="{11D34556-0EF1-4FD5-B6F3-ADDDF3495FF6}">
      <text>
        <r>
          <rPr>
            <sz val="10"/>
            <color indexed="81"/>
            <rFont val="Lucida Console"/>
            <family val="3"/>
          </rPr>
          <t>DESCRIÇÃO DETALHADA_x000D_
PARAFUSO ZINCO AMARELO, CABECA CHATA PH 4,0 X 30 - CAIXA COM 500 UNIDADES</t>
        </r>
      </text>
    </comment>
    <comment ref="W814" authorId="0" shapeId="0" xr:uid="{0F33B945-7487-4FA9-92F2-D595B9D6FEE9}">
      <text>
        <r>
          <rPr>
            <sz val="10"/>
            <color indexed="81"/>
            <rFont val="Lucida Console"/>
            <family val="3"/>
          </rPr>
          <t>_x000D_
DM-Marcenaria</t>
        </r>
      </text>
    </comment>
    <comment ref="X814" authorId="0" shapeId="0" xr:uid="{06E5E355-40A4-41B0-AFFD-524F0CFE9CBA}">
      <text>
        <r>
          <rPr>
            <sz val="10"/>
            <color indexed="81"/>
            <rFont val="Lucida Console"/>
            <family val="3"/>
          </rPr>
          <t>_x000D_
PARAFUSOS ELEM. VEDACAO UNIAO CONEX . FIXACAO</t>
        </r>
      </text>
    </comment>
    <comment ref="Y814" authorId="0" shapeId="0" xr:uid="{9905EA33-B771-46F2-BD3A-ADECFDD86CE9}">
      <text>
        <r>
          <rPr>
            <sz val="10"/>
            <color indexed="81"/>
            <rFont val="Lucida Console"/>
            <family val="3"/>
          </rPr>
          <t>_x000D_
PARAFUSO P/ MOVEIS</t>
        </r>
      </text>
    </comment>
    <comment ref="AW814" authorId="0" shapeId="0" xr:uid="{A8E8DAC7-1975-42C6-A751-61FCFCDB41EC}">
      <text>
        <r>
          <rPr>
            <sz val="10"/>
            <color indexed="81"/>
            <rFont val="Lucida Console"/>
            <family val="3"/>
          </rPr>
          <t>Tempo de Estoque (Meses)_x000D_
_x000D_
774,0</t>
        </r>
      </text>
    </comment>
    <comment ref="A815" authorId="0" shapeId="0" xr:uid="{48A4F024-985C-4BC6-8EAF-AED37F149A7B}">
      <text>
        <r>
          <rPr>
            <sz val="10"/>
            <color indexed="81"/>
            <rFont val="Lucida Console"/>
            <family val="3"/>
          </rPr>
          <t>_x000D_
89865</t>
        </r>
      </text>
    </comment>
    <comment ref="B815" authorId="0" shapeId="0" xr:uid="{CC607011-D4FF-45C0-B8BC-7B1744E64032}">
      <text>
        <r>
          <rPr>
            <sz val="10"/>
            <color indexed="81"/>
            <rFont val="Lucida Console"/>
            <family val="3"/>
          </rPr>
          <t>DESCRIÇÃO DETALHADA_x000D_
PARAFUSO  ZINCO AMARELO, CABECA CHATA - PH 4,0 X 50 - CAIXA COM 500 UNIDADES</t>
        </r>
      </text>
    </comment>
    <comment ref="W815" authorId="0" shapeId="0" xr:uid="{42145D04-0680-4C73-83CC-3442E69BA44C}">
      <text>
        <r>
          <rPr>
            <sz val="10"/>
            <color indexed="81"/>
            <rFont val="Lucida Console"/>
            <family val="3"/>
          </rPr>
          <t>_x000D_
DM-Marcenaria</t>
        </r>
      </text>
    </comment>
    <comment ref="X815" authorId="0" shapeId="0" xr:uid="{C2F01898-0D81-4453-95E0-DB9D63F7B87D}">
      <text>
        <r>
          <rPr>
            <sz val="10"/>
            <color indexed="81"/>
            <rFont val="Lucida Console"/>
            <family val="3"/>
          </rPr>
          <t>_x000D_
PARAFUSOS ELEM. VEDACAO UNIAO CONEX . FIXACAO</t>
        </r>
      </text>
    </comment>
    <comment ref="Y815" authorId="0" shapeId="0" xr:uid="{084FD5CF-4F32-498D-A91D-77333DFE3CAC}">
      <text>
        <r>
          <rPr>
            <sz val="10"/>
            <color indexed="81"/>
            <rFont val="Lucida Console"/>
            <family val="3"/>
          </rPr>
          <t>_x000D_
PARAFUSO P/ MOVEIS</t>
        </r>
      </text>
    </comment>
    <comment ref="AW815" authorId="0" shapeId="0" xr:uid="{3AB23C3A-E485-453D-8C0F-2E368C7868B4}">
      <text>
        <r>
          <rPr>
            <sz val="10"/>
            <color indexed="81"/>
            <rFont val="Lucida Console"/>
            <family val="3"/>
          </rPr>
          <t>Tempo de Estoque (Meses)_x000D_
_x000D_
138,0</t>
        </r>
      </text>
    </comment>
    <comment ref="A816" authorId="0" shapeId="0" xr:uid="{A21F7C8B-0292-4BFE-B3D8-038EEA076156}">
      <text>
        <r>
          <rPr>
            <sz val="10"/>
            <color indexed="81"/>
            <rFont val="Lucida Console"/>
            <family val="3"/>
          </rPr>
          <t>_x000D_
124963</t>
        </r>
      </text>
    </comment>
    <comment ref="B816" authorId="0" shapeId="0" xr:uid="{2A14FEA5-84A0-47B0-9258-490E58E5C8FD}">
      <text>
        <r>
          <rPr>
            <sz val="10"/>
            <color indexed="81"/>
            <rFont val="Lucida Console"/>
            <family val="3"/>
          </rPr>
          <t>DESCRIÇÃO DETALHADA_x000D_
PARAFUSO ZINCO AMARELO, CABECA CHATA PH  6,0 X 70 - CAIXA COM  100 UNIDADES</t>
        </r>
      </text>
    </comment>
    <comment ref="W816" authorId="0" shapeId="0" xr:uid="{110317C3-EAAD-49D6-BE26-91CA28C935A9}">
      <text>
        <r>
          <rPr>
            <sz val="10"/>
            <color indexed="81"/>
            <rFont val="Lucida Console"/>
            <family val="3"/>
          </rPr>
          <t>_x000D_
DM-Marcenaria</t>
        </r>
      </text>
    </comment>
    <comment ref="X816" authorId="0" shapeId="0" xr:uid="{088DEEBF-D4D6-429E-B5E6-D2237FB95F53}">
      <text>
        <r>
          <rPr>
            <sz val="10"/>
            <color indexed="81"/>
            <rFont val="Lucida Console"/>
            <family val="3"/>
          </rPr>
          <t>_x000D_
PARAFUSOS ELEM. VEDACAO UNIAO CONEX . FIXACAO</t>
        </r>
      </text>
    </comment>
    <comment ref="Y816" authorId="0" shapeId="0" xr:uid="{C5264688-4702-4098-8E4F-3ABEF9646942}">
      <text>
        <r>
          <rPr>
            <sz val="10"/>
            <color indexed="81"/>
            <rFont val="Lucida Console"/>
            <family val="3"/>
          </rPr>
          <t>_x000D_
PARAFUSO P/ MOVEIS</t>
        </r>
      </text>
    </comment>
    <comment ref="AW816" authorId="0" shapeId="0" xr:uid="{7D01135F-EDBE-4326-9315-4344186388F2}">
      <text>
        <r>
          <rPr>
            <sz val="10"/>
            <color indexed="81"/>
            <rFont val="Lucida Console"/>
            <family val="3"/>
          </rPr>
          <t>Tempo de Estoque (Meses)_x000D_
_x000D_
166,0</t>
        </r>
      </text>
    </comment>
    <comment ref="A817" authorId="0" shapeId="0" xr:uid="{7D0B99EE-F85B-45D0-A0F2-599514BF0405}">
      <text>
        <r>
          <rPr>
            <sz val="10"/>
            <color indexed="81"/>
            <rFont val="Lucida Console"/>
            <family val="3"/>
          </rPr>
          <t>_x000D_
125201</t>
        </r>
      </text>
    </comment>
    <comment ref="B817" authorId="0" shapeId="0" xr:uid="{BF21A5B7-EF14-4DD8-AFC9-829E04590003}">
      <text>
        <r>
          <rPr>
            <sz val="10"/>
            <color indexed="81"/>
            <rFont val="Lucida Console"/>
            <family val="3"/>
          </rPr>
          <t>DESCRIÇÃO DETALHADA_x000D_
PARAFUSO ZINCO AMARELO, CABECA CHATA PH 4,5 X 40 - CAIXA COM 500 UNIDADES</t>
        </r>
      </text>
    </comment>
    <comment ref="W817" authorId="0" shapeId="0" xr:uid="{4DD07514-FCB1-45BB-A88E-8BEE80671D59}">
      <text>
        <r>
          <rPr>
            <sz val="10"/>
            <color indexed="81"/>
            <rFont val="Lucida Console"/>
            <family val="3"/>
          </rPr>
          <t>_x000D_
DM-Marcenaria</t>
        </r>
      </text>
    </comment>
    <comment ref="X817" authorId="0" shapeId="0" xr:uid="{4ED6881D-855D-43EB-88A5-50F2B5BA36F1}">
      <text>
        <r>
          <rPr>
            <sz val="10"/>
            <color indexed="81"/>
            <rFont val="Lucida Console"/>
            <family val="3"/>
          </rPr>
          <t>_x000D_
PARAFUSOS ELEM. VEDACAO UNIAO CONEX . FIXACAO</t>
        </r>
      </text>
    </comment>
    <comment ref="Y817" authorId="0" shapeId="0" xr:uid="{C7301948-6520-46B3-AF1D-7932560FB8CB}">
      <text>
        <r>
          <rPr>
            <sz val="10"/>
            <color indexed="81"/>
            <rFont val="Lucida Console"/>
            <family val="3"/>
          </rPr>
          <t>_x000D_
PARAFUSO P/ MOVEIS</t>
        </r>
      </text>
    </comment>
    <comment ref="AW817" authorId="0" shapeId="0" xr:uid="{EE4F4DB2-E085-4AF6-8042-29E93518C927}">
      <text>
        <r>
          <rPr>
            <sz val="10"/>
            <color indexed="81"/>
            <rFont val="Lucida Console"/>
            <family val="3"/>
          </rPr>
          <t>Tempo de Estoque (Meses)_x000D_
_x000D_
668,0</t>
        </r>
      </text>
    </comment>
    <comment ref="A818" authorId="0" shapeId="0" xr:uid="{00FE8283-3141-4DB7-AE5F-2A4D5721CCBB}">
      <text>
        <r>
          <rPr>
            <sz val="10"/>
            <color indexed="81"/>
            <rFont val="Lucida Console"/>
            <family val="3"/>
          </rPr>
          <t>_x000D_
134561</t>
        </r>
      </text>
    </comment>
    <comment ref="B818" authorId="0" shapeId="0" xr:uid="{CF2242FF-096F-493F-B82A-ED2C90072A45}">
      <text>
        <r>
          <rPr>
            <sz val="10"/>
            <color indexed="81"/>
            <rFont val="Lucida Console"/>
            <family val="3"/>
          </rPr>
          <t>DESCRIÇÃO DETALHADA_x000D_
PARAFUSO EM ACO BICROMATIZADO, CABECA CHATA PH , 3,5 X 25 MM - CAIXA COM 500 UNIDADES</t>
        </r>
      </text>
    </comment>
    <comment ref="W818" authorId="0" shapeId="0" xr:uid="{88C07B1F-07FF-4393-BF91-92609EFD0228}">
      <text>
        <r>
          <rPr>
            <sz val="10"/>
            <color indexed="81"/>
            <rFont val="Lucida Console"/>
            <family val="3"/>
          </rPr>
          <t>_x000D_
DM-Marcenaria</t>
        </r>
      </text>
    </comment>
    <comment ref="X818" authorId="0" shapeId="0" xr:uid="{93F7DB1C-5A27-4510-BA0D-C99D56551915}">
      <text>
        <r>
          <rPr>
            <sz val="10"/>
            <color indexed="81"/>
            <rFont val="Lucida Console"/>
            <family val="3"/>
          </rPr>
          <t>_x000D_
PARAFUSOS ELEM. VEDACAO UNIAO CONEX . FIXACAO</t>
        </r>
      </text>
    </comment>
    <comment ref="Y818" authorId="0" shapeId="0" xr:uid="{7C4013FB-3830-4C93-B887-158BC90BEDA2}">
      <text>
        <r>
          <rPr>
            <sz val="10"/>
            <color indexed="81"/>
            <rFont val="Lucida Console"/>
            <family val="3"/>
          </rPr>
          <t>_x000D_
PARAFUSO P/ MOVEIS</t>
        </r>
      </text>
    </comment>
    <comment ref="AW818" authorId="0" shapeId="0" xr:uid="{C87EFDF2-643C-4BE8-8920-CEA3EF91DBE1}">
      <text>
        <r>
          <rPr>
            <sz val="10"/>
            <color indexed="81"/>
            <rFont val="Lucida Console"/>
            <family val="3"/>
          </rPr>
          <t>Tempo de Estoque (Meses)_x000D_
_x000D_
390,0</t>
        </r>
      </text>
    </comment>
    <comment ref="A819" authorId="0" shapeId="0" xr:uid="{176E1A12-125E-4074-BE6E-C5EE63C93444}">
      <text>
        <r>
          <rPr>
            <sz val="10"/>
            <color indexed="81"/>
            <rFont val="Lucida Console"/>
            <family val="3"/>
          </rPr>
          <t>_x000D_
134562</t>
        </r>
      </text>
    </comment>
    <comment ref="B819" authorId="0" shapeId="0" xr:uid="{64C975D4-4F0A-44F6-9DF7-DB0A5C4C21E1}">
      <text>
        <r>
          <rPr>
            <sz val="10"/>
            <color indexed="81"/>
            <rFont val="Lucida Console"/>
            <family val="3"/>
          </rPr>
          <t>DESCRIÇÃO DETALHADA_x000D_
PARAFUSO EM ACO BICROMATIZADO, CABECA CHATA PH 3,5 X 40 - CAIXA COM 500 UNIDADES</t>
        </r>
      </text>
    </comment>
    <comment ref="W819" authorId="0" shapeId="0" xr:uid="{ED09056A-EB50-435B-9981-BECE495A4C83}">
      <text>
        <r>
          <rPr>
            <sz val="10"/>
            <color indexed="81"/>
            <rFont val="Lucida Console"/>
            <family val="3"/>
          </rPr>
          <t>_x000D_
DM-Marcenaria</t>
        </r>
      </text>
    </comment>
    <comment ref="X819" authorId="0" shapeId="0" xr:uid="{C4AECE2E-08A0-40EE-9059-B450FECD0674}">
      <text>
        <r>
          <rPr>
            <sz val="10"/>
            <color indexed="81"/>
            <rFont val="Lucida Console"/>
            <family val="3"/>
          </rPr>
          <t>_x000D_
PARAFUSOS ELEM. VEDACAO UNIAO CONEX . FIXACAO</t>
        </r>
      </text>
    </comment>
    <comment ref="Y819" authorId="0" shapeId="0" xr:uid="{32A347DC-B666-4146-9760-B71E76EF5431}">
      <text>
        <r>
          <rPr>
            <sz val="10"/>
            <color indexed="81"/>
            <rFont val="Lucida Console"/>
            <family val="3"/>
          </rPr>
          <t>_x000D_
PARAFUSO P/ MOVEIS</t>
        </r>
      </text>
    </comment>
    <comment ref="AW819" authorId="0" shapeId="0" xr:uid="{986C1641-4B77-41F4-BCDB-53AEBC7AC81A}">
      <text>
        <r>
          <rPr>
            <sz val="10"/>
            <color indexed="81"/>
            <rFont val="Lucida Console"/>
            <family val="3"/>
          </rPr>
          <t>Tempo de Estoque (Meses)_x000D_
_x000D_
396,0</t>
        </r>
      </text>
    </comment>
    <comment ref="A820" authorId="0" shapeId="0" xr:uid="{0C236D00-8999-4531-AC64-FB21492F695D}">
      <text>
        <r>
          <rPr>
            <sz val="10"/>
            <color indexed="81"/>
            <rFont val="Lucida Console"/>
            <family val="3"/>
          </rPr>
          <t>_x000D_
134563</t>
        </r>
      </text>
    </comment>
    <comment ref="B820" authorId="0" shapeId="0" xr:uid="{1F92FB16-1F09-42BA-8158-2F8532C6ED06}">
      <text>
        <r>
          <rPr>
            <sz val="10"/>
            <color indexed="81"/>
            <rFont val="Lucida Console"/>
            <family val="3"/>
          </rPr>
          <t>DESCRIÇÃO DETALHADA_x000D_
PARAFUSO EM ACO BICROMATIZADO, CABECA CHATA PH 4,0 X 16 - CAIXA COM 500 UNIDADES</t>
        </r>
      </text>
    </comment>
    <comment ref="W820" authorId="0" shapeId="0" xr:uid="{2EB84D47-970A-458F-80F4-46338F79FC8B}">
      <text>
        <r>
          <rPr>
            <sz val="10"/>
            <color indexed="81"/>
            <rFont val="Lucida Console"/>
            <family val="3"/>
          </rPr>
          <t>_x000D_
DM-Marcenaria</t>
        </r>
      </text>
    </comment>
    <comment ref="X820" authorId="0" shapeId="0" xr:uid="{8FA598B6-6F22-4C7D-985E-A9D567074546}">
      <text>
        <r>
          <rPr>
            <sz val="10"/>
            <color indexed="81"/>
            <rFont val="Lucida Console"/>
            <family val="3"/>
          </rPr>
          <t>_x000D_
PARAFUSOS ELEM. VEDACAO UNIAO CONEX . FIXACAO</t>
        </r>
      </text>
    </comment>
    <comment ref="Y820" authorId="0" shapeId="0" xr:uid="{4A8C8982-8AC0-436A-9696-78737674087C}">
      <text>
        <r>
          <rPr>
            <sz val="10"/>
            <color indexed="81"/>
            <rFont val="Lucida Console"/>
            <family val="3"/>
          </rPr>
          <t>_x000D_
PARAFUSO P/ MOVEIS</t>
        </r>
      </text>
    </comment>
    <comment ref="AW820" authorId="0" shapeId="0" xr:uid="{9059F351-F3E3-47CD-98CF-B00EE2F3EC8D}">
      <text>
        <r>
          <rPr>
            <sz val="10"/>
            <color indexed="81"/>
            <rFont val="Lucida Console"/>
            <family val="3"/>
          </rPr>
          <t>Tempo de Estoque (Meses)_x000D_
_x000D_
364,0</t>
        </r>
      </text>
    </comment>
    <comment ref="A821" authorId="0" shapeId="0" xr:uid="{3E6ABD2D-4FFA-4099-B381-D576C260217B}">
      <text>
        <r>
          <rPr>
            <sz val="10"/>
            <color indexed="81"/>
            <rFont val="Lucida Console"/>
            <family val="3"/>
          </rPr>
          <t>_x000D_
134564</t>
        </r>
      </text>
    </comment>
    <comment ref="B821" authorId="0" shapeId="0" xr:uid="{0410DD40-2C5D-46DC-9E7C-5C258FAFB580}">
      <text>
        <r>
          <rPr>
            <sz val="10"/>
            <color indexed="81"/>
            <rFont val="Lucida Console"/>
            <family val="3"/>
          </rPr>
          <t>DESCRIÇÃO DETALHADA_x000D_
PARAFUSO EM ACO BICROMATIZADO, CABECA CHATA PH 4,0 X 35 - CAIXA COM 500 UNIDADES</t>
        </r>
      </text>
    </comment>
    <comment ref="W821" authorId="0" shapeId="0" xr:uid="{9BAD47EE-A918-4083-97F2-D5797EC19E60}">
      <text>
        <r>
          <rPr>
            <sz val="10"/>
            <color indexed="81"/>
            <rFont val="Lucida Console"/>
            <family val="3"/>
          </rPr>
          <t>_x000D_
DM-Marcenaria</t>
        </r>
      </text>
    </comment>
    <comment ref="X821" authorId="0" shapeId="0" xr:uid="{96B66E4C-E0FC-4036-87D4-05BD6094C786}">
      <text>
        <r>
          <rPr>
            <sz val="10"/>
            <color indexed="81"/>
            <rFont val="Lucida Console"/>
            <family val="3"/>
          </rPr>
          <t>_x000D_
PARAFUSOS ELEM. VEDACAO UNIAO CONEX . FIXACAO</t>
        </r>
      </text>
    </comment>
    <comment ref="Y821" authorId="0" shapeId="0" xr:uid="{F4817350-E0B1-49B8-AB49-FB52649BA328}">
      <text>
        <r>
          <rPr>
            <sz val="10"/>
            <color indexed="81"/>
            <rFont val="Lucida Console"/>
            <family val="3"/>
          </rPr>
          <t>_x000D_
PARAFUSO P/ MOVEIS</t>
        </r>
      </text>
    </comment>
    <comment ref="AW821" authorId="0" shapeId="0" xr:uid="{2BEC39B1-364E-46D8-BFE4-2C207FAF1CC3}">
      <text>
        <r>
          <rPr>
            <sz val="10"/>
            <color indexed="81"/>
            <rFont val="Lucida Console"/>
            <family val="3"/>
          </rPr>
          <t>Tempo de Estoque (Meses)_x000D_
_x000D_
258,0</t>
        </r>
      </text>
    </comment>
    <comment ref="A822" authorId="0" shapeId="0" xr:uid="{18E811E0-165E-44E6-941C-F75F4C652585}">
      <text>
        <r>
          <rPr>
            <sz val="10"/>
            <color indexed="81"/>
            <rFont val="Lucida Console"/>
            <family val="3"/>
          </rPr>
          <t>_x000D_
134565</t>
        </r>
      </text>
    </comment>
    <comment ref="B822" authorId="0" shapeId="0" xr:uid="{770EC7B6-3745-48E9-9EBE-CD2FF383BBBD}">
      <text>
        <r>
          <rPr>
            <sz val="10"/>
            <color indexed="81"/>
            <rFont val="Lucida Console"/>
            <family val="3"/>
          </rPr>
          <t>DESCRIÇÃO DETALHADA_x000D_
PARAFUSO EM ACO BICROMATIZADO, CABECA CHATA PH 4,5 X 60 - CAIXA COM 500 UNIDADES</t>
        </r>
      </text>
    </comment>
    <comment ref="W822" authorId="0" shapeId="0" xr:uid="{82EB5F33-457E-4B79-A3D9-FF5D81135CBA}">
      <text>
        <r>
          <rPr>
            <sz val="10"/>
            <color indexed="81"/>
            <rFont val="Lucida Console"/>
            <family val="3"/>
          </rPr>
          <t>_x000D_
DM-Marcenaria</t>
        </r>
      </text>
    </comment>
    <comment ref="X822" authorId="0" shapeId="0" xr:uid="{233769F1-C0A5-467C-A113-B6B496B9BEAF}">
      <text>
        <r>
          <rPr>
            <sz val="10"/>
            <color indexed="81"/>
            <rFont val="Lucida Console"/>
            <family val="3"/>
          </rPr>
          <t>_x000D_
PARAFUSOS ELEM. VEDACAO UNIAO CONEX . FIXACAO</t>
        </r>
      </text>
    </comment>
    <comment ref="Y822" authorId="0" shapeId="0" xr:uid="{138B65DF-FA69-4EEA-ACB6-939FE16062D7}">
      <text>
        <r>
          <rPr>
            <sz val="10"/>
            <color indexed="81"/>
            <rFont val="Lucida Console"/>
            <family val="3"/>
          </rPr>
          <t>_x000D_
PARAFUSO P/ MOVEIS</t>
        </r>
      </text>
    </comment>
    <comment ref="AW822" authorId="0" shapeId="0" xr:uid="{49C1735E-265D-4D82-AD82-D2EBD84152F9}">
      <text>
        <r>
          <rPr>
            <sz val="10"/>
            <color indexed="81"/>
            <rFont val="Lucida Console"/>
            <family val="3"/>
          </rPr>
          <t>Tempo de Estoque (Meses)_x000D_
_x000D_
229,0</t>
        </r>
      </text>
    </comment>
    <comment ref="A823" authorId="0" shapeId="0" xr:uid="{6AC83735-1D68-4AC6-B52C-FCF40569236A}">
      <text>
        <r>
          <rPr>
            <sz val="10"/>
            <color indexed="81"/>
            <rFont val="Lucida Console"/>
            <family val="3"/>
          </rPr>
          <t>_x000D_
64462</t>
        </r>
      </text>
    </comment>
    <comment ref="B823" authorId="0" shapeId="0" xr:uid="{135F0C18-D455-4209-8D26-051D320D38D3}">
      <text>
        <r>
          <rPr>
            <sz val="10"/>
            <color indexed="81"/>
            <rFont val="Lucida Console"/>
            <family val="3"/>
          </rPr>
          <t>DESCRIÇÃO DETALHADA_x000D_
PORCA SEXTAVADA DE ACO DE 1/4"</t>
        </r>
      </text>
    </comment>
    <comment ref="W823" authorId="0" shapeId="0" xr:uid="{89919A2F-2050-47B5-95AF-6C1B29282E26}">
      <text>
        <r>
          <rPr>
            <sz val="10"/>
            <color indexed="81"/>
            <rFont val="Lucida Console"/>
            <family val="3"/>
          </rPr>
          <t>_x000D_
DM-Serralheria</t>
        </r>
      </text>
    </comment>
    <comment ref="X823" authorId="0" shapeId="0" xr:uid="{415F946B-E7F4-4B5B-A78F-72813F5A691B}">
      <text>
        <r>
          <rPr>
            <sz val="10"/>
            <color indexed="81"/>
            <rFont val="Lucida Console"/>
            <family val="3"/>
          </rPr>
          <t>_x000D_
PARAFUSOS ELEM. VEDACAO UNIAO CONEX . FIXACAO</t>
        </r>
      </text>
    </comment>
    <comment ref="Y823" authorId="0" shapeId="0" xr:uid="{06CB1C19-4EB9-4366-984E-0B09ADA44E79}">
      <text>
        <r>
          <rPr>
            <sz val="10"/>
            <color indexed="81"/>
            <rFont val="Lucida Console"/>
            <family val="3"/>
          </rPr>
          <t>_x000D_
PORCAS</t>
        </r>
      </text>
    </comment>
    <comment ref="AW823" authorId="0" shapeId="0" xr:uid="{A6F02526-9888-42B3-8208-84EC3A8CBF3C}">
      <text>
        <r>
          <rPr>
            <sz val="10"/>
            <color indexed="81"/>
            <rFont val="Lucida Console"/>
            <family val="3"/>
          </rPr>
          <t>Tempo de Estoque (Meses)_x000D_
_x000D_
8.061,0</t>
        </r>
      </text>
    </comment>
    <comment ref="A824" authorId="0" shapeId="0" xr:uid="{02D316C2-F89D-4A07-982C-D1EAB6B3F3C7}">
      <text>
        <r>
          <rPr>
            <sz val="10"/>
            <color indexed="81"/>
            <rFont val="Lucida Console"/>
            <family val="3"/>
          </rPr>
          <t>_x000D_
23676</t>
        </r>
      </text>
    </comment>
    <comment ref="B824" authorId="0" shapeId="0" xr:uid="{573C2472-7BE4-4182-9116-CEB4F66ECCE9}">
      <text>
        <r>
          <rPr>
            <sz val="10"/>
            <color indexed="81"/>
            <rFont val="Lucida Console"/>
            <family val="3"/>
          </rPr>
          <t>DESCRIÇÃO DETALHADA_x000D_
CONJUNTO DE VEDACAO PLASTICA P/ TELHA 6 MM</t>
        </r>
      </text>
    </comment>
    <comment ref="W824" authorId="0" shapeId="0" xr:uid="{41C7CFE2-AD6D-45CC-BE15-AF439C6BBDEE}">
      <text>
        <r>
          <rPr>
            <sz val="10"/>
            <color indexed="81"/>
            <rFont val="Lucida Console"/>
            <family val="3"/>
          </rPr>
          <t>_x000D_
DM-Serralheria</t>
        </r>
      </text>
    </comment>
    <comment ref="X824" authorId="0" shapeId="0" xr:uid="{A41F9037-7D8A-4B17-A8AD-785790F0AAE2}">
      <text>
        <r>
          <rPr>
            <sz val="10"/>
            <color indexed="81"/>
            <rFont val="Lucida Console"/>
            <family val="3"/>
          </rPr>
          <t>_x000D_
PARAFUSOS ELEM. VEDACAO UNIAO CONEX . FIXACAO</t>
        </r>
      </text>
    </comment>
    <comment ref="Y824" authorId="0" shapeId="0" xr:uid="{FBB63A08-8209-4E9A-B354-9F27C36C270B}">
      <text>
        <r>
          <rPr>
            <sz val="10"/>
            <color indexed="81"/>
            <rFont val="Lucida Console"/>
            <family val="3"/>
          </rPr>
          <t>_x000D_
ARRUELAS</t>
        </r>
      </text>
    </comment>
    <comment ref="AW824" authorId="0" shapeId="0" xr:uid="{0D4B726A-6541-4FD4-AEC5-C0916DF38652}">
      <text>
        <r>
          <rPr>
            <sz val="10"/>
            <color indexed="81"/>
            <rFont val="Lucida Console"/>
            <family val="3"/>
          </rPr>
          <t>Tempo de Estoque (Meses)_x000D_
_x000D_
2.131,0</t>
        </r>
      </text>
    </comment>
    <comment ref="A825" authorId="0" shapeId="0" xr:uid="{06B39FD9-7ACA-4DBD-B808-E6654D740DA9}">
      <text>
        <r>
          <rPr>
            <sz val="10"/>
            <color indexed="81"/>
            <rFont val="Lucida Console"/>
            <family val="3"/>
          </rPr>
          <t>_x000D_
54029</t>
        </r>
      </text>
    </comment>
    <comment ref="B825" authorId="0" shapeId="0" xr:uid="{9111FA38-80C1-45C6-9E85-BB9E702EF196}">
      <text>
        <r>
          <rPr>
            <sz val="10"/>
            <color indexed="81"/>
            <rFont val="Lucida Console"/>
            <family val="3"/>
          </rPr>
          <t>DESCRIÇÃO DETALHADA_x000D_
ARRUELA LISA 5/16</t>
        </r>
      </text>
    </comment>
    <comment ref="W825" authorId="0" shapeId="0" xr:uid="{E9778ED9-7B43-4061-937B-8426DB40DBA3}">
      <text>
        <r>
          <rPr>
            <sz val="10"/>
            <color indexed="81"/>
            <rFont val="Lucida Console"/>
            <family val="3"/>
          </rPr>
          <t>_x000D_
DM-Serralheria</t>
        </r>
      </text>
    </comment>
    <comment ref="X825" authorId="0" shapeId="0" xr:uid="{A036D70B-7DBF-43BB-B9F9-09CACDA610ED}">
      <text>
        <r>
          <rPr>
            <sz val="10"/>
            <color indexed="81"/>
            <rFont val="Lucida Console"/>
            <family val="3"/>
          </rPr>
          <t>_x000D_
PARAFUSOS ELEM. VEDACAO UNIAO CONEX . FIXACAO</t>
        </r>
      </text>
    </comment>
    <comment ref="Y825" authorId="0" shapeId="0" xr:uid="{4F1BB0A3-10EE-423D-B462-90856449D006}">
      <text>
        <r>
          <rPr>
            <sz val="10"/>
            <color indexed="81"/>
            <rFont val="Lucida Console"/>
            <family val="3"/>
          </rPr>
          <t>_x000D_
ARRUELAS</t>
        </r>
      </text>
    </comment>
    <comment ref="AW825" authorId="0" shapeId="0" xr:uid="{5E1452D0-CADF-4A8B-A4B7-DCFFAC5C27CF}">
      <text>
        <r>
          <rPr>
            <sz val="10"/>
            <color indexed="81"/>
            <rFont val="Lucida Console"/>
            <family val="3"/>
          </rPr>
          <t>Tempo de Estoque (Meses)_x000D_
_x000D_
3.115,0</t>
        </r>
      </text>
    </comment>
    <comment ref="A826" authorId="0" shapeId="0" xr:uid="{F5AC9EFE-08BF-41C8-A538-C54762257D4A}">
      <text>
        <r>
          <rPr>
            <sz val="10"/>
            <color indexed="81"/>
            <rFont val="Lucida Console"/>
            <family val="3"/>
          </rPr>
          <t>_x000D_
54032</t>
        </r>
      </text>
    </comment>
    <comment ref="B826" authorId="0" shapeId="0" xr:uid="{0D8A5B16-A0ED-4631-8FBB-0D4A46A065C3}">
      <text>
        <r>
          <rPr>
            <sz val="10"/>
            <color indexed="81"/>
            <rFont val="Lucida Console"/>
            <family val="3"/>
          </rPr>
          <t>DESCRIÇÃO DETALHADA_x000D_
ARRUELA LISA 1/4"</t>
        </r>
      </text>
    </comment>
    <comment ref="W826" authorId="0" shapeId="0" xr:uid="{DCD9C45F-45FB-4E54-BB1E-F03FFCDA7DCB}">
      <text>
        <r>
          <rPr>
            <sz val="10"/>
            <color indexed="81"/>
            <rFont val="Lucida Console"/>
            <family val="3"/>
          </rPr>
          <t>_x000D_
DM-Serralheria</t>
        </r>
      </text>
    </comment>
    <comment ref="X826" authorId="0" shapeId="0" xr:uid="{91EFD7B8-91FF-4AB1-B728-87057339D71F}">
      <text>
        <r>
          <rPr>
            <sz val="10"/>
            <color indexed="81"/>
            <rFont val="Lucida Console"/>
            <family val="3"/>
          </rPr>
          <t>_x000D_
PARAFUSOS ELEM. VEDACAO UNIAO CONEX . FIXACAO</t>
        </r>
      </text>
    </comment>
    <comment ref="Y826" authorId="0" shapeId="0" xr:uid="{AA3F9CBA-0007-44BD-8B98-2EAEA4D9602E}">
      <text>
        <r>
          <rPr>
            <sz val="10"/>
            <color indexed="81"/>
            <rFont val="Lucida Console"/>
            <family val="3"/>
          </rPr>
          <t>_x000D_
ARRUELAS</t>
        </r>
      </text>
    </comment>
    <comment ref="AW826" authorId="0" shapeId="0" xr:uid="{A5AEF01A-B424-452D-B0D1-F968DDEA1C2B}">
      <text>
        <r>
          <rPr>
            <sz val="10"/>
            <color indexed="81"/>
            <rFont val="Lucida Console"/>
            <family val="3"/>
          </rPr>
          <t>Tempo de Estoque (Meses)_x000D_
_x000D_
23.466,0</t>
        </r>
      </text>
    </comment>
    <comment ref="A827" authorId="0" shapeId="0" xr:uid="{23390379-A4F5-4403-B3A0-60D818454A33}">
      <text>
        <r>
          <rPr>
            <sz val="10"/>
            <color indexed="81"/>
            <rFont val="Lucida Console"/>
            <family val="3"/>
          </rPr>
          <t>_x000D_
64466</t>
        </r>
      </text>
    </comment>
    <comment ref="B827" authorId="0" shapeId="0" xr:uid="{A59DDE62-F6E6-4295-A560-804C8F6876DD}">
      <text>
        <r>
          <rPr>
            <sz val="10"/>
            <color indexed="81"/>
            <rFont val="Lucida Console"/>
            <family val="3"/>
          </rPr>
          <t>DESCRIÇÃO DETALHADA_x000D_
ARRUELA LISA DE ACO DE 3/8"</t>
        </r>
      </text>
    </comment>
    <comment ref="W827" authorId="0" shapeId="0" xr:uid="{17DED778-1331-49F7-81C3-C8C13194B89A}">
      <text>
        <r>
          <rPr>
            <sz val="10"/>
            <color indexed="81"/>
            <rFont val="Lucida Console"/>
            <family val="3"/>
          </rPr>
          <t>_x000D_
DM-Serralheria</t>
        </r>
      </text>
    </comment>
    <comment ref="X827" authorId="0" shapeId="0" xr:uid="{5EF93B56-19A1-4885-9FE6-ECE3221CC9FA}">
      <text>
        <r>
          <rPr>
            <sz val="10"/>
            <color indexed="81"/>
            <rFont val="Lucida Console"/>
            <family val="3"/>
          </rPr>
          <t>_x000D_
PARAFUSOS ELEM. VEDACAO UNIAO CONEX . FIXACAO</t>
        </r>
      </text>
    </comment>
    <comment ref="Y827" authorId="0" shapeId="0" xr:uid="{776FEFC1-1C9A-42C6-93CB-7CFB8B7DA984}">
      <text>
        <r>
          <rPr>
            <sz val="10"/>
            <color indexed="81"/>
            <rFont val="Lucida Console"/>
            <family val="3"/>
          </rPr>
          <t>_x000D_
ARRUELAS</t>
        </r>
      </text>
    </comment>
    <comment ref="AW827" authorId="0" shapeId="0" xr:uid="{A0E446E7-69E0-4255-8AF5-DB4DFE84C8B5}">
      <text>
        <r>
          <rPr>
            <sz val="10"/>
            <color indexed="81"/>
            <rFont val="Lucida Console"/>
            <family val="3"/>
          </rPr>
          <t>Tempo de Estoque (Meses)_x000D_
_x000D_
5.067,0</t>
        </r>
      </text>
    </comment>
    <comment ref="A828" authorId="0" shapeId="0" xr:uid="{A51C7661-4BD4-41D1-ABC2-BBDBAD721E3F}">
      <text>
        <r>
          <rPr>
            <sz val="10"/>
            <color indexed="81"/>
            <rFont val="Lucida Console"/>
            <family val="3"/>
          </rPr>
          <t>_x000D_
88849</t>
        </r>
      </text>
    </comment>
    <comment ref="B828" authorId="0" shapeId="0" xr:uid="{9AC6D1B2-7DF9-42BB-90E5-C4027D0C5C90}">
      <text>
        <r>
          <rPr>
            <sz val="10"/>
            <color indexed="81"/>
            <rFont val="Lucida Console"/>
            <family val="3"/>
          </rPr>
          <t>DESCRIÇÃO DETALHADA_x000D_
ARRUELA LISA DE ACO DE 3/16"</t>
        </r>
      </text>
    </comment>
    <comment ref="W828" authorId="0" shapeId="0" xr:uid="{DD72AE69-FAA0-4B7F-A740-47273B295AEA}">
      <text>
        <r>
          <rPr>
            <sz val="10"/>
            <color indexed="81"/>
            <rFont val="Lucida Console"/>
            <family val="3"/>
          </rPr>
          <t>_x000D_
DM-Serralheria</t>
        </r>
      </text>
    </comment>
    <comment ref="X828" authorId="0" shapeId="0" xr:uid="{D2277203-D7D9-4B3E-A513-AE89964EC4B2}">
      <text>
        <r>
          <rPr>
            <sz val="10"/>
            <color indexed="81"/>
            <rFont val="Lucida Console"/>
            <family val="3"/>
          </rPr>
          <t>_x000D_
PARAFUSOS ELEM. VEDACAO UNIAO CONEX . FIXACAO</t>
        </r>
      </text>
    </comment>
    <comment ref="Y828" authorId="0" shapeId="0" xr:uid="{07B7F7E5-54F0-4DE4-9660-8E9F5A5E5494}">
      <text>
        <r>
          <rPr>
            <sz val="10"/>
            <color indexed="81"/>
            <rFont val="Lucida Console"/>
            <family val="3"/>
          </rPr>
          <t>_x000D_
ARRUELAS</t>
        </r>
      </text>
    </comment>
    <comment ref="AW828" authorId="0" shapeId="0" xr:uid="{6C9377EC-2B41-4E63-83BB-8E98301984BE}">
      <text>
        <r>
          <rPr>
            <sz val="10"/>
            <color indexed="81"/>
            <rFont val="Lucida Console"/>
            <family val="3"/>
          </rPr>
          <t>Tempo de Estoque (Meses)_x000D_
_x000D_
1.563,0</t>
        </r>
      </text>
    </comment>
    <comment ref="A829" authorId="0" shapeId="0" xr:uid="{C6FD975B-303B-4878-B6D8-5A1A3CE60A22}">
      <text>
        <r>
          <rPr>
            <sz val="10"/>
            <color indexed="81"/>
            <rFont val="Lucida Console"/>
            <family val="3"/>
          </rPr>
          <t>_x000D_
14055</t>
        </r>
      </text>
    </comment>
    <comment ref="B829" authorId="0" shapeId="0" xr:uid="{3544AE83-2453-4781-B5BE-EA612D5990FA}">
      <text>
        <r>
          <rPr>
            <sz val="10"/>
            <color indexed="81"/>
            <rFont val="Lucida Console"/>
            <family val="3"/>
          </rPr>
          <t>DESCRIÇÃO DETALHADA_x000D_
PREGO COMUM DE CABECA CHATA - 19 X 36</t>
        </r>
      </text>
    </comment>
    <comment ref="W829" authorId="0" shapeId="0" xr:uid="{12D22DF5-2EDD-418A-A690-3BB6DD10FA93}">
      <text>
        <r>
          <rPr>
            <sz val="10"/>
            <color indexed="81"/>
            <rFont val="Lucida Console"/>
            <family val="3"/>
          </rPr>
          <t>_x000D_
DM-Construção</t>
        </r>
      </text>
    </comment>
    <comment ref="X829" authorId="0" shapeId="0" xr:uid="{04D69F90-4B04-484B-9F3C-1C912DA3B7E1}">
      <text>
        <r>
          <rPr>
            <sz val="10"/>
            <color indexed="81"/>
            <rFont val="Lucida Console"/>
            <family val="3"/>
          </rPr>
          <t>_x000D_
PARAFUSOS ELEM. VEDACAO UNIAO CONEX . FIXACAO</t>
        </r>
      </text>
    </comment>
    <comment ref="Y829" authorId="0" shapeId="0" xr:uid="{362E55D0-D187-4961-BD1C-44C5877626EC}">
      <text>
        <r>
          <rPr>
            <sz val="10"/>
            <color indexed="81"/>
            <rFont val="Lucida Console"/>
            <family val="3"/>
          </rPr>
          <t>_x000D_
PREGOS E GRAMPOS</t>
        </r>
      </text>
    </comment>
    <comment ref="AW829" authorId="0" shapeId="0" xr:uid="{BC7552EF-6164-4E64-8F09-64ACF9FA4BEF}">
      <text>
        <r>
          <rPr>
            <sz val="10"/>
            <color indexed="81"/>
            <rFont val="Lucida Console"/>
            <family val="3"/>
          </rPr>
          <t>Tempo de Estoque (Meses)_x000D_
_x000D_
482,0</t>
        </r>
      </text>
    </comment>
    <comment ref="A830" authorId="0" shapeId="0" xr:uid="{37E2295C-3641-4388-B1C9-F90E2F16F074}">
      <text>
        <r>
          <rPr>
            <sz val="10"/>
            <color indexed="81"/>
            <rFont val="Lucida Console"/>
            <family val="3"/>
          </rPr>
          <t>_x000D_
18337</t>
        </r>
      </text>
    </comment>
    <comment ref="B830" authorId="0" shapeId="0" xr:uid="{244A80FB-6662-4659-8E49-868A409CDFE4}">
      <text>
        <r>
          <rPr>
            <sz val="10"/>
            <color indexed="81"/>
            <rFont val="Lucida Console"/>
            <family val="3"/>
          </rPr>
          <t>DESCRIÇÃO DETALHADA_x000D_
PREGO COMUM DE CABECA CHATA - 12 X 12</t>
        </r>
      </text>
    </comment>
    <comment ref="W830" authorId="0" shapeId="0" xr:uid="{39A6636B-2AC8-4437-A807-62AFCE27E142}">
      <text>
        <r>
          <rPr>
            <sz val="10"/>
            <color indexed="81"/>
            <rFont val="Lucida Console"/>
            <family val="3"/>
          </rPr>
          <t>_x000D_
DM-Construção</t>
        </r>
      </text>
    </comment>
    <comment ref="X830" authorId="0" shapeId="0" xr:uid="{9988FF8F-323F-48DA-B4CB-71714AA208D9}">
      <text>
        <r>
          <rPr>
            <sz val="10"/>
            <color indexed="81"/>
            <rFont val="Lucida Console"/>
            <family val="3"/>
          </rPr>
          <t>_x000D_
PARAFUSOS ELEM. VEDACAO UNIAO CONEX . FIXACAO</t>
        </r>
      </text>
    </comment>
    <comment ref="Y830" authorId="0" shapeId="0" xr:uid="{28F5EC89-88D0-4EBF-B7CA-D5637664A0C7}">
      <text>
        <r>
          <rPr>
            <sz val="10"/>
            <color indexed="81"/>
            <rFont val="Lucida Console"/>
            <family val="3"/>
          </rPr>
          <t>_x000D_
PREGOS E GRAMPOS</t>
        </r>
      </text>
    </comment>
    <comment ref="AW830" authorId="0" shapeId="0" xr:uid="{7017FEBD-274F-4777-96CC-D3EF494CE7BF}">
      <text>
        <r>
          <rPr>
            <sz val="10"/>
            <color indexed="81"/>
            <rFont val="Lucida Console"/>
            <family val="3"/>
          </rPr>
          <t>Tempo de Estoque (Meses)_x000D_
_x000D_
22,0</t>
        </r>
      </text>
    </comment>
    <comment ref="A831" authorId="0" shapeId="0" xr:uid="{B2E96C88-F1FC-4AC1-A4FB-36748732D956}">
      <text>
        <r>
          <rPr>
            <sz val="10"/>
            <color indexed="81"/>
            <rFont val="Lucida Console"/>
            <family val="3"/>
          </rPr>
          <t>_x000D_
18346</t>
        </r>
      </text>
    </comment>
    <comment ref="B831" authorId="0" shapeId="0" xr:uid="{6DCB259B-3199-4109-9B13-CBAD34546C57}">
      <text>
        <r>
          <rPr>
            <sz val="10"/>
            <color indexed="81"/>
            <rFont val="Lucida Console"/>
            <family val="3"/>
          </rPr>
          <t>DESCRIÇÃO DETALHADA_x000D_
PREGO COMUM DE CABECA CHATA - 15 X 15</t>
        </r>
      </text>
    </comment>
    <comment ref="W831" authorId="0" shapeId="0" xr:uid="{9E726265-E921-4129-8AA8-F65359D0E9B4}">
      <text>
        <r>
          <rPr>
            <sz val="10"/>
            <color indexed="81"/>
            <rFont val="Lucida Console"/>
            <family val="3"/>
          </rPr>
          <t>_x000D_
DM-Construção</t>
        </r>
      </text>
    </comment>
    <comment ref="X831" authorId="0" shapeId="0" xr:uid="{80AAED29-D519-4D1B-9A6B-598788134AFD}">
      <text>
        <r>
          <rPr>
            <sz val="10"/>
            <color indexed="81"/>
            <rFont val="Lucida Console"/>
            <family val="3"/>
          </rPr>
          <t>_x000D_
PARAFUSOS ELEM. VEDACAO UNIAO CONEX . FIXACAO</t>
        </r>
      </text>
    </comment>
    <comment ref="Y831" authorId="0" shapeId="0" xr:uid="{FA061346-23F2-4A7B-B2E6-5D90CD9CDCC1}">
      <text>
        <r>
          <rPr>
            <sz val="10"/>
            <color indexed="81"/>
            <rFont val="Lucida Console"/>
            <family val="3"/>
          </rPr>
          <t>_x000D_
PREGOS E GRAMPOS</t>
        </r>
      </text>
    </comment>
    <comment ref="AW831" authorId="0" shapeId="0" xr:uid="{8C63EDE9-3A18-4DA8-9CA9-D018D3765D14}">
      <text>
        <r>
          <rPr>
            <sz val="10"/>
            <color indexed="81"/>
            <rFont val="Lucida Console"/>
            <family val="3"/>
          </rPr>
          <t>Tempo de Estoque (Meses)_x000D_
_x000D_
251,0</t>
        </r>
      </text>
    </comment>
    <comment ref="A832" authorId="0" shapeId="0" xr:uid="{63416480-47F1-43AC-98F5-1E08471A3A47}">
      <text>
        <r>
          <rPr>
            <sz val="10"/>
            <color indexed="81"/>
            <rFont val="Lucida Console"/>
            <family val="3"/>
          </rPr>
          <t>_x000D_
18353</t>
        </r>
      </text>
    </comment>
    <comment ref="B832" authorId="0" shapeId="0" xr:uid="{C147EFCF-D3F0-4C89-901F-2CC67BC96632}">
      <text>
        <r>
          <rPr>
            <sz val="10"/>
            <color indexed="81"/>
            <rFont val="Lucida Console"/>
            <family val="3"/>
          </rPr>
          <t>DESCRIÇÃO DETALHADA_x000D_
PREGO COMUM DE CABECA CHATA - 17 X 21</t>
        </r>
      </text>
    </comment>
    <comment ref="W832" authorId="0" shapeId="0" xr:uid="{BC5A5593-0DF3-472A-86EF-A690141448CC}">
      <text>
        <r>
          <rPr>
            <sz val="10"/>
            <color indexed="81"/>
            <rFont val="Lucida Console"/>
            <family val="3"/>
          </rPr>
          <t>_x000D_
DM-Construção</t>
        </r>
      </text>
    </comment>
    <comment ref="X832" authorId="0" shapeId="0" xr:uid="{28E4671B-59F0-4B80-8064-9ECA9CB1F36C}">
      <text>
        <r>
          <rPr>
            <sz val="10"/>
            <color indexed="81"/>
            <rFont val="Lucida Console"/>
            <family val="3"/>
          </rPr>
          <t>_x000D_
PARAFUSOS ELEM. VEDACAO UNIAO CONEX . FIXACAO</t>
        </r>
      </text>
    </comment>
    <comment ref="Y832" authorId="0" shapeId="0" xr:uid="{65DE8863-064C-4FD6-BAFC-9C91413C2973}">
      <text>
        <r>
          <rPr>
            <sz val="10"/>
            <color indexed="81"/>
            <rFont val="Lucida Console"/>
            <family val="3"/>
          </rPr>
          <t>_x000D_
PREGOS E GRAMPOS</t>
        </r>
      </text>
    </comment>
    <comment ref="AW832" authorId="0" shapeId="0" xr:uid="{C90A53C2-E9E6-4677-BC6E-E66CA025266D}">
      <text>
        <r>
          <rPr>
            <sz val="10"/>
            <color indexed="81"/>
            <rFont val="Lucida Console"/>
            <family val="3"/>
          </rPr>
          <t>Tempo de Estoque (Meses)_x000D_
_x000D_
1.000,0</t>
        </r>
      </text>
    </comment>
    <comment ref="A833" authorId="0" shapeId="0" xr:uid="{2BB3A3B3-8326-4B32-904E-B6F032FB3F45}">
      <text>
        <r>
          <rPr>
            <sz val="10"/>
            <color indexed="81"/>
            <rFont val="Lucida Console"/>
            <family val="3"/>
          </rPr>
          <t>_x000D_
18357</t>
        </r>
      </text>
    </comment>
    <comment ref="B833" authorId="0" shapeId="0" xr:uid="{B17B61A3-44FB-4DC9-ACD4-A87C04C3D5A3}">
      <text>
        <r>
          <rPr>
            <sz val="10"/>
            <color indexed="81"/>
            <rFont val="Lucida Console"/>
            <family val="3"/>
          </rPr>
          <t>DESCRIÇÃO DETALHADA_x000D_
PREGO COMUM DE CABECA CHATA - 18 X 27</t>
        </r>
      </text>
    </comment>
    <comment ref="W833" authorId="0" shapeId="0" xr:uid="{09AAF7E5-5F13-46AF-9489-20F3CA9ECC1D}">
      <text>
        <r>
          <rPr>
            <sz val="10"/>
            <color indexed="81"/>
            <rFont val="Lucida Console"/>
            <family val="3"/>
          </rPr>
          <t>_x000D_
DM-Construção</t>
        </r>
      </text>
    </comment>
    <comment ref="X833" authorId="0" shapeId="0" xr:uid="{EF6BB1DB-023E-4F73-A756-BBC1718E8F09}">
      <text>
        <r>
          <rPr>
            <sz val="10"/>
            <color indexed="81"/>
            <rFont val="Lucida Console"/>
            <family val="3"/>
          </rPr>
          <t>_x000D_
PARAFUSOS ELEM. VEDACAO UNIAO CONEX . FIXACAO</t>
        </r>
      </text>
    </comment>
    <comment ref="Y833" authorId="0" shapeId="0" xr:uid="{0A5FE4E4-B6B7-49FB-A4F1-BBD4D9BC3BE7}">
      <text>
        <r>
          <rPr>
            <sz val="10"/>
            <color indexed="81"/>
            <rFont val="Lucida Console"/>
            <family val="3"/>
          </rPr>
          <t>_x000D_
PREGOS E GRAMPOS</t>
        </r>
      </text>
    </comment>
    <comment ref="AW833" authorId="0" shapeId="0" xr:uid="{62502E83-74D9-44A6-8DF4-74A72CDE2216}">
      <text>
        <r>
          <rPr>
            <sz val="10"/>
            <color indexed="81"/>
            <rFont val="Lucida Console"/>
            <family val="3"/>
          </rPr>
          <t>Tempo de Estoque (Meses)_x000D_
_x000D_
1.129,0</t>
        </r>
      </text>
    </comment>
    <comment ref="A834" authorId="0" shapeId="0" xr:uid="{D5AF6AE2-5A64-4A9F-B6E6-C8D0144E9F85}">
      <text>
        <r>
          <rPr>
            <sz val="10"/>
            <color indexed="81"/>
            <rFont val="Lucida Console"/>
            <family val="3"/>
          </rPr>
          <t>_x000D_
18358</t>
        </r>
      </text>
    </comment>
    <comment ref="B834" authorId="0" shapeId="0" xr:uid="{686C6AFF-774D-4686-9C32-2C30097652D4}">
      <text>
        <r>
          <rPr>
            <sz val="10"/>
            <color indexed="81"/>
            <rFont val="Lucida Console"/>
            <family val="3"/>
          </rPr>
          <t>DESCRIÇÃO DETALHADA_x000D_
PREGO COMUM DE CABECA CHATA - 18 X 30</t>
        </r>
      </text>
    </comment>
    <comment ref="W834" authorId="0" shapeId="0" xr:uid="{7676A208-8CE0-4341-93C6-5C911D646664}">
      <text>
        <r>
          <rPr>
            <sz val="10"/>
            <color indexed="81"/>
            <rFont val="Lucida Console"/>
            <family val="3"/>
          </rPr>
          <t>_x000D_
DM-Construção</t>
        </r>
      </text>
    </comment>
    <comment ref="X834" authorId="0" shapeId="0" xr:uid="{5B5769BC-53B1-4AA1-862B-99112FF8DEB3}">
      <text>
        <r>
          <rPr>
            <sz val="10"/>
            <color indexed="81"/>
            <rFont val="Lucida Console"/>
            <family val="3"/>
          </rPr>
          <t>_x000D_
PARAFUSOS ELEM. VEDACAO UNIAO CONEX . FIXACAO</t>
        </r>
      </text>
    </comment>
    <comment ref="Y834" authorId="0" shapeId="0" xr:uid="{553FA17D-18DB-48FA-9C32-E4BA84BB5E1B}">
      <text>
        <r>
          <rPr>
            <sz val="10"/>
            <color indexed="81"/>
            <rFont val="Lucida Console"/>
            <family val="3"/>
          </rPr>
          <t>_x000D_
PREGOS E GRAMPOS</t>
        </r>
      </text>
    </comment>
    <comment ref="AW834" authorId="0" shapeId="0" xr:uid="{BA7D02FE-EB40-4B50-8E6C-B885EC213CAB}">
      <text>
        <r>
          <rPr>
            <sz val="10"/>
            <color indexed="81"/>
            <rFont val="Lucida Console"/>
            <family val="3"/>
          </rPr>
          <t>Tempo de Estoque (Meses)_x000D_
_x000D_
229,0</t>
        </r>
      </text>
    </comment>
    <comment ref="A835" authorId="0" shapeId="0" xr:uid="{897C86FA-253F-46B5-AF76-8852320CEC52}">
      <text>
        <r>
          <rPr>
            <sz val="10"/>
            <color indexed="81"/>
            <rFont val="Lucida Console"/>
            <family val="3"/>
          </rPr>
          <t>_x000D_
20537</t>
        </r>
      </text>
    </comment>
    <comment ref="B835" authorId="0" shapeId="0" xr:uid="{2A9D890E-AECC-468B-B888-E4A5911CC9AB}">
      <text>
        <r>
          <rPr>
            <sz val="10"/>
            <color indexed="81"/>
            <rFont val="Lucida Console"/>
            <family val="3"/>
          </rPr>
          <t>DESCRIÇÃO DETALHADA_x000D_
PREGO COMUM DE CABECA CHATA - 22 X 48</t>
        </r>
      </text>
    </comment>
    <comment ref="W835" authorId="0" shapeId="0" xr:uid="{647DEADF-FBDD-4885-87FD-2BB361803749}">
      <text>
        <r>
          <rPr>
            <sz val="10"/>
            <color indexed="81"/>
            <rFont val="Lucida Console"/>
            <family val="3"/>
          </rPr>
          <t>_x000D_
DM-Construção</t>
        </r>
      </text>
    </comment>
    <comment ref="X835" authorId="0" shapeId="0" xr:uid="{DEA6C411-2563-4231-8271-C83069AAF600}">
      <text>
        <r>
          <rPr>
            <sz val="10"/>
            <color indexed="81"/>
            <rFont val="Lucida Console"/>
            <family val="3"/>
          </rPr>
          <t>_x000D_
PARAFUSOS ELEM. VEDACAO UNIAO CONEX . FIXACAO</t>
        </r>
      </text>
    </comment>
    <comment ref="Y835" authorId="0" shapeId="0" xr:uid="{D2B8B93B-8A68-4B0A-97BD-2DF126CF7FF1}">
      <text>
        <r>
          <rPr>
            <sz val="10"/>
            <color indexed="81"/>
            <rFont val="Lucida Console"/>
            <family val="3"/>
          </rPr>
          <t>_x000D_
PREGOS E GRAMPOS</t>
        </r>
      </text>
    </comment>
    <comment ref="AW835" authorId="0" shapeId="0" xr:uid="{C2C29F58-5487-4C45-A8E0-0D88175F4B24}">
      <text>
        <r>
          <rPr>
            <sz val="10"/>
            <color indexed="81"/>
            <rFont val="Lucida Console"/>
            <family val="3"/>
          </rPr>
          <t>Tempo de Estoque (Meses)_x000D_
_x000D_
137,0</t>
        </r>
      </text>
    </comment>
    <comment ref="A836" authorId="0" shapeId="0" xr:uid="{CFDF8552-9170-4416-B29A-1819D7D78E03}">
      <text>
        <r>
          <rPr>
            <sz val="10"/>
            <color indexed="81"/>
            <rFont val="Lucida Console"/>
            <family val="3"/>
          </rPr>
          <t>_x000D_
24888</t>
        </r>
      </text>
    </comment>
    <comment ref="B836" authorId="0" shapeId="0" xr:uid="{F16217F3-D7AC-4A7F-B001-69B90BBF6F7F}">
      <text>
        <r>
          <rPr>
            <sz val="10"/>
            <color indexed="81"/>
            <rFont val="Lucida Console"/>
            <family val="3"/>
          </rPr>
          <t>DESCRIÇÃO DETALHADA_x000D_
PREGO COMUM DE CABECA CHATA - 10 X 10</t>
        </r>
      </text>
    </comment>
    <comment ref="W836" authorId="0" shapeId="0" xr:uid="{651A2100-BC9B-44B3-9CC4-135B8F6C3F01}">
      <text>
        <r>
          <rPr>
            <sz val="10"/>
            <color indexed="81"/>
            <rFont val="Lucida Console"/>
            <family val="3"/>
          </rPr>
          <t>_x000D_
DM-Construção</t>
        </r>
      </text>
    </comment>
    <comment ref="X836" authorId="0" shapeId="0" xr:uid="{D34DE6BC-A113-4207-8F8A-8D7F56FB4314}">
      <text>
        <r>
          <rPr>
            <sz val="10"/>
            <color indexed="81"/>
            <rFont val="Lucida Console"/>
            <family val="3"/>
          </rPr>
          <t>_x000D_
PARAFUSOS ELEM. VEDACAO UNIAO CONEX . FIXACAO</t>
        </r>
      </text>
    </comment>
    <comment ref="Y836" authorId="0" shapeId="0" xr:uid="{15EC8EEF-D9A3-404A-800A-4AE95F557D5B}">
      <text>
        <r>
          <rPr>
            <sz val="10"/>
            <color indexed="81"/>
            <rFont val="Lucida Console"/>
            <family val="3"/>
          </rPr>
          <t>_x000D_
PREGOS E GRAMPOS</t>
        </r>
      </text>
    </comment>
    <comment ref="AW836" authorId="0" shapeId="0" xr:uid="{69EA4A59-AFAD-45E8-ADC6-A16FAC47F7AD}">
      <text>
        <r>
          <rPr>
            <sz val="10"/>
            <color indexed="81"/>
            <rFont val="Lucida Console"/>
            <family val="3"/>
          </rPr>
          <t>Tempo de Estoque (Meses)_x000D_
_x000D_
96,0</t>
        </r>
      </text>
    </comment>
    <comment ref="A837" authorId="0" shapeId="0" xr:uid="{47BC2DAA-0E5D-473B-809A-6B74785F607A}">
      <text>
        <r>
          <rPr>
            <sz val="10"/>
            <color indexed="81"/>
            <rFont val="Lucida Console"/>
            <family val="3"/>
          </rPr>
          <t>_x000D_
36031</t>
        </r>
      </text>
    </comment>
    <comment ref="B837" authorId="0" shapeId="0" xr:uid="{FBEE50A5-1914-4C7D-983C-0018BD6A32E9}">
      <text>
        <r>
          <rPr>
            <sz val="10"/>
            <color indexed="81"/>
            <rFont val="Lucida Console"/>
            <family val="3"/>
          </rPr>
          <t>DESCRIÇÃO DETALHADA_x000D_
PREGO DE ACO C/ CABECA - 15 X 15</t>
        </r>
      </text>
    </comment>
    <comment ref="W837" authorId="0" shapeId="0" xr:uid="{D1A5F90F-B52B-4F8D-B73B-63FF602E362D}">
      <text>
        <r>
          <rPr>
            <sz val="10"/>
            <color indexed="81"/>
            <rFont val="Lucida Console"/>
            <family val="3"/>
          </rPr>
          <t>_x000D_
DM-Construção</t>
        </r>
      </text>
    </comment>
    <comment ref="X837" authorId="0" shapeId="0" xr:uid="{1B2B05A5-3559-490C-BC1B-BB3DC91F1105}">
      <text>
        <r>
          <rPr>
            <sz val="10"/>
            <color indexed="81"/>
            <rFont val="Lucida Console"/>
            <family val="3"/>
          </rPr>
          <t>_x000D_
PARAFUSOS ELEM. VEDACAO UNIAO CONEX . FIXACAO</t>
        </r>
      </text>
    </comment>
    <comment ref="Y837" authorId="0" shapeId="0" xr:uid="{DA3FF180-DA5D-427D-AD05-93E0B054A6CE}">
      <text>
        <r>
          <rPr>
            <sz val="10"/>
            <color indexed="81"/>
            <rFont val="Lucida Console"/>
            <family val="3"/>
          </rPr>
          <t>_x000D_
PREGOS E GRAMPOS</t>
        </r>
      </text>
    </comment>
    <comment ref="AW837" authorId="0" shapeId="0" xr:uid="{3A03D40E-B1FF-445B-9624-A9CB4EB53457}">
      <text>
        <r>
          <rPr>
            <sz val="10"/>
            <color indexed="81"/>
            <rFont val="Lucida Console"/>
            <family val="3"/>
          </rPr>
          <t>Tempo de Estoque (Meses)_x000D_
_x000D_
2.636,0</t>
        </r>
      </text>
    </comment>
    <comment ref="A838" authorId="0" shapeId="0" xr:uid="{85675421-07C3-43DA-9CFB-ED01BFA9707E}">
      <text>
        <r>
          <rPr>
            <sz val="10"/>
            <color indexed="81"/>
            <rFont val="Lucida Console"/>
            <family val="3"/>
          </rPr>
          <t>_x000D_
49858</t>
        </r>
      </text>
    </comment>
    <comment ref="B838" authorId="0" shapeId="0" xr:uid="{DFBCFBE4-7F46-430C-98D9-37119F93F939}">
      <text>
        <r>
          <rPr>
            <sz val="10"/>
            <color indexed="81"/>
            <rFont val="Lucida Console"/>
            <family val="3"/>
          </rPr>
          <t>DESCRIÇÃO DETALHADA_x000D_
PREGO DE ACO C/ CABECA - 12 X 12</t>
        </r>
      </text>
    </comment>
    <comment ref="W838" authorId="0" shapeId="0" xr:uid="{74A9E15D-F24E-43FE-BE65-5C2A5434A5BE}">
      <text>
        <r>
          <rPr>
            <sz val="10"/>
            <color indexed="81"/>
            <rFont val="Lucida Console"/>
            <family val="3"/>
          </rPr>
          <t>_x000D_
DM-Construção</t>
        </r>
      </text>
    </comment>
    <comment ref="X838" authorId="0" shapeId="0" xr:uid="{B8551FC9-DCB3-4EB2-9E4D-6A15580FE7E7}">
      <text>
        <r>
          <rPr>
            <sz val="10"/>
            <color indexed="81"/>
            <rFont val="Lucida Console"/>
            <family val="3"/>
          </rPr>
          <t>_x000D_
PARAFUSOS ELEM. VEDACAO UNIAO CONEX . FIXACAO</t>
        </r>
      </text>
    </comment>
    <comment ref="Y838" authorId="0" shapeId="0" xr:uid="{1E4C8031-2355-4A60-B461-7B0796BD6223}">
      <text>
        <r>
          <rPr>
            <sz val="10"/>
            <color indexed="81"/>
            <rFont val="Lucida Console"/>
            <family val="3"/>
          </rPr>
          <t>_x000D_
PREGOS E GRAMPOS</t>
        </r>
      </text>
    </comment>
    <comment ref="AW838" authorId="0" shapeId="0" xr:uid="{6AD5B30B-A522-4C44-8BDF-3EBC21F74BC9}">
      <text>
        <r>
          <rPr>
            <sz val="10"/>
            <color indexed="81"/>
            <rFont val="Lucida Console"/>
            <family val="3"/>
          </rPr>
          <t>Tempo de Estoque (Meses)_x000D_
_x000D_
185,0</t>
        </r>
      </text>
    </comment>
    <comment ref="A839" authorId="0" shapeId="0" xr:uid="{20C77CBD-9D0E-409A-B0BE-527C99585FE9}">
      <text>
        <r>
          <rPr>
            <sz val="10"/>
            <color indexed="81"/>
            <rFont val="Lucida Console"/>
            <family val="3"/>
          </rPr>
          <t>_x000D_
20554</t>
        </r>
      </text>
    </comment>
    <comment ref="B839" authorId="0" shapeId="0" xr:uid="{23DAB582-A83D-4F66-B3EC-FF39FA5F8553}">
      <text>
        <r>
          <rPr>
            <sz val="10"/>
            <color indexed="81"/>
            <rFont val="Lucida Console"/>
            <family val="3"/>
          </rPr>
          <t>DESCRIÇÃO DETALHADA_x000D_
REBITE DE REPUCHO EM ALUMINIO C/ MANDRIL DE ACO 4 X 12 MM</t>
        </r>
      </text>
    </comment>
    <comment ref="W839" authorId="0" shapeId="0" xr:uid="{CCF11066-237A-4FD9-B2B0-D6ABB3F52736}">
      <text>
        <r>
          <rPr>
            <sz val="10"/>
            <color indexed="81"/>
            <rFont val="Lucida Console"/>
            <family val="3"/>
          </rPr>
          <t>_x000D_
DM-Serralheria</t>
        </r>
      </text>
    </comment>
    <comment ref="X839" authorId="0" shapeId="0" xr:uid="{117B0F3C-E92B-4F0D-802D-202AFFA4D050}">
      <text>
        <r>
          <rPr>
            <sz val="10"/>
            <color indexed="81"/>
            <rFont val="Lucida Console"/>
            <family val="3"/>
          </rPr>
          <t>_x000D_
PARAFUSOS ELEM. VEDACAO UNIAO CONEX . FIXACAO</t>
        </r>
      </text>
    </comment>
    <comment ref="Y839" authorId="0" shapeId="0" xr:uid="{D658BC20-FE8B-441A-8917-0110AF9DA135}">
      <text>
        <r>
          <rPr>
            <sz val="10"/>
            <color indexed="81"/>
            <rFont val="Lucida Console"/>
            <family val="3"/>
          </rPr>
          <t>_x000D_
REBITES ILHOTES PINOS E CHAVETAS</t>
        </r>
      </text>
    </comment>
    <comment ref="AW839" authorId="0" shapeId="0" xr:uid="{54A88CBA-A022-44B4-BB13-F45316396F22}">
      <text>
        <r>
          <rPr>
            <sz val="10"/>
            <color indexed="81"/>
            <rFont val="Lucida Console"/>
            <family val="3"/>
          </rPr>
          <t>Tempo de Estoque (Meses)_x000D_
_x000D_
13.260,0</t>
        </r>
      </text>
    </comment>
    <comment ref="A840" authorId="0" shapeId="0" xr:uid="{2D19FBA7-0D92-4720-9FC5-6282F7A6BC04}">
      <text>
        <r>
          <rPr>
            <sz val="10"/>
            <color indexed="81"/>
            <rFont val="Lucida Console"/>
            <family val="3"/>
          </rPr>
          <t>_x000D_
20558</t>
        </r>
      </text>
    </comment>
    <comment ref="B840" authorId="0" shapeId="0" xr:uid="{43B1EFC5-A6FC-4093-827A-175E89C25CAA}">
      <text>
        <r>
          <rPr>
            <sz val="10"/>
            <color indexed="81"/>
            <rFont val="Lucida Console"/>
            <family val="3"/>
          </rPr>
          <t>DESCRIÇÃO DETALHADA_x000D_
REBITE DE REPUCHO EM ALUMINIO C/ MANDRIL DE ACO 4 X 16 MM</t>
        </r>
      </text>
    </comment>
    <comment ref="W840" authorId="0" shapeId="0" xr:uid="{713CE08A-D452-4283-B6EC-F81D334A4C51}">
      <text>
        <r>
          <rPr>
            <sz val="10"/>
            <color indexed="81"/>
            <rFont val="Lucida Console"/>
            <family val="3"/>
          </rPr>
          <t>_x000D_
DM-Serralheria</t>
        </r>
      </text>
    </comment>
    <comment ref="X840" authorId="0" shapeId="0" xr:uid="{812BA9C1-2132-4D2E-86CB-2A7915359F38}">
      <text>
        <r>
          <rPr>
            <sz val="10"/>
            <color indexed="81"/>
            <rFont val="Lucida Console"/>
            <family val="3"/>
          </rPr>
          <t>_x000D_
PARAFUSOS ELEM. VEDACAO UNIAO CONEX . FIXACAO</t>
        </r>
      </text>
    </comment>
    <comment ref="Y840" authorId="0" shapeId="0" xr:uid="{FCB3E972-B0F8-4D10-AE1A-8DA98EFDEEBF}">
      <text>
        <r>
          <rPr>
            <sz val="10"/>
            <color indexed="81"/>
            <rFont val="Lucida Console"/>
            <family val="3"/>
          </rPr>
          <t>_x000D_
REBITES ILHOTES PINOS E CHAVETAS</t>
        </r>
      </text>
    </comment>
    <comment ref="AW840" authorId="0" shapeId="0" xr:uid="{8B4B75F0-7802-40E9-A88F-5BE0F6F1BE67}">
      <text>
        <r>
          <rPr>
            <sz val="10"/>
            <color indexed="81"/>
            <rFont val="Lucida Console"/>
            <family val="3"/>
          </rPr>
          <t>Tempo de Estoque (Meses)_x000D_
_x000D_
9.627,0</t>
        </r>
      </text>
    </comment>
    <comment ref="A841" authorId="0" shapeId="0" xr:uid="{030894B8-6286-481F-99E0-65645831C257}">
      <text>
        <r>
          <rPr>
            <sz val="10"/>
            <color indexed="81"/>
            <rFont val="Lucida Console"/>
            <family val="3"/>
          </rPr>
          <t>_x000D_
20576</t>
        </r>
      </text>
    </comment>
    <comment ref="B841" authorId="0" shapeId="0" xr:uid="{B7E6A272-189C-497C-A4AB-579A4FAE239D}">
      <text>
        <r>
          <rPr>
            <sz val="10"/>
            <color indexed="81"/>
            <rFont val="Lucida Console"/>
            <family val="3"/>
          </rPr>
          <t>DESCRIÇÃO DETALHADA_x000D_
REBITE DE REPUCHO EM ALUMINIO C/ MANDRIL DE ACO 4,76 X 25MM</t>
        </r>
      </text>
    </comment>
    <comment ref="W841" authorId="0" shapeId="0" xr:uid="{EB5D45AE-D7E7-4537-B7AF-0FC40213CD90}">
      <text>
        <r>
          <rPr>
            <sz val="10"/>
            <color indexed="81"/>
            <rFont val="Lucida Console"/>
            <family val="3"/>
          </rPr>
          <t>_x000D_
DM-Serralheria</t>
        </r>
      </text>
    </comment>
    <comment ref="X841" authorId="0" shapeId="0" xr:uid="{843D41B7-423D-4977-80F3-50924E7935AD}">
      <text>
        <r>
          <rPr>
            <sz val="10"/>
            <color indexed="81"/>
            <rFont val="Lucida Console"/>
            <family val="3"/>
          </rPr>
          <t>_x000D_
PARAFUSOS ELEM. VEDACAO UNIAO CONEX . FIXACAO</t>
        </r>
      </text>
    </comment>
    <comment ref="Y841" authorId="0" shapeId="0" xr:uid="{444639A5-DA7A-459F-AFFD-147700F1AC8B}">
      <text>
        <r>
          <rPr>
            <sz val="10"/>
            <color indexed="81"/>
            <rFont val="Lucida Console"/>
            <family val="3"/>
          </rPr>
          <t>_x000D_
REBITES ILHOTES PINOS E CHAVETAS</t>
        </r>
      </text>
    </comment>
    <comment ref="AW841" authorId="0" shapeId="0" xr:uid="{FCAC1E33-BAE8-4337-801C-1CD4D5D13A66}">
      <text>
        <r>
          <rPr>
            <sz val="10"/>
            <color indexed="81"/>
            <rFont val="Lucida Console"/>
            <family val="3"/>
          </rPr>
          <t>Tempo de Estoque (Meses)_x000D_
_x000D_
7.415,0</t>
        </r>
      </text>
    </comment>
    <comment ref="A842" authorId="0" shapeId="0" xr:uid="{7BE4FBFF-54E0-46BC-9FEE-18C3BAB2C897}">
      <text>
        <r>
          <rPr>
            <sz val="10"/>
            <color indexed="81"/>
            <rFont val="Lucida Console"/>
            <family val="3"/>
          </rPr>
          <t>_x000D_
20583</t>
        </r>
      </text>
    </comment>
    <comment ref="B842" authorId="0" shapeId="0" xr:uid="{A3525DF5-DF35-4FCA-AD18-556452E23871}">
      <text>
        <r>
          <rPr>
            <sz val="10"/>
            <color indexed="81"/>
            <rFont val="Lucida Console"/>
            <family val="3"/>
          </rPr>
          <t>DESCRIÇÃO DETALHADA_x000D_
REBITE DE REPUCHO EM ALUMINIO C/ MANDRIL DE ACO 6 X 25 MM</t>
        </r>
      </text>
    </comment>
    <comment ref="W842" authorId="0" shapeId="0" xr:uid="{BA073215-833E-48C4-B3DA-555D3EC5EF7D}">
      <text>
        <r>
          <rPr>
            <sz val="10"/>
            <color indexed="81"/>
            <rFont val="Lucida Console"/>
            <family val="3"/>
          </rPr>
          <t>_x000D_
DM-Serralheria</t>
        </r>
      </text>
    </comment>
    <comment ref="X842" authorId="0" shapeId="0" xr:uid="{040406FD-1DEF-4ED4-A5A1-7BA0A8E90297}">
      <text>
        <r>
          <rPr>
            <sz val="10"/>
            <color indexed="81"/>
            <rFont val="Lucida Console"/>
            <family val="3"/>
          </rPr>
          <t>_x000D_
PARAFUSOS ELEM. VEDACAO UNIAO CONEX . FIXACAO</t>
        </r>
      </text>
    </comment>
    <comment ref="Y842" authorId="0" shapeId="0" xr:uid="{C1619CD1-4ABF-46DF-835B-3F961EA280EA}">
      <text>
        <r>
          <rPr>
            <sz val="10"/>
            <color indexed="81"/>
            <rFont val="Lucida Console"/>
            <family val="3"/>
          </rPr>
          <t>_x000D_
REBITES ILHOTES PINOS E CHAVETAS</t>
        </r>
      </text>
    </comment>
    <comment ref="AW842" authorId="0" shapeId="0" xr:uid="{8095DC59-8574-4887-ADE2-3F051721BA44}">
      <text>
        <r>
          <rPr>
            <sz val="10"/>
            <color indexed="81"/>
            <rFont val="Lucida Console"/>
            <family val="3"/>
          </rPr>
          <t>Tempo de Estoque (Meses)_x000D_
_x000D_
13.063,0</t>
        </r>
      </text>
    </comment>
    <comment ref="A843" authorId="0" shapeId="0" xr:uid="{1EC0F7F6-B175-4CCE-9D8F-C991EABBFFAE}">
      <text>
        <r>
          <rPr>
            <sz val="10"/>
            <color indexed="81"/>
            <rFont val="Lucida Console"/>
            <family val="3"/>
          </rPr>
          <t>_x000D_
20584</t>
        </r>
      </text>
    </comment>
    <comment ref="B843" authorId="0" shapeId="0" xr:uid="{DDDAE7CF-02E7-41F4-A1AD-C0343BB7E821}">
      <text>
        <r>
          <rPr>
            <sz val="10"/>
            <color indexed="81"/>
            <rFont val="Lucida Console"/>
            <family val="3"/>
          </rPr>
          <t>DESCRIÇÃO DETALHADA_x000D_
REBITE DE REPUCHO EM ALUMINIO C/ MANDRIL DE ACO 6 X 30 MM</t>
        </r>
      </text>
    </comment>
    <comment ref="W843" authorId="0" shapeId="0" xr:uid="{DCC43FDA-1E30-45BC-BCF0-CFBC2002AF23}">
      <text>
        <r>
          <rPr>
            <sz val="10"/>
            <color indexed="81"/>
            <rFont val="Lucida Console"/>
            <family val="3"/>
          </rPr>
          <t>_x000D_
DM-Serralheria</t>
        </r>
      </text>
    </comment>
    <comment ref="X843" authorId="0" shapeId="0" xr:uid="{4E4D7D0E-F8C7-4B0D-A70B-109629E19565}">
      <text>
        <r>
          <rPr>
            <sz val="10"/>
            <color indexed="81"/>
            <rFont val="Lucida Console"/>
            <family val="3"/>
          </rPr>
          <t>_x000D_
PARAFUSOS ELEM. VEDACAO UNIAO CONEX . FIXACAO</t>
        </r>
      </text>
    </comment>
    <comment ref="Y843" authorId="0" shapeId="0" xr:uid="{90AD608E-7A0B-4D5C-95B2-9AD30F9FBE59}">
      <text>
        <r>
          <rPr>
            <sz val="10"/>
            <color indexed="81"/>
            <rFont val="Lucida Console"/>
            <family val="3"/>
          </rPr>
          <t>_x000D_
REBITES ILHOTES PINOS E CHAVETAS</t>
        </r>
      </text>
    </comment>
    <comment ref="AW843" authorId="0" shapeId="0" xr:uid="{4E1DF820-82CC-41B2-B8FC-4A09CF723794}">
      <text>
        <r>
          <rPr>
            <sz val="10"/>
            <color indexed="81"/>
            <rFont val="Lucida Console"/>
            <family val="3"/>
          </rPr>
          <t>Tempo de Estoque (Meses)_x000D_
_x000D_
24.460,0</t>
        </r>
      </text>
    </comment>
    <comment ref="A844" authorId="0" shapeId="0" xr:uid="{41E91489-B38A-4718-B5E7-700DC45F7FA4}">
      <text>
        <r>
          <rPr>
            <sz val="10"/>
            <color indexed="81"/>
            <rFont val="Lucida Console"/>
            <family val="3"/>
          </rPr>
          <t>_x000D_
123349</t>
        </r>
      </text>
    </comment>
    <comment ref="B844" authorId="0" shapeId="0" xr:uid="{5D3F2DE9-B26A-4F4A-8244-0B14FE3AED2D}">
      <text>
        <r>
          <rPr>
            <sz val="10"/>
            <color indexed="81"/>
            <rFont val="Lucida Console"/>
            <family val="3"/>
          </rPr>
          <t>DESCRIÇÃO DETALHADA_x000D_
PINO F25 - CAIXA COM 5.000 PINOS</t>
        </r>
      </text>
    </comment>
    <comment ref="W844" authorId="0" shapeId="0" xr:uid="{71F706DD-6577-48FC-9CD8-7947844675F8}">
      <text>
        <r>
          <rPr>
            <sz val="10"/>
            <color indexed="81"/>
            <rFont val="Lucida Console"/>
            <family val="3"/>
          </rPr>
          <t>_x000D_
DM-Serralheria</t>
        </r>
      </text>
    </comment>
    <comment ref="X844" authorId="0" shapeId="0" xr:uid="{0E1C7FB2-34EF-4CB4-A304-BD7DA5FFBD00}">
      <text>
        <r>
          <rPr>
            <sz val="10"/>
            <color indexed="81"/>
            <rFont val="Lucida Console"/>
            <family val="3"/>
          </rPr>
          <t>_x000D_
PARAFUSOS ELEM. VEDACAO UNIAO CONEX . FIXACAO</t>
        </r>
      </text>
    </comment>
    <comment ref="Y844" authorId="0" shapeId="0" xr:uid="{85FA0BC0-1937-4FA0-973E-9A948F6E7942}">
      <text>
        <r>
          <rPr>
            <sz val="10"/>
            <color indexed="81"/>
            <rFont val="Lucida Console"/>
            <family val="3"/>
          </rPr>
          <t>_x000D_
REBITES ILHOTES PINOS E CHAVETAS</t>
        </r>
      </text>
    </comment>
    <comment ref="AW844" authorId="0" shapeId="0" xr:uid="{81A06247-8F62-4684-B5C2-C6D0C2DAE5B8}">
      <text>
        <r>
          <rPr>
            <sz val="10"/>
            <color indexed="81"/>
            <rFont val="Lucida Console"/>
            <family val="3"/>
          </rPr>
          <t>Tempo de Estoque (Meses)_x000D_
_x000D_
164,0</t>
        </r>
      </text>
    </comment>
    <comment ref="A845" authorId="0" shapeId="0" xr:uid="{8C5474DD-E843-4D01-9D41-AAA0225511E5}">
      <text>
        <r>
          <rPr>
            <sz val="10"/>
            <color indexed="81"/>
            <rFont val="Lucida Console"/>
            <family val="3"/>
          </rPr>
          <t>_x000D_
123350</t>
        </r>
      </text>
    </comment>
    <comment ref="B845" authorId="0" shapeId="0" xr:uid="{8700EB73-6E7F-4A28-8126-6C3C871DC887}">
      <text>
        <r>
          <rPr>
            <sz val="10"/>
            <color indexed="81"/>
            <rFont val="Lucida Console"/>
            <family val="3"/>
          </rPr>
          <t>DESCRIÇÃO DETALHADA_x000D_
PINO F30 - CAIXA COM 5.000 PINOS</t>
        </r>
      </text>
    </comment>
    <comment ref="W845" authorId="0" shapeId="0" xr:uid="{18C4F893-9AAE-48F7-99D7-3952DA6719FC}">
      <text>
        <r>
          <rPr>
            <sz val="10"/>
            <color indexed="81"/>
            <rFont val="Lucida Console"/>
            <family val="3"/>
          </rPr>
          <t>_x000D_
DM-Serralheria</t>
        </r>
      </text>
    </comment>
    <comment ref="X845" authorId="0" shapeId="0" xr:uid="{6E630C86-5C12-42F5-B10F-7C2A5A782580}">
      <text>
        <r>
          <rPr>
            <sz val="10"/>
            <color indexed="81"/>
            <rFont val="Lucida Console"/>
            <family val="3"/>
          </rPr>
          <t>_x000D_
PARAFUSOS ELEM. VEDACAO UNIAO CONEX . FIXACAO</t>
        </r>
      </text>
    </comment>
    <comment ref="Y845" authorId="0" shapeId="0" xr:uid="{79F2B5C4-9E62-4975-9C0E-6A3DB268F3E4}">
      <text>
        <r>
          <rPr>
            <sz val="10"/>
            <color indexed="81"/>
            <rFont val="Lucida Console"/>
            <family val="3"/>
          </rPr>
          <t>_x000D_
REBITES ILHOTES PINOS E CHAVETAS</t>
        </r>
      </text>
    </comment>
    <comment ref="AW845" authorId="0" shapeId="0" xr:uid="{019EFCF7-55D3-4FE9-A9FF-3EC7938580E2}">
      <text>
        <r>
          <rPr>
            <sz val="10"/>
            <color indexed="81"/>
            <rFont val="Lucida Console"/>
            <family val="3"/>
          </rPr>
          <t>Tempo de Estoque (Meses)_x000D_
_x000D_
91,0</t>
        </r>
      </text>
    </comment>
    <comment ref="A846" authorId="0" shapeId="0" xr:uid="{1C462073-B5BC-48AE-90E7-BEA9CEC50579}">
      <text>
        <r>
          <rPr>
            <sz val="10"/>
            <color indexed="81"/>
            <rFont val="Lucida Console"/>
            <family val="3"/>
          </rPr>
          <t>_x000D_
133366</t>
        </r>
      </text>
    </comment>
    <comment ref="B846" authorId="0" shapeId="0" xr:uid="{6A93417F-54E8-4D72-AFDA-1F10F2A645D7}">
      <text>
        <r>
          <rPr>
            <sz val="10"/>
            <color indexed="81"/>
            <rFont val="Lucida Console"/>
            <family val="3"/>
          </rPr>
          <t>DESCRIÇÃO DETALHADA_x000D_
BUCHA PARA GESSO ACARTONADO (DRYWALL), ESPESSURA DE 15 MM A 23 MM</t>
        </r>
      </text>
    </comment>
    <comment ref="W846" authorId="0" shapeId="0" xr:uid="{720293E8-1F80-441F-9A1F-70FC3300630E}">
      <text>
        <r>
          <rPr>
            <sz val="10"/>
            <color indexed="81"/>
            <rFont val="Lucida Console"/>
            <family val="3"/>
          </rPr>
          <t>_x000D_
DM-Construção</t>
        </r>
      </text>
    </comment>
    <comment ref="X846" authorId="0" shapeId="0" xr:uid="{B2E522BE-D203-4EDD-BB2E-545A50230531}">
      <text>
        <r>
          <rPr>
            <sz val="10"/>
            <color indexed="81"/>
            <rFont val="Lucida Console"/>
            <family val="3"/>
          </rPr>
          <t>_x000D_
PARAFUSOS ELEM. VEDACAO UNIAO CONEX . FIXACAO</t>
        </r>
      </text>
    </comment>
    <comment ref="Y846" authorId="0" shapeId="0" xr:uid="{39D53D53-E3B9-4D13-A5F4-D552D50B2FD6}">
      <text>
        <r>
          <rPr>
            <sz val="10"/>
            <color indexed="81"/>
            <rFont val="Lucida Console"/>
            <family val="3"/>
          </rPr>
          <t>_x000D_
BUCHAS CHUMBADORES E GANCHOS</t>
        </r>
      </text>
    </comment>
    <comment ref="AW846" authorId="0" shapeId="0" xr:uid="{FEC603FF-2661-419E-8AD1-026D32CF3D29}">
      <text>
        <r>
          <rPr>
            <sz val="10"/>
            <color indexed="81"/>
            <rFont val="Lucida Console"/>
            <family val="3"/>
          </rPr>
          <t>Tempo de Estoque (Meses)_x000D_
_x000D_
28.282,0</t>
        </r>
      </text>
    </comment>
    <comment ref="A847" authorId="0" shapeId="0" xr:uid="{623297AC-E83B-438D-80A4-BA1252D49303}">
      <text>
        <r>
          <rPr>
            <sz val="10"/>
            <color indexed="81"/>
            <rFont val="Lucida Console"/>
            <family val="3"/>
          </rPr>
          <t>_x000D_
77788</t>
        </r>
      </text>
    </comment>
    <comment ref="B847" authorId="0" shapeId="0" xr:uid="{5B316C3A-2586-483C-8D07-3A4C1CCD8040}">
      <text>
        <r>
          <rPr>
            <sz val="10"/>
            <color indexed="81"/>
            <rFont val="Lucida Console"/>
            <family val="3"/>
          </rPr>
          <t>DESCRIÇÃO DETALHADA_x000D_
RODIZIO GIRATORIO DE 2" - P/CARRINHO COM PLACA</t>
        </r>
      </text>
    </comment>
    <comment ref="W847" authorId="0" shapeId="0" xr:uid="{1F3B12BD-7034-4401-8524-F5CD4B7E29A8}">
      <text>
        <r>
          <rPr>
            <sz val="10"/>
            <color indexed="81"/>
            <rFont val="Lucida Console"/>
            <family val="3"/>
          </rPr>
          <t>_x000D_
Administrativo</t>
        </r>
      </text>
    </comment>
    <comment ref="X847" authorId="0" shapeId="0" xr:uid="{4D53A952-8504-4111-9EA3-C8BB58EF3672}">
      <text>
        <r>
          <rPr>
            <sz val="10"/>
            <color indexed="81"/>
            <rFont val="Lucida Console"/>
            <family val="3"/>
          </rPr>
          <t>_x000D_
PARAFUSOS ELEM. VEDACAO UNIAO CONEX . FIXACAO</t>
        </r>
      </text>
    </comment>
    <comment ref="Y847" authorId="0" shapeId="0" xr:uid="{AAECFAB5-2A91-41A7-B8E0-03D53918A67E}">
      <text>
        <r>
          <rPr>
            <sz val="10"/>
            <color indexed="81"/>
            <rFont val="Lucida Console"/>
            <family val="3"/>
          </rPr>
          <t>_x000D_
PECAS METALICAS VARIADAS</t>
        </r>
      </text>
    </comment>
    <comment ref="AW847" authorId="0" shapeId="0" xr:uid="{1916F4CB-BA40-4C32-81BD-1FC5B195E2B3}">
      <text>
        <r>
          <rPr>
            <sz val="10"/>
            <color indexed="81"/>
            <rFont val="Lucida Console"/>
            <family val="3"/>
          </rPr>
          <t>Tempo de Estoque (Meses)_x000D_
_x000D_
776,0</t>
        </r>
      </text>
    </comment>
    <comment ref="A848" authorId="0" shapeId="0" xr:uid="{36ACE93E-62DE-4588-8F58-1E7F2BAAA88C}">
      <text>
        <r>
          <rPr>
            <sz val="10"/>
            <color indexed="81"/>
            <rFont val="Lucida Console"/>
            <family val="3"/>
          </rPr>
          <t>_x000D_
33609</t>
        </r>
      </text>
    </comment>
    <comment ref="B848" authorId="0" shapeId="0" xr:uid="{811E24FB-946F-4359-B2F8-B7B9BA4DCF60}">
      <text>
        <r>
          <rPr>
            <sz val="10"/>
            <color indexed="81"/>
            <rFont val="Lucida Console"/>
            <family val="3"/>
          </rPr>
          <t>DESCRIÇÃO DETALHADA_x000D_
ARAME DE ACO CARBONO GALVANIZADO - BWG N° 10 (3,40 MM), ROLO COM 50 KG</t>
        </r>
      </text>
    </comment>
    <comment ref="W848" authorId="0" shapeId="0" xr:uid="{B8DB7C9C-4530-4927-8E1E-E72F66C1650B}">
      <text>
        <r>
          <rPr>
            <sz val="10"/>
            <color indexed="81"/>
            <rFont val="Lucida Console"/>
            <family val="3"/>
          </rPr>
          <t>_x000D_
DM-Construção</t>
        </r>
      </text>
    </comment>
    <comment ref="X848" authorId="0" shapeId="0" xr:uid="{2F19F408-F934-4982-9403-F097531B052E}">
      <text>
        <r>
          <rPr>
            <sz val="10"/>
            <color indexed="81"/>
            <rFont val="Lucida Console"/>
            <family val="3"/>
          </rPr>
          <t>_x000D_
PARAFUSOS ELEM. VEDACAO UNIAO CONEX . FIXACAO</t>
        </r>
      </text>
    </comment>
    <comment ref="Y848" authorId="0" shapeId="0" xr:uid="{7B774806-2476-442C-882E-024CE82E5874}">
      <text>
        <r>
          <rPr>
            <sz val="10"/>
            <color indexed="81"/>
            <rFont val="Lucida Console"/>
            <family val="3"/>
          </rPr>
          <t>_x000D_
ARAMES E ACESSORIOS P/ CERCA...</t>
        </r>
      </text>
    </comment>
    <comment ref="AW848" authorId="0" shapeId="0" xr:uid="{8254A35F-B733-4230-BA16-26A153DBA26E}">
      <text>
        <r>
          <rPr>
            <sz val="10"/>
            <color indexed="81"/>
            <rFont val="Lucida Console"/>
            <family val="3"/>
          </rPr>
          <t>Tempo de Estoque (Meses)_x000D_
_x000D_
145,0</t>
        </r>
      </text>
    </comment>
    <comment ref="A849" authorId="0" shapeId="0" xr:uid="{FC6DD21C-7752-4529-B8CA-CF40459EFC94}">
      <text>
        <r>
          <rPr>
            <sz val="10"/>
            <color indexed="81"/>
            <rFont val="Lucida Console"/>
            <family val="3"/>
          </rPr>
          <t>_x000D_
33612</t>
        </r>
      </text>
    </comment>
    <comment ref="B849" authorId="0" shapeId="0" xr:uid="{3E6C517C-D974-4CAA-BA82-1F917BDC14CD}">
      <text>
        <r>
          <rPr>
            <sz val="10"/>
            <color indexed="81"/>
            <rFont val="Lucida Console"/>
            <family val="3"/>
          </rPr>
          <t>DESCRIÇÃO DETALHADA_x000D_
ARAME DE ACO CARBONO GALVANIZADO - BWG N° 16 (1,65 MM) - ROLO C/ 01 KG</t>
        </r>
      </text>
    </comment>
    <comment ref="W849" authorId="0" shapeId="0" xr:uid="{BBC41F1B-1ABA-4725-BBC6-E53F827258D7}">
      <text>
        <r>
          <rPr>
            <sz val="10"/>
            <color indexed="81"/>
            <rFont val="Lucida Console"/>
            <family val="3"/>
          </rPr>
          <t>_x000D_
DM-Construção</t>
        </r>
      </text>
    </comment>
    <comment ref="X849" authorId="0" shapeId="0" xr:uid="{9F9F37CE-41AF-4DF2-A900-42D2F33DD46B}">
      <text>
        <r>
          <rPr>
            <sz val="10"/>
            <color indexed="81"/>
            <rFont val="Lucida Console"/>
            <family val="3"/>
          </rPr>
          <t>_x000D_
PARAFUSOS ELEM. VEDACAO UNIAO CONEX . FIXACAO</t>
        </r>
      </text>
    </comment>
    <comment ref="Y849" authorId="0" shapeId="0" xr:uid="{970A3E4D-A0FC-49ED-9A18-657E6D7A5D7A}">
      <text>
        <r>
          <rPr>
            <sz val="10"/>
            <color indexed="81"/>
            <rFont val="Lucida Console"/>
            <family val="3"/>
          </rPr>
          <t>_x000D_
ARAMES E ACESSORIOS P/ CERCA...</t>
        </r>
      </text>
    </comment>
    <comment ref="AW849" authorId="0" shapeId="0" xr:uid="{F338FD16-8B73-45D0-8A7C-10DADF3CC6C4}">
      <text>
        <r>
          <rPr>
            <sz val="10"/>
            <color indexed="81"/>
            <rFont val="Lucida Console"/>
            <family val="3"/>
          </rPr>
          <t>Tempo de Estoque (Meses)_x000D_
_x000D_
330,0</t>
        </r>
      </text>
    </comment>
    <comment ref="A850" authorId="0" shapeId="0" xr:uid="{509C07CC-CF93-4D2E-9843-23C5BFA5FA0E}">
      <text>
        <r>
          <rPr>
            <sz val="10"/>
            <color indexed="81"/>
            <rFont val="Lucida Console"/>
            <family val="3"/>
          </rPr>
          <t>_x000D_
33623</t>
        </r>
      </text>
    </comment>
    <comment ref="B850" authorId="0" shapeId="0" xr:uid="{C91A1DE0-D322-4581-A405-7897FD87B0A9}">
      <text>
        <r>
          <rPr>
            <sz val="10"/>
            <color indexed="81"/>
            <rFont val="Lucida Console"/>
            <family val="3"/>
          </rPr>
          <t>DESCRIÇÃO DETALHADA_x000D_
ARAME DE ACO CARBONO RECOZIDO (LISO) - BWG N° 18 (1,24 MM) - ROLO COM 1 KG</t>
        </r>
      </text>
    </comment>
    <comment ref="W850" authorId="0" shapeId="0" xr:uid="{70308030-9848-44B4-B0DF-E476E0E93DD9}">
      <text>
        <r>
          <rPr>
            <sz val="10"/>
            <color indexed="81"/>
            <rFont val="Lucida Console"/>
            <family val="3"/>
          </rPr>
          <t>_x000D_
DM-Construção</t>
        </r>
      </text>
    </comment>
    <comment ref="X850" authorId="0" shapeId="0" xr:uid="{4A21D59F-D9F6-4F99-924B-E2FB37A51C9C}">
      <text>
        <r>
          <rPr>
            <sz val="10"/>
            <color indexed="81"/>
            <rFont val="Lucida Console"/>
            <family val="3"/>
          </rPr>
          <t>_x000D_
PARAFUSOS ELEM. VEDACAO UNIAO CONEX . FIXACAO</t>
        </r>
      </text>
    </comment>
    <comment ref="Y850" authorId="0" shapeId="0" xr:uid="{C5938280-58DE-47D0-AE7F-FF7B2CEF88A7}">
      <text>
        <r>
          <rPr>
            <sz val="10"/>
            <color indexed="81"/>
            <rFont val="Lucida Console"/>
            <family val="3"/>
          </rPr>
          <t>_x000D_
ARAMES E ACESSORIOS P/ CERCA...</t>
        </r>
      </text>
    </comment>
    <comment ref="AW850" authorId="0" shapeId="0" xr:uid="{1781F797-7399-499F-9DB8-EFC1AB18FEDB}">
      <text>
        <r>
          <rPr>
            <sz val="10"/>
            <color indexed="81"/>
            <rFont val="Lucida Console"/>
            <family val="3"/>
          </rPr>
          <t>Tempo de Estoque (Meses)_x000D_
_x000D_
438,0</t>
        </r>
      </text>
    </comment>
    <comment ref="A851" authorId="0" shapeId="0" xr:uid="{EB5391B9-758A-41EB-9FEB-9A28E49962A9}">
      <text>
        <r>
          <rPr>
            <sz val="10"/>
            <color indexed="81"/>
            <rFont val="Lucida Console"/>
            <family val="3"/>
          </rPr>
          <t>_x000D_
81514</t>
        </r>
      </text>
    </comment>
    <comment ref="B851" authorId="0" shapeId="0" xr:uid="{62C1C003-17EE-4687-8AC8-1618E0F7E216}">
      <text>
        <r>
          <rPr>
            <sz val="10"/>
            <color indexed="81"/>
            <rFont val="Lucida Console"/>
            <family val="3"/>
          </rPr>
          <t>DESCRIÇÃO DETALHADA_x000D_
PARAFUSO EM ACO BICROMATIZADO, CABECA CHATA - 3,5 X 16 MM - CABECA COM ENCAIXE PARA CHAVE PHILLIPS</t>
        </r>
      </text>
    </comment>
    <comment ref="W851" authorId="0" shapeId="0" xr:uid="{AAD3292A-8A42-47AD-ABC7-D47E5B52773F}">
      <text>
        <r>
          <rPr>
            <sz val="10"/>
            <color indexed="81"/>
            <rFont val="Lucida Console"/>
            <family val="3"/>
          </rPr>
          <t>_x000D_
DM-Marcenaria</t>
        </r>
      </text>
    </comment>
    <comment ref="X851" authorId="0" shapeId="0" xr:uid="{9F64E96F-F020-4D30-B4C5-E89886CC3202}">
      <text>
        <r>
          <rPr>
            <sz val="10"/>
            <color indexed="81"/>
            <rFont val="Lucida Console"/>
            <family val="3"/>
          </rPr>
          <t>_x000D_
PARAFUSOS ELEM. VEDACAO UNIAO CONEX . FIXACAO</t>
        </r>
      </text>
    </comment>
    <comment ref="Y851" authorId="0" shapeId="0" xr:uid="{A0CC2A17-1B6F-4844-B435-DFCE3649B3B0}">
      <text>
        <r>
          <rPr>
            <sz val="10"/>
            <color indexed="81"/>
            <rFont val="Lucida Console"/>
            <family val="3"/>
          </rPr>
          <t>_x000D_
PARAFUSO P/ MADEIRA</t>
        </r>
      </text>
    </comment>
    <comment ref="AW851" authorId="0" shapeId="0" xr:uid="{B578E5DB-98DC-4660-B517-3FA2A90CEF67}">
      <text>
        <r>
          <rPr>
            <sz val="10"/>
            <color indexed="81"/>
            <rFont val="Lucida Console"/>
            <family val="3"/>
          </rPr>
          <t>Tempo de Estoque (Meses)_x000D_
_x000D_
141.062,0</t>
        </r>
      </text>
    </comment>
    <comment ref="A852" authorId="0" shapeId="0" xr:uid="{AF2AC50D-0C39-401F-B7F1-8DB169FF177E}">
      <text>
        <r>
          <rPr>
            <sz val="10"/>
            <color indexed="81"/>
            <rFont val="Lucida Console"/>
            <family val="3"/>
          </rPr>
          <t>_x000D_
78418</t>
        </r>
      </text>
    </comment>
    <comment ref="B852" authorId="0" shapeId="0" xr:uid="{F5A54E63-0516-4D08-A1FD-B4C8BB870BAC}">
      <text>
        <r>
          <rPr>
            <sz val="10"/>
            <color indexed="81"/>
            <rFont val="Lucida Console"/>
            <family val="3"/>
          </rPr>
          <t>DESCRIÇÃO DETALHADA_x000D_
PARAFUSO SEXTAVADO - 1/2" X 3.1/2" - COM PORCA</t>
        </r>
      </text>
    </comment>
    <comment ref="W852" authorId="0" shapeId="0" xr:uid="{8A5BC217-457F-4C1F-BF26-E800DAF68FF1}">
      <text>
        <r>
          <rPr>
            <sz val="10"/>
            <color indexed="81"/>
            <rFont val="Lucida Console"/>
            <family val="3"/>
          </rPr>
          <t>_x000D_
DM-Serralheria</t>
        </r>
      </text>
    </comment>
    <comment ref="X852" authorId="0" shapeId="0" xr:uid="{39232FF6-2B0D-45E5-8A50-0D4D5162FB76}">
      <text>
        <r>
          <rPr>
            <sz val="10"/>
            <color indexed="81"/>
            <rFont val="Lucida Console"/>
            <family val="3"/>
          </rPr>
          <t>_x000D_
PARAFUSOS ELEM. VEDACAO UNIAO CONEX . FIXACAO</t>
        </r>
      </text>
    </comment>
    <comment ref="Y852" authorId="0" shapeId="0" xr:uid="{1E5FC2E3-61A2-4294-B09B-A1033522CF73}">
      <text>
        <r>
          <rPr>
            <sz val="10"/>
            <color indexed="81"/>
            <rFont val="Lucida Console"/>
            <family val="3"/>
          </rPr>
          <t>_x000D_
PARAFUSO SEXTAVADO</t>
        </r>
      </text>
    </comment>
    <comment ref="AW852" authorId="0" shapeId="0" xr:uid="{76B2DB89-F1EC-4BC9-9D3E-5738AF174F00}">
      <text>
        <r>
          <rPr>
            <sz val="10"/>
            <color indexed="81"/>
            <rFont val="Lucida Console"/>
            <family val="3"/>
          </rPr>
          <t>Tempo de Estoque (Meses)_x000D_
_x000D_
255,0</t>
        </r>
      </text>
    </comment>
    <comment ref="A853" authorId="0" shapeId="0" xr:uid="{852E98D9-23D3-45CC-8ACF-92C80BE1CC29}">
      <text>
        <r>
          <rPr>
            <sz val="10"/>
            <color indexed="81"/>
            <rFont val="Lucida Console"/>
            <family val="3"/>
          </rPr>
          <t>_x000D_
131138</t>
        </r>
      </text>
    </comment>
    <comment ref="B853" authorId="0" shapeId="0" xr:uid="{23281C67-3C05-4B71-87DA-AA5F847F2F45}">
      <text>
        <r>
          <rPr>
            <sz val="10"/>
            <color indexed="81"/>
            <rFont val="Lucida Console"/>
            <family val="3"/>
          </rPr>
          <t>DESCRIÇÃO DETALHADA_x000D_
PARAFUSO AUTOBROCANTE, 1/4" X 1", COM CABECA SEXTAVADA FLANGEADA E ARRUELA DE EPDM - CAIXA COM 500 UNIDADES</t>
        </r>
      </text>
    </comment>
    <comment ref="W853" authorId="0" shapeId="0" xr:uid="{0EC1B3C7-A5F0-4BD8-834C-E632DE3925BA}">
      <text>
        <r>
          <rPr>
            <sz val="10"/>
            <color indexed="81"/>
            <rFont val="Lucida Console"/>
            <family val="3"/>
          </rPr>
          <t>_x000D_
DM-Serralheria</t>
        </r>
      </text>
    </comment>
    <comment ref="X853" authorId="0" shapeId="0" xr:uid="{55C6EAB1-2328-4D6E-ACD0-09BB8911AD97}">
      <text>
        <r>
          <rPr>
            <sz val="10"/>
            <color indexed="81"/>
            <rFont val="Lucida Console"/>
            <family val="3"/>
          </rPr>
          <t>_x000D_
PARAFUSOS ELEM. VEDACAO UNIAO CONEX . FIXACAO</t>
        </r>
      </text>
    </comment>
    <comment ref="Y853" authorId="0" shapeId="0" xr:uid="{AA02E702-6392-474C-A968-CD2CF8BA1499}">
      <text>
        <r>
          <rPr>
            <sz val="10"/>
            <color indexed="81"/>
            <rFont val="Lucida Console"/>
            <family val="3"/>
          </rPr>
          <t>_x000D_
PARAFUSO SEXTAVADO</t>
        </r>
      </text>
    </comment>
    <comment ref="AW853" authorId="0" shapeId="0" xr:uid="{61E6D0DC-2B37-435A-B002-AF3144079FC5}">
      <text>
        <r>
          <rPr>
            <sz val="10"/>
            <color indexed="81"/>
            <rFont val="Lucida Console"/>
            <family val="3"/>
          </rPr>
          <t>Tempo de Estoque (Meses)_x000D_
_x000D_
396,0</t>
        </r>
      </text>
    </comment>
    <comment ref="A854" authorId="0" shapeId="0" xr:uid="{286072AC-E26E-4132-8B95-EEB821073A24}">
      <text>
        <r>
          <rPr>
            <sz val="10"/>
            <color indexed="81"/>
            <rFont val="Lucida Console"/>
            <family val="3"/>
          </rPr>
          <t>_x000D_
104655</t>
        </r>
      </text>
    </comment>
    <comment ref="B854" authorId="0" shapeId="0" xr:uid="{CCE8BAF7-CF79-4BEC-BE7F-B77B965431F3}">
      <text>
        <r>
          <rPr>
            <sz val="10"/>
            <color indexed="81"/>
            <rFont val="Lucida Console"/>
            <family val="3"/>
          </rPr>
          <t>DESCRIÇÃO DETALHADA_x000D_
PARAFUSO (FIXER) BICROMATIZADO, CABECA CHATA PHILIPS, ROSCA SOBERBA, MEDINDO 6 X 100 MM.</t>
        </r>
      </text>
    </comment>
    <comment ref="W854" authorId="0" shapeId="0" xr:uid="{8D78D681-9C64-4197-9B94-E74246784796}">
      <text>
        <r>
          <rPr>
            <sz val="10"/>
            <color indexed="81"/>
            <rFont val="Lucida Console"/>
            <family val="3"/>
          </rPr>
          <t>_x000D_
DM-Serralheria</t>
        </r>
      </text>
    </comment>
    <comment ref="X854" authorId="0" shapeId="0" xr:uid="{9989852E-3735-42EE-9F85-49DC6C96874A}">
      <text>
        <r>
          <rPr>
            <sz val="10"/>
            <color indexed="81"/>
            <rFont val="Lucida Console"/>
            <family val="3"/>
          </rPr>
          <t>_x000D_
PARAFUSOS ELEM. VEDACAO UNIAO CONEX . FIXACAO</t>
        </r>
      </text>
    </comment>
    <comment ref="Y854" authorId="0" shapeId="0" xr:uid="{DDB9A6DA-01BC-4CEB-97BB-6B631423BCDF}">
      <text>
        <r>
          <rPr>
            <sz val="10"/>
            <color indexed="81"/>
            <rFont val="Lucida Console"/>
            <family val="3"/>
          </rPr>
          <t>_x000D_
PARAFUSO AUTO-ATARRACHANTE</t>
        </r>
      </text>
    </comment>
    <comment ref="AW854" authorId="0" shapeId="0" xr:uid="{0E3D7E9E-1B21-407C-8238-6A1C82BC555E}">
      <text>
        <r>
          <rPr>
            <sz val="10"/>
            <color indexed="81"/>
            <rFont val="Lucida Console"/>
            <family val="3"/>
          </rPr>
          <t>Tempo de Estoque (Meses)_x000D_
_x000D_
12.374,0</t>
        </r>
      </text>
    </comment>
    <comment ref="A855" authorId="0" shapeId="0" xr:uid="{21AAAA61-36C6-45F6-ADFF-C946E3048C31}">
      <text>
        <r>
          <rPr>
            <sz val="10"/>
            <color indexed="81"/>
            <rFont val="Lucida Console"/>
            <family val="3"/>
          </rPr>
          <t>_x000D_
78416</t>
        </r>
      </text>
    </comment>
    <comment ref="B855" authorId="0" shapeId="0" xr:uid="{8E7A1654-D9B7-4047-99A4-7BB7CF7057DC}">
      <text>
        <r>
          <rPr>
            <sz val="10"/>
            <color indexed="81"/>
            <rFont val="Lucida Console"/>
            <family val="3"/>
          </rPr>
          <t>DESCRIÇÃO DETALHADA_x000D_
PARAFUSO FRANCES - 1/2" X 8" - COM PORCA E ARRUELA</t>
        </r>
      </text>
    </comment>
    <comment ref="W855" authorId="0" shapeId="0" xr:uid="{B925FFAD-76AD-4F33-BBC8-7350E28976E3}">
      <text>
        <r>
          <rPr>
            <sz val="10"/>
            <color indexed="81"/>
            <rFont val="Lucida Console"/>
            <family val="3"/>
          </rPr>
          <t>_x000D_
DM-Marcenaria</t>
        </r>
      </text>
    </comment>
    <comment ref="X855" authorId="0" shapeId="0" xr:uid="{A6FFE31E-2ED1-43E4-9F74-A720283C18EB}">
      <text>
        <r>
          <rPr>
            <sz val="10"/>
            <color indexed="81"/>
            <rFont val="Lucida Console"/>
            <family val="3"/>
          </rPr>
          <t>_x000D_
PARAFUSOS ELEM. VEDACAO UNIAO CONEX . FIXACAO</t>
        </r>
      </text>
    </comment>
    <comment ref="Y855" authorId="0" shapeId="0" xr:uid="{089F7A2F-578E-436F-A4AF-8D14C334A867}">
      <text>
        <r>
          <rPr>
            <sz val="10"/>
            <color indexed="81"/>
            <rFont val="Lucida Console"/>
            <family val="3"/>
          </rPr>
          <t>_x000D_
PARAFUSO FRANCES</t>
        </r>
      </text>
    </comment>
    <comment ref="AW855" authorId="0" shapeId="0" xr:uid="{8C142B72-6305-44AF-A0D5-E8B7D1F001D4}">
      <text>
        <r>
          <rPr>
            <sz val="10"/>
            <color indexed="81"/>
            <rFont val="Lucida Console"/>
            <family val="3"/>
          </rPr>
          <t>Tempo de Estoque (Meses)_x000D_
_x000D_
1.019,0</t>
        </r>
      </text>
    </comment>
    <comment ref="A856" authorId="0" shapeId="0" xr:uid="{4ED50008-7A06-46B3-9D63-769AFF60E543}">
      <text>
        <r>
          <rPr>
            <sz val="10"/>
            <color indexed="81"/>
            <rFont val="Lucida Console"/>
            <family val="3"/>
          </rPr>
          <t>_x000D_
114923</t>
        </r>
      </text>
    </comment>
    <comment ref="B856" authorId="0" shapeId="0" xr:uid="{8BF4ED1D-5743-4506-A7C8-41AE17FF7F90}">
      <text>
        <r>
          <rPr>
            <sz val="10"/>
            <color indexed="81"/>
            <rFont val="Lucida Console"/>
            <family val="3"/>
          </rPr>
          <t>DESCRIÇÃO DETALHADA_x000D_
PARAFUSO CABECA FRANCESA 3/16 X 2" COM ARRUELA E PORCA</t>
        </r>
      </text>
    </comment>
    <comment ref="W856" authorId="0" shapeId="0" xr:uid="{76321E7D-A944-44D4-BD46-1611E1D5B475}">
      <text>
        <r>
          <rPr>
            <sz val="10"/>
            <color indexed="81"/>
            <rFont val="Lucida Console"/>
            <family val="3"/>
          </rPr>
          <t>_x000D_
DM-Marcenaria</t>
        </r>
      </text>
    </comment>
    <comment ref="X856" authorId="0" shapeId="0" xr:uid="{5F144AFA-C10A-41DD-A2E2-770A10C1F839}">
      <text>
        <r>
          <rPr>
            <sz val="10"/>
            <color indexed="81"/>
            <rFont val="Lucida Console"/>
            <family val="3"/>
          </rPr>
          <t>_x000D_
PARAFUSOS ELEM. VEDACAO UNIAO CONEX . FIXACAO</t>
        </r>
      </text>
    </comment>
    <comment ref="Y856" authorId="0" shapeId="0" xr:uid="{B7FD7DA9-6811-4A75-9DC0-FF25C7CC0EE7}">
      <text>
        <r>
          <rPr>
            <sz val="10"/>
            <color indexed="81"/>
            <rFont val="Lucida Console"/>
            <family val="3"/>
          </rPr>
          <t>_x000D_
PARAFUSO FRANCES</t>
        </r>
      </text>
    </comment>
    <comment ref="AW856" authorId="0" shapeId="0" xr:uid="{CE21FA0E-CFCC-4C80-ABE4-EE07B55DCC0E}">
      <text>
        <r>
          <rPr>
            <sz val="10"/>
            <color indexed="81"/>
            <rFont val="Lucida Console"/>
            <family val="3"/>
          </rPr>
          <t>Tempo de Estoque (Meses)_x000D_
_x000D_
5.742,0</t>
        </r>
      </text>
    </comment>
    <comment ref="A857" authorId="0" shapeId="0" xr:uid="{2E82631E-C567-484C-8A6F-2C3C09F78028}">
      <text>
        <r>
          <rPr>
            <sz val="10"/>
            <color indexed="81"/>
            <rFont val="Lucida Console"/>
            <family val="3"/>
          </rPr>
          <t>_x000D_
126059</t>
        </r>
      </text>
    </comment>
    <comment ref="B857" authorId="0" shapeId="0" xr:uid="{94C86789-1FF0-4F53-B96E-B00FC3C17599}">
      <text>
        <r>
          <rPr>
            <sz val="10"/>
            <color indexed="81"/>
            <rFont val="Lucida Console"/>
            <family val="3"/>
          </rPr>
          <t>DESCRIÇÃO DETALHADA_x000D_
PARAFUSO DE ZINCO AMARELO, CABECA CHATA PH 6,0 X 40 - CAIXA COM 100 UNIDADES</t>
        </r>
      </text>
    </comment>
    <comment ref="W857" authorId="0" shapeId="0" xr:uid="{88DD4F92-FFFE-4F3E-870C-20E722F88440}">
      <text>
        <r>
          <rPr>
            <sz val="10"/>
            <color indexed="81"/>
            <rFont val="Lucida Console"/>
            <family val="3"/>
          </rPr>
          <t>_x000D_
DM-Marcenaria</t>
        </r>
      </text>
    </comment>
    <comment ref="X857" authorId="0" shapeId="0" xr:uid="{113025F2-64CE-4358-96EE-3E3F36D36B79}">
      <text>
        <r>
          <rPr>
            <sz val="10"/>
            <color indexed="81"/>
            <rFont val="Lucida Console"/>
            <family val="3"/>
          </rPr>
          <t>_x000D_
PARAFUSOS ELEM. VEDACAO UNIAO CONEX . FIXACAO</t>
        </r>
      </text>
    </comment>
    <comment ref="Y857" authorId="0" shapeId="0" xr:uid="{CC13C342-E07E-43D8-9F26-69546103AF1A}">
      <text>
        <r>
          <rPr>
            <sz val="10"/>
            <color indexed="81"/>
            <rFont val="Lucida Console"/>
            <family val="3"/>
          </rPr>
          <t>_x000D_
PARAFUSO FRANCES</t>
        </r>
      </text>
    </comment>
    <comment ref="AW857" authorId="0" shapeId="0" xr:uid="{3BEEAD3D-F44E-4CEC-9568-D398AD947333}">
      <text>
        <r>
          <rPr>
            <sz val="10"/>
            <color indexed="81"/>
            <rFont val="Lucida Console"/>
            <family val="3"/>
          </rPr>
          <t>Tempo de Estoque (Meses)_x000D_
_x000D_
100,0</t>
        </r>
      </text>
    </comment>
    <comment ref="A858" authorId="0" shapeId="0" xr:uid="{DB77A28B-2F79-4446-945B-22E13E0B946A}">
      <text>
        <r>
          <rPr>
            <sz val="10"/>
            <color indexed="81"/>
            <rFont val="Lucida Console"/>
            <family val="3"/>
          </rPr>
          <t>_x000D_
126060</t>
        </r>
      </text>
    </comment>
    <comment ref="B858" authorId="0" shapeId="0" xr:uid="{968C5B1B-93A8-4028-8E37-1F91AE511287}">
      <text>
        <r>
          <rPr>
            <sz val="10"/>
            <color indexed="81"/>
            <rFont val="Lucida Console"/>
            <family val="3"/>
          </rPr>
          <t>DESCRIÇÃO DETALHADA_x000D_
PARAFUSO DE ZINCO AMARELO, CABECA CHATA PH 6,0 X 50 - CAIXA COM 100 UNIDADES</t>
        </r>
      </text>
    </comment>
    <comment ref="W858" authorId="0" shapeId="0" xr:uid="{909D0894-25C3-471D-8F25-B88886F4867C}">
      <text>
        <r>
          <rPr>
            <sz val="10"/>
            <color indexed="81"/>
            <rFont val="Lucida Console"/>
            <family val="3"/>
          </rPr>
          <t>_x000D_
DM-Marcenaria</t>
        </r>
      </text>
    </comment>
    <comment ref="X858" authorId="0" shapeId="0" xr:uid="{747B62ED-CD05-4BAE-965A-4CE5D1A7C194}">
      <text>
        <r>
          <rPr>
            <sz val="10"/>
            <color indexed="81"/>
            <rFont val="Lucida Console"/>
            <family val="3"/>
          </rPr>
          <t>_x000D_
PARAFUSOS ELEM. VEDACAO UNIAO CONEX . FIXACAO</t>
        </r>
      </text>
    </comment>
    <comment ref="Y858" authorId="0" shapeId="0" xr:uid="{8D397AD0-9B81-4503-9383-6A29C022AFD4}">
      <text>
        <r>
          <rPr>
            <sz val="10"/>
            <color indexed="81"/>
            <rFont val="Lucida Console"/>
            <family val="3"/>
          </rPr>
          <t>_x000D_
PARAFUSO FRANCES</t>
        </r>
      </text>
    </comment>
    <comment ref="AW858" authorId="0" shapeId="0" xr:uid="{091BCCCA-B630-47C4-8B4A-F4CD121B0035}">
      <text>
        <r>
          <rPr>
            <sz val="10"/>
            <color indexed="81"/>
            <rFont val="Lucida Console"/>
            <family val="3"/>
          </rPr>
          <t>Tempo de Estoque (Meses)_x000D_
_x000D_
257,0</t>
        </r>
      </text>
    </comment>
    <comment ref="A859" authorId="0" shapeId="0" xr:uid="{8B08C11C-BE97-46B3-BBB7-2E18565B0778}">
      <text>
        <r>
          <rPr>
            <sz val="10"/>
            <color indexed="81"/>
            <rFont val="Lucida Console"/>
            <family val="3"/>
          </rPr>
          <t>_x000D_
134566</t>
        </r>
      </text>
    </comment>
    <comment ref="B859" authorId="0" shapeId="0" xr:uid="{68BCAD2A-B7CF-4091-A88E-FEED4D0CBE69}">
      <text>
        <r>
          <rPr>
            <sz val="10"/>
            <color indexed="81"/>
            <rFont val="Lucida Console"/>
            <family val="3"/>
          </rPr>
          <t>DESCRIÇÃO DETALHADA_x000D_
PARAFUSO FRANCES - 1.1/2" X 1/4" - COM PORCA E ARRUELA</t>
        </r>
      </text>
    </comment>
    <comment ref="W859" authorId="0" shapeId="0" xr:uid="{D88B6611-6753-4094-B591-10A3787D6C39}">
      <text>
        <r>
          <rPr>
            <sz val="10"/>
            <color indexed="81"/>
            <rFont val="Lucida Console"/>
            <family val="3"/>
          </rPr>
          <t>_x000D_
DM-Marcenaria</t>
        </r>
      </text>
    </comment>
    <comment ref="X859" authorId="0" shapeId="0" xr:uid="{C6251DB4-A2CE-490C-A9F1-0C9ED0B95123}">
      <text>
        <r>
          <rPr>
            <sz val="10"/>
            <color indexed="81"/>
            <rFont val="Lucida Console"/>
            <family val="3"/>
          </rPr>
          <t>_x000D_
PARAFUSOS ELEM. VEDACAO UNIAO CONEX . FIXACAO</t>
        </r>
      </text>
    </comment>
    <comment ref="Y859" authorId="0" shapeId="0" xr:uid="{6535E1EC-3DAC-4681-9AA7-16D67C3E68E4}">
      <text>
        <r>
          <rPr>
            <sz val="10"/>
            <color indexed="81"/>
            <rFont val="Lucida Console"/>
            <family val="3"/>
          </rPr>
          <t>_x000D_
PARAFUSO FRANCES</t>
        </r>
      </text>
    </comment>
    <comment ref="AW859" authorId="0" shapeId="0" xr:uid="{41732475-F077-4080-AF61-1F15FCC9C8BA}">
      <text>
        <r>
          <rPr>
            <sz val="10"/>
            <color indexed="81"/>
            <rFont val="Lucida Console"/>
            <family val="3"/>
          </rPr>
          <t>Tempo de Estoque (Meses)_x000D_
_x000D_
19.783,0</t>
        </r>
      </text>
    </comment>
    <comment ref="A860" authorId="0" shapeId="0" xr:uid="{E46285E3-E2DE-4793-81A4-D1EBF1113714}">
      <text>
        <r>
          <rPr>
            <sz val="10"/>
            <color indexed="81"/>
            <rFont val="Lucida Console"/>
            <family val="3"/>
          </rPr>
          <t>_x000D_
102690</t>
        </r>
      </text>
    </comment>
    <comment ref="B860" authorId="0" shapeId="0" xr:uid="{BCB63E09-82BB-4E9A-B16E-18A89BEC7808}">
      <text>
        <r>
          <rPr>
            <sz val="10"/>
            <color indexed="81"/>
            <rFont val="Lucida Console"/>
            <family val="3"/>
          </rPr>
          <t>DESCRIÇÃO DETALHADA_x000D_
ELETROCALHA PERFURADA C/TAMPA C/FECHAMENTO POR PRESSAO, GALVANIZADA - LARGURA 200 X 50MM</t>
        </r>
      </text>
    </comment>
    <comment ref="W860" authorId="0" shapeId="0" xr:uid="{5167084B-FAD0-4D38-81F2-1FE231C3A49A}">
      <text>
        <r>
          <rPr>
            <sz val="10"/>
            <color indexed="81"/>
            <rFont val="Lucida Console"/>
            <family val="3"/>
          </rPr>
          <t>_x000D_
DM-Elétrica</t>
        </r>
      </text>
    </comment>
    <comment ref="X860" authorId="0" shapeId="0" xr:uid="{85AEC260-BEBE-457C-8193-99229FB3EC28}">
      <text>
        <r>
          <rPr>
            <sz val="10"/>
            <color indexed="81"/>
            <rFont val="Lucida Console"/>
            <family val="3"/>
          </rPr>
          <t>_x000D_
METAIS,LAMINAD.,PERFILADOS E ARTEFATOS METALICOS</t>
        </r>
      </text>
    </comment>
    <comment ref="Y860" authorId="0" shapeId="0" xr:uid="{C21EFE9F-6E53-4944-99F3-A7D80E6983B2}">
      <text>
        <r>
          <rPr>
            <sz val="10"/>
            <color indexed="81"/>
            <rFont val="Lucida Console"/>
            <family val="3"/>
          </rPr>
          <t>_x000D_
VIGAS E ACESSORIOS</t>
        </r>
      </text>
    </comment>
    <comment ref="AW860" authorId="0" shapeId="0" xr:uid="{6DA7909A-9259-46DB-9336-3C795350E140}">
      <text>
        <r>
          <rPr>
            <sz val="10"/>
            <color indexed="81"/>
            <rFont val="Lucida Console"/>
            <family val="3"/>
          </rPr>
          <t>Tempo de Estoque (Meses)_x000D_
_x000D_
412,0</t>
        </r>
      </text>
    </comment>
    <comment ref="A861" authorId="0" shapeId="0" xr:uid="{51DFA9A7-0EDF-41D9-9CCE-FABF109585CC}">
      <text>
        <r>
          <rPr>
            <sz val="10"/>
            <color indexed="81"/>
            <rFont val="Lucida Console"/>
            <family val="3"/>
          </rPr>
          <t>_x000D_
102694</t>
        </r>
      </text>
    </comment>
    <comment ref="B861" authorId="0" shapeId="0" xr:uid="{F1498A39-BBE6-4DAB-AA69-303332554A96}">
      <text>
        <r>
          <rPr>
            <sz val="10"/>
            <color indexed="81"/>
            <rFont val="Lucida Console"/>
            <family val="3"/>
          </rPr>
          <t>DESCRIÇÃO DETALHADA_x000D_
EMENDA INTERNA PERFURA, GALVANIZADA, P/ELETROCALHA - 200 X 50MM</t>
        </r>
      </text>
    </comment>
    <comment ref="W861" authorId="0" shapeId="0" xr:uid="{B8CBD304-CA2B-43F1-8C71-3D0E7200C4C6}">
      <text>
        <r>
          <rPr>
            <sz val="10"/>
            <color indexed="81"/>
            <rFont val="Lucida Console"/>
            <family val="3"/>
          </rPr>
          <t>_x000D_
DM-Elétrica</t>
        </r>
      </text>
    </comment>
    <comment ref="X861" authorId="0" shapeId="0" xr:uid="{F0A6FA9A-51F9-4034-9196-695196D2211F}">
      <text>
        <r>
          <rPr>
            <sz val="10"/>
            <color indexed="81"/>
            <rFont val="Lucida Console"/>
            <family val="3"/>
          </rPr>
          <t>_x000D_
METAIS,LAMINAD.,PERFILADOS E ARTEFATOS METALICOS</t>
        </r>
      </text>
    </comment>
    <comment ref="Y861" authorId="0" shapeId="0" xr:uid="{E6F1B64C-F1A8-4019-ABBA-35CE4F89B019}">
      <text>
        <r>
          <rPr>
            <sz val="10"/>
            <color indexed="81"/>
            <rFont val="Lucida Console"/>
            <family val="3"/>
          </rPr>
          <t>_x000D_
VIGAS E ACESSORIOS</t>
        </r>
      </text>
    </comment>
    <comment ref="Z861" authorId="0" shapeId="0" xr:uid="{B1F32F54-5313-4E2A-9699-DD60CB7F3A62}">
      <text>
        <r>
          <rPr>
            <sz val="10"/>
            <color indexed="81"/>
            <rFont val="Lucida Console"/>
            <family val="3"/>
          </rPr>
          <t>_x000D_
RC  2.221 / 23  Qtde: 50_x000D_
RC  2.803 / 23  Qtde: 60</t>
        </r>
      </text>
    </comment>
    <comment ref="AW861" authorId="0" shapeId="0" xr:uid="{8847EBFE-8442-4B2D-B2A0-74706310C26D}">
      <text>
        <r>
          <rPr>
            <sz val="10"/>
            <color indexed="81"/>
            <rFont val="Lucida Console"/>
            <family val="3"/>
          </rPr>
          <t>Tempo de Estoque (Meses)_x000D_
_x000D_
325,0</t>
        </r>
      </text>
    </comment>
    <comment ref="A862" authorId="0" shapeId="0" xr:uid="{716F0DA1-9122-4E77-A1F1-11308747D5C2}">
      <text>
        <r>
          <rPr>
            <sz val="10"/>
            <color indexed="81"/>
            <rFont val="Lucida Console"/>
            <family val="3"/>
          </rPr>
          <t>_x000D_
102723</t>
        </r>
      </text>
    </comment>
    <comment ref="B862" authorId="0" shapeId="0" xr:uid="{E06E47AB-8CDF-4C51-8C98-6E2315D00CB3}">
      <text>
        <r>
          <rPr>
            <sz val="10"/>
            <color indexed="81"/>
            <rFont val="Lucida Console"/>
            <family val="3"/>
          </rPr>
          <t>DESCRIÇÃO DETALHADA_x000D_
ELETROCALHA LISA C/TAMPA C/FECHAMENTO POR PARAFUSO, GALVANIZADA, P/ELETROCALHA -  100 X 50MM</t>
        </r>
      </text>
    </comment>
    <comment ref="W862" authorId="0" shapeId="0" xr:uid="{A2540E3B-43E7-4565-85C8-1EF9DCF4D36C}">
      <text>
        <r>
          <rPr>
            <sz val="10"/>
            <color indexed="81"/>
            <rFont val="Lucida Console"/>
            <family val="3"/>
          </rPr>
          <t>_x000D_
DM-Elétrica</t>
        </r>
      </text>
    </comment>
    <comment ref="X862" authorId="0" shapeId="0" xr:uid="{55C7579D-CE8B-4BC2-9951-441C30D829F0}">
      <text>
        <r>
          <rPr>
            <sz val="10"/>
            <color indexed="81"/>
            <rFont val="Lucida Console"/>
            <family val="3"/>
          </rPr>
          <t>_x000D_
METAIS,LAMINAD.,PERFILADOS E ARTEFATOS METALICOS</t>
        </r>
      </text>
    </comment>
    <comment ref="Y862" authorId="0" shapeId="0" xr:uid="{C92316FB-24A7-49BE-B48D-85F45291435E}">
      <text>
        <r>
          <rPr>
            <sz val="10"/>
            <color indexed="81"/>
            <rFont val="Lucida Console"/>
            <family val="3"/>
          </rPr>
          <t>_x000D_
VIGAS E ACESSORIOS</t>
        </r>
      </text>
    </comment>
    <comment ref="AW862" authorId="0" shapeId="0" xr:uid="{9602A02F-572E-483D-AB63-3A1D176FC3D7}">
      <text>
        <r>
          <rPr>
            <sz val="10"/>
            <color indexed="81"/>
            <rFont val="Lucida Console"/>
            <family val="3"/>
          </rPr>
          <t>Tempo de Estoque (Meses)_x000D_
_x000D_
345,0</t>
        </r>
      </text>
    </comment>
    <comment ref="A863" authorId="0" shapeId="0" xr:uid="{AFBEBAF2-8CA9-410B-AF50-3C1B1BBCD13D}">
      <text>
        <r>
          <rPr>
            <sz val="10"/>
            <color indexed="81"/>
            <rFont val="Lucida Console"/>
            <family val="3"/>
          </rPr>
          <t>_x000D_
102728</t>
        </r>
      </text>
    </comment>
    <comment ref="B863" authorId="0" shapeId="0" xr:uid="{BBFCD2A0-52F6-4F9A-AE5A-BB7A4F58607B}">
      <text>
        <r>
          <rPr>
            <sz val="10"/>
            <color indexed="81"/>
            <rFont val="Lucida Console"/>
            <family val="3"/>
          </rPr>
          <t>DESCRIÇÃO DETALHADA_x000D_
GANCHO CURTO PARA PERFILADO</t>
        </r>
      </text>
    </comment>
    <comment ref="W863" authorId="0" shapeId="0" xr:uid="{E89BEFC6-6DCB-432A-9D12-960A9955705F}">
      <text>
        <r>
          <rPr>
            <sz val="10"/>
            <color indexed="81"/>
            <rFont val="Lucida Console"/>
            <family val="3"/>
          </rPr>
          <t>_x000D_
DM-Construção</t>
        </r>
      </text>
    </comment>
    <comment ref="X863" authorId="0" shapeId="0" xr:uid="{8DF1F71D-AE3F-4BD7-A91E-FDC79F040DB3}">
      <text>
        <r>
          <rPr>
            <sz val="10"/>
            <color indexed="81"/>
            <rFont val="Lucida Console"/>
            <family val="3"/>
          </rPr>
          <t>_x000D_
METAIS,LAMINAD.,PERFILADOS E ARTEFATOS METALICOS</t>
        </r>
      </text>
    </comment>
    <comment ref="Y863" authorId="0" shapeId="0" xr:uid="{750A3786-3C6D-494E-A745-DEC2F033D1C8}">
      <text>
        <r>
          <rPr>
            <sz val="10"/>
            <color indexed="81"/>
            <rFont val="Lucida Console"/>
            <family val="3"/>
          </rPr>
          <t>_x000D_
FERROS E ACOS AVULSOS</t>
        </r>
      </text>
    </comment>
    <comment ref="AW863" authorId="0" shapeId="0" xr:uid="{41FC80B1-CD49-44C1-9151-21DDF56C17D1}">
      <text>
        <r>
          <rPr>
            <sz val="10"/>
            <color indexed="81"/>
            <rFont val="Lucida Console"/>
            <family val="3"/>
          </rPr>
          <t>Tempo de Estoque (Meses)_x000D_
_x000D_
274,0</t>
        </r>
      </text>
    </comment>
    <comment ref="A864" authorId="0" shapeId="0" xr:uid="{44C189EA-9D3D-4063-8A6C-8756D186E1DB}">
      <text>
        <r>
          <rPr>
            <sz val="10"/>
            <color indexed="81"/>
            <rFont val="Lucida Console"/>
            <family val="3"/>
          </rPr>
          <t>_x000D_
134558</t>
        </r>
      </text>
    </comment>
    <comment ref="B864" authorId="0" shapeId="0" xr:uid="{67D5E3A1-AB0C-4B94-9EA3-6243A76A7C07}">
      <text>
        <r>
          <rPr>
            <sz val="10"/>
            <color indexed="81"/>
            <rFont val="Lucida Console"/>
            <family val="3"/>
          </rPr>
          <t>DESCRIÇÃO DETALHADA_x000D_
PONTEIRA PLASTICA INTERNA NA COR PRETA PARA TUBO QUADRADO DE 1"</t>
        </r>
      </text>
    </comment>
    <comment ref="W864" authorId="0" shapeId="0" xr:uid="{86AE4B14-A191-4602-A30B-48A087734D1D}">
      <text>
        <r>
          <rPr>
            <sz val="10"/>
            <color indexed="81"/>
            <rFont val="Lucida Console"/>
            <family val="3"/>
          </rPr>
          <t>_x000D_
DM-Serralheria</t>
        </r>
      </text>
    </comment>
    <comment ref="X864" authorId="0" shapeId="0" xr:uid="{80FC1C04-5FD1-4EDE-AA97-FAB91C55B4F0}">
      <text>
        <r>
          <rPr>
            <sz val="10"/>
            <color indexed="81"/>
            <rFont val="Lucida Console"/>
            <family val="3"/>
          </rPr>
          <t>_x000D_
FERRAMENTAS MAQ.FERRAMENTAS,ELETR.PECAS E ACESSORI</t>
        </r>
      </text>
    </comment>
    <comment ref="Y864" authorId="0" shapeId="0" xr:uid="{CE9509ED-7D66-45A6-A7C3-E4AF8F6B2132}">
      <text>
        <r>
          <rPr>
            <sz val="10"/>
            <color indexed="81"/>
            <rFont val="Lucida Console"/>
            <family val="3"/>
          </rPr>
          <t>_x000D_
PECAS E COMPONENTES</t>
        </r>
      </text>
    </comment>
    <comment ref="AW864" authorId="0" shapeId="0" xr:uid="{5C59E231-555F-4E32-8DD4-498AFD7153AB}">
      <text>
        <r>
          <rPr>
            <sz val="10"/>
            <color indexed="81"/>
            <rFont val="Lucida Console"/>
            <family val="3"/>
          </rPr>
          <t>Tempo de Estoque (Meses)_x000D_
_x000D_
17.660,0</t>
        </r>
      </text>
    </comment>
    <comment ref="A865" authorId="0" shapeId="0" xr:uid="{3820AD5D-CFE3-40F4-866E-AACC78D3933C}">
      <text>
        <r>
          <rPr>
            <sz val="10"/>
            <color indexed="81"/>
            <rFont val="Lucida Console"/>
            <family val="3"/>
          </rPr>
          <t>_x000D_
134559</t>
        </r>
      </text>
    </comment>
    <comment ref="B865" authorId="0" shapeId="0" xr:uid="{109389AC-6AE8-4489-8814-57EA95D8D983}">
      <text>
        <r>
          <rPr>
            <sz val="10"/>
            <color indexed="81"/>
            <rFont val="Lucida Console"/>
            <family val="3"/>
          </rPr>
          <t>DESCRIÇÃO DETALHADA_x000D_
PONTEIRA PLASTICA NA COR PRETA PARA TUBO RETANGULAR 20 MM X 40 MM</t>
        </r>
      </text>
    </comment>
    <comment ref="W865" authorId="0" shapeId="0" xr:uid="{99914944-794F-4E55-9AAE-728F59E1059B}">
      <text>
        <r>
          <rPr>
            <sz val="10"/>
            <color indexed="81"/>
            <rFont val="Lucida Console"/>
            <family val="3"/>
          </rPr>
          <t>_x000D_
DM-Serralheria</t>
        </r>
      </text>
    </comment>
    <comment ref="X865" authorId="0" shapeId="0" xr:uid="{3117BA40-50B8-4B7A-B904-A66DA5A51299}">
      <text>
        <r>
          <rPr>
            <sz val="10"/>
            <color indexed="81"/>
            <rFont val="Lucida Console"/>
            <family val="3"/>
          </rPr>
          <t>_x000D_
FERRAMENTAS MAQ.FERRAMENTAS,ELETR.PECAS E ACESSORI</t>
        </r>
      </text>
    </comment>
    <comment ref="Y865" authorId="0" shapeId="0" xr:uid="{7D782673-11D8-4157-87CD-4A35C5AA79E6}">
      <text>
        <r>
          <rPr>
            <sz val="10"/>
            <color indexed="81"/>
            <rFont val="Lucida Console"/>
            <family val="3"/>
          </rPr>
          <t>_x000D_
PECAS E COMPONENTES</t>
        </r>
      </text>
    </comment>
    <comment ref="AW865" authorId="0" shapeId="0" xr:uid="{FA4A28F8-0F05-4767-BCE3-81D2DD66628B}">
      <text>
        <r>
          <rPr>
            <sz val="10"/>
            <color indexed="81"/>
            <rFont val="Lucida Console"/>
            <family val="3"/>
          </rPr>
          <t>Tempo de Estoque (Meses)_x000D_
_x000D_
15.800,0</t>
        </r>
      </text>
    </comment>
    <comment ref="A866" authorId="0" shapeId="0" xr:uid="{35645704-8A43-4DC4-BEB4-F7799469477B}">
      <text>
        <r>
          <rPr>
            <sz val="10"/>
            <color indexed="81"/>
            <rFont val="Lucida Console"/>
            <family val="3"/>
          </rPr>
          <t>_x000D_
17946</t>
        </r>
      </text>
    </comment>
    <comment ref="B866" authorId="0" shapeId="0" xr:uid="{15A5C96B-4221-438E-A78D-5A79C5758371}">
      <text>
        <r>
          <rPr>
            <sz val="10"/>
            <color indexed="81"/>
            <rFont val="Lucida Console"/>
            <family val="3"/>
          </rPr>
          <t>DESCRIÇÃO DETALHADA_x000D_
WIDIA PARA CORTAR PISOS E AZULEJOS (80 X 10 MM)</t>
        </r>
      </text>
    </comment>
    <comment ref="W866" authorId="0" shapeId="0" xr:uid="{2A1077FE-0CD6-4C58-91CA-1177F116C3F1}">
      <text>
        <r>
          <rPr>
            <sz val="10"/>
            <color indexed="81"/>
            <rFont val="Lucida Console"/>
            <family val="3"/>
          </rPr>
          <t>_x000D_
DM-Construção</t>
        </r>
      </text>
    </comment>
    <comment ref="X866" authorId="0" shapeId="0" xr:uid="{3F8C7A13-F285-47DF-B4B4-FEC26C91900F}">
      <text>
        <r>
          <rPr>
            <sz val="10"/>
            <color indexed="81"/>
            <rFont val="Lucida Console"/>
            <family val="3"/>
          </rPr>
          <t>_x000D_
FERRAMENTAS MAQ.FERRAMENTAS,ELETR.PECAS E ACESSORI</t>
        </r>
      </text>
    </comment>
    <comment ref="Y866" authorId="0" shapeId="0" xr:uid="{0A174942-824A-449D-B8E5-9152298C4389}">
      <text>
        <r>
          <rPr>
            <sz val="10"/>
            <color indexed="81"/>
            <rFont val="Lucida Console"/>
            <family val="3"/>
          </rPr>
          <t>_x000D_
FERRAMENTAS E UTENSILIOS PARA PEDREIRO</t>
        </r>
      </text>
    </comment>
    <comment ref="AW866" authorId="0" shapeId="0" xr:uid="{65BC8C54-A344-48EB-AF4E-DAAFB09CBF4D}">
      <text>
        <r>
          <rPr>
            <sz val="10"/>
            <color indexed="81"/>
            <rFont val="Lucida Console"/>
            <family val="3"/>
          </rPr>
          <t>Tempo de Estoque (Meses)_x000D_
_x000D_
2.316,0</t>
        </r>
      </text>
    </comment>
    <comment ref="A867" authorId="0" shapeId="0" xr:uid="{64F9F191-FD6C-4462-BDEB-03D5C6A9C81F}">
      <text>
        <r>
          <rPr>
            <sz val="10"/>
            <color indexed="81"/>
            <rFont val="Lucida Console"/>
            <family val="3"/>
          </rPr>
          <t>_x000D_
134570</t>
        </r>
      </text>
    </comment>
    <comment ref="B867" authorId="0" shapeId="0" xr:uid="{1915342F-B356-4CE7-8311-4CCE38870435}">
      <text>
        <r>
          <rPr>
            <sz val="10"/>
            <color indexed="81"/>
            <rFont val="Lucida Console"/>
            <family val="3"/>
          </rPr>
          <t>DESCRIÇÃO DETALHADA_x000D_
PONTEIRA BIT PH2 DUPLA, IMANTADA, COMPRIMENTO DE 110 MM, EM ACO CROMO VANADIO</t>
        </r>
      </text>
    </comment>
    <comment ref="W867" authorId="0" shapeId="0" xr:uid="{0433FF17-79DF-40F1-A90C-B9220827885C}">
      <text>
        <r>
          <rPr>
            <sz val="10"/>
            <color indexed="81"/>
            <rFont val="Lucida Console"/>
            <family val="3"/>
          </rPr>
          <t>_x000D_
DM-Marcenaria</t>
        </r>
      </text>
    </comment>
    <comment ref="X867" authorId="0" shapeId="0" xr:uid="{1C3E239F-E6B2-470E-BEB1-9FA4C1D15CC0}">
      <text>
        <r>
          <rPr>
            <sz val="10"/>
            <color indexed="81"/>
            <rFont val="Lucida Console"/>
            <family val="3"/>
          </rPr>
          <t>_x000D_
FERRAMENTAS MAQ.FERRAMENTAS,ELETR.PECAS E ACESSORI</t>
        </r>
      </text>
    </comment>
    <comment ref="Y867" authorId="0" shapeId="0" xr:uid="{567BA09A-BDF9-4579-AF7A-5E889799602A}">
      <text>
        <r>
          <rPr>
            <sz val="10"/>
            <color indexed="81"/>
            <rFont val="Lucida Console"/>
            <family val="3"/>
          </rPr>
          <t>_x000D_
BITS E BEDAMES</t>
        </r>
      </text>
    </comment>
    <comment ref="AW867" authorId="0" shapeId="0" xr:uid="{1A93A28D-BED7-46AF-ACB8-69CCF0725BCE}">
      <text>
        <r>
          <rPr>
            <sz val="10"/>
            <color indexed="81"/>
            <rFont val="Lucida Console"/>
            <family val="3"/>
          </rPr>
          <t>Tempo de Estoque (Meses)_x000D_
_x000D_
300,0</t>
        </r>
      </text>
    </comment>
    <comment ref="A868" authorId="0" shapeId="0" xr:uid="{E7829642-5BA0-400A-8B9E-6308A87552C6}">
      <text>
        <r>
          <rPr>
            <sz val="10"/>
            <color indexed="81"/>
            <rFont val="Lucida Console"/>
            <family val="3"/>
          </rPr>
          <t>_x000D_
19882</t>
        </r>
      </text>
    </comment>
    <comment ref="B868" authorId="0" shapeId="0" xr:uid="{30BE9A18-49F4-4DBE-BC02-266AF644B56C}">
      <text>
        <r>
          <rPr>
            <sz val="10"/>
            <color indexed="81"/>
            <rFont val="Lucida Console"/>
            <family val="3"/>
          </rPr>
          <t>DESCRIÇÃO DETALHADA_x000D_
BROCA DE WIDIA 3/8"</t>
        </r>
      </text>
    </comment>
    <comment ref="W868" authorId="0" shapeId="0" xr:uid="{15078760-9E0A-44B0-B7C8-B48AA99F25A2}">
      <text>
        <r>
          <rPr>
            <sz val="10"/>
            <color indexed="81"/>
            <rFont val="Lucida Console"/>
            <family val="3"/>
          </rPr>
          <t>_x000D_
DM-Serralheria</t>
        </r>
      </text>
    </comment>
    <comment ref="X868" authorId="0" shapeId="0" xr:uid="{64A3843A-8714-4FB7-903F-68AC078E10A8}">
      <text>
        <r>
          <rPr>
            <sz val="10"/>
            <color indexed="81"/>
            <rFont val="Lucida Console"/>
            <family val="3"/>
          </rPr>
          <t>_x000D_
FERRAMENTAS MAQ.FERRAMENTAS,ELETR.PECAS E ACESSORI</t>
        </r>
      </text>
    </comment>
    <comment ref="Y868" authorId="0" shapeId="0" xr:uid="{276E173E-5093-49F1-B24A-55E84CC42BBC}">
      <text>
        <r>
          <rPr>
            <sz val="10"/>
            <color indexed="81"/>
            <rFont val="Lucida Console"/>
            <family val="3"/>
          </rPr>
          <t>_x000D_
BROCAS</t>
        </r>
      </text>
    </comment>
    <comment ref="AW868" authorId="0" shapeId="0" xr:uid="{6E16E4A6-4D0C-4CCE-A4BD-EC3D344A1341}">
      <text>
        <r>
          <rPr>
            <sz val="10"/>
            <color indexed="81"/>
            <rFont val="Lucida Console"/>
            <family val="3"/>
          </rPr>
          <t>Tempo de Estoque (Meses)_x000D_
_x000D_
224,0</t>
        </r>
      </text>
    </comment>
    <comment ref="A869" authorId="0" shapeId="0" xr:uid="{11CE44C9-8D46-4186-86F8-EBEED1B7364A}">
      <text>
        <r>
          <rPr>
            <sz val="10"/>
            <color indexed="81"/>
            <rFont val="Lucida Console"/>
            <family val="3"/>
          </rPr>
          <t>_x000D_
19883</t>
        </r>
      </text>
    </comment>
    <comment ref="B869" authorId="0" shapeId="0" xr:uid="{0ABA2A1B-A994-4527-B1F3-AD533BEBB26F}">
      <text>
        <r>
          <rPr>
            <sz val="10"/>
            <color indexed="81"/>
            <rFont val="Lucida Console"/>
            <family val="3"/>
          </rPr>
          <t>DESCRIÇÃO DETALHADA_x000D_
BROCA DE WIDIA 5/16"</t>
        </r>
      </text>
    </comment>
    <comment ref="W869" authorId="0" shapeId="0" xr:uid="{E15C1BFA-CF25-475F-8F61-17A8572C9D9A}">
      <text>
        <r>
          <rPr>
            <sz val="10"/>
            <color indexed="81"/>
            <rFont val="Lucida Console"/>
            <family val="3"/>
          </rPr>
          <t>_x000D_
DM-Serralheria</t>
        </r>
      </text>
    </comment>
    <comment ref="X869" authorId="0" shapeId="0" xr:uid="{F5CB8A35-68CC-4F49-B74C-DFE4820AEAFF}">
      <text>
        <r>
          <rPr>
            <sz val="10"/>
            <color indexed="81"/>
            <rFont val="Lucida Console"/>
            <family val="3"/>
          </rPr>
          <t>_x000D_
FERRAMENTAS MAQ.FERRAMENTAS,ELETR.PECAS E ACESSORI</t>
        </r>
      </text>
    </comment>
    <comment ref="Y869" authorId="0" shapeId="0" xr:uid="{E036D162-2E12-4D2F-9DE6-FE8A5EDDFDA7}">
      <text>
        <r>
          <rPr>
            <sz val="10"/>
            <color indexed="81"/>
            <rFont val="Lucida Console"/>
            <family val="3"/>
          </rPr>
          <t>_x000D_
BROCAS</t>
        </r>
      </text>
    </comment>
    <comment ref="AW869" authorId="0" shapeId="0" xr:uid="{5724A4DC-FAFF-4485-8C6B-51D87EB161CB}">
      <text>
        <r>
          <rPr>
            <sz val="10"/>
            <color indexed="81"/>
            <rFont val="Lucida Console"/>
            <family val="3"/>
          </rPr>
          <t>Tempo de Estoque (Meses)_x000D_
_x000D_
547,0</t>
        </r>
      </text>
    </comment>
    <comment ref="A870" authorId="0" shapeId="0" xr:uid="{5707E39F-57A6-4B52-BF2C-42CAF8AB9D29}">
      <text>
        <r>
          <rPr>
            <sz val="10"/>
            <color indexed="81"/>
            <rFont val="Lucida Console"/>
            <family val="3"/>
          </rPr>
          <t>_x000D_
104911</t>
        </r>
      </text>
    </comment>
    <comment ref="B870" authorId="0" shapeId="0" xr:uid="{729430AE-D802-4649-93D6-9DB7D8F543C8}">
      <text>
        <r>
          <rPr>
            <sz val="10"/>
            <color indexed="81"/>
            <rFont val="Lucida Console"/>
            <family val="3"/>
          </rPr>
          <t>DESCRIÇÃO DETALHADA_x000D_
ARAME PARA SOLDA MIG/MAG COM DIAMETRO DE 0,8 MM, CONTENDO 15 KG. - ACOMPANHA CARRETEL PLASTICO.</t>
        </r>
      </text>
    </comment>
    <comment ref="W870" authorId="0" shapeId="0" xr:uid="{227CC00B-EF3B-4EFF-9DE9-1EC248853AA1}">
      <text>
        <r>
          <rPr>
            <sz val="10"/>
            <color indexed="81"/>
            <rFont val="Lucida Console"/>
            <family val="3"/>
          </rPr>
          <t>_x000D_
DM-Serralheria</t>
        </r>
      </text>
    </comment>
    <comment ref="X870" authorId="0" shapeId="0" xr:uid="{C80F3CEF-59AB-40A8-BAB8-D8AD9B18633A}">
      <text>
        <r>
          <rPr>
            <sz val="10"/>
            <color indexed="81"/>
            <rFont val="Lucida Console"/>
            <family val="3"/>
          </rPr>
          <t>_x000D_
FERRAMENTAS MAQ.FERRAMENTAS,ELETR.PECAS E ACESSORI</t>
        </r>
      </text>
    </comment>
    <comment ref="Y870" authorId="0" shapeId="0" xr:uid="{35536AAC-6A15-47E3-9209-1031A75922F5}">
      <text>
        <r>
          <rPr>
            <sz val="10"/>
            <color indexed="81"/>
            <rFont val="Lucida Console"/>
            <family val="3"/>
          </rPr>
          <t>_x000D_
MATERIAIS DIVERSOS P/ SOLDA</t>
        </r>
      </text>
    </comment>
    <comment ref="AW870" authorId="0" shapeId="0" xr:uid="{1836BA07-5EFC-482C-97B3-0D3C682F5595}">
      <text>
        <r>
          <rPr>
            <sz val="10"/>
            <color indexed="81"/>
            <rFont val="Lucida Console"/>
            <family val="3"/>
          </rPr>
          <t>Tempo de Estoque (Meses)_x000D_
_x000D_
95,0</t>
        </r>
      </text>
    </comment>
    <comment ref="A871" authorId="0" shapeId="0" xr:uid="{1D9A8320-7A0F-4E98-A48F-48F0327D8084}">
      <text>
        <r>
          <rPr>
            <sz val="10"/>
            <color indexed="81"/>
            <rFont val="Lucida Console"/>
            <family val="3"/>
          </rPr>
          <t>_x000D_
81370</t>
        </r>
      </text>
    </comment>
    <comment ref="B871" authorId="0" shapeId="0" xr:uid="{70481513-698B-446A-973D-FC4CBC47A73F}">
      <text>
        <r>
          <rPr>
            <sz val="10"/>
            <color indexed="81"/>
            <rFont val="Lucida Console"/>
            <family val="3"/>
          </rPr>
          <t>DESCRIÇÃO DETALHADA_x000D_
CORANTE LIQUIDO PARA FINS ALIMENTICIOS - COR VERMELHA - FRASCO COM 10ML</t>
        </r>
      </text>
    </comment>
    <comment ref="W871" authorId="0" shapeId="0" xr:uid="{33CC066C-8075-4D66-9E3B-F9C499C28827}">
      <text>
        <r>
          <rPr>
            <sz val="10"/>
            <color indexed="81"/>
            <rFont val="Lucida Console"/>
            <family val="3"/>
          </rPr>
          <t>_x000D_
Pedagógico</t>
        </r>
      </text>
    </comment>
    <comment ref="X871" authorId="0" shapeId="0" xr:uid="{1672FFF6-93AF-4FCF-876C-89304AA07A00}">
      <text>
        <r>
          <rPr>
            <sz val="10"/>
            <color indexed="81"/>
            <rFont val="Lucida Console"/>
            <family val="3"/>
          </rPr>
          <t>_x000D_
GENEROS ALIMENTICIOS E BEBIDAS</t>
        </r>
      </text>
    </comment>
    <comment ref="Y871" authorId="0" shapeId="0" xr:uid="{A83801F3-3A75-44B0-82B2-48B4735A7F30}">
      <text>
        <r>
          <rPr>
            <sz val="10"/>
            <color indexed="81"/>
            <rFont val="Lucida Console"/>
            <family val="3"/>
          </rPr>
          <t>_x000D_
ESPECIARIAS E CONDIMENTOS</t>
        </r>
      </text>
    </comment>
    <comment ref="AW871" authorId="0" shapeId="0" xr:uid="{26E503D7-857B-45D8-A105-353AD123C1DB}">
      <text>
        <r>
          <rPr>
            <sz val="10"/>
            <color indexed="81"/>
            <rFont val="Lucida Console"/>
            <family val="3"/>
          </rPr>
          <t>Tempo de Estoque (Meses)_x000D_
_x000D_
1.984,0</t>
        </r>
      </text>
    </comment>
    <comment ref="A872" authorId="0" shapeId="0" xr:uid="{6C6CEE86-852E-4EB8-94D9-30A810E80CF7}">
      <text>
        <r>
          <rPr>
            <sz val="10"/>
            <color indexed="81"/>
            <rFont val="Lucida Console"/>
            <family val="3"/>
          </rPr>
          <t>_x000D_
81371</t>
        </r>
      </text>
    </comment>
    <comment ref="B872" authorId="0" shapeId="0" xr:uid="{227C38D1-D097-4B6D-B86B-109EF4FE1E9D}">
      <text>
        <r>
          <rPr>
            <sz val="10"/>
            <color indexed="81"/>
            <rFont val="Lucida Console"/>
            <family val="3"/>
          </rPr>
          <t>DESCRIÇÃO DETALHADA_x000D_
CORANTE LIQUIDO PARA FINS ALIMENTICIOS - COR AMARELA - FRASCO COM 10ML</t>
        </r>
      </text>
    </comment>
    <comment ref="W872" authorId="0" shapeId="0" xr:uid="{699D879B-C6A6-4B88-823B-6A4464852E27}">
      <text>
        <r>
          <rPr>
            <sz val="10"/>
            <color indexed="81"/>
            <rFont val="Lucida Console"/>
            <family val="3"/>
          </rPr>
          <t>_x000D_
Pedagógico</t>
        </r>
      </text>
    </comment>
    <comment ref="X872" authorId="0" shapeId="0" xr:uid="{3E565983-BED2-4AFB-B365-1A198DA09804}">
      <text>
        <r>
          <rPr>
            <sz val="10"/>
            <color indexed="81"/>
            <rFont val="Lucida Console"/>
            <family val="3"/>
          </rPr>
          <t>_x000D_
GENEROS ALIMENTICIOS E BEBIDAS</t>
        </r>
      </text>
    </comment>
    <comment ref="Y872" authorId="0" shapeId="0" xr:uid="{355B4F79-3138-4F9D-A3B6-9C95B7AD502E}">
      <text>
        <r>
          <rPr>
            <sz val="10"/>
            <color indexed="81"/>
            <rFont val="Lucida Console"/>
            <family val="3"/>
          </rPr>
          <t>_x000D_
ESPECIARIAS E CONDIMENTOS</t>
        </r>
      </text>
    </comment>
    <comment ref="AW872" authorId="0" shapeId="0" xr:uid="{E18814E4-FE76-4923-B82C-ECE891CADFE9}">
      <text>
        <r>
          <rPr>
            <sz val="10"/>
            <color indexed="81"/>
            <rFont val="Lucida Console"/>
            <family val="3"/>
          </rPr>
          <t>Tempo de Estoque (Meses)_x000D_
_x000D_
1.873,0</t>
        </r>
      </text>
    </comment>
    <comment ref="A873" authorId="0" shapeId="0" xr:uid="{004DC8B3-2BE2-486A-BF0F-37D84AAA3637}">
      <text>
        <r>
          <rPr>
            <sz val="10"/>
            <color indexed="81"/>
            <rFont val="Lucida Console"/>
            <family val="3"/>
          </rPr>
          <t>_x000D_
132400</t>
        </r>
      </text>
    </comment>
    <comment ref="B873" authorId="0" shapeId="0" xr:uid="{8F3BB82B-3517-4BC8-BC8B-981B76C0EEF4}">
      <text>
        <r>
          <rPr>
            <sz val="10"/>
            <color indexed="81"/>
            <rFont val="Lucida Console"/>
            <family val="3"/>
          </rPr>
          <t>DESCRIÇÃO DETALHADA_x000D_
CORANTE LIQUIDO PARA FINS ALIMENTICIOS - COR AZUL - FRASCO COM 10ML.</t>
        </r>
      </text>
    </comment>
    <comment ref="W873" authorId="0" shapeId="0" xr:uid="{CF6B3077-A255-47AB-A362-48EDFD6502B9}">
      <text>
        <r>
          <rPr>
            <sz val="10"/>
            <color indexed="81"/>
            <rFont val="Lucida Console"/>
            <family val="3"/>
          </rPr>
          <t>_x000D_
Pedagógico</t>
        </r>
      </text>
    </comment>
    <comment ref="X873" authorId="0" shapeId="0" xr:uid="{DDD18F0C-2A32-4D5C-9A59-A21B759113F8}">
      <text>
        <r>
          <rPr>
            <sz val="10"/>
            <color indexed="81"/>
            <rFont val="Lucida Console"/>
            <family val="3"/>
          </rPr>
          <t>_x000D_
GENEROS ALIMENTICIOS E BEBIDAS</t>
        </r>
      </text>
    </comment>
    <comment ref="Y873" authorId="0" shapeId="0" xr:uid="{D5F82D8E-DBBA-456D-9078-6FF20DA4B94F}">
      <text>
        <r>
          <rPr>
            <sz val="10"/>
            <color indexed="81"/>
            <rFont val="Lucida Console"/>
            <family val="3"/>
          </rPr>
          <t>_x000D_
ESPECIARIAS E CONDIMENTOS</t>
        </r>
      </text>
    </comment>
    <comment ref="AW873" authorId="0" shapeId="0" xr:uid="{E9801EC8-547A-494C-98BC-4F4049A0B67D}">
      <text>
        <r>
          <rPr>
            <sz val="10"/>
            <color indexed="81"/>
            <rFont val="Lucida Console"/>
            <family val="3"/>
          </rPr>
          <t>Tempo de Estoque (Meses)_x000D_
_x000D_
1.885,0</t>
        </r>
      </text>
    </comment>
    <comment ref="A874" authorId="0" shapeId="0" xr:uid="{5CCA8AAB-AE7A-4BFD-B68E-F0BFD2DAC4F0}">
      <text>
        <r>
          <rPr>
            <sz val="10"/>
            <color indexed="81"/>
            <rFont val="Lucida Console"/>
            <family val="3"/>
          </rPr>
          <t>_x000D_
133191</t>
        </r>
      </text>
    </comment>
    <comment ref="B874" authorId="0" shapeId="0" xr:uid="{D5CE889A-FBD8-4A3F-BA2E-57F12821D99A}">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74" authorId="0" shapeId="0" xr:uid="{9FC43C85-1EBE-4DD0-B4CB-063470E6509A}">
      <text>
        <r>
          <rPr>
            <sz val="10"/>
            <color indexed="81"/>
            <rFont val="Lucida Console"/>
            <family val="3"/>
          </rPr>
          <t>_x000D_
Administrativo</t>
        </r>
      </text>
    </comment>
    <comment ref="X874" authorId="0" shapeId="0" xr:uid="{E01CF8BC-76F4-45B5-9729-545D4B9E4596}">
      <text>
        <r>
          <rPr>
            <sz val="10"/>
            <color indexed="81"/>
            <rFont val="Lucida Console"/>
            <family val="3"/>
          </rPr>
          <t>_x000D_
MAQ.EQUIP.E MATERIAIS P/ HIGIEN.LIMP.POLIM.E LUBR.</t>
        </r>
      </text>
    </comment>
    <comment ref="Y874" authorId="0" shapeId="0" xr:uid="{224F6A28-270A-4C30-A35F-37D0393D9B86}">
      <text>
        <r>
          <rPr>
            <sz val="10"/>
            <color indexed="81"/>
            <rFont val="Lucida Console"/>
            <family val="3"/>
          </rPr>
          <t>_x000D_
ESPONJAS,BALDES,SACOS E CESTOS DE LIXO, ETC</t>
        </r>
      </text>
    </comment>
    <comment ref="AW874" authorId="0" shapeId="0" xr:uid="{990B0CF6-7285-4AA7-B2FA-45AFDB3CA1A6}">
      <text>
        <r>
          <rPr>
            <sz val="10"/>
            <color indexed="81"/>
            <rFont val="Lucida Console"/>
            <family val="3"/>
          </rPr>
          <t>Tempo de Estoque (Meses)_x000D_
_x000D_
185.715,0</t>
        </r>
      </text>
    </comment>
    <comment ref="A875" authorId="0" shapeId="0" xr:uid="{9101D838-6C7F-4CAB-BF20-11342E1DA632}">
      <text>
        <r>
          <rPr>
            <sz val="10"/>
            <color indexed="81"/>
            <rFont val="Lucida Console"/>
            <family val="3"/>
          </rPr>
          <t>_x000D_
49254</t>
        </r>
      </text>
    </comment>
    <comment ref="B875" authorId="0" shapeId="0" xr:uid="{984F95C4-F3B3-4E7B-9521-7C31409A2972}">
      <text>
        <r>
          <rPr>
            <sz val="10"/>
            <color indexed="81"/>
            <rFont val="Lucida Console"/>
            <family val="3"/>
          </rPr>
          <t>DESCRIÇÃO DETALHADA_x000D_
PLASTICO OLEADO, TIPO FLANELADO - NAS CORES AZUL CLARO E BRANCO - MEDINDO: 1,40 M DE LARGURA</t>
        </r>
      </text>
    </comment>
    <comment ref="W875" authorId="0" shapeId="0" xr:uid="{886187DA-161A-4396-9037-2D74151B4F8C}">
      <text>
        <r>
          <rPr>
            <sz val="10"/>
            <color indexed="81"/>
            <rFont val="Lucida Console"/>
            <family val="3"/>
          </rPr>
          <t>_x000D_
Administrativo</t>
        </r>
      </text>
    </comment>
    <comment ref="X875" authorId="0" shapeId="0" xr:uid="{C47B27FD-BD63-4FBA-B85A-7D35C1A278E8}">
      <text>
        <r>
          <rPr>
            <sz val="10"/>
            <color indexed="81"/>
            <rFont val="Lucida Console"/>
            <family val="3"/>
          </rPr>
          <t>_x000D_
MAQ.EQUIP.E MATERIAIS P/ HIGIEN.LIMP.POLIM.E LUBR.</t>
        </r>
      </text>
    </comment>
    <comment ref="Y875" authorId="0" shapeId="0" xr:uid="{4C6E945B-AC65-4522-A37B-833AF9655925}">
      <text>
        <r>
          <rPr>
            <sz val="10"/>
            <color indexed="81"/>
            <rFont val="Lucida Console"/>
            <family val="3"/>
          </rPr>
          <t>_x000D_
PANO PARA CHAO, COPA E FLANELA</t>
        </r>
      </text>
    </comment>
    <comment ref="AW875" authorId="0" shapeId="0" xr:uid="{1FF3F448-CD1A-43E7-B130-63446B1FD1FD}">
      <text>
        <r>
          <rPr>
            <sz val="10"/>
            <color indexed="81"/>
            <rFont val="Lucida Console"/>
            <family val="3"/>
          </rPr>
          <t>Tempo de Estoque (Meses)_x000D_
_x000D_
1.130,0</t>
        </r>
      </text>
    </comment>
    <comment ref="A876" authorId="0" shapeId="0" xr:uid="{34ED5B7D-2018-45D9-9335-17A2F8526500}">
      <text>
        <r>
          <rPr>
            <sz val="10"/>
            <color indexed="81"/>
            <rFont val="Lucida Console"/>
            <family val="3"/>
          </rPr>
          <t>_x000D_
63252</t>
        </r>
      </text>
    </comment>
    <comment ref="B876" authorId="0" shapeId="0" xr:uid="{CB60063A-122A-4581-9775-92BD5F8E04FB}">
      <text>
        <r>
          <rPr>
            <sz val="10"/>
            <color indexed="81"/>
            <rFont val="Lucida Console"/>
            <family val="3"/>
          </rPr>
          <t>DESCRIÇÃO DETALHADA_x000D_
OLEO DESENGRIPANTE, ANTI-FERRUGINOSO, LUBRIFICA E REPELE UMIDADE - FRASCO C/ 300 ML</t>
        </r>
      </text>
    </comment>
    <comment ref="W876" authorId="0" shapeId="0" xr:uid="{0E0ABEFA-9161-4C91-9ADC-8E52733BAACE}">
      <text>
        <r>
          <rPr>
            <sz val="10"/>
            <color indexed="81"/>
            <rFont val="Lucida Console"/>
            <family val="3"/>
          </rPr>
          <t>_x000D_
DM-Geral</t>
        </r>
      </text>
    </comment>
    <comment ref="X876" authorId="0" shapeId="0" xr:uid="{AB88BB45-3B42-4349-BC2D-7F4893C140C1}">
      <text>
        <r>
          <rPr>
            <sz val="10"/>
            <color indexed="81"/>
            <rFont val="Lucida Console"/>
            <family val="3"/>
          </rPr>
          <t>_x000D_
MAQ.EQUIP.E MATERIAIS P/ HIGIEN.LIMP.POLIM.E LUBR.</t>
        </r>
      </text>
    </comment>
    <comment ref="Y876" authorId="0" shapeId="0" xr:uid="{45EEBE8B-687C-4467-B5BA-887A7173BAE6}">
      <text>
        <r>
          <rPr>
            <sz val="10"/>
            <color indexed="81"/>
            <rFont val="Lucida Console"/>
            <family val="3"/>
          </rPr>
          <t>_x000D_
LIMPADORES</t>
        </r>
      </text>
    </comment>
    <comment ref="AW876" authorId="0" shapeId="0" xr:uid="{39928331-1139-4ADE-A788-A00422C50B40}">
      <text>
        <r>
          <rPr>
            <sz val="10"/>
            <color indexed="81"/>
            <rFont val="Lucida Console"/>
            <family val="3"/>
          </rPr>
          <t>Tempo de Estoque (Meses)_x000D_
_x000D_
50,0</t>
        </r>
      </text>
    </comment>
    <comment ref="A877" authorId="0" shapeId="0" xr:uid="{533187EE-8A42-4914-BA7F-03813981B030}">
      <text>
        <r>
          <rPr>
            <sz val="10"/>
            <color indexed="81"/>
            <rFont val="Lucida Console"/>
            <family val="3"/>
          </rPr>
          <t>_x000D_
81152</t>
        </r>
      </text>
    </comment>
    <comment ref="B877" authorId="0" shapeId="0" xr:uid="{3C47C6EE-DBDD-4146-8DDA-4DC85CA99BD0}">
      <text>
        <r>
          <rPr>
            <sz val="10"/>
            <color indexed="81"/>
            <rFont val="Lucida Console"/>
            <family val="3"/>
          </rPr>
          <t>DESCRIÇÃO DETALHADA_x000D_
SACO PLASTICO TRANSPARENTE, MEDINDO 15 X 30 CM - PACOTE COM 05 KG - AS MEDIDAS PODERAO VARIAR +/- 2 CM</t>
        </r>
      </text>
    </comment>
    <comment ref="W877" authorId="0" shapeId="0" xr:uid="{EA09706C-F75A-403E-B802-FF988716423E}">
      <text>
        <r>
          <rPr>
            <sz val="10"/>
            <color indexed="81"/>
            <rFont val="Lucida Console"/>
            <family val="3"/>
          </rPr>
          <t>_x000D_
Administrativo</t>
        </r>
      </text>
    </comment>
    <comment ref="X877" authorId="0" shapeId="0" xr:uid="{93913CF5-16AB-4574-A467-7ECB105F81A6}">
      <text>
        <r>
          <rPr>
            <sz val="10"/>
            <color indexed="81"/>
            <rFont val="Lucida Console"/>
            <family val="3"/>
          </rPr>
          <t>_x000D_
EMBALAG., RECIP., ACESSOR., EQUIP., MATER. P/ACONDICIO</t>
        </r>
      </text>
    </comment>
    <comment ref="Y877" authorId="0" shapeId="0" xr:uid="{9A42D463-7C00-492B-9F84-7CA24C2269FA}">
      <text>
        <r>
          <rPr>
            <sz val="10"/>
            <color indexed="81"/>
            <rFont val="Lucida Console"/>
            <family val="3"/>
          </rPr>
          <t>_x000D_
SACOLAS E SACOS</t>
        </r>
      </text>
    </comment>
    <comment ref="AW877" authorId="0" shapeId="0" xr:uid="{8A750B37-5D20-45C2-8112-2962EBB82F12}">
      <text>
        <r>
          <rPr>
            <sz val="10"/>
            <color indexed="81"/>
            <rFont val="Lucida Console"/>
            <family val="3"/>
          </rPr>
          <t>Tempo de Estoque (Meses)_x000D_
_x000D_
612,0</t>
        </r>
      </text>
    </comment>
    <comment ref="A878" authorId="0" shapeId="0" xr:uid="{802FC296-4C8C-4397-A479-0DE3094606E7}">
      <text>
        <r>
          <rPr>
            <sz val="10"/>
            <color indexed="81"/>
            <rFont val="Lucida Console"/>
            <family val="3"/>
          </rPr>
          <t>_x000D_
100907</t>
        </r>
      </text>
    </comment>
    <comment ref="B878" authorId="0" shapeId="0" xr:uid="{ADE2F879-EFC3-43CF-B98A-04E9E0204701}">
      <text>
        <r>
          <rPr>
            <sz val="10"/>
            <color indexed="81"/>
            <rFont val="Lucida Console"/>
            <family val="3"/>
          </rPr>
          <t>DESCRIÇÃO DETALHADA_x000D_
SACOLA PLASTICA P/ EMBALAGEM  - LEITOSA - 40 X 50 CM - ALÇA CAMISETA</t>
        </r>
      </text>
    </comment>
    <comment ref="W878" authorId="0" shapeId="0" xr:uid="{9B988F0C-5DA0-4A47-8EFA-91B90CF7BBA2}">
      <text>
        <r>
          <rPr>
            <sz val="10"/>
            <color indexed="81"/>
            <rFont val="Lucida Console"/>
            <family val="3"/>
          </rPr>
          <t>_x000D_
Administrativo</t>
        </r>
      </text>
    </comment>
    <comment ref="X878" authorId="0" shapeId="0" xr:uid="{64DFC6D0-5DA6-4B7C-B314-2B956B176359}">
      <text>
        <r>
          <rPr>
            <sz val="10"/>
            <color indexed="81"/>
            <rFont val="Lucida Console"/>
            <family val="3"/>
          </rPr>
          <t>_x000D_
EMBALAG., RECIP., ACESSOR., EQUIP., MATER. P/ACONDICIO</t>
        </r>
      </text>
    </comment>
    <comment ref="Y878" authorId="0" shapeId="0" xr:uid="{522339BE-D501-4906-8806-6560DE729C0F}">
      <text>
        <r>
          <rPr>
            <sz val="10"/>
            <color indexed="81"/>
            <rFont val="Lucida Console"/>
            <family val="3"/>
          </rPr>
          <t>_x000D_
SACOLAS E SACOS</t>
        </r>
      </text>
    </comment>
    <comment ref="AW878" authorId="0" shapeId="0" xr:uid="{6738D039-2F1C-4A1F-8269-65942C487760}">
      <text>
        <r>
          <rPr>
            <sz val="10"/>
            <color indexed="81"/>
            <rFont val="Lucida Console"/>
            <family val="3"/>
          </rPr>
          <t>Tempo de Estoque (Meses)_x000D_
_x000D_
121,0</t>
        </r>
      </text>
    </comment>
    <comment ref="A879" authorId="0" shapeId="0" xr:uid="{64BB77E8-A5C1-421F-9421-C9B47AA20ED8}">
      <text>
        <r>
          <rPr>
            <sz val="10"/>
            <color indexed="81"/>
            <rFont val="Lucida Console"/>
            <family val="3"/>
          </rPr>
          <t>_x000D_
89194</t>
        </r>
      </text>
    </comment>
    <comment ref="B879" authorId="0" shapeId="0" xr:uid="{7275F414-0DFD-49A8-8507-D35DF47C5A90}">
      <text>
        <r>
          <rPr>
            <sz val="10"/>
            <color indexed="81"/>
            <rFont val="Lucida Console"/>
            <family val="3"/>
          </rPr>
          <t>DESCRIÇÃO DETALHADA_x000D_
GARRAFA TERMICA DE PRESSAO, EM INOX, COM ALCA - CAPACIDADE DE 01 LITRO</t>
        </r>
      </text>
    </comment>
    <comment ref="W879" authorId="0" shapeId="0" xr:uid="{35656C2F-446A-4AC3-A633-3B0EAC24F3FD}">
      <text>
        <r>
          <rPr>
            <sz val="10"/>
            <color indexed="81"/>
            <rFont val="Lucida Console"/>
            <family val="3"/>
          </rPr>
          <t>_x000D_
Administrativo</t>
        </r>
      </text>
    </comment>
    <comment ref="X879" authorId="0" shapeId="0" xr:uid="{B814B6B0-017C-4843-89C3-1A5623062B27}">
      <text>
        <r>
          <rPr>
            <sz val="10"/>
            <color indexed="81"/>
            <rFont val="Lucida Console"/>
            <family val="3"/>
          </rPr>
          <t>_x000D_
EMBALAG., RECIP., ACESSOR., EQUIP., MATER. P/ACONDICIO</t>
        </r>
      </text>
    </comment>
    <comment ref="Y879" authorId="0" shapeId="0" xr:uid="{FB6B70C7-E1F5-4C66-96EB-C6ADB5DB8ABD}">
      <text>
        <r>
          <rPr>
            <sz val="10"/>
            <color indexed="81"/>
            <rFont val="Lucida Console"/>
            <family val="3"/>
          </rPr>
          <t>_x000D_
GARRAFAS E JARROS</t>
        </r>
      </text>
    </comment>
    <comment ref="AW879" authorId="0" shapeId="0" xr:uid="{9F2F3283-C50F-4FE8-805E-AD01DCAA0803}">
      <text>
        <r>
          <rPr>
            <sz val="10"/>
            <color indexed="81"/>
            <rFont val="Lucida Console"/>
            <family val="3"/>
          </rPr>
          <t>Tempo de Estoque (Meses)_x000D_
_x000D_
500,0</t>
        </r>
      </text>
    </comment>
    <comment ref="A880" authorId="0" shapeId="0" xr:uid="{F844A063-4CB6-4685-BE2B-B8598F1295E6}">
      <text>
        <r>
          <rPr>
            <sz val="10"/>
            <color indexed="81"/>
            <rFont val="Lucida Console"/>
            <family val="3"/>
          </rPr>
          <t>_x000D_
121086</t>
        </r>
      </text>
    </comment>
    <comment ref="B880" authorId="0" shapeId="0" xr:uid="{8CE86F01-9DA7-48DD-A5EA-69BB28FFDF20}">
      <text>
        <r>
          <rPr>
            <sz val="10"/>
            <color indexed="81"/>
            <rFont val="Lucida Console"/>
            <family val="3"/>
          </rPr>
          <t>DESCRIÇÃO DETALHADA_x000D_
OLEO SOLUVEL BIODEGRADAVEL PARA CORTE DE METAIS - GALAO DE 5 LITROS</t>
        </r>
      </text>
    </comment>
    <comment ref="W880" authorId="0" shapeId="0" xr:uid="{219870BF-462E-4D7E-B1CA-41A9D0ABAFC6}">
      <text>
        <r>
          <rPr>
            <sz val="10"/>
            <color indexed="81"/>
            <rFont val="Lucida Console"/>
            <family val="3"/>
          </rPr>
          <t>_x000D_
DM-Jardinagem</t>
        </r>
      </text>
    </comment>
    <comment ref="X880" authorId="0" shapeId="0" xr:uid="{CD12F773-DF55-4BB2-BF06-03D6BA89E826}">
      <text>
        <r>
          <rPr>
            <sz val="10"/>
            <color indexed="81"/>
            <rFont val="Lucida Console"/>
            <family val="3"/>
          </rPr>
          <t>_x000D_
COMBUST.,LUBRIF.,OLEOS,GRAXAS,GAS</t>
        </r>
      </text>
    </comment>
    <comment ref="Y880" authorId="0" shapeId="0" xr:uid="{CA61A28B-1575-4CD9-821D-4DAB405F4719}">
      <text>
        <r>
          <rPr>
            <sz val="10"/>
            <color indexed="81"/>
            <rFont val="Lucida Console"/>
            <family val="3"/>
          </rPr>
          <t>_x000D_
OLEOS LUBRIF.,GRAXAS,CORTANTES,FLUIDOS HIDRAULICOS</t>
        </r>
      </text>
    </comment>
    <comment ref="AW880" authorId="0" shapeId="0" xr:uid="{F3B23F46-7A8A-4340-B1B4-E9F3463E68BA}">
      <text>
        <r>
          <rPr>
            <sz val="10"/>
            <color indexed="81"/>
            <rFont val="Lucida Console"/>
            <family val="3"/>
          </rPr>
          <t>Tempo de Estoque (Meses)_x000D_
_x000D_
7,0</t>
        </r>
      </text>
    </comment>
    <comment ref="A881" authorId="0" shapeId="0" xr:uid="{5E97F65E-8EB7-4304-AB4F-8AC03B637A08}">
      <text>
        <r>
          <rPr>
            <sz val="10"/>
            <color indexed="81"/>
            <rFont val="Lucida Console"/>
            <family val="3"/>
          </rPr>
          <t>_x000D_
141608</t>
        </r>
      </text>
    </comment>
    <comment ref="B881" authorId="0" shapeId="0" xr:uid="{133AD0FB-C5B2-483C-AC21-C6082B329EAB}">
      <text>
        <r>
          <rPr>
            <sz val="10"/>
            <color indexed="81"/>
            <rFont val="Lucida Console"/>
            <family val="3"/>
          </rPr>
          <t>DESCRIÇÃO DETALHADA_x000D_
TINTA ACRILICA PISO, LINHA PREMIUM, COR BRANCO - LATA COM 18 LITROS</t>
        </r>
      </text>
    </comment>
    <comment ref="W881" authorId="0" shapeId="0" xr:uid="{DCD3CF52-523A-4046-AC4D-159D0E8E7A35}">
      <text>
        <r>
          <rPr>
            <sz val="10"/>
            <color indexed="81"/>
            <rFont val="Lucida Console"/>
            <family val="3"/>
          </rPr>
          <t>_x000D_
DM-Pintura</t>
        </r>
      </text>
    </comment>
    <comment ref="X881" authorId="0" shapeId="0" xr:uid="{D04ADD2B-4E4F-4506-8536-A201E8183701}">
      <text>
        <r>
          <rPr>
            <sz val="10"/>
            <color indexed="81"/>
            <rFont val="Lucida Console"/>
            <family val="3"/>
          </rPr>
          <t>_x000D_
EQUIP. E MATERIAIS P/PINTURAS E IMPERMEABILIZACAO</t>
        </r>
      </text>
    </comment>
    <comment ref="Y881" authorId="0" shapeId="0" xr:uid="{8B9931CF-9344-4379-9C66-EB90E68FFB48}">
      <text>
        <r>
          <rPr>
            <sz val="10"/>
            <color indexed="81"/>
            <rFont val="Lucida Console"/>
            <family val="3"/>
          </rPr>
          <t>_x000D_
TINTAS DIVERSAS</t>
        </r>
      </text>
    </comment>
    <comment ref="AW881" authorId="0" shapeId="0" xr:uid="{EBCF2CE1-146A-4E64-8AD3-602482F6FBB3}">
      <text>
        <r>
          <rPr>
            <sz val="10"/>
            <color indexed="81"/>
            <rFont val="Lucida Console"/>
            <family val="3"/>
          </rPr>
          <t>Tempo de Estoque (Meses)_x000D_
_x000D_
80,0</t>
        </r>
      </text>
    </comment>
    <comment ref="A882" authorId="0" shapeId="0" xr:uid="{0C8F5C77-1E35-42E5-9888-9B960C4276D9}">
      <text>
        <r>
          <rPr>
            <sz val="10"/>
            <color indexed="81"/>
            <rFont val="Lucida Console"/>
            <family val="3"/>
          </rPr>
          <t>_x000D_
55836</t>
        </r>
      </text>
    </comment>
    <comment ref="B882" authorId="0" shapeId="0" xr:uid="{6245C0B9-6E74-4CDF-8C9B-19A348A02DD7}">
      <text>
        <r>
          <rPr>
            <sz val="10"/>
            <color indexed="81"/>
            <rFont val="Lucida Console"/>
            <family val="3"/>
          </rPr>
          <t>DESCRIÇÃO DETALHADA_x000D_
PONTEIRA DE BORRACHA - DIAMETRO INTERNO 7/8"</t>
        </r>
      </text>
    </comment>
    <comment ref="W882" authorId="0" shapeId="0" xr:uid="{8EA2F005-5820-4EAA-8CA3-8CACF1CEE002}">
      <text>
        <r>
          <rPr>
            <sz val="10"/>
            <color indexed="81"/>
            <rFont val="Lucida Console"/>
            <family val="3"/>
          </rPr>
          <t>_x000D_
DM-Marcenaria</t>
        </r>
      </text>
    </comment>
    <comment ref="X882" authorId="0" shapeId="0" xr:uid="{B73A3C06-DA3E-42B6-B94B-FDFF3E225F16}">
      <text>
        <r>
          <rPr>
            <sz val="10"/>
            <color indexed="81"/>
            <rFont val="Lucida Console"/>
            <family val="3"/>
          </rPr>
          <t>_x000D_
MOBILIARIO E COFRE</t>
        </r>
      </text>
    </comment>
    <comment ref="Y882" authorId="0" shapeId="0" xr:uid="{2727A76A-9C2D-4C72-A512-B75E168EB99E}">
      <text>
        <r>
          <rPr>
            <sz val="10"/>
            <color indexed="81"/>
            <rFont val="Lucida Console"/>
            <family val="3"/>
          </rPr>
          <t>_x000D_
ACESSORIOS</t>
        </r>
      </text>
    </comment>
    <comment ref="AW882" authorId="0" shapeId="0" xr:uid="{01FAA29C-1AE9-4D26-9846-92008F2EB7F2}">
      <text>
        <r>
          <rPr>
            <sz val="10"/>
            <color indexed="81"/>
            <rFont val="Lucida Console"/>
            <family val="3"/>
          </rPr>
          <t>Tempo de Estoque (Meses)_x000D_
_x000D_
9.108,0</t>
        </r>
      </text>
    </comment>
    <comment ref="A883" authorId="0" shapeId="0" xr:uid="{EB1A1448-4893-4009-AF78-97E674756F7D}">
      <text>
        <r>
          <rPr>
            <sz val="10"/>
            <color indexed="81"/>
            <rFont val="Lucida Console"/>
            <family val="3"/>
          </rPr>
          <t>_x000D_
64646</t>
        </r>
      </text>
    </comment>
    <comment ref="B883" authorId="0" shapeId="0" xr:uid="{E0DAD072-5C21-4D6D-A0A7-E5591685917F}">
      <text>
        <r>
          <rPr>
            <sz val="10"/>
            <color indexed="81"/>
            <rFont val="Lucida Console"/>
            <family val="3"/>
          </rPr>
          <t>DESCRIÇÃO DETALHADA_x000D_
SAPATA REGULAVEL PARA MOVEIS, COM BUCHA 1/4 X 25 MM</t>
        </r>
      </text>
    </comment>
    <comment ref="W883" authorId="0" shapeId="0" xr:uid="{30A239A8-08A4-4E35-A86D-158EBAEA24AD}">
      <text>
        <r>
          <rPr>
            <sz val="10"/>
            <color indexed="81"/>
            <rFont val="Lucida Console"/>
            <family val="3"/>
          </rPr>
          <t>_x000D_
DM-Marcenaria</t>
        </r>
      </text>
    </comment>
    <comment ref="X883" authorId="0" shapeId="0" xr:uid="{DA38999E-0D76-40C9-941C-660DAC26379D}">
      <text>
        <r>
          <rPr>
            <sz val="10"/>
            <color indexed="81"/>
            <rFont val="Lucida Console"/>
            <family val="3"/>
          </rPr>
          <t>_x000D_
MOBILIARIO E COFRE</t>
        </r>
      </text>
    </comment>
    <comment ref="Y883" authorId="0" shapeId="0" xr:uid="{56FD2F24-78A3-4370-AD5B-50259D2EB4D7}">
      <text>
        <r>
          <rPr>
            <sz val="10"/>
            <color indexed="81"/>
            <rFont val="Lucida Console"/>
            <family val="3"/>
          </rPr>
          <t>_x000D_
ACESSORIOS</t>
        </r>
      </text>
    </comment>
    <comment ref="AW883" authorId="0" shapeId="0" xr:uid="{B45EFD38-99E9-4538-823B-ABF1BFFF0B60}">
      <text>
        <r>
          <rPr>
            <sz val="10"/>
            <color indexed="81"/>
            <rFont val="Lucida Console"/>
            <family val="3"/>
          </rPr>
          <t>Tempo de Estoque (Meses)_x000D_
_x000D_
1.080,0</t>
        </r>
      </text>
    </comment>
    <comment ref="A884" authorId="0" shapeId="0" xr:uid="{7F6DB367-B6C6-42C1-B1C5-5783A1B7287C}">
      <text>
        <r>
          <rPr>
            <sz val="10"/>
            <color indexed="81"/>
            <rFont val="Lucida Console"/>
            <family val="3"/>
          </rPr>
          <t>_x000D_
78055</t>
        </r>
      </text>
    </comment>
    <comment ref="B884" authorId="0" shapeId="0" xr:uid="{59A36387-336E-4E23-B18A-193FAB7DAC1A}">
      <text>
        <r>
          <rPr>
            <sz val="10"/>
            <color indexed="81"/>
            <rFont val="Lucida Console"/>
            <family val="3"/>
          </rPr>
          <t>DESCRIÇÃO DETALHADA_x000D_
CORREDICA TELESCOPICA, PARA GAVETA, FZ 405 MM - 45 KG</t>
        </r>
      </text>
    </comment>
    <comment ref="W884" authorId="0" shapeId="0" xr:uid="{9169658A-267E-4ED4-9F03-13A5F9CC2269}">
      <text>
        <r>
          <rPr>
            <sz val="10"/>
            <color indexed="81"/>
            <rFont val="Lucida Console"/>
            <family val="3"/>
          </rPr>
          <t>_x000D_
DM-Marcenaria</t>
        </r>
      </text>
    </comment>
    <comment ref="X884" authorId="0" shapeId="0" xr:uid="{0C552D0E-805B-4EFD-82E7-57B481A57E26}">
      <text>
        <r>
          <rPr>
            <sz val="10"/>
            <color indexed="81"/>
            <rFont val="Lucida Console"/>
            <family val="3"/>
          </rPr>
          <t>_x000D_
MOBILIARIO E COFRE</t>
        </r>
      </text>
    </comment>
    <comment ref="Y884" authorId="0" shapeId="0" xr:uid="{6583989F-E322-4FC3-9208-7C7845A3F23A}">
      <text>
        <r>
          <rPr>
            <sz val="10"/>
            <color indexed="81"/>
            <rFont val="Lucida Console"/>
            <family val="3"/>
          </rPr>
          <t>_x000D_
ACESSORIOS</t>
        </r>
      </text>
    </comment>
    <comment ref="AW884" authorId="0" shapeId="0" xr:uid="{E2502CF2-FD7B-4202-81FD-0F0E150AF65D}">
      <text>
        <r>
          <rPr>
            <sz val="10"/>
            <color indexed="81"/>
            <rFont val="Lucida Console"/>
            <family val="3"/>
          </rPr>
          <t>Tempo de Estoque (Meses)_x000D_
_x000D_
50,0</t>
        </r>
      </text>
    </comment>
    <comment ref="A885" authorId="0" shapeId="0" xr:uid="{5B4A5F9F-5BF9-416C-96CD-5596C3358299}">
      <text>
        <r>
          <rPr>
            <sz val="10"/>
            <color indexed="81"/>
            <rFont val="Lucida Console"/>
            <family val="3"/>
          </rPr>
          <t>_x000D_
78057</t>
        </r>
      </text>
    </comment>
    <comment ref="B885" authorId="0" shapeId="0" xr:uid="{13108C5A-DFA7-45E6-BC2F-29A3FF252C85}">
      <text>
        <r>
          <rPr>
            <sz val="10"/>
            <color indexed="81"/>
            <rFont val="Lucida Console"/>
            <family val="3"/>
          </rPr>
          <t>DESCRIÇÃO DETALHADA_x000D_
SUPORTE TUBINHO BRANCO, COM PARAFUSO (APOIO DE PRATELEIRA) - EMBALAGEM COM 100 UNIDADES</t>
        </r>
      </text>
    </comment>
    <comment ref="W885" authorId="0" shapeId="0" xr:uid="{BC29D546-CF28-48BD-AEAC-339B15E03308}">
      <text>
        <r>
          <rPr>
            <sz val="10"/>
            <color indexed="81"/>
            <rFont val="Lucida Console"/>
            <family val="3"/>
          </rPr>
          <t>_x000D_
DM-Marcenaria</t>
        </r>
      </text>
    </comment>
    <comment ref="X885" authorId="0" shapeId="0" xr:uid="{AE2DA53A-EB71-4D08-8506-3C586F7347F3}">
      <text>
        <r>
          <rPr>
            <sz val="10"/>
            <color indexed="81"/>
            <rFont val="Lucida Console"/>
            <family val="3"/>
          </rPr>
          <t>_x000D_
MOBILIARIO E COFRE</t>
        </r>
      </text>
    </comment>
    <comment ref="Y885" authorId="0" shapeId="0" xr:uid="{589135BA-6A82-4696-8989-726D73EB0495}">
      <text>
        <r>
          <rPr>
            <sz val="10"/>
            <color indexed="81"/>
            <rFont val="Lucida Console"/>
            <family val="3"/>
          </rPr>
          <t>_x000D_
ACESSORIOS</t>
        </r>
      </text>
    </comment>
    <comment ref="AW885" authorId="0" shapeId="0" xr:uid="{E293E577-4154-4AE1-B9FE-6A3A3F75C7DE}">
      <text>
        <r>
          <rPr>
            <sz val="10"/>
            <color indexed="81"/>
            <rFont val="Lucida Console"/>
            <family val="3"/>
          </rPr>
          <t>Tempo de Estoque (Meses)_x000D_
_x000D_
150,0</t>
        </r>
      </text>
    </comment>
    <comment ref="A886" authorId="0" shapeId="0" xr:uid="{2D65F6C5-3F5A-422D-962F-A19BBD19D38C}">
      <text>
        <r>
          <rPr>
            <sz val="10"/>
            <color indexed="81"/>
            <rFont val="Lucida Console"/>
            <family val="3"/>
          </rPr>
          <t>_x000D_
107926</t>
        </r>
      </text>
    </comment>
    <comment ref="B886" authorId="0" shapeId="0" xr:uid="{3D8F7AC2-12C8-4B5B-83C5-682A809161F6}">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6" authorId="0" shapeId="0" xr:uid="{74DE866D-8074-47EE-A6FF-0891C7D89879}">
      <text>
        <r>
          <rPr>
            <sz val="10"/>
            <color indexed="81"/>
            <rFont val="Lucida Console"/>
            <family val="3"/>
          </rPr>
          <t>_x000D_
DM-Marcenaria</t>
        </r>
      </text>
    </comment>
    <comment ref="X886" authorId="0" shapeId="0" xr:uid="{539A2436-0B44-42E0-9530-11C8556DE330}">
      <text>
        <r>
          <rPr>
            <sz val="10"/>
            <color indexed="81"/>
            <rFont val="Lucida Console"/>
            <family val="3"/>
          </rPr>
          <t>_x000D_
MOBILIARIO E COFRE</t>
        </r>
      </text>
    </comment>
    <comment ref="Y886" authorId="0" shapeId="0" xr:uid="{36B345B7-E15C-4433-A592-6DE080BE2CAA}">
      <text>
        <r>
          <rPr>
            <sz val="10"/>
            <color indexed="81"/>
            <rFont val="Lucida Console"/>
            <family val="3"/>
          </rPr>
          <t>_x000D_
ACESSORIOS</t>
        </r>
      </text>
    </comment>
    <comment ref="AW886" authorId="0" shapeId="0" xr:uid="{3AC0AD95-CA59-4CD6-B778-4F417B64AA65}">
      <text>
        <r>
          <rPr>
            <sz val="10"/>
            <color indexed="81"/>
            <rFont val="Lucida Console"/>
            <family val="3"/>
          </rPr>
          <t>Tempo de Estoque (Meses)_x000D_
_x000D_
5.424,0</t>
        </r>
      </text>
    </comment>
    <comment ref="A887" authorId="0" shapeId="0" xr:uid="{A2DBEE75-99BE-4B00-A337-AB26A42115CD}">
      <text>
        <r>
          <rPr>
            <sz val="10"/>
            <color indexed="81"/>
            <rFont val="Lucida Console"/>
            <family val="3"/>
          </rPr>
          <t>_x000D_
126837</t>
        </r>
      </text>
    </comment>
    <comment ref="B887" authorId="0" shapeId="0" xr:uid="{9CD24760-E0AD-412E-93B9-0C9F4FF248C8}">
      <text>
        <r>
          <rPr>
            <sz val="10"/>
            <color indexed="81"/>
            <rFont val="Lucida Console"/>
            <family val="3"/>
          </rPr>
          <t>DESCRIÇÃO DETALHADA_x000D_
PE CONICO EM FERRO CROMADO DE 15 CM, REGULAVEL E COM SAPATA.</t>
        </r>
      </text>
    </comment>
    <comment ref="W887" authorId="0" shapeId="0" xr:uid="{051ECE93-8FD8-4543-A005-6D4BDF13855E}">
      <text>
        <r>
          <rPr>
            <sz val="10"/>
            <color indexed="81"/>
            <rFont val="Lucida Console"/>
            <family val="3"/>
          </rPr>
          <t>_x000D_
DM-Marcenaria</t>
        </r>
      </text>
    </comment>
    <comment ref="X887" authorId="0" shapeId="0" xr:uid="{862BFD18-D967-41A8-970A-BA81DF6EB1D4}">
      <text>
        <r>
          <rPr>
            <sz val="10"/>
            <color indexed="81"/>
            <rFont val="Lucida Console"/>
            <family val="3"/>
          </rPr>
          <t>_x000D_
MOBILIARIO E COFRE</t>
        </r>
      </text>
    </comment>
    <comment ref="Y887" authorId="0" shapeId="0" xr:uid="{AE177E95-E8FE-4D25-81AA-DC5A68C59F75}">
      <text>
        <r>
          <rPr>
            <sz val="10"/>
            <color indexed="81"/>
            <rFont val="Lucida Console"/>
            <family val="3"/>
          </rPr>
          <t>_x000D_
ACESSORIOS</t>
        </r>
      </text>
    </comment>
    <comment ref="AW887" authorId="0" shapeId="0" xr:uid="{87602AFC-47F7-45A8-AF73-493352992058}">
      <text>
        <r>
          <rPr>
            <sz val="10"/>
            <color indexed="81"/>
            <rFont val="Lucida Console"/>
            <family val="3"/>
          </rPr>
          <t>Tempo de Estoque (Meses)_x000D_
_x000D_
3.519,0</t>
        </r>
      </text>
    </comment>
    <comment ref="A888" authorId="0" shapeId="0" xr:uid="{7DD06C28-317A-4584-9E63-8996ADB534B0}">
      <text>
        <r>
          <rPr>
            <sz val="10"/>
            <color indexed="81"/>
            <rFont val="Lucida Console"/>
            <family val="3"/>
          </rPr>
          <t>_x000D_
128782</t>
        </r>
      </text>
    </comment>
    <comment ref="B888" authorId="0" shapeId="0" xr:uid="{66204E7C-10F4-4157-83F0-A7E8DE0D20E6}">
      <text>
        <r>
          <rPr>
            <sz val="10"/>
            <color indexed="81"/>
            <rFont val="Lucida Console"/>
            <family val="3"/>
          </rPr>
          <t>DESCRIÇÃO DETALHADA_x000D_
FITA DE BORDO EM PVC, COR BRANCA FOSCA, MEDIDAS 35 X 0,45MM, ROLO COM 300 METROS</t>
        </r>
      </text>
    </comment>
    <comment ref="W888" authorId="0" shapeId="0" xr:uid="{F7CD712B-8EA2-4E75-A097-74B2535DAF76}">
      <text>
        <r>
          <rPr>
            <sz val="10"/>
            <color indexed="81"/>
            <rFont val="Lucida Console"/>
            <family val="3"/>
          </rPr>
          <t>_x000D_
DM-Marcenaria</t>
        </r>
      </text>
    </comment>
    <comment ref="X888" authorId="0" shapeId="0" xr:uid="{E41940FC-0DB2-49B2-B625-F2FAF4955E37}">
      <text>
        <r>
          <rPr>
            <sz val="10"/>
            <color indexed="81"/>
            <rFont val="Lucida Console"/>
            <family val="3"/>
          </rPr>
          <t>_x000D_
MOBILIARIO E COFRE</t>
        </r>
      </text>
    </comment>
    <comment ref="Y888" authorId="0" shapeId="0" xr:uid="{783FF5C1-D693-4EAC-9281-202E663A0763}">
      <text>
        <r>
          <rPr>
            <sz val="10"/>
            <color indexed="81"/>
            <rFont val="Lucida Console"/>
            <family val="3"/>
          </rPr>
          <t>_x000D_
ACESSORIOS</t>
        </r>
      </text>
    </comment>
    <comment ref="AW888" authorId="0" shapeId="0" xr:uid="{B7167B11-3724-4113-A9A5-DD9BA7CCCAE4}">
      <text>
        <r>
          <rPr>
            <sz val="10"/>
            <color indexed="81"/>
            <rFont val="Lucida Console"/>
            <family val="3"/>
          </rPr>
          <t>Tempo de Estoque (Meses)_x000D_
_x000D_
97,0</t>
        </r>
      </text>
    </comment>
    <comment ref="A889" authorId="0" shapeId="0" xr:uid="{F0EB5691-7443-404B-BFAA-191C420E6D2C}">
      <text>
        <r>
          <rPr>
            <sz val="10"/>
            <color indexed="81"/>
            <rFont val="Lucida Console"/>
            <family val="3"/>
          </rPr>
          <t>_x000D_
130618</t>
        </r>
      </text>
    </comment>
    <comment ref="B889" authorId="0" shapeId="0" xr:uid="{E185BB32-33F6-450A-A58D-ADA3A4FF0690}">
      <text>
        <r>
          <rPr>
            <sz val="10"/>
            <color indexed="81"/>
            <rFont val="Lucida Console"/>
            <family val="3"/>
          </rPr>
          <t>DESCRIÇÃO DETALHADA_x000D_
FITA DE BORDA CARVALHO PRATA 35 X 0,45 X 20 M</t>
        </r>
      </text>
    </comment>
    <comment ref="W889" authorId="0" shapeId="0" xr:uid="{BF0DCEB7-F736-4875-A905-5406298D360F}">
      <text>
        <r>
          <rPr>
            <sz val="10"/>
            <color indexed="81"/>
            <rFont val="Lucida Console"/>
            <family val="3"/>
          </rPr>
          <t>_x000D_
DM-Marcenaria</t>
        </r>
      </text>
    </comment>
    <comment ref="X889" authorId="0" shapeId="0" xr:uid="{87E767AC-EE59-44DB-9521-C7CECA3E5E82}">
      <text>
        <r>
          <rPr>
            <sz val="10"/>
            <color indexed="81"/>
            <rFont val="Lucida Console"/>
            <family val="3"/>
          </rPr>
          <t>_x000D_
MOBILIARIO E COFRE</t>
        </r>
      </text>
    </comment>
    <comment ref="Y889" authorId="0" shapeId="0" xr:uid="{008152CD-26AB-497A-B26D-055733E8F6CE}">
      <text>
        <r>
          <rPr>
            <sz val="10"/>
            <color indexed="81"/>
            <rFont val="Lucida Console"/>
            <family val="3"/>
          </rPr>
          <t>_x000D_
ACESSORIOS</t>
        </r>
      </text>
    </comment>
    <comment ref="AW889" authorId="0" shapeId="0" xr:uid="{D8364701-1B29-4348-85C9-98E2B91A009D}">
      <text>
        <r>
          <rPr>
            <sz val="10"/>
            <color indexed="81"/>
            <rFont val="Lucida Console"/>
            <family val="3"/>
          </rPr>
          <t>Tempo de Estoque (Meses)_x000D_
_x000D_
30,0</t>
        </r>
      </text>
    </comment>
    <comment ref="A890" authorId="0" shapeId="0" xr:uid="{A9F35AFC-3895-474A-9BE5-375EF34B8A72}">
      <text>
        <r>
          <rPr>
            <sz val="10"/>
            <color indexed="81"/>
            <rFont val="Lucida Console"/>
            <family val="3"/>
          </rPr>
          <t>_x000D_
134569</t>
        </r>
      </text>
    </comment>
    <comment ref="B890" authorId="0" shapeId="0" xr:uid="{1E943AC8-4745-4391-8AE8-680B00E90F10}">
      <text>
        <r>
          <rPr>
            <sz val="10"/>
            <color indexed="81"/>
            <rFont val="Lucida Console"/>
            <family val="3"/>
          </rPr>
          <t>DESCRIÇÃO DETALHADA_x000D_
CORREDICA TELESCOPICA ZINCADA PARA GAVETA FZ 500 MM - COM CAPACIDADE PARA 35 KG</t>
        </r>
      </text>
    </comment>
    <comment ref="W890" authorId="0" shapeId="0" xr:uid="{FA3392EA-F5A1-42F6-A1DF-01BEB1702219}">
      <text>
        <r>
          <rPr>
            <sz val="10"/>
            <color indexed="81"/>
            <rFont val="Lucida Console"/>
            <family val="3"/>
          </rPr>
          <t>_x000D_
DM-Marcenaria</t>
        </r>
      </text>
    </comment>
    <comment ref="X890" authorId="0" shapeId="0" xr:uid="{E9D90C86-64A9-49AE-A9A7-E239CA4A0095}">
      <text>
        <r>
          <rPr>
            <sz val="10"/>
            <color indexed="81"/>
            <rFont val="Lucida Console"/>
            <family val="3"/>
          </rPr>
          <t>_x000D_
MOBILIARIO E COFRE</t>
        </r>
      </text>
    </comment>
    <comment ref="Y890" authorId="0" shapeId="0" xr:uid="{EC2C3479-A847-4EE0-AC17-7A7BDB1329A0}">
      <text>
        <r>
          <rPr>
            <sz val="10"/>
            <color indexed="81"/>
            <rFont val="Lucida Console"/>
            <family val="3"/>
          </rPr>
          <t>_x000D_
ACESSORIOS</t>
        </r>
      </text>
    </comment>
    <comment ref="AW890" authorId="0" shapeId="0" xr:uid="{C8557521-5E8B-490D-BE3F-DA62A0F885F3}">
      <text>
        <r>
          <rPr>
            <sz val="10"/>
            <color indexed="81"/>
            <rFont val="Lucida Console"/>
            <family val="3"/>
          </rPr>
          <t>Tempo de Estoque (Meses)_x000D_
_x000D_
100,0</t>
        </r>
      </text>
    </comment>
    <comment ref="A891" authorId="0" shapeId="0" xr:uid="{477493EB-3733-49F6-B8D4-D9667132909F}">
      <text>
        <r>
          <rPr>
            <sz val="10"/>
            <color indexed="81"/>
            <rFont val="Lucida Console"/>
            <family val="3"/>
          </rPr>
          <t>_x000D_
138528</t>
        </r>
      </text>
    </comment>
    <comment ref="B891" authorId="0" shapeId="0" xr:uid="{EB03B0B8-95DB-4039-A115-74D3ECE5C648}">
      <text>
        <r>
          <rPr>
            <sz val="10"/>
            <color indexed="81"/>
            <rFont val="Lucida Console"/>
            <family val="3"/>
          </rPr>
          <t>DESCRIÇÃO DETALHADA_x000D_
TAMPO REDONDO PARA MESA, COM 1,10 M (VARIACAO +/- 0,05 M) DE DIAMETRO, EM MDF BRANCO TX 18 MM, ACABAMENTO NAS LATERIAIS COM FITA DE BORDA BRANCA.</t>
        </r>
      </text>
    </comment>
    <comment ref="W891" authorId="0" shapeId="0" xr:uid="{8E3EEDFD-964A-483E-B4D9-58CF1DDFE74A}">
      <text>
        <r>
          <rPr>
            <sz val="10"/>
            <color indexed="81"/>
            <rFont val="Lucida Console"/>
            <family val="3"/>
          </rPr>
          <t>_x000D_
DM-Marcenaria</t>
        </r>
      </text>
    </comment>
    <comment ref="X891" authorId="0" shapeId="0" xr:uid="{711D39D8-680E-471D-BC5E-B35E5AA1907A}">
      <text>
        <r>
          <rPr>
            <sz val="10"/>
            <color indexed="81"/>
            <rFont val="Lucida Console"/>
            <family val="3"/>
          </rPr>
          <t>_x000D_
MOBILIARIO E COFRE</t>
        </r>
      </text>
    </comment>
    <comment ref="Y891" authorId="0" shapeId="0" xr:uid="{71BFA810-1C12-459A-B371-1A55CB542F32}">
      <text>
        <r>
          <rPr>
            <sz val="10"/>
            <color indexed="81"/>
            <rFont val="Lucida Console"/>
            <family val="3"/>
          </rPr>
          <t>_x000D_
MESA P/ESCRITORIO</t>
        </r>
      </text>
    </comment>
    <comment ref="AW891" authorId="0" shapeId="0" xr:uid="{FEA5712D-E3C1-4622-B3B3-CEFCCABC68E3}">
      <text>
        <r>
          <rPr>
            <sz val="10"/>
            <color indexed="81"/>
            <rFont val="Lucida Console"/>
            <family val="3"/>
          </rPr>
          <t>Tempo de Estoque (Meses)_x000D_
_x000D_
29,0</t>
        </r>
      </text>
    </comment>
    <comment ref="A892" authorId="0" shapeId="0" xr:uid="{F03C0EBD-10E0-4F3E-87D3-C06DA2A65DA4}">
      <text>
        <r>
          <rPr>
            <sz val="10"/>
            <color indexed="81"/>
            <rFont val="Lucida Console"/>
            <family val="3"/>
          </rPr>
          <t>_x000D_
20167</t>
        </r>
      </text>
    </comment>
    <comment ref="B892" authorId="0" shapeId="0" xr:uid="{42C6FB26-7D25-4E9E-8D0B-39B1E07AA2E3}">
      <text>
        <r>
          <rPr>
            <sz val="10"/>
            <color indexed="81"/>
            <rFont val="Lucida Console"/>
            <family val="3"/>
          </rPr>
          <t>DESCRIÇÃO DETALHADA_x000D_
LONA PLASTICA - 4 X 100M - PRETA. ESPESSURA MINIMA 110 MICRAS.</t>
        </r>
      </text>
    </comment>
    <comment ref="W892" authorId="0" shapeId="0" xr:uid="{9082BA99-F2DA-4C3A-8DF8-5DE654ABC69F}">
      <text>
        <r>
          <rPr>
            <sz val="10"/>
            <color indexed="81"/>
            <rFont val="Lucida Console"/>
            <family val="3"/>
          </rPr>
          <t>_x000D_
DM-Geral</t>
        </r>
      </text>
    </comment>
    <comment ref="X892" authorId="0" shapeId="0" xr:uid="{F80ACB58-1352-4651-9D88-4FA621D9E58C}">
      <text>
        <r>
          <rPr>
            <sz val="10"/>
            <color indexed="81"/>
            <rFont val="Lucida Console"/>
            <family val="3"/>
          </rPr>
          <t>_x000D_
ART. DOMEST. DECO. GUARNI. DE AMBI.TECI. VEICULOS</t>
        </r>
      </text>
    </comment>
    <comment ref="Y892" authorId="0" shapeId="0" xr:uid="{E5A39329-DF65-4CB9-B9E6-E15CD77A740E}">
      <text>
        <r>
          <rPr>
            <sz val="10"/>
            <color indexed="81"/>
            <rFont val="Lucida Console"/>
            <family val="3"/>
          </rPr>
          <t>_x000D_
TECI.LONAS TOLDOS E ENCERADOS DE PLASTICO</t>
        </r>
      </text>
    </comment>
    <comment ref="AW892" authorId="0" shapeId="0" xr:uid="{5FB2E99B-DCB1-4590-9FB3-38612FF0E789}">
      <text>
        <r>
          <rPr>
            <sz val="10"/>
            <color indexed="81"/>
            <rFont val="Lucida Console"/>
            <family val="3"/>
          </rPr>
          <t>Tempo de Estoque (Meses)_x000D_
_x000D_
15,0</t>
        </r>
      </text>
    </comment>
    <comment ref="A893" authorId="0" shapeId="0" xr:uid="{0970981E-3F00-4347-8029-293ABCEE6745}">
      <text>
        <r>
          <rPr>
            <sz val="10"/>
            <color indexed="81"/>
            <rFont val="Lucida Console"/>
            <family val="3"/>
          </rPr>
          <t>_x000D_
24219</t>
        </r>
      </text>
    </comment>
    <comment ref="B893" authorId="0" shapeId="0" xr:uid="{B414FF79-EBFF-4BC2-A9BD-40F09AE5A788}">
      <text>
        <r>
          <rPr>
            <sz val="10"/>
            <color indexed="81"/>
            <rFont val="Lucida Console"/>
            <family val="3"/>
          </rPr>
          <t>DESCRIÇÃO DETALHADA_x000D_
CAPACHO DE FIBRA DE COCO - 0,40 X 0,60 M</t>
        </r>
      </text>
    </comment>
    <comment ref="W893" authorId="0" shapeId="0" xr:uid="{28B6DFC6-F30C-4412-99B3-704A5479E846}">
      <text>
        <r>
          <rPr>
            <sz val="10"/>
            <color indexed="81"/>
            <rFont val="Lucida Console"/>
            <family val="3"/>
          </rPr>
          <t>_x000D_
Administrativo</t>
        </r>
      </text>
    </comment>
    <comment ref="X893" authorId="0" shapeId="0" xr:uid="{75A81D09-C70A-4194-BB8D-BFEC3B5887FC}">
      <text>
        <r>
          <rPr>
            <sz val="10"/>
            <color indexed="81"/>
            <rFont val="Lucida Console"/>
            <family val="3"/>
          </rPr>
          <t>_x000D_
ART. DOMEST. DECO. GUARNI. DE AMBI.TECI. VEICULOS</t>
        </r>
      </text>
    </comment>
    <comment ref="Y893" authorId="0" shapeId="0" xr:uid="{292A7DEC-B58A-4159-8807-C794BDEB2F24}">
      <text>
        <r>
          <rPr>
            <sz val="10"/>
            <color indexed="81"/>
            <rFont val="Lucida Console"/>
            <family val="3"/>
          </rPr>
          <t>_x000D_
ARTIGOS DE DECORACAO DE AMBIENTE</t>
        </r>
      </text>
    </comment>
    <comment ref="AW893" authorId="0" shapeId="0" xr:uid="{BAC26200-3772-4433-8D74-4A906A323DAC}">
      <text>
        <r>
          <rPr>
            <sz val="10"/>
            <color indexed="81"/>
            <rFont val="Lucida Console"/>
            <family val="3"/>
          </rPr>
          <t>Tempo de Estoque (Meses)_x000D_
_x000D_
474,0</t>
        </r>
      </text>
    </comment>
    <comment ref="A894" authorId="0" shapeId="0" xr:uid="{AE971BAC-5166-4351-8762-FEF6C4E5EC2F}">
      <text>
        <r>
          <rPr>
            <sz val="10"/>
            <color indexed="81"/>
            <rFont val="Lucida Console"/>
            <family val="3"/>
          </rPr>
          <t>_x000D_
120615</t>
        </r>
      </text>
    </comment>
    <comment ref="B894" authorId="0" shapeId="0" xr:uid="{F249C4FC-0D70-4C9D-B062-8FA99E71F362}">
      <text>
        <r>
          <rPr>
            <sz val="10"/>
            <color indexed="81"/>
            <rFont val="Lucida Console"/>
            <family val="3"/>
          </rPr>
          <t>DESCRIÇÃO DETALHADA_x000D_
GUARNICAO PARA POLICARBONATO, REFERENCIA "GUA-030", CONFECCIONADA EM EPDM - MEDIDAS: 12,0 X 6,5 X  4,8 X 2,5 MM (VARIACAO: 0,5 MM)</t>
        </r>
      </text>
    </comment>
    <comment ref="W894" authorId="0" shapeId="0" xr:uid="{E017DACE-7C45-4AA0-AC9E-9F1C277B4464}">
      <text>
        <r>
          <rPr>
            <sz val="10"/>
            <color indexed="81"/>
            <rFont val="Lucida Console"/>
            <family val="3"/>
          </rPr>
          <t>_x000D_
DM-Serralheria</t>
        </r>
      </text>
    </comment>
    <comment ref="X894" authorId="0" shapeId="0" xr:uid="{3F1BBE15-4229-4EA4-BA09-764933AAD251}">
      <text>
        <r>
          <rPr>
            <sz val="10"/>
            <color indexed="81"/>
            <rFont val="Lucida Console"/>
            <family val="3"/>
          </rPr>
          <t>_x000D_
CABOS CORRENTES CORDAS ESTICADORES E ART. BORRACHA</t>
        </r>
      </text>
    </comment>
    <comment ref="Y894" authorId="0" shapeId="0" xr:uid="{C161CC7A-1791-461B-A45A-8DE324689AEF}">
      <text>
        <r>
          <rPr>
            <sz val="10"/>
            <color indexed="81"/>
            <rFont val="Lucida Console"/>
            <family val="3"/>
          </rPr>
          <t>_x000D_
ARTEFATOS DE BORRACHA</t>
        </r>
      </text>
    </comment>
    <comment ref="AW894" authorId="0" shapeId="0" xr:uid="{E7E63173-C1C5-4407-912A-3BDBFCB61B63}">
      <text>
        <r>
          <rPr>
            <sz val="10"/>
            <color indexed="81"/>
            <rFont val="Lucida Console"/>
            <family val="3"/>
          </rPr>
          <t>Tempo de Estoque (Meses)_x000D_
_x000D_
1.276,0</t>
        </r>
      </text>
    </comment>
    <comment ref="A895" authorId="0" shapeId="0" xr:uid="{2CCC817B-CC6F-4F7C-9998-2CEDB2CFBE5F}">
      <text>
        <r>
          <rPr>
            <sz val="10"/>
            <color indexed="81"/>
            <rFont val="Lucida Console"/>
            <family val="3"/>
          </rPr>
          <t>_x000D_
24551</t>
        </r>
      </text>
    </comment>
    <comment ref="B895" authorId="0" shapeId="0" xr:uid="{5B087DCC-DE20-4CD8-A6D5-AF9457489E3B}">
      <text>
        <r>
          <rPr>
            <sz val="10"/>
            <color indexed="81"/>
            <rFont val="Lucida Console"/>
            <family val="3"/>
          </rPr>
          <t>DESCRIÇÃO DETALHADA_x000D_
LIXA CINTA DE PANO P/ MADEIRA - MEDIDAS: 610 X 75 MM GRAMATURA 80</t>
        </r>
      </text>
    </comment>
    <comment ref="W895" authorId="0" shapeId="0" xr:uid="{B1043F9A-EE99-43CE-A489-E02DE2584608}">
      <text>
        <r>
          <rPr>
            <sz val="10"/>
            <color indexed="81"/>
            <rFont val="Lucida Console"/>
            <family val="3"/>
          </rPr>
          <t>_x000D_
DM-Marcenaria</t>
        </r>
      </text>
    </comment>
    <comment ref="X895" authorId="0" shapeId="0" xr:uid="{3988CA03-6E62-4AFA-B3F4-186D88BF42E2}">
      <text>
        <r>
          <rPr>
            <sz val="10"/>
            <color indexed="81"/>
            <rFont val="Lucida Console"/>
            <family val="3"/>
          </rPr>
          <t>_x000D_
ABRASIVOS</t>
        </r>
      </text>
    </comment>
    <comment ref="Y895" authorId="0" shapeId="0" xr:uid="{F2FBAB8C-941E-4C3E-980F-DF976F2F4FEE}">
      <text>
        <r>
          <rPr>
            <sz val="10"/>
            <color indexed="81"/>
            <rFont val="Lucida Console"/>
            <family val="3"/>
          </rPr>
          <t>_x000D_
LIXAS EM ROLO</t>
        </r>
      </text>
    </comment>
    <comment ref="AW895" authorId="0" shapeId="0" xr:uid="{05E18F38-4266-455C-9235-E3D69CADE479}">
      <text>
        <r>
          <rPr>
            <sz val="10"/>
            <color indexed="81"/>
            <rFont val="Lucida Console"/>
            <family val="3"/>
          </rPr>
          <t>Tempo de Estoque (Meses)_x000D_
_x000D_
150,0</t>
        </r>
      </text>
    </comment>
    <comment ref="A896" authorId="0" shapeId="0" xr:uid="{E2AD9C4E-E64E-46A1-9378-2FD789133625}">
      <text>
        <r>
          <rPr>
            <sz val="10"/>
            <color indexed="81"/>
            <rFont val="Lucida Console"/>
            <family val="3"/>
          </rPr>
          <t>_x000D_
60973</t>
        </r>
      </text>
    </comment>
    <comment ref="B896" authorId="0" shapeId="0" xr:uid="{1FDABE94-2B2A-49BD-A04D-A1A1941D0172}">
      <text>
        <r>
          <rPr>
            <sz val="10"/>
            <color indexed="81"/>
            <rFont val="Lucida Console"/>
            <family val="3"/>
          </rPr>
          <t>DESCRIÇÃO DETALHADA_x000D_
LIXA CINTA DE PANO P/ MADEIRA - MEDIDAS: 610 X 75 MM / GRAMATURA 40</t>
        </r>
      </text>
    </comment>
    <comment ref="W896" authorId="0" shapeId="0" xr:uid="{5D462FB7-E245-499E-8714-B0ACAC426E0A}">
      <text>
        <r>
          <rPr>
            <sz val="10"/>
            <color indexed="81"/>
            <rFont val="Lucida Console"/>
            <family val="3"/>
          </rPr>
          <t>_x000D_
DM-Marcenaria</t>
        </r>
      </text>
    </comment>
    <comment ref="X896" authorId="0" shapeId="0" xr:uid="{7C55DAFD-370B-46EE-9768-822337C17A42}">
      <text>
        <r>
          <rPr>
            <sz val="10"/>
            <color indexed="81"/>
            <rFont val="Lucida Console"/>
            <family val="3"/>
          </rPr>
          <t>_x000D_
ABRASIVOS</t>
        </r>
      </text>
    </comment>
    <comment ref="Y896" authorId="0" shapeId="0" xr:uid="{524F3DA0-B36E-41E3-BC2B-FA4954307F95}">
      <text>
        <r>
          <rPr>
            <sz val="10"/>
            <color indexed="81"/>
            <rFont val="Lucida Console"/>
            <family val="3"/>
          </rPr>
          <t>_x000D_
LIXAS EM ROLO</t>
        </r>
      </text>
    </comment>
    <comment ref="AW896" authorId="0" shapeId="0" xr:uid="{162EFF8E-6DCE-4D1E-8353-053F80E10027}">
      <text>
        <r>
          <rPr>
            <sz val="10"/>
            <color indexed="81"/>
            <rFont val="Lucida Console"/>
            <family val="3"/>
          </rPr>
          <t>Tempo de Estoque (Meses)_x000D_
_x000D_
50,0</t>
        </r>
      </text>
    </comment>
    <comment ref="A897" authorId="0" shapeId="0" xr:uid="{7B1BD972-2B10-49F3-8BC4-7D067CB617CD}">
      <text>
        <r>
          <rPr>
            <sz val="10"/>
            <color indexed="81"/>
            <rFont val="Lucida Console"/>
            <family val="3"/>
          </rPr>
          <t>_x000D_
139545</t>
        </r>
      </text>
    </comment>
    <comment ref="B897" authorId="0" shapeId="0" xr:uid="{0130E7D4-5445-411B-994F-5BE82AF5A523}">
      <text>
        <r>
          <rPr>
            <sz val="10"/>
            <color indexed="81"/>
            <rFont val="Lucida Console"/>
            <family val="3"/>
          </rPr>
          <t>DESCRIÇÃO DETALHADA_x000D_
DISCO DE DESBASTE INDUSTRIAL PARA ACO / ACO INOX, DIMENSOES: Ø 4.1/2" X 1/4" X Ø 7/8", ROTACAO: 12.250 A 13.200 RPM</t>
        </r>
      </text>
    </comment>
    <comment ref="W897" authorId="0" shapeId="0" xr:uid="{F1CD310A-E4C3-468A-B7EA-290004A269D3}">
      <text>
        <r>
          <rPr>
            <sz val="10"/>
            <color indexed="81"/>
            <rFont val="Lucida Console"/>
            <family val="3"/>
          </rPr>
          <t>_x000D_
DM-Serralheria</t>
        </r>
      </text>
    </comment>
    <comment ref="X897" authorId="0" shapeId="0" xr:uid="{CBDDD392-201A-462F-8070-17880F9D83A1}">
      <text>
        <r>
          <rPr>
            <sz val="10"/>
            <color indexed="81"/>
            <rFont val="Lucida Console"/>
            <family val="3"/>
          </rPr>
          <t>_x000D_
ABRASIVOS</t>
        </r>
      </text>
    </comment>
    <comment ref="Y897" authorId="0" shapeId="0" xr:uid="{669E5B9C-AD89-4459-ACDB-1BB5AD685BC3}">
      <text>
        <r>
          <rPr>
            <sz val="10"/>
            <color indexed="81"/>
            <rFont val="Lucida Console"/>
            <family val="3"/>
          </rPr>
          <t>_x000D_
DISCO DE FIBRA</t>
        </r>
      </text>
    </comment>
    <comment ref="AW897" authorId="0" shapeId="0" xr:uid="{E4C20481-E24F-46D2-9365-CD858D7ED9A1}">
      <text>
        <r>
          <rPr>
            <sz val="10"/>
            <color indexed="81"/>
            <rFont val="Lucida Console"/>
            <family val="3"/>
          </rPr>
          <t>Tempo de Estoque (Meses)_x000D_
_x000D_
373,0</t>
        </r>
      </text>
    </comment>
    <comment ref="A898" authorId="0" shapeId="0" xr:uid="{1B605115-0CF3-4131-B72B-CDB9379EA683}">
      <text>
        <r>
          <rPr>
            <sz val="10"/>
            <color indexed="81"/>
            <rFont val="Lucida Console"/>
            <family val="3"/>
          </rPr>
          <t>_x000D_
64634</t>
        </r>
      </text>
    </comment>
    <comment ref="B898" authorId="0" shapeId="0" xr:uid="{1C48A4E9-CADF-41FC-A645-09BFC9AD5D9B}">
      <text>
        <r>
          <rPr>
            <sz val="10"/>
            <color indexed="81"/>
            <rFont val="Lucida Console"/>
            <family val="3"/>
          </rPr>
          <t>DESCRIÇÃO DETALHADA_x000D_
DISCO DE LIXA N. 40 - 30 CM DE DIAMETRO - PARA LIXADEIRA DE BANCADA</t>
        </r>
      </text>
    </comment>
    <comment ref="W898" authorId="0" shapeId="0" xr:uid="{20E13BF4-F586-418A-A091-92BA7CE86D6E}">
      <text>
        <r>
          <rPr>
            <sz val="10"/>
            <color indexed="81"/>
            <rFont val="Lucida Console"/>
            <family val="3"/>
          </rPr>
          <t>_x000D_
DM-Serralheria</t>
        </r>
      </text>
    </comment>
    <comment ref="X898" authorId="0" shapeId="0" xr:uid="{1F295076-92AD-45B1-86C3-0BB979B9C993}">
      <text>
        <r>
          <rPr>
            <sz val="10"/>
            <color indexed="81"/>
            <rFont val="Lucida Console"/>
            <family val="3"/>
          </rPr>
          <t>_x000D_
ABRASIVOS</t>
        </r>
      </text>
    </comment>
    <comment ref="Y898" authorId="0" shapeId="0" xr:uid="{5095461C-721D-484E-9603-029C7B20C8A3}">
      <text>
        <r>
          <rPr>
            <sz val="10"/>
            <color indexed="81"/>
            <rFont val="Lucida Console"/>
            <family val="3"/>
          </rPr>
          <t>_x000D_
LIXAS EM DISCO</t>
        </r>
      </text>
    </comment>
    <comment ref="AW898" authorId="0" shapeId="0" xr:uid="{3FE877D3-A51F-4A57-8387-F5653805941E}">
      <text>
        <r>
          <rPr>
            <sz val="10"/>
            <color indexed="81"/>
            <rFont val="Lucida Console"/>
            <family val="3"/>
          </rPr>
          <t>Tempo de Estoque (Meses)_x000D_
_x000D_
89,0</t>
        </r>
      </text>
    </comment>
    <comment ref="A899" authorId="0" shapeId="0" xr:uid="{BCB8495F-4870-478E-8201-783B8CC2B341}">
      <text>
        <r>
          <rPr>
            <sz val="10"/>
            <color indexed="81"/>
            <rFont val="Lucida Console"/>
            <family val="3"/>
          </rPr>
          <t>_x000D_
126345</t>
        </r>
      </text>
    </comment>
    <comment ref="B899" authorId="0" shapeId="0" xr:uid="{D2994526-327E-4C0B-AA98-D1C3CF84B1F8}">
      <text>
        <r>
          <rPr>
            <sz val="10"/>
            <color indexed="81"/>
            <rFont val="Lucida Console"/>
            <family val="3"/>
          </rPr>
          <t>DESCRIÇÃO DETALHADA_x000D_
AGUA DESTILADA PARA BATERIA - FRASCO C/ 1 LITRO</t>
        </r>
      </text>
    </comment>
    <comment ref="W899" authorId="0" shapeId="0" xr:uid="{25856EE8-6C7F-4BF4-A398-F6F23F22D6E4}">
      <text>
        <r>
          <rPr>
            <sz val="10"/>
            <color indexed="81"/>
            <rFont val="Lucida Console"/>
            <family val="3"/>
          </rPr>
          <t>_x000D_
DM-Geral</t>
        </r>
      </text>
    </comment>
    <comment ref="X899" authorId="0" shapeId="0" xr:uid="{0ACA0C5E-2C8F-4B53-B422-21D288728B8A}">
      <text>
        <r>
          <rPr>
            <sz val="10"/>
            <color indexed="81"/>
            <rFont val="Lucida Console"/>
            <family val="3"/>
          </rPr>
          <t>_x000D_
PEC.P/ VEICULO DE USO ESPECIAL E BATERIASROLAMENTO</t>
        </r>
      </text>
    </comment>
    <comment ref="Y899" authorId="0" shapeId="0" xr:uid="{E0C4F9FD-2B99-4B4A-A149-51568812C426}">
      <text>
        <r>
          <rPr>
            <sz val="10"/>
            <color indexed="81"/>
            <rFont val="Lucida Console"/>
            <family val="3"/>
          </rPr>
          <t>_x000D_
BATERIAS, COMPONENTES E ACESSORIOS - VEICULO LEVE</t>
        </r>
      </text>
    </comment>
    <comment ref="AW899" authorId="0" shapeId="0" xr:uid="{758B83AA-34FF-4386-B0D7-04282EDF969A}">
      <text>
        <r>
          <rPr>
            <sz val="10"/>
            <color indexed="81"/>
            <rFont val="Lucida Console"/>
            <family val="3"/>
          </rPr>
          <t>Tempo de Estoque (Meses)_x000D_
_x000D_
334,0</t>
        </r>
      </text>
    </comment>
    <comment ref="A900" authorId="0" shapeId="0" xr:uid="{668A33EC-0617-4BE5-82DD-5D9958549725}">
      <text>
        <r>
          <rPr>
            <sz val="10"/>
            <color indexed="81"/>
            <rFont val="Lucida Console"/>
            <family val="3"/>
          </rPr>
          <t>_x000D_
36399</t>
        </r>
      </text>
    </comment>
    <comment ref="B900" authorId="0" shapeId="0" xr:uid="{A755AF30-DE25-4204-8A30-E6D50566CE7A}">
      <text>
        <r>
          <rPr>
            <sz val="10"/>
            <color indexed="81"/>
            <rFont val="Lucida Console"/>
            <family val="3"/>
          </rPr>
          <t>DESCRIÇÃO DETALHADA_x000D_
ROLAMENTO - 6202 - ZZ</t>
        </r>
      </text>
    </comment>
    <comment ref="W900" authorId="0" shapeId="0" xr:uid="{1DDF8BC3-D6C1-47A8-8CC0-1FA3672B7453}">
      <text>
        <r>
          <rPr>
            <sz val="10"/>
            <color indexed="81"/>
            <rFont val="Lucida Console"/>
            <family val="3"/>
          </rPr>
          <t>_x000D_
DM-Geral</t>
        </r>
      </text>
    </comment>
    <comment ref="X900" authorId="0" shapeId="0" xr:uid="{788D7101-AD13-41A7-B8A9-1304FE9FBB35}">
      <text>
        <r>
          <rPr>
            <sz val="10"/>
            <color indexed="81"/>
            <rFont val="Lucida Console"/>
            <family val="3"/>
          </rPr>
          <t>_x000D_
PEC.P/ VEICULO DE USO ESPECIAL E BATERIASROLAMENTO</t>
        </r>
      </text>
    </comment>
    <comment ref="Y900" authorId="0" shapeId="0" xr:uid="{302286F3-0CAF-48CA-BFBA-7DA0DD084BC1}">
      <text>
        <r>
          <rPr>
            <sz val="10"/>
            <color indexed="81"/>
            <rFont val="Lucida Console"/>
            <family val="3"/>
          </rPr>
          <t>_x000D_
ROLAMENTOS</t>
        </r>
      </text>
    </comment>
    <comment ref="AW900" authorId="0" shapeId="0" xr:uid="{AB8BD220-3362-4A7F-B717-17963EC301D1}">
      <text>
        <r>
          <rPr>
            <sz val="10"/>
            <color indexed="81"/>
            <rFont val="Lucida Console"/>
            <family val="3"/>
          </rPr>
          <t>Tempo de Estoque (Meses)_x000D_
_x000D_
143,0</t>
        </r>
      </text>
    </comment>
    <comment ref="A901" authorId="0" shapeId="0" xr:uid="{4FC05226-092B-4B69-B30B-C7B1F18E60F2}">
      <text>
        <r>
          <rPr>
            <sz val="10"/>
            <color indexed="81"/>
            <rFont val="Lucida Console"/>
            <family val="3"/>
          </rPr>
          <t>_x000D_
71874</t>
        </r>
      </text>
    </comment>
    <comment ref="B901" authorId="0" shapeId="0" xr:uid="{A5BBEF83-15FF-423A-826D-32735DB42BAB}">
      <text>
        <r>
          <rPr>
            <sz val="10"/>
            <color indexed="81"/>
            <rFont val="Lucida Console"/>
            <family val="3"/>
          </rPr>
          <t>DESCRIÇÃO DETALHADA_x000D_
ROLAMENTO - 6201 ZZ</t>
        </r>
      </text>
    </comment>
    <comment ref="W901" authorId="0" shapeId="0" xr:uid="{88F093F0-83D3-4D65-A76D-290898E90366}">
      <text>
        <r>
          <rPr>
            <sz val="10"/>
            <color indexed="81"/>
            <rFont val="Lucida Console"/>
            <family val="3"/>
          </rPr>
          <t>_x000D_
DM-Geral</t>
        </r>
      </text>
    </comment>
    <comment ref="X901" authorId="0" shapeId="0" xr:uid="{2795BCFE-8CE2-4BFF-B65A-2C480A933060}">
      <text>
        <r>
          <rPr>
            <sz val="10"/>
            <color indexed="81"/>
            <rFont val="Lucida Console"/>
            <family val="3"/>
          </rPr>
          <t>_x000D_
PEC.P/ VEICULO DE USO ESPECIAL E BATERIASROLAMENTO</t>
        </r>
      </text>
    </comment>
    <comment ref="Y901" authorId="0" shapeId="0" xr:uid="{D5FBA5C2-0A7F-4B42-B550-919D629CF1C1}">
      <text>
        <r>
          <rPr>
            <sz val="10"/>
            <color indexed="81"/>
            <rFont val="Lucida Console"/>
            <family val="3"/>
          </rPr>
          <t>_x000D_
ROLAMENTOS</t>
        </r>
      </text>
    </comment>
    <comment ref="AW901" authorId="0" shapeId="0" xr:uid="{13F20505-4F7E-4D71-BFE8-EEF581AAE066}">
      <text>
        <r>
          <rPr>
            <sz val="10"/>
            <color indexed="81"/>
            <rFont val="Lucida Console"/>
            <family val="3"/>
          </rPr>
          <t>Tempo de Estoque (Meses)_x000D_
_x000D_
126,0</t>
        </r>
      </text>
    </comment>
    <comment ref="A902" authorId="0" shapeId="0" xr:uid="{7F828325-3C69-4245-A2AE-10C693D5C73E}">
      <text>
        <r>
          <rPr>
            <sz val="10"/>
            <color indexed="81"/>
            <rFont val="Lucida Console"/>
            <family val="3"/>
          </rPr>
          <t>_x000D_
118244</t>
        </r>
      </text>
    </comment>
    <comment ref="B902" authorId="0" shapeId="0" xr:uid="{EB347729-BE75-48E6-B39E-439D0FCABDA5}">
      <text>
        <r>
          <rPr>
            <sz val="10"/>
            <color indexed="81"/>
            <rFont val="Lucida Console"/>
            <family val="3"/>
          </rPr>
          <t>DESCRIÇÃO DETALHADA_x000D_
ROLAMENTO 6301 - ZZ</t>
        </r>
      </text>
    </comment>
    <comment ref="W902" authorId="0" shapeId="0" xr:uid="{A9052919-87A9-4B94-AE34-8EDA3C644A5F}">
      <text>
        <r>
          <rPr>
            <sz val="10"/>
            <color indexed="81"/>
            <rFont val="Lucida Console"/>
            <family val="3"/>
          </rPr>
          <t>_x000D_
DM-Geral</t>
        </r>
      </text>
    </comment>
    <comment ref="X902" authorId="0" shapeId="0" xr:uid="{9BB11E98-0F5C-4968-AD7F-2273F842BDA5}">
      <text>
        <r>
          <rPr>
            <sz val="10"/>
            <color indexed="81"/>
            <rFont val="Lucida Console"/>
            <family val="3"/>
          </rPr>
          <t>_x000D_
PEC.P/ VEICULO DE USO ESPECIAL E BATERIASROLAMENTO</t>
        </r>
      </text>
    </comment>
    <comment ref="Y902" authorId="0" shapeId="0" xr:uid="{F2B419D4-611A-46AB-952D-CD9AC2A3CCC2}">
      <text>
        <r>
          <rPr>
            <sz val="10"/>
            <color indexed="81"/>
            <rFont val="Lucida Console"/>
            <family val="3"/>
          </rPr>
          <t>_x000D_
ROLAMENTOS</t>
        </r>
      </text>
    </comment>
    <comment ref="AW902" authorId="0" shapeId="0" xr:uid="{C4459F39-E250-4807-A20D-F1038133DF05}">
      <text>
        <r>
          <rPr>
            <sz val="10"/>
            <color indexed="81"/>
            <rFont val="Lucida Console"/>
            <family val="3"/>
          </rPr>
          <t>Tempo de Estoque (Meses)_x000D_
_x000D_
173,0</t>
        </r>
      </text>
    </comment>
    <comment ref="A903" authorId="0" shapeId="0" xr:uid="{3244860D-F687-4D4D-9E93-616DDD5357D5}">
      <text>
        <r>
          <rPr>
            <sz val="10"/>
            <color indexed="81"/>
            <rFont val="Lucida Console"/>
            <family val="3"/>
          </rPr>
          <t>_x000D_
118245</t>
        </r>
      </text>
    </comment>
    <comment ref="B903" authorId="0" shapeId="0" xr:uid="{BEC7D74D-C975-4CAA-B8F8-C758AC330C3D}">
      <text>
        <r>
          <rPr>
            <sz val="10"/>
            <color indexed="81"/>
            <rFont val="Lucida Console"/>
            <family val="3"/>
          </rPr>
          <t>DESCRIÇÃO DETALHADA_x000D_
ROLAMENTO 6302 - ZZ</t>
        </r>
      </text>
    </comment>
    <comment ref="W903" authorId="0" shapeId="0" xr:uid="{0D8C8C84-98A0-4771-B8B2-69A240B96EB4}">
      <text>
        <r>
          <rPr>
            <sz val="10"/>
            <color indexed="81"/>
            <rFont val="Lucida Console"/>
            <family val="3"/>
          </rPr>
          <t>_x000D_
DM-Geral</t>
        </r>
      </text>
    </comment>
    <comment ref="X903" authorId="0" shapeId="0" xr:uid="{77E98204-2D30-48B2-9573-B29CAAAE74A2}">
      <text>
        <r>
          <rPr>
            <sz val="10"/>
            <color indexed="81"/>
            <rFont val="Lucida Console"/>
            <family val="3"/>
          </rPr>
          <t>_x000D_
PEC.P/ VEICULO DE USO ESPECIAL E BATERIASROLAMENTO</t>
        </r>
      </text>
    </comment>
    <comment ref="Y903" authorId="0" shapeId="0" xr:uid="{8E0C1ABE-C22E-4ABC-A525-A10C1112DB71}">
      <text>
        <r>
          <rPr>
            <sz val="10"/>
            <color indexed="81"/>
            <rFont val="Lucida Console"/>
            <family val="3"/>
          </rPr>
          <t>_x000D_
ROLAMENTOS</t>
        </r>
      </text>
    </comment>
    <comment ref="AW903" authorId="0" shapeId="0" xr:uid="{F9ED9508-F199-4386-A865-C4F3B54EBF42}">
      <text>
        <r>
          <rPr>
            <sz val="10"/>
            <color indexed="81"/>
            <rFont val="Lucida Console"/>
            <family val="3"/>
          </rPr>
          <t>Tempo de Estoque (Meses)_x000D_
_x000D_
33,0</t>
        </r>
      </text>
    </comment>
    <comment ref="A904" authorId="0" shapeId="0" xr:uid="{98C3DA37-2B4A-454E-AB7A-C08677003B28}">
      <text>
        <r>
          <rPr>
            <sz val="10"/>
            <color indexed="81"/>
            <rFont val="Lucida Console"/>
            <family val="3"/>
          </rPr>
          <t>_x000D_
118246</t>
        </r>
      </text>
    </comment>
    <comment ref="B904" authorId="0" shapeId="0" xr:uid="{650C2FD0-413F-4613-ACF6-91CFF3CA18DC}">
      <text>
        <r>
          <rPr>
            <sz val="10"/>
            <color indexed="81"/>
            <rFont val="Lucida Console"/>
            <family val="3"/>
          </rPr>
          <t>DESCRIÇÃO DETALHADA_x000D_
ROLAMENTO 6000 - 2 RS</t>
        </r>
      </text>
    </comment>
    <comment ref="W904" authorId="0" shapeId="0" xr:uid="{03655316-86B2-4D1A-8086-91EBEB806897}">
      <text>
        <r>
          <rPr>
            <sz val="10"/>
            <color indexed="81"/>
            <rFont val="Lucida Console"/>
            <family val="3"/>
          </rPr>
          <t>_x000D_
DM-Geral</t>
        </r>
      </text>
    </comment>
    <comment ref="X904" authorId="0" shapeId="0" xr:uid="{5061EECF-4334-44B1-A413-F8492CFF71C2}">
      <text>
        <r>
          <rPr>
            <sz val="10"/>
            <color indexed="81"/>
            <rFont val="Lucida Console"/>
            <family val="3"/>
          </rPr>
          <t>_x000D_
PEC.P/ VEICULO DE USO ESPECIAL E BATERIASROLAMENTO</t>
        </r>
      </text>
    </comment>
    <comment ref="Y904" authorId="0" shapeId="0" xr:uid="{D255164D-ECCB-4B1C-A982-31B57BF1A211}">
      <text>
        <r>
          <rPr>
            <sz val="10"/>
            <color indexed="81"/>
            <rFont val="Lucida Console"/>
            <family val="3"/>
          </rPr>
          <t>_x000D_
ROLAMENTOS</t>
        </r>
      </text>
    </comment>
    <comment ref="AW904" authorId="0" shapeId="0" xr:uid="{87F3A226-9E87-4792-9355-8CDBD5FD5744}">
      <text>
        <r>
          <rPr>
            <sz val="10"/>
            <color indexed="81"/>
            <rFont val="Lucida Console"/>
            <family val="3"/>
          </rPr>
          <t>Tempo de Estoque (Meses)_x000D_
_x000D_
60,0</t>
        </r>
      </text>
    </comment>
    <comment ref="A905" authorId="0" shapeId="0" xr:uid="{251E5AAB-9C9F-41D0-A958-407B4D25F516}">
      <text>
        <r>
          <rPr>
            <sz val="10"/>
            <color indexed="81"/>
            <rFont val="Lucida Console"/>
            <family val="3"/>
          </rPr>
          <t>_x000D_
104755</t>
        </r>
      </text>
    </comment>
    <comment ref="B905" authorId="0" shapeId="0" xr:uid="{B8F7284C-37D8-4DA0-A6EF-08035C2A3DA1}">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5" authorId="0" shapeId="0" xr:uid="{EF187992-E0A7-4DC7-B6FA-3DB0CA091274}">
      <text>
        <r>
          <rPr>
            <sz val="10"/>
            <color indexed="81"/>
            <rFont val="Lucida Console"/>
            <family val="3"/>
          </rPr>
          <t>_x000D_
Últ estimativa : 0_x000D_
Enviada em     : 20.08.2018_x000D_
Ata - Venc     : 183/17 - 29.10.2018</t>
        </r>
      </text>
    </comment>
    <comment ref="O905" authorId="0" shapeId="0" xr:uid="{77047CB6-993B-4DE9-AEE8-4DDEEAF30A5C}">
      <text>
        <r>
          <rPr>
            <sz val="10"/>
            <color indexed="81"/>
            <rFont val="Lucida Console"/>
            <family val="3"/>
          </rPr>
          <t xml:space="preserve">_x000D_
Pertencia a ATA nº 183/17_x000D_
Estimativa de Renovação enviada em 20.08.2018 - Qtd _x000D_
</t>
        </r>
      </text>
    </comment>
    <comment ref="W905" authorId="0" shapeId="0" xr:uid="{0669F629-92B3-4176-BFE6-BE9BB2F160C4}">
      <text>
        <r>
          <rPr>
            <sz val="10"/>
            <color indexed="81"/>
            <rFont val="Lucida Console"/>
            <family val="3"/>
          </rPr>
          <t>_x000D_
Pedagógico</t>
        </r>
      </text>
    </comment>
    <comment ref="X905" authorId="0" shapeId="0" xr:uid="{D9450612-53FF-48D0-95EF-85A462ECFF95}">
      <text>
        <r>
          <rPr>
            <sz val="10"/>
            <color indexed="81"/>
            <rFont val="Lucida Console"/>
            <family val="3"/>
          </rPr>
          <t>_x000D_
MOBILIARIO E COFRE</t>
        </r>
      </text>
    </comment>
    <comment ref="Y905" authorId="0" shapeId="0" xr:uid="{2FB3944D-A35C-40E8-B9DB-716783F22B39}">
      <text>
        <r>
          <rPr>
            <sz val="10"/>
            <color indexed="81"/>
            <rFont val="Lucida Console"/>
            <family val="3"/>
          </rPr>
          <t>_x000D_
MOBILIARIO ESCOLAR</t>
        </r>
      </text>
    </comment>
    <comment ref="AW905" authorId="0" shapeId="0" xr:uid="{238A2E95-87EB-45AA-AA6B-67E520DA177C}">
      <text>
        <r>
          <rPr>
            <sz val="10"/>
            <color indexed="81"/>
            <rFont val="Lucida Console"/>
            <family val="3"/>
          </rPr>
          <t>Tempo de Estoque (Meses)_x000D_
_x000D_
60,0</t>
        </r>
      </text>
    </comment>
    <comment ref="A906" authorId="0" shapeId="0" xr:uid="{BB93D62C-E29D-4F16-8107-54B5C7E461AF}">
      <text>
        <r>
          <rPr>
            <sz val="10"/>
            <color indexed="81"/>
            <rFont val="Lucida Console"/>
            <family val="3"/>
          </rPr>
          <t>_x000D_
108440</t>
        </r>
      </text>
    </comment>
    <comment ref="B906" authorId="0" shapeId="0" xr:uid="{37938424-1F5A-42E9-8304-CCAFA06F6CA9}">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6" authorId="0" shapeId="0" xr:uid="{CE82C79D-6CF5-478D-A105-1628F936C88E}">
      <text>
        <r>
          <rPr>
            <sz val="10"/>
            <color indexed="81"/>
            <rFont val="Lucida Console"/>
            <family val="3"/>
          </rPr>
          <t xml:space="preserve">_x000D_
Últ estimativa : 100_x000D_
Enviada em     : 25.09.2019_x000D_
Ata - Venc     : /-2000 - </t>
        </r>
      </text>
    </comment>
    <comment ref="O906" authorId="0" shapeId="0" xr:uid="{3AC9015B-471F-4EF4-BC19-29A0384BBA6C}">
      <text>
        <r>
          <rPr>
            <sz val="10"/>
            <color indexed="81"/>
            <rFont val="Lucida Console"/>
            <family val="3"/>
          </rPr>
          <t>_x000D_
Ata anterior não identificada.</t>
        </r>
      </text>
    </comment>
    <comment ref="W906" authorId="0" shapeId="0" xr:uid="{3E272061-D647-4427-86C2-C48F4C8A7FF4}">
      <text>
        <r>
          <rPr>
            <sz val="10"/>
            <color indexed="81"/>
            <rFont val="Lucida Console"/>
            <family val="3"/>
          </rPr>
          <t>_x000D_
DM-Elétrica</t>
        </r>
      </text>
    </comment>
    <comment ref="X906" authorId="0" shapeId="0" xr:uid="{F9883C42-5C8D-4C3A-9DD7-3F5611FE8EEF}">
      <text>
        <r>
          <rPr>
            <sz val="10"/>
            <color indexed="81"/>
            <rFont val="Lucida Console"/>
            <family val="3"/>
          </rPr>
          <t>_x000D_
EQUIP. MAT. P/ GERACAO, TRANSM. DISTR. RETIF...</t>
        </r>
      </text>
    </comment>
    <comment ref="Y906" authorId="0" shapeId="0" xr:uid="{4D52F646-3FEB-4314-BCEB-3BEF2DDF8CED}">
      <text>
        <r>
          <rPr>
            <sz val="10"/>
            <color indexed="81"/>
            <rFont val="Lucida Console"/>
            <family val="3"/>
          </rPr>
          <t>_x000D_
LUMINARIAS E PROJETORES COM EQUIPAMENTO</t>
        </r>
      </text>
    </comment>
    <comment ref="AW906" authorId="0" shapeId="0" xr:uid="{387A2D73-0F12-47DC-A76E-3FA8C0517D72}">
      <text>
        <r>
          <rPr>
            <sz val="10"/>
            <color indexed="81"/>
            <rFont val="Lucida Console"/>
            <family val="3"/>
          </rPr>
          <t>Tempo de Estoque (Meses)_x000D_
_x000D_
10,0</t>
        </r>
      </text>
    </comment>
    <comment ref="A907" authorId="0" shapeId="0" xr:uid="{B688FC83-39B6-4797-AD01-1894D45F0985}">
      <text>
        <r>
          <rPr>
            <sz val="10"/>
            <color indexed="81"/>
            <rFont val="Lucida Console"/>
            <family val="3"/>
          </rPr>
          <t>_x000D_
103490</t>
        </r>
      </text>
    </comment>
    <comment ref="B907" authorId="0" shapeId="0" xr:uid="{F151FDC4-CE9F-4ACA-A533-8ED1CB95BA7D}">
      <text>
        <r>
          <rPr>
            <sz val="10"/>
            <color indexed="81"/>
            <rFont val="Lucida Console"/>
            <family val="3"/>
          </rPr>
          <t>DESCRIÇÃO DETALHADA_x000D_
FIO TELEFONICO EXTERNO FE - AA - 80 - PE HOMOLOGADO PELA ANATEL - ROLO COM 400 METROS</t>
        </r>
      </text>
    </comment>
    <comment ref="W907" authorId="0" shapeId="0" xr:uid="{0AEA33BC-37E9-4142-B846-31203CB62468}">
      <text>
        <r>
          <rPr>
            <sz val="10"/>
            <color indexed="81"/>
            <rFont val="Lucida Console"/>
            <family val="3"/>
          </rPr>
          <t>_x000D_
Administrativo</t>
        </r>
      </text>
    </comment>
    <comment ref="X907" authorId="0" shapeId="0" xr:uid="{140DC070-3BD7-4303-B157-9A4F8F5C3E08}">
      <text>
        <r>
          <rPr>
            <sz val="10"/>
            <color indexed="81"/>
            <rFont val="Lucida Console"/>
            <family val="3"/>
          </rPr>
          <t>_x000D_
EQUIP.MAT.E ACESS.COMUNIC.CINE FOTO OTICA SOM</t>
        </r>
      </text>
    </comment>
    <comment ref="Y907" authorId="0" shapeId="0" xr:uid="{C109B874-812A-4C4F-9A5B-6A58493766DF}">
      <text>
        <r>
          <rPr>
            <sz val="10"/>
            <color indexed="81"/>
            <rFont val="Lucida Console"/>
            <family val="3"/>
          </rPr>
          <t>_x000D_
CABOS FIOS TOMADAS PLUGS CAIXAS P/ TELEFONIA, ETC</t>
        </r>
      </text>
    </comment>
    <comment ref="AW907" authorId="0" shapeId="0" xr:uid="{697C7EA6-E1A3-4396-9932-6617A206042A}">
      <text>
        <r>
          <rPr>
            <sz val="10"/>
            <color indexed="81"/>
            <rFont val="Lucida Console"/>
            <family val="3"/>
          </rPr>
          <t>Tempo de Estoque (Meses)_x000D_
_x000D_
3,0</t>
        </r>
      </text>
    </comment>
    <comment ref="A908" authorId="0" shapeId="0" xr:uid="{930D414F-35BD-46BB-821F-BE147B6F6212}">
      <text>
        <r>
          <rPr>
            <sz val="10"/>
            <color indexed="81"/>
            <rFont val="Lucida Console"/>
            <family val="3"/>
          </rPr>
          <t>_x000D_
85798</t>
        </r>
      </text>
    </comment>
    <comment ref="B908" authorId="0" shapeId="0" xr:uid="{29FF3E9A-B7A3-4B95-A015-3636736D7CDB}">
      <text>
        <r>
          <rPr>
            <sz val="10"/>
            <color indexed="81"/>
            <rFont val="Lucida Console"/>
            <family val="3"/>
          </rPr>
          <t>DESCRIÇÃO DETALHADA_x000D_
DISCO DE DESBASTE DE  FERRO - 4 1/2" X 3/16" X 7/8" - PARA USO EM LIXADEIRA E FABRICADO CONFORME NORMAS ABNT</t>
        </r>
      </text>
    </comment>
    <comment ref="G908" authorId="0" shapeId="0" xr:uid="{AC43C641-AEF5-4C86-A582-36E626F4FE38}">
      <text>
        <r>
          <rPr>
            <sz val="10"/>
            <color indexed="81"/>
            <rFont val="Lucida Console"/>
            <family val="3"/>
          </rPr>
          <t xml:space="preserve">_x000D_
Últ estimativa : 250_x000D_
Enviada em     : 25.09.2019_x000D_
Ata - Venc     : /-2000 - </t>
        </r>
      </text>
    </comment>
    <comment ref="O908" authorId="0" shapeId="0" xr:uid="{89ED4CE9-B551-493D-B2B3-D6C41D3F36FE}">
      <text>
        <r>
          <rPr>
            <sz val="10"/>
            <color indexed="81"/>
            <rFont val="Lucida Console"/>
            <family val="3"/>
          </rPr>
          <t>_x000D_
Ata anterior não identificada.</t>
        </r>
      </text>
    </comment>
    <comment ref="W908" authorId="0" shapeId="0" xr:uid="{0A757F2E-D59F-42EA-A7A8-1B735F2B5CCD}">
      <text>
        <r>
          <rPr>
            <sz val="10"/>
            <color indexed="81"/>
            <rFont val="Lucida Console"/>
            <family val="3"/>
          </rPr>
          <t>_x000D_
DM-Serralheria</t>
        </r>
      </text>
    </comment>
    <comment ref="X908" authorId="0" shapeId="0" xr:uid="{C9D2DCC9-C328-42CE-BA57-9CF85A53E44A}">
      <text>
        <r>
          <rPr>
            <sz val="10"/>
            <color indexed="81"/>
            <rFont val="Lucida Console"/>
            <family val="3"/>
          </rPr>
          <t>_x000D_
ABRASIVOS</t>
        </r>
      </text>
    </comment>
    <comment ref="Y908" authorId="0" shapeId="0" xr:uid="{9814FD21-C1BD-46E5-BD29-130916C91A45}">
      <text>
        <r>
          <rPr>
            <sz val="10"/>
            <color indexed="81"/>
            <rFont val="Lucida Console"/>
            <family val="3"/>
          </rPr>
          <t>_x000D_
DISCO DE FIBRA</t>
        </r>
      </text>
    </comment>
    <comment ref="AW908" authorId="0" shapeId="0" xr:uid="{EC86F670-3044-4BE6-AA71-7BA97EA64ACF}">
      <text>
        <r>
          <rPr>
            <sz val="10"/>
            <color indexed="81"/>
            <rFont val="Lucida Console"/>
            <family val="3"/>
          </rPr>
          <t>Tempo de Estoque (Meses)_x000D_
_x000D_
264,0</t>
        </r>
      </text>
    </comment>
    <comment ref="A909" authorId="0" shapeId="0" xr:uid="{32CC8C18-9ADD-4216-912B-B5587A9D3AFF}">
      <text>
        <r>
          <rPr>
            <sz val="10"/>
            <color indexed="81"/>
            <rFont val="Lucida Console"/>
            <family val="3"/>
          </rPr>
          <t>_x000D_
48178</t>
        </r>
      </text>
    </comment>
    <comment ref="B909" authorId="0" shapeId="0" xr:uid="{426F030A-BA56-45B0-A2E8-865347D0C9B3}">
      <text>
        <r>
          <rPr>
            <sz val="10"/>
            <color indexed="81"/>
            <rFont val="Lucida Console"/>
            <family val="3"/>
          </rPr>
          <t>DESCRIÇÃO DETALHADA_x000D_
CHAPA DE LAMINADO MELAMINICO COM 3,08 X 1,25 M, ESPESSURA 0,8 MM</t>
        </r>
      </text>
    </comment>
    <comment ref="G909" authorId="0" shapeId="0" xr:uid="{671192E0-0BF5-4DA4-915B-D5A3DDBFDA84}">
      <text>
        <r>
          <rPr>
            <sz val="10"/>
            <color indexed="81"/>
            <rFont val="Lucida Console"/>
            <family val="3"/>
          </rPr>
          <t>_x000D_
Últ estimativa : 0_x000D_
Enviada em     : 17.01.2020_x000D_
Ata - Venc     : 129/19 - 08.05.2020</t>
        </r>
      </text>
    </comment>
    <comment ref="O909" authorId="0" shapeId="0" xr:uid="{9776CE97-4C4D-41AF-9072-8220D63CDEEF}">
      <text>
        <r>
          <rPr>
            <sz val="10"/>
            <color indexed="81"/>
            <rFont val="Lucida Console"/>
            <family val="3"/>
          </rPr>
          <t>_x000D_
Pertencia a ATA nº 129/19_x000D_
Estimativa de Renovação enviada em 17.01.2020 - Qtd _x000D_
PP  21/19 lote _x000D_
06.08.19 = Processo finalizado</t>
        </r>
      </text>
    </comment>
    <comment ref="W909" authorId="0" shapeId="0" xr:uid="{DA90FF33-0755-4328-BB53-934EB204696E}">
      <text>
        <r>
          <rPr>
            <sz val="10"/>
            <color indexed="81"/>
            <rFont val="Lucida Console"/>
            <family val="3"/>
          </rPr>
          <t>_x000D_
DM-Marcenaria</t>
        </r>
      </text>
    </comment>
    <comment ref="X909" authorId="0" shapeId="0" xr:uid="{B4AE149D-653C-4FD4-A717-BF57050B85B3}">
      <text>
        <r>
          <rPr>
            <sz val="10"/>
            <color indexed="81"/>
            <rFont val="Lucida Console"/>
            <family val="3"/>
          </rPr>
          <t>_x000D_
MADEIRAS,LAMINADOS,COMPENSADOS E AGLOMERADOS</t>
        </r>
      </text>
    </comment>
    <comment ref="Y909" authorId="0" shapeId="0" xr:uid="{2C5929F4-465A-4651-A066-318815595B6F}">
      <text>
        <r>
          <rPr>
            <sz val="10"/>
            <color indexed="81"/>
            <rFont val="Lucida Console"/>
            <family val="3"/>
          </rPr>
          <t>_x000D_
CHAPAS COMPENSADAS RESINADAS/PLASTIFICADAS</t>
        </r>
      </text>
    </comment>
    <comment ref="AW909" authorId="0" shapeId="0" xr:uid="{1EE524E9-6A82-4A96-8648-79EAC31AD42F}">
      <text>
        <r>
          <rPr>
            <sz val="10"/>
            <color indexed="81"/>
            <rFont val="Lucida Console"/>
            <family val="3"/>
          </rPr>
          <t>Tempo de Estoque (Meses)_x000D_
_x000D_
36,0</t>
        </r>
      </text>
    </comment>
    <comment ref="A910" authorId="0" shapeId="0" xr:uid="{FC45C0D8-812C-4C0C-B4F7-E000577A7483}">
      <text>
        <r>
          <rPr>
            <sz val="10"/>
            <color indexed="81"/>
            <rFont val="Lucida Console"/>
            <family val="3"/>
          </rPr>
          <t>_x000D_
12812</t>
        </r>
      </text>
    </comment>
    <comment ref="B910" authorId="0" shapeId="0" xr:uid="{8185A72C-1114-49A0-814E-9A71D6A969D0}">
      <text>
        <r>
          <rPr>
            <sz val="10"/>
            <color indexed="81"/>
            <rFont val="Lucida Console"/>
            <family val="3"/>
          </rPr>
          <t>DESCRIÇÃO DETALHADA_x000D_
BROXA RETANGULAR - 16,5 X 6 CM</t>
        </r>
      </text>
    </comment>
    <comment ref="G910" authorId="0" shapeId="0" xr:uid="{19F4D6AF-E489-4020-8105-BBD5EF2BB298}">
      <text>
        <r>
          <rPr>
            <sz val="10"/>
            <color indexed="81"/>
            <rFont val="Lucida Console"/>
            <family val="3"/>
          </rPr>
          <t>_x000D_
Últ estimativa : 40_x000D_
Enviada em     : 24.10.2019_x000D_
Ata - Venc     : 16/19 - 29.01.2020</t>
        </r>
      </text>
    </comment>
    <comment ref="O910" authorId="0" shapeId="0" xr:uid="{05C95AD3-BAF2-4A14-B6E3-8261991A1D22}">
      <text>
        <r>
          <rPr>
            <sz val="10"/>
            <color indexed="81"/>
            <rFont val="Lucida Console"/>
            <family val="3"/>
          </rPr>
          <t>_x000D_
Pertencia a ATA nº 16/19_x000D_
Estimativa de Renovação enviada em 24.10.2019 - Qtd 40_x000D_
PE 147/20 lote 1 (Impróspero)_x000D_
04.09.20 = Finalizado. Ata 254/20</t>
        </r>
      </text>
    </comment>
    <comment ref="W910" authorId="0" shapeId="0" xr:uid="{CE38C57E-2600-4934-A626-477FA547F06E}">
      <text>
        <r>
          <rPr>
            <sz val="10"/>
            <color indexed="81"/>
            <rFont val="Lucida Console"/>
            <family val="3"/>
          </rPr>
          <t>_x000D_
DM-Pintura</t>
        </r>
      </text>
    </comment>
    <comment ref="X910" authorId="0" shapeId="0" xr:uid="{4A5CAD43-8662-487D-B1F0-27B6278E6A41}">
      <text>
        <r>
          <rPr>
            <sz val="10"/>
            <color indexed="81"/>
            <rFont val="Lucida Console"/>
            <family val="3"/>
          </rPr>
          <t>_x000D_
EQUIP. E MATERIAIS P/PINTURAS E IMPERMEABILIZACAO</t>
        </r>
      </text>
    </comment>
    <comment ref="Y910" authorId="0" shapeId="0" xr:uid="{923EF595-8432-491E-8929-458620B2BF6D}">
      <text>
        <r>
          <rPr>
            <sz val="10"/>
            <color indexed="81"/>
            <rFont val="Lucida Console"/>
            <family val="3"/>
          </rPr>
          <t>_x000D_
MATERIAIS PARA PINTURA</t>
        </r>
      </text>
    </comment>
    <comment ref="AW910" authorId="0" shapeId="0" xr:uid="{FF328A68-CCA5-44E5-9584-FEFE81C62B0D}">
      <text>
        <r>
          <rPr>
            <sz val="10"/>
            <color indexed="81"/>
            <rFont val="Lucida Console"/>
            <family val="3"/>
          </rPr>
          <t>Tempo de Estoque (Meses)_x000D_
_x000D_
63,0</t>
        </r>
      </text>
    </comment>
    <comment ref="A911" authorId="0" shapeId="0" xr:uid="{FA4A5561-26E0-4833-B4AE-30C619899CDD}">
      <text>
        <r>
          <rPr>
            <sz val="10"/>
            <color indexed="81"/>
            <rFont val="Lucida Console"/>
            <family val="3"/>
          </rPr>
          <t>_x000D_
88718</t>
        </r>
      </text>
    </comment>
    <comment ref="B911" authorId="0" shapeId="0" xr:uid="{584138F8-9E8B-4D61-A1F2-C7F3259023A5}">
      <text>
        <r>
          <rPr>
            <sz val="10"/>
            <color indexed="81"/>
            <rFont val="Lucida Console"/>
            <family val="3"/>
          </rPr>
          <t>DESCRIÇÃO DETALHADA_x000D_
DISJUNTOR NORMA DIN CURVA B PADRAO, BIPOLAR, 10 AMPERES</t>
        </r>
      </text>
    </comment>
    <comment ref="G911" authorId="0" shapeId="0" xr:uid="{53DB6202-4E96-4E32-AC9E-47677D2DE34B}">
      <text>
        <r>
          <rPr>
            <sz val="10"/>
            <color indexed="81"/>
            <rFont val="Lucida Console"/>
            <family val="3"/>
          </rPr>
          <t>_x000D_
Últ estimativa : 70_x000D_
Enviada em     : 23.09.2020_x000D_
Ata - Venc     : 17/20 - 29.01.2021</t>
        </r>
      </text>
    </comment>
    <comment ref="O911" authorId="0" shapeId="0" xr:uid="{51E9A538-C274-455B-A1B7-C015ABC35D23}">
      <text>
        <r>
          <rPr>
            <sz val="10"/>
            <color indexed="81"/>
            <rFont val="Lucida Console"/>
            <family val="3"/>
          </rPr>
          <t>_x000D_
Pertencia a ATA nº 17/20_x000D_
Estimativa de Renovação enviada em 23.09.2020 - Qtd 70_x000D_
PP 241/19 lote _x000D_
21.02.20 = Processo conferido, finalizado.</t>
        </r>
      </text>
    </comment>
    <comment ref="W911" authorId="0" shapeId="0" xr:uid="{533CD789-D2B6-4379-9D35-764F350DF880}">
      <text>
        <r>
          <rPr>
            <sz val="10"/>
            <color indexed="81"/>
            <rFont val="Lucida Console"/>
            <family val="3"/>
          </rPr>
          <t>_x000D_
DM-Elétrica</t>
        </r>
      </text>
    </comment>
    <comment ref="X911" authorId="0" shapeId="0" xr:uid="{B206D500-9533-4495-B451-5A24E985B6AB}">
      <text>
        <r>
          <rPr>
            <sz val="10"/>
            <color indexed="81"/>
            <rFont val="Lucida Console"/>
            <family val="3"/>
          </rPr>
          <t>_x000D_
EQUIP. MAT. P/ GERACAO, TRANSM. DISTR. RETIF...</t>
        </r>
      </text>
    </comment>
    <comment ref="Y911" authorId="0" shapeId="0" xr:uid="{D0380905-638A-4F5A-9BC9-108BB5AD6810}">
      <text>
        <r>
          <rPr>
            <sz val="10"/>
            <color indexed="81"/>
            <rFont val="Lucida Console"/>
            <family val="3"/>
          </rPr>
          <t>_x000D_
DISJUNTORES</t>
        </r>
      </text>
    </comment>
    <comment ref="AW911" authorId="0" shapeId="0" xr:uid="{D6F7A251-ABFC-4D80-9CB2-A87C41E2253F}">
      <text>
        <r>
          <rPr>
            <sz val="10"/>
            <color indexed="81"/>
            <rFont val="Lucida Console"/>
            <family val="3"/>
          </rPr>
          <t>Tempo de Estoque (Meses)_x000D_
_x000D_
96,0</t>
        </r>
      </text>
    </comment>
    <comment ref="A912" authorId="0" shapeId="0" xr:uid="{265FF197-DEC1-451F-BAA8-42797B4D308E}">
      <text>
        <r>
          <rPr>
            <sz val="10"/>
            <color indexed="81"/>
            <rFont val="Lucida Console"/>
            <family val="3"/>
          </rPr>
          <t>_x000D_
64821</t>
        </r>
      </text>
    </comment>
    <comment ref="B912" authorId="0" shapeId="0" xr:uid="{3EB36674-A4AD-4E77-B1D4-959593671708}">
      <text>
        <r>
          <rPr>
            <sz val="10"/>
            <color indexed="81"/>
            <rFont val="Lucida Console"/>
            <family val="3"/>
          </rPr>
          <t>DESCRIÇÃO DETALHADA_x000D_
TINTA P/ PISO - AMARELO - LATA COM 18 LITROS</t>
        </r>
      </text>
    </comment>
    <comment ref="G912" authorId="0" shapeId="0" xr:uid="{98B8D4F5-9AF8-4012-A38B-F21AD5B4E9F3}">
      <text>
        <r>
          <rPr>
            <sz val="10"/>
            <color indexed="81"/>
            <rFont val="Lucida Console"/>
            <family val="3"/>
          </rPr>
          <t>_x000D_
Últ estimativa : 0_x000D_
Enviada em     : 12.05.2020_x000D_
Ata - Venc     : 192/19 - 07.08.2020</t>
        </r>
      </text>
    </comment>
    <comment ref="O912" authorId="0" shapeId="0" xr:uid="{484DF441-442A-47FF-9BA1-E1E9E3716095}">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8824AF65-83B7-4E5F-B9C2-54BA9219F56E}">
      <text>
        <r>
          <rPr>
            <sz val="10"/>
            <color indexed="81"/>
            <rFont val="Lucida Console"/>
            <family val="3"/>
          </rPr>
          <t>_x000D_
DM-Pintura</t>
        </r>
      </text>
    </comment>
    <comment ref="X912" authorId="0" shapeId="0" xr:uid="{03B91A37-0C4A-4A25-A26D-4C5663A6E06D}">
      <text>
        <r>
          <rPr>
            <sz val="10"/>
            <color indexed="81"/>
            <rFont val="Lucida Console"/>
            <family val="3"/>
          </rPr>
          <t>_x000D_
EQUIP. E MATERIAIS P/PINTURAS E IMPERMEABILIZACAO</t>
        </r>
      </text>
    </comment>
    <comment ref="Y912" authorId="0" shapeId="0" xr:uid="{0469B12E-F275-4FD5-81D6-41ABE6916DF1}">
      <text>
        <r>
          <rPr>
            <sz val="10"/>
            <color indexed="81"/>
            <rFont val="Lucida Console"/>
            <family val="3"/>
          </rPr>
          <t>_x000D_
TINTAS DIVERSAS</t>
        </r>
      </text>
    </comment>
    <comment ref="AW912" authorId="0" shapeId="0" xr:uid="{FE968FAC-3390-449C-AA37-AF2A23FF3553}">
      <text>
        <r>
          <rPr>
            <sz val="10"/>
            <color indexed="81"/>
            <rFont val="Lucida Console"/>
            <family val="3"/>
          </rPr>
          <t>Tempo de Estoque (Meses)_x000D_
_x000D_
20,0</t>
        </r>
      </text>
    </comment>
    <comment ref="A913" authorId="0" shapeId="0" xr:uid="{44C4F73F-02F9-45C7-A03E-15B6A147EB92}">
      <text>
        <r>
          <rPr>
            <sz val="10"/>
            <color indexed="81"/>
            <rFont val="Lucida Console"/>
            <family val="3"/>
          </rPr>
          <t>_x000D_
17663</t>
        </r>
      </text>
    </comment>
    <comment ref="B913" authorId="0" shapeId="0" xr:uid="{A1155332-2064-4A95-A4AC-BF870CAA70F5}">
      <text>
        <r>
          <rPr>
            <sz val="10"/>
            <color indexed="81"/>
            <rFont val="Lucida Console"/>
            <family val="3"/>
          </rPr>
          <t>DESCRIÇÃO DETALHADA_x000D_
LIXA D'AGUA EM FOLHA 225 X 275 MM GRAO 180</t>
        </r>
      </text>
    </comment>
    <comment ref="G913" authorId="0" shapeId="0" xr:uid="{6D11984F-7EB0-4A68-A5FD-665670BB45BD}">
      <text>
        <r>
          <rPr>
            <sz val="10"/>
            <color indexed="81"/>
            <rFont val="Lucida Console"/>
            <family val="3"/>
          </rPr>
          <t>_x000D_
Últ estimativa : 0_x000D_
Enviada em     : 12.05.2020_x000D_
Ata - Venc     : 192/19 - 07.08.2020</t>
        </r>
      </text>
    </comment>
    <comment ref="O913" authorId="0" shapeId="0" xr:uid="{9B0CEAD0-3E07-452E-89D1-4309C9C6E6BE}">
      <text>
        <r>
          <rPr>
            <sz val="10"/>
            <color indexed="81"/>
            <rFont val="Lucida Console"/>
            <family val="3"/>
          </rPr>
          <t>_x000D_
Pertencia a ATA nº 192/19_x000D_
Estimativa de Renovação enviada em 12.05.2020 - Qtd _x000D_
PP 103/19 lote _x000D_
16.08.19 = Finalizar - contrato assinado</t>
        </r>
      </text>
    </comment>
    <comment ref="W913" authorId="0" shapeId="0" xr:uid="{9EB75D7A-CBAB-48B6-8B03-20852D4887CA}">
      <text>
        <r>
          <rPr>
            <sz val="10"/>
            <color indexed="81"/>
            <rFont val="Lucida Console"/>
            <family val="3"/>
          </rPr>
          <t>_x000D_
DM-Serralheria</t>
        </r>
      </text>
    </comment>
    <comment ref="X913" authorId="0" shapeId="0" xr:uid="{41CA7D94-939F-4DB5-9A3A-6A925BA0C0D8}">
      <text>
        <r>
          <rPr>
            <sz val="10"/>
            <color indexed="81"/>
            <rFont val="Lucida Console"/>
            <family val="3"/>
          </rPr>
          <t>_x000D_
ABRASIVOS</t>
        </r>
      </text>
    </comment>
    <comment ref="Y913" authorId="0" shapeId="0" xr:uid="{32405A91-B9E9-4C8C-8227-133E777AA15F}">
      <text>
        <r>
          <rPr>
            <sz val="10"/>
            <color indexed="81"/>
            <rFont val="Lucida Console"/>
            <family val="3"/>
          </rPr>
          <t>_x000D_
LIXAS EM FOLHA</t>
        </r>
      </text>
    </comment>
    <comment ref="AW913" authorId="0" shapeId="0" xr:uid="{2DAD1140-9C51-4994-B3F4-775C21E0567E}">
      <text>
        <r>
          <rPr>
            <sz val="10"/>
            <color indexed="81"/>
            <rFont val="Lucida Console"/>
            <family val="3"/>
          </rPr>
          <t>Tempo de Estoque (Meses)_x000D_
_x000D_
190,0</t>
        </r>
      </text>
    </comment>
    <comment ref="A914" authorId="0" shapeId="0" xr:uid="{59D48A5A-49C5-4101-A45B-700B05DE2CFA}">
      <text>
        <r>
          <rPr>
            <sz val="10"/>
            <color indexed="81"/>
            <rFont val="Lucida Console"/>
            <family val="3"/>
          </rPr>
          <t>_x000D_
116771</t>
        </r>
      </text>
    </comment>
    <comment ref="B914" authorId="0" shapeId="0" xr:uid="{24A42D2C-D224-41E3-9F2A-5CFD87E191BF}">
      <text>
        <r>
          <rPr>
            <sz val="10"/>
            <color indexed="81"/>
            <rFont val="Lucida Console"/>
            <family val="3"/>
          </rPr>
          <t>DESCRIÇÃO DETALHADA_x000D_
CHAPA EM MDF, BRANCO, 02 FACES 2,75 X 1,83 X 25 MM</t>
        </r>
      </text>
    </comment>
    <comment ref="G914" authorId="0" shapeId="0" xr:uid="{71BA8FEB-CCE5-40FF-8FA8-961183653FCA}">
      <text>
        <r>
          <rPr>
            <sz val="10"/>
            <color indexed="81"/>
            <rFont val="Lucida Console"/>
            <family val="3"/>
          </rPr>
          <t>_x000D_
Últ estimativa : 0_x000D_
Enviada em     : 19.10.2018_x000D_
Ata - Venc     : 2/18 - 07.01.2019</t>
        </r>
      </text>
    </comment>
    <comment ref="O914" authorId="0" shapeId="0" xr:uid="{92E288F4-A6F8-4081-9414-C7DD50575DC2}">
      <text>
        <r>
          <rPr>
            <sz val="10"/>
            <color indexed="81"/>
            <rFont val="Lucida Console"/>
            <family val="3"/>
          </rPr>
          <t>_x000D_
Pertencia a ATA nº 2/18_x000D_
Estimativa de Renovação enviada em 19.10.2018 - Qtd _x000D_
PP  21/19 lote _x000D_
06.08.19 = Processo finalizado</t>
        </r>
      </text>
    </comment>
    <comment ref="W914" authorId="0" shapeId="0" xr:uid="{096DC04D-6465-4800-B3D5-7E06E3CD2670}">
      <text>
        <r>
          <rPr>
            <sz val="10"/>
            <color indexed="81"/>
            <rFont val="Lucida Console"/>
            <family val="3"/>
          </rPr>
          <t>_x000D_
DM-Serralheria</t>
        </r>
      </text>
    </comment>
    <comment ref="X914" authorId="0" shapeId="0" xr:uid="{4883B18F-1473-44B0-AEC8-6A65E43D8D1F}">
      <text>
        <r>
          <rPr>
            <sz val="10"/>
            <color indexed="81"/>
            <rFont val="Lucida Console"/>
            <family val="3"/>
          </rPr>
          <t>_x000D_
METAIS,LAMINAD.,PERFILADOS E ARTEFATOS METALICOS</t>
        </r>
      </text>
    </comment>
    <comment ref="Y914" authorId="0" shapeId="0" xr:uid="{53817DFA-CF0F-4F53-AAFE-BE76CC4EEC73}">
      <text>
        <r>
          <rPr>
            <sz val="10"/>
            <color indexed="81"/>
            <rFont val="Lucida Console"/>
            <family val="3"/>
          </rPr>
          <t>_x000D_
CHAPAS</t>
        </r>
      </text>
    </comment>
    <comment ref="AW914" authorId="0" shapeId="0" xr:uid="{891B5428-27A7-4291-A72A-2F1C7BF4094D}">
      <text>
        <r>
          <rPr>
            <sz val="10"/>
            <color indexed="81"/>
            <rFont val="Lucida Console"/>
            <family val="3"/>
          </rPr>
          <t>Tempo de Estoque (Meses)_x000D_
_x000D_
28,0</t>
        </r>
      </text>
    </comment>
    <comment ref="A915" authorId="0" shapeId="0" xr:uid="{173408E1-2A6C-4195-A9E5-1B2BFCC76717}">
      <text>
        <r>
          <rPr>
            <sz val="10"/>
            <color indexed="81"/>
            <rFont val="Lucida Console"/>
            <family val="3"/>
          </rPr>
          <t>_x000D_
100383</t>
        </r>
      </text>
    </comment>
    <comment ref="B915" authorId="0" shapeId="0" xr:uid="{6E0B7D93-BF4A-4ED1-A409-4072527663B1}">
      <text>
        <r>
          <rPr>
            <sz val="10"/>
            <color indexed="81"/>
            <rFont val="Lucida Console"/>
            <family val="3"/>
          </rPr>
          <t>DESCRIÇÃO DETALHADA_x000D_
FIO DE NYLON DE 3,0MM, QUADRADO, USO EM ROCADEIRA LATERAL STIHL FS 220 - PESO APROXIMADO: ROLO C/2 KG</t>
        </r>
      </text>
    </comment>
    <comment ref="O915" authorId="0" shapeId="0" xr:uid="{37F3BAF0-3102-441F-AE75-770A9354E494}">
      <text>
        <r>
          <rPr>
            <sz val="10"/>
            <color indexed="81"/>
            <rFont val="Lucida Console"/>
            <family val="3"/>
          </rPr>
          <t>_x000D_
Pertencia a ATA nº 230/18_x000D_
Estimativa de Renovação enviada em  - Qtd _x000D_
PP 195/18 lote 22 (Impróspero)_x000D_
26.11.18 = Processo finalizado. Ata 230/18.</t>
        </r>
      </text>
    </comment>
    <comment ref="W915" authorId="0" shapeId="0" xr:uid="{6E417F48-5CD5-4592-A128-500B8558F622}">
      <text>
        <r>
          <rPr>
            <sz val="10"/>
            <color indexed="81"/>
            <rFont val="Lucida Console"/>
            <family val="3"/>
          </rPr>
          <t>_x000D_
DM-Jardinagem</t>
        </r>
      </text>
    </comment>
    <comment ref="X915" authorId="0" shapeId="0" xr:uid="{E94821FE-E423-4371-A6C6-5CB2EC6A8917}">
      <text>
        <r>
          <rPr>
            <sz val="10"/>
            <color indexed="81"/>
            <rFont val="Lucida Console"/>
            <family val="3"/>
          </rPr>
          <t>_x000D_
CABOS CORRENTES CORDAS ESTICADORES E ART. BORRACHA</t>
        </r>
      </text>
    </comment>
    <comment ref="Y915" authorId="0" shapeId="0" xr:uid="{B61455EE-4741-4331-883D-AEE9B1337738}">
      <text>
        <r>
          <rPr>
            <sz val="10"/>
            <color indexed="81"/>
            <rFont val="Lucida Console"/>
            <family val="3"/>
          </rPr>
          <t>_x000D_
FIOS</t>
        </r>
      </text>
    </comment>
    <comment ref="AW915" authorId="0" shapeId="0" xr:uid="{FA87F3E9-9CB7-4FE3-9B7B-1626FDB2D874}">
      <text>
        <r>
          <rPr>
            <sz val="10"/>
            <color indexed="81"/>
            <rFont val="Lucida Console"/>
            <family val="3"/>
          </rPr>
          <t>Tempo de Estoque (Meses)_x000D_
_x000D_
74,0</t>
        </r>
      </text>
    </comment>
    <comment ref="A916" authorId="0" shapeId="0" xr:uid="{3202A287-985E-4A6A-AB07-8D75851A66E5}">
      <text>
        <r>
          <rPr>
            <sz val="10"/>
            <color indexed="81"/>
            <rFont val="Lucida Console"/>
            <family val="3"/>
          </rPr>
          <t>_x000D_
98360</t>
        </r>
      </text>
    </comment>
    <comment ref="B916" authorId="0" shapeId="0" xr:uid="{8E1E31D2-8BAF-490E-A966-6D4997EA1B54}">
      <text>
        <r>
          <rPr>
            <sz val="10"/>
            <color indexed="81"/>
            <rFont val="Lucida Console"/>
            <family val="3"/>
          </rPr>
          <t>DESCRIÇÃO DETALHADA_x000D_
FITA DE BORDA EM PVC TEXTURIZADA, 35MM - ROLO COM 50 MTS</t>
        </r>
      </text>
    </comment>
    <comment ref="G916" authorId="0" shapeId="0" xr:uid="{9D9AF015-C855-4090-B1F4-43BC6833D7BE}">
      <text>
        <r>
          <rPr>
            <sz val="10"/>
            <color indexed="81"/>
            <rFont val="Lucida Console"/>
            <family val="3"/>
          </rPr>
          <t>_x000D_
Últ estimativa : 45_x000D_
Enviada em     : 14.08.2017_x000D_
Ata - Venc     : 267/16 - 16.11.2017</t>
        </r>
      </text>
    </comment>
    <comment ref="O916" authorId="0" shapeId="0" xr:uid="{9C31205D-5D11-444D-8B17-89CAE00C0744}">
      <text>
        <r>
          <rPr>
            <sz val="10"/>
            <color indexed="81"/>
            <rFont val="Lucida Console"/>
            <family val="3"/>
          </rPr>
          <t xml:space="preserve">_x000D_
Pertencia a ATA nº 267/16_x000D_
Estimativa de Renovação enviada em 14.08.2017 - Qtd 45_x000D_
</t>
        </r>
      </text>
    </comment>
    <comment ref="W916" authorId="0" shapeId="0" xr:uid="{65A36D11-9718-472F-A35B-9CD7AB445F4C}">
      <text>
        <r>
          <rPr>
            <sz val="10"/>
            <color indexed="81"/>
            <rFont val="Lucida Console"/>
            <family val="3"/>
          </rPr>
          <t>_x000D_
DM-Serralheria</t>
        </r>
      </text>
    </comment>
    <comment ref="X916" authorId="0" shapeId="0" xr:uid="{753E7069-1FFD-49B7-B4D9-79AEE7ECD4FD}">
      <text>
        <r>
          <rPr>
            <sz val="10"/>
            <color indexed="81"/>
            <rFont val="Lucida Console"/>
            <family val="3"/>
          </rPr>
          <t>_x000D_
FERRAMENTAS MAQ.FERRAMENTAS,ELETR.PECAS E ACESSORI</t>
        </r>
      </text>
    </comment>
    <comment ref="Y916" authorId="0" shapeId="0" xr:uid="{6EA0A753-345E-4EA7-8A43-FEEF990DAC6C}">
      <text>
        <r>
          <rPr>
            <sz val="10"/>
            <color indexed="81"/>
            <rFont val="Lucida Console"/>
            <family val="3"/>
          </rPr>
          <t>_x000D_
MATERIAIS DIVERSOS P/ OFICINA MECANICA</t>
        </r>
      </text>
    </comment>
    <comment ref="AW916" authorId="0" shapeId="0" xr:uid="{FAEECE39-A85D-482B-9916-01BD8DFBC4E2}">
      <text>
        <r>
          <rPr>
            <sz val="10"/>
            <color indexed="81"/>
            <rFont val="Lucida Console"/>
            <family val="3"/>
          </rPr>
          <t>Tempo de Estoque (Meses)_x000D_
_x000D_
55,0</t>
        </r>
      </text>
    </comment>
    <comment ref="A917" authorId="0" shapeId="0" xr:uid="{F1CF9B95-1399-48A1-AF9D-D9319539639A}">
      <text>
        <r>
          <rPr>
            <sz val="10"/>
            <color indexed="81"/>
            <rFont val="Lucida Console"/>
            <family val="3"/>
          </rPr>
          <t>_x000D_
132714</t>
        </r>
      </text>
    </comment>
    <comment ref="B917" authorId="0" shapeId="0" xr:uid="{7FBC9B48-BD8C-4F22-93F1-1D013B06159A}">
      <text>
        <r>
          <rPr>
            <sz val="10"/>
            <color indexed="81"/>
            <rFont val="Lucida Console"/>
            <family val="3"/>
          </rPr>
          <t>DESCRIÇÃO DETALHADA_x000D_
CUMEEIRA ARTICULADA FIBRA SINTETICA CRFS, 1,10 X 06 MM - SUPERIOR</t>
        </r>
      </text>
    </comment>
    <comment ref="G917" authorId="0" shapeId="0" xr:uid="{E37894A6-4913-4C67-8DCC-7907C2D042ED}">
      <text>
        <r>
          <rPr>
            <sz val="10"/>
            <color indexed="81"/>
            <rFont val="Lucida Console"/>
            <family val="3"/>
          </rPr>
          <t>_x000D_
Últ estimativa : 0_x000D_
Enviada em     : 24.10.2019_x000D_
Ata - Venc     : 47/19 - 17.02.2020</t>
        </r>
      </text>
    </comment>
    <comment ref="O917" authorId="0" shapeId="0" xr:uid="{F2AE9A5F-FA62-4A0D-8961-AF36EF27C413}">
      <text>
        <r>
          <rPr>
            <sz val="10"/>
            <color indexed="81"/>
            <rFont val="Lucida Console"/>
            <family val="3"/>
          </rPr>
          <t>_x000D_
Pertencia a ATA nº 47/19_x000D_
Estimativa de Renovação enviada em 24.10.2019 - Qtd _x000D_
PE  99/20 lote 28_x000D_
03.08.20 = Finalizado</t>
        </r>
      </text>
    </comment>
    <comment ref="W917" authorId="0" shapeId="0" xr:uid="{B6C0EFB8-C350-4B4B-8396-6CA25FD59727}">
      <text>
        <r>
          <rPr>
            <sz val="10"/>
            <color indexed="81"/>
            <rFont val="Lucida Console"/>
            <family val="3"/>
          </rPr>
          <t>_x000D_
DM-Construção</t>
        </r>
      </text>
    </comment>
    <comment ref="X917" authorId="0" shapeId="0" xr:uid="{D4B4DB59-8CCB-428E-A3FF-22128F1C6AF3}">
      <text>
        <r>
          <rPr>
            <sz val="10"/>
            <color indexed="81"/>
            <rFont val="Lucida Console"/>
            <family val="3"/>
          </rPr>
          <t>_x000D_
MAT.E EQUIP. P/ CONSTR.CIVIL E CONSERV. DE VIAS PUBL.</t>
        </r>
      </text>
    </comment>
    <comment ref="Y917" authorId="0" shapeId="0" xr:uid="{4EB985AB-7A8D-45F5-8ABA-0EBC13A2497D}">
      <text>
        <r>
          <rPr>
            <sz val="10"/>
            <color indexed="81"/>
            <rFont val="Lucida Console"/>
            <family val="3"/>
          </rPr>
          <t>_x000D_
TELHAS. CUMEEIRAS E ELEM. DE TELH. E CHAP. DE CIM. AMIANT</t>
        </r>
      </text>
    </comment>
    <comment ref="AW917" authorId="0" shapeId="0" xr:uid="{B62CE32D-221C-4F69-9800-2A367D0DC378}">
      <text>
        <r>
          <rPr>
            <sz val="10"/>
            <color indexed="81"/>
            <rFont val="Lucida Console"/>
            <family val="3"/>
          </rPr>
          <t>Tempo de Estoque (Meses)_x000D_
_x000D_
153,0</t>
        </r>
      </text>
    </comment>
    <comment ref="A918" authorId="0" shapeId="0" xr:uid="{7A3680CD-5DFA-4CFA-ACF9-2CFEDBEFB3F1}">
      <text>
        <r>
          <rPr>
            <sz val="10"/>
            <color indexed="81"/>
            <rFont val="Lucida Console"/>
            <family val="3"/>
          </rPr>
          <t>_x000D_
132715</t>
        </r>
      </text>
    </comment>
    <comment ref="B918" authorId="0" shapeId="0" xr:uid="{8005936A-D419-40ED-8341-FF1FBCB14726}">
      <text>
        <r>
          <rPr>
            <sz val="10"/>
            <color indexed="81"/>
            <rFont val="Lucida Console"/>
            <family val="3"/>
          </rPr>
          <t>DESCRIÇÃO DETALHADA_x000D_
CUMEEIRA ARTICULADA FIBRA SINTETICA CRFS, 1,10 X 06 MM - INFERIOR</t>
        </r>
      </text>
    </comment>
    <comment ref="G918" authorId="0" shapeId="0" xr:uid="{ACD047FF-4BD7-44EE-ABFB-CFA67F8F5AD5}">
      <text>
        <r>
          <rPr>
            <sz val="10"/>
            <color indexed="81"/>
            <rFont val="Lucida Console"/>
            <family val="3"/>
          </rPr>
          <t>_x000D_
Últ estimativa : 0_x000D_
Enviada em     : 24.10.2019_x000D_
Ata - Venc     : 47/19 - 17.02.2020</t>
        </r>
      </text>
    </comment>
    <comment ref="O918" authorId="0" shapeId="0" xr:uid="{A9E65333-6BBA-4ADB-8989-D1318711632B}">
      <text>
        <r>
          <rPr>
            <sz val="10"/>
            <color indexed="81"/>
            <rFont val="Lucida Console"/>
            <family val="3"/>
          </rPr>
          <t>_x000D_
Pertencia a ATA nº 47/19_x000D_
Estimativa de Renovação enviada em 24.10.2019 - Qtd _x000D_
PE  99/20 lote 29_x000D_
03.08.20 = Finalizado</t>
        </r>
      </text>
    </comment>
    <comment ref="W918" authorId="0" shapeId="0" xr:uid="{F8077539-0A42-41F7-97B9-948B2D87D506}">
      <text>
        <r>
          <rPr>
            <sz val="10"/>
            <color indexed="81"/>
            <rFont val="Lucida Console"/>
            <family val="3"/>
          </rPr>
          <t>_x000D_
DM-Construção</t>
        </r>
      </text>
    </comment>
    <comment ref="X918" authorId="0" shapeId="0" xr:uid="{1C5C3B46-64E3-4D1A-8AA9-D92F4DF9AE42}">
      <text>
        <r>
          <rPr>
            <sz val="10"/>
            <color indexed="81"/>
            <rFont val="Lucida Console"/>
            <family val="3"/>
          </rPr>
          <t>_x000D_
MAT.E EQUIP. P/ CONSTR.CIVIL E CONSERV. DE VIAS PUBL.</t>
        </r>
      </text>
    </comment>
    <comment ref="Y918" authorId="0" shapeId="0" xr:uid="{19315F5B-3B8D-46F6-B570-98BBD7D196CB}">
      <text>
        <r>
          <rPr>
            <sz val="10"/>
            <color indexed="81"/>
            <rFont val="Lucida Console"/>
            <family val="3"/>
          </rPr>
          <t>_x000D_
TELHAS. CUMEEIRAS E ELEM. DE TELH. E CHAP. DE CIM. AMIANT</t>
        </r>
      </text>
    </comment>
    <comment ref="AW918" authorId="0" shapeId="0" xr:uid="{29C73B7E-108C-4FA0-B786-EED38AE23E07}">
      <text>
        <r>
          <rPr>
            <sz val="10"/>
            <color indexed="81"/>
            <rFont val="Lucida Console"/>
            <family val="3"/>
          </rPr>
          <t>Tempo de Estoque (Meses)_x000D_
_x000D_
172,0</t>
        </r>
      </text>
    </comment>
    <comment ref="A919" authorId="0" shapeId="0" xr:uid="{7B28E7D2-AE49-45C5-B051-A16D08B7088B}">
      <text>
        <r>
          <rPr>
            <sz val="10"/>
            <color indexed="81"/>
            <rFont val="Lucida Console"/>
            <family val="3"/>
          </rPr>
          <t>_x000D_
50476</t>
        </r>
      </text>
    </comment>
    <comment ref="B919" authorId="0" shapeId="0" xr:uid="{839D8B41-5FFF-4545-AE1C-FA5DFD1140D0}">
      <text>
        <r>
          <rPr>
            <sz val="10"/>
            <color indexed="81"/>
            <rFont val="Lucida Console"/>
            <family val="3"/>
          </rPr>
          <t>DESCRIÇÃO DETALHADA_x000D_
TELHA DE BARRO COZIDO - TIPO PAULISTINHA</t>
        </r>
      </text>
    </comment>
    <comment ref="W919" authorId="0" shapeId="0" xr:uid="{065D53AB-92A1-4537-9673-887619EA15F5}">
      <text>
        <r>
          <rPr>
            <sz val="10"/>
            <color indexed="81"/>
            <rFont val="Lucida Console"/>
            <family val="3"/>
          </rPr>
          <t>_x000D_
DM-Construção</t>
        </r>
      </text>
    </comment>
    <comment ref="X919" authorId="0" shapeId="0" xr:uid="{6D76E99B-42E8-47D6-9F31-CFDA10F44626}">
      <text>
        <r>
          <rPr>
            <sz val="10"/>
            <color indexed="81"/>
            <rFont val="Lucida Console"/>
            <family val="3"/>
          </rPr>
          <t>_x000D_
MAT.E EQUIP. P/ CONSTR.CIVIL E CONSERV. DE VIAS PUBL.</t>
        </r>
      </text>
    </comment>
    <comment ref="Y919" authorId="0" shapeId="0" xr:uid="{0EEB3D6E-7CB1-4877-8BE8-7ADCFF438075}">
      <text>
        <r>
          <rPr>
            <sz val="10"/>
            <color indexed="81"/>
            <rFont val="Lucida Console"/>
            <family val="3"/>
          </rPr>
          <t>_x000D_
TELHAS. CUMEEIRAS E ELEM. DE TELH. E CHAP. DE CIM. AMIANT</t>
        </r>
      </text>
    </comment>
    <comment ref="AW919" authorId="0" shapeId="0" xr:uid="{BF541927-38FB-41A9-8313-E1F2B55D5816}">
      <text>
        <r>
          <rPr>
            <sz val="10"/>
            <color indexed="81"/>
            <rFont val="Lucida Console"/>
            <family val="3"/>
          </rPr>
          <t>Tempo de Estoque (Meses)_x000D_
_x000D_
571,0</t>
        </r>
      </text>
    </comment>
    <comment ref="A920" authorId="0" shapeId="0" xr:uid="{3C9561A4-BA04-4926-9FDD-C4EA87E879E6}">
      <text>
        <r>
          <rPr>
            <sz val="10"/>
            <color indexed="81"/>
            <rFont val="Lucida Console"/>
            <family val="3"/>
          </rPr>
          <t>_x000D_
65609</t>
        </r>
      </text>
    </comment>
    <comment ref="B920" authorId="0" shapeId="0" xr:uid="{A42CEF9D-890E-4B4C-9CFA-C4BA98AB1567}">
      <text>
        <r>
          <rPr>
            <sz val="10"/>
            <color indexed="81"/>
            <rFont val="Lucida Console"/>
            <family val="3"/>
          </rPr>
          <t>DESCRIÇÃO DETALHADA_x000D_
CUMEEIRA ARTICULADA PARA TELHA KALHETAO 90 - INFERIOR</t>
        </r>
      </text>
    </comment>
    <comment ref="W920" authorId="0" shapeId="0" xr:uid="{BF8D0E2E-53C9-4D45-B27C-982742CC611C}">
      <text>
        <r>
          <rPr>
            <sz val="10"/>
            <color indexed="81"/>
            <rFont val="Lucida Console"/>
            <family val="3"/>
          </rPr>
          <t>_x000D_
DM-Construção</t>
        </r>
      </text>
    </comment>
    <comment ref="X920" authorId="0" shapeId="0" xr:uid="{9DE4D439-4F67-403D-B3E7-9467D15B8C60}">
      <text>
        <r>
          <rPr>
            <sz val="10"/>
            <color indexed="81"/>
            <rFont val="Lucida Console"/>
            <family val="3"/>
          </rPr>
          <t>_x000D_
MAT.E EQUIP. P/ CONSTR.CIVIL E CONSERV. DE VIAS PUBL.</t>
        </r>
      </text>
    </comment>
    <comment ref="Y920" authorId="0" shapeId="0" xr:uid="{E5BE5840-8249-4F2C-989E-6E6DFF685650}">
      <text>
        <r>
          <rPr>
            <sz val="10"/>
            <color indexed="81"/>
            <rFont val="Lucida Console"/>
            <family val="3"/>
          </rPr>
          <t>_x000D_
TELHAS. CUMEEIRAS E ELEM. DE TELH. E CHAP. DE CIM. AMIANT</t>
        </r>
      </text>
    </comment>
    <comment ref="AW920" authorId="0" shapeId="0" xr:uid="{069D9E85-C3DF-409D-8AA6-950BDD8C4A56}">
      <text>
        <r>
          <rPr>
            <sz val="10"/>
            <color indexed="81"/>
            <rFont val="Lucida Console"/>
            <family val="3"/>
          </rPr>
          <t>Tempo de Estoque (Meses)_x000D_
_x000D_
3,0</t>
        </r>
      </text>
    </comment>
    <comment ref="A921" authorId="0" shapeId="0" xr:uid="{C6B29FE9-054A-4915-9C75-B414A31E2628}">
      <text>
        <r>
          <rPr>
            <sz val="10"/>
            <color indexed="81"/>
            <rFont val="Lucida Console"/>
            <family val="3"/>
          </rPr>
          <t>_x000D_
65610</t>
        </r>
      </text>
    </comment>
    <comment ref="B921" authorId="0" shapeId="0" xr:uid="{B61A174B-BFC8-4FDF-A536-A99C6AB022FA}">
      <text>
        <r>
          <rPr>
            <sz val="10"/>
            <color indexed="81"/>
            <rFont val="Lucida Console"/>
            <family val="3"/>
          </rPr>
          <t>DESCRIÇÃO DETALHADA_x000D_
CUMEEIRA ARTICULADA PARA TELHA CALHETAO 90 - SUPERIOR</t>
        </r>
      </text>
    </comment>
    <comment ref="W921" authorId="0" shapeId="0" xr:uid="{32372D35-9575-4C3D-BF2B-A7F7A72D9D95}">
      <text>
        <r>
          <rPr>
            <sz val="10"/>
            <color indexed="81"/>
            <rFont val="Lucida Console"/>
            <family val="3"/>
          </rPr>
          <t>_x000D_
DM-Construção</t>
        </r>
      </text>
    </comment>
    <comment ref="X921" authorId="0" shapeId="0" xr:uid="{F0FFDB29-BF92-458F-B9B0-628307128936}">
      <text>
        <r>
          <rPr>
            <sz val="10"/>
            <color indexed="81"/>
            <rFont val="Lucida Console"/>
            <family val="3"/>
          </rPr>
          <t>_x000D_
MAT.E EQUIP. P/ CONSTR.CIVIL E CONSERV. DE VIAS PUBL.</t>
        </r>
      </text>
    </comment>
    <comment ref="Y921" authorId="0" shapeId="0" xr:uid="{2247AF8B-1493-4B38-9C78-E32EE285B502}">
      <text>
        <r>
          <rPr>
            <sz val="10"/>
            <color indexed="81"/>
            <rFont val="Lucida Console"/>
            <family val="3"/>
          </rPr>
          <t>_x000D_
TELHAS. CUMEEIRAS E ELEM. DE TELH. E CHAP. DE CIM. AMIANT</t>
        </r>
      </text>
    </comment>
    <comment ref="AW921" authorId="0" shapeId="0" xr:uid="{CFBD76AC-AE8D-4F68-8320-F571BFFFFF72}">
      <text>
        <r>
          <rPr>
            <sz val="10"/>
            <color indexed="81"/>
            <rFont val="Lucida Console"/>
            <family val="3"/>
          </rPr>
          <t>Tempo de Estoque (Meses)_x000D_
_x000D_
15,0</t>
        </r>
      </text>
    </comment>
    <comment ref="A922" authorId="0" shapeId="0" xr:uid="{8CDCC93A-8FB9-4D1D-943F-B21D0FE61D0A}">
      <text>
        <r>
          <rPr>
            <sz val="10"/>
            <color indexed="81"/>
            <rFont val="Lucida Console"/>
            <family val="3"/>
          </rPr>
          <t>_x000D_
115135</t>
        </r>
      </text>
    </comment>
    <comment ref="B922" authorId="0" shapeId="0" xr:uid="{B175B8FE-CDC9-4BB0-978D-4BB37A8F0716}">
      <text>
        <r>
          <rPr>
            <sz val="10"/>
            <color indexed="81"/>
            <rFont val="Lucida Console"/>
            <family val="3"/>
          </rPr>
          <t xml:space="preserve">DESCRIÇÃO DETALHADA_x000D_
CUMEEIRA DE FIBROCIMENTO ONDA DA MEDIDA 0,50 CM X 15° </t>
        </r>
      </text>
    </comment>
    <comment ref="W922" authorId="0" shapeId="0" xr:uid="{03A567A9-404B-45C4-815D-EFD48B3E863F}">
      <text>
        <r>
          <rPr>
            <sz val="10"/>
            <color indexed="81"/>
            <rFont val="Lucida Console"/>
            <family val="3"/>
          </rPr>
          <t>_x000D_
DM-Construção</t>
        </r>
      </text>
    </comment>
    <comment ref="X922" authorId="0" shapeId="0" xr:uid="{83DB7994-363A-4E61-8433-8E15011244BD}">
      <text>
        <r>
          <rPr>
            <sz val="10"/>
            <color indexed="81"/>
            <rFont val="Lucida Console"/>
            <family val="3"/>
          </rPr>
          <t>_x000D_
MAT.E EQUIP. P/ CONSTR.CIVIL E CONSERV. DE VIAS PUBL.</t>
        </r>
      </text>
    </comment>
    <comment ref="Y922" authorId="0" shapeId="0" xr:uid="{6D7A69C1-E37D-4F80-8A07-AB3A9664F00B}">
      <text>
        <r>
          <rPr>
            <sz val="10"/>
            <color indexed="81"/>
            <rFont val="Lucida Console"/>
            <family val="3"/>
          </rPr>
          <t>_x000D_
TELHAS. CUMEEIRAS E ELEM. DE TELH. E CHAP. DE CIM. AMIANT</t>
        </r>
      </text>
    </comment>
    <comment ref="AW922" authorId="0" shapeId="0" xr:uid="{001E7A98-1224-439B-80B2-8EBF6646AAE5}">
      <text>
        <r>
          <rPr>
            <sz val="10"/>
            <color indexed="81"/>
            <rFont val="Lucida Console"/>
            <family val="3"/>
          </rPr>
          <t>Tempo de Estoque (Meses)_x000D_
_x000D_
177,0</t>
        </r>
      </text>
    </comment>
    <comment ref="A923" authorId="0" shapeId="0" xr:uid="{B2B955DC-6938-4B2A-AB50-0D2F9CCECBAA}">
      <text>
        <r>
          <rPr>
            <sz val="10"/>
            <color indexed="81"/>
            <rFont val="Lucida Console"/>
            <family val="3"/>
          </rPr>
          <t>_x000D_
133042</t>
        </r>
      </text>
    </comment>
    <comment ref="B923" authorId="0" shapeId="0" xr:uid="{F9B6B5A2-FBF0-41D8-A41F-C7A01ABA834F}">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DF853A57-372E-41C2-B4A4-2E49CA486CBC}">
      <text>
        <r>
          <rPr>
            <sz val="10"/>
            <color indexed="81"/>
            <rFont val="Lucida Console"/>
            <family val="3"/>
          </rPr>
          <t>_x000D_
DM-Construção</t>
        </r>
      </text>
    </comment>
    <comment ref="X923" authorId="0" shapeId="0" xr:uid="{9C602D17-B057-4DDA-ACCE-1D32028A92F5}">
      <text>
        <r>
          <rPr>
            <sz val="10"/>
            <color indexed="81"/>
            <rFont val="Lucida Console"/>
            <family val="3"/>
          </rPr>
          <t>_x000D_
MAT.E EQUIP. P/ CONSTR.CIVIL E CONSERV. DE VIAS PUBL.</t>
        </r>
      </text>
    </comment>
    <comment ref="Y923" authorId="0" shapeId="0" xr:uid="{67B2B827-3D32-4FEA-A4EA-838B9EED2FA6}">
      <text>
        <r>
          <rPr>
            <sz val="10"/>
            <color indexed="81"/>
            <rFont val="Lucida Console"/>
            <family val="3"/>
          </rPr>
          <t>_x000D_
TELHAS. CUMEEIRAS E ELEM. DE TELH. E CHAP. DE CIM. AMIANT</t>
        </r>
      </text>
    </comment>
    <comment ref="AW923" authorId="0" shapeId="0" xr:uid="{BAC25A8F-71A7-44F4-B439-11074B3F67BF}">
      <text>
        <r>
          <rPr>
            <sz val="10"/>
            <color indexed="81"/>
            <rFont val="Lucida Console"/>
            <family val="3"/>
          </rPr>
          <t>Tempo de Estoque (Meses)_x000D_
_x000D_
50,0</t>
        </r>
      </text>
    </comment>
    <comment ref="A924" authorId="0" shapeId="0" xr:uid="{26D6005F-A2AB-4F28-9D7B-5FB15BE5D1DC}">
      <text>
        <r>
          <rPr>
            <sz val="10"/>
            <color indexed="81"/>
            <rFont val="Lucida Console"/>
            <family val="3"/>
          </rPr>
          <t>_x000D_
133043</t>
        </r>
      </text>
    </comment>
    <comment ref="B924" authorId="0" shapeId="0" xr:uid="{384A23C1-A77F-4A14-9D29-C647D6AAF7CD}">
      <text>
        <r>
          <rPr>
            <sz val="10"/>
            <color indexed="81"/>
            <rFont val="Lucida Console"/>
            <family val="3"/>
          </rPr>
          <t>DESCRIÇÃO DETALHADA_x000D_
CUMEEIRA PARA TELHA TRAPEZOIDAL, MODELO L38  -  MEDINDO 30° DE INCLINACAO E 1056 MM DE LARGURA, DE ALUMINIO.</t>
        </r>
      </text>
    </comment>
    <comment ref="W924" authorId="0" shapeId="0" xr:uid="{237700C2-76D0-4DD1-9360-48D8BBA59453}">
      <text>
        <r>
          <rPr>
            <sz val="10"/>
            <color indexed="81"/>
            <rFont val="Lucida Console"/>
            <family val="3"/>
          </rPr>
          <t>_x000D_
DM-Construção</t>
        </r>
      </text>
    </comment>
    <comment ref="X924" authorId="0" shapeId="0" xr:uid="{30728902-B81F-454C-A880-C8D727144ACD}">
      <text>
        <r>
          <rPr>
            <sz val="10"/>
            <color indexed="81"/>
            <rFont val="Lucida Console"/>
            <family val="3"/>
          </rPr>
          <t>_x000D_
MAT.E EQUIP. P/ CONSTR.CIVIL E CONSERV. DE VIAS PUBL.</t>
        </r>
      </text>
    </comment>
    <comment ref="Y924" authorId="0" shapeId="0" xr:uid="{5A6B9038-3025-4FE7-A423-A6D41FE17E00}">
      <text>
        <r>
          <rPr>
            <sz val="10"/>
            <color indexed="81"/>
            <rFont val="Lucida Console"/>
            <family val="3"/>
          </rPr>
          <t>_x000D_
TELHAS. CUMEEIRAS E ELEM. DE TELH. E CHAP. DE CIM. AMIANT</t>
        </r>
      </text>
    </comment>
    <comment ref="AW924" authorId="0" shapeId="0" xr:uid="{99A63210-4864-409F-BA66-0165157E27EE}">
      <text>
        <r>
          <rPr>
            <sz val="10"/>
            <color indexed="81"/>
            <rFont val="Lucida Console"/>
            <family val="3"/>
          </rPr>
          <t>Tempo de Estoque (Meses)_x000D_
_x000D_
25,0</t>
        </r>
      </text>
    </comment>
    <comment ref="A925" authorId="0" shapeId="0" xr:uid="{15E5270C-D153-4038-B000-21EA53FFF08E}">
      <text>
        <r>
          <rPr>
            <sz val="10"/>
            <color indexed="81"/>
            <rFont val="Lucida Console"/>
            <family val="3"/>
          </rPr>
          <t>_x000D_
87157</t>
        </r>
      </text>
    </comment>
    <comment ref="B925" authorId="0" shapeId="0" xr:uid="{A5E6F105-E392-4229-93CF-A85D75F778CB}">
      <text>
        <r>
          <rPr>
            <sz val="10"/>
            <color indexed="81"/>
            <rFont val="Lucida Console"/>
            <family val="3"/>
          </rPr>
          <t>DESCRIÇÃO DETALHADA_x000D_
PASTILHA CERAMICA TELADA, 10 X 10 CM, COR VERDE</t>
        </r>
      </text>
    </comment>
    <comment ref="W925" authorId="0" shapeId="0" xr:uid="{C070FBC0-03D6-445F-AA65-1749B9DD3B56}">
      <text>
        <r>
          <rPr>
            <sz val="10"/>
            <color indexed="81"/>
            <rFont val="Lucida Console"/>
            <family val="3"/>
          </rPr>
          <t>_x000D_
DM-Construção</t>
        </r>
      </text>
    </comment>
    <comment ref="X925" authorId="0" shapeId="0" xr:uid="{21CC1488-439D-483C-A8A8-A3903AA22B1B}">
      <text>
        <r>
          <rPr>
            <sz val="10"/>
            <color indexed="81"/>
            <rFont val="Lucida Console"/>
            <family val="3"/>
          </rPr>
          <t>_x000D_
MAT.E EQUIP. P/ CONSTR.CIVIL E CONSERV. DE VIAS PUBL.</t>
        </r>
      </text>
    </comment>
    <comment ref="Y925" authorId="0" shapeId="0" xr:uid="{1813DBAD-4DF6-4DE5-A26E-0788AB3E164E}">
      <text>
        <r>
          <rPr>
            <sz val="10"/>
            <color indexed="81"/>
            <rFont val="Lucida Console"/>
            <family val="3"/>
          </rPr>
          <t>_x000D_
AZULEJOS E PASTILHAS</t>
        </r>
      </text>
    </comment>
    <comment ref="AW925" authorId="0" shapeId="0" xr:uid="{2693F059-AC95-45BE-89EE-DCF8F4E11D18}">
      <text>
        <r>
          <rPr>
            <sz val="10"/>
            <color indexed="81"/>
            <rFont val="Lucida Console"/>
            <family val="3"/>
          </rPr>
          <t>Tempo de Estoque (Meses)_x000D_
_x000D_
329,5</t>
        </r>
      </text>
    </comment>
    <comment ref="A926" authorId="0" shapeId="0" xr:uid="{453AB4D9-0084-4898-B13F-968F1D47147B}">
      <text>
        <r>
          <rPr>
            <sz val="10"/>
            <color indexed="81"/>
            <rFont val="Lucida Console"/>
            <family val="3"/>
          </rPr>
          <t>_x000D_
136820</t>
        </r>
      </text>
    </comment>
    <comment ref="B926" authorId="0" shapeId="0" xr:uid="{BD403FDA-D35F-4129-BCA3-B401D1B22BA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CA174E6F-1AF3-45F7-A32C-F00E3B4FF205}">
      <text>
        <r>
          <rPr>
            <sz val="10"/>
            <color indexed="81"/>
            <rFont val="Lucida Console"/>
            <family val="3"/>
          </rPr>
          <t>_x000D_
SegMedTra</t>
        </r>
      </text>
    </comment>
    <comment ref="X926" authorId="0" shapeId="0" xr:uid="{95F1559E-5A07-4BC3-AD19-112197FEFB17}">
      <text>
        <r>
          <rPr>
            <sz val="10"/>
            <color indexed="81"/>
            <rFont val="Lucida Console"/>
            <family val="3"/>
          </rPr>
          <t>_x000D_
EQUIP PROT IND, INST MAT P/ SINAL, CONTR, COMB ...</t>
        </r>
      </text>
    </comment>
    <comment ref="Y926" authorId="0" shapeId="0" xr:uid="{7AAF9CBB-1A10-4F38-B9D9-C4F204430669}">
      <text>
        <r>
          <rPr>
            <sz val="10"/>
            <color indexed="81"/>
            <rFont val="Lucida Console"/>
            <family val="3"/>
          </rPr>
          <t>_x000D_
CALCADOS, LUVAS, OCULOS, MASCARAS, CAPACETES, CASSETETE</t>
        </r>
      </text>
    </comment>
    <comment ref="AW926" authorId="0" shapeId="0" xr:uid="{C8E41E94-5F86-49CF-87EF-45DB22576CA2}">
      <text>
        <r>
          <rPr>
            <sz val="10"/>
            <color indexed="81"/>
            <rFont val="Lucida Console"/>
            <family val="3"/>
          </rPr>
          <t>Tempo de Estoque (Meses)_x000D_
_x000D_
12,0</t>
        </r>
      </text>
    </comment>
    <comment ref="A927" authorId="0" shapeId="0" xr:uid="{F38A15B9-001B-4626-9F18-0EFAED6C7E4A}">
      <text>
        <r>
          <rPr>
            <sz val="10"/>
            <color indexed="81"/>
            <rFont val="Lucida Console"/>
            <family val="3"/>
          </rPr>
          <t>_x000D_
136821</t>
        </r>
      </text>
    </comment>
    <comment ref="B927" authorId="0" shapeId="0" xr:uid="{7E51A40D-F2A3-4012-ACBC-2AA43B176E0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BD8D5382-B1BF-43F8-8ABC-71F5730FF699}">
      <text>
        <r>
          <rPr>
            <sz val="10"/>
            <color indexed="81"/>
            <rFont val="Lucida Console"/>
            <family val="3"/>
          </rPr>
          <t>_x000D_
SegMedTra</t>
        </r>
      </text>
    </comment>
    <comment ref="X927" authorId="0" shapeId="0" xr:uid="{096437AD-8B7D-4BD8-B099-24CB30F01AB8}">
      <text>
        <r>
          <rPr>
            <sz val="10"/>
            <color indexed="81"/>
            <rFont val="Lucida Console"/>
            <family val="3"/>
          </rPr>
          <t>_x000D_
EQUIP PROT IND, INST MAT P/ SINAL, CONTR, COMB ...</t>
        </r>
      </text>
    </comment>
    <comment ref="Y927" authorId="0" shapeId="0" xr:uid="{7B23B49A-AA8B-4487-AD1D-B499D0D0164E}">
      <text>
        <r>
          <rPr>
            <sz val="10"/>
            <color indexed="81"/>
            <rFont val="Lucida Console"/>
            <family val="3"/>
          </rPr>
          <t>_x000D_
CALCADOS, LUVAS, OCULOS, MASCARAS, CAPACETES, CASSETETE</t>
        </r>
      </text>
    </comment>
    <comment ref="AW927" authorId="0" shapeId="0" xr:uid="{BA2592BD-B0E1-485B-91BC-CC49200922DF}">
      <text>
        <r>
          <rPr>
            <sz val="10"/>
            <color indexed="81"/>
            <rFont val="Lucida Console"/>
            <family val="3"/>
          </rPr>
          <t>Tempo de Estoque (Meses)_x000D_
_x000D_
5,0</t>
        </r>
      </text>
    </comment>
    <comment ref="A928" authorId="0" shapeId="0" xr:uid="{CB3A4570-C41D-4F42-A0C6-45AE07D02518}">
      <text>
        <r>
          <rPr>
            <sz val="10"/>
            <color indexed="81"/>
            <rFont val="Lucida Console"/>
            <family val="3"/>
          </rPr>
          <t>_x000D_
136822</t>
        </r>
      </text>
    </comment>
    <comment ref="B928" authorId="0" shapeId="0" xr:uid="{BAD21008-15E8-460E-977F-59093D45C11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885391D5-8A1C-4648-A6EA-845E118256B1}">
      <text>
        <r>
          <rPr>
            <sz val="10"/>
            <color indexed="81"/>
            <rFont val="Lucida Console"/>
            <family val="3"/>
          </rPr>
          <t>_x000D_
SegMedTra</t>
        </r>
      </text>
    </comment>
    <comment ref="X928" authorId="0" shapeId="0" xr:uid="{A0C295C2-6E21-4627-93C9-3B62378E8B4A}">
      <text>
        <r>
          <rPr>
            <sz val="10"/>
            <color indexed="81"/>
            <rFont val="Lucida Console"/>
            <family val="3"/>
          </rPr>
          <t>_x000D_
EQUIP PROT IND, INST MAT P/ SINAL, CONTR, COMB ...</t>
        </r>
      </text>
    </comment>
    <comment ref="Y928" authorId="0" shapeId="0" xr:uid="{29D9827B-993F-4229-A06B-662E953E8FF4}">
      <text>
        <r>
          <rPr>
            <sz val="10"/>
            <color indexed="81"/>
            <rFont val="Lucida Console"/>
            <family val="3"/>
          </rPr>
          <t>_x000D_
CALCADOS, LUVAS, OCULOS, MASCARAS, CAPACETES, CASSETETE</t>
        </r>
      </text>
    </comment>
    <comment ref="AW928" authorId="0" shapeId="0" xr:uid="{A11F5564-ED0E-4C4C-B518-DA1D9773E983}">
      <text>
        <r>
          <rPr>
            <sz val="10"/>
            <color indexed="81"/>
            <rFont val="Lucida Console"/>
            <family val="3"/>
          </rPr>
          <t>Tempo de Estoque (Meses)_x000D_
_x000D_
77,0</t>
        </r>
      </text>
    </comment>
    <comment ref="A929" authorId="0" shapeId="0" xr:uid="{208D7725-8E3B-4C7F-903E-B48976F63F14}">
      <text>
        <r>
          <rPr>
            <sz val="10"/>
            <color indexed="81"/>
            <rFont val="Lucida Console"/>
            <family val="3"/>
          </rPr>
          <t>_x000D_
136837</t>
        </r>
      </text>
    </comment>
    <comment ref="B929" authorId="0" shapeId="0" xr:uid="{046EC054-CC46-4E4A-9997-5ECC4637DF1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D0CFED80-B40D-4C4E-8FC6-0353AD6D6C88}">
      <text>
        <r>
          <rPr>
            <sz val="10"/>
            <color indexed="81"/>
            <rFont val="Lucida Console"/>
            <family val="3"/>
          </rPr>
          <t>_x000D_
SegMedTra</t>
        </r>
      </text>
    </comment>
    <comment ref="X929" authorId="0" shapeId="0" xr:uid="{38A95B27-A542-4409-AF12-85CB2B4C9A19}">
      <text>
        <r>
          <rPr>
            <sz val="10"/>
            <color indexed="81"/>
            <rFont val="Lucida Console"/>
            <family val="3"/>
          </rPr>
          <t>_x000D_
EQUIP PROT IND, INST MAT P/ SINAL, CONTR, COMB ...</t>
        </r>
      </text>
    </comment>
    <comment ref="Y929" authorId="0" shapeId="0" xr:uid="{3E13E6E8-A19D-4976-AC35-E9B36D445D98}">
      <text>
        <r>
          <rPr>
            <sz val="10"/>
            <color indexed="81"/>
            <rFont val="Lucida Console"/>
            <family val="3"/>
          </rPr>
          <t>_x000D_
CALCADOS, LUVAS, OCULOS, MASCARAS, CAPACETES, CASSETETE</t>
        </r>
      </text>
    </comment>
    <comment ref="AW929" authorId="0" shapeId="0" xr:uid="{850F1649-1474-4516-80E2-F1F3D2F46C05}">
      <text>
        <r>
          <rPr>
            <sz val="10"/>
            <color indexed="81"/>
            <rFont val="Lucida Console"/>
            <family val="3"/>
          </rPr>
          <t>Tempo de Estoque (Meses)_x000D_
_x000D_
3,0</t>
        </r>
      </text>
    </comment>
    <comment ref="A930" authorId="0" shapeId="0" xr:uid="{1A0C773C-A6C2-4C3B-A494-58E8260FEBE7}">
      <text>
        <r>
          <rPr>
            <sz val="10"/>
            <color indexed="81"/>
            <rFont val="Lucida Console"/>
            <family val="3"/>
          </rPr>
          <t>_x000D_
136838</t>
        </r>
      </text>
    </comment>
    <comment ref="B930" authorId="0" shapeId="0" xr:uid="{6F8BCFC2-B579-4AEE-A1E1-E1B24F758BD1}">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8F5009C3-C858-4807-AA30-1058C31D37F1}">
      <text>
        <r>
          <rPr>
            <sz val="10"/>
            <color indexed="81"/>
            <rFont val="Lucida Console"/>
            <family val="3"/>
          </rPr>
          <t>_x000D_
SegMedTra</t>
        </r>
      </text>
    </comment>
    <comment ref="X930" authorId="0" shapeId="0" xr:uid="{55178B8D-878B-4746-A089-090B359874FF}">
      <text>
        <r>
          <rPr>
            <sz val="10"/>
            <color indexed="81"/>
            <rFont val="Lucida Console"/>
            <family val="3"/>
          </rPr>
          <t>_x000D_
EQUIP PROT IND, INST MAT P/ SINAL, CONTR, COMB ...</t>
        </r>
      </text>
    </comment>
    <comment ref="Y930" authorId="0" shapeId="0" xr:uid="{BEFF8877-4276-479B-AE04-87A4B0CB5FFA}">
      <text>
        <r>
          <rPr>
            <sz val="10"/>
            <color indexed="81"/>
            <rFont val="Lucida Console"/>
            <family val="3"/>
          </rPr>
          <t>_x000D_
CALCADOS, LUVAS, OCULOS, MASCARAS, CAPACETES, CASSETETE</t>
        </r>
      </text>
    </comment>
    <comment ref="AW930" authorId="0" shapeId="0" xr:uid="{7B7D332C-DAB2-4B76-8052-81DEF19EB348}">
      <text>
        <r>
          <rPr>
            <sz val="10"/>
            <color indexed="81"/>
            <rFont val="Lucida Console"/>
            <family val="3"/>
          </rPr>
          <t>Tempo de Estoque (Meses)_x000D_
_x000D_
4,0</t>
        </r>
      </text>
    </comment>
    <comment ref="A931" authorId="0" shapeId="0" xr:uid="{11AEB835-3DC5-4D2A-9C40-0FCD37626CB1}">
      <text>
        <r>
          <rPr>
            <sz val="10"/>
            <color indexed="81"/>
            <rFont val="Lucida Console"/>
            <family val="3"/>
          </rPr>
          <t>_x000D_
136839</t>
        </r>
      </text>
    </comment>
    <comment ref="B931" authorId="0" shapeId="0" xr:uid="{BAE39E0E-6F6E-4F10-BE23-3AD222A8A0E4}">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5607FCEF-FE37-4C8D-915E-C63DB0CBC747}">
      <text>
        <r>
          <rPr>
            <sz val="10"/>
            <color indexed="81"/>
            <rFont val="Lucida Console"/>
            <family val="3"/>
          </rPr>
          <t>_x000D_
SegMedTra</t>
        </r>
      </text>
    </comment>
    <comment ref="X931" authorId="0" shapeId="0" xr:uid="{DC025475-DFE4-456C-A3C7-7E695DD8B276}">
      <text>
        <r>
          <rPr>
            <sz val="10"/>
            <color indexed="81"/>
            <rFont val="Lucida Console"/>
            <family val="3"/>
          </rPr>
          <t>_x000D_
EQUIP PROT IND, INST MAT P/ SINAL, CONTR, COMB ...</t>
        </r>
      </text>
    </comment>
    <comment ref="Y931" authorId="0" shapeId="0" xr:uid="{D8B79655-EBE7-41FB-91FD-9A3C0137DE44}">
      <text>
        <r>
          <rPr>
            <sz val="10"/>
            <color indexed="81"/>
            <rFont val="Lucida Console"/>
            <family val="3"/>
          </rPr>
          <t>_x000D_
CALCADOS, LUVAS, OCULOS, MASCARAS, CAPACETES, CASSETETE</t>
        </r>
      </text>
    </comment>
    <comment ref="AW931" authorId="0" shapeId="0" xr:uid="{0C5C6E24-5F76-45FA-B546-77FCA0A0EC9C}">
      <text>
        <r>
          <rPr>
            <sz val="10"/>
            <color indexed="81"/>
            <rFont val="Lucida Console"/>
            <family val="3"/>
          </rPr>
          <t>Tempo de Estoque (Meses)_x000D_
_x000D_
16,0</t>
        </r>
      </text>
    </comment>
    <comment ref="A932" authorId="0" shapeId="0" xr:uid="{9408E930-3D0C-4DB2-9391-D6514AC50744}">
      <text>
        <r>
          <rPr>
            <sz val="10"/>
            <color indexed="81"/>
            <rFont val="Lucida Console"/>
            <family val="3"/>
          </rPr>
          <t>_x000D_
136840</t>
        </r>
      </text>
    </comment>
    <comment ref="B932" authorId="0" shapeId="0" xr:uid="{8A4902C4-0B07-4E0C-97C9-A4F611FB703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25D81F94-1F49-445A-88F9-D3AF68838496}">
      <text>
        <r>
          <rPr>
            <sz val="10"/>
            <color indexed="81"/>
            <rFont val="Lucida Console"/>
            <family val="3"/>
          </rPr>
          <t>_x000D_
SegMedTra</t>
        </r>
      </text>
    </comment>
    <comment ref="X932" authorId="0" shapeId="0" xr:uid="{73DF3170-D311-49DE-B49F-1C0BDBADCEE2}">
      <text>
        <r>
          <rPr>
            <sz val="10"/>
            <color indexed="81"/>
            <rFont val="Lucida Console"/>
            <family val="3"/>
          </rPr>
          <t>_x000D_
EQUIP PROT IND, INST MAT P/ SINAL, CONTR, COMB ...</t>
        </r>
      </text>
    </comment>
    <comment ref="Y932" authorId="0" shapeId="0" xr:uid="{D99BBCB7-228B-47F4-A74E-8A27298B6B91}">
      <text>
        <r>
          <rPr>
            <sz val="10"/>
            <color indexed="81"/>
            <rFont val="Lucida Console"/>
            <family val="3"/>
          </rPr>
          <t>_x000D_
CALCADOS, LUVAS, OCULOS, MASCARAS, CAPACETES, CASSETETE</t>
        </r>
      </text>
    </comment>
    <comment ref="AW932" authorId="0" shapeId="0" xr:uid="{0B2E1186-39E0-4E98-8649-60C1A579A694}">
      <text>
        <r>
          <rPr>
            <sz val="10"/>
            <color indexed="81"/>
            <rFont val="Lucida Console"/>
            <family val="3"/>
          </rPr>
          <t>Tempo de Estoque (Meses)_x000D_
_x000D_
1,0</t>
        </r>
      </text>
    </comment>
    <comment ref="A933" authorId="0" shapeId="0" xr:uid="{9149008F-555A-41E6-98FF-5194CFB6F950}">
      <text>
        <r>
          <rPr>
            <sz val="10"/>
            <color indexed="81"/>
            <rFont val="Lucida Console"/>
            <family val="3"/>
          </rPr>
          <t>_x000D_
136841</t>
        </r>
      </text>
    </comment>
    <comment ref="B933" authorId="0" shapeId="0" xr:uid="{0C3B7D92-239A-440C-9EE8-63FF6FA0BB85}">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B45A129C-3F14-4847-85D3-55F7B6271920}">
      <text>
        <r>
          <rPr>
            <sz val="10"/>
            <color indexed="81"/>
            <rFont val="Lucida Console"/>
            <family val="3"/>
          </rPr>
          <t>_x000D_
SegMedTra</t>
        </r>
      </text>
    </comment>
    <comment ref="X933" authorId="0" shapeId="0" xr:uid="{43A2D547-33D4-4332-BBB2-EFFD8D8B547D}">
      <text>
        <r>
          <rPr>
            <sz val="10"/>
            <color indexed="81"/>
            <rFont val="Lucida Console"/>
            <family val="3"/>
          </rPr>
          <t>_x000D_
EQUIP PROT IND, INST MAT P/ SINAL, CONTR, COMB ...</t>
        </r>
      </text>
    </comment>
    <comment ref="Y933" authorId="0" shapeId="0" xr:uid="{1818F6F9-6AD7-4B21-BF45-07630045C0D7}">
      <text>
        <r>
          <rPr>
            <sz val="10"/>
            <color indexed="81"/>
            <rFont val="Lucida Console"/>
            <family val="3"/>
          </rPr>
          <t>_x000D_
CALCADOS, LUVAS, OCULOS, MASCARAS, CAPACETES, CASSETETE</t>
        </r>
      </text>
    </comment>
    <comment ref="AW933" authorId="0" shapeId="0" xr:uid="{2BDB3509-6EB0-4FAC-88FE-8A60392775A9}">
      <text>
        <r>
          <rPr>
            <sz val="10"/>
            <color indexed="81"/>
            <rFont val="Lucida Console"/>
            <family val="3"/>
          </rPr>
          <t>Tempo de Estoque (Meses)_x000D_
_x000D_
5,0</t>
        </r>
      </text>
    </comment>
    <comment ref="A934" authorId="0" shapeId="0" xr:uid="{B8A15845-357A-4395-9650-8105574E0DAC}">
      <text>
        <r>
          <rPr>
            <sz val="10"/>
            <color indexed="81"/>
            <rFont val="Lucida Console"/>
            <family val="3"/>
          </rPr>
          <t>_x000D_
136842</t>
        </r>
      </text>
    </comment>
    <comment ref="B934" authorId="0" shapeId="0" xr:uid="{C93C8E0B-F7B3-4FF3-9D08-554136BC5BA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F0FCC27-91C5-4A5C-ADBA-49B7E300051C}">
      <text>
        <r>
          <rPr>
            <sz val="10"/>
            <color indexed="81"/>
            <rFont val="Lucida Console"/>
            <family val="3"/>
          </rPr>
          <t>_x000D_
SegMedTra</t>
        </r>
      </text>
    </comment>
    <comment ref="X934" authorId="0" shapeId="0" xr:uid="{1E678C69-2AD8-4053-A344-36679BA6E83E}">
      <text>
        <r>
          <rPr>
            <sz val="10"/>
            <color indexed="81"/>
            <rFont val="Lucida Console"/>
            <family val="3"/>
          </rPr>
          <t>_x000D_
EQUIP PROT IND, INST MAT P/ SINAL, CONTR, COMB ...</t>
        </r>
      </text>
    </comment>
    <comment ref="Y934" authorId="0" shapeId="0" xr:uid="{141B80CA-8A92-4E06-85C4-29A1A90A6C0D}">
      <text>
        <r>
          <rPr>
            <sz val="10"/>
            <color indexed="81"/>
            <rFont val="Lucida Console"/>
            <family val="3"/>
          </rPr>
          <t>_x000D_
CALCADOS, LUVAS, OCULOS, MASCARAS, CAPACETES, CASSETETE</t>
        </r>
      </text>
    </comment>
    <comment ref="AW934" authorId="0" shapeId="0" xr:uid="{EF0EDF40-E345-43D5-8479-867E97C9F206}">
      <text>
        <r>
          <rPr>
            <sz val="10"/>
            <color indexed="81"/>
            <rFont val="Lucida Console"/>
            <family val="3"/>
          </rPr>
          <t>Tempo de Estoque (Meses)_x000D_
_x000D_
5,0</t>
        </r>
      </text>
    </comment>
    <comment ref="A935" authorId="0" shapeId="0" xr:uid="{4506CD01-1DF0-481A-A778-709FF206EEBE}">
      <text>
        <r>
          <rPr>
            <sz val="10"/>
            <color indexed="81"/>
            <rFont val="Lucida Console"/>
            <family val="3"/>
          </rPr>
          <t>_x000D_
136843</t>
        </r>
      </text>
    </comment>
    <comment ref="B935" authorId="0" shapeId="0" xr:uid="{E66EDA19-F72E-4B13-875D-8B76CF4FBA6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CE92EBD2-449B-4203-8343-715ABE7BE7A2}">
      <text>
        <r>
          <rPr>
            <sz val="10"/>
            <color indexed="81"/>
            <rFont val="Lucida Console"/>
            <family val="3"/>
          </rPr>
          <t>_x000D_
SegMedTra</t>
        </r>
      </text>
    </comment>
    <comment ref="X935" authorId="0" shapeId="0" xr:uid="{B114A3D8-B214-4644-8937-1FF7783A9F96}">
      <text>
        <r>
          <rPr>
            <sz val="10"/>
            <color indexed="81"/>
            <rFont val="Lucida Console"/>
            <family val="3"/>
          </rPr>
          <t>_x000D_
EQUIP PROT IND, INST MAT P/ SINAL, CONTR, COMB ...</t>
        </r>
      </text>
    </comment>
    <comment ref="Y935" authorId="0" shapeId="0" xr:uid="{8DFBD68B-37A9-4964-BCDF-3D8F3B5CFC44}">
      <text>
        <r>
          <rPr>
            <sz val="10"/>
            <color indexed="81"/>
            <rFont val="Lucida Console"/>
            <family val="3"/>
          </rPr>
          <t>_x000D_
CALCADOS, LUVAS, OCULOS, MASCARAS, CAPACETES, CASSETETE</t>
        </r>
      </text>
    </comment>
    <comment ref="AW935" authorId="0" shapeId="0" xr:uid="{45ED121B-5E54-4576-A999-3A109286CE58}">
      <text>
        <r>
          <rPr>
            <sz val="10"/>
            <color indexed="81"/>
            <rFont val="Lucida Console"/>
            <family val="3"/>
          </rPr>
          <t>Tempo de Estoque (Meses)_x000D_
_x000D_
7,0</t>
        </r>
      </text>
    </comment>
    <comment ref="A936" authorId="0" shapeId="0" xr:uid="{E83B6B84-ECAB-4069-90AF-2FA0F752E448}">
      <text>
        <r>
          <rPr>
            <sz val="10"/>
            <color indexed="81"/>
            <rFont val="Lucida Console"/>
            <family val="3"/>
          </rPr>
          <t>_x000D_
38648</t>
        </r>
      </text>
    </comment>
    <comment ref="B936" authorId="0" shapeId="0" xr:uid="{F3B255D6-B2E8-4218-A22F-EF58452800D2}">
      <text>
        <r>
          <rPr>
            <sz val="10"/>
            <color indexed="81"/>
            <rFont val="Lucida Console"/>
            <family val="3"/>
          </rPr>
          <t>DESCRIÇÃO DETALHADA_x000D_
CABO CTP-APL - SN - 50/10 PARES</t>
        </r>
      </text>
    </comment>
    <comment ref="W936" authorId="0" shapeId="0" xr:uid="{ADBEA09B-8891-4740-AAED-0B38440F8831}">
      <text>
        <r>
          <rPr>
            <sz val="10"/>
            <color indexed="81"/>
            <rFont val="Lucida Console"/>
            <family val="3"/>
          </rPr>
          <t>_x000D_
Administrativo</t>
        </r>
      </text>
    </comment>
    <comment ref="X936" authorId="0" shapeId="0" xr:uid="{4D100BCE-E23C-422A-8B58-1414FDF41ED2}">
      <text>
        <r>
          <rPr>
            <sz val="10"/>
            <color indexed="81"/>
            <rFont val="Lucida Console"/>
            <family val="3"/>
          </rPr>
          <t>_x000D_
EQUIP.MAT.E ACESS.COMUNIC.CINE FOTO OTICA SOM</t>
        </r>
      </text>
    </comment>
    <comment ref="Y936" authorId="0" shapeId="0" xr:uid="{3B6D84BA-B506-46D4-B47F-FE6A2FC64085}">
      <text>
        <r>
          <rPr>
            <sz val="10"/>
            <color indexed="81"/>
            <rFont val="Lucida Console"/>
            <family val="3"/>
          </rPr>
          <t>_x000D_
CABOS FIOS TOMADAS PLUGS CAIXAS P/ TELEFONIA, ETC</t>
        </r>
      </text>
    </comment>
    <comment ref="AW936" authorId="0" shapeId="0" xr:uid="{C97F3605-14C1-4A8E-A856-08BE0F66247F}">
      <text>
        <r>
          <rPr>
            <sz val="10"/>
            <color indexed="81"/>
            <rFont val="Lucida Console"/>
            <family val="3"/>
          </rPr>
          <t>Tempo de Estoque (Meses)_x000D_
_x000D_
308,0</t>
        </r>
      </text>
    </comment>
    <comment ref="A937" authorId="0" shapeId="0" xr:uid="{96F79371-5924-4DB0-9B2D-373AB90CEBF4}">
      <text>
        <r>
          <rPr>
            <sz val="10"/>
            <color indexed="81"/>
            <rFont val="Lucida Console"/>
            <family val="3"/>
          </rPr>
          <t>_x000D_
119087</t>
        </r>
      </text>
    </comment>
    <comment ref="B937" authorId="0" shapeId="0" xr:uid="{E2346BE8-3CBB-400E-91B4-8D7E1490F8CF}">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7" authorId="0" shapeId="0" xr:uid="{72A606C3-998D-4832-A57E-ACFA2311E947}">
      <text>
        <r>
          <rPr>
            <sz val="10"/>
            <color indexed="81"/>
            <rFont val="Lucida Console"/>
            <family val="3"/>
          </rPr>
          <t>_x000D_
Administrativo</t>
        </r>
      </text>
    </comment>
    <comment ref="X937" authorId="0" shapeId="0" xr:uid="{D659499C-71A9-47F9-A22C-BD5C278A62A6}">
      <text>
        <r>
          <rPr>
            <sz val="10"/>
            <color indexed="81"/>
            <rFont val="Lucida Console"/>
            <family val="3"/>
          </rPr>
          <t>_x000D_
EQUIP.MAT.E ACESS.COMUNIC.CINE FOTO OTICA SOM</t>
        </r>
      </text>
    </comment>
    <comment ref="Y937" authorId="0" shapeId="0" xr:uid="{E22867BC-981C-4143-893F-D76FAFFAFC46}">
      <text>
        <r>
          <rPr>
            <sz val="10"/>
            <color indexed="81"/>
            <rFont val="Lucida Console"/>
            <family val="3"/>
          </rPr>
          <t>_x000D_
CABOS FIOS TOMADAS PLUGS CAIXAS P/ TELEFONIA, ETC</t>
        </r>
      </text>
    </comment>
    <comment ref="AW937" authorId="0" shapeId="0" xr:uid="{38E14C25-BDB1-4BA9-A403-6587D256BB84}">
      <text>
        <r>
          <rPr>
            <sz val="10"/>
            <color indexed="81"/>
            <rFont val="Lucida Console"/>
            <family val="3"/>
          </rPr>
          <t>Tempo de Estoque (Meses)_x000D_
_x000D_
255,0</t>
        </r>
      </text>
    </comment>
    <comment ref="A938" authorId="0" shapeId="0" xr:uid="{93E6FF6B-D61C-4BBE-8BFF-B05FC8515FAF}">
      <text>
        <r>
          <rPr>
            <sz val="10"/>
            <color indexed="81"/>
            <rFont val="Lucida Console"/>
            <family val="3"/>
          </rPr>
          <t>_x000D_
13021</t>
        </r>
      </text>
    </comment>
    <comment ref="B938" authorId="0" shapeId="0" xr:uid="{66EC12C2-C5A2-45E6-8D7D-9ACC9A907C17}">
      <text>
        <r>
          <rPr>
            <sz val="10"/>
            <color indexed="81"/>
            <rFont val="Lucida Console"/>
            <family val="3"/>
          </rPr>
          <t>DESCRIÇÃO DETALHADA_x000D_
GRAMPO ISOLANTE FIX-FIO 1,0 A 2,5 MM2  (TIPO MIGUELAO) - CXC/ 20 UNIDADES</t>
        </r>
      </text>
    </comment>
    <comment ref="W938" authorId="0" shapeId="0" xr:uid="{5B1AE0B8-1CF9-4A9D-BA65-EAB2749EAA79}">
      <text>
        <r>
          <rPr>
            <sz val="10"/>
            <color indexed="81"/>
            <rFont val="Lucida Console"/>
            <family val="3"/>
          </rPr>
          <t>_x000D_
DM-Construção</t>
        </r>
      </text>
    </comment>
    <comment ref="X938" authorId="0" shapeId="0" xr:uid="{1A7AF2A6-3F66-4FE1-82CB-43122A88EBF2}">
      <text>
        <r>
          <rPr>
            <sz val="10"/>
            <color indexed="81"/>
            <rFont val="Lucida Console"/>
            <family val="3"/>
          </rPr>
          <t>_x000D_
PARAFUSOS ELEM. VEDACAO UNIAO CONEX . FIXACAO</t>
        </r>
      </text>
    </comment>
    <comment ref="Y938" authorId="0" shapeId="0" xr:uid="{48D3B6CC-16A9-4CA9-8C24-9EDFF7BF38B5}">
      <text>
        <r>
          <rPr>
            <sz val="10"/>
            <color indexed="81"/>
            <rFont val="Lucida Console"/>
            <family val="3"/>
          </rPr>
          <t>_x000D_
PREGOS E GRAMPOS</t>
        </r>
      </text>
    </comment>
    <comment ref="AW938" authorId="0" shapeId="0" xr:uid="{D3DC00B3-19CC-4429-9034-8CB878BDD836}">
      <text>
        <r>
          <rPr>
            <sz val="10"/>
            <color indexed="81"/>
            <rFont val="Lucida Console"/>
            <family val="3"/>
          </rPr>
          <t>Tempo de Estoque (Meses)_x000D_
_x000D_
250,0</t>
        </r>
      </text>
    </comment>
    <comment ref="A939" authorId="0" shapeId="0" xr:uid="{31681FF6-ED81-4B17-BFF7-CA2C32136101}">
      <text>
        <r>
          <rPr>
            <sz val="10"/>
            <color indexed="81"/>
            <rFont val="Lucida Console"/>
            <family val="3"/>
          </rPr>
          <t>_x000D_
2278</t>
        </r>
      </text>
    </comment>
    <comment ref="B939" authorId="0" shapeId="0" xr:uid="{49891E66-D3CA-403E-B902-560A5ABCAAEC}">
      <text>
        <r>
          <rPr>
            <sz val="10"/>
            <color indexed="81"/>
            <rFont val="Lucida Console"/>
            <family val="3"/>
          </rPr>
          <t>DESCRIÇÃO DETALHADA_x000D_
LINHA DE PEDREIRO - ROLO COM 100 M</t>
        </r>
      </text>
    </comment>
    <comment ref="W939" authorId="0" shapeId="0" xr:uid="{D1F09C28-49B7-4A04-AE57-3F97A515EAAA}">
      <text>
        <r>
          <rPr>
            <sz val="10"/>
            <color indexed="81"/>
            <rFont val="Lucida Console"/>
            <family val="3"/>
          </rPr>
          <t>_x000D_
DM-Construção</t>
        </r>
      </text>
    </comment>
    <comment ref="X939" authorId="0" shapeId="0" xr:uid="{412AF692-8C72-4931-AA32-1A8279680317}">
      <text>
        <r>
          <rPr>
            <sz val="10"/>
            <color indexed="81"/>
            <rFont val="Lucida Console"/>
            <family val="3"/>
          </rPr>
          <t>_x000D_
FERRAMENTAS MAQ.FERRAMENTAS,ELETR.PECAS E ACESSORI</t>
        </r>
      </text>
    </comment>
    <comment ref="Y939" authorId="0" shapeId="0" xr:uid="{C6901495-F9D0-4387-945B-6476970F197C}">
      <text>
        <r>
          <rPr>
            <sz val="10"/>
            <color indexed="81"/>
            <rFont val="Lucida Console"/>
            <family val="3"/>
          </rPr>
          <t>_x000D_
FERRAMENTAS E UTENSILIOS PARA PEDREIRO</t>
        </r>
      </text>
    </comment>
    <comment ref="AW939" authorId="0" shapeId="0" xr:uid="{BDD7A3CD-2216-4326-B08E-735D263FF837}">
      <text>
        <r>
          <rPr>
            <sz val="10"/>
            <color indexed="81"/>
            <rFont val="Lucida Console"/>
            <family val="3"/>
          </rPr>
          <t>Tempo de Estoque (Meses)_x000D_
_x000D_
208,0</t>
        </r>
      </text>
    </comment>
    <comment ref="A940" authorId="0" shapeId="0" xr:uid="{5C442912-A53A-4774-9AAA-D4C5AE36FF1E}">
      <text>
        <r>
          <rPr>
            <sz val="10"/>
            <color indexed="81"/>
            <rFont val="Lucida Console"/>
            <family val="3"/>
          </rPr>
          <t>_x000D_
128392</t>
        </r>
      </text>
    </comment>
    <comment ref="B940" authorId="0" shapeId="0" xr:uid="{B5F190E7-2370-4CF9-B3FB-9CBC8EED2409}">
      <text>
        <r>
          <rPr>
            <sz val="10"/>
            <color indexed="81"/>
            <rFont val="Lucida Console"/>
            <family val="3"/>
          </rPr>
          <t>DESCRIÇÃO DETALHADA_x000D_
FITA DE BORDO EM PVC TEXTURIZADA, COR BRANCA, MEDIDAS 45 X 0,45MM, ROLO COM 300 METROS</t>
        </r>
      </text>
    </comment>
    <comment ref="W940" authorId="0" shapeId="0" xr:uid="{7C73E808-77F7-46DA-92D6-AE7EC414E7D4}">
      <text>
        <r>
          <rPr>
            <sz val="10"/>
            <color indexed="81"/>
            <rFont val="Lucida Console"/>
            <family val="3"/>
          </rPr>
          <t>_x000D_
DM-Serralheria</t>
        </r>
      </text>
    </comment>
    <comment ref="X940" authorId="0" shapeId="0" xr:uid="{1D4C7BAD-7DE1-4406-955F-99DA8D24F72B}">
      <text>
        <r>
          <rPr>
            <sz val="10"/>
            <color indexed="81"/>
            <rFont val="Lucida Console"/>
            <family val="3"/>
          </rPr>
          <t>_x000D_
FERRAMENTAS MAQ.FERRAMENTAS,ELETR.PECAS E ACESSORI</t>
        </r>
      </text>
    </comment>
    <comment ref="Y940" authorId="0" shapeId="0" xr:uid="{87867F6E-FE4E-484A-8643-118BF202817F}">
      <text>
        <r>
          <rPr>
            <sz val="10"/>
            <color indexed="81"/>
            <rFont val="Lucida Console"/>
            <family val="3"/>
          </rPr>
          <t>_x000D_
MATERIAIS DIVERSOS P/ OFICINA MECANICA</t>
        </r>
      </text>
    </comment>
    <comment ref="AW940" authorId="0" shapeId="0" xr:uid="{4B69DA37-C8EB-4528-AA99-3F4A3F77145B}">
      <text>
        <r>
          <rPr>
            <sz val="10"/>
            <color indexed="81"/>
            <rFont val="Lucida Console"/>
            <family val="3"/>
          </rPr>
          <t>Tempo de Estoque (Meses)_x000D_
_x000D_
103,0</t>
        </r>
      </text>
    </comment>
    <comment ref="A941" authorId="0" shapeId="0" xr:uid="{50FD39D0-962F-47B6-983D-93629140127E}">
      <text>
        <r>
          <rPr>
            <sz val="10"/>
            <color indexed="81"/>
            <rFont val="Lucida Console"/>
            <family val="3"/>
          </rPr>
          <t>_x000D_
130614</t>
        </r>
      </text>
    </comment>
    <comment ref="B941" authorId="0" shapeId="0" xr:uid="{6BF30CBB-F460-470C-AE54-7A3A22191667}">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1" authorId="0" shapeId="0" xr:uid="{BC8E5489-8431-4F14-8651-CE0938A28594}">
      <text>
        <r>
          <rPr>
            <sz val="10"/>
            <color indexed="81"/>
            <rFont val="Lucida Console"/>
            <family val="3"/>
          </rPr>
          <t>_x000D_
DM-Jardinagem</t>
        </r>
      </text>
    </comment>
    <comment ref="X941" authorId="0" shapeId="0" xr:uid="{F25A0BC5-2409-41F3-88F1-9E5370C7E210}">
      <text>
        <r>
          <rPr>
            <sz val="10"/>
            <color indexed="81"/>
            <rFont val="Lucida Console"/>
            <family val="3"/>
          </rPr>
          <t>_x000D_
COMBUST.,LUBRIF.,OLEOS,GRAXAS,GAS</t>
        </r>
      </text>
    </comment>
    <comment ref="Y941" authorId="0" shapeId="0" xr:uid="{030571E5-DDB5-4C75-8A49-501D0287D343}">
      <text>
        <r>
          <rPr>
            <sz val="10"/>
            <color indexed="81"/>
            <rFont val="Lucida Console"/>
            <family val="3"/>
          </rPr>
          <t>_x000D_
OLEOS LUBRIF.,GRAXAS,CORTANTES,FLUIDOS HIDRAULICOS</t>
        </r>
      </text>
    </comment>
    <comment ref="AW941" authorId="0" shapeId="0" xr:uid="{B845E7B7-A3F4-43F9-BB93-3CDCF946C068}">
      <text>
        <r>
          <rPr>
            <sz val="10"/>
            <color indexed="81"/>
            <rFont val="Lucida Console"/>
            <family val="3"/>
          </rPr>
          <t>Tempo de Estoque (Meses)_x000D_
_x000D_
726,0</t>
        </r>
      </text>
    </comment>
    <comment ref="A942" authorId="0" shapeId="0" xr:uid="{0CD4597B-1B9C-4923-BC3D-E57FCF299FEC}">
      <text>
        <r>
          <rPr>
            <sz val="10"/>
            <color indexed="81"/>
            <rFont val="Lucida Console"/>
            <family val="3"/>
          </rPr>
          <t>_x000D_
86891</t>
        </r>
      </text>
    </comment>
    <comment ref="B942" authorId="0" shapeId="0" xr:uid="{966767AE-57AD-4BB2-B3C0-458B62EE1131}">
      <text>
        <r>
          <rPr>
            <sz val="10"/>
            <color indexed="81"/>
            <rFont val="Lucida Console"/>
            <family val="3"/>
          </rPr>
          <t>DESCRIÇÃO DETALHADA_x000D_
PONTEIRA REDONDA DE BORRACHA,  EXTERNA DE 5/8"</t>
        </r>
      </text>
    </comment>
    <comment ref="W942" authorId="0" shapeId="0" xr:uid="{E5768580-C54E-477A-8E73-DAE6B9A6E36A}">
      <text>
        <r>
          <rPr>
            <sz val="10"/>
            <color indexed="81"/>
            <rFont val="Lucida Console"/>
            <family val="3"/>
          </rPr>
          <t>_x000D_
DM-Marcenaria</t>
        </r>
      </text>
    </comment>
    <comment ref="X942" authorId="0" shapeId="0" xr:uid="{DDD6A0F7-95F7-40A1-BD7C-BB45DBC8D1FE}">
      <text>
        <r>
          <rPr>
            <sz val="10"/>
            <color indexed="81"/>
            <rFont val="Lucida Console"/>
            <family val="3"/>
          </rPr>
          <t>_x000D_
MOBILIARIO E COFRE</t>
        </r>
      </text>
    </comment>
    <comment ref="Y942" authorId="0" shapeId="0" xr:uid="{12AA2E59-FA20-489B-83F9-F8C32B8E1E67}">
      <text>
        <r>
          <rPr>
            <sz val="10"/>
            <color indexed="81"/>
            <rFont val="Lucida Console"/>
            <family val="3"/>
          </rPr>
          <t>_x000D_
ACESSORIOS</t>
        </r>
      </text>
    </comment>
    <comment ref="AW942" authorId="0" shapeId="0" xr:uid="{DDF532E8-E1BC-4D1F-9DCA-400C957D9A52}">
      <text>
        <r>
          <rPr>
            <sz val="10"/>
            <color indexed="81"/>
            <rFont val="Lucida Console"/>
            <family val="3"/>
          </rPr>
          <t>Tempo de Estoque (Meses)_x000D_
_x000D_
12.840,0</t>
        </r>
      </text>
    </comment>
    <comment ref="A943" authorId="0" shapeId="0" xr:uid="{A4F89611-DAF6-4682-8C92-C3602076BD52}">
      <text>
        <r>
          <rPr>
            <sz val="10"/>
            <color indexed="81"/>
            <rFont val="Lucida Console"/>
            <family val="3"/>
          </rPr>
          <t>_x000D_
102443</t>
        </r>
      </text>
    </comment>
    <comment ref="B943" authorId="0" shapeId="0" xr:uid="{28439CBC-7142-4919-8FF7-A08CF25352E8}">
      <text>
        <r>
          <rPr>
            <sz val="10"/>
            <color indexed="81"/>
            <rFont val="Lucida Console"/>
            <family val="3"/>
          </rPr>
          <t>DESCRIÇÃO DETALHADA_x000D_
TAMPO EM COMPENSADO DE 18MM REVESTIDO EM LAMINADO MELAMINICO, ACABAMENTO EM PERFIL DE PVC - 0,73 X 0,42 X 0,40M ()VARIACAO DE +/- 5CM)</t>
        </r>
      </text>
    </comment>
    <comment ref="W943" authorId="0" shapeId="0" xr:uid="{2F6DDF1B-438C-4476-AC40-6A2E6B0DBF8F}">
      <text>
        <r>
          <rPr>
            <sz val="10"/>
            <color indexed="81"/>
            <rFont val="Lucida Console"/>
            <family val="3"/>
          </rPr>
          <t>_x000D_
Pedagógico</t>
        </r>
      </text>
    </comment>
    <comment ref="X943" authorId="0" shapeId="0" xr:uid="{F0EF032D-3F56-43EC-9C92-1075F0C31961}">
      <text>
        <r>
          <rPr>
            <sz val="10"/>
            <color indexed="81"/>
            <rFont val="Lucida Console"/>
            <family val="3"/>
          </rPr>
          <t>_x000D_
MOBILIARIO E COFRE</t>
        </r>
      </text>
    </comment>
    <comment ref="Y943" authorId="0" shapeId="0" xr:uid="{49A9AA67-7854-459C-B509-E175E9F23551}">
      <text>
        <r>
          <rPr>
            <sz val="10"/>
            <color indexed="81"/>
            <rFont val="Lucida Console"/>
            <family val="3"/>
          </rPr>
          <t>_x000D_
MOBILIARIO ESCOLAR</t>
        </r>
      </text>
    </comment>
    <comment ref="AW943" authorId="0" shapeId="0" xr:uid="{9B6109DB-5A12-414C-868F-9B88E1D1D368}">
      <text>
        <r>
          <rPr>
            <sz val="10"/>
            <color indexed="81"/>
            <rFont val="Lucida Console"/>
            <family val="3"/>
          </rPr>
          <t>Tempo de Estoque (Meses)_x000D_
_x000D_
210,0</t>
        </r>
      </text>
    </comment>
    <comment ref="A944" authorId="0" shapeId="0" xr:uid="{1407FBCC-8844-416E-8BF6-064A2A96B6E1}">
      <text>
        <r>
          <rPr>
            <sz val="10"/>
            <color indexed="81"/>
            <rFont val="Lucida Console"/>
            <family val="3"/>
          </rPr>
          <t>_x000D_
128832</t>
        </r>
      </text>
    </comment>
    <comment ref="B944" authorId="0" shapeId="0" xr:uid="{A779293E-AED1-438E-80D7-B29A900A6910}">
      <text>
        <r>
          <rPr>
            <sz val="10"/>
            <color indexed="81"/>
            <rFont val="Lucida Console"/>
            <family val="3"/>
          </rPr>
          <t xml:space="preserve">DESCRIÇÃO DETALHADA_x000D_
PNEU 28 X 9 - 15 (7,0) MACICO PARA EMPILHADEIRA </t>
        </r>
      </text>
    </comment>
    <comment ref="W944" authorId="0" shapeId="0" xr:uid="{4976F30F-581F-4548-862A-246B3F720188}">
      <text>
        <r>
          <rPr>
            <sz val="10"/>
            <color indexed="81"/>
            <rFont val="Lucida Console"/>
            <family val="3"/>
          </rPr>
          <t>_x000D_
Administrativo</t>
        </r>
      </text>
    </comment>
    <comment ref="X944" authorId="0" shapeId="0" xr:uid="{82AEF396-4A0F-48FD-A423-19F0050B0CD6}">
      <text>
        <r>
          <rPr>
            <sz val="10"/>
            <color indexed="81"/>
            <rFont val="Lucida Console"/>
            <family val="3"/>
          </rPr>
          <t>_x000D_
VEIC.TRANSP.DE CARGAS E PASSAG.-COMP.EQUIP.E ACES.</t>
        </r>
      </text>
    </comment>
    <comment ref="Y944" authorId="0" shapeId="0" xr:uid="{D062C594-E943-4EFB-BC75-DFAB38BB1D97}">
      <text>
        <r>
          <rPr>
            <sz val="10"/>
            <color indexed="81"/>
            <rFont val="Lucida Console"/>
            <family val="3"/>
          </rPr>
          <t>_x000D_
PNEUS P/ MICRO-TRATORES E TRATORES</t>
        </r>
      </text>
    </comment>
    <comment ref="AW944" authorId="0" shapeId="0" xr:uid="{E6077115-C4CB-4541-8599-E3F6CB4C3920}">
      <text>
        <r>
          <rPr>
            <sz val="10"/>
            <color indexed="81"/>
            <rFont val="Lucida Console"/>
            <family val="3"/>
          </rPr>
          <t>Tempo de Estoque (Meses)_x000D_
_x000D_
2,0</t>
        </r>
      </text>
    </comment>
    <comment ref="A945" authorId="0" shapeId="0" xr:uid="{00E08908-C9DD-45A6-88FE-F2516960C7B7}">
      <text>
        <r>
          <rPr>
            <sz val="10"/>
            <color indexed="81"/>
            <rFont val="Lucida Console"/>
            <family val="3"/>
          </rPr>
          <t>_x000D_
125576</t>
        </r>
      </text>
    </comment>
    <comment ref="B945" authorId="0" shapeId="0" xr:uid="{C9FC6D7A-60E3-4BC7-9418-19089F4BFAF8}">
      <text>
        <r>
          <rPr>
            <sz val="10"/>
            <color indexed="81"/>
            <rFont val="Lucida Console"/>
            <family val="3"/>
          </rPr>
          <t>DESCRIÇÃO DETALHADA_x000D_
PNEU 700/12, 14 LONAS, PNEUMATICO - PARA EMPILHADEIRA</t>
        </r>
      </text>
    </comment>
    <comment ref="W945" authorId="0" shapeId="0" xr:uid="{3743CACB-69FA-41C9-9C31-321875EAA34C}">
      <text>
        <r>
          <rPr>
            <sz val="10"/>
            <color indexed="81"/>
            <rFont val="Lucida Console"/>
            <family val="3"/>
          </rPr>
          <t>_x000D_
Administrativo</t>
        </r>
      </text>
    </comment>
    <comment ref="X945" authorId="0" shapeId="0" xr:uid="{3D26318F-9964-4153-AE70-87C005CE3281}">
      <text>
        <r>
          <rPr>
            <sz val="10"/>
            <color indexed="81"/>
            <rFont val="Lucida Console"/>
            <family val="3"/>
          </rPr>
          <t>_x000D_
VEIC.TRANSP.DE CARGAS E PASSAG.-COMP.EQUIP.E ACES.</t>
        </r>
      </text>
    </comment>
    <comment ref="Y945" authorId="0" shapeId="0" xr:uid="{5607E2BE-E338-4A08-A15F-928CCDE5C122}">
      <text>
        <r>
          <rPr>
            <sz val="10"/>
            <color indexed="81"/>
            <rFont val="Lucida Console"/>
            <family val="3"/>
          </rPr>
          <t>_x000D_
PNEUS P/ EQUIP.INDUSTRIAIS</t>
        </r>
      </text>
    </comment>
    <comment ref="AW945" authorId="0" shapeId="0" xr:uid="{323A75E5-58FA-4384-A5D8-89A6B3BAE794}">
      <text>
        <r>
          <rPr>
            <sz val="10"/>
            <color indexed="81"/>
            <rFont val="Lucida Console"/>
            <family val="3"/>
          </rPr>
          <t>Tempo de Estoque (Meses)_x000D_
_x000D_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A2" authorId="0" shapeId="0" xr:uid="{6FA332F7-31D9-485C-BA68-22CE8960FCFD}">
      <text>
        <r>
          <rPr>
            <sz val="10"/>
            <color indexed="81"/>
            <rFont val="Lucida Console"/>
            <family val="3"/>
          </rPr>
          <t xml:space="preserve">     CÓDIGO</t>
        </r>
      </text>
    </comment>
    <comment ref="B2" authorId="0" shapeId="0" xr:uid="{B6DB116A-8B7C-4CE9-982B-46AD52B2E8B5}">
      <text>
        <r>
          <rPr>
            <sz val="10"/>
            <color indexed="81"/>
            <rFont val="Lucida Console"/>
            <family val="3"/>
          </rPr>
          <t xml:space="preserve">     DESCRIÇÃO</t>
        </r>
      </text>
    </comment>
    <comment ref="C2" authorId="0" shapeId="0" xr:uid="{559D422D-6A05-48E8-9190-048EF25940CC}">
      <text>
        <r>
          <rPr>
            <sz val="10"/>
            <color indexed="81"/>
            <rFont val="Lucida Console"/>
            <family val="3"/>
          </rPr>
          <t xml:space="preserve">     UNIDADE</t>
        </r>
      </text>
    </comment>
    <comment ref="D2" authorId="0" shapeId="0" xr:uid="{31A0E89E-6B3A-499D-B525-867263F53BE7}">
      <text>
        <r>
          <rPr>
            <sz val="10"/>
            <color indexed="81"/>
            <rFont val="Lucida Console"/>
            <family val="3"/>
          </rPr>
          <t xml:space="preserve">     VALOR UNIT.</t>
        </r>
      </text>
    </comment>
    <comment ref="E2" authorId="0" shapeId="0" xr:uid="{3B0A1C8A-07CF-4DC3-9057-FFD91B17A14A}">
      <text>
        <r>
          <rPr>
            <sz val="10"/>
            <color indexed="81"/>
            <rFont val="Lucida Console"/>
            <family val="3"/>
          </rPr>
          <t xml:space="preserve">     MARCA</t>
        </r>
      </text>
    </comment>
    <comment ref="F2" authorId="0" shapeId="0" xr:uid="{911F64D1-28D6-4528-8791-A55953D7B199}">
      <text>
        <r>
          <rPr>
            <sz val="10"/>
            <color indexed="81"/>
            <rFont val="Lucida Console"/>
            <family val="3"/>
          </rPr>
          <t xml:space="preserve">     FORNECEDOR</t>
        </r>
      </text>
    </comment>
    <comment ref="G2" authorId="0" shapeId="0" xr:uid="{17D49F1C-659D-4323-B02A-993F82F0D454}">
      <text>
        <r>
          <rPr>
            <sz val="10"/>
            <color indexed="81"/>
            <rFont val="Lucida Console"/>
            <family val="3"/>
          </rPr>
          <t xml:space="preserve">     LICITACAO</t>
        </r>
      </text>
    </comment>
    <comment ref="H2" authorId="0" shapeId="0" xr:uid="{D92535F7-BF15-4CBA-8EED-2506AB994287}">
      <text>
        <r>
          <rPr>
            <sz val="10"/>
            <color indexed="81"/>
            <rFont val="Lucida Console"/>
            <family val="3"/>
          </rPr>
          <t xml:space="preserve">     QTDE ATUAL</t>
        </r>
      </text>
    </comment>
    <comment ref="I2" authorId="0" shapeId="0" xr:uid="{94DD032C-9F53-41C7-8F9B-7A8F5C6917AF}">
      <text>
        <r>
          <rPr>
            <sz val="10"/>
            <color indexed="81"/>
            <rFont val="Lucida Console"/>
            <family val="3"/>
          </rPr>
          <t xml:space="preserve">     COD. ALMOX</t>
        </r>
      </text>
    </comment>
    <comment ref="J2" authorId="0" shapeId="0" xr:uid="{1FCE093F-D409-4875-8011-D4A9502DAED7}">
      <text>
        <r>
          <rPr>
            <sz val="10"/>
            <color indexed="81"/>
            <rFont val="Lucida Console"/>
            <family val="3"/>
          </rPr>
          <t xml:space="preserve">     PREÇO MÉDIO</t>
        </r>
      </text>
    </comment>
    <comment ref="K2" authorId="0" shapeId="0" xr:uid="{27B8058E-9088-451E-98E9-A8BE75FAB4B4}">
      <text>
        <r>
          <rPr>
            <sz val="10"/>
            <color indexed="81"/>
            <rFont val="Lucida Console"/>
            <family val="3"/>
          </rPr>
          <t xml:space="preserve">     L.C. 6 MESES</t>
        </r>
      </text>
    </comment>
    <comment ref="L2" authorId="0" shapeId="0" xr:uid="{5C34A8BD-8D88-4954-9DC8-419490AC2260}">
      <text>
        <r>
          <rPr>
            <sz val="10"/>
            <color indexed="81"/>
            <rFont val="Lucida Console"/>
            <family val="3"/>
          </rPr>
          <t xml:space="preserve">     TEMPO ESTOQUE</t>
        </r>
      </text>
    </comment>
    <comment ref="M2" authorId="0" shapeId="0" xr:uid="{FE6FFC37-2978-4955-B516-3A44222F4355}">
      <text>
        <r>
          <rPr>
            <sz val="10"/>
            <color indexed="81"/>
            <rFont val="Lucida Console"/>
            <family val="3"/>
          </rPr>
          <t xml:space="preserve">     LC</t>
        </r>
      </text>
    </comment>
    <comment ref="N2" authorId="0" shapeId="0" xr:uid="{1A4BF3CD-9545-4568-B022-65CBE3E9067F}">
      <text>
        <r>
          <rPr>
            <sz val="10"/>
            <color indexed="81"/>
            <rFont val="Lucida Console"/>
            <family val="3"/>
          </rPr>
          <t xml:space="preserve">     TOTAL</t>
        </r>
      </text>
    </comment>
    <comment ref="O2" authorId="0" shapeId="0" xr:uid="{AF7D20CA-6BF3-45D6-89CD-71F4869FEB47}">
      <text>
        <r>
          <rPr>
            <sz val="10"/>
            <color indexed="81"/>
            <rFont val="Lucida Console"/>
            <family val="3"/>
          </rPr>
          <t xml:space="preserve">     ATA Nº/ANO</t>
        </r>
      </text>
    </comment>
    <comment ref="P2" authorId="0" shapeId="0" xr:uid="{346D2A2A-7411-4DD4-8D88-EAF0BDA8C2D1}">
      <text>
        <r>
          <rPr>
            <sz val="10"/>
            <color indexed="81"/>
            <rFont val="Lucida Console"/>
            <family val="3"/>
          </rPr>
          <t xml:space="preserve">     ATA QTDE</t>
        </r>
      </text>
    </comment>
    <comment ref="Q2" authorId="0" shapeId="0" xr:uid="{7F4400E9-C792-4BB5-BFDD-FADD3C13B38A}">
      <text>
        <r>
          <rPr>
            <sz val="10"/>
            <color indexed="81"/>
            <rFont val="Lucida Console"/>
            <family val="3"/>
          </rPr>
          <t xml:space="preserve">     ATA VALOR</t>
        </r>
      </text>
    </comment>
    <comment ref="R2" authorId="0" shapeId="0" xr:uid="{ACDD8567-8D6A-452F-9C56-FFCFDB9B7AE5}">
      <text>
        <r>
          <rPr>
            <sz val="10"/>
            <color indexed="81"/>
            <rFont val="Lucida Console"/>
            <family val="3"/>
          </rPr>
          <t xml:space="preserve">     ATA DT.VALID.</t>
        </r>
      </text>
    </comment>
    <comment ref="S2" authorId="0" shapeId="0" xr:uid="{3D3CE8AA-693A-4804-A8B0-9E86D149AA69}">
      <text>
        <r>
          <rPr>
            <sz val="10"/>
            <color indexed="81"/>
            <rFont val="Lucida Console"/>
            <family val="3"/>
          </rPr>
          <t xml:space="preserve">     DESCRIÇÃO DA ESTRUTURA</t>
        </r>
      </text>
    </comment>
    <comment ref="T2" authorId="0" shapeId="0" xr:uid="{99203B73-1943-44EA-955B-326D4CEAB02F}">
      <text>
        <r>
          <rPr>
            <sz val="10"/>
            <color indexed="81"/>
            <rFont val="Lucida Console"/>
            <family val="3"/>
          </rPr>
          <t xml:space="preserve">     ESTRUTURA</t>
        </r>
      </text>
    </comment>
    <comment ref="U2" authorId="0" shapeId="0" xr:uid="{6059D202-F3FF-4891-8E66-607970FD159A}">
      <text>
        <r>
          <rPr>
            <sz val="10"/>
            <color indexed="81"/>
            <rFont val="Lucida Console"/>
            <family val="3"/>
          </rPr>
          <t xml:space="preserve">     GRUPO</t>
        </r>
      </text>
    </comment>
    <comment ref="V2" authorId="0" shapeId="0" xr:uid="{243A42B3-68E2-4AD4-BE9E-BF521C1B5696}">
      <text>
        <r>
          <rPr>
            <sz val="10"/>
            <color indexed="81"/>
            <rFont val="Lucida Console"/>
            <family val="3"/>
          </rPr>
          <t xml:space="preserve">     SUBGRUPO</t>
        </r>
      </text>
    </comment>
    <comment ref="W2" authorId="0" shapeId="0" xr:uid="{4A475204-271D-49C9-9EDD-5AB3E818E2C0}">
      <text>
        <r>
          <rPr>
            <sz val="10"/>
            <color indexed="81"/>
            <rFont val="Lucida Console"/>
            <family val="3"/>
          </rPr>
          <t xml:space="preserve">     RC Nº</t>
        </r>
      </text>
    </comment>
    <comment ref="X2" authorId="0" shapeId="0" xr:uid="{2B1D9A4B-4D68-4264-B96B-CA1B77AF529D}">
      <text>
        <r>
          <rPr>
            <sz val="10"/>
            <color indexed="81"/>
            <rFont val="Lucida Console"/>
            <family val="3"/>
          </rPr>
          <t xml:space="preserve">     RC ANO </t>
        </r>
      </text>
    </comment>
    <comment ref="Y2" authorId="0" shapeId="0" xr:uid="{6229BE5A-3FA7-4C64-B818-B82E958B1C09}">
      <text>
        <r>
          <rPr>
            <sz val="10"/>
            <color indexed="81"/>
            <rFont val="Lucida Console"/>
            <family val="3"/>
          </rPr>
          <t xml:space="preserve">     RC QTDE</t>
        </r>
      </text>
    </comment>
    <comment ref="Z2" authorId="0" shapeId="0" xr:uid="{2591C23C-74A6-432D-9D8B-2119E0839BF9}">
      <text>
        <r>
          <rPr>
            <sz val="10"/>
            <color indexed="81"/>
            <rFont val="Lucida Console"/>
            <family val="3"/>
          </rPr>
          <t xml:space="preserve">     AF Nº</t>
        </r>
      </text>
    </comment>
    <comment ref="AA2" authorId="0" shapeId="0" xr:uid="{83DA0A9F-6D9E-4473-B287-D863D7C7F30C}">
      <text>
        <r>
          <rPr>
            <sz val="10"/>
            <color indexed="81"/>
            <rFont val="Lucida Console"/>
            <family val="3"/>
          </rPr>
          <t xml:space="preserve">     AF ANO</t>
        </r>
      </text>
    </comment>
    <comment ref="AB2" authorId="0" shapeId="0" xr:uid="{3E177BC6-A1FD-476E-9C5B-5F4F974D7D75}">
      <text>
        <r>
          <rPr>
            <sz val="10"/>
            <color indexed="81"/>
            <rFont val="Lucida Console"/>
            <family val="3"/>
          </rPr>
          <t xml:space="preserve">     AF SALDO</t>
        </r>
      </text>
    </comment>
    <comment ref="AC2" authorId="0" shapeId="0" xr:uid="{11F2047D-0C3D-4C42-AE71-0C443203BDEB}">
      <text>
        <r>
          <rPr>
            <sz val="10"/>
            <color indexed="81"/>
            <rFont val="Lucida Console"/>
            <family val="3"/>
          </rPr>
          <t xml:space="preserve">     AF QTDE</t>
        </r>
      </text>
    </comment>
    <comment ref="AD2" authorId="0" shapeId="0" xr:uid="{01D15FBD-0B13-4771-A7AE-849076F011F7}">
      <text>
        <r>
          <rPr>
            <sz val="10"/>
            <color indexed="81"/>
            <rFont val="Lucida Console"/>
            <family val="3"/>
          </rPr>
          <t xml:space="preserve">     AF FORN</t>
        </r>
      </text>
    </comment>
    <comment ref="AE2" authorId="0" shapeId="0" xr:uid="{D6344196-8F71-49C1-A673-0BB515828902}">
      <text>
        <r>
          <rPr>
            <sz val="10"/>
            <color indexed="81"/>
            <rFont val="Lucida Console"/>
            <family val="3"/>
          </rPr>
          <t xml:space="preserve">     AF VENC</t>
        </r>
      </text>
    </comment>
    <comment ref="AF2" authorId="0" shapeId="0" xr:uid="{4FB7D6CD-C1E2-4ECF-ADBE-19FC1C4A3078}">
      <text>
        <r>
          <rPr>
            <sz val="10"/>
            <color indexed="81"/>
            <rFont val="Lucida Console"/>
            <family val="3"/>
          </rPr>
          <t xml:space="preserve">     PONTO PEDIDO</t>
        </r>
      </text>
    </comment>
    <comment ref="AG2" authorId="0" shapeId="0" xr:uid="{46CE6AA9-5EB2-4415-9482-0C5089DF21DF}">
      <text>
        <r>
          <rPr>
            <sz val="10"/>
            <color indexed="81"/>
            <rFont val="Lucida Console"/>
            <family val="3"/>
          </rPr>
          <t xml:space="preserve">     DATA ENTREGA</t>
        </r>
      </text>
    </comment>
    <comment ref="AH2" authorId="0" shapeId="0" xr:uid="{45E92530-DAC3-435F-A935-7023DA803CC5}">
      <text>
        <r>
          <rPr>
            <sz val="10"/>
            <color indexed="81"/>
            <rFont val="Lucida Console"/>
            <family val="3"/>
          </rPr>
          <t xml:space="preserve">     DATA INCLUSÃO</t>
        </r>
      </text>
    </comment>
    <comment ref="AI2" authorId="0" shapeId="0" xr:uid="{99FA5710-784E-4A7A-8418-467AAA52F1EB}">
      <text>
        <r>
          <rPr>
            <sz val="10"/>
            <color indexed="81"/>
            <rFont val="Lucida Console"/>
            <family val="3"/>
          </rPr>
          <t xml:space="preserve">     DATA ALTERAÇÃO</t>
        </r>
      </text>
    </comment>
    <comment ref="AJ2" authorId="0" shapeId="0" xr:uid="{D9015E1F-1FC8-45C3-9E4E-3380F2971674}">
      <text>
        <r>
          <rPr>
            <sz val="10"/>
            <color indexed="81"/>
            <rFont val="Lucida Console"/>
            <family val="3"/>
          </rPr>
          <t xml:space="preserve">     DATA DESATIVAÇÃO</t>
        </r>
      </text>
    </comment>
    <comment ref="AK2" authorId="0" shapeId="0" xr:uid="{C20A0765-143A-4D81-9E29-6C73BF9390CF}">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E1" authorId="0" shapeId="0" xr:uid="{252FB1F8-2F6F-4033-B856-7144BA66D06C}">
      <text>
        <r>
          <rPr>
            <sz val="9"/>
            <color indexed="81"/>
            <rFont val="Segoe UI"/>
            <family val="2"/>
          </rPr>
          <t>Total de linhas da planilha = 869</t>
        </r>
      </text>
    </comment>
    <comment ref="A2" authorId="0" shapeId="0" xr:uid="{CCC44B42-61B8-4630-B14D-8C6D393B7CDA}">
      <text>
        <r>
          <rPr>
            <sz val="10"/>
            <color indexed="81"/>
            <rFont val="Lucida Console"/>
            <family val="3"/>
          </rPr>
          <t xml:space="preserve">Ordenado por: CÓDIGO_x000D_
_x000D_
</t>
        </r>
      </text>
    </comment>
    <comment ref="F2" authorId="0" shapeId="0" xr:uid="{302DA15B-08BF-4161-A5A0-23E098B4417B}">
      <text>
        <r>
          <rPr>
            <sz val="10"/>
            <color indexed="81"/>
            <rFont val="Lucida Console"/>
            <family val="3"/>
          </rPr>
          <t xml:space="preserve"> 08_22</t>
        </r>
      </text>
    </comment>
    <comment ref="G2" authorId="0" shapeId="0" xr:uid="{8DF95593-1BF6-4159-8AC3-C34032AA6380}">
      <text>
        <r>
          <rPr>
            <sz val="10"/>
            <color indexed="81"/>
            <rFont val="Lucida Console"/>
            <family val="3"/>
          </rPr>
          <t xml:space="preserve"> 09_22</t>
        </r>
      </text>
    </comment>
    <comment ref="H2" authorId="0" shapeId="0" xr:uid="{F9C507AC-99EE-4E06-890D-4FFFF146726D}">
      <text>
        <r>
          <rPr>
            <sz val="10"/>
            <color indexed="81"/>
            <rFont val="Lucida Console"/>
            <family val="3"/>
          </rPr>
          <t xml:space="preserve"> 10_22</t>
        </r>
      </text>
    </comment>
    <comment ref="I2" authorId="0" shapeId="0" xr:uid="{DD18FC66-60FC-4765-AA88-D829021469B8}">
      <text>
        <r>
          <rPr>
            <sz val="10"/>
            <color indexed="81"/>
            <rFont val="Lucida Console"/>
            <family val="3"/>
          </rPr>
          <t xml:space="preserve"> 11_22</t>
        </r>
      </text>
    </comment>
    <comment ref="J2" authorId="0" shapeId="0" xr:uid="{92D7BF0F-DDF6-4EA8-82CC-EACCB4EE8537}">
      <text>
        <r>
          <rPr>
            <sz val="10"/>
            <color indexed="81"/>
            <rFont val="Lucida Console"/>
            <family val="3"/>
          </rPr>
          <t xml:space="preserve"> 12_22</t>
        </r>
      </text>
    </comment>
    <comment ref="K2" authorId="0" shapeId="0" xr:uid="{6904E4F5-D54D-42CB-A297-BB78EBC8CBF6}">
      <text>
        <r>
          <rPr>
            <sz val="10"/>
            <color indexed="81"/>
            <rFont val="Lucida Console"/>
            <family val="3"/>
          </rPr>
          <t xml:space="preserve"> 01_23</t>
        </r>
      </text>
    </comment>
    <comment ref="L2" authorId="0" shapeId="0" xr:uid="{C0146EA8-15BC-4192-BA10-0731C2A126A3}">
      <text>
        <r>
          <rPr>
            <sz val="10"/>
            <color indexed="81"/>
            <rFont val="Lucida Console"/>
            <family val="3"/>
          </rPr>
          <t xml:space="preserve"> 02_23</t>
        </r>
      </text>
    </comment>
    <comment ref="M2" authorId="0" shapeId="0" xr:uid="{D397A40B-ECD4-4197-B437-54CC10A27E17}">
      <text>
        <r>
          <rPr>
            <sz val="10"/>
            <color indexed="81"/>
            <rFont val="Lucida Console"/>
            <family val="3"/>
          </rPr>
          <t xml:space="preserve"> 03_23</t>
        </r>
      </text>
    </comment>
    <comment ref="N2" authorId="0" shapeId="0" xr:uid="{7E2722E3-7E92-4AE3-B0A4-B16F273C5B6E}">
      <text>
        <r>
          <rPr>
            <sz val="10"/>
            <color indexed="81"/>
            <rFont val="Lucida Console"/>
            <family val="3"/>
          </rPr>
          <t xml:space="preserve"> 04_23</t>
        </r>
      </text>
    </comment>
    <comment ref="O2" authorId="0" shapeId="0" xr:uid="{46716DAE-7F84-4646-ADFC-796D8434A6BE}">
      <text>
        <r>
          <rPr>
            <sz val="10"/>
            <color indexed="81"/>
            <rFont val="Lucida Console"/>
            <family val="3"/>
          </rPr>
          <t xml:space="preserve"> 05_23</t>
        </r>
      </text>
    </comment>
    <comment ref="P2" authorId="0" shapeId="0" xr:uid="{D5CF8BD7-E29C-4BE5-B980-CE5B9F6DAD47}">
      <text>
        <r>
          <rPr>
            <sz val="10"/>
            <color indexed="81"/>
            <rFont val="Lucida Console"/>
            <family val="3"/>
          </rPr>
          <t xml:space="preserve"> 06_23</t>
        </r>
      </text>
    </comment>
    <comment ref="Q2" authorId="0" shapeId="0" xr:uid="{3E348FD2-F554-472E-BEF4-901256D509DF}">
      <text>
        <r>
          <rPr>
            <sz val="10"/>
            <color indexed="81"/>
            <rFont val="Lucida Console"/>
            <family val="3"/>
          </rPr>
          <t xml:space="preserve"> 07_23</t>
        </r>
      </text>
    </comment>
    <comment ref="R2" authorId="0" shapeId="0" xr:uid="{08F3402B-C5C1-4EB3-8936-A1B8BFC01C4C}">
      <text>
        <r>
          <rPr>
            <sz val="10"/>
            <color indexed="81"/>
            <rFont val="Lucida Console"/>
            <family val="3"/>
          </rPr>
          <t>Data de inclusão do item no ADMC</t>
        </r>
      </text>
    </comment>
    <comment ref="T2" authorId="0" shapeId="0" xr:uid="{50087B5E-5003-4141-93F8-A8061A0A624E}">
      <text>
        <r>
          <rPr>
            <sz val="10"/>
            <color indexed="81"/>
            <rFont val="Lucida Console"/>
            <family val="3"/>
          </rPr>
          <t>Média aritmética simples dos valores das colunas F até 07_23._x000D_
Divisor = 12</t>
        </r>
      </text>
    </comment>
    <comment ref="U2" authorId="0" shapeId="0" xr:uid="{1121F2C2-8134-4999-8B1D-1D7C3E21D57E}">
      <text>
        <r>
          <rPr>
            <sz val="10"/>
            <color indexed="81"/>
            <rFont val="Lucida Console"/>
            <family val="3"/>
          </rPr>
          <t>1ª Faixa do Desvio Padrão</t>
        </r>
      </text>
    </comment>
    <comment ref="V2" authorId="0" shapeId="0" xr:uid="{F6F71521-E328-4D25-8294-3A8A9FDF71D7}">
      <text>
        <r>
          <rPr>
            <sz val="10"/>
            <color indexed="81"/>
            <rFont val="Lucida Console"/>
            <family val="3"/>
          </rPr>
          <t>2ª Faixa do Desvio Padrão</t>
        </r>
      </text>
    </comment>
    <comment ref="W2" authorId="0" shapeId="0" xr:uid="{B6BA13C0-E670-42E9-8176-908169C9FB4E}">
      <text>
        <r>
          <rPr>
            <sz val="10"/>
            <color indexed="81"/>
            <rFont val="Lucida Console"/>
            <family val="3"/>
          </rPr>
          <t>3ª Faixa do Desvio Padrão</t>
        </r>
      </text>
    </comment>
    <comment ref="X2" authorId="0" shapeId="0" xr:uid="{85B79386-53AF-44E0-B129-C9C639C4F596}">
      <text>
        <r>
          <rPr>
            <sz val="10"/>
            <color indexed="81"/>
            <rFont val="Lucida Console"/>
            <family val="3"/>
          </rPr>
          <t>Número da faixa de corte utilizada. Informar valores entre 1 e 3.</t>
        </r>
      </text>
    </comment>
    <comment ref="Y2" authorId="0" shapeId="0" xr:uid="{699B91CF-C60E-40FA-B462-001CC4F9EB53}">
      <text>
        <r>
          <rPr>
            <sz val="10"/>
            <color indexed="81"/>
            <rFont val="Lucida Console"/>
            <family val="3"/>
          </rPr>
          <t>Média considerada (Menos valores fora do desvio padrão).</t>
        </r>
      </text>
    </comment>
    <comment ref="Z2" authorId="0" shapeId="0" xr:uid="{7C6F57F4-6900-454E-B2F9-8AC8A56B09CC}">
      <text>
        <r>
          <rPr>
            <sz val="10"/>
            <color indexed="81"/>
            <rFont val="Lucida Console"/>
            <family val="3"/>
          </rPr>
          <t>Consumo do Período mais a coluna Pendentes.</t>
        </r>
      </text>
    </comment>
    <comment ref="AA2" authorId="0" shapeId="0" xr:uid="{AEF64DC3-65C8-40CF-AD5E-A1736F933F6F}">
      <text>
        <r>
          <rPr>
            <sz val="10"/>
            <color indexed="81"/>
            <rFont val="Lucida Console"/>
            <family val="3"/>
          </rPr>
          <t>O maior consumo registrado no período entre as colunas 08_22 e 07_23</t>
        </r>
      </text>
    </comment>
    <comment ref="R3" authorId="0" shapeId="0" xr:uid="{2A8DE458-A731-4C55-AE4C-4D59B09F30DB}">
      <text>
        <r>
          <rPr>
            <sz val="10"/>
            <color indexed="81"/>
            <rFont val="Lucida Console"/>
            <family val="3"/>
          </rPr>
          <t>17.10.2006</t>
        </r>
      </text>
    </comment>
    <comment ref="Y3" authorId="0" shapeId="0" xr:uid="{CB809D25-87DF-40C2-9C66-27E026652C19}">
      <text>
        <r>
          <rPr>
            <sz val="10"/>
            <color indexed="81"/>
            <rFont val="Courier New"/>
            <family val="3"/>
          </rPr>
          <t>_x000D_
    DESCRIÇÃO DO CÁLCULO_x000D_
Código    : 95.228_x000D_
Corte     : 1.587_x000D_
-----------------------------_x000D_
Pendente  : _x000D_
22 / 08_2 : 702_x000D_
22 / 09_2 : 402_x000D_
22 / 10_2 : _x000D_
22 / 11_2 : _x000D_
22 / 12_2 : _x000D_
23 / 01_2 : 300_x000D_
23 / 02_2 : 202_x000D_
23 / 03_2 : 200_x000D_
23 / 04_2 : 500_x000D_
23 / 05_2 : 35_x000D_
23 / 06_2 : 1.300_x000D_
23 / 07_2 : 1.587 (corte = 1800)_x000D_
_x000D_
    TOTAL : ( 5.228 )_x000D_
  DIVISOR : 12_x000D_
    MÉDIA : 435,67_x000D_
-----------------------------_x000D_
   Valores Desconsiderados_x000D_
-----------------------------_x000D_
23 / 07_2 : 213 (1.800)_x000D_
_x000D_
  TOTAL   : ( 213 )</t>
        </r>
      </text>
    </comment>
    <comment ref="AB3" authorId="0" shapeId="0" xr:uid="{AE44C8D4-977E-4826-8160-F6A27FC852EE}">
      <text>
        <r>
          <rPr>
            <sz val="10"/>
            <color indexed="81"/>
            <rFont val="Lucida Console"/>
            <family val="3"/>
          </rPr>
          <t>Última movimentação no estoque em 07/2023 quantidade 1.800.</t>
        </r>
      </text>
    </comment>
    <comment ref="R4" authorId="0" shapeId="0" xr:uid="{61F1BF81-6D57-4254-8CAD-18C95E96FBC4}">
      <text>
        <r>
          <rPr>
            <sz val="10"/>
            <color indexed="81"/>
            <rFont val="Lucida Console"/>
            <family val="3"/>
          </rPr>
          <t>17.10.2006</t>
        </r>
      </text>
    </comment>
    <comment ref="Y4" authorId="0" shapeId="0" xr:uid="{D36C85BA-C549-484B-9A2D-3EBF895E90A2}">
      <text>
        <r>
          <rPr>
            <sz val="10"/>
            <color indexed="81"/>
            <rFont val="Courier New"/>
            <family val="3"/>
          </rPr>
          <t>_x000D_
    DESCRIÇÃO DO CÁLCULO_x000D_
Código    : 95.229_x000D_
Corte     : 2.529_x000D_
-----------------------------_x000D_
Pendente  : 387_x000D_
22 / 08_2 : 850_x000D_
22 / 09_2 : 850_x000D_
22 / 10_2 : 500_x000D_
22 / 11_2 : 350_x000D_
22 / 12_2 : 900_x000D_
23 / 01_2 : 400_x000D_
23 / 02_2 : 870_x000D_
23 / 03_2 : 1.332_x000D_
23 / 04_2 : 851_x000D_
23 / 05_2 : 1.203_x000D_
23 / 06_2 : 2.529 (corte = 3200)_x000D_
23 / 07_2 : 113_x000D_
_x000D_
    TOTAL : ( 11.135 )_x000D_
  DIVISOR : 12_x000D_
    MÉDIA : 927,92_x000D_
-----------------------------_x000D_
   Valores Desconsiderados_x000D_
-----------------------------_x000D_
23 / 06_2 : 671 (3.200)_x000D_
_x000D_
  TOTAL   : ( 671 )</t>
        </r>
      </text>
    </comment>
    <comment ref="AB4" authorId="0" shapeId="0" xr:uid="{823C2F76-BD2A-4E52-BF45-3055313D5D62}">
      <text>
        <r>
          <rPr>
            <sz val="10"/>
            <color indexed="81"/>
            <rFont val="Lucida Console"/>
            <family val="3"/>
          </rPr>
          <t>Última movimentação no estoque em 07/2023 quantidade 113.</t>
        </r>
      </text>
    </comment>
    <comment ref="R5" authorId="0" shapeId="0" xr:uid="{AF95D826-AADA-43B6-90C0-6BB705C78F96}">
      <text>
        <r>
          <rPr>
            <sz val="10"/>
            <color indexed="81"/>
            <rFont val="Lucida Console"/>
            <family val="3"/>
          </rPr>
          <t>19.04.2004</t>
        </r>
      </text>
    </comment>
    <comment ref="Y5" authorId="0" shapeId="0" xr:uid="{00B81BF0-76F9-4F6D-BC4A-EE2758CBA62A}">
      <text>
        <r>
          <rPr>
            <sz val="10"/>
            <color indexed="81"/>
            <rFont val="Courier New"/>
            <family val="3"/>
          </rPr>
          <t>_x000D_
    DESCRIÇÃO DO CÁLCULO_x000D_
Código    : 78.399_x000D_
Corte     : 31_x000D_
-----------------------------_x000D_
Pendente  : _x000D_
22 / 08_2 : _x000D_
22 / 09_2 : 31 (corte = 45)_x000D_
22 / 10_2 : _x000D_
22 / 11_2 : 6_x000D_
22 / 12_2 : _x000D_
23 / 01_2 : _x000D_
23 / 02_2 : _x000D_
23 / 03_2 : _x000D_
23 / 04_2 : _x000D_
23 / 05_2 : _x000D_
23 / 06_2 : _x000D_
23 / 07_2 : 10_x000D_
_x000D_
    TOTAL : ( 47 )_x000D_
  DIVISOR : 12_x000D_
    MÉDIA : 3,92_x000D_
-----------------------------_x000D_
   Valores Desconsiderados_x000D_
-----------------------------_x000D_
22 / 09_2 : 14 (45)_x000D_
_x000D_
  TOTAL   : ( 14 )</t>
        </r>
      </text>
    </comment>
    <comment ref="AB5" authorId="0" shapeId="0" xr:uid="{DDA7C1EF-4515-48A7-A48B-EBFE9DFA37DD}">
      <text>
        <r>
          <rPr>
            <sz val="10"/>
            <color indexed="81"/>
            <rFont val="Lucida Console"/>
            <family val="3"/>
          </rPr>
          <t>Última movimentação no estoque em 07/2023 quantidade 10.</t>
        </r>
      </text>
    </comment>
    <comment ref="R6" authorId="0" shapeId="0" xr:uid="{69C03FD9-81E2-49F8-B13A-E77F44A843BD}">
      <text>
        <r>
          <rPr>
            <sz val="10"/>
            <color indexed="81"/>
            <rFont val="Lucida Console"/>
            <family val="3"/>
          </rPr>
          <t>01.01.1901</t>
        </r>
      </text>
    </comment>
    <comment ref="Y6" authorId="0" shapeId="0" xr:uid="{34B4ED8C-BA7C-46A0-B766-0741D7B2B380}">
      <text>
        <r>
          <rPr>
            <sz val="10"/>
            <color indexed="81"/>
            <rFont val="Courier New"/>
            <family val="3"/>
          </rPr>
          <t>_x000D_
    DESCRIÇÃO DO CÁLCULO_x000D_
Código    : 14.013_x000D_
Corte     : 113_x000D_
-----------------------------_x000D_
Pendente  : _x000D_
22 / 08_2 : 26_x000D_
22 / 09_2 : 70_x000D_
22 / 10_2 : 30_x000D_
22 / 11_2 : 55_x000D_
22 / 12_2 : 70_x000D_
23 / 01_2 : 40_x000D_
23 / 02_2 : 50_x000D_
23 / 03_2 : 62_x000D_
23 / 04_2 : 90_x000D_
23 / 05_2 : _x000D_
23 / 06_2 : 100_x000D_
23 / 07_2 : _x000D_
_x000D_
    TOTAL : ( 593 )_x000D_
  DIVISOR : 12_x000D_
    MÉDIA : 49,42</t>
        </r>
      </text>
    </comment>
    <comment ref="AB6" authorId="0" shapeId="0" xr:uid="{514CC40C-472F-4888-A2B5-6800DCCDBD3A}">
      <text>
        <r>
          <rPr>
            <sz val="10"/>
            <color indexed="81"/>
            <rFont val="Lucida Console"/>
            <family val="3"/>
          </rPr>
          <t>Última movimentação no estoque em 06/2023 quantidade 100.</t>
        </r>
      </text>
    </comment>
    <comment ref="R7" authorId="0" shapeId="0" xr:uid="{CFB38187-8D2E-4101-9A37-16CADE97A6D3}">
      <text>
        <r>
          <rPr>
            <sz val="10"/>
            <color indexed="81"/>
            <rFont val="Lucida Console"/>
            <family val="3"/>
          </rPr>
          <t>01.01.1901</t>
        </r>
      </text>
    </comment>
    <comment ref="Y7" authorId="0" shapeId="0" xr:uid="{500285A2-E196-4FB3-A55B-72A36FFF2080}">
      <text>
        <r>
          <rPr>
            <sz val="10"/>
            <color indexed="81"/>
            <rFont val="Courier New"/>
            <family val="3"/>
          </rPr>
          <t>_x000D_
    DESCRIÇÃO DO CÁLCULO_x000D_
Código    : 14.012_x000D_
Corte     : 287_x000D_
-----------------------------_x000D_
Pendente  : _x000D_
22 / 08_2 : 287 (corte = 316)_x000D_
22 / 09_2 : 50_x000D_
22 / 10_2 : 50_x000D_
22 / 11_2 : 40_x000D_
22 / 12_2 : 180_x000D_
23 / 01_2 : 224_x000D_
23 / 02_2 : 60_x000D_
23 / 03_2 : 30_x000D_
23 / 04_2 : 102_x000D_
23 / 05_2 : _x000D_
23 / 06_2 : 100_x000D_
23 / 07_2 : 40_x000D_
_x000D_
    TOTAL : ( 1.163 )_x000D_
  DIVISOR : 12_x000D_
    MÉDIA : 96,92_x000D_
-----------------------------_x000D_
   Valores Desconsiderados_x000D_
-----------------------------_x000D_
22 / 08_2 : 29 (316)_x000D_
_x000D_
  TOTAL   : ( 29 )</t>
        </r>
      </text>
    </comment>
    <comment ref="AB7" authorId="0" shapeId="0" xr:uid="{7A5763AF-0F15-4B2E-9AFE-957C04E9168F}">
      <text>
        <r>
          <rPr>
            <sz val="10"/>
            <color indexed="81"/>
            <rFont val="Lucida Console"/>
            <family val="3"/>
          </rPr>
          <t>Última movimentação no estoque em 07/2023 quantidade 40.</t>
        </r>
      </text>
    </comment>
    <comment ref="R8" authorId="0" shapeId="0" xr:uid="{D21F03DA-4241-4A0E-894C-10829C067CB4}">
      <text>
        <r>
          <rPr>
            <sz val="10"/>
            <color indexed="81"/>
            <rFont val="Lucida Console"/>
            <family val="3"/>
          </rPr>
          <t>01.01.1901</t>
        </r>
      </text>
    </comment>
    <comment ref="Y8" authorId="0" shapeId="0" xr:uid="{58322E16-A6B9-4A5E-A719-2ECCB3832FCA}">
      <text>
        <r>
          <rPr>
            <sz val="10"/>
            <color indexed="81"/>
            <rFont val="Courier New"/>
            <family val="3"/>
          </rPr>
          <t>_x000D_
    DESCRIÇÃO DO CÁLCULO_x000D_
Código    : 10.867_x000D_
Corte     : 5.686_x000D_
-----------------------------_x000D_
Pendente  : 164_x000D_
22 / 08_2 : 3.381_x000D_
22 / 09_2 : 3.783_x000D_
22 / 10_2 : 3.367_x000D_
22 / 11_2 : 4.128_x000D_
22 / 12_2 : 2.246_x000D_
23 / 01_2 : 1.272_x000D_
23 / 02_2 : 3.033_x000D_
23 / 03_2 : 4.414_x000D_
23 / 04_2 : 3.250_x000D_
23 / 05_2 : 3.240_x000D_
23 / 06_2 : 3.854_x000D_
23 / 07_2 : 3.597_x000D_
_x000D_
    TOTAL : ( 39.729 )_x000D_
  DIVISOR : 12_x000D_
    MÉDIA : 3.310,75</t>
        </r>
      </text>
    </comment>
    <comment ref="AB8" authorId="0" shapeId="0" xr:uid="{4E4C617D-A47C-4972-8B6C-F8D66AE89AF0}">
      <text>
        <r>
          <rPr>
            <sz val="10"/>
            <color indexed="81"/>
            <rFont val="Lucida Console"/>
            <family val="3"/>
          </rPr>
          <t>Última movimentação no estoque em 07/2023 quantidade 3.597.</t>
        </r>
      </text>
    </comment>
    <comment ref="R9" authorId="0" shapeId="0" xr:uid="{C8104D0D-8DDB-4F77-9199-38C6C5F08FC1}">
      <text>
        <r>
          <rPr>
            <sz val="10"/>
            <color indexed="81"/>
            <rFont val="Lucida Console"/>
            <family val="3"/>
          </rPr>
          <t>01.01.1901</t>
        </r>
      </text>
    </comment>
    <comment ref="Y9" authorId="0" shapeId="0" xr:uid="{DD0B685D-0237-4BCC-89CC-D8CA276F8C00}">
      <text>
        <r>
          <rPr>
            <sz val="10"/>
            <color indexed="81"/>
            <rFont val="Courier New"/>
            <family val="3"/>
          </rPr>
          <t>_x000D_
    DESCRIÇÃO DO CÁLCULO_x000D_
Código    : 28.181_x000D_
Corte     : 3_x000D_
-----------------------------_x000D_
Pendente  : _x000D_
22 / 08_2 : 3_x000D_
22 / 09_2 : _x000D_
22 / 10_2 : _x000D_
22 / 11_2 : _x000D_
22 / 12_2 : _x000D_
23 / 01_2 : _x000D_
23 / 02_2 : _x000D_
23 / 03_2 : _x000D_
23 / 04_2 : 3 (corte = 5)_x000D_
23 / 05_2 : _x000D_
23 / 06_2 : _x000D_
23 / 07_2 : _x000D_
_x000D_
    TOTAL : ( 6 )_x000D_
  DIVISOR : 12_x000D_
    MÉDIA : ,50_x000D_
-----------------------------_x000D_
   Valores Desconsiderados_x000D_
-----------------------------_x000D_
23 / 04_2 : 2 (5)_x000D_
_x000D_
  TOTAL   : ( 2 )</t>
        </r>
      </text>
    </comment>
    <comment ref="AB9" authorId="0" shapeId="0" xr:uid="{ED491781-B3A9-469E-B052-D5F49BEEE732}">
      <text>
        <r>
          <rPr>
            <sz val="10"/>
            <color indexed="81"/>
            <rFont val="Lucida Console"/>
            <family val="3"/>
          </rPr>
          <t>Última movimentação no estoque em 04/2023 quantidade 5.</t>
        </r>
      </text>
    </comment>
    <comment ref="R10" authorId="0" shapeId="0" xr:uid="{3FCF8C88-D92D-4996-B65E-9D6ED8B0DC97}">
      <text>
        <r>
          <rPr>
            <sz val="10"/>
            <color indexed="81"/>
            <rFont val="Lucida Console"/>
            <family val="3"/>
          </rPr>
          <t>01.01.1901</t>
        </r>
      </text>
    </comment>
    <comment ref="Y10" authorId="0" shapeId="0" xr:uid="{AC8F71E9-9179-4FDF-B29F-F7BC7CE1BD7A}">
      <text>
        <r>
          <rPr>
            <sz val="10"/>
            <color indexed="81"/>
            <rFont val="Courier New"/>
            <family val="3"/>
          </rPr>
          <t>_x000D_
    DESCRIÇÃO DO CÁLCULO_x000D_
Código    : 12.824_x000D_
Corte     : 6_x000D_
-----------------------------_x000D_
Pendente  : _x000D_
22 / 08_2 : 2_x000D_
22 / 09_2 : 5_x000D_
22 / 10_2 : 4_x000D_
22 / 11_2 : _x000D_
22 / 12_2 : 4_x000D_
23 / 01_2 : _x000D_
23 / 02_2 : 2_x000D_
23 / 03_2 : _x000D_
23 / 04_2 : 5_x000D_
23 / 05_2 : _x000D_
23 / 06_2 : _x000D_
23 / 07_2 : _x000D_
_x000D_
    TOTAL : ( 22 )_x000D_
  DIVISOR : 12_x000D_
    MÉDIA : 1,83</t>
        </r>
      </text>
    </comment>
    <comment ref="AB10" authorId="0" shapeId="0" xr:uid="{B3B4F633-68BB-4D53-9136-849F936830D1}">
      <text>
        <r>
          <rPr>
            <sz val="10"/>
            <color indexed="81"/>
            <rFont val="Lucida Console"/>
            <family val="3"/>
          </rPr>
          <t>Última movimentação no estoque em 04/2023 quantidade 5.</t>
        </r>
      </text>
    </comment>
    <comment ref="R11" authorId="0" shapeId="0" xr:uid="{F95D5CE8-3903-492E-B9F8-9459EAB4917A}">
      <text>
        <r>
          <rPr>
            <sz val="10"/>
            <color indexed="81"/>
            <rFont val="Lucida Console"/>
            <family val="3"/>
          </rPr>
          <t>01.01.1901</t>
        </r>
      </text>
    </comment>
    <comment ref="Y11" authorId="0" shapeId="0" xr:uid="{26CB3DC2-748F-4DB7-B3FF-FD24D981A8A6}">
      <text>
        <r>
          <rPr>
            <sz val="10"/>
            <color indexed="81"/>
            <rFont val="Courier New"/>
            <family val="3"/>
          </rPr>
          <t>_x000D_
    DESCRIÇÃO DO CÁLCULO_x000D_
Código    : 12.821_x000D_
Corte     : 5_x000D_
-----------------------------_x000D_
Pendente  : _x000D_
22 / 08_2 : 3_x000D_
22 / 09_2 : 2_x000D_
22 / 10_2 : _x000D_
22 / 11_2 : _x000D_
22 / 12_2 : _x000D_
23 / 01_2 : _x000D_
23 / 02_2 : 1_x000D_
23 / 03_2 : _x000D_
23 / 04_2 : 5 (corte = 7)_x000D_
23 / 05_2 : _x000D_
23 / 06_2 : _x000D_
23 / 07_2 : _x000D_
_x000D_
    TOTAL : ( 11 )_x000D_
  DIVISOR : 12_x000D_
    MÉDIA : ,92_x000D_
-----------------------------_x000D_
   Valores Desconsiderados_x000D_
-----------------------------_x000D_
23 / 04_2 : 2 (7)_x000D_
_x000D_
  TOTAL   : ( 2 )</t>
        </r>
      </text>
    </comment>
    <comment ref="AB11" authorId="0" shapeId="0" xr:uid="{5C56AC22-5635-42BE-8C2C-B2FCEF71FAFF}">
      <text>
        <r>
          <rPr>
            <sz val="10"/>
            <color indexed="81"/>
            <rFont val="Lucida Console"/>
            <family val="3"/>
          </rPr>
          <t>Última movimentação no estoque em 04/2023 quantidade 7.</t>
        </r>
      </text>
    </comment>
    <comment ref="R12" authorId="0" shapeId="0" xr:uid="{9DB94418-EDA0-45F0-A1AF-360DCDAE266D}">
      <text>
        <r>
          <rPr>
            <sz val="10"/>
            <color indexed="81"/>
            <rFont val="Lucida Console"/>
            <family val="3"/>
          </rPr>
          <t>01.01.1901</t>
        </r>
      </text>
    </comment>
    <comment ref="Y12" authorId="0" shapeId="0" xr:uid="{E9B48C12-6842-417A-AD8B-1415F90D57A0}">
      <text>
        <r>
          <rPr>
            <sz val="10"/>
            <color indexed="81"/>
            <rFont val="Courier New"/>
            <family val="3"/>
          </rPr>
          <t>_x000D_
    DESCRIÇÃO DO CÁLCULO_x000D_
Código    : 12.813_x000D_
Corte     : 8_x000D_
-----------------------------_x000D_
Pendente  : _x000D_
22 / 08_2 : _x000D_
22 / 09_2 : 8 (corte = 10)_x000D_
22 / 10_2 : 2_x000D_
22 / 11_2 : 4_x000D_
22 / 12_2 : _x000D_
23 / 01_2 : _x000D_
23 / 02_2 : _x000D_
23 / 03_2 : 6_x000D_
23 / 04_2 : 5_x000D_
23 / 05_2 : _x000D_
23 / 06_2 : _x000D_
23 / 07_2 : _x000D_
_x000D_
    TOTAL : ( 25 )_x000D_
  DIVISOR : 12_x000D_
    MÉDIA : 2,08_x000D_
-----------------------------_x000D_
   Valores Desconsiderados_x000D_
-----------------------------_x000D_
22 / 09_2 : 2 (10)_x000D_
_x000D_
  TOTAL   : ( 2 )</t>
        </r>
      </text>
    </comment>
    <comment ref="AB12" authorId="0" shapeId="0" xr:uid="{DF4AC29C-2F48-41AB-A5EC-9F5EA06A5A7E}">
      <text>
        <r>
          <rPr>
            <sz val="10"/>
            <color indexed="81"/>
            <rFont val="Lucida Console"/>
            <family val="3"/>
          </rPr>
          <t>Última movimentação no estoque em 04/2023 quantidade 5.</t>
        </r>
      </text>
    </comment>
    <comment ref="R13" authorId="0" shapeId="0" xr:uid="{CAD038BB-150F-47A3-87FC-971922726498}">
      <text>
        <r>
          <rPr>
            <sz val="10"/>
            <color indexed="81"/>
            <rFont val="Lucida Console"/>
            <family val="3"/>
          </rPr>
          <t>01.01.1901</t>
        </r>
      </text>
    </comment>
    <comment ref="Y13" authorId="0" shapeId="0" xr:uid="{91ADBB8E-4A7C-4D07-AA4B-FCC8908AA359}">
      <text>
        <r>
          <rPr>
            <sz val="10"/>
            <color indexed="81"/>
            <rFont val="Courier New"/>
            <family val="3"/>
          </rPr>
          <t>_x000D_
    DESCRIÇÃO DO CÁLCULO_x000D_
Código    : 12.830_x000D_
Corte     : 64_x000D_
-----------------------------_x000D_
Pendente  : _x000D_
22 / 08_2 : 20_x000D_
22 / 09_2 : 30_x000D_
22 / 10_2 : 7_x000D_
22 / 11_2 : 27_x000D_
22 / 12_2 : 17_x000D_
23 / 01_2 : 12_x000D_
23 / 02_2 : 12_x000D_
23 / 03_2 : 27_x000D_
23 / 04_2 : 25_x000D_
23 / 05_2 : 64 (corte = 80)_x000D_
23 / 06_2 : 30_x000D_
23 / 07_2 : _x000D_
_x000D_
    TOTAL : ( 271 )_x000D_
  DIVISOR : 12_x000D_
    MÉDIA : 22,58_x000D_
-----------------------------_x000D_
   Valores Desconsiderados_x000D_
-----------------------------_x000D_
23 / 05_2 : 16 (80)_x000D_
_x000D_
  TOTAL   : ( 16 )</t>
        </r>
      </text>
    </comment>
    <comment ref="AB13" authorId="0" shapeId="0" xr:uid="{4351C93F-0C5E-44FF-B943-7F3EAA934343}">
      <text>
        <r>
          <rPr>
            <sz val="10"/>
            <color indexed="81"/>
            <rFont val="Lucida Console"/>
            <family val="3"/>
          </rPr>
          <t>Última movimentação no estoque em 06/2023 quantidade 30.</t>
        </r>
      </text>
    </comment>
    <comment ref="R14" authorId="0" shapeId="0" xr:uid="{FB93A10C-7DE3-46A0-B70D-9F6B5134815E}">
      <text>
        <r>
          <rPr>
            <sz val="10"/>
            <color indexed="81"/>
            <rFont val="Lucida Console"/>
            <family val="3"/>
          </rPr>
          <t>01.01.1901</t>
        </r>
      </text>
    </comment>
    <comment ref="Y14" authorId="0" shapeId="0" xr:uid="{9B619593-3A8B-4EBD-B1C6-1404469E5078}">
      <text>
        <r>
          <rPr>
            <sz val="10"/>
            <color indexed="81"/>
            <rFont val="Courier New"/>
            <family val="3"/>
          </rPr>
          <t>_x000D_
    DESCRIÇÃO DO CÁLCULO_x000D_
Código    : 12.835_x000D_
Corte     : 79_x000D_
-----------------------------_x000D_
Pendente  : _x000D_
22 / 08_2 : 34_x000D_
22 / 09_2 : 25_x000D_
22 / 10_2 : 4_x000D_
22 / 11_2 : 2_x000D_
22 / 12_2 : 20_x000D_
23 / 01_2 : 18_x000D_
23 / 02_2 : _x000D_
23 / 03_2 : 10_x000D_
23 / 04_2 : 45_x000D_
23 / 05_2 : 79 (corte = 100)_x000D_
23 / 06_2 : _x000D_
23 / 07_2 : _x000D_
_x000D_
    TOTAL : ( 237 )_x000D_
  DIVISOR : 12_x000D_
    MÉDIA : 19,75_x000D_
-----------------------------_x000D_
   Valores Desconsiderados_x000D_
-----------------------------_x000D_
23 / 05_2 : 21 (100)_x000D_
_x000D_
  TOTAL   : ( 21 )</t>
        </r>
      </text>
    </comment>
    <comment ref="AB14" authorId="0" shapeId="0" xr:uid="{99145E2E-ABCC-4190-8522-94C669C21C19}">
      <text>
        <r>
          <rPr>
            <sz val="10"/>
            <color indexed="81"/>
            <rFont val="Lucida Console"/>
            <family val="3"/>
          </rPr>
          <t>Última movimentação no estoque em 05/2023 quantidade 100.</t>
        </r>
      </text>
    </comment>
    <comment ref="R15" authorId="0" shapeId="0" xr:uid="{181FF6EF-3B80-401B-AC43-95C92A71DED4}">
      <text>
        <r>
          <rPr>
            <sz val="10"/>
            <color indexed="81"/>
            <rFont val="Lucida Console"/>
            <family val="3"/>
          </rPr>
          <t>01.01.1901</t>
        </r>
      </text>
    </comment>
    <comment ref="Y15" authorId="0" shapeId="0" xr:uid="{F9D3A4B2-3289-4EF9-B0F1-71CC3CC8AA21}">
      <text>
        <r>
          <rPr>
            <sz val="10"/>
            <color indexed="81"/>
            <rFont val="Courier New"/>
            <family val="3"/>
          </rPr>
          <t>_x000D_
    DESCRIÇÃO DO CÁLCULO_x000D_
Código    : 28.184_x000D_
Corte     : 33_x000D_
-----------------------------_x000D_
Pendente  : _x000D_
22 / 08_2 : 2_x000D_
22 / 09_2 : 8_x000D_
22 / 10_2 : 10_x000D_
22 / 11_2 : 6_x000D_
22 / 12_2 : 19_x000D_
23 / 01_2 : 10_x000D_
23 / 02_2 : 10_x000D_
23 / 03_2 : 33 (corte = 38)_x000D_
23 / 04_2 : 24_x000D_
23 / 05_2 : _x000D_
23 / 06_2 : _x000D_
23 / 07_2 : _x000D_
_x000D_
    TOTAL : ( 122 )_x000D_
  DIVISOR : 12_x000D_
    MÉDIA : 10,17_x000D_
-----------------------------_x000D_
   Valores Desconsiderados_x000D_
-----------------------------_x000D_
23 / 03_2 : 5 (38)_x000D_
_x000D_
  TOTAL   : ( 5 )</t>
        </r>
      </text>
    </comment>
    <comment ref="AB15" authorId="0" shapeId="0" xr:uid="{047F891B-4BDB-427F-A0AE-22FBEC05B573}">
      <text>
        <r>
          <rPr>
            <sz val="10"/>
            <color indexed="81"/>
            <rFont val="Lucida Console"/>
            <family val="3"/>
          </rPr>
          <t>Última movimentação no estoque em 04/2023 quantidade 24.</t>
        </r>
      </text>
    </comment>
    <comment ref="R16" authorId="0" shapeId="0" xr:uid="{0BE3710C-5D59-4506-8A21-FD9E7121F4FF}">
      <text>
        <r>
          <rPr>
            <sz val="10"/>
            <color indexed="81"/>
            <rFont val="Lucida Console"/>
            <family val="3"/>
          </rPr>
          <t>01.01.1901</t>
        </r>
      </text>
    </comment>
    <comment ref="Y16" authorId="0" shapeId="0" xr:uid="{0BD1878C-5ACD-47B3-99E6-8D7EF68CC310}">
      <text>
        <r>
          <rPr>
            <sz val="10"/>
            <color indexed="81"/>
            <rFont val="Courier New"/>
            <family val="3"/>
          </rPr>
          <t>_x000D_
    DESCRIÇÃO DO CÁLCULO_x000D_
Código    : 16.053_x000D_
Corte     : 27_x000D_
-----------------------------_x000D_
Pendente  : 16_x000D_
22 / 08_2 : 17_x000D_
22 / 09_2 : 19_x000D_
22 / 10_2 : 10_x000D_
22 / 11_2 : 21_x000D_
22 / 12_2 : 8_x000D_
23 / 01_2 : 20_x000D_
23 / 02_2 : 10_x000D_
23 / 03_2 : 4_x000D_
23 / 04_2 : 5_x000D_
23 / 05_2 : 22_x000D_
23 / 06_2 : 10_x000D_
23 / 07_2 : 15_x000D_
_x000D_
    TOTAL : ( 177 )_x000D_
  DIVISOR : 12_x000D_
    MÉDIA : 14,75</t>
        </r>
      </text>
    </comment>
    <comment ref="AB16" authorId="0" shapeId="0" xr:uid="{E7B19F39-EC0D-480E-8E36-05FAC0ADAEB4}">
      <text>
        <r>
          <rPr>
            <sz val="10"/>
            <color indexed="81"/>
            <rFont val="Lucida Console"/>
            <family val="3"/>
          </rPr>
          <t>Última movimentação no estoque em 07/2023 quantidade 15.</t>
        </r>
      </text>
    </comment>
    <comment ref="R17" authorId="0" shapeId="0" xr:uid="{37A39A0C-2CC3-434E-A1A7-5AC9A242FAC8}">
      <text>
        <r>
          <rPr>
            <sz val="10"/>
            <color indexed="81"/>
            <rFont val="Lucida Console"/>
            <family val="3"/>
          </rPr>
          <t>15.12.2020</t>
        </r>
      </text>
    </comment>
    <comment ref="Y17" authorId="0" shapeId="0" xr:uid="{60055E8D-A3A3-4D78-B340-5954DC067D87}">
      <text>
        <r>
          <rPr>
            <sz val="10"/>
            <color indexed="81"/>
            <rFont val="Courier New"/>
            <family val="3"/>
          </rPr>
          <t>_x000D_
    DESCRIÇÃO DO CÁLCULO_x000D_
Código    : 140.326_x000D_
Corte     : 108_x000D_
-----------------------------_x000D_
Pendente  : 20_x000D_
22 / 08_2 : 55_x000D_
22 / 09_2 : 108 (corte = 123)_x000D_
22 / 10_2 : 96_x000D_
22 / 11_2 : _x000D_
22 / 12_2 : _x000D_
23 / 01_2 : _x000D_
23 / 02_2 : _x000D_
23 / 03_2 : _x000D_
23 / 04_2 : _x000D_
23 / 05_2 : _x000D_
23 / 06_2 : _x000D_
23 / 07_2 : _x000D_
_x000D_
    TOTAL : ( 279 )_x000D_
  DIVISOR : 12_x000D_
    MÉDIA : 23,25_x000D_
-----------------------------_x000D_
   Valores Desconsiderados_x000D_
-----------------------------_x000D_
22 / 09_2 : 15 (123)_x000D_
_x000D_
  TOTAL   : ( 15 )</t>
        </r>
      </text>
    </comment>
    <comment ref="AB17" authorId="0" shapeId="0" xr:uid="{AA86F35D-DAD9-4AB2-93AB-34CE4E17300C}">
      <text>
        <r>
          <rPr>
            <sz val="10"/>
            <color indexed="81"/>
            <rFont val="Lucida Console"/>
            <family val="3"/>
          </rPr>
          <t>Última movimentação no estoque em 10/2022 quantidade 96.</t>
        </r>
      </text>
    </comment>
    <comment ref="R18" authorId="0" shapeId="0" xr:uid="{1E57843E-79B5-4A30-A308-AB3F3740EE43}">
      <text>
        <r>
          <rPr>
            <sz val="10"/>
            <color indexed="81"/>
            <rFont val="Lucida Console"/>
            <family val="3"/>
          </rPr>
          <t>26.09.2013</t>
        </r>
      </text>
    </comment>
    <comment ref="Y18" authorId="0" shapeId="0" xr:uid="{64AA27FC-864B-4863-9F12-F98B99C21703}">
      <text>
        <r>
          <rPr>
            <sz val="10"/>
            <color indexed="81"/>
            <rFont val="Courier New"/>
            <family val="3"/>
          </rPr>
          <t>_x000D_
    DESCRIÇÃO DO CÁLCULO_x000D_
Código    : 126.345_x000D_
Corte     : 10_x000D_
-----------------------------_x000D_
Pendente  : _x000D_
22 / 08_2 : _x000D_
22 / 09_2 : 1_x000D_
22 / 10_2 : 4_x000D_
22 / 11_2 : 8_x000D_
22 / 12_2 : 9_x000D_
23 / 01_2 : 5_x000D_
23 / 02_2 : _x000D_
23 / 03_2 : 10_x000D_
23 / 04_2 : _x000D_
23 / 05_2 : 2_x000D_
23 / 06_2 : 3_x000D_
23 / 07_2 : 2_x000D_
_x000D_
    TOTAL : ( 44 )_x000D_
  DIVISOR : 12_x000D_
    MÉDIA : 3,67</t>
        </r>
      </text>
    </comment>
    <comment ref="AB18" authorId="0" shapeId="0" xr:uid="{E508475F-E067-44A5-98FE-C5312E594D3E}">
      <text>
        <r>
          <rPr>
            <sz val="10"/>
            <color indexed="81"/>
            <rFont val="Lucida Console"/>
            <family val="3"/>
          </rPr>
          <t>Última movimentação no estoque em 07/2023 quantidade 2.</t>
        </r>
      </text>
    </comment>
    <comment ref="R19" authorId="0" shapeId="0" xr:uid="{2F23ABA2-CBFE-47AD-AAA1-9B5380893958}">
      <text>
        <r>
          <rPr>
            <sz val="10"/>
            <color indexed="81"/>
            <rFont val="Lucida Console"/>
            <family val="3"/>
          </rPr>
          <t>01.01.1901</t>
        </r>
      </text>
    </comment>
    <comment ref="Y19" authorId="0" shapeId="0" xr:uid="{F2D9F0DF-6863-4FED-89AC-02F0CBD0D930}">
      <text>
        <r>
          <rPr>
            <sz val="10"/>
            <color indexed="81"/>
            <rFont val="Courier New"/>
            <family val="3"/>
          </rPr>
          <t>_x000D_
    DESCRIÇÃO DO CÁLCULO_x000D_
Código    : 12.685_x000D_
Corte     : 170_x000D_
-----------------------------_x000D_
Pendente  : 231_x000D_
22 / 08_2 : 51_x000D_
22 / 09_2 : 26_x000D_
22 / 10_2 : _x000D_
22 / 11_2 : _x000D_
22 / 12_2 : 21_x000D_
23 / 01_2 : 64_x000D_
23 / 02_2 : 52_x000D_
23 / 03_2 : 63_x000D_
23 / 04_2 : _x000D_
23 / 05_2 : _x000D_
23 / 06_2 : _x000D_
23 / 07_2 : 48_x000D_
_x000D_
    TOTAL : ( 556 )_x000D_
  DIVISOR : 12_x000D_
    MÉDIA : 46,33</t>
        </r>
      </text>
    </comment>
    <comment ref="AB19" authorId="0" shapeId="0" xr:uid="{1E997671-5845-4EAC-97E1-7700A64AB757}">
      <text>
        <r>
          <rPr>
            <sz val="10"/>
            <color indexed="81"/>
            <rFont val="Lucida Console"/>
            <family val="3"/>
          </rPr>
          <t>Última movimentação no estoque em 07/2023 quantidade 48.</t>
        </r>
      </text>
    </comment>
    <comment ref="R20" authorId="0" shapeId="0" xr:uid="{45892236-4FF0-446B-87F1-71D65C9B01EA}">
      <text>
        <r>
          <rPr>
            <sz val="10"/>
            <color indexed="81"/>
            <rFont val="Lucida Console"/>
            <family val="3"/>
          </rPr>
          <t>08.11.2005</t>
        </r>
      </text>
    </comment>
    <comment ref="Y20" authorId="0" shapeId="0" xr:uid="{5DFADD45-9EDC-419D-851D-7E4AABF61857}">
      <text>
        <r>
          <rPr>
            <sz val="10"/>
            <color indexed="81"/>
            <rFont val="Courier New"/>
            <family val="3"/>
          </rPr>
          <t>_x000D_
    DESCRIÇÃO DO CÁLCULO_x000D_
Código    : 88.876_x000D_
Corte     : 149_x000D_
-----------------------------_x000D_
Pendente  : _x000D_
22 / 08_2 : _x000D_
22 / 09_2 : 100_x000D_
22 / 10_2 : _x000D_
22 / 11_2 : _x000D_
22 / 12_2 : _x000D_
23 / 01_2 : _x000D_
23 / 02_2 : _x000D_
23 / 03_2 : _x000D_
23 / 04_2 : 149 (corte = 200)_x000D_
23 / 05_2 : _x000D_
23 / 06_2 : _x000D_
23 / 07_2 : _x000D_
_x000D_
    TOTAL : ( 249 )_x000D_
  DIVISOR : 12_x000D_
    MÉDIA : 20,75_x000D_
-----------------------------_x000D_
   Valores Desconsiderados_x000D_
-----------------------------_x000D_
23 / 04_2 : 51 (200)_x000D_
_x000D_
  TOTAL   : ( 51 )</t>
        </r>
      </text>
    </comment>
    <comment ref="AB20" authorId="0" shapeId="0" xr:uid="{627E441B-B671-4F48-BA51-BF00E5B7F92D}">
      <text>
        <r>
          <rPr>
            <sz val="10"/>
            <color indexed="81"/>
            <rFont val="Lucida Console"/>
            <family val="3"/>
          </rPr>
          <t>Última movimentação no estoque em 04/2023 quantidade 200.</t>
        </r>
      </text>
    </comment>
    <comment ref="R21" authorId="0" shapeId="0" xr:uid="{54629B16-C0C1-4CD5-97F9-036A04670A94}">
      <text>
        <r>
          <rPr>
            <sz val="10"/>
            <color indexed="81"/>
            <rFont val="Lucida Console"/>
            <family val="3"/>
          </rPr>
          <t>18.08.2009</t>
        </r>
      </text>
    </comment>
    <comment ref="Y21" authorId="0" shapeId="0" xr:uid="{871E32C7-87F9-4C02-9480-499506264DC5}">
      <text>
        <r>
          <rPr>
            <sz val="10"/>
            <color indexed="81"/>
            <rFont val="Courier New"/>
            <family val="3"/>
          </rPr>
          <t>_x000D_
    DESCRIÇÃO DO CÁLCULO_x000D_
Código    : 112.109_x000D_
Corte     : 5.379_x000D_
-----------------------------_x000D_
Pendente  : 20_x000D_
22 / 08_2 : 1.008_x000D_
22 / 09_2 : 1.013_x000D_
22 / 10_2 : 1.240_x000D_
22 / 11_2 : 1.191_x000D_
22 / 12_2 : 814_x000D_
23 / 01_2 : 450_x000D_
23 / 02_2 : 873_x000D_
23 / 03_2 : 5.379 (corte = 7812)_x000D_
23 / 04_2 : 626_x000D_
23 / 05_2 : 590_x000D_
23 / 06_2 : 703_x000D_
23 / 07_2 : 700_x000D_
_x000D_
    TOTAL : ( 14.607 )_x000D_
  DIVISOR : 12_x000D_
    MÉDIA : 1.217,25_x000D_
-----------------------------_x000D_
   Valores Desconsiderados_x000D_
-----------------------------_x000D_
23 / 03_2 : 2.433 (7.812)_x000D_
_x000D_
  TOTAL   : ( 2.433 )</t>
        </r>
      </text>
    </comment>
    <comment ref="AB21" authorId="0" shapeId="0" xr:uid="{7D4E9244-5363-417E-810F-185EA60838C6}">
      <text>
        <r>
          <rPr>
            <sz val="10"/>
            <color indexed="81"/>
            <rFont val="Lucida Console"/>
            <family val="3"/>
          </rPr>
          <t>Última movimentação no estoque em 07/2023 quantidade 700.</t>
        </r>
      </text>
    </comment>
    <comment ref="R22" authorId="0" shapeId="0" xr:uid="{BDA771F4-4B92-4452-8CC1-F3E73B654C47}">
      <text>
        <r>
          <rPr>
            <sz val="10"/>
            <color indexed="81"/>
            <rFont val="Lucida Console"/>
            <family val="3"/>
          </rPr>
          <t>10.07.2019</t>
        </r>
      </text>
    </comment>
    <comment ref="Y22" authorId="0" shapeId="0" xr:uid="{7500B57F-D351-4168-8EF4-D844FF59226C}">
      <text>
        <r>
          <rPr>
            <sz val="10"/>
            <color indexed="81"/>
            <rFont val="Courier New"/>
            <family val="3"/>
          </rPr>
          <t>_x000D_
    DESCRIÇÃO DO CÁLCULO_x000D_
Código    : 138.054_x000D_
Corte     : 43_x000D_
-----------------------------_x000D_
Pendente  : _x000D_
22 / 08_2 : 11_x000D_
22 / 09_2 : 8_x000D_
22 / 10_2 : 8_x000D_
22 / 11_2 : 1_x000D_
22 / 12_2 : 23_x000D_
23 / 01_2 : 30_x000D_
23 / 02_2 : 5_x000D_
23 / 03_2 : 12_x000D_
23 / 04_2 : 43 (corte = 47)_x000D_
23 / 05_2 : _x000D_
23 / 06_2 : 30_x000D_
23 / 07_2 : 14_x000D_
_x000D_
    TOTAL : ( 185 )_x000D_
  DIVISOR : 12_x000D_
    MÉDIA : 15,42_x000D_
-----------------------------_x000D_
   Valores Desconsiderados_x000D_
-----------------------------_x000D_
23 / 04_2 : 4 (47)_x000D_
_x000D_
  TOTAL   : ( 4 )</t>
        </r>
      </text>
    </comment>
    <comment ref="AB22" authorId="0" shapeId="0" xr:uid="{D278BC3F-4CE9-42C9-A78C-519714D85C14}">
      <text>
        <r>
          <rPr>
            <sz val="10"/>
            <color indexed="81"/>
            <rFont val="Lucida Console"/>
            <family val="3"/>
          </rPr>
          <t>Última movimentação no estoque em 07/2023 quantidade 14.</t>
        </r>
      </text>
    </comment>
    <comment ref="R23" authorId="0" shapeId="0" xr:uid="{C6664D17-5953-423A-B609-A21DD25A1D37}">
      <text>
        <r>
          <rPr>
            <sz val="10"/>
            <color indexed="81"/>
            <rFont val="Lucida Console"/>
            <family val="3"/>
          </rPr>
          <t>01.01.1901</t>
        </r>
      </text>
    </comment>
    <comment ref="Y23" authorId="0" shapeId="0" xr:uid="{B754DD14-86C4-4928-9CCE-BAA359D9F460}">
      <text>
        <r>
          <rPr>
            <sz val="10"/>
            <color indexed="81"/>
            <rFont val="Courier New"/>
            <family val="3"/>
          </rPr>
          <t>_x000D_
    DESCRIÇÃO DO CÁLCULO_x000D_
Código    : 13.539_x000D_
Corte     : 712_x000D_
-----------------------------_x000D_
Pendente  : 45_x000D_
22 / 08_2 : 332_x000D_
22 / 09_2 : 349_x000D_
22 / 10_2 : 371_x000D_
22 / 11_2 : 268_x000D_
22 / 12_2 : _x000D_
23 / 01_2 : 261_x000D_
23 / 02_2 : 376_x000D_
23 / 03_2 : 661_x000D_
23 / 04_2 : 444_x000D_
23 / 05_2 : 437_x000D_
23 / 06_2 : 462_x000D_
23 / 07_2 : 399_x000D_
_x000D_
    TOTAL : ( 4.405 )_x000D_
  DIVISOR : 12_x000D_
    MÉDIA : 367,08</t>
        </r>
      </text>
    </comment>
    <comment ref="AB23" authorId="0" shapeId="0" xr:uid="{758E3D70-F453-4AD4-81CC-2B93BE0175F3}">
      <text>
        <r>
          <rPr>
            <sz val="10"/>
            <color indexed="81"/>
            <rFont val="Lucida Console"/>
            <family val="3"/>
          </rPr>
          <t>Última movimentação no estoque em 07/2023 quantidade 399.</t>
        </r>
      </text>
    </comment>
    <comment ref="R24" authorId="0" shapeId="0" xr:uid="{D5B7557A-9FF7-45E9-B5EF-6A6DB7CE3BFE}">
      <text>
        <r>
          <rPr>
            <sz val="10"/>
            <color indexed="81"/>
            <rFont val="Lucida Console"/>
            <family val="3"/>
          </rPr>
          <t>08.08.2016</t>
        </r>
      </text>
    </comment>
    <comment ref="Y24" authorId="0" shapeId="0" xr:uid="{06FFC1E0-A0AC-48DC-98EE-BBB3A9D81CA0}">
      <text>
        <r>
          <rPr>
            <sz val="10"/>
            <color indexed="81"/>
            <rFont val="Courier New"/>
            <family val="3"/>
          </rPr>
          <t>_x000D_
    DESCRIÇÃO DO CÁLCULO_x000D_
Código    : 131.917_x000D_
Corte     : 5.283_x000D_
-----------------------------_x000D_
Pendente  : _x000D_
22 / 08_2 : 161_x000D_
22 / 09_2 : 149_x000D_
22 / 10_2 : 172_x000D_
22 / 11_2 : 166_x000D_
22 / 12_2 : 151_x000D_
23 / 01_2 : 81_x000D_
23 / 02_2 : 263_x000D_
23 / 03_2 : 5.283 (corte = 7920)_x000D_
23 / 04_2 : 95_x000D_
23 / 05_2 : 110_x000D_
23 / 06_2 : 138_x000D_
23 / 07_2 : 126_x000D_
_x000D_
    TOTAL : ( 6.895 )_x000D_
  DIVISOR : 12_x000D_
    MÉDIA : 574,58_x000D_
-----------------------------_x000D_
   Valores Desconsiderados_x000D_
-----------------------------_x000D_
23 / 03_2 : 2.637 (7.920)_x000D_
_x000D_
  TOTAL   : ( 2.637 )</t>
        </r>
      </text>
    </comment>
    <comment ref="AB24" authorId="0" shapeId="0" xr:uid="{61868432-D285-41C0-9B87-46824C69D6BA}">
      <text>
        <r>
          <rPr>
            <sz val="10"/>
            <color indexed="81"/>
            <rFont val="Lucida Console"/>
            <family val="3"/>
          </rPr>
          <t>Última movimentação no estoque em 07/2023 quantidade 126.</t>
        </r>
      </text>
    </comment>
    <comment ref="R25" authorId="0" shapeId="0" xr:uid="{92532DAF-EECE-464F-AD22-FD82952D4711}">
      <text>
        <r>
          <rPr>
            <sz val="10"/>
            <color indexed="81"/>
            <rFont val="Lucida Console"/>
            <family val="3"/>
          </rPr>
          <t>12.09.2019</t>
        </r>
      </text>
    </comment>
    <comment ref="Y25" authorId="0" shapeId="0" xr:uid="{C05FD8D8-F961-4D65-A805-3499190DF825}">
      <text>
        <r>
          <rPr>
            <sz val="10"/>
            <color indexed="81"/>
            <rFont val="Courier New"/>
            <family val="3"/>
          </rPr>
          <t>_x000D_
    DESCRIÇÃO DO CÁLCULO_x000D_
Código    : 138.450_x000D_
Corte     : 1.324_x000D_
-----------------------------_x000D_
Pendente  : 249_x000D_
22 / 08_2 : 754_x000D_
22 / 09_2 : 785_x000D_
22 / 10_2 : 745_x000D_
22 / 11_2 : 935_x000D_
22 / 12_2 : 657_x000D_
23 / 01_2 : 36_x000D_
23 / 02_2 : 30_x000D_
23 / 03_2 : 1.005_x000D_
23 / 04_2 : 931_x000D_
23 / 05_2 : 739_x000D_
23 / 06_2 : 721_x000D_
23 / 07_2 : 477_x000D_
_x000D_
    TOTAL : ( 8.064 )_x000D_
  DIVISOR : 12_x000D_
    MÉDIA : 672,00</t>
        </r>
      </text>
    </comment>
    <comment ref="AB25" authorId="0" shapeId="0" xr:uid="{DFE9017D-E89E-4152-87B7-B560546A3614}">
      <text>
        <r>
          <rPr>
            <sz val="10"/>
            <color indexed="81"/>
            <rFont val="Lucida Console"/>
            <family val="3"/>
          </rPr>
          <t>Última movimentação no estoque em 07/2023 quantidade 477.</t>
        </r>
      </text>
    </comment>
    <comment ref="R26" authorId="0" shapeId="0" xr:uid="{2CA8E6D3-1CC1-4744-87E4-BFFDA9F3C3DF}">
      <text>
        <r>
          <rPr>
            <sz val="10"/>
            <color indexed="81"/>
            <rFont val="Lucida Console"/>
            <family val="3"/>
          </rPr>
          <t>01.01.1901</t>
        </r>
      </text>
    </comment>
    <comment ref="Y26" authorId="0" shapeId="0" xr:uid="{394DA761-7A2A-464F-A6D8-D04EBA86C579}">
      <text>
        <r>
          <rPr>
            <sz val="10"/>
            <color indexed="81"/>
            <rFont val="Courier New"/>
            <family val="3"/>
          </rPr>
          <t>_x000D_
    DESCRIÇÃO DO CÁLCULO_x000D_
Código    : 33.609_x000D_
Corte     : 2_x000D_
-----------------------------_x000D_
Pendente  : _x000D_
22 / 08_2 : _x000D_
22 / 09_2 : _x000D_
22 / 10_2 : 2_x000D_
22 / 11_2 : 2 (corte = 3)_x000D_
22 / 12_2 : _x000D_
23 / 01_2 : _x000D_
23 / 02_2 : _x000D_
23 / 03_2 : _x000D_
23 / 04_2 : _x000D_
23 / 05_2 : _x000D_
23 / 06_2 : _x000D_
23 / 07_2 : _x000D_
_x000D_
    TOTAL : ( 4 )_x000D_
  DIVISOR : 12_x000D_
    MÉDIA : ,33_x000D_
-----------------------------_x000D_
   Valores Desconsiderados_x000D_
-----------------------------_x000D_
22 / 11_2 : 1 (3)_x000D_
_x000D_
  TOTAL   : ( 1 )</t>
        </r>
      </text>
    </comment>
    <comment ref="AB26" authorId="0" shapeId="0" xr:uid="{B2BDA51B-F409-4E85-9F0D-320B3CED2006}">
      <text>
        <r>
          <rPr>
            <sz val="10"/>
            <color indexed="81"/>
            <rFont val="Lucida Console"/>
            <family val="3"/>
          </rPr>
          <t>Última movimentação no estoque em 11/2022 quantidade 3.</t>
        </r>
      </text>
    </comment>
    <comment ref="R27" authorId="0" shapeId="0" xr:uid="{CC0BBEB8-92E1-47B9-852B-C47ACEF6F919}">
      <text>
        <r>
          <rPr>
            <sz val="10"/>
            <color indexed="81"/>
            <rFont val="Lucida Console"/>
            <family val="3"/>
          </rPr>
          <t>01.01.1901</t>
        </r>
      </text>
    </comment>
    <comment ref="Y27" authorId="0" shapeId="0" xr:uid="{FBAD78AF-87C7-417A-9764-889F70C18DED}">
      <text>
        <r>
          <rPr>
            <sz val="10"/>
            <color indexed="81"/>
            <rFont val="Courier New"/>
            <family val="3"/>
          </rPr>
          <t>_x000D_
    DESCRIÇÃO DO CÁLCULO_x000D_
Código    : 33.612_x000D_
Corte     : 19_x000D_
-----------------------------_x000D_
Pendente  : _x000D_
22 / 08_2 : _x000D_
22 / 09_2 : 10_x000D_
22 / 10_2 : 12_x000D_
22 / 11_2 : _x000D_
22 / 12_2 : 2_x000D_
23 / 01_2 : 1_x000D_
23 / 02_2 : 3_x000D_
23 / 03_2 : 9_x000D_
23 / 04_2 : 19 (corte = 22)_x000D_
23 / 05_2 : _x000D_
23 / 06_2 : 10_x000D_
23 / 07_2 : 5_x000D_
_x000D_
    TOTAL : ( 71 )_x000D_
  DIVISOR : 12_x000D_
    MÉDIA : 5,92_x000D_
-----------------------------_x000D_
   Valores Desconsiderados_x000D_
-----------------------------_x000D_
23 / 04_2 : 3 (22)_x000D_
_x000D_
  TOTAL   : ( 3 )</t>
        </r>
      </text>
    </comment>
    <comment ref="AB27" authorId="0" shapeId="0" xr:uid="{A88AB54D-5BC7-493C-96B0-9BA7B6EEBDD6}">
      <text>
        <r>
          <rPr>
            <sz val="10"/>
            <color indexed="81"/>
            <rFont val="Lucida Console"/>
            <family val="3"/>
          </rPr>
          <t>Última movimentação no estoque em 07/2023 quantidade 5.</t>
        </r>
      </text>
    </comment>
    <comment ref="R28" authorId="0" shapeId="0" xr:uid="{F8CA4362-B57D-4CA7-BAC9-31A7FCBE6364}">
      <text>
        <r>
          <rPr>
            <sz val="10"/>
            <color indexed="81"/>
            <rFont val="Lucida Console"/>
            <family val="3"/>
          </rPr>
          <t>01.01.1901</t>
        </r>
      </text>
    </comment>
    <comment ref="Y28" authorId="0" shapeId="0" xr:uid="{6E6FCFC3-6446-4D4F-8792-EDC05D71ADFE}">
      <text>
        <r>
          <rPr>
            <sz val="10"/>
            <color indexed="81"/>
            <rFont val="Courier New"/>
            <family val="3"/>
          </rPr>
          <t>_x000D_
    DESCRIÇÃO DO CÁLCULO_x000D_
Código    : 33.623_x000D_
Corte     : 79_x000D_
-----------------------------_x000D_
Pendente  : _x000D_
22 / 08_2 : 32_x000D_
22 / 09_2 : 29_x000D_
22 / 10_2 : 15_x000D_
22 / 11_2 : 29_x000D_
22 / 12_2 : 4_x000D_
23 / 01_2 : 58_x000D_
23 / 02_2 : 22_x000D_
23 / 03_2 : 72_x000D_
23 / 04_2 : 7_x000D_
23 / 05_2 : 74_x000D_
23 / 06_2 : 20_x000D_
23 / 07_2 : 11_x000D_
_x000D_
    TOTAL : ( 373 )_x000D_
  DIVISOR : 12_x000D_
    MÉDIA : 31,08</t>
        </r>
      </text>
    </comment>
    <comment ref="AB28" authorId="0" shapeId="0" xr:uid="{3DB612DE-F292-415A-AA60-BBE76FE139C2}">
      <text>
        <r>
          <rPr>
            <sz val="10"/>
            <color indexed="81"/>
            <rFont val="Lucida Console"/>
            <family val="3"/>
          </rPr>
          <t>Última movimentação no estoque em 07/2023 quantidade 11.</t>
        </r>
      </text>
    </comment>
    <comment ref="R29" authorId="0" shapeId="0" xr:uid="{5DBBD3B5-A522-4F4B-A6F7-D7AEA4D44B5F}">
      <text>
        <r>
          <rPr>
            <sz val="10"/>
            <color indexed="81"/>
            <rFont val="Lucida Console"/>
            <family val="3"/>
          </rPr>
          <t>12.02.2008</t>
        </r>
      </text>
    </comment>
    <comment ref="Y29" authorId="0" shapeId="0" xr:uid="{E13923F2-A661-48D6-9A05-3B07BF2843CB}">
      <text>
        <r>
          <rPr>
            <sz val="10"/>
            <color indexed="81"/>
            <rFont val="Courier New"/>
            <family val="3"/>
          </rPr>
          <t>_x000D_
    DESCRIÇÃO DO CÁLCULO_x000D_
Código    : 104.911_x000D_
Corte     : 16_x000D_
-----------------------------_x000D_
Pendente  : _x000D_
22 / 08_2 : _x000D_
22 / 09_2 : _x000D_
22 / 10_2 : 4_x000D_
22 / 11_2 : _x000D_
22 / 12_2 : _x000D_
23 / 01_2 : 8_x000D_
23 / 02_2 : 4_x000D_
23 / 03_2 : 10_x000D_
23 / 04_2 : _x000D_
23 / 05_2 : _x000D_
23 / 06_2 : _x000D_
23 / 07_2 : 16 (corte = 20)_x000D_
_x000D_
    TOTAL : ( 42 )_x000D_
  DIVISOR : 12_x000D_
    MÉDIA : 3,50_x000D_
-----------------------------_x000D_
   Valores Desconsiderados_x000D_
-----------------------------_x000D_
23 / 07_2 : 4 (20)_x000D_
_x000D_
  TOTAL   : ( 4 )</t>
        </r>
      </text>
    </comment>
    <comment ref="AB29" authorId="0" shapeId="0" xr:uid="{C12C55EE-BA85-4471-8CC9-D492E0265F7D}">
      <text>
        <r>
          <rPr>
            <sz val="10"/>
            <color indexed="81"/>
            <rFont val="Lucida Console"/>
            <family val="3"/>
          </rPr>
          <t>Última movimentação no estoque em 07/2023 quantidade 20.</t>
        </r>
      </text>
    </comment>
    <comment ref="R30" authorId="0" shapeId="0" xr:uid="{85D8D7E0-DEFA-4C00-9421-E71CB4CD1B5B}">
      <text>
        <r>
          <rPr>
            <sz val="10"/>
            <color indexed="81"/>
            <rFont val="Lucida Console"/>
            <family val="3"/>
          </rPr>
          <t>07.02.2018</t>
        </r>
      </text>
    </comment>
    <comment ref="Y30" authorId="0" shapeId="0" xr:uid="{E3F0EC35-763B-48BA-9F78-932B4B551E62}">
      <text>
        <r>
          <rPr>
            <sz val="10"/>
            <color indexed="81"/>
            <rFont val="Courier New"/>
            <family val="3"/>
          </rPr>
          <t>_x000D_
    DESCRIÇÃO DO CÁLCULO_x000D_
Código    : 134.246_x000D_
Corte     : 184_x000D_
-----------------------------_x000D_
Pendente  : 23_x000D_
22 / 08_2 : 41_x000D_
22 / 09_2 : _x000D_
22 / 10_2 : 97_x000D_
22 / 11_2 : 94_x000D_
22 / 12_2 : 87_x000D_
23 / 01_2 : 82_x000D_
23 / 02_2 : 140_x000D_
23 / 03_2 : 114_x000D_
23 / 04_2 : 103_x000D_
23 / 05_2 : 166_x000D_
23 / 06_2 : 98_x000D_
23 / 07_2 : 89_x000D_
_x000D_
    TOTAL : ( 1.134 )_x000D_
  DIVISOR : 12_x000D_
    MÉDIA : 94,50</t>
        </r>
      </text>
    </comment>
    <comment ref="AB30" authorId="0" shapeId="0" xr:uid="{EAD4C33D-85AC-455E-870D-AB1468C05875}">
      <text>
        <r>
          <rPr>
            <sz val="10"/>
            <color indexed="81"/>
            <rFont val="Lucida Console"/>
            <family val="3"/>
          </rPr>
          <t>Última movimentação no estoque em 07/2023 quantidade 89.</t>
        </r>
      </text>
    </comment>
    <comment ref="R31" authorId="0" shapeId="0" xr:uid="{82C96CC2-3526-411C-B7B6-6A75E2B1E5FD}">
      <text>
        <r>
          <rPr>
            <sz val="10"/>
            <color indexed="81"/>
            <rFont val="Lucida Console"/>
            <family val="3"/>
          </rPr>
          <t>08.11.2005</t>
        </r>
      </text>
    </comment>
    <comment ref="Y31" authorId="0" shapeId="0" xr:uid="{E24CBA66-664D-4F18-BFD9-7637DAAAB9CA}">
      <text>
        <r>
          <rPr>
            <sz val="10"/>
            <color indexed="81"/>
            <rFont val="Courier New"/>
            <family val="3"/>
          </rPr>
          <t>_x000D_
    DESCRIÇÃO DO CÁLCULO_x000D_
Código    : 88.849_x000D_
Corte     : 231_x000D_
-----------------------------_x000D_
Pendente  : _x000D_
22 / 08_2 : 2_x000D_
22 / 09_2 : 6_x000D_
22 / 10_2 : 2_x000D_
22 / 11_2 : 102_x000D_
22 / 12_2 : 2_x000D_
23 / 01_2 : 231 (corte = 331)_x000D_
23 / 02_2 : 2_x000D_
23 / 03_2 : 1_x000D_
23 / 04_2 : 8_x000D_
23 / 05_2 : 1_x000D_
23 / 06_2 : _x000D_
23 / 07_2 : _x000D_
_x000D_
    TOTAL : ( 357 )_x000D_
  DIVISOR : 12_x000D_
    MÉDIA : 29,75_x000D_
-----------------------------_x000D_
   Valores Desconsiderados_x000D_
-----------------------------_x000D_
23 / 01_2 : 100 (331)_x000D_
_x000D_
  TOTAL   : ( 100 )</t>
        </r>
      </text>
    </comment>
    <comment ref="AB31" authorId="0" shapeId="0" xr:uid="{A759AAD1-1C78-44D6-A7DD-6FFE2E6D72B8}">
      <text>
        <r>
          <rPr>
            <sz val="10"/>
            <color indexed="81"/>
            <rFont val="Lucida Console"/>
            <family val="3"/>
          </rPr>
          <t>Última movimentação no estoque em 05/2023 quantidade 1.</t>
        </r>
      </text>
    </comment>
    <comment ref="R32" authorId="0" shapeId="0" xr:uid="{5D6B564E-66C6-43F8-8074-CBB7C7A36E19}">
      <text>
        <r>
          <rPr>
            <sz val="10"/>
            <color indexed="81"/>
            <rFont val="Lucida Console"/>
            <family val="3"/>
          </rPr>
          <t>01.01.1901</t>
        </r>
      </text>
    </comment>
    <comment ref="Y32" authorId="0" shapeId="0" xr:uid="{4468C9D3-9B0C-4F90-B485-43C56BCD94C2}">
      <text>
        <r>
          <rPr>
            <sz val="10"/>
            <color indexed="81"/>
            <rFont val="Courier New"/>
            <family val="3"/>
          </rPr>
          <t>_x000D_
    DESCRIÇÃO DO CÁLCULO_x000D_
Código    : 64.466_x000D_
Corte     : 86_x000D_
-----------------------------_x000D_
Pendente  : _x000D_
22 / 08_2 : _x000D_
22 / 09_2 : _x000D_
22 / 10_2 : _x000D_
22 / 11_2 : _x000D_
22 / 12_2 : 30_x000D_
23 / 01_2 : 86 (corte = 115)_x000D_
23 / 02_2 : _x000D_
23 / 03_2 : 50_x000D_
23 / 04_2 : _x000D_
23 / 05_2 : _x000D_
23 / 06_2 : _x000D_
23 / 07_2 : _x000D_
_x000D_
    TOTAL : ( 166 )_x000D_
  DIVISOR : 12_x000D_
    MÉDIA : 13,83_x000D_
-----------------------------_x000D_
   Valores Desconsiderados_x000D_
-----------------------------_x000D_
23 / 01_2 : 29 (115)_x000D_
_x000D_
  TOTAL   : ( 29 )</t>
        </r>
      </text>
    </comment>
    <comment ref="AB32" authorId="0" shapeId="0" xr:uid="{BEA28581-5BAC-4125-B06F-23790388B6DB}">
      <text>
        <r>
          <rPr>
            <sz val="10"/>
            <color indexed="81"/>
            <rFont val="Lucida Console"/>
            <family val="3"/>
          </rPr>
          <t>Última movimentação no estoque em 03/2023 quantidade 50.</t>
        </r>
      </text>
    </comment>
    <comment ref="R33" authorId="0" shapeId="0" xr:uid="{E80C835B-A97D-4897-B8C6-AC42C78ECEF0}">
      <text>
        <r>
          <rPr>
            <sz val="10"/>
            <color indexed="81"/>
            <rFont val="Lucida Console"/>
            <family val="3"/>
          </rPr>
          <t>01.01.1901</t>
        </r>
      </text>
    </comment>
    <comment ref="Y33" authorId="0" shapeId="0" xr:uid="{3022DB55-660F-471F-A7B2-793FEFC619A3}">
      <text>
        <r>
          <rPr>
            <sz val="10"/>
            <color indexed="81"/>
            <rFont val="Courier New"/>
            <family val="3"/>
          </rPr>
          <t>_x000D_
    DESCRIÇÃO DO CÁLCULO_x000D_
Código    : 54.032_x000D_
Corte     : 2.627_x000D_
-----------------------------_x000D_
Pendente  : _x000D_
22 / 08_2 : 600_x000D_
22 / 09_2 : 490_x000D_
22 / 10_2 : 1.724_x000D_
22 / 11_2 : 1.900_x000D_
22 / 12_2 : 2.010_x000D_
23 / 01_2 : 850_x000D_
23 / 02_2 : 1.890_x000D_
23 / 03_2 : 650_x000D_
23 / 04_2 : 1.800_x000D_
23 / 05_2 : _x000D_
23 / 06_2 : _x000D_
23 / 07_2 : _x000D_
_x000D_
    TOTAL : ( 11.914 )_x000D_
  DIVISOR : 12_x000D_
    MÉDIA : 992,83</t>
        </r>
      </text>
    </comment>
    <comment ref="AB33" authorId="0" shapeId="0" xr:uid="{9FC81BAD-125B-4222-A3D8-9B509A04B3FC}">
      <text>
        <r>
          <rPr>
            <sz val="10"/>
            <color indexed="81"/>
            <rFont val="Lucida Console"/>
            <family val="3"/>
          </rPr>
          <t>Última movimentação no estoque em 04/2023 quantidade 1.800.</t>
        </r>
      </text>
    </comment>
    <comment ref="R34" authorId="0" shapeId="0" xr:uid="{14F91ED5-C23F-45EC-A6B9-3AD62BEA3F9C}">
      <text>
        <r>
          <rPr>
            <sz val="10"/>
            <color indexed="81"/>
            <rFont val="Lucida Console"/>
            <family val="3"/>
          </rPr>
          <t>01.01.1901</t>
        </r>
      </text>
    </comment>
    <comment ref="Y34" authorId="0" shapeId="0" xr:uid="{CE8D5425-CD30-46FE-AB66-F332C64D1C38}">
      <text>
        <r>
          <rPr>
            <sz val="10"/>
            <color indexed="81"/>
            <rFont val="Courier New"/>
            <family val="3"/>
          </rPr>
          <t>_x000D_
    DESCRIÇÃO DO CÁLCULO_x000D_
Código    : 54.029_x000D_
Corte     : 216_x000D_
-----------------------------_x000D_
Pendente  : _x000D_
22 / 08_2 : 100_x000D_
22 / 09_2 : 100_x000D_
22 / 10_2 : _x000D_
22 / 11_2 : _x000D_
22 / 12_2 : 50_x000D_
23 / 01_2 : 100_x000D_
23 / 02_2 : _x000D_
23 / 03_2 : 200_x000D_
23 / 04_2 : 200_x000D_
23 / 05_2 : _x000D_
23 / 06_2 : _x000D_
23 / 07_2 : _x000D_
_x000D_
    TOTAL : ( 750 )_x000D_
  DIVISOR : 12_x000D_
    MÉDIA : 62,50</t>
        </r>
      </text>
    </comment>
    <comment ref="AB34" authorId="0" shapeId="0" xr:uid="{968A5E1D-45EE-4754-8CAD-571881E1DDB0}">
      <text>
        <r>
          <rPr>
            <sz val="10"/>
            <color indexed="81"/>
            <rFont val="Lucida Console"/>
            <family val="3"/>
          </rPr>
          <t>Última movimentação no estoque em 04/2023 quantidade 200.</t>
        </r>
      </text>
    </comment>
    <comment ref="R35" authorId="0" shapeId="0" xr:uid="{112EB8C6-BEEE-4453-A40B-021D3E2EE1D0}">
      <text>
        <r>
          <rPr>
            <sz val="10"/>
            <color indexed="81"/>
            <rFont val="Lucida Console"/>
            <family val="3"/>
          </rPr>
          <t>01.01.1901</t>
        </r>
      </text>
    </comment>
    <comment ref="Y35" authorId="0" shapeId="0" xr:uid="{4370E118-5552-4173-A0D5-37479008F091}">
      <text>
        <r>
          <rPr>
            <sz val="10"/>
            <color indexed="81"/>
            <rFont val="Courier New"/>
            <family val="3"/>
          </rPr>
          <t>_x000D_
    DESCRIÇÃO DO CÁLCULO_x000D_
Código    : 113.611_x000D_
Corte     : 139_x000D_
-----------------------------_x000D_
Pendente  : _x000D_
22 / 08_2 : 83_x000D_
22 / 09_2 : 139 (corte = 188)_x000D_
22 / 10_2 : 35_x000D_
22 / 11_2 : _x000D_
22 / 12_2 : _x000D_
23 / 01_2 : _x000D_
23 / 02_2 : _x000D_
23 / 03_2 : _x000D_
23 / 04_2 : _x000D_
23 / 05_2 : _x000D_
23 / 06_2 : _x000D_
23 / 07_2 : _x000D_
_x000D_
    TOTAL : ( 257 )_x000D_
  DIVISOR : 12_x000D_
    MÉDIA : 21,42_x000D_
-----------------------------_x000D_
   Valores Desconsiderados_x000D_
-----------------------------_x000D_
22 / 09_2 : 49 (188)_x000D_
_x000D_
  TOTAL   : ( 49 )</t>
        </r>
      </text>
    </comment>
    <comment ref="AB35" authorId="0" shapeId="0" xr:uid="{CCF5DD16-BC78-4F43-9F34-8BC340683940}">
      <text>
        <r>
          <rPr>
            <sz val="10"/>
            <color indexed="81"/>
            <rFont val="Lucida Console"/>
            <family val="3"/>
          </rPr>
          <t>Última movimentação no estoque em 10/2022 quantidade 35.</t>
        </r>
      </text>
    </comment>
    <comment ref="R36" authorId="0" shapeId="0" xr:uid="{A926086B-7A6B-4576-A191-94BC8CD3AD46}">
      <text>
        <r>
          <rPr>
            <sz val="10"/>
            <color indexed="81"/>
            <rFont val="Lucida Console"/>
            <family val="3"/>
          </rPr>
          <t>19.05.2022</t>
        </r>
      </text>
    </comment>
    <comment ref="Y36" authorId="0" shapeId="0" xr:uid="{D5386B97-288B-4D47-917B-48A280204E7D}">
      <text>
        <r>
          <rPr>
            <sz val="10"/>
            <color indexed="81"/>
            <rFont val="Courier New"/>
            <family val="3"/>
          </rPr>
          <t>_x000D_
    DESCRIÇÃO DO CÁLCULO_x000D_
Código    : 144.153_x000D_
Corte     : 151_x000D_
-----------------------------_x000D_
Pendente  : 10_x000D_
22 / 08_2 : _x000D_
22 / 09_2 : _x000D_
22 / 10_2 : 5_x000D_
22 / 11_2 : 23_x000D_
22 / 12_2 : 44_x000D_
23 / 01_2 : 104_x000D_
23 / 02_2 : 49_x000D_
23 / 03_2 : 39_x000D_
23 / 04_2 : 73_x000D_
23 / 05_2 : 151 (corte = 173)_x000D_
23 / 06_2 : 80_x000D_
23 / 07_2 : 40_x000D_
_x000D_
    TOTAL : ( 618 )_x000D_
  DIVISOR : 12_x000D_
    MÉDIA : 51,50_x000D_
-----------------------------_x000D_
   Valores Desconsiderados_x000D_
-----------------------------_x000D_
23 / 05_2 : 22 (173)_x000D_
_x000D_
  TOTAL   : ( 22 )</t>
        </r>
      </text>
    </comment>
    <comment ref="AB36" authorId="0" shapeId="0" xr:uid="{035907C4-A129-42B0-B86C-26DE56D23CD0}">
      <text>
        <r>
          <rPr>
            <sz val="10"/>
            <color indexed="81"/>
            <rFont val="Lucida Console"/>
            <family val="3"/>
          </rPr>
          <t>Última movimentação no estoque em 07/2023 quantidade 40.</t>
        </r>
      </text>
    </comment>
    <comment ref="R37" authorId="0" shapeId="0" xr:uid="{E98DFB41-FAA6-410E-9241-34A375DE68EB}">
      <text>
        <r>
          <rPr>
            <sz val="10"/>
            <color indexed="81"/>
            <rFont val="Lucida Console"/>
            <family val="3"/>
          </rPr>
          <t>13.06.2019</t>
        </r>
      </text>
    </comment>
    <comment ref="Y37" authorId="0" shapeId="0" xr:uid="{05C75837-3B20-411D-ADEC-49BDA12159AB}">
      <text>
        <r>
          <rPr>
            <sz val="10"/>
            <color indexed="81"/>
            <rFont val="Courier New"/>
            <family val="3"/>
          </rPr>
          <t>_x000D_
    DESCRIÇÃO DO CÁLCULO_x000D_
Código    : 137.798_x000D_
Corte     : _x000D_
-----------------------------_x000D_
Pendente  : _x000D_
22 / 08_2 : _x000D_
22 / 09_2 : _x000D_
22 / 10_2 : _x000D_
22 / 11_2 : _x000D_
22 / 12_2 : _x000D_
23 / 01_2 : _x000D_
23 / 02_2 : _x000D_
23 / 03_2 : _x000D_
23 / 04_2 : _x000D_
23 / 05_2 : _x000D_
23 / 06_2 :  (corte = 1)_x000D_
23 / 07_2 : _x000D_
_x000D_
    TOTAL : (  )_x000D_
  DIVISOR : 12_x000D_
    MÉDIA : ,00_x000D_
-----------------------------_x000D_
   Valores Desconsiderados_x000D_
-----------------------------_x000D_
23 / 06_2 : 1 (1)_x000D_
_x000D_
  TOTAL   : ( 1 )</t>
        </r>
      </text>
    </comment>
    <comment ref="AB37" authorId="0" shapeId="0" xr:uid="{2B00E9E5-F2CD-4394-BC18-CAA5DA6CB3A7}">
      <text>
        <r>
          <rPr>
            <sz val="10"/>
            <color indexed="81"/>
            <rFont val="Lucida Console"/>
            <family val="3"/>
          </rPr>
          <t>Última movimentação no estoque em 06/2023 quantidade 1.</t>
        </r>
      </text>
    </comment>
    <comment ref="R38" authorId="0" shapeId="0" xr:uid="{F0D5A9E6-1F7A-4C77-B39C-2EACA3D1ED4F}">
      <text>
        <r>
          <rPr>
            <sz val="10"/>
            <color indexed="81"/>
            <rFont val="Lucida Console"/>
            <family val="3"/>
          </rPr>
          <t>01.01.1901</t>
        </r>
      </text>
    </comment>
    <comment ref="Y38" authorId="0" shapeId="0" xr:uid="{E4677346-BC06-4366-ADDF-731AE79F6571}">
      <text>
        <r>
          <rPr>
            <sz val="10"/>
            <color indexed="81"/>
            <rFont val="Courier New"/>
            <family val="3"/>
          </rPr>
          <t>_x000D_
    DESCRIÇÃO DO CÁLCULO_x000D_
Código    : 63.991_x000D_
Corte     : 952_x000D_
-----------------------------_x000D_
Pendente  : 210_x000D_
22 / 08_2 : 249_x000D_
22 / 09_2 : 218_x000D_
22 / 10_2 : 253_x000D_
22 / 11_2 : 307_x000D_
22 / 12_2 : 167_x000D_
23 / 01_2 : 101_x000D_
23 / 02_2 : 215_x000D_
23 / 03_2 : 952 (corte = 1319)_x000D_
23 / 04_2 : 5_x000D_
23 / 05_2 : 130_x000D_
23 / 06_2 : 271_x000D_
23 / 07_2 : 274_x000D_
_x000D_
    TOTAL : ( 3.352 )_x000D_
  DIVISOR : 12_x000D_
    MÉDIA : 279,33_x000D_
-----------------------------_x000D_
   Valores Desconsiderados_x000D_
-----------------------------_x000D_
23 / 03_2 : 367 (1.319)_x000D_
_x000D_
  TOTAL   : ( 367 )</t>
        </r>
      </text>
    </comment>
    <comment ref="AB38" authorId="0" shapeId="0" xr:uid="{7E2C19D6-FDD8-4861-AD7C-98F9E8FE0C8D}">
      <text>
        <r>
          <rPr>
            <sz val="10"/>
            <color indexed="81"/>
            <rFont val="Lucida Console"/>
            <family val="3"/>
          </rPr>
          <t>Última movimentação no estoque em 07/2023 quantidade 274.</t>
        </r>
      </text>
    </comment>
    <comment ref="R39" authorId="0" shapeId="0" xr:uid="{14CF2E1F-6BC1-46CC-B926-FEDE8D058B8E}">
      <text>
        <r>
          <rPr>
            <sz val="10"/>
            <color indexed="81"/>
            <rFont val="Lucida Console"/>
            <family val="3"/>
          </rPr>
          <t>01.01.1901</t>
        </r>
      </text>
    </comment>
    <comment ref="Y39" authorId="0" shapeId="0" xr:uid="{5CCAF1C3-E932-4709-8073-CEEE4DA523B4}">
      <text>
        <r>
          <rPr>
            <sz val="10"/>
            <color indexed="81"/>
            <rFont val="Courier New"/>
            <family val="3"/>
          </rPr>
          <t>_x000D_
    DESCRIÇÃO DO CÁLCULO_x000D_
Código    : 54.682_x000D_
Corte     : 2.416_x000D_
-----------------------------_x000D_
Pendente  : 120_x000D_
22 / 08_2 : 113_x000D_
22 / 09_2 : 100_x000D_
22 / 10_2 : 120_x000D_
22 / 11_2 : 143_x000D_
22 / 12_2 : 81_x000D_
23 / 01_2 : 78_x000D_
23 / 02_2 : 78_x000D_
23 / 03_2 : 2.416 (corte = 3731)_x000D_
23 / 04_2 : 84_x000D_
23 / 05_2 : _x000D_
23 / 06_2 : _x000D_
23 / 07_2 : _x000D_
_x000D_
    TOTAL : ( 3.333 )_x000D_
  DIVISOR : 12_x000D_
    MÉDIA : 277,75_x000D_
-----------------------------_x000D_
   Valores Desconsiderados_x000D_
-----------------------------_x000D_
23 / 03_2 : 1.315 (3.731)_x000D_
_x000D_
  TOTAL   : ( 1.315 )</t>
        </r>
      </text>
    </comment>
    <comment ref="AB39" authorId="0" shapeId="0" xr:uid="{82553F53-437C-4D39-8C40-1DCBCBD42591}">
      <text>
        <r>
          <rPr>
            <sz val="10"/>
            <color indexed="81"/>
            <rFont val="Lucida Console"/>
            <family val="3"/>
          </rPr>
          <t>Última movimentação no estoque em 04/2023 quantidade 84.</t>
        </r>
      </text>
    </comment>
    <comment ref="R40" authorId="0" shapeId="0" xr:uid="{42556F12-3311-477F-BC76-84748015EDFE}">
      <text>
        <r>
          <rPr>
            <sz val="10"/>
            <color indexed="81"/>
            <rFont val="Lucida Console"/>
            <family val="3"/>
          </rPr>
          <t>21.08.2012</t>
        </r>
      </text>
    </comment>
    <comment ref="Y40" authorId="0" shapeId="0" xr:uid="{11DA5828-B988-4608-9B33-DA9AAED90A0C}">
      <text>
        <r>
          <rPr>
            <sz val="10"/>
            <color indexed="81"/>
            <rFont val="Courier New"/>
            <family val="3"/>
          </rPr>
          <t>_x000D_
    DESCRIÇÃO DO CÁLCULO_x000D_
Código    : 123.618_x000D_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40" authorId="0" shapeId="0" xr:uid="{ECCE1872-1D7C-40E0-AA58-362E6A9403AF}">
      <text>
        <r>
          <rPr>
            <sz val="10"/>
            <color indexed="81"/>
            <rFont val="Lucida Console"/>
            <family val="3"/>
          </rPr>
          <t>Última movimentação no estoque em 08/2022 quantidade 1.</t>
        </r>
      </text>
    </comment>
    <comment ref="R41" authorId="0" shapeId="0" xr:uid="{F1F54A6A-E6A4-4C95-966B-7A713CC46AA5}">
      <text>
        <r>
          <rPr>
            <sz val="10"/>
            <color indexed="81"/>
            <rFont val="Lucida Console"/>
            <family val="3"/>
          </rPr>
          <t>08.11.2005</t>
        </r>
      </text>
    </comment>
    <comment ref="Y41" authorId="0" shapeId="0" xr:uid="{494E64B4-15EA-42B5-8EDA-E488EC1B31D7}">
      <text>
        <r>
          <rPr>
            <sz val="10"/>
            <color indexed="81"/>
            <rFont val="Courier New"/>
            <family val="3"/>
          </rPr>
          <t>_x000D_
    DESCRIÇÃO DO CÁLCULO_x000D_
Código    : 88.856_x000D_
Corte     : 72_x000D_
-----------------------------_x000D_
Pendente  : _x000D_
22 / 08_2 : 15_x000D_
22 / 09_2 : 10_x000D_
22 / 10_2 : 20_x000D_
22 / 11_2 : 72 (corte = 85)_x000D_
22 / 12_2 : 5_x000D_
23 / 01_2 : 40_x000D_
23 / 02_2 : 10_x000D_
23 / 03_2 : _x000D_
23 / 04_2 : 20_x000D_
23 / 05_2 : _x000D_
23 / 06_2 : 50_x000D_
23 / 07_2 : _x000D_
_x000D_
    TOTAL : ( 242 )_x000D_
  DIVISOR : 12_x000D_
    MÉDIA : 20,17_x000D_
-----------------------------_x000D_
   Valores Desconsiderados_x000D_
-----------------------------_x000D_
22 / 11_2 : 13 (85)_x000D_
_x000D_
  TOTAL   : ( 13 )</t>
        </r>
      </text>
    </comment>
    <comment ref="AB41" authorId="0" shapeId="0" xr:uid="{96518391-F575-4602-A0D0-CE0CC50C44DE}">
      <text>
        <r>
          <rPr>
            <sz val="10"/>
            <color indexed="81"/>
            <rFont val="Lucida Console"/>
            <family val="3"/>
          </rPr>
          <t>Última movimentação no estoque em 06/2023 quantidade 50.</t>
        </r>
      </text>
    </comment>
    <comment ref="R42" authorId="0" shapeId="0" xr:uid="{30950293-453C-4473-B1DA-9566F0C2A5E5}">
      <text>
        <r>
          <rPr>
            <sz val="10"/>
            <color indexed="81"/>
            <rFont val="Lucida Console"/>
            <family val="3"/>
          </rPr>
          <t>01.01.1901</t>
        </r>
      </text>
    </comment>
    <comment ref="Y42" authorId="0" shapeId="0" xr:uid="{F30A6835-D59E-48CF-9214-A5D3556AC5A0}">
      <text>
        <r>
          <rPr>
            <sz val="10"/>
            <color indexed="81"/>
            <rFont val="Courier New"/>
            <family val="3"/>
          </rPr>
          <t>_x000D_
    DESCRIÇÃO DO CÁLCULO_x000D_
Código    : 59.882_x000D_
Corte     : 205_x000D_
-----------------------------_x000D_
Pendente  : _x000D_
22 / 08_2 : 83_x000D_
22 / 09_2 : 60_x000D_
22 / 10_2 : 12_x000D_
22 / 11_2 : 53_x000D_
22 / 12_2 : 15_x000D_
23 / 01_2 : 152_x000D_
23 / 02_2 : 31_x000D_
23 / 03_2 : 205 (corte = 240)_x000D_
23 / 04_2 : 75_x000D_
23 / 05_2 : 89_x000D_
23 / 06_2 : 60_x000D_
23 / 07_2 : 15_x000D_
_x000D_
    TOTAL : ( 850 )_x000D_
  DIVISOR : 12_x000D_
    MÉDIA : 70,83_x000D_
-----------------------------_x000D_
   Valores Desconsiderados_x000D_
-----------------------------_x000D_
23 / 03_2 : 35 (240)_x000D_
_x000D_
  TOTAL   : ( 35 )</t>
        </r>
      </text>
    </comment>
    <comment ref="AB42" authorId="0" shapeId="0" xr:uid="{E4E940C6-AE39-430E-B2AE-ECA74B6AB010}">
      <text>
        <r>
          <rPr>
            <sz val="10"/>
            <color indexed="81"/>
            <rFont val="Lucida Console"/>
            <family val="3"/>
          </rPr>
          <t>Última movimentação no estoque em 07/2023 quantidade 15.</t>
        </r>
      </text>
    </comment>
    <comment ref="R43" authorId="0" shapeId="0" xr:uid="{BAA630A8-2B69-4C61-B9F2-CA763963F1A9}">
      <text>
        <r>
          <rPr>
            <sz val="10"/>
            <color indexed="81"/>
            <rFont val="Lucida Console"/>
            <family val="3"/>
          </rPr>
          <t>01.01.1901</t>
        </r>
      </text>
    </comment>
    <comment ref="Y43" authorId="0" shapeId="0" xr:uid="{780E622C-3B8C-4076-9F25-A180CBBCEB96}">
      <text>
        <r>
          <rPr>
            <sz val="10"/>
            <color indexed="81"/>
            <rFont val="Courier New"/>
            <family val="3"/>
          </rPr>
          <t>_x000D_
    DESCRIÇÃO DO CÁLCULO_x000D_
Código    : 59.942_x000D_
Corte     : 44_x000D_
-----------------------------_x000D_
Pendente  : _x000D_
22 / 08_2 : 44 (corte = 49)_x000D_
22 / 09_2 : 5_x000D_
22 / 10_2 : _x000D_
22 / 11_2 : _x000D_
22 / 12_2 : 5_x000D_
23 / 01_2 : 6_x000D_
23 / 02_2 : _x000D_
23 / 03_2 : 39_x000D_
23 / 04_2 : 4_x000D_
23 / 05_2 : 20_x000D_
23 / 06_2 : 9_x000D_
23 / 07_2 : 16_x000D_
_x000D_
    TOTAL : ( 148 )_x000D_
  DIVISOR : 12_x000D_
    MÉDIA : 12,33_x000D_
-----------------------------_x000D_
   Valores Desconsiderados_x000D_
-----------------------------_x000D_
22 / 08_2 : 5 (49)_x000D_
_x000D_
  TOTAL   : ( 5 )</t>
        </r>
      </text>
    </comment>
    <comment ref="AB43" authorId="0" shapeId="0" xr:uid="{6A5ED9CE-2FDE-47F9-A845-D4A957A1B89C}">
      <text>
        <r>
          <rPr>
            <sz val="10"/>
            <color indexed="81"/>
            <rFont val="Lucida Console"/>
            <family val="3"/>
          </rPr>
          <t>Última movimentação no estoque em 07/2023 quantidade 16.</t>
        </r>
      </text>
    </comment>
    <comment ref="R44" authorId="0" shapeId="0" xr:uid="{ED9CC500-A3AC-4190-BBCF-3B78E27CEBD2}">
      <text>
        <r>
          <rPr>
            <sz val="10"/>
            <color indexed="81"/>
            <rFont val="Lucida Console"/>
            <family val="3"/>
          </rPr>
          <t>01.01.1901</t>
        </r>
      </text>
    </comment>
    <comment ref="Y44" authorId="0" shapeId="0" xr:uid="{DFFDCE8B-518E-4E07-8EF7-F4B39A913A9F}">
      <text>
        <r>
          <rPr>
            <sz val="10"/>
            <color indexed="81"/>
            <rFont val="Courier New"/>
            <family val="3"/>
          </rPr>
          <t>_x000D_
    DESCRIÇÃO DO CÁLCULO_x000D_
Código    : 64.604_x000D_
Corte     : 20_x000D_
-----------------------------_x000D_
Pendente  : _x000D_
22 / 08_2 : _x000D_
22 / 09_2 : _x000D_
22 / 10_2 : _x000D_
22 / 11_2 : _x000D_
22 / 12_2 : _x000D_
23 / 01_2 : 1_x000D_
23 / 02_2 : 2_x000D_
23 / 03_2 : 20 (corte = 30)_x000D_
23 / 04_2 : _x000D_
23 / 05_2 : _x000D_
23 / 06_2 : _x000D_
23 / 07_2 : 5_x000D_
_x000D_
    TOTAL : ( 28 )_x000D_
  DIVISOR : 12_x000D_
    MÉDIA : 2,33_x000D_
-----------------------------_x000D_
   Valores Desconsiderados_x000D_
-----------------------------_x000D_
23 / 03_2 : 10 (30)_x000D_
_x000D_
  TOTAL   : ( 10 )</t>
        </r>
      </text>
    </comment>
    <comment ref="AB44" authorId="0" shapeId="0" xr:uid="{3227DBCF-B079-4B1A-AAC2-42CF12AA5BDE}">
      <text>
        <r>
          <rPr>
            <sz val="10"/>
            <color indexed="81"/>
            <rFont val="Lucida Console"/>
            <family val="3"/>
          </rPr>
          <t>Última movimentação no estoque em 07/2023 quantidade 5.</t>
        </r>
      </text>
    </comment>
    <comment ref="R45" authorId="0" shapeId="0" xr:uid="{AE854E22-4134-4C23-A2ED-2C74D0579DAC}">
      <text>
        <r>
          <rPr>
            <sz val="10"/>
            <color indexed="81"/>
            <rFont val="Lucida Console"/>
            <family val="3"/>
          </rPr>
          <t>01.01.1901</t>
        </r>
      </text>
    </comment>
    <comment ref="Y45" authorId="0" shapeId="0" xr:uid="{2F93CA4E-992F-4B1B-93C6-F8A640A7A85C}">
      <text>
        <r>
          <rPr>
            <sz val="10"/>
            <color indexed="81"/>
            <rFont val="Courier New"/>
            <family val="3"/>
          </rPr>
          <t>_x000D_
    DESCRIÇÃO DO CÁLCULO_x000D_
Código    : 64.605_x000D_
Corte     : 110_x000D_
-----------------------------_x000D_
Pendente  : _x000D_
22 / 08_2 : 30_x000D_
22 / 09_2 : 30_x000D_
22 / 10_2 : 10_x000D_
22 / 11_2 : 31_x000D_
22 / 12_2 : 6_x000D_
23 / 01_2 : 105_x000D_
23 / 02_2 : 13_x000D_
23 / 03_2 : 106_x000D_
23 / 04_2 : 60_x000D_
23 / 05_2 : 46_x000D_
23 / 06_2 : 50_x000D_
23 / 07_2 : 5_x000D_
_x000D_
    TOTAL : ( 492 )_x000D_
  DIVISOR : 12_x000D_
    MÉDIA : 41,00</t>
        </r>
      </text>
    </comment>
    <comment ref="AB45" authorId="0" shapeId="0" xr:uid="{C1225A12-2802-4ABB-AD19-0D20BEB15FD3}">
      <text>
        <r>
          <rPr>
            <sz val="10"/>
            <color indexed="81"/>
            <rFont val="Lucida Console"/>
            <family val="3"/>
          </rPr>
          <t>Última movimentação no estoque em 07/2023 quantidade 5.</t>
        </r>
      </text>
    </comment>
    <comment ref="R46" authorId="0" shapeId="0" xr:uid="{0018B606-0601-4303-A425-6ECEC0FF1963}">
      <text>
        <r>
          <rPr>
            <sz val="10"/>
            <color indexed="81"/>
            <rFont val="Lucida Console"/>
            <family val="3"/>
          </rPr>
          <t>28.06.2004</t>
        </r>
      </text>
    </comment>
    <comment ref="Y46" authorId="0" shapeId="0" xr:uid="{C026466F-E23D-41CE-B703-50CBFEB929CE}">
      <text>
        <r>
          <rPr>
            <sz val="10"/>
            <color indexed="81"/>
            <rFont val="Courier New"/>
            <family val="3"/>
          </rPr>
          <t>_x000D_
    DESCRIÇÃO DO CÁLCULO_x000D_
Código    : 80.300_x000D_
Corte     : 19_x000D_
-----------------------------_x000D_
Pendente  : 5_x000D_
22 / 08_2 : 19 (corte = 21)_x000D_
22 / 09_2 : _x000D_
22 / 10_2 : 11_x000D_
22 / 11_2 : 3_x000D_
22 / 12_2 : 14_x000D_
23 / 01_2 : 7_x000D_
23 / 02_2 : 1_x000D_
23 / 03_2 : 9_x000D_
23 / 04_2 : 1_x000D_
23 / 05_2 : _x000D_
23 / 06_2 : 4_x000D_
23 / 07_2 : _x000D_
_x000D_
    TOTAL : ( 74 )_x000D_
  DIVISOR : 12_x000D_
    MÉDIA : 6,17_x000D_
-----------------------------_x000D_
   Valores Desconsiderados_x000D_
-----------------------------_x000D_
22 / 08_2 : 2 (21)_x000D_
_x000D_
  TOTAL   : ( 2 )</t>
        </r>
      </text>
    </comment>
    <comment ref="AB46" authorId="0" shapeId="0" xr:uid="{573E73D6-D2A9-4A7D-9879-B4B26E4CECF2}">
      <text>
        <r>
          <rPr>
            <sz val="10"/>
            <color indexed="81"/>
            <rFont val="Lucida Console"/>
            <family val="3"/>
          </rPr>
          <t>Última movimentação no estoque em 06/2023 quantidade 4.</t>
        </r>
      </text>
    </comment>
    <comment ref="R47" authorId="0" shapeId="0" xr:uid="{9AC4C84F-3DDF-4DAE-B46E-B42974CAAB54}">
      <text>
        <r>
          <rPr>
            <sz val="10"/>
            <color indexed="81"/>
            <rFont val="Lucida Console"/>
            <family val="3"/>
          </rPr>
          <t>01.01.1901</t>
        </r>
      </text>
    </comment>
    <comment ref="Y47" authorId="0" shapeId="0" xr:uid="{026A2E81-9CD7-46A1-B443-9D4066F840B4}">
      <text>
        <r>
          <rPr>
            <sz val="10"/>
            <color indexed="81"/>
            <rFont val="Courier New"/>
            <family val="3"/>
          </rPr>
          <t>_x000D_
    DESCRIÇÃO DO CÁLCULO_x000D_
Código    : 34.801_x000D_
Corte     : 767_x000D_
-----------------------------_x000D_
Pendente  : _x000D_
22 / 08_2 : 380_x000D_
22 / 09_2 : 180_x000D_
22 / 10_2 : 20_x000D_
22 / 11_2 : _x000D_
22 / 12_2 : 180_x000D_
23 / 01_2 : 767 (corte = 890)_x000D_
23 / 02_2 : 10_x000D_
23 / 03_2 : _x000D_
23 / 04_2 : 432_x000D_
23 / 05_2 : 432_x000D_
23 / 06_2 : 80_x000D_
23 / 07_2 : 276_x000D_
_x000D_
    TOTAL : ( 2.757 )_x000D_
  DIVISOR : 12_x000D_
    MÉDIA : 229,75_x000D_
-----------------------------_x000D_
   Valores Desconsiderados_x000D_
-----------------------------_x000D_
23 / 01_2 : 123 (890)_x000D_
_x000D_
  TOTAL   : ( 123 )</t>
        </r>
      </text>
    </comment>
    <comment ref="AB47" authorId="0" shapeId="0" xr:uid="{9B40778A-344B-40F1-A795-9AE67D5F1A52}">
      <text>
        <r>
          <rPr>
            <sz val="10"/>
            <color indexed="81"/>
            <rFont val="Lucida Console"/>
            <family val="3"/>
          </rPr>
          <t>Última movimentação no estoque em 07/2023 quantidade 276.</t>
        </r>
      </text>
    </comment>
    <comment ref="R48" authorId="0" shapeId="0" xr:uid="{90D6A00C-D3D0-4E5E-BDEB-CD67B6E13C5F}">
      <text>
        <r>
          <rPr>
            <sz val="10"/>
            <color indexed="81"/>
            <rFont val="Lucida Console"/>
            <family val="3"/>
          </rPr>
          <t>01.01.1901</t>
        </r>
      </text>
    </comment>
    <comment ref="Y48" authorId="0" shapeId="0" xr:uid="{BB5CFBF4-D4B4-441A-9175-BA1DD6E9FD1C}">
      <text>
        <r>
          <rPr>
            <sz val="10"/>
            <color indexed="81"/>
            <rFont val="Courier New"/>
            <family val="3"/>
          </rPr>
          <t>_x000D_
    DESCRIÇÃO DO CÁLCULO_x000D_
Código    : 24.371_x000D_
Corte     : 5.553_x000D_
-----------------------------_x000D_
Pendente  : _x000D_
22 / 08_2 : 4.038_x000D_
22 / 09_2 : 1.038_x000D_
22 / 10_2 : 2.330_x000D_
22 / 11_2 : 1.458_x000D_
22 / 12_2 : 1.108_x000D_
23 / 01_2 : 876_x000D_
23 / 02_2 : 2.394_x000D_
23 / 03_2 : 3.722_x000D_
23 / 04_2 : 4.608_x000D_
23 / 05_2 : 5.184_x000D_
23 / 06_2 : 2.334_x000D_
23 / 07_2 : 1.068_x000D_
_x000D_
    TOTAL : ( 30.158 )_x000D_
  DIVISOR : 12_x000D_
    MÉDIA : 2.513,17</t>
        </r>
      </text>
    </comment>
    <comment ref="AB48" authorId="0" shapeId="0" xr:uid="{55E8218E-EF93-471B-9212-7A7AA3023FCE}">
      <text>
        <r>
          <rPr>
            <sz val="10"/>
            <color indexed="81"/>
            <rFont val="Lucida Console"/>
            <family val="3"/>
          </rPr>
          <t>Última movimentação no estoque em 07/2023 quantidade 1.068.</t>
        </r>
      </text>
    </comment>
    <comment ref="R49" authorId="0" shapeId="0" xr:uid="{B2AA9B67-96E5-48D6-9ADE-A1B9919FC183}">
      <text>
        <r>
          <rPr>
            <sz val="10"/>
            <color indexed="81"/>
            <rFont val="Lucida Console"/>
            <family val="3"/>
          </rPr>
          <t>01.01.1901</t>
        </r>
      </text>
    </comment>
    <comment ref="Y49" authorId="0" shapeId="0" xr:uid="{8E325146-D2AE-4E14-B0B3-942E839A86F2}">
      <text>
        <r>
          <rPr>
            <sz val="10"/>
            <color indexed="81"/>
            <rFont val="Courier New"/>
            <family val="3"/>
          </rPr>
          <t>_x000D_
    DESCRIÇÃO DO CÁLCULO_x000D_
Código    : 32.534_x000D_
Corte     : 1.191_x000D_
-----------------------------_x000D_
Pendente  : _x000D_
22 / 08_2 : 150_x000D_
22 / 09_2 : _x000D_
22 / 10_2 : _x000D_
22 / 11_2 : 1.191 (corte = 1540)_x000D_
22 / 12_2 : 670_x000D_
23 / 01_2 : 25_x000D_
23 / 02_2 : 80_x000D_
23 / 03_2 : 364_x000D_
23 / 04_2 : 432_x000D_
23 / 05_2 : _x000D_
23 / 06_2 : 296_x000D_
23 / 07_2 : _x000D_
_x000D_
    TOTAL : ( 3.208 )_x000D_
  DIVISOR : 12_x000D_
    MÉDIA : 267,33_x000D_
-----------------------------_x000D_
   Valores Desconsiderados_x000D_
-----------------------------_x000D_
22 / 11_2 : 349 (1.540)_x000D_
_x000D_
  TOTAL   : ( 349 )</t>
        </r>
      </text>
    </comment>
    <comment ref="AB49" authorId="0" shapeId="0" xr:uid="{7C93C706-4904-4B95-BC36-C042299DD1E8}">
      <text>
        <r>
          <rPr>
            <sz val="10"/>
            <color indexed="81"/>
            <rFont val="Lucida Console"/>
            <family val="3"/>
          </rPr>
          <t>Última movimentação no estoque em 06/2023 quantidade 296.</t>
        </r>
      </text>
    </comment>
    <comment ref="R50" authorId="0" shapeId="0" xr:uid="{692C4A39-7D60-4EFB-8A70-012FB89CF74F}">
      <text>
        <r>
          <rPr>
            <sz val="10"/>
            <color indexed="81"/>
            <rFont val="Lucida Console"/>
            <family val="3"/>
          </rPr>
          <t>01.01.1901</t>
        </r>
      </text>
    </comment>
    <comment ref="Y50" authorId="0" shapeId="0" xr:uid="{2A39AADA-C2E2-4410-B2B4-C4D31BA5FF04}">
      <text>
        <r>
          <rPr>
            <sz val="10"/>
            <color indexed="81"/>
            <rFont val="Courier New"/>
            <family val="3"/>
          </rPr>
          <t>_x000D_
    DESCRIÇÃO DO CÁLCULO_x000D_
Código    : 69.222_x000D_
Corte     : 1.094_x000D_
-----------------------------_x000D_
Pendente  : 928_x000D_
22 / 08_2 : 800_x000D_
22 / 09_2 : 329_x000D_
22 / 10_2 : 317_x000D_
22 / 11_2 : 248_x000D_
22 / 12_2 : _x000D_
23 / 01_2 : _x000D_
23 / 02_2 : _x000D_
23 / 03_2 : 649_x000D_
23 / 04_2 : 519_x000D_
23 / 05_2 : 587_x000D_
23 / 06_2 : 730_x000D_
23 / 07_2 : 518_x000D_
_x000D_
    TOTAL : ( 5.625 )_x000D_
  DIVISOR : 12_x000D_
    MÉDIA : 468,75</t>
        </r>
      </text>
    </comment>
    <comment ref="AB50" authorId="0" shapeId="0" xr:uid="{A040C3A3-7285-478C-9165-F40411275555}">
      <text>
        <r>
          <rPr>
            <sz val="10"/>
            <color indexed="81"/>
            <rFont val="Lucida Console"/>
            <family val="3"/>
          </rPr>
          <t>Última movimentação no estoque em 07/2023 quantidade 518.</t>
        </r>
      </text>
    </comment>
    <comment ref="R51" authorId="0" shapeId="0" xr:uid="{F4FADD45-6E19-44F2-BABE-B525D06F6697}">
      <text>
        <r>
          <rPr>
            <sz val="10"/>
            <color indexed="81"/>
            <rFont val="Lucida Console"/>
            <family val="3"/>
          </rPr>
          <t>01.01.1901</t>
        </r>
      </text>
    </comment>
    <comment ref="Y51" authorId="0" shapeId="0" xr:uid="{140FF70E-211B-4A2B-9F64-E0457D495AA6}">
      <text>
        <r>
          <rPr>
            <sz val="10"/>
            <color indexed="81"/>
            <rFont val="Courier New"/>
            <family val="3"/>
          </rPr>
          <t>_x000D_
    DESCRIÇÃO DO CÁLCULO_x000D_
Código    : 59.074_x000D_
Corte     : 396_x000D_
-----------------------------_x000D_
Pendente  : 146_x000D_
22 / 08_2 : 148_x000D_
22 / 09_2 : 143_x000D_
22 / 10_2 : 110_x000D_
22 / 11_2 : 130_x000D_
22 / 12_2 : 396 (corte = 421)_x000D_
23 / 01_2 : 115_x000D_
23 / 02_2 : 117_x000D_
23 / 03_2 : 173_x000D_
23 / 04_2 : 343_x000D_
23 / 05_2 : 39_x000D_
23 / 06_2 : _x000D_
23 / 07_2 : _x000D_
_x000D_
    TOTAL : ( 1.860 )_x000D_
  DIVISOR : 12_x000D_
    MÉDIA : 155,00_x000D_
-----------------------------_x000D_
   Valores Desconsiderados_x000D_
-----------------------------_x000D_
22 / 12_2 : 25 (421)_x000D_
_x000D_
  TOTAL   : ( 25 )</t>
        </r>
      </text>
    </comment>
    <comment ref="AB51" authorId="0" shapeId="0" xr:uid="{D0BCC5C2-FF3C-4163-BACC-279067ED40F7}">
      <text>
        <r>
          <rPr>
            <sz val="10"/>
            <color indexed="81"/>
            <rFont val="Lucida Console"/>
            <family val="3"/>
          </rPr>
          <t>Última movimentação no estoque em 05/2023 quantidade 39.</t>
        </r>
      </text>
    </comment>
    <comment ref="R52" authorId="0" shapeId="0" xr:uid="{FC4F3F15-176D-4446-A310-60D0E47CE143}">
      <text>
        <r>
          <rPr>
            <sz val="10"/>
            <color indexed="81"/>
            <rFont val="Lucida Console"/>
            <family val="3"/>
          </rPr>
          <t>19.03.2004</t>
        </r>
      </text>
    </comment>
    <comment ref="Y52" authorId="0" shapeId="0" xr:uid="{F7B5A0A5-C0A0-40DF-A506-B8FEA97B5107}">
      <text>
        <r>
          <rPr>
            <sz val="10"/>
            <color indexed="81"/>
            <rFont val="Courier New"/>
            <family val="3"/>
          </rPr>
          <t>_x000D_
    DESCRIÇÃO DO CÁLCULO_x000D_
Código    : 77.819_x000D_
Corte     : 394_x000D_
-----------------------------_x000D_
Pendente  : _x000D_
22 / 08_2 : 302_x000D_
22 / 09_2 : 265_x000D_
22 / 10_2 : 258_x000D_
22 / 11_2 : 261_x000D_
22 / 12_2 : 208_x000D_
23 / 01_2 : 61_x000D_
23 / 02_2 : 194_x000D_
23 / 03_2 : 380_x000D_
23 / 04_2 : 194_x000D_
23 / 05_2 : 286_x000D_
23 / 06_2 : 250_x000D_
23 / 07_2 : 233_x000D_
_x000D_
    TOTAL : ( 2.892 )_x000D_
  DIVISOR : 12_x000D_
    MÉDIA : 241,00</t>
        </r>
      </text>
    </comment>
    <comment ref="AB52" authorId="0" shapeId="0" xr:uid="{43FF2EDF-0D30-45B7-8325-60C07292B8AD}">
      <text>
        <r>
          <rPr>
            <sz val="10"/>
            <color indexed="81"/>
            <rFont val="Lucida Console"/>
            <family val="3"/>
          </rPr>
          <t>Última movimentação no estoque em 07/2023 quantidade 233.</t>
        </r>
      </text>
    </comment>
    <comment ref="R53" authorId="0" shapeId="0" xr:uid="{D29531C5-A12B-4353-9E30-AA2882C384F6}">
      <text>
        <r>
          <rPr>
            <sz val="10"/>
            <color indexed="81"/>
            <rFont val="Lucida Console"/>
            <family val="3"/>
          </rPr>
          <t>12.09.2019</t>
        </r>
      </text>
    </comment>
    <comment ref="Y53" authorId="0" shapeId="0" xr:uid="{73871542-79E8-4928-9678-F3EC26987D6F}">
      <text>
        <r>
          <rPr>
            <sz val="10"/>
            <color indexed="81"/>
            <rFont val="Courier New"/>
            <family val="3"/>
          </rPr>
          <t>_x000D_
    DESCRIÇÃO DO CÁLCULO_x000D_
Código    : 138.451_x000D_
Corte     : 15.123_x000D_
-----------------------------_x000D_
Pendente  : 410_x000D_
22 / 08_2 : 2.180_x000D_
22 / 09_2 : 2.769_x000D_
22 / 10_2 : 2.397_x000D_
22 / 11_2 : 3.300_x000D_
22 / 12_2 : 2.043_x000D_
23 / 01_2 : 1.044_x000D_
23 / 02_2 : 1.461_x000D_
23 / 03_2 : 15.123 (corte = 22155)_x000D_
23 / 04_2 : 2.348_x000D_
23 / 05_2 : 1.907_x000D_
23 / 06_2 : 2.256_x000D_
23 / 07_2 : 1.955_x000D_
_x000D_
    TOTAL : ( 39.193 )_x000D_
  DIVISOR : 12_x000D_
    MÉDIA : 3.266,08_x000D_
-----------------------------_x000D_
   Valores Desconsiderados_x000D_
-----------------------------_x000D_
23 / 03_2 : 7.032 (22.155)_x000D_
_x000D_
  TOTAL   : ( 7.032 )</t>
        </r>
      </text>
    </comment>
    <comment ref="AB53" authorId="0" shapeId="0" xr:uid="{A88643E2-1089-490F-82A2-EBD87335E435}">
      <text>
        <r>
          <rPr>
            <sz val="10"/>
            <color indexed="81"/>
            <rFont val="Lucida Console"/>
            <family val="3"/>
          </rPr>
          <t>Última movimentação no estoque em 07/2023 quantidade 1.955.</t>
        </r>
      </text>
    </comment>
    <comment ref="R54" authorId="0" shapeId="0" xr:uid="{2D512B21-C775-4346-935E-8AE16B3E9EEC}">
      <text>
        <r>
          <rPr>
            <sz val="10"/>
            <color indexed="81"/>
            <rFont val="Lucida Console"/>
            <family val="3"/>
          </rPr>
          <t>17.04.2019</t>
        </r>
      </text>
    </comment>
    <comment ref="Y54" authorId="0" shapeId="0" xr:uid="{70733B77-F113-4537-AA49-CB33AFC8C045}">
      <text>
        <r>
          <rPr>
            <sz val="10"/>
            <color indexed="81"/>
            <rFont val="Courier New"/>
            <family val="3"/>
          </rPr>
          <t>_x000D_
    DESCRIÇÃO DO CÁLCULO_x000D_
Código    : 136.841_x000D_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4" authorId="0" shapeId="0" xr:uid="{F3CFDEB9-5D56-4785-BE03-89B84EA2BD75}">
      <text>
        <r>
          <rPr>
            <sz val="10"/>
            <color indexed="81"/>
            <rFont val="Lucida Console"/>
            <family val="3"/>
          </rPr>
          <t>Última movimentação no estoque em 03/2023 quantidade 1.</t>
        </r>
      </text>
    </comment>
    <comment ref="R55" authorId="0" shapeId="0" xr:uid="{CA573D8E-6A51-4FD1-93AB-F1D84BCB2BF0}">
      <text>
        <r>
          <rPr>
            <sz val="10"/>
            <color indexed="81"/>
            <rFont val="Lucida Console"/>
            <family val="3"/>
          </rPr>
          <t>17.04.2019</t>
        </r>
      </text>
    </comment>
    <comment ref="Y55" authorId="0" shapeId="0" xr:uid="{B60BDA86-E3C0-4560-9701-C16CD13968F0}">
      <text>
        <r>
          <rPr>
            <sz val="10"/>
            <color indexed="81"/>
            <rFont val="Courier New"/>
            <family val="3"/>
          </rPr>
          <t>_x000D_
    DESCRIÇÃO DO CÁLCULO_x000D_
Código    : 136.842_x000D_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5" authorId="0" shapeId="0" xr:uid="{743CF07F-C88A-4F3E-8ED0-4082091F1BB8}">
      <text>
        <r>
          <rPr>
            <sz val="10"/>
            <color indexed="81"/>
            <rFont val="Lucida Console"/>
            <family val="3"/>
          </rPr>
          <t>Última movimentação no estoque em 03/2023 quantidade 1.</t>
        </r>
      </text>
    </comment>
    <comment ref="R56" authorId="0" shapeId="0" xr:uid="{207AA191-54F1-41AD-9DEE-B706F5F0A801}">
      <text>
        <r>
          <rPr>
            <sz val="10"/>
            <color indexed="81"/>
            <rFont val="Lucida Console"/>
            <family val="3"/>
          </rPr>
          <t>17.04.2019</t>
        </r>
      </text>
    </comment>
    <comment ref="Y56" authorId="0" shapeId="0" xr:uid="{84192353-5AFA-4F1D-AAA9-92061F30BE94}">
      <text>
        <r>
          <rPr>
            <sz val="10"/>
            <color indexed="81"/>
            <rFont val="Courier New"/>
            <family val="3"/>
          </rPr>
          <t>_x000D_
    DESCRIÇÃO DO CÁLCULO_x000D_
Código    : 136.843_x000D_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56" authorId="0" shapeId="0" xr:uid="{1CC66B61-AAFF-449F-AA7E-976B445BA566}">
      <text>
        <r>
          <rPr>
            <sz val="10"/>
            <color indexed="81"/>
            <rFont val="Lucida Console"/>
            <family val="3"/>
          </rPr>
          <t>Última movimentação no estoque em 09/2022 quantidade 1.</t>
        </r>
      </text>
    </comment>
    <comment ref="R57" authorId="0" shapeId="0" xr:uid="{51B02425-D8C7-4DEF-8EBB-95390DABDF9F}">
      <text>
        <r>
          <rPr>
            <sz val="10"/>
            <color indexed="81"/>
            <rFont val="Lucida Console"/>
            <family val="3"/>
          </rPr>
          <t>17.04.2019</t>
        </r>
      </text>
    </comment>
    <comment ref="Y57" authorId="0" shapeId="0" xr:uid="{1D8BA2F0-701C-498A-A279-2789E4FA59E5}">
      <text>
        <r>
          <rPr>
            <sz val="10"/>
            <color indexed="81"/>
            <rFont val="Courier New"/>
            <family val="3"/>
          </rPr>
          <t>_x000D_
    DESCRIÇÃO DO CÁLCULO_x000D_
Código    : 136.820_x000D_
Corte     : 1_x000D_
-----------------------------_x000D_
Pendente  : _x000D_
22 / 08_2 : _x000D_
22 / 09_2 : _x000D_
22 / 10_2 : 1_x000D_
22 / 11_2 : _x000D_
22 / 12_2 : 1_x000D_
23 / 01_2 : _x000D_
23 / 02_2 : _x000D_
23 / 03_2 : 1_x000D_
23 / 04_2 : _x000D_
23 / 05_2 : _x000D_
23 / 06_2 : _x000D_
23 / 07_2 : _x000D_
_x000D_
    TOTAL : ( 3 )_x000D_
  DIVISOR : 12_x000D_
    MÉDIA : ,25</t>
        </r>
      </text>
    </comment>
    <comment ref="AB57" authorId="0" shapeId="0" xr:uid="{CA50CBEF-F53C-4AEA-851B-CBC2B2DBF3DA}">
      <text>
        <r>
          <rPr>
            <sz val="10"/>
            <color indexed="81"/>
            <rFont val="Lucida Console"/>
            <family val="3"/>
          </rPr>
          <t>Última movimentação no estoque em 03/2023 quantidade 1.</t>
        </r>
      </text>
    </comment>
    <comment ref="R58" authorId="0" shapeId="0" xr:uid="{D98486FE-868E-4218-87F7-1BA3B2C094D7}">
      <text>
        <r>
          <rPr>
            <sz val="10"/>
            <color indexed="81"/>
            <rFont val="Lucida Console"/>
            <family val="3"/>
          </rPr>
          <t>17.04.2019</t>
        </r>
      </text>
    </comment>
    <comment ref="Y58" authorId="0" shapeId="0" xr:uid="{2144A266-A871-43BB-B9D4-1638BC70F0FE}">
      <text>
        <r>
          <rPr>
            <sz val="10"/>
            <color indexed="81"/>
            <rFont val="Courier New"/>
            <family val="3"/>
          </rPr>
          <t>_x000D_
    DESCRIÇÃO DO CÁLCULO_x000D_
Código    : 136.821_x000D_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8" authorId="0" shapeId="0" xr:uid="{E08535FC-9E44-4CCF-AE81-BFB895A8C130}">
      <text>
        <r>
          <rPr>
            <sz val="10"/>
            <color indexed="81"/>
            <rFont val="Lucida Console"/>
            <family val="3"/>
          </rPr>
          <t>Última movimentação no estoque em 03/2023 quantidade 1.</t>
        </r>
      </text>
    </comment>
    <comment ref="R59" authorId="0" shapeId="0" xr:uid="{2FB6E3A7-7323-4008-BAB4-BE192988712C}">
      <text>
        <r>
          <rPr>
            <sz val="10"/>
            <color indexed="81"/>
            <rFont val="Lucida Console"/>
            <family val="3"/>
          </rPr>
          <t>17.04.2019</t>
        </r>
      </text>
    </comment>
    <comment ref="Y59" authorId="0" shapeId="0" xr:uid="{50E03B67-F859-4550-BFA6-1A1A4EFAC2B8}">
      <text>
        <r>
          <rPr>
            <sz val="10"/>
            <color indexed="81"/>
            <rFont val="Courier New"/>
            <family val="3"/>
          </rPr>
          <t>_x000D_
    DESCRIÇÃO DO CÁLCULO_x000D_
Código    : 136.822_x000D_
Corte     : 1_x000D_
-----------------------------_x000D_
Pendente  : _x000D_
22 / 08_2 : _x000D_
22 / 09_2 : _x000D_
22 / 10_2 : _x000D_
22 / 11_2 : _x000D_
22 / 12_2 : _x000D_
23 / 01_2 : 1_x000D_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59" authorId="0" shapeId="0" xr:uid="{046A81F8-7CBC-4CA9-BD70-D64535035DA4}">
      <text>
        <r>
          <rPr>
            <sz val="10"/>
            <color indexed="81"/>
            <rFont val="Lucida Console"/>
            <family val="3"/>
          </rPr>
          <t>Última movimentação no estoque em 06/2023 quantidade 2.</t>
        </r>
      </text>
    </comment>
    <comment ref="R60" authorId="0" shapeId="0" xr:uid="{8850D7D2-BEBB-49B7-A08B-F936463A6477}">
      <text>
        <r>
          <rPr>
            <sz val="10"/>
            <color indexed="81"/>
            <rFont val="Lucida Console"/>
            <family val="3"/>
          </rPr>
          <t>17.04.2019</t>
        </r>
      </text>
    </comment>
    <comment ref="Y60" authorId="0" shapeId="0" xr:uid="{333AE53B-8C79-453B-AC23-83FE9C0E0FD1}">
      <text>
        <r>
          <rPr>
            <sz val="10"/>
            <color indexed="81"/>
            <rFont val="Courier New"/>
            <family val="3"/>
          </rPr>
          <t>_x000D_
    DESCRIÇÃO DO CÁLCULO_x000D_
Código    : 136.823_x000D_
Corte     : _x000D_
-----------------------------_x000D_
Pendente  : _x000D_
22 / 08_2 : _x000D_
22 / 09_2 : _x000D_
22 / 10_2 : _x000D_
22 / 11_2 :  (corte = 1)_x000D_
22 / 12_2 : _x000D_
23 / 01_2 :  (corte = 1)_x000D_
23 / 02_2 : _x000D_
23 / 03_2 : _x000D_
23 / 04_2 : _x000D_
23 / 05_2 : _x000D_
23 / 06_2 : _x000D_
23 / 07_2 : _x000D_
_x000D_
    TOTAL : (  )_x000D_
  DIVISOR : 12_x000D_
    MÉDIA : ,00_x000D_
-----------------------------_x000D_
   Valores Desconsiderados_x000D_
-----------------------------_x000D_
22 / 11_2 : 1 (1)_x000D_
23 / 01_2 : 1 (1)_x000D_
_x000D_
  TOTAL   : ( 2 )</t>
        </r>
      </text>
    </comment>
    <comment ref="AB60" authorId="0" shapeId="0" xr:uid="{5D76B16D-9FF0-4FDE-84BF-28F2F04D9C0C}">
      <text>
        <r>
          <rPr>
            <sz val="10"/>
            <color indexed="81"/>
            <rFont val="Lucida Console"/>
            <family val="3"/>
          </rPr>
          <t>Última movimentação no estoque em 01/2023 quantidade 1.</t>
        </r>
      </text>
    </comment>
    <comment ref="R61" authorId="0" shapeId="0" xr:uid="{307045D2-D81E-4C76-807D-F4315406A12F}">
      <text>
        <r>
          <rPr>
            <sz val="10"/>
            <color indexed="81"/>
            <rFont val="Lucida Console"/>
            <family val="3"/>
          </rPr>
          <t>17.04.2019</t>
        </r>
      </text>
    </comment>
    <comment ref="Y61" authorId="0" shapeId="0" xr:uid="{4B0E4920-67B3-4D4E-B635-12EF85129284}">
      <text>
        <r>
          <rPr>
            <sz val="10"/>
            <color indexed="81"/>
            <rFont val="Courier New"/>
            <family val="3"/>
          </rPr>
          <t>_x000D_
    DESCRIÇÃO DO CÁLCULO_x000D_
Código    : 136.824_x000D_
Corte     : 1_x000D_
-----------------------------_x000D_
Pendente  : _x000D_
22 / 08_2 : _x000D_
22 / 09_2 : 1_x000D_
22 / 10_2 : 1_x000D_
22 / 11_2 : 1_x000D_
22 / 12_2 : _x000D_
23 / 01_2 : _x000D_
23 / 02_2 : 1_x000D_
23 / 03_2 : 1_x000D_
23 / 04_2 : _x000D_
23 / 05_2 : 1_x000D_
23 / 06_2 : _x000D_
23 / 07_2 : _x000D_
_x000D_
    TOTAL : ( 6 )_x000D_
  DIVISOR : 12_x000D_
    MÉDIA : ,50</t>
        </r>
      </text>
    </comment>
    <comment ref="AB61" authorId="0" shapeId="0" xr:uid="{41192928-D576-47A7-9EE7-7041B53B5521}">
      <text>
        <r>
          <rPr>
            <sz val="10"/>
            <color indexed="81"/>
            <rFont val="Lucida Console"/>
            <family val="3"/>
          </rPr>
          <t>Última movimentação no estoque em 05/2023 quantidade 1.</t>
        </r>
      </text>
    </comment>
    <comment ref="R62" authorId="0" shapeId="0" xr:uid="{E66EA688-E685-4336-BE33-E5677540372F}">
      <text>
        <r>
          <rPr>
            <sz val="10"/>
            <color indexed="81"/>
            <rFont val="Lucida Console"/>
            <family val="3"/>
          </rPr>
          <t>17.04.2019</t>
        </r>
      </text>
    </comment>
    <comment ref="Y62" authorId="0" shapeId="0" xr:uid="{DEFF0CAB-CF56-472B-B4BB-E8552FA74541}">
      <text>
        <r>
          <rPr>
            <sz val="10"/>
            <color indexed="81"/>
            <rFont val="Courier New"/>
            <family val="3"/>
          </rPr>
          <t>_x000D_
    DESCRIÇÃO DO CÁLCULO_x000D_
Código    : 136.825_x000D_
Corte     : 1_x000D_
-----------------------------_x000D_
Pendente  : 1_x000D_
22 / 08_2 : _x000D_
22 / 09_2 : _x000D_
22 / 10_2 : 1_x000D_
22 / 11_2 : _x000D_
22 / 12_2 : 1_x000D_
23 / 01_2 : _x000D_
23 / 02_2 : _x000D_
23 / 03_2 : _x000D_
23 / 04_2 : 1_x000D_
23 / 05_2 : _x000D_
23 / 06_2 : _x000D_
23 / 07_2 : _x000D_
_x000D_
    TOTAL : ( 4 )_x000D_
  DIVISOR : 12_x000D_
    MÉDIA : ,33</t>
        </r>
      </text>
    </comment>
    <comment ref="AB62" authorId="0" shapeId="0" xr:uid="{77E47629-3DA8-4083-A5E6-6B93FF78A6C2}">
      <text>
        <r>
          <rPr>
            <sz val="10"/>
            <color indexed="81"/>
            <rFont val="Lucida Console"/>
            <family val="3"/>
          </rPr>
          <t>Última movimentação no estoque em 04/2023 quantidade 1.</t>
        </r>
      </text>
    </comment>
    <comment ref="R63" authorId="0" shapeId="0" xr:uid="{FA79EC8B-2A8E-4E6D-8EAE-D4F841C55199}">
      <text>
        <r>
          <rPr>
            <sz val="10"/>
            <color indexed="81"/>
            <rFont val="Lucida Console"/>
            <family val="3"/>
          </rPr>
          <t>17.04.2019</t>
        </r>
      </text>
    </comment>
    <comment ref="Y63" authorId="0" shapeId="0" xr:uid="{006AAC5C-623F-4CAF-B396-C47EDC3AB323}">
      <text>
        <r>
          <rPr>
            <sz val="10"/>
            <color indexed="81"/>
            <rFont val="Courier New"/>
            <family val="3"/>
          </rPr>
          <t>_x000D_
    DESCRIÇÃO DO CÁLCULO_x000D_
Código    : 136.826_x000D_
Corte     : 1_x000D_
-----------------------------_x000D_
Pendente  : _x000D_
22 / 08_2 : 1_x000D_
22 / 09_2 : _x000D_
22 / 10_2 : 1_x000D_
22 / 11_2 : 1_x000D_
22 / 12_2 : _x000D_
23 / 01_2 : 1 (corte = 2)_x000D_
23 / 02_2 : 1_x000D_
23 / 03_2 : _x000D_
23 / 04_2 : 1_x000D_
23 / 05_2 : _x000D_
23 / 06_2 : _x000D_
23 / 07_2 : _x000D_
_x000D_
    TOTAL : ( 6 )_x000D_
  DIVISOR : 12_x000D_
    MÉDIA : ,50_x000D_
-----------------------------_x000D_
   Valores Desconsiderados_x000D_
-----------------------------_x000D_
23 / 01_2 : 1 (2)_x000D_
_x000D_
  TOTAL   : ( 1 )</t>
        </r>
      </text>
    </comment>
    <comment ref="AB63" authorId="0" shapeId="0" xr:uid="{3B9161B3-B79B-4E5F-BA3D-DF78C5B20E83}">
      <text>
        <r>
          <rPr>
            <sz val="10"/>
            <color indexed="81"/>
            <rFont val="Lucida Console"/>
            <family val="3"/>
          </rPr>
          <t>Última movimentação no estoque em 04/2023 quantidade 1.</t>
        </r>
      </text>
    </comment>
    <comment ref="R64" authorId="0" shapeId="0" xr:uid="{533C7694-0B63-4307-8F65-F993783C2A38}">
      <text>
        <r>
          <rPr>
            <sz val="10"/>
            <color indexed="81"/>
            <rFont val="Lucida Console"/>
            <family val="3"/>
          </rPr>
          <t>17.04.2019</t>
        </r>
      </text>
    </comment>
    <comment ref="Y64" authorId="0" shapeId="0" xr:uid="{5A7EEA2D-E550-4F0A-A9FB-DC602E36D498}">
      <text>
        <r>
          <rPr>
            <sz val="10"/>
            <color indexed="81"/>
            <rFont val="Courier New"/>
            <family val="3"/>
          </rPr>
          <t>_x000D_
    DESCRIÇÃO DO CÁLCULO_x000D_
Código    : 136.829_x000D_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64" authorId="0" shapeId="0" xr:uid="{6D68BF40-B58B-4B45-AE11-94B3EC6FDE8F}">
      <text>
        <r>
          <rPr>
            <sz val="10"/>
            <color indexed="81"/>
            <rFont val="Lucida Console"/>
            <family val="3"/>
          </rPr>
          <t>Última movimentação no estoque em 09/2022 quantidade 1.</t>
        </r>
      </text>
    </comment>
    <comment ref="R65" authorId="0" shapeId="0" xr:uid="{39DE1518-843B-428B-9B54-79D61796461C}">
      <text>
        <r>
          <rPr>
            <sz val="10"/>
            <color indexed="81"/>
            <rFont val="Lucida Console"/>
            <family val="3"/>
          </rPr>
          <t>01.01.1901</t>
        </r>
      </text>
    </comment>
    <comment ref="Y65" authorId="0" shapeId="0" xr:uid="{4B7B5ECE-D9FF-4016-888C-F0E7C53D93F0}">
      <text>
        <r>
          <rPr>
            <sz val="10"/>
            <color indexed="81"/>
            <rFont val="Courier New"/>
            <family val="3"/>
          </rPr>
          <t>_x000D_
    DESCRIÇÃO DO CÁLCULO_x000D_
Código    : 19.998_x000D_
Corte     : 33_x000D_
-----------------------------_x000D_
Pendente  : 49_x000D_
22 / 08_2 : 7_x000D_
22 / 09_2 : 3_x000D_
22 / 10_2 : 11_x000D_
22 / 11_2 : 3_x000D_
22 / 12_2 : _x000D_
23 / 01_2 : _x000D_
23 / 02_2 : _x000D_
23 / 03_2 : _x000D_
23 / 04_2 : _x000D_
23 / 05_2 : _x000D_
23 / 06_2 : _x000D_
23 / 07_2 : _x000D_
_x000D_
    TOTAL : ( 73 )_x000D_
  DIVISOR : 12_x000D_
    MÉDIA : 6,08</t>
        </r>
      </text>
    </comment>
    <comment ref="AB65" authorId="0" shapeId="0" xr:uid="{E0A8A379-7741-4445-9F73-5AB973FA2DB0}">
      <text>
        <r>
          <rPr>
            <sz val="10"/>
            <color indexed="81"/>
            <rFont val="Lucida Console"/>
            <family val="3"/>
          </rPr>
          <t>Última movimentação no estoque em 11/2022 quantidade 3.</t>
        </r>
      </text>
    </comment>
    <comment ref="R66" authorId="0" shapeId="0" xr:uid="{2905B540-E103-4481-9421-6EBFB9DB15A7}">
      <text>
        <r>
          <rPr>
            <sz val="10"/>
            <color indexed="81"/>
            <rFont val="Lucida Console"/>
            <family val="3"/>
          </rPr>
          <t>01.01.1901</t>
        </r>
      </text>
    </comment>
    <comment ref="Y66" authorId="0" shapeId="0" xr:uid="{33FB6C7E-1A12-4C02-A025-AE58A24E6DDD}">
      <text>
        <r>
          <rPr>
            <sz val="10"/>
            <color indexed="81"/>
            <rFont val="Courier New"/>
            <family val="3"/>
          </rPr>
          <t>_x000D_
    DESCRIÇÃO DO CÁLCULO_x000D_
Código    : 20.144_x000D_
Corte     : 55_x000D_
-----------------------------_x000D_
Pendente  : _x000D_
22 / 08_2 : 34_x000D_
22 / 09_2 : 18_x000D_
22 / 10_2 : 27_x000D_
22 / 11_2 : 38_x000D_
22 / 12_2 : 12_x000D_
23 / 01_2 : 16_x000D_
23 / 02_2 : 18_x000D_
23 / 03_2 : 25_x000D_
23 / 04_2 : 49_x000D_
23 / 05_2 : 10_x000D_
23 / 06_2 : 50_x000D_
23 / 07_2 : _x000D_
_x000D_
    TOTAL : ( 297 )_x000D_
  DIVISOR : 12_x000D_
    MÉDIA : 24,75</t>
        </r>
      </text>
    </comment>
    <comment ref="AB66" authorId="0" shapeId="0" xr:uid="{D05BE5F9-93D7-425E-81DC-75E897153D78}">
      <text>
        <r>
          <rPr>
            <sz val="10"/>
            <color indexed="81"/>
            <rFont val="Lucida Console"/>
            <family val="3"/>
          </rPr>
          <t>Última movimentação no estoque em 06/2023 quantidade 50.</t>
        </r>
      </text>
    </comment>
    <comment ref="R67" authorId="0" shapeId="0" xr:uid="{903FE5FB-CCF1-410A-B74C-8AD1D161EB12}">
      <text>
        <r>
          <rPr>
            <sz val="10"/>
            <color indexed="81"/>
            <rFont val="Lucida Console"/>
            <family val="3"/>
          </rPr>
          <t>01.01.1901</t>
        </r>
      </text>
    </comment>
    <comment ref="Y67" authorId="0" shapeId="0" xr:uid="{9AF11F7C-3B79-419F-9E41-14275FDFEFA3}">
      <text>
        <r>
          <rPr>
            <sz val="10"/>
            <color indexed="81"/>
            <rFont val="Courier New"/>
            <family val="3"/>
          </rPr>
          <t>_x000D_
    DESCRIÇÃO DO CÁLCULO_x000D_
Código    : 20.001_x000D_
Corte     : 73_x000D_
-----------------------------_x000D_
Pendente  : 108_x000D_
22 / 08_2 : 29_x000D_
22 / 09_2 : 19_x000D_
22 / 10_2 : _x000D_
22 / 11_2 : _x000D_
22 / 12_2 : _x000D_
23 / 01_2 : _x000D_
23 / 02_2 : _x000D_
23 / 03_2 : _x000D_
23 / 04_2 : _x000D_
23 / 05_2 : _x000D_
23 / 06_2 : _x000D_
23 / 07_2 : _x000D_
_x000D_
    TOTAL : ( 156 )_x000D_
  DIVISOR : 12_x000D_
    MÉDIA : 13,00</t>
        </r>
      </text>
    </comment>
    <comment ref="AB67" authorId="0" shapeId="0" xr:uid="{15E41FF2-C14E-4F4C-AC31-97596DCE1BDA}">
      <text>
        <r>
          <rPr>
            <sz val="10"/>
            <color indexed="81"/>
            <rFont val="Lucida Console"/>
            <family val="3"/>
          </rPr>
          <t>Última movimentação no estoque em 09/2022 quantidade 19.</t>
        </r>
      </text>
    </comment>
    <comment ref="R68" authorId="0" shapeId="0" xr:uid="{652DE625-EC42-46B0-8B48-BF909536A674}">
      <text>
        <r>
          <rPr>
            <sz val="10"/>
            <color indexed="81"/>
            <rFont val="Lucida Console"/>
            <family val="3"/>
          </rPr>
          <t>01.01.1901</t>
        </r>
      </text>
    </comment>
    <comment ref="Y68" authorId="0" shapeId="0" xr:uid="{6E450AE9-2661-43F8-8042-41853F1B89D0}">
      <text>
        <r>
          <rPr>
            <sz val="10"/>
            <color indexed="81"/>
            <rFont val="Courier New"/>
            <family val="3"/>
          </rPr>
          <t>_x000D_
    DESCRIÇÃO DO CÁLCULO_x000D_
Código    : 20.034_x000D_
Corte     : 132_x000D_
-----------------------------_x000D_
Pendente  : 5_x000D_
22 / 08_2 : 40_x000D_
22 / 09_2 : 46_x000D_
22 / 10_2 : 60_x000D_
22 / 11_2 : 58_x000D_
22 / 12_2 : 46_x000D_
23 / 01_2 : 117_x000D_
23 / 02_2 : 108_x000D_
23 / 03_2 : 90_x000D_
23 / 04_2 : 65_x000D_
23 / 05_2 : 5_x000D_
23 / 06_2 : _x000D_
23 / 07_2 : _x000D_
_x000D_
    TOTAL : ( 640 )_x000D_
  DIVISOR : 12_x000D_
    MÉDIA : 53,33</t>
        </r>
      </text>
    </comment>
    <comment ref="AB68" authorId="0" shapeId="0" xr:uid="{9651C21E-E53B-4EB2-A327-91A8ADAD8414}">
      <text>
        <r>
          <rPr>
            <sz val="10"/>
            <color indexed="81"/>
            <rFont val="Lucida Console"/>
            <family val="3"/>
          </rPr>
          <t>Última movimentação no estoque em 05/2023 quantidade 5.</t>
        </r>
      </text>
    </comment>
    <comment ref="R69" authorId="0" shapeId="0" xr:uid="{CC752627-8FF3-4A00-9E98-84A6E8850ED9}">
      <text>
        <r>
          <rPr>
            <sz val="10"/>
            <color indexed="81"/>
            <rFont val="Lucida Console"/>
            <family val="3"/>
          </rPr>
          <t>01.01.1901</t>
        </r>
      </text>
    </comment>
    <comment ref="Y69" authorId="0" shapeId="0" xr:uid="{DEB1F621-D1AA-4806-A9A5-E56C1E276AFD}">
      <text>
        <r>
          <rPr>
            <sz val="10"/>
            <color indexed="81"/>
            <rFont val="Courier New"/>
            <family val="3"/>
          </rPr>
          <t>_x000D_
    DESCRIÇÃO DO CÁLCULO_x000D_
Código    : 20.035_x000D_
Corte     : 35_x000D_
-----------------------------_x000D_
Pendente  : _x000D_
22 / 08_2 : 9_x000D_
22 / 09_2 : 4_x000D_
22 / 10_2 : 12_x000D_
22 / 11_2 : 4_x000D_
22 / 12_2 : 9_x000D_
23 / 01_2 : 7_x000D_
23 / 02_2 : _x000D_
23 / 03_2 : 20_x000D_
23 / 04_2 : 35 (corte = 38)_x000D_
23 / 05_2 : 10_x000D_
23 / 06_2 : 30_x000D_
23 / 07_2 : _x000D_
_x000D_
    TOTAL : ( 140 )_x000D_
  DIVISOR : 12_x000D_
    MÉDIA : 11,67_x000D_
-----------------------------_x000D_
   Valores Desconsiderados_x000D_
-----------------------------_x000D_
23 / 04_2 : 3 (38)_x000D_
_x000D_
  TOTAL   : ( 3 )</t>
        </r>
      </text>
    </comment>
    <comment ref="AB69" authorId="0" shapeId="0" xr:uid="{125FD98E-803E-4036-A720-965395D2A22F}">
      <text>
        <r>
          <rPr>
            <sz val="10"/>
            <color indexed="81"/>
            <rFont val="Lucida Console"/>
            <family val="3"/>
          </rPr>
          <t>Última movimentação no estoque em 06/2023 quantidade 30.</t>
        </r>
      </text>
    </comment>
    <comment ref="R70" authorId="0" shapeId="0" xr:uid="{D8B8CC5A-6895-4CA2-AB87-DCD074DBEE48}">
      <text>
        <r>
          <rPr>
            <sz val="10"/>
            <color indexed="81"/>
            <rFont val="Lucida Console"/>
            <family val="3"/>
          </rPr>
          <t>01.01.1901</t>
        </r>
      </text>
    </comment>
    <comment ref="Y70" authorId="0" shapeId="0" xr:uid="{C79308ED-EE68-4F36-8618-4BF019FA9AA5}">
      <text>
        <r>
          <rPr>
            <sz val="10"/>
            <color indexed="81"/>
            <rFont val="Courier New"/>
            <family val="3"/>
          </rPr>
          <t>_x000D_
    DESCRIÇÃO DO CÁLCULO_x000D_
Código    : 20.037_x000D_
Corte     : 32_x000D_
-----------------------------_x000D_
Pendente  : _x000D_
22 / 08_2 : 5_x000D_
22 / 09_2 : 10_x000D_
22 / 10_2 : 12_x000D_
22 / 11_2 : 4_x000D_
22 / 12_2 : 9_x000D_
23 / 01_2 : 20_x000D_
23 / 02_2 : 4_x000D_
23 / 03_2 : 32 (corte = 36)_x000D_
23 / 04_2 : 23_x000D_
23 / 05_2 : _x000D_
23 / 06_2 : _x000D_
23 / 07_2 : _x000D_
_x000D_
    TOTAL : ( 119 )_x000D_
  DIVISOR : 12_x000D_
    MÉDIA : 9,92_x000D_
-----------------------------_x000D_
   Valores Desconsiderados_x000D_
-----------------------------_x000D_
23 / 03_2 : 4 (36)_x000D_
_x000D_
  TOTAL   : ( 4 )</t>
        </r>
      </text>
    </comment>
    <comment ref="AB70" authorId="0" shapeId="0" xr:uid="{8EE5E02C-2C81-49A1-A34D-914C1FCF568D}">
      <text>
        <r>
          <rPr>
            <sz val="10"/>
            <color indexed="81"/>
            <rFont val="Lucida Console"/>
            <family val="3"/>
          </rPr>
          <t>Última movimentação no estoque em 04/2023 quantidade 23.</t>
        </r>
      </text>
    </comment>
    <comment ref="R71" authorId="0" shapeId="0" xr:uid="{2C088DA8-0DFD-41F8-9FB6-569E066BE241}">
      <text>
        <r>
          <rPr>
            <sz val="10"/>
            <color indexed="81"/>
            <rFont val="Lucida Console"/>
            <family val="3"/>
          </rPr>
          <t>01.01.1901</t>
        </r>
      </text>
    </comment>
    <comment ref="Y71" authorId="0" shapeId="0" xr:uid="{CB6710B5-9E83-42F8-B3E3-0072D2AA68C6}">
      <text>
        <r>
          <rPr>
            <sz val="10"/>
            <color indexed="81"/>
            <rFont val="Courier New"/>
            <family val="3"/>
          </rPr>
          <t>_x000D_
    DESCRIÇÃO DO CÁLCULO_x000D_
Código    : 20.104_x000D_
Corte     : 43_x000D_
-----------------------------_x000D_
Pendente  : _x000D_
22 / 08_2 : 15_x000D_
22 / 09_2 : 13_x000D_
22 / 10_2 : 15_x000D_
22 / 11_2 : 18_x000D_
22 / 12_2 : 1_x000D_
23 / 01_2 : 27_x000D_
23 / 02_2 : _x000D_
23 / 03_2 : 43 (corte = 51)_x000D_
23 / 04_2 : 20_x000D_
23 / 05_2 : _x000D_
23 / 06_2 : _x000D_
23 / 07_2 : _x000D_
_x000D_
    TOTAL : ( 152 )_x000D_
  DIVISOR : 12_x000D_
    MÉDIA : 12,67_x000D_
-----------------------------_x000D_
   Valores Desconsiderados_x000D_
-----------------------------_x000D_
23 / 03_2 : 8 (51)_x000D_
_x000D_
  TOTAL   : ( 8 )</t>
        </r>
      </text>
    </comment>
    <comment ref="AB71" authorId="0" shapeId="0" xr:uid="{23627E7E-2F2E-4528-811D-3D4B667077A6}">
      <text>
        <r>
          <rPr>
            <sz val="10"/>
            <color indexed="81"/>
            <rFont val="Lucida Console"/>
            <family val="3"/>
          </rPr>
          <t>Última movimentação no estoque em 04/2023 quantidade 20.</t>
        </r>
      </text>
    </comment>
    <comment ref="R72" authorId="0" shapeId="0" xr:uid="{E468BE4C-FAEA-437C-A9AA-54EF1FFB9F01}">
      <text>
        <r>
          <rPr>
            <sz val="10"/>
            <color indexed="81"/>
            <rFont val="Lucida Console"/>
            <family val="3"/>
          </rPr>
          <t>01.01.1901</t>
        </r>
      </text>
    </comment>
    <comment ref="Y72" authorId="0" shapeId="0" xr:uid="{DA0B2C59-CF9B-4F30-9248-44681FADCC09}">
      <text>
        <r>
          <rPr>
            <sz val="10"/>
            <color indexed="81"/>
            <rFont val="Courier New"/>
            <family val="3"/>
          </rPr>
          <t>_x000D_
    DESCRIÇÃO DO CÁLCULO_x000D_
Código    : 20.106_x000D_
Corte     : 84_x000D_
-----------------------------_x000D_
Pendente  : 10_x000D_
22 / 08_2 : 25_x000D_
22 / 09_2 : 19_x000D_
22 / 10_2 : 42_x000D_
22 / 11_2 : 32_x000D_
22 / 12_2 : 17_x000D_
23 / 01_2 : 56_x000D_
23 / 02_2 : 47_x000D_
23 / 03_2 : 84 (corte = 88)_x000D_
23 / 04_2 : 52_x000D_
23 / 05_2 : 6_x000D_
23 / 06_2 : _x000D_
23 / 07_2 : _x000D_
_x000D_
    TOTAL : ( 390 )_x000D_
  DIVISOR : 12_x000D_
    MÉDIA : 32,50_x000D_
-----------------------------_x000D_
   Valores Desconsiderados_x000D_
-----------------------------_x000D_
23 / 03_2 : 4 (88)_x000D_
_x000D_
  TOTAL   : ( 4 )</t>
        </r>
      </text>
    </comment>
    <comment ref="AB72" authorId="0" shapeId="0" xr:uid="{0563395F-7208-40E6-A518-96C0C2AC284E}">
      <text>
        <r>
          <rPr>
            <sz val="10"/>
            <color indexed="81"/>
            <rFont val="Lucida Console"/>
            <family val="3"/>
          </rPr>
          <t>Última movimentação no estoque em 05/2023 quantidade 6.</t>
        </r>
      </text>
    </comment>
    <comment ref="R73" authorId="0" shapeId="0" xr:uid="{26A85F8E-FC2A-421A-82B9-8B28A723E62C}">
      <text>
        <r>
          <rPr>
            <sz val="10"/>
            <color indexed="81"/>
            <rFont val="Lucida Console"/>
            <family val="3"/>
          </rPr>
          <t>01.01.1901</t>
        </r>
      </text>
    </comment>
    <comment ref="Y73" authorId="0" shapeId="0" xr:uid="{2F4FECE1-51EA-4EF4-BDB3-383D81EB7250}">
      <text>
        <r>
          <rPr>
            <sz val="10"/>
            <color indexed="81"/>
            <rFont val="Courier New"/>
            <family val="3"/>
          </rPr>
          <t>_x000D_
    DESCRIÇÃO DO CÁLCULO_x000D_
Código    : 19.871_x000D_
Corte     : 16_x000D_
-----------------------------_x000D_
Pendente  : _x000D_
22 / 08_2 : _x000D_
22 / 09_2 : 2_x000D_
22 / 10_2 : _x000D_
22 / 11_2 : 6_x000D_
22 / 12_2 : 1_x000D_
23 / 01_2 : 7_x000D_
23 / 02_2 : _x000D_
23 / 03_2 : 2_x000D_
23 / 04_2 : 16 (corte = 22)_x000D_
23 / 05_2 : _x000D_
23 / 06_2 : _x000D_
23 / 07_2 : _x000D_
_x000D_
    TOTAL : ( 34 )_x000D_
  DIVISOR : 12_x000D_
    MÉDIA : 2,83_x000D_
-----------------------------_x000D_
   Valores Desconsiderados_x000D_
-----------------------------_x000D_
23 / 04_2 : 6 (22)_x000D_
_x000D_
  TOTAL   : ( 6 )</t>
        </r>
      </text>
    </comment>
    <comment ref="AB73" authorId="0" shapeId="0" xr:uid="{10433C71-A2E8-4629-A1B1-261DA30EEC18}">
      <text>
        <r>
          <rPr>
            <sz val="10"/>
            <color indexed="81"/>
            <rFont val="Lucida Console"/>
            <family val="3"/>
          </rPr>
          <t>Última movimentação no estoque em 04/2023 quantidade 22.</t>
        </r>
      </text>
    </comment>
    <comment ref="R74" authorId="0" shapeId="0" xr:uid="{2DDD722D-15A3-41B8-A9C5-22073C260347}">
      <text>
        <r>
          <rPr>
            <sz val="10"/>
            <color indexed="81"/>
            <rFont val="Lucida Console"/>
            <family val="3"/>
          </rPr>
          <t>01.01.1901</t>
        </r>
      </text>
    </comment>
    <comment ref="Y74" authorId="0" shapeId="0" xr:uid="{41A7696F-2FEF-4330-BF1F-6370EA56DBC6}">
      <text>
        <r>
          <rPr>
            <sz val="10"/>
            <color indexed="81"/>
            <rFont val="Courier New"/>
            <family val="3"/>
          </rPr>
          <t>_x000D_
    DESCRIÇÃO DO CÁLCULO_x000D_
Código    : 19.882_x000D_
Corte     : 14_x000D_
-----------------------------_x000D_
Pendente  : _x000D_
22 / 08_2 : 3_x000D_
22 / 09_2 : _x000D_
22 / 10_2 : 4_x000D_
22 / 11_2 : 4_x000D_
22 / 12_2 : 2_x000D_
23 / 01_2 : 2_x000D_
23 / 02_2 : 2_x000D_
23 / 03_2 : _x000D_
23 / 04_2 : 14 (corte = 20)_x000D_
23 / 05_2 : _x000D_
23 / 06_2 : _x000D_
23 / 07_2 : _x000D_
_x000D_
    TOTAL : ( 31 )_x000D_
  DIVISOR : 12_x000D_
    MÉDIA : 2,58_x000D_
-----------------------------_x000D_
   Valores Desconsiderados_x000D_
-----------------------------_x000D_
23 / 04_2 : 6 (20)_x000D_
_x000D_
  TOTAL   : ( 6 )</t>
        </r>
      </text>
    </comment>
    <comment ref="AB74" authorId="0" shapeId="0" xr:uid="{40C05BD7-8EB7-41F3-BB2C-D060F0E8613F}">
      <text>
        <r>
          <rPr>
            <sz val="10"/>
            <color indexed="81"/>
            <rFont val="Lucida Console"/>
            <family val="3"/>
          </rPr>
          <t>Última movimentação no estoque em 04/2023 quantidade 20.</t>
        </r>
      </text>
    </comment>
    <comment ref="R75" authorId="0" shapeId="0" xr:uid="{FB4950D9-6DE6-4D6D-9F69-3BDBAF9D27F4}">
      <text>
        <r>
          <rPr>
            <sz val="10"/>
            <color indexed="81"/>
            <rFont val="Lucida Console"/>
            <family val="3"/>
          </rPr>
          <t>01.01.1901</t>
        </r>
      </text>
    </comment>
    <comment ref="Y75" authorId="0" shapeId="0" xr:uid="{F00D3A6D-EBE0-49BC-9CC5-B6A827A4B839}">
      <text>
        <r>
          <rPr>
            <sz val="10"/>
            <color indexed="81"/>
            <rFont val="Courier New"/>
            <family val="3"/>
          </rPr>
          <t>_x000D_
    DESCRIÇÃO DO CÁLCULO_x000D_
Código    : 19.883_x000D_
Corte     : 15_x000D_
-----------------------------_x000D_
Pendente  : _x000D_
22 / 08_2 : 4_x000D_
22 / 09_2 : 4_x000D_
22 / 10_2 : 2_x000D_
22 / 11_2 : 4_x000D_
22 / 12_2 : 2_x000D_
23 / 01_2 : 6_x000D_
23 / 02_2 : _x000D_
23 / 03_2 : 2_x000D_
23 / 04_2 : 15 (corte = 22)_x000D_
23 / 05_2 : _x000D_
23 / 06_2 : _x000D_
23 / 07_2 : _x000D_
_x000D_
    TOTAL : ( 39 )_x000D_
  DIVISOR : 12_x000D_
    MÉDIA : 3,25_x000D_
-----------------------------_x000D_
   Valores Desconsiderados_x000D_
-----------------------------_x000D_
23 / 04_2 : 7 (22)_x000D_
_x000D_
  TOTAL   : ( 7 )</t>
        </r>
      </text>
    </comment>
    <comment ref="AB75" authorId="0" shapeId="0" xr:uid="{C07917A6-FC0A-4C31-9CC8-99E668CC497A}">
      <text>
        <r>
          <rPr>
            <sz val="10"/>
            <color indexed="81"/>
            <rFont val="Lucida Console"/>
            <family val="3"/>
          </rPr>
          <t>Última movimentação no estoque em 04/2023 quantidade 22.</t>
        </r>
      </text>
    </comment>
    <comment ref="R76" authorId="0" shapeId="0" xr:uid="{BDA7FC5B-1DC8-4ADF-BBA7-696C6CC2F8D7}">
      <text>
        <r>
          <rPr>
            <sz val="10"/>
            <color indexed="81"/>
            <rFont val="Lucida Console"/>
            <family val="3"/>
          </rPr>
          <t>01.01.1901</t>
        </r>
      </text>
    </comment>
    <comment ref="Y76" authorId="0" shapeId="0" xr:uid="{8CB43768-2779-4F4B-9CC6-953A065F1EB9}">
      <text>
        <r>
          <rPr>
            <sz val="10"/>
            <color indexed="81"/>
            <rFont val="Courier New"/>
            <family val="3"/>
          </rPr>
          <t>_x000D_
    DESCRIÇÃO DO CÁLCULO_x000D_
Código    : 12.812_x000D_
Corte     : 7_x000D_
-----------------------------_x000D_
Pendente  : _x000D_
22 / 08_2 : _x000D_
22 / 09_2 : 7 (corte = 10)_x000D_
22 / 10_2 : 2_x000D_
22 / 11_2 : 3_x000D_
22 / 12_2 : 4_x000D_
23 / 01_2 : 1_x000D_
23 / 02_2 : _x000D_
23 / 03_2 : 2_x000D_
23 / 04_2 : 2_x000D_
23 / 05_2 : _x000D_
23 / 06_2 : _x000D_
23 / 07_2 : _x000D_
_x000D_
    TOTAL : ( 21 )_x000D_
  DIVISOR : 12_x000D_
    MÉDIA : 1,75_x000D_
-----------------------------_x000D_
   Valores Desconsiderados_x000D_
-----------------------------_x000D_
22 / 09_2 : 3 (10)_x000D_
_x000D_
  TOTAL   : ( 3 )</t>
        </r>
      </text>
    </comment>
    <comment ref="AB76" authorId="0" shapeId="0" xr:uid="{EBE5ACBC-0E1D-4795-8E27-BF069CFFFB68}">
      <text>
        <r>
          <rPr>
            <sz val="10"/>
            <color indexed="81"/>
            <rFont val="Lucida Console"/>
            <family val="3"/>
          </rPr>
          <t>Última movimentação no estoque em 04/2023 quantidade 2.</t>
        </r>
      </text>
    </comment>
    <comment ref="R77" authorId="0" shapeId="0" xr:uid="{E2A13D88-C263-4B1B-9DB0-A683BEEA995A}">
      <text>
        <r>
          <rPr>
            <sz val="10"/>
            <color indexed="81"/>
            <rFont val="Lucida Console"/>
            <family val="3"/>
          </rPr>
          <t>01.01.1901</t>
        </r>
      </text>
    </comment>
    <comment ref="Y77" authorId="0" shapeId="0" xr:uid="{7B1170B7-D657-4487-AF0C-BC9CDDBE1B1C}">
      <text>
        <r>
          <rPr>
            <sz val="10"/>
            <color indexed="81"/>
            <rFont val="Courier New"/>
            <family val="3"/>
          </rPr>
          <t>_x000D_
    DESCRIÇÃO DO CÁLCULO_x000D_
Código    : 13.178_x000D_
Corte     : 5.129_x000D_
-----------------------------_x000D_
Pendente  : 647_x000D_
22 / 08_2 : 1.270_x000D_
22 / 09_2 : 840_x000D_
22 / 10_2 : 1.310_x000D_
22 / 11_2 : 600_x000D_
22 / 12_2 : 1.450_x000D_
23 / 01_2 : 1.500_x000D_
23 / 02_2 : 500_x000D_
23 / 03_2 : 1.000_x000D_
23 / 04_2 : 2.620_x000D_
23 / 05_2 : 5.129 (corte = 6900)_x000D_
23 / 06_2 : 1.353_x000D_
23 / 07_2 : _x000D_
_x000D_
    TOTAL : ( 18.219 )_x000D_
  DIVISOR : 12_x000D_
    MÉDIA : 1.518,25_x000D_
-----------------------------_x000D_
   Valores Desconsiderados_x000D_
-----------------------------_x000D_
23 / 05_2 : 1.771 (6.900)_x000D_
_x000D_
  TOTAL   : ( 1.771 )</t>
        </r>
      </text>
    </comment>
    <comment ref="AB77" authorId="0" shapeId="0" xr:uid="{92243C74-458F-4BF7-827D-BB725167FDDE}">
      <text>
        <r>
          <rPr>
            <sz val="10"/>
            <color indexed="81"/>
            <rFont val="Lucida Console"/>
            <family val="3"/>
          </rPr>
          <t>Última movimentação no estoque em 06/2023 quantidade 1.353.</t>
        </r>
      </text>
    </comment>
    <comment ref="R78" authorId="0" shapeId="0" xr:uid="{CDB4D101-4245-49DC-8BDA-CA3187C7B8A1}">
      <text>
        <r>
          <rPr>
            <sz val="10"/>
            <color indexed="81"/>
            <rFont val="Lucida Console"/>
            <family val="3"/>
          </rPr>
          <t>01.01.1901</t>
        </r>
      </text>
    </comment>
    <comment ref="Y78" authorId="0" shapeId="0" xr:uid="{BEAA0FF9-09F9-4275-8ED0-8D14D36CDAD9}">
      <text>
        <r>
          <rPr>
            <sz val="10"/>
            <color indexed="81"/>
            <rFont val="Courier New"/>
            <family val="3"/>
          </rPr>
          <t>_x000D_
    DESCRIÇÃO DO CÁLCULO_x000D_
Código    : 29.293_x000D_
Corte     : 1.867_x000D_
-----------------------------_x000D_
Pendente  : 2.055_x000D_
22 / 08_2 : 920_x000D_
22 / 09_2 : 650_x000D_
22 / 10_2 : 170_x000D_
22 / 11_2 : 500_x000D_
22 / 12_2 : 250_x000D_
23 / 01_2 : 750_x000D_
23 / 02_2 : _x000D_
23 / 03_2 : 1.495_x000D_
23 / 04_2 : _x000D_
23 / 05_2 : _x000D_
23 / 06_2 : _x000D_
23 / 07_2 : _x000D_
_x000D_
    TOTAL : ( 6.790 )_x000D_
  DIVISOR : 12_x000D_
    MÉDIA : 565,83</t>
        </r>
      </text>
    </comment>
    <comment ref="AB78" authorId="0" shapeId="0" xr:uid="{978BE1C1-7224-43B3-AEF1-9277DCFD4C3B}">
      <text>
        <r>
          <rPr>
            <sz val="10"/>
            <color indexed="81"/>
            <rFont val="Lucida Console"/>
            <family val="3"/>
          </rPr>
          <t>Última movimentação no estoque em 03/2023 quantidade 1.495.</t>
        </r>
      </text>
    </comment>
    <comment ref="R79" authorId="0" shapeId="0" xr:uid="{BE04A4F3-8275-420F-8DD0-9F5AAAB89CA2}">
      <text>
        <r>
          <rPr>
            <sz val="10"/>
            <color indexed="81"/>
            <rFont val="Lucida Console"/>
            <family val="3"/>
          </rPr>
          <t>01.01.1901</t>
        </r>
      </text>
    </comment>
    <comment ref="Y79" authorId="0" shapeId="0" xr:uid="{132A4CFE-4D14-4350-8E2F-B876FE1F32F4}">
      <text>
        <r>
          <rPr>
            <sz val="10"/>
            <color indexed="81"/>
            <rFont val="Courier New"/>
            <family val="3"/>
          </rPr>
          <t>_x000D_
    DESCRIÇÃO DO CÁLCULO_x000D_
Código    : 13.179_x000D_
Corte     : 4.049_x000D_
-----------------------------_x000D_
Pendente  : _x000D_
22 / 08_2 : 1.530_x000D_
22 / 09_2 : 1.250_x000D_
22 / 10_2 : 2.465_x000D_
22 / 11_2 : 2.311_x000D_
22 / 12_2 : 1.450_x000D_
23 / 01_2 : 3.020_x000D_
23 / 02_2 : 1.090_x000D_
23 / 03_2 : 3.100_x000D_
23 / 04_2 : 3.800_x000D_
23 / 05_2 : 2.000_x000D_
23 / 06_2 : 1.000_x000D_
23 / 07_2 : 50_x000D_
_x000D_
    TOTAL : ( 23.066 )_x000D_
  DIVISOR : 12_x000D_
    MÉDIA : 1.922,17</t>
        </r>
      </text>
    </comment>
    <comment ref="AB79" authorId="0" shapeId="0" xr:uid="{04A19A4A-7598-4767-B852-4A2246E2C0B6}">
      <text>
        <r>
          <rPr>
            <sz val="10"/>
            <color indexed="81"/>
            <rFont val="Lucida Console"/>
            <family val="3"/>
          </rPr>
          <t>Última movimentação no estoque em 07/2023 quantidade 50.</t>
        </r>
      </text>
    </comment>
    <comment ref="R80" authorId="0" shapeId="0" xr:uid="{7DEC5BD8-9DEE-4233-9008-2DA25296275D}">
      <text>
        <r>
          <rPr>
            <sz val="10"/>
            <color indexed="81"/>
            <rFont val="Lucida Console"/>
            <family val="3"/>
          </rPr>
          <t>15.03.2018</t>
        </r>
      </text>
    </comment>
    <comment ref="Y80" authorId="0" shapeId="0" xr:uid="{CDE3DCC2-C97D-465F-9F94-79DEF9F1AF20}">
      <text>
        <r>
          <rPr>
            <sz val="10"/>
            <color indexed="81"/>
            <rFont val="Courier New"/>
            <family val="3"/>
          </rPr>
          <t>_x000D_
    DESCRIÇÃO DO CÁLCULO_x000D_
Código    : 134.568_x000D_
Corte     : 1.934_x000D_
-----------------------------_x000D_
Pendente  : _x000D_
22 / 08_2 : 200_x000D_
22 / 09_2 : _x000D_
22 / 10_2 : _x000D_
22 / 11_2 : 200_x000D_
22 / 12_2 : _x000D_
23 / 01_2 : 100_x000D_
23 / 02_2 : 200_x000D_
23 / 03_2 : 1.934 (corte = 2160)_x000D_
23 / 04_2 : 1.400_x000D_
23 / 05_2 : 1.000_x000D_
23 / 06_2 : 1.000_x000D_
23 / 07_2 : _x000D_
_x000D_
    TOTAL : ( 6.034 )_x000D_
  DIVISOR : 12_x000D_
    MÉDIA : 502,83_x000D_
-----------------------------_x000D_
   Valores Desconsiderados_x000D_
-----------------------------_x000D_
23 / 03_2 : 226 (2.160)_x000D_
_x000D_
  TOTAL   : ( 226 )</t>
        </r>
      </text>
    </comment>
    <comment ref="AB80" authorId="0" shapeId="0" xr:uid="{171D61C0-D8DB-4A84-A467-D89BEAD48831}">
      <text>
        <r>
          <rPr>
            <sz val="10"/>
            <color indexed="81"/>
            <rFont val="Lucida Console"/>
            <family val="3"/>
          </rPr>
          <t>Última movimentação no estoque em 06/2023 quantidade 1.000.</t>
        </r>
      </text>
    </comment>
    <comment ref="R81" authorId="0" shapeId="0" xr:uid="{8BB262AD-798F-4893-8742-E90636C2E2E7}">
      <text>
        <r>
          <rPr>
            <sz val="10"/>
            <color indexed="81"/>
            <rFont val="Lucida Console"/>
            <family val="3"/>
          </rPr>
          <t>15.03.2018</t>
        </r>
      </text>
    </comment>
    <comment ref="Y81" authorId="0" shapeId="0" xr:uid="{99D31DD1-BF72-424F-8038-570C1C3D14F5}">
      <text>
        <r>
          <rPr>
            <sz val="10"/>
            <color indexed="81"/>
            <rFont val="Courier New"/>
            <family val="3"/>
          </rPr>
          <t>_x000D_
    DESCRIÇÃO DO CÁLCULO_x000D_
Código    : 134.567_x000D_
Corte     : 1.839_x000D_
-----------------------------_x000D_
Pendente  : _x000D_
22 / 08_2 : 620_x000D_
22 / 09_2 : 470_x000D_
22 / 10_2 : 600_x000D_
22 / 11_2 : 50_x000D_
22 / 12_2 : _x000D_
23 / 01_2 : 1.000_x000D_
23 / 02_2 : 300_x000D_
23 / 03_2 : 1.839 (corte = 2200)_x000D_
23 / 04_2 : 700_x000D_
23 / 05_2 : 1.000_x000D_
23 / 06_2 : _x000D_
23 / 07_2 : _x000D_
_x000D_
    TOTAL : ( 6.579 )_x000D_
  DIVISOR : 12_x000D_
    MÉDIA : 548,25_x000D_
-----------------------------_x000D_
   Valores Desconsiderados_x000D_
-----------------------------_x000D_
23 / 03_2 : 361 (2.200)_x000D_
_x000D_
  TOTAL   : ( 361 )</t>
        </r>
      </text>
    </comment>
    <comment ref="AB81" authorId="0" shapeId="0" xr:uid="{D9F1A0A3-B7E6-4C3C-B805-2D5C31509E20}">
      <text>
        <r>
          <rPr>
            <sz val="10"/>
            <color indexed="81"/>
            <rFont val="Lucida Console"/>
            <family val="3"/>
          </rPr>
          <t>Última movimentação no estoque em 05/2023 quantidade 1.000.</t>
        </r>
      </text>
    </comment>
    <comment ref="R82" authorId="0" shapeId="0" xr:uid="{A4908CBA-F9D3-450A-8BBA-9D1FC4844D72}">
      <text>
        <r>
          <rPr>
            <sz val="10"/>
            <color indexed="81"/>
            <rFont val="Lucida Console"/>
            <family val="3"/>
          </rPr>
          <t>05.11.2004</t>
        </r>
      </text>
    </comment>
    <comment ref="Y82" authorId="0" shapeId="0" xr:uid="{D461F51A-508E-4EE2-A309-6CA8415D201B}">
      <text>
        <r>
          <rPr>
            <sz val="10"/>
            <color indexed="81"/>
            <rFont val="Courier New"/>
            <family val="3"/>
          </rPr>
          <t>_x000D_
    DESCRIÇÃO DO CÁLCULO_x000D_
Código    : 82.452_x000D_
Corte     : 43_x000D_
-----------------------------_x000D_
Pendente  : _x000D_
22 / 08_2 : 20_x000D_
22 / 09_2 : 23_x000D_
22 / 10_2 : 10_x000D_
22 / 11_2 : _x000D_
22 / 12_2 : _x000D_
23 / 01_2 : 10_x000D_
23 / 02_2 : 24_x000D_
23 / 03_2 : 43 (corte = 50)_x000D_
23 / 04_2 : 20_x000D_
23 / 05_2 : _x000D_
23 / 06_2 : _x000D_
23 / 07_2 : _x000D_
_x000D_
    TOTAL : ( 150 )_x000D_
  DIVISOR : 12_x000D_
    MÉDIA : 12,50_x000D_
-----------------------------_x000D_
   Valores Desconsiderados_x000D_
-----------------------------_x000D_
23 / 03_2 : 7 (50)_x000D_
_x000D_
  TOTAL   : ( 7 )</t>
        </r>
      </text>
    </comment>
    <comment ref="AB82" authorId="0" shapeId="0" xr:uid="{C00535F6-7EF5-4CAA-B705-EC4C0AB1126E}">
      <text>
        <r>
          <rPr>
            <sz val="10"/>
            <color indexed="81"/>
            <rFont val="Lucida Console"/>
            <family val="3"/>
          </rPr>
          <t>Última movimentação no estoque em 04/2023 quantidade 20.</t>
        </r>
      </text>
    </comment>
    <comment ref="R83" authorId="0" shapeId="0" xr:uid="{45A469D8-EA01-429D-B5E9-CFA854BA7CDF}">
      <text>
        <r>
          <rPr>
            <sz val="10"/>
            <color indexed="81"/>
            <rFont val="Lucida Console"/>
            <family val="3"/>
          </rPr>
          <t>11.08.2008</t>
        </r>
      </text>
    </comment>
    <comment ref="Y83" authorId="0" shapeId="0" xr:uid="{9FAE2D60-A9E4-4A3C-A063-47BEFDD655ED}">
      <text>
        <r>
          <rPr>
            <sz val="10"/>
            <color indexed="81"/>
            <rFont val="Courier New"/>
            <family val="3"/>
          </rPr>
          <t>_x000D_
    DESCRIÇÃO DO CÁLCULO_x000D_
Código    : 107.401_x000D_
Corte     : 19_x000D_
-----------------------------_x000D_
Pendente  : _x000D_
22 / 08_2 : 2_x000D_
22 / 09_2 : 1_x000D_
22 / 10_2 : 1_x000D_
22 / 11_2 : 2_x000D_
22 / 12_2 : 2_x000D_
23 / 01_2 : 7_x000D_
23 / 02_2 : _x000D_
23 / 03_2 : 4_x000D_
23 / 04_2 : 19 (corte = 20)_x000D_
23 / 05_2 : 19 (corte = 20)_x000D_
23 / 06_2 : _x000D_
23 / 07_2 : _x000D_
_x000D_
    TOTAL : ( 57 )_x000D_
  DIVISOR : 12_x000D_
    MÉDIA : 4,75_x000D_
-----------------------------_x000D_
   Valores Desconsiderados_x000D_
-----------------------------_x000D_
23 / 04_2 : 1 (20)_x000D_
23 / 05_2 : 1 (20)_x000D_
_x000D_
  TOTAL   : ( 2 )</t>
        </r>
      </text>
    </comment>
    <comment ref="AB83" authorId="0" shapeId="0" xr:uid="{F55CAD3A-FA2A-4A8A-A6BA-A44FAFAB494D}">
      <text>
        <r>
          <rPr>
            <sz val="10"/>
            <color indexed="81"/>
            <rFont val="Lucida Console"/>
            <family val="3"/>
          </rPr>
          <t>Última movimentação no estoque em 05/2023 quantidade 20.</t>
        </r>
      </text>
    </comment>
    <comment ref="R84" authorId="0" shapeId="0" xr:uid="{AADF9738-5268-4473-BEEE-8E2CC1E3C09B}">
      <text>
        <r>
          <rPr>
            <sz val="10"/>
            <color indexed="81"/>
            <rFont val="Lucida Console"/>
            <family val="3"/>
          </rPr>
          <t>04.09.2017</t>
        </r>
      </text>
    </comment>
    <comment ref="Y84" authorId="0" shapeId="0" xr:uid="{14824C34-E052-4725-9F01-E6BF72D59292}">
      <text>
        <r>
          <rPr>
            <sz val="10"/>
            <color indexed="81"/>
            <rFont val="Courier New"/>
            <family val="3"/>
          </rPr>
          <t>_x000D_
    DESCRIÇÃO DO CÁLCULO_x000D_
Código    : 133.366_x000D_
Corte     : 935_x000D_
-----------------------------_x000D_
Pendente  : _x000D_
22 / 08_2 : 70_x000D_
22 / 09_2 : 150_x000D_
22 / 10_2 : 190_x000D_
22 / 11_2 : _x000D_
22 / 12_2 : 600_x000D_
23 / 01_2 : 420_x000D_
23 / 02_2 : 50_x000D_
23 / 03_2 : 200_x000D_
23 / 04_2 : 500_x000D_
23 / 05_2 : _x000D_
23 / 06_2 : _x000D_
23 / 07_2 : 935 (corte = 1100)_x000D_
_x000D_
    TOTAL : ( 3.115 )_x000D_
  DIVISOR : 12_x000D_
    MÉDIA : 259,58_x000D_
-----------------------------_x000D_
   Valores Desconsiderados_x000D_
-----------------------------_x000D_
23 / 07_2 : 165 (1.100)_x000D_
_x000D_
  TOTAL   : ( 165 )</t>
        </r>
      </text>
    </comment>
    <comment ref="AB84" authorId="0" shapeId="0" xr:uid="{23C6B146-D61D-40F2-8F12-5264750491D0}">
      <text>
        <r>
          <rPr>
            <sz val="10"/>
            <color indexed="81"/>
            <rFont val="Lucida Console"/>
            <family val="3"/>
          </rPr>
          <t>Última movimentação no estoque em 07/2023 quantidade 1.100.</t>
        </r>
      </text>
    </comment>
    <comment ref="R85" authorId="0" shapeId="0" xr:uid="{2EBDBC6B-4015-4AF3-8498-FCC9F59B83E3}">
      <text>
        <r>
          <rPr>
            <sz val="10"/>
            <color indexed="81"/>
            <rFont val="Lucida Console"/>
            <family val="3"/>
          </rPr>
          <t>01.01.1901</t>
        </r>
      </text>
    </comment>
    <comment ref="Y85" authorId="0" shapeId="0" xr:uid="{1CB89819-03C5-43E8-8645-ED0A49747F48}">
      <text>
        <r>
          <rPr>
            <sz val="10"/>
            <color indexed="81"/>
            <rFont val="Courier New"/>
            <family val="3"/>
          </rPr>
          <t>_x000D_
    DESCRIÇÃO DO CÁLCULO_x000D_
Código    : 16.763_x000D_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85" authorId="0" shapeId="0" xr:uid="{E9D7B337-0FCD-4326-9042-F073473F11C7}">
      <text>
        <r>
          <rPr>
            <sz val="10"/>
            <color indexed="81"/>
            <rFont val="Lucida Console"/>
            <family val="3"/>
          </rPr>
          <t>Última movimentação no estoque em 11/2022 quantidade 4.</t>
        </r>
      </text>
    </comment>
    <comment ref="R86" authorId="0" shapeId="0" xr:uid="{83FBB035-84BC-44D2-AA2A-0D2E3E971087}">
      <text>
        <r>
          <rPr>
            <sz val="10"/>
            <color indexed="81"/>
            <rFont val="Lucida Console"/>
            <family val="3"/>
          </rPr>
          <t>11.05.2009</t>
        </r>
      </text>
    </comment>
    <comment ref="Y86" authorId="0" shapeId="0" xr:uid="{ADCEBC42-E171-4F5E-BF67-6D76AF37EE7B}">
      <text>
        <r>
          <rPr>
            <sz val="10"/>
            <color indexed="81"/>
            <rFont val="Courier New"/>
            <family val="3"/>
          </rPr>
          <t>_x000D_
    DESCRIÇÃO DO CÁLCULO_x000D_
Código    : 110.889_x000D_
Corte     : 145_x000D_
-----------------------------_x000D_
Pendente  : _x000D_
22 / 08_2 : _x000D_
22 / 09_2 : _x000D_
22 / 10_2 : _x000D_
22 / 11_2 : 145 (corte = 220)_x000D_
22 / 12_2 : _x000D_
23 / 01_2 : _x000D_
23 / 02_2 : _x000D_
23 / 03_2 : _x000D_
23 / 04_2 : _x000D_
23 / 05_2 : _x000D_
23 / 06_2 : _x000D_
23 / 07_2 : _x000D_
_x000D_
    TOTAL : ( 145 )_x000D_
  DIVISOR : 12_x000D_
    MÉDIA : 12,08_x000D_
-----------------------------_x000D_
   Valores Desconsiderados_x000D_
-----------------------------_x000D_
22 / 11_2 : 75 (220)_x000D_
_x000D_
  TOTAL   : ( 75 )</t>
        </r>
      </text>
    </comment>
    <comment ref="AB86" authorId="0" shapeId="0" xr:uid="{DDD7E361-0A75-4E7F-84F3-11435761CC96}">
      <text>
        <r>
          <rPr>
            <sz val="10"/>
            <color indexed="81"/>
            <rFont val="Lucida Console"/>
            <family val="3"/>
          </rPr>
          <t>Última movimentação no estoque em 11/2022 quantidade 220.</t>
        </r>
      </text>
    </comment>
    <comment ref="R87" authorId="0" shapeId="0" xr:uid="{DE9D46C3-DDA0-42C9-BDAD-6CC3773AA5C3}">
      <text>
        <r>
          <rPr>
            <sz val="10"/>
            <color indexed="81"/>
            <rFont val="Lucida Console"/>
            <family val="3"/>
          </rPr>
          <t>11.07.2012</t>
        </r>
      </text>
    </comment>
    <comment ref="Y87" authorId="0" shapeId="0" xr:uid="{D072658C-FB48-4908-ADA1-3C2A624B750F}">
      <text>
        <r>
          <rPr>
            <sz val="10"/>
            <color indexed="81"/>
            <rFont val="Courier New"/>
            <family val="3"/>
          </rPr>
          <t>_x000D_
    DESCRIÇÃO DO CÁLCULO_x000D_
Código    : 123.370_x000D_
Corte     : 67_x000D_
-----------------------------_x000D_
Pendente  : _x000D_
22 / 08_2 : _x000D_
22 / 09_2 : _x000D_
22 / 10_2 : _x000D_
22 / 11_2 : _x000D_
22 / 12_2 : _x000D_
23 / 01_2 : _x000D_
23 / 02_2 : _x000D_
23 / 03_2 : _x000D_
23 / 04_2 : _x000D_
23 / 05_2 : _x000D_
23 / 06_2 : 20_x000D_
23 / 07_2 : 67 (corte = 100)_x000D_
_x000D_
    TOTAL : ( 87 )_x000D_
  DIVISOR : 12_x000D_
    MÉDIA : 7,25_x000D_
-----------------------------_x000D_
   Valores Desconsiderados_x000D_
-----------------------------_x000D_
23 / 07_2 : 33 (100)_x000D_
_x000D_
  TOTAL   : ( 33 )</t>
        </r>
      </text>
    </comment>
    <comment ref="AB87" authorId="0" shapeId="0" xr:uid="{0A38E1E0-3741-4A59-9F1D-CF9FB00F4871}">
      <text>
        <r>
          <rPr>
            <sz val="10"/>
            <color indexed="81"/>
            <rFont val="Lucida Console"/>
            <family val="3"/>
          </rPr>
          <t>Última movimentação no estoque em 07/2023 quantidade 100.</t>
        </r>
      </text>
    </comment>
    <comment ref="R88" authorId="0" shapeId="0" xr:uid="{5310DA4E-C9DD-4FAE-8021-22FA8B7D5AE8}">
      <text>
        <r>
          <rPr>
            <sz val="10"/>
            <color indexed="81"/>
            <rFont val="Lucida Console"/>
            <family val="3"/>
          </rPr>
          <t>23.04.2010</t>
        </r>
      </text>
    </comment>
    <comment ref="Y88" authorId="0" shapeId="0" xr:uid="{EC426439-C366-447D-8E48-8CB04F19EE4E}">
      <text>
        <r>
          <rPr>
            <sz val="10"/>
            <color indexed="81"/>
            <rFont val="Courier New"/>
            <family val="3"/>
          </rPr>
          <t>_x000D_
    DESCRIÇÃO DO CÁLCULO_x000D_
Código    : 114.976_x000D_
Corte     : 35_x000D_
-----------------------------_x000D_
Pendente  : _x000D_
22 / 08_2 : 18_x000D_
22 / 09_2 : _x000D_
22 / 10_2 : _x000D_
22 / 11_2 : _x000D_
22 / 12_2 : 35 (corte = 50)_x000D_
23 / 01_2 : 3_x000D_
23 / 02_2 : _x000D_
23 / 03_2 : _x000D_
23 / 04_2 : _x000D_
23 / 05_2 : _x000D_
23 / 06_2 : _x000D_
23 / 07_2 : _x000D_
_x000D_
    TOTAL : ( 56 )_x000D_
  DIVISOR : 12_x000D_
    MÉDIA : 4,67_x000D_
-----------------------------_x000D_
   Valores Desconsiderados_x000D_
-----------------------------_x000D_
22 / 12_2 : 15 (50)_x000D_
_x000D_
  TOTAL   : ( 15 )</t>
        </r>
      </text>
    </comment>
    <comment ref="AB88" authorId="0" shapeId="0" xr:uid="{3AD523DD-5752-4B89-9B0E-EE103911D79F}">
      <text>
        <r>
          <rPr>
            <sz val="10"/>
            <color indexed="81"/>
            <rFont val="Lucida Console"/>
            <family val="3"/>
          </rPr>
          <t>Última movimentação no estoque em 01/2023 quantidade 3.</t>
        </r>
      </text>
    </comment>
    <comment ref="R89" authorId="0" shapeId="0" xr:uid="{D8515781-BBC9-416B-8489-3F2A37BD7FC0}">
      <text>
        <r>
          <rPr>
            <sz val="10"/>
            <color indexed="81"/>
            <rFont val="Lucida Console"/>
            <family val="3"/>
          </rPr>
          <t>11.02.2015</t>
        </r>
      </text>
    </comment>
    <comment ref="Y89" authorId="0" shapeId="0" xr:uid="{DF0F4545-A6C5-4089-AB22-C330191E0B7E}">
      <text>
        <r>
          <rPr>
            <sz val="10"/>
            <color indexed="81"/>
            <rFont val="Courier New"/>
            <family val="3"/>
          </rPr>
          <t>_x000D_
    DESCRIÇÃO DO CÁLCULO_x000D_
Código    : 129.960_x000D_
Corte     : 16_x000D_
-----------------------------_x000D_
Pendente  : _x000D_
22 / 08_2 : _x000D_
22 / 09_2 : 16 (corte = 25)_x000D_
22 / 10_2 : _x000D_
22 / 11_2 : _x000D_
22 / 12_2 : _x000D_
23 / 01_2 : _x000D_
23 / 02_2 : _x000D_
23 / 03_2 : _x000D_
23 / 04_2 : _x000D_
23 / 05_2 : _x000D_
23 / 06_2 : _x000D_
23 / 07_2 : _x000D_
_x000D_
    TOTAL : ( 16 )_x000D_
  DIVISOR : 12_x000D_
    MÉDIA : 1,33_x000D_
-----------------------------_x000D_
   Valores Desconsiderados_x000D_
-----------------------------_x000D_
22 / 09_2 : 9 (25)_x000D_
_x000D_
  TOTAL   : ( 9 )</t>
        </r>
      </text>
    </comment>
    <comment ref="AB89" authorId="0" shapeId="0" xr:uid="{FCE35D85-F9B1-4CC3-9881-ED82CD2CBED4}">
      <text>
        <r>
          <rPr>
            <sz val="10"/>
            <color indexed="81"/>
            <rFont val="Lucida Console"/>
            <family val="3"/>
          </rPr>
          <t>Última movimentação no estoque em 09/2022 quantidade 25.</t>
        </r>
      </text>
    </comment>
    <comment ref="R90" authorId="0" shapeId="0" xr:uid="{66C13349-0918-4346-835E-ADB64B57D7A5}">
      <text>
        <r>
          <rPr>
            <sz val="10"/>
            <color indexed="81"/>
            <rFont val="Lucida Console"/>
            <family val="3"/>
          </rPr>
          <t>13.10.2016</t>
        </r>
      </text>
    </comment>
    <comment ref="Y90" authorId="0" shapeId="0" xr:uid="{D4E291DB-D779-4715-960D-15C833019354}">
      <text>
        <r>
          <rPr>
            <sz val="10"/>
            <color indexed="81"/>
            <rFont val="Courier New"/>
            <family val="3"/>
          </rPr>
          <t>_x000D_
    DESCRIÇÃO DO CÁLCULO_x000D_
Código    : 132.229_x000D_
Corte     : 119_x000D_
-----------------------------_x000D_
Pendente  : _x000D_
22 / 08_2 : 100_x000D_
22 / 09_2 : _x000D_
22 / 10_2 : _x000D_
22 / 11_2 : _x000D_
22 / 12_2 : 100_x000D_
23 / 01_2 : _x000D_
23 / 02_2 : _x000D_
23 / 03_2 : _x000D_
23 / 04_2 : 110_x000D_
23 / 05_2 : _x000D_
23 / 06_2 : _x000D_
23 / 07_2 : 6_x000D_
_x000D_
    TOTAL : ( 316 )_x000D_
  DIVISOR : 12_x000D_
    MÉDIA : 26,33</t>
        </r>
      </text>
    </comment>
    <comment ref="AB90" authorId="0" shapeId="0" xr:uid="{B5C5FF87-DC20-45DC-8051-E771AE86A981}">
      <text>
        <r>
          <rPr>
            <sz val="10"/>
            <color indexed="81"/>
            <rFont val="Lucida Console"/>
            <family val="3"/>
          </rPr>
          <t>Última movimentação no estoque em 07/2023 quantidade 6.</t>
        </r>
      </text>
    </comment>
    <comment ref="R91" authorId="0" shapeId="0" xr:uid="{500C0011-EFF8-4EC7-87C4-03154BF6F633}">
      <text>
        <r>
          <rPr>
            <sz val="10"/>
            <color indexed="81"/>
            <rFont val="Lucida Console"/>
            <family val="3"/>
          </rPr>
          <t>11.07.2012</t>
        </r>
      </text>
    </comment>
    <comment ref="Y91" authorId="0" shapeId="0" xr:uid="{443194B3-AC3F-474B-B8BF-1E9B202C93F3}">
      <text>
        <r>
          <rPr>
            <sz val="10"/>
            <color indexed="81"/>
            <rFont val="Courier New"/>
            <family val="3"/>
          </rPr>
          <t>_x000D_
    DESCRIÇÃO DO CÁLCULO_x000D_
Código    : 123.372_x000D_
Corte     : 14_x000D_
-----------------------------_x000D_
Pendente  : _x000D_
22 / 08_2 : _x000D_
22 / 09_2 : _x000D_
22 / 10_2 : _x000D_
22 / 11_2 : _x000D_
22 / 12_2 : 14 (corte = 20)_x000D_
23 / 01_2 : _x000D_
23 / 02_2 : _x000D_
23 / 03_2 : _x000D_
23 / 04_2 : _x000D_
23 / 05_2 : _x000D_
23 / 06_2 : 7_x000D_
23 / 07_2 : _x000D_
_x000D_
    TOTAL : ( 21 )_x000D_
  DIVISOR : 12_x000D_
    MÉDIA : 1,75_x000D_
-----------------------------_x000D_
   Valores Desconsiderados_x000D_
-----------------------------_x000D_
22 / 12_2 : 6 (20)_x000D_
_x000D_
  TOTAL   : ( 6 )</t>
        </r>
      </text>
    </comment>
    <comment ref="AB91" authorId="0" shapeId="0" xr:uid="{5C4F4961-B8FF-4ED6-97E4-0E0BD73ECDC7}">
      <text>
        <r>
          <rPr>
            <sz val="10"/>
            <color indexed="81"/>
            <rFont val="Lucida Console"/>
            <family val="3"/>
          </rPr>
          <t>Última movimentação no estoque em 06/2023 quantidade 7.</t>
        </r>
      </text>
    </comment>
    <comment ref="R92" authorId="0" shapeId="0" xr:uid="{6E609BAE-322A-42E7-8E0B-E30BA313D5F9}">
      <text>
        <r>
          <rPr>
            <sz val="10"/>
            <color indexed="81"/>
            <rFont val="Lucida Console"/>
            <family val="3"/>
          </rPr>
          <t>22.09.2020</t>
        </r>
      </text>
    </comment>
    <comment ref="Y92" authorId="0" shapeId="0" xr:uid="{2E829BE4-9C3C-41B8-8222-9A3B9CB494EA}">
      <text>
        <r>
          <rPr>
            <sz val="10"/>
            <color indexed="81"/>
            <rFont val="Courier New"/>
            <family val="3"/>
          </rPr>
          <t>_x000D_
    DESCRIÇÃO DO CÁLCULO_x000D_
Código    : 140.049_x000D_
Corte     : 202_x000D_
-----------------------------_x000D_
Pendente  : _x000D_
22 / 08_2 : _x000D_
22 / 09_2 : _x000D_
22 / 10_2 : _x000D_
22 / 11_2 : _x000D_
22 / 12_2 : _x000D_
23 / 01_2 : _x000D_
23 / 02_2 : 100_x000D_
23 / 03_2 : 200_x000D_
23 / 04_2 : _x000D_
23 / 05_2 : 202 (corte = 204)_x000D_
23 / 06_2 : _x000D_
23 / 07_2 : _x000D_
_x000D_
    TOTAL : ( 502 )_x000D_
  DIVISOR : 12_x000D_
    MÉDIA : 41,83_x000D_
-----------------------------_x000D_
   Valores Desconsiderados_x000D_
-----------------------------_x000D_
23 / 05_2 : 2 (204)_x000D_
_x000D_
  TOTAL   : ( 2 )</t>
        </r>
      </text>
    </comment>
    <comment ref="AB92" authorId="0" shapeId="0" xr:uid="{E15196CA-6CA4-4A16-8312-BC9AF0F48356}">
      <text>
        <r>
          <rPr>
            <sz val="10"/>
            <color indexed="81"/>
            <rFont val="Lucida Console"/>
            <family val="3"/>
          </rPr>
          <t>Última movimentação no estoque em 05/2023 quantidade 204.</t>
        </r>
      </text>
    </comment>
    <comment ref="R93" authorId="0" shapeId="0" xr:uid="{C32D9532-9077-4207-8977-68BF0ECB3BC1}">
      <text>
        <r>
          <rPr>
            <sz val="10"/>
            <color indexed="81"/>
            <rFont val="Lucida Console"/>
            <family val="3"/>
          </rPr>
          <t>22.09.2020</t>
        </r>
      </text>
    </comment>
    <comment ref="Y93" authorId="0" shapeId="0" xr:uid="{94701B1A-4559-4650-8CFE-C4F890D913E6}">
      <text>
        <r>
          <rPr>
            <sz val="10"/>
            <color indexed="81"/>
            <rFont val="Courier New"/>
            <family val="3"/>
          </rPr>
          <t>_x000D_
    DESCRIÇÃO DO CÁLCULO_x000D_
Código    : 140.048_x000D_
Corte     : 717_x000D_
-----------------------------_x000D_
Pendente  : 140_x000D_
22 / 08_2 : _x000D_
22 / 09_2 : 300_x000D_
22 / 10_2 : 600_x000D_
22 / 11_2 : 100_x000D_
22 / 12_2 : 300_x000D_
23 / 01_2 : 680_x000D_
23 / 02_2 : 400_x000D_
23 / 03_2 : 360_x000D_
23 / 04_2 : _x000D_
23 / 05_2 : _x000D_
23 / 06_2 : _x000D_
23 / 07_2 : _x000D_
_x000D_
    TOTAL : ( 2.880 )_x000D_
  DIVISOR : 12_x000D_
    MÉDIA : 240,00</t>
        </r>
      </text>
    </comment>
    <comment ref="AB93" authorId="0" shapeId="0" xr:uid="{9149B1B0-F101-440F-BA04-3753FF567D25}">
      <text>
        <r>
          <rPr>
            <sz val="10"/>
            <color indexed="81"/>
            <rFont val="Lucida Console"/>
            <family val="3"/>
          </rPr>
          <t>Última movimentação no estoque em 03/2023 quantidade 360.</t>
        </r>
      </text>
    </comment>
    <comment ref="R94" authorId="0" shapeId="0" xr:uid="{F0C2E85F-2CFA-4036-B4A4-7CF296845CEF}">
      <text>
        <r>
          <rPr>
            <sz val="10"/>
            <color indexed="81"/>
            <rFont val="Lucida Console"/>
            <family val="3"/>
          </rPr>
          <t>22.09.2020</t>
        </r>
      </text>
    </comment>
    <comment ref="Y94" authorId="0" shapeId="0" xr:uid="{DE888A3D-0DFE-468B-B512-61F3F2EF24B2}">
      <text>
        <r>
          <rPr>
            <sz val="10"/>
            <color indexed="81"/>
            <rFont val="Courier New"/>
            <family val="3"/>
          </rPr>
          <t>_x000D_
    DESCRIÇÃO DO CÁLCULO_x000D_
Código    : 140.050_x000D_
Corte     : 242_x000D_
-----------------------------_x000D_
Pendente  : _x000D_
22 / 08_2 : _x000D_
22 / 09_2 : 100_x000D_
22 / 10_2 : 130_x000D_
22 / 11_2 : _x000D_
22 / 12_2 : 200_x000D_
23 / 01_2 : 100_x000D_
23 / 02_2 : 200_x000D_
23 / 03_2 : 150_x000D_
23 / 04_2 : 105_x000D_
23 / 05_2 : 109_x000D_
23 / 06_2 : _x000D_
23 / 07_2 : _x000D_
_x000D_
    TOTAL : ( 1.094 )_x000D_
  DIVISOR : 12_x000D_
    MÉDIA : 91,17</t>
        </r>
      </text>
    </comment>
    <comment ref="AB94" authorId="0" shapeId="0" xr:uid="{91D11FC3-4195-4373-92E0-67D45A975B62}">
      <text>
        <r>
          <rPr>
            <sz val="10"/>
            <color indexed="81"/>
            <rFont val="Lucida Console"/>
            <family val="3"/>
          </rPr>
          <t>Última movimentação no estoque em 05/2023 quantidade 109.</t>
        </r>
      </text>
    </comment>
    <comment ref="R95" authorId="0" shapeId="0" xr:uid="{50765696-4FB2-4D73-9CDF-1C30B0E61078}">
      <text>
        <r>
          <rPr>
            <sz val="10"/>
            <color indexed="81"/>
            <rFont val="Lucida Console"/>
            <family val="3"/>
          </rPr>
          <t>22.09.2020</t>
        </r>
      </text>
    </comment>
    <comment ref="Y95" authorId="0" shapeId="0" xr:uid="{6B06A4C1-F02F-4239-9E9C-063B81D63C40}">
      <text>
        <r>
          <rPr>
            <sz val="10"/>
            <color indexed="81"/>
            <rFont val="Courier New"/>
            <family val="3"/>
          </rPr>
          <t>_x000D_
    DESCRIÇÃO DO CÁLCULO_x000D_
Código    : 140.047_x000D_
Corte     : 70_x000D_
-----------------------------_x000D_
Pendente  : _x000D_
22 / 08_2 : _x000D_
22 / 09_2 : 25_x000D_
22 / 10_2 : _x000D_
22 / 11_2 : _x000D_
22 / 12_2 : 20_x000D_
23 / 01_2 : _x000D_
23 / 02_2 : _x000D_
23 / 03_2 : _x000D_
23 / 04_2 : _x000D_
23 / 05_2 : _x000D_
23 / 06_2 : _x000D_
23 / 07_2 : 70 (corte = 100)_x000D_
_x000D_
    TOTAL : ( 115 )_x000D_
  DIVISOR : 12_x000D_
    MÉDIA : 9,58_x000D_
-----------------------------_x000D_
   Valores Desconsiderados_x000D_
-----------------------------_x000D_
23 / 07_2 : 30 (100)_x000D_
_x000D_
  TOTAL   : ( 30 )</t>
        </r>
      </text>
    </comment>
    <comment ref="AB95" authorId="0" shapeId="0" xr:uid="{6D0CEECA-915C-4076-A3EB-250416D34811}">
      <text>
        <r>
          <rPr>
            <sz val="10"/>
            <color indexed="81"/>
            <rFont val="Lucida Console"/>
            <family val="3"/>
          </rPr>
          <t>Última movimentação no estoque em 07/2023 quantidade 100.</t>
        </r>
      </text>
    </comment>
    <comment ref="R96" authorId="0" shapeId="0" xr:uid="{E76E6735-ECA2-41E9-9AB8-ABA8CBBCB673}">
      <text>
        <r>
          <rPr>
            <sz val="10"/>
            <color indexed="81"/>
            <rFont val="Lucida Console"/>
            <family val="3"/>
          </rPr>
          <t>22.09.2020</t>
        </r>
      </text>
    </comment>
    <comment ref="Y96" authorId="0" shapeId="0" xr:uid="{AE5C11FB-C686-4CAC-9A11-50E962295083}">
      <text>
        <r>
          <rPr>
            <sz val="10"/>
            <color indexed="81"/>
            <rFont val="Courier New"/>
            <family val="3"/>
          </rPr>
          <t>_x000D_
    DESCRIÇÃO DO CÁLCULO_x000D_
Código    : 140.061_x000D_
Corte     : 129_x000D_
-----------------------------_x000D_
Pendente  : _x000D_
22 / 08_2 : 30_x000D_
22 / 09_2 : _x000D_
22 / 10_2 : _x000D_
22 / 11_2 : _x000D_
22 / 12_2 : 129 (corte = 150)_x000D_
23 / 01_2 : _x000D_
23 / 02_2 : _x000D_
23 / 03_2 : _x000D_
23 / 04_2 : _x000D_
23 / 05_2 : _x000D_
23 / 06_2 : 120_x000D_
23 / 07_2 : _x000D_
_x000D_
    TOTAL : ( 279 )_x000D_
  DIVISOR : 12_x000D_
    MÉDIA : 23,25_x000D_
-----------------------------_x000D_
   Valores Desconsiderados_x000D_
-----------------------------_x000D_
22 / 12_2 : 21 (150)_x000D_
_x000D_
  TOTAL   : ( 21 )</t>
        </r>
      </text>
    </comment>
    <comment ref="AB96" authorId="0" shapeId="0" xr:uid="{52E30175-7DE9-4CBD-A4CF-5929BDD215B9}">
      <text>
        <r>
          <rPr>
            <sz val="10"/>
            <color indexed="81"/>
            <rFont val="Lucida Console"/>
            <family val="3"/>
          </rPr>
          <t>Última movimentação no estoque em 06/2023 quantidade 120.</t>
        </r>
      </text>
    </comment>
    <comment ref="R97" authorId="0" shapeId="0" xr:uid="{C37A6ADE-9988-4690-ACB3-0BC1B4916D95}">
      <text>
        <r>
          <rPr>
            <sz val="10"/>
            <color indexed="81"/>
            <rFont val="Lucida Console"/>
            <family val="3"/>
          </rPr>
          <t>22.09.2020</t>
        </r>
      </text>
    </comment>
    <comment ref="Y97" authorId="0" shapeId="0" xr:uid="{3415E9E4-0E8E-40EB-8497-FFB6AE75475F}">
      <text>
        <r>
          <rPr>
            <sz val="10"/>
            <color indexed="81"/>
            <rFont val="Courier New"/>
            <family val="3"/>
          </rPr>
          <t>_x000D_
    DESCRIÇÃO DO CÁLCULO_x000D_
Código    : 140.028_x000D_
Corte     : 14_x000D_
-----------------------------_x000D_
Pendente  : _x000D_
22 / 08_2 : 4_x000D_
22 / 09_2 : 8_x000D_
22 / 10_2 : 6_x000D_
22 / 11_2 : 4_x000D_
22 / 12_2 : 3_x000D_
23 / 01_2 : 14 (corte = 16)_x000D_
23 / 02_2 : 3_x000D_
23 / 03_2 : 7_x000D_
23 / 04_2 : 10_x000D_
23 / 05_2 : _x000D_
23 / 06_2 : _x000D_
23 / 07_2 : 3_x000D_
_x000D_
    TOTAL : ( 62 )_x000D_
  DIVISOR : 12_x000D_
    MÉDIA : 5,17_x000D_
-----------------------------_x000D_
   Valores Desconsiderados_x000D_
-----------------------------_x000D_
23 / 01_2 : 2 (16)_x000D_
_x000D_
  TOTAL   : ( 2 )</t>
        </r>
      </text>
    </comment>
    <comment ref="AB97" authorId="0" shapeId="0" xr:uid="{FBC95DEE-C5D8-4386-BA43-4BB5AA126333}">
      <text>
        <r>
          <rPr>
            <sz val="10"/>
            <color indexed="81"/>
            <rFont val="Lucida Console"/>
            <family val="3"/>
          </rPr>
          <t>Última movimentação no estoque em 07/2023 quantidade 3.</t>
        </r>
      </text>
    </comment>
    <comment ref="R98" authorId="0" shapeId="0" xr:uid="{3316080C-DC7A-41E7-9D45-F7256611F983}">
      <text>
        <r>
          <rPr>
            <sz val="10"/>
            <color indexed="81"/>
            <rFont val="Lucida Console"/>
            <family val="3"/>
          </rPr>
          <t>22.09.2020</t>
        </r>
      </text>
    </comment>
    <comment ref="Y98" authorId="0" shapeId="0" xr:uid="{20B6B762-D121-4B54-BA64-363D00BEE13E}">
      <text>
        <r>
          <rPr>
            <sz val="10"/>
            <color indexed="81"/>
            <rFont val="Courier New"/>
            <family val="3"/>
          </rPr>
          <t>_x000D_
    DESCRIÇÃO DO CÁLCULO_x000D_
Código    : 140.042_x000D_
Corte     : 1.284_x000D_
-----------------------------_x000D_
Pendente  : 54_x000D_
22 / 08_2 : _x000D_
22 / 09_2 : 120_x000D_
22 / 10_2 : 1.284 (corte = 1600)_x000D_
22 / 11_2 : 600_x000D_
22 / 12_2 : 500_x000D_
23 / 01_2 : _x000D_
23 / 02_2 : _x000D_
23 / 03_2 : 528_x000D_
23 / 04_2 : 706_x000D_
23 / 05_2 : 146_x000D_
23 / 06_2 : _x000D_
23 / 07_2 : _x000D_
_x000D_
    TOTAL : ( 3.938 )_x000D_
  DIVISOR : 12_x000D_
    MÉDIA : 328,17_x000D_
-----------------------------_x000D_
   Valores Desconsiderados_x000D_
-----------------------------_x000D_
22 / 10_2 : 316 (1.600)_x000D_
_x000D_
  TOTAL   : ( 316 )</t>
        </r>
      </text>
    </comment>
    <comment ref="AB98" authorId="0" shapeId="0" xr:uid="{340B76E5-3415-4B0C-AD9C-109472E0D069}">
      <text>
        <r>
          <rPr>
            <sz val="10"/>
            <color indexed="81"/>
            <rFont val="Lucida Console"/>
            <family val="3"/>
          </rPr>
          <t>Última movimentação no estoque em 05/2023 quantidade 146.</t>
        </r>
      </text>
    </comment>
    <comment ref="R99" authorId="0" shapeId="0" xr:uid="{600308FB-1926-4AB7-B6BF-64A2150F1FED}">
      <text>
        <r>
          <rPr>
            <sz val="10"/>
            <color indexed="81"/>
            <rFont val="Lucida Console"/>
            <family val="3"/>
          </rPr>
          <t>22.09.2020</t>
        </r>
      </text>
    </comment>
    <comment ref="Y99" authorId="0" shapeId="0" xr:uid="{AE133D0C-76B1-42D3-96B8-D16C133C26E1}">
      <text>
        <r>
          <rPr>
            <sz val="10"/>
            <color indexed="81"/>
            <rFont val="Courier New"/>
            <family val="3"/>
          </rPr>
          <t>_x000D_
    DESCRIÇÃO DO CÁLCULO_x000D_
Código    : 140.043_x000D_
Corte     : 389_x000D_
-----------------------------_x000D_
Pendente  : 263_x000D_
22 / 08_2 : _x000D_
22 / 09_2 : _x000D_
22 / 10_2 : 389 (corte = 510)_x000D_
22 / 11_2 : 100_x000D_
22 / 12_2 : 70_x000D_
23 / 01_2 : _x000D_
23 / 02_2 : _x000D_
23 / 03_2 : 100_x000D_
23 / 04_2 : 67_x000D_
23 / 05_2 : _x000D_
23 / 06_2 : _x000D_
23 / 07_2 : _x000D_
_x000D_
    TOTAL : ( 989 )_x000D_
  DIVISOR : 12_x000D_
    MÉDIA : 82,42_x000D_
-----------------------------_x000D_
   Valores Desconsiderados_x000D_
-----------------------------_x000D_
22 / 10_2 : 121 (510)_x000D_
_x000D_
  TOTAL   : ( 121 )</t>
        </r>
      </text>
    </comment>
    <comment ref="AB99" authorId="0" shapeId="0" xr:uid="{C098D9E9-67F8-48B0-A1E2-2E3A34563B84}">
      <text>
        <r>
          <rPr>
            <sz val="10"/>
            <color indexed="81"/>
            <rFont val="Lucida Console"/>
            <family val="3"/>
          </rPr>
          <t>Última movimentação no estoque em 04/2023 quantidade 67.</t>
        </r>
      </text>
    </comment>
    <comment ref="R100" authorId="0" shapeId="0" xr:uid="{F3406493-1ABB-48A4-BA29-E4A666F027A6}">
      <text>
        <r>
          <rPr>
            <sz val="10"/>
            <color indexed="81"/>
            <rFont val="Lucida Console"/>
            <family val="3"/>
          </rPr>
          <t>22.09.2020</t>
        </r>
      </text>
    </comment>
    <comment ref="Y100" authorId="0" shapeId="0" xr:uid="{170D5E13-7830-4310-8505-D4F6414FE4E9}">
      <text>
        <r>
          <rPr>
            <sz val="10"/>
            <color indexed="81"/>
            <rFont val="Courier New"/>
            <family val="3"/>
          </rPr>
          <t>_x000D_
    DESCRIÇÃO DO CÁLCULO_x000D_
Código    : 140.051_x000D_
Corte     : 130_x000D_
-----------------------------_x000D_
Pendente  : _x000D_
22 / 08_2 : _x000D_
22 / 09_2 : 130 (corte = 132)_x000D_
22 / 10_2 : _x000D_
22 / 11_2 : _x000D_
22 / 12_2 : 100_x000D_
23 / 01_2 : _x000D_
23 / 02_2 : _x000D_
23 / 03_2 : _x000D_
23 / 04_2 : 104_x000D_
23 / 05_2 : _x000D_
23 / 06_2 : _x000D_
23 / 07_2 : _x000D_
_x000D_
    TOTAL : ( 334 )_x000D_
  DIVISOR : 12_x000D_
    MÉDIA : 27,83_x000D_
-----------------------------_x000D_
   Valores Desconsiderados_x000D_
-----------------------------_x000D_
22 / 09_2 : 2 (132)_x000D_
_x000D_
  TOTAL   : ( 2 )</t>
        </r>
      </text>
    </comment>
    <comment ref="AB100" authorId="0" shapeId="0" xr:uid="{46B5E885-65B6-4960-9DD6-EA0226CF019D}">
      <text>
        <r>
          <rPr>
            <sz val="10"/>
            <color indexed="81"/>
            <rFont val="Lucida Console"/>
            <family val="3"/>
          </rPr>
          <t>Última movimentação no estoque em 04/2023 quantidade 104.</t>
        </r>
      </text>
    </comment>
    <comment ref="R101" authorId="0" shapeId="0" xr:uid="{4DD9C711-41DA-4831-867B-867FA56316D7}">
      <text>
        <r>
          <rPr>
            <sz val="10"/>
            <color indexed="81"/>
            <rFont val="Lucida Console"/>
            <family val="3"/>
          </rPr>
          <t>22.09.2020</t>
        </r>
      </text>
    </comment>
    <comment ref="Y101" authorId="0" shapeId="0" xr:uid="{4FCB246A-1D1B-4405-B28C-22DD0F6C09C7}">
      <text>
        <r>
          <rPr>
            <sz val="10"/>
            <color indexed="81"/>
            <rFont val="Courier New"/>
            <family val="3"/>
          </rPr>
          <t>_x000D_
    DESCRIÇÃO DO CÁLCULO_x000D_
Código    : 140.032_x000D_
Corte     : 160_x000D_
-----------------------------_x000D_
Pendente  : 3_x000D_
22 / 08_2 : 160 (corte = 231)_x000D_
22 / 09_2 : 26_x000D_
22 / 10_2 : 13_x000D_
22 / 11_2 : 15_x000D_
22 / 12_2 : 23_x000D_
23 / 01_2 : 39_x000D_
23 / 02_2 : 25_x000D_
23 / 03_2 : 23_x000D_
23 / 04_2 : 17_x000D_
23 / 05_2 : 16_x000D_
23 / 06_2 : 50_x000D_
23 / 07_2 : 30_x000D_
_x000D_
    TOTAL : ( 440 )_x000D_
  DIVISOR : 12_x000D_
    MÉDIA : 36,67_x000D_
-----------------------------_x000D_
   Valores Desconsiderados_x000D_
-----------------------------_x000D_
22 / 08_2 : 71 (231)_x000D_
_x000D_
  TOTAL   : ( 71 )</t>
        </r>
      </text>
    </comment>
    <comment ref="AB101" authorId="0" shapeId="0" xr:uid="{01BEAED0-4312-4F2B-BDB3-2297275851DF}">
      <text>
        <r>
          <rPr>
            <sz val="10"/>
            <color indexed="81"/>
            <rFont val="Lucida Console"/>
            <family val="3"/>
          </rPr>
          <t>Última movimentação no estoque em 07/2023 quantidade 30.</t>
        </r>
      </text>
    </comment>
    <comment ref="R102" authorId="0" shapeId="0" xr:uid="{0850726B-1ECC-404F-9A90-F30EC23E0FF7}">
      <text>
        <r>
          <rPr>
            <sz val="10"/>
            <color indexed="81"/>
            <rFont val="Lucida Console"/>
            <family val="3"/>
          </rPr>
          <t>22.09.2020</t>
        </r>
      </text>
    </comment>
    <comment ref="Y102" authorId="0" shapeId="0" xr:uid="{9E218091-695A-4937-876C-746E4A82CF51}">
      <text>
        <r>
          <rPr>
            <sz val="10"/>
            <color indexed="81"/>
            <rFont val="Courier New"/>
            <family val="3"/>
          </rPr>
          <t>_x000D_
    DESCRIÇÃO DO CÁLCULO_x000D_
Código    : 140.030_x000D_
Corte     : 22_x000D_
-----------------------------_x000D_
Pendente  : _x000D_
22 / 08_2 : 6_x000D_
22 / 09_2 : 7_x000D_
22 / 10_2 : 6_x000D_
22 / 11_2 : 3_x000D_
22 / 12_2 : 4_x000D_
23 / 01_2 : 6_x000D_
23 / 02_2 : 3_x000D_
23 / 03_2 : 2_x000D_
23 / 04_2 : 7_x000D_
23 / 05_2 : 4_x000D_
23 / 06_2 : 14_x000D_
23 / 07_2 : 22 (corte = 29)_x000D_
_x000D_
    TOTAL : ( 84 )_x000D_
  DIVISOR : 12_x000D_
    MÉDIA : 7,00_x000D_
-----------------------------_x000D_
   Valores Desconsiderados_x000D_
-----------------------------_x000D_
23 / 07_2 : 7 (29)_x000D_
_x000D_
  TOTAL   : ( 7 )</t>
        </r>
      </text>
    </comment>
    <comment ref="AB102" authorId="0" shapeId="0" xr:uid="{A1CE06C7-5CD6-4641-83BE-62282C0536A9}">
      <text>
        <r>
          <rPr>
            <sz val="10"/>
            <color indexed="81"/>
            <rFont val="Lucida Console"/>
            <family val="3"/>
          </rPr>
          <t>Última movimentação no estoque em 07/2023 quantidade 29.</t>
        </r>
      </text>
    </comment>
    <comment ref="R103" authorId="0" shapeId="0" xr:uid="{A621873E-E2E1-4490-A5CE-BA81D1120766}">
      <text>
        <r>
          <rPr>
            <sz val="10"/>
            <color indexed="81"/>
            <rFont val="Lucida Console"/>
            <family val="3"/>
          </rPr>
          <t>28.10.2020</t>
        </r>
      </text>
    </comment>
    <comment ref="Y103" authorId="0" shapeId="0" xr:uid="{850ED286-704B-48FA-A03D-5F2B49F6BC22}">
      <text>
        <r>
          <rPr>
            <sz val="10"/>
            <color indexed="81"/>
            <rFont val="Courier New"/>
            <family val="3"/>
          </rPr>
          <t>_x000D_
    DESCRIÇÃO DO CÁLCULO_x000D_
Código    : 140.242_x000D_
Corte     : 389_x000D_
-----------------------------_x000D_
Pendente  : _x000D_
22 / 08_2 : _x000D_
22 / 09_2 : _x000D_
22 / 10_2 : _x000D_
22 / 11_2 : 135_x000D_
22 / 12_2 : 100_x000D_
23 / 01_2 : 250_x000D_
23 / 02_2 : _x000D_
23 / 03_2 : _x000D_
23 / 04_2 : _x000D_
23 / 05_2 : 389 (corte = 500)_x000D_
23 / 06_2 : _x000D_
23 / 07_2 : _x000D_
_x000D_
    TOTAL : ( 874 )_x000D_
  DIVISOR : 12_x000D_
    MÉDIA : 72,83_x000D_
-----------------------------_x000D_
   Valores Desconsiderados_x000D_
-----------------------------_x000D_
23 / 05_2 : 111 (500)_x000D_
_x000D_
  TOTAL   : ( 111 )</t>
        </r>
      </text>
    </comment>
    <comment ref="AB103" authorId="0" shapeId="0" xr:uid="{A57F5090-56A0-4B27-A2C2-6DBA6196D385}">
      <text>
        <r>
          <rPr>
            <sz val="10"/>
            <color indexed="81"/>
            <rFont val="Lucida Console"/>
            <family val="3"/>
          </rPr>
          <t>Última movimentação no estoque em 05/2023 quantidade 500.</t>
        </r>
      </text>
    </comment>
    <comment ref="R104" authorId="0" shapeId="0" xr:uid="{47BEF945-C9A2-424E-9360-193C14A8C0C4}">
      <text>
        <r>
          <rPr>
            <sz val="10"/>
            <color indexed="81"/>
            <rFont val="Lucida Console"/>
            <family val="3"/>
          </rPr>
          <t>22.09.2020</t>
        </r>
      </text>
    </comment>
    <comment ref="Y104" authorId="0" shapeId="0" xr:uid="{EBC95617-DF7E-47FB-9A77-E49592469211}">
      <text>
        <r>
          <rPr>
            <sz val="10"/>
            <color indexed="81"/>
            <rFont val="Courier New"/>
            <family val="3"/>
          </rPr>
          <t>_x000D_
    DESCRIÇÃO DO CÁLCULO_x000D_
Código    : 140.052_x000D_
Corte     : 720_x000D_
-----------------------------_x000D_
Pendente  : _x000D_
22 / 08_2 : _x000D_
22 / 09_2 : _x000D_
22 / 10_2 : 270_x000D_
22 / 11_2 : 150_x000D_
22 / 12_2 : 300_x000D_
23 / 01_2 : 475_x000D_
23 / 02_2 : 5_x000D_
23 / 03_2 : _x000D_
23 / 04_2 : _x000D_
23 / 05_2 : 720 (corte = 879)_x000D_
23 / 06_2 : _x000D_
23 / 07_2 : _x000D_
_x000D_
    TOTAL : ( 1.920 )_x000D_
  DIVISOR : 12_x000D_
    MÉDIA : 160,00_x000D_
-----------------------------_x000D_
   Valores Desconsiderados_x000D_
-----------------------------_x000D_
23 / 05_2 : 159 (879)_x000D_
_x000D_
  TOTAL   : ( 159 )</t>
        </r>
      </text>
    </comment>
    <comment ref="AB104" authorId="0" shapeId="0" xr:uid="{455FE79A-90B0-4E88-A195-3AF10A466F8B}">
      <text>
        <r>
          <rPr>
            <sz val="10"/>
            <color indexed="81"/>
            <rFont val="Lucida Console"/>
            <family val="3"/>
          </rPr>
          <t>Última movimentação no estoque em 05/2023 quantidade 879.</t>
        </r>
      </text>
    </comment>
    <comment ref="R105" authorId="0" shapeId="0" xr:uid="{F2D57730-CC98-4A81-93FC-FB6D55072630}">
      <text>
        <r>
          <rPr>
            <sz val="10"/>
            <color indexed="81"/>
            <rFont val="Lucida Console"/>
            <family val="3"/>
          </rPr>
          <t>22.09.2020</t>
        </r>
      </text>
    </comment>
    <comment ref="Y105" authorId="0" shapeId="0" xr:uid="{E0FC19A7-A0B8-4A61-A23B-8C5145E4ED80}">
      <text>
        <r>
          <rPr>
            <sz val="10"/>
            <color indexed="81"/>
            <rFont val="Courier New"/>
            <family val="3"/>
          </rPr>
          <t>_x000D_
    DESCRIÇÃO DO CÁLCULO_x000D_
Código    : 140.053_x000D_
Corte     : 300_x000D_
-----------------------------_x000D_
Pendente  : 64_x000D_
22 / 08_2 : _x000D_
22 / 09_2 : _x000D_
22 / 10_2 : _x000D_
22 / 11_2 : 135_x000D_
22 / 12_2 : 100_x000D_
23 / 01_2 : 300 (corte = 356)_x000D_
23 / 02_2 : _x000D_
23 / 03_2 : _x000D_
23 / 04_2 : _x000D_
23 / 05_2 : 236_x000D_
23 / 06_2 : _x000D_
23 / 07_2 : _x000D_
_x000D_
    TOTAL : ( 835 )_x000D_
  DIVISOR : 12_x000D_
    MÉDIA : 69,58_x000D_
-----------------------------_x000D_
   Valores Desconsiderados_x000D_
-----------------------------_x000D_
23 / 01_2 : 56 (356)_x000D_
_x000D_
  TOTAL   : ( 56 )</t>
        </r>
      </text>
    </comment>
    <comment ref="AB105" authorId="0" shapeId="0" xr:uid="{1B54E582-808B-44A9-A0EF-BF978EAAE1A6}">
      <text>
        <r>
          <rPr>
            <sz val="10"/>
            <color indexed="81"/>
            <rFont val="Lucida Console"/>
            <family val="3"/>
          </rPr>
          <t>Última movimentação no estoque em 05/2023 quantidade 236.</t>
        </r>
      </text>
    </comment>
    <comment ref="R106" authorId="0" shapeId="0" xr:uid="{50585A17-FDB4-4056-8436-76FEE44E965B}">
      <text>
        <r>
          <rPr>
            <sz val="10"/>
            <color indexed="81"/>
            <rFont val="Lucida Console"/>
            <family val="3"/>
          </rPr>
          <t>22.09.2020</t>
        </r>
      </text>
    </comment>
    <comment ref="Y106" authorId="0" shapeId="0" xr:uid="{14880F5D-2E82-4F13-AD32-D5DF2CC45EDB}">
      <text>
        <r>
          <rPr>
            <sz val="10"/>
            <color indexed="81"/>
            <rFont val="Courier New"/>
            <family val="3"/>
          </rPr>
          <t>_x000D_
    DESCRIÇÃO DO CÁLCULO_x000D_
Código    : 140.056_x000D_
Corte     : 20_x000D_
-----------------------------_x000D_
Pendente  : _x000D_
22 / 08_2 : _x000D_
22 / 09_2 : _x000D_
22 / 10_2 : _x000D_
22 / 11_2 : _x000D_
22 / 12_2 : 20 (corte = 30)_x000D_
23 / 01_2 : _x000D_
23 / 02_2 : _x000D_
23 / 03_2 : _x000D_
23 / 04_2 : _x000D_
23 / 05_2 : _x000D_
23 / 06_2 : 5_x000D_
23 / 07_2 : _x000D_
_x000D_
    TOTAL : ( 25 )_x000D_
  DIVISOR : 12_x000D_
    MÉDIA : 2,08_x000D_
-----------------------------_x000D_
   Valores Desconsiderados_x000D_
-----------------------------_x000D_
22 / 12_2 : 10 (30)_x000D_
_x000D_
  TOTAL   : ( 10 )</t>
        </r>
      </text>
    </comment>
    <comment ref="AB106" authorId="0" shapeId="0" xr:uid="{55A7659F-A98E-4AFE-837B-2BE6CE21B4DA}">
      <text>
        <r>
          <rPr>
            <sz val="10"/>
            <color indexed="81"/>
            <rFont val="Lucida Console"/>
            <family val="3"/>
          </rPr>
          <t>Última movimentação no estoque em 06/2023 quantidade 5.</t>
        </r>
      </text>
    </comment>
    <comment ref="R107" authorId="0" shapeId="0" xr:uid="{1038F9E7-994B-4051-933C-302BCA8A0CE8}">
      <text>
        <r>
          <rPr>
            <sz val="10"/>
            <color indexed="81"/>
            <rFont val="Lucida Console"/>
            <family val="3"/>
          </rPr>
          <t>22.09.2020</t>
        </r>
      </text>
    </comment>
    <comment ref="Y107" authorId="0" shapeId="0" xr:uid="{472C72B6-A41E-4ECD-99F4-4FF58F8E1499}">
      <text>
        <r>
          <rPr>
            <sz val="10"/>
            <color indexed="81"/>
            <rFont val="Courier New"/>
            <family val="3"/>
          </rPr>
          <t>_x000D_
    DESCRIÇÃO DO CÁLCULO_x000D_
Código    : 140.055_x000D_
Corte     : 100_x000D_
-----------------------------_x000D_
Pendente  : _x000D_
22 / 08_2 : _x000D_
22 / 09_2 : 3_x000D_
22 / 10_2 : _x000D_
22 / 11_2 : 100 (corte = 150)_x000D_
22 / 12_2 : _x000D_
23 / 01_2 : 16_x000D_
23 / 02_2 : _x000D_
23 / 03_2 : _x000D_
23 / 04_2 : _x000D_
23 / 05_2 : _x000D_
23 / 06_2 : _x000D_
23 / 07_2 : _x000D_
_x000D_
    TOTAL : ( 119 )_x000D_
  DIVISOR : 12_x000D_
    MÉDIA : 9,92_x000D_
-----------------------------_x000D_
   Valores Desconsiderados_x000D_
-----------------------------_x000D_
22 / 11_2 : 50 (150)_x000D_
_x000D_
  TOTAL   : ( 50 )</t>
        </r>
      </text>
    </comment>
    <comment ref="AB107" authorId="0" shapeId="0" xr:uid="{CE9A954E-072B-4BA1-B791-C0E5E064E712}">
      <text>
        <r>
          <rPr>
            <sz val="10"/>
            <color indexed="81"/>
            <rFont val="Lucida Console"/>
            <family val="3"/>
          </rPr>
          <t>Última movimentação no estoque em 01/2023 quantidade 16.</t>
        </r>
      </text>
    </comment>
    <comment ref="R108" authorId="0" shapeId="0" xr:uid="{3D7C6634-8200-4584-A764-751D339F70CA}">
      <text>
        <r>
          <rPr>
            <sz val="10"/>
            <color indexed="81"/>
            <rFont val="Lucida Console"/>
            <family val="3"/>
          </rPr>
          <t>22.09.2020</t>
        </r>
      </text>
    </comment>
    <comment ref="Y108" authorId="0" shapeId="0" xr:uid="{7A0C6508-259C-4765-B0F1-F18072846440}">
      <text>
        <r>
          <rPr>
            <sz val="10"/>
            <color indexed="81"/>
            <rFont val="Courier New"/>
            <family val="3"/>
          </rPr>
          <t>_x000D_
    DESCRIÇÃO DO CÁLCULO_x000D_
Código    : 140.054_x000D_
Corte     : 208_x000D_
-----------------------------_x000D_
Pendente  : _x000D_
22 / 08_2 : _x000D_
22 / 09_2 : _x000D_
22 / 10_2 : _x000D_
22 / 11_2 : _x000D_
22 / 12_2 : 30_x000D_
23 / 01_2 : 10_x000D_
23 / 02_2 : _x000D_
23 / 03_2 : _x000D_
23 / 04_2 : _x000D_
23 / 05_2 : 208 (corte = 307)_x000D_
23 / 06_2 : 53_x000D_
23 / 07_2 : _x000D_
_x000D_
    TOTAL : ( 301 )_x000D_
  DIVISOR : 12_x000D_
    MÉDIA : 25,08_x000D_
-----------------------------_x000D_
   Valores Desconsiderados_x000D_
-----------------------------_x000D_
23 / 05_2 : 99 (307)_x000D_
_x000D_
  TOTAL   : ( 99 )</t>
        </r>
      </text>
    </comment>
    <comment ref="AB108" authorId="0" shapeId="0" xr:uid="{61598532-189F-41B5-BB3B-32B6C8B59699}">
      <text>
        <r>
          <rPr>
            <sz val="10"/>
            <color indexed="81"/>
            <rFont val="Lucida Console"/>
            <family val="3"/>
          </rPr>
          <t>Última movimentação no estoque em 06/2023 quantidade 53.</t>
        </r>
      </text>
    </comment>
    <comment ref="R109" authorId="0" shapeId="0" xr:uid="{FC089E4C-61CB-4381-81B3-B4B6F020F04D}">
      <text>
        <r>
          <rPr>
            <sz val="10"/>
            <color indexed="81"/>
            <rFont val="Lucida Console"/>
            <family val="3"/>
          </rPr>
          <t>22.09.2020</t>
        </r>
      </text>
    </comment>
    <comment ref="Y109" authorId="0" shapeId="0" xr:uid="{CC70D860-3D9F-400B-B659-575A94C8486E}">
      <text>
        <r>
          <rPr>
            <sz val="10"/>
            <color indexed="81"/>
            <rFont val="Courier New"/>
            <family val="3"/>
          </rPr>
          <t>_x000D_
    DESCRIÇÃO DO CÁLCULO_x000D_
Código    : 140.033_x000D_
Corte     : 37_x000D_
-----------------------------_x000D_
Pendente  : _x000D_
22 / 08_2 : 20_x000D_
22 / 09_2 : 14_x000D_
22 / 10_2 : 7_x000D_
22 / 11_2 : 7_x000D_
22 / 12_2 : 14_x000D_
23 / 01_2 : 19_x000D_
23 / 02_2 : 15_x000D_
23 / 03_2 : 26_x000D_
23 / 04_2 : 20_x000D_
23 / 05_2 : 37 (corte = 40)_x000D_
23 / 06_2 : 28_x000D_
23 / 07_2 : 22_x000D_
_x000D_
    TOTAL : ( 229 )_x000D_
  DIVISOR : 12_x000D_
    MÉDIA : 19,08_x000D_
-----------------------------_x000D_
   Valores Desconsiderados_x000D_
-----------------------------_x000D_
23 / 05_2 : 3 (40)_x000D_
_x000D_
  TOTAL   : ( 3 )</t>
        </r>
      </text>
    </comment>
    <comment ref="AB109" authorId="0" shapeId="0" xr:uid="{956AB5EA-BD7B-4523-A106-AA44C592D8A5}">
      <text>
        <r>
          <rPr>
            <sz val="10"/>
            <color indexed="81"/>
            <rFont val="Lucida Console"/>
            <family val="3"/>
          </rPr>
          <t>Última movimentação no estoque em 07/2023 quantidade 22.</t>
        </r>
      </text>
    </comment>
    <comment ref="R110" authorId="0" shapeId="0" xr:uid="{0BD3CA7E-E937-4E50-9245-E8DD503F6DEC}">
      <text>
        <r>
          <rPr>
            <sz val="10"/>
            <color indexed="81"/>
            <rFont val="Lucida Console"/>
            <family val="3"/>
          </rPr>
          <t>22.09.2020</t>
        </r>
      </text>
    </comment>
    <comment ref="Y110" authorId="0" shapeId="0" xr:uid="{AC1E1C1D-BE01-4931-B9B8-A0E1AADFD39C}">
      <text>
        <r>
          <rPr>
            <sz val="10"/>
            <color indexed="81"/>
            <rFont val="Courier New"/>
            <family val="3"/>
          </rPr>
          <t>_x000D_
    DESCRIÇÃO DO CÁLCULO_x000D_
Código    : 140.035_x000D_
Corte     : 19_x000D_
-----------------------------_x000D_
Pendente  : _x000D_
22 / 08_2 : 9_x000D_
22 / 09_2 : 2_x000D_
22 / 10_2 : 3_x000D_
22 / 11_2 : 2_x000D_
22 / 12_2 : 5_x000D_
23 / 01_2 : 7_x000D_
23 / 02_2 : 7_x000D_
23 / 03_2 : 10_x000D_
23 / 04_2 : 7_x000D_
23 / 05_2 : 19_x000D_
23 / 06_2 : 4_x000D_
23 / 07_2 : 18_x000D_
_x000D_
    TOTAL : ( 93 )_x000D_
  DIVISOR : 12_x000D_
    MÉDIA : 7,75</t>
        </r>
      </text>
    </comment>
    <comment ref="AB110" authorId="0" shapeId="0" xr:uid="{B19CBE43-D8A7-4C08-A858-6A41942A7159}">
      <text>
        <r>
          <rPr>
            <sz val="10"/>
            <color indexed="81"/>
            <rFont val="Lucida Console"/>
            <family val="3"/>
          </rPr>
          <t>Última movimentação no estoque em 07/2023 quantidade 18.</t>
        </r>
      </text>
    </comment>
    <comment ref="R111" authorId="0" shapeId="0" xr:uid="{7B361C63-45F3-45BB-A012-49EF991E26A7}">
      <text>
        <r>
          <rPr>
            <sz val="10"/>
            <color indexed="81"/>
            <rFont val="Lucida Console"/>
            <family val="3"/>
          </rPr>
          <t>22.09.2020</t>
        </r>
      </text>
    </comment>
    <comment ref="Y111" authorId="0" shapeId="0" xr:uid="{76C0612E-5A2A-44EE-985A-25C81B853B58}">
      <text>
        <r>
          <rPr>
            <sz val="10"/>
            <color indexed="81"/>
            <rFont val="Courier New"/>
            <family val="3"/>
          </rPr>
          <t>_x000D_
    DESCRIÇÃO DO CÁLCULO_x000D_
Código    : 140.057_x000D_
Corte     : 752_x000D_
-----------------------------_x000D_
Pendente  : _x000D_
22 / 08_2 : _x000D_
22 / 09_2 : _x000D_
22 / 10_2 : _x000D_
22 / 11_2 : 100_x000D_
22 / 12_2 : 50_x000D_
23 / 01_2 : 490_x000D_
23 / 02_2 : _x000D_
23 / 03_2 : _x000D_
23 / 04_2 : _x000D_
23 / 05_2 : 752 (corte = 1000)_x000D_
23 / 06_2 : 120_x000D_
23 / 07_2 : _x000D_
_x000D_
    TOTAL : ( 1.512 )_x000D_
  DIVISOR : 12_x000D_
    MÉDIA : 126,00_x000D_
-----------------------------_x000D_
   Valores Desconsiderados_x000D_
-----------------------------_x000D_
23 / 05_2 : 248 (1.000)_x000D_
_x000D_
  TOTAL   : ( 248 )</t>
        </r>
      </text>
    </comment>
    <comment ref="AB111" authorId="0" shapeId="0" xr:uid="{83F9BD6A-D0E8-4F4B-86D3-3A2D88E9B259}">
      <text>
        <r>
          <rPr>
            <sz val="10"/>
            <color indexed="81"/>
            <rFont val="Lucida Console"/>
            <family val="3"/>
          </rPr>
          <t>Última movimentação no estoque em 06/2023 quantidade 120.</t>
        </r>
      </text>
    </comment>
    <comment ref="R112" authorId="0" shapeId="0" xr:uid="{372FFCB3-653F-40C1-AF59-0361B55B2A10}">
      <text>
        <r>
          <rPr>
            <sz val="10"/>
            <color indexed="81"/>
            <rFont val="Lucida Console"/>
            <family val="3"/>
          </rPr>
          <t>05.10.2020</t>
        </r>
      </text>
    </comment>
    <comment ref="Y112" authorId="0" shapeId="0" xr:uid="{2854ED0D-F120-45DF-93B4-B7FB74DE396A}">
      <text>
        <r>
          <rPr>
            <sz val="10"/>
            <color indexed="81"/>
            <rFont val="Courier New"/>
            <family val="3"/>
          </rPr>
          <t>_x000D_
    DESCRIÇÃO DO CÁLCULO_x000D_
Código    : 140.126_x000D_
Corte     : 141_x000D_
-----------------------------_x000D_
Pendente  : _x000D_
22 / 08_2 : 130_x000D_
22 / 09_2 : 50_x000D_
22 / 10_2 : _x000D_
22 / 11_2 : 75_x000D_
22 / 12_2 : 100_x000D_
23 / 01_2 : _x000D_
23 / 02_2 : _x000D_
23 / 03_2 : _x000D_
23 / 04_2 : 110_x000D_
23 / 05_2 : _x000D_
23 / 06_2 : 5_x000D_
23 / 07_2 : 26_x000D_
_x000D_
    TOTAL : ( 496 )_x000D_
  DIVISOR : 12_x000D_
    MÉDIA : 41,33</t>
        </r>
      </text>
    </comment>
    <comment ref="AB112" authorId="0" shapeId="0" xr:uid="{99498F3E-D7CA-4694-BF21-8702EF832FF2}">
      <text>
        <r>
          <rPr>
            <sz val="10"/>
            <color indexed="81"/>
            <rFont val="Lucida Console"/>
            <family val="3"/>
          </rPr>
          <t>Última movimentação no estoque em 07/2023 quantidade 26.</t>
        </r>
      </text>
    </comment>
    <comment ref="R113" authorId="0" shapeId="0" xr:uid="{2511B30A-2190-41BC-BD7D-49381244254B}">
      <text>
        <r>
          <rPr>
            <sz val="10"/>
            <color indexed="81"/>
            <rFont val="Lucida Console"/>
            <family val="3"/>
          </rPr>
          <t>22.09.2020</t>
        </r>
      </text>
    </comment>
    <comment ref="Y113" authorId="0" shapeId="0" xr:uid="{0F9667F4-6E11-4AAC-8801-792906EC34FC}">
      <text>
        <r>
          <rPr>
            <sz val="10"/>
            <color indexed="81"/>
            <rFont val="Courier New"/>
            <family val="3"/>
          </rPr>
          <t>_x000D_
    DESCRIÇÃO DO CÁLCULO_x000D_
Código    : 140.036_x000D_
Corte     : 26_x000D_
-----------------------------_x000D_
Pendente  : 21_x000D_
22 / 08_2 : 6_x000D_
22 / 09_2 : 12_x000D_
22 / 10_2 : 4_x000D_
22 / 11_2 : 8_x000D_
22 / 12_2 : 18_x000D_
23 / 01_2 : 23_x000D_
23 / 02_2 : 14_x000D_
23 / 03_2 : _x000D_
23 / 04_2 : _x000D_
23 / 05_2 : _x000D_
23 / 06_2 : _x000D_
23 / 07_2 : _x000D_
_x000D_
    TOTAL : ( 106 )_x000D_
  DIVISOR : 12_x000D_
    MÉDIA : 8,83</t>
        </r>
      </text>
    </comment>
    <comment ref="AB113" authorId="0" shapeId="0" xr:uid="{78880BBD-470B-4167-9E50-A97AF4939559}">
      <text>
        <r>
          <rPr>
            <sz val="10"/>
            <color indexed="81"/>
            <rFont val="Lucida Console"/>
            <family val="3"/>
          </rPr>
          <t>Última movimentação no estoque em 02/2023 quantidade 14.</t>
        </r>
      </text>
    </comment>
    <comment ref="R114" authorId="0" shapeId="0" xr:uid="{318E5D36-AAD9-479A-96BF-FC8D6E6847AF}">
      <text>
        <r>
          <rPr>
            <sz val="10"/>
            <color indexed="81"/>
            <rFont val="Lucida Console"/>
            <family val="3"/>
          </rPr>
          <t>22.09.2020</t>
        </r>
      </text>
    </comment>
    <comment ref="Y114" authorId="0" shapeId="0" xr:uid="{07BEAD8C-2D21-4702-BD2C-F1259A2AC415}">
      <text>
        <r>
          <rPr>
            <sz val="10"/>
            <color indexed="81"/>
            <rFont val="Courier New"/>
            <family val="3"/>
          </rPr>
          <t>_x000D_
    DESCRIÇÃO DO CÁLCULO_x000D_
Código    : 140.038_x000D_
Corte     : 8_x000D_
-----------------------------_x000D_
Pendente  : _x000D_
22 / 08_2 : 3_x000D_
22 / 09_2 : 3_x000D_
22 / 10_2 : 1_x000D_
22 / 11_2 : 3_x000D_
22 / 12_2 : 4_x000D_
23 / 01_2 : 8 (corte = 10)_x000D_
23 / 02_2 : 4_x000D_
23 / 03_2 : 4_x000D_
23 / 04_2 : _x000D_
23 / 05_2 : 5_x000D_
23 / 06_2 : 2_x000D_
23 / 07_2 : _x000D_
_x000D_
    TOTAL : ( 37 )_x000D_
  DIVISOR : 12_x000D_
    MÉDIA : 3,08_x000D_
-----------------------------_x000D_
   Valores Desconsiderados_x000D_
-----------------------------_x000D_
23 / 01_2 : 2 (10)_x000D_
_x000D_
  TOTAL   : ( 2 )</t>
        </r>
      </text>
    </comment>
    <comment ref="AB114" authorId="0" shapeId="0" xr:uid="{52EFE8F1-CD8A-488D-98C6-13060C920569}">
      <text>
        <r>
          <rPr>
            <sz val="10"/>
            <color indexed="81"/>
            <rFont val="Lucida Console"/>
            <family val="3"/>
          </rPr>
          <t>Última movimentação no estoque em 06/2023 quantidade 2.</t>
        </r>
      </text>
    </comment>
    <comment ref="R115" authorId="0" shapeId="0" xr:uid="{7765EEEC-F3E5-48B4-AA26-E5FC71FB2B72}">
      <text>
        <r>
          <rPr>
            <sz val="10"/>
            <color indexed="81"/>
            <rFont val="Lucida Console"/>
            <family val="3"/>
          </rPr>
          <t>22.09.2020</t>
        </r>
      </text>
    </comment>
    <comment ref="Y115" authorId="0" shapeId="0" xr:uid="{2797FA83-F0FF-46C2-8863-088F6D95C174}">
      <text>
        <r>
          <rPr>
            <sz val="10"/>
            <color indexed="81"/>
            <rFont val="Courier New"/>
            <family val="3"/>
          </rPr>
          <t>_x000D_
    DESCRIÇÃO DO CÁLCULO_x000D_
Código    : 140.058_x000D_
Corte     : 56_x000D_
-----------------------------_x000D_
Pendente  : _x000D_
22 / 08_2 : 40_x000D_
22 / 09_2 : _x000D_
22 / 10_2 : _x000D_
22 / 11_2 : 56 (corte = 75)_x000D_
22 / 12_2 : _x000D_
23 / 01_2 : _x000D_
23 / 02_2 : _x000D_
23 / 03_2 : _x000D_
23 / 04_2 : _x000D_
23 / 05_2 : _x000D_
23 / 06_2 : 3_x000D_
23 / 07_2 : _x000D_
_x000D_
    TOTAL : ( 99 )_x000D_
  DIVISOR : 12_x000D_
    MÉDIA : 8,25_x000D_
-----------------------------_x000D_
   Valores Desconsiderados_x000D_
-----------------------------_x000D_
22 / 11_2 : 19 (75)_x000D_
_x000D_
  TOTAL   : ( 19 )</t>
        </r>
      </text>
    </comment>
    <comment ref="AB115" authorId="0" shapeId="0" xr:uid="{3626D1E1-A6D4-43CE-8007-FD696236C7FE}">
      <text>
        <r>
          <rPr>
            <sz val="10"/>
            <color indexed="81"/>
            <rFont val="Lucida Console"/>
            <family val="3"/>
          </rPr>
          <t>Última movimentação no estoque em 06/2023 quantidade 3.</t>
        </r>
      </text>
    </comment>
    <comment ref="R116" authorId="0" shapeId="0" xr:uid="{B79F6DC8-A0BE-4C9E-BA20-EA0EC1854743}">
      <text>
        <r>
          <rPr>
            <sz val="10"/>
            <color indexed="81"/>
            <rFont val="Lucida Console"/>
            <family val="3"/>
          </rPr>
          <t>22.09.2020</t>
        </r>
      </text>
    </comment>
    <comment ref="Y116" authorId="0" shapeId="0" xr:uid="{F3EA8BCB-74C0-4930-948C-AE9B8A70B097}">
      <text>
        <r>
          <rPr>
            <sz val="10"/>
            <color indexed="81"/>
            <rFont val="Courier New"/>
            <family val="3"/>
          </rPr>
          <t>_x000D_
    DESCRIÇÃO DO CÁLCULO_x000D_
Código    : 140.059_x000D_
Corte     : 212_x000D_
-----------------------------_x000D_
Pendente  : _x000D_
22 / 08_2 : 212 (corte = 300)_x000D_
22 / 09_2 : _x000D_
22 / 10_2 : _x000D_
22 / 11_2 : _x000D_
22 / 12_2 : 105_x000D_
23 / 01_2 : _x000D_
23 / 02_2 : _x000D_
23 / 03_2 : _x000D_
23 / 04_2 : _x000D_
23 / 05_2 : _x000D_
23 / 06_2 : 10_x000D_
23 / 07_2 : 20_x000D_
_x000D_
    TOTAL : ( 347 )_x000D_
  DIVISOR : 12_x000D_
    MÉDIA : 28,92_x000D_
-----------------------------_x000D_
   Valores Desconsiderados_x000D_
-----------------------------_x000D_
22 / 08_2 : 88 (300)_x000D_
_x000D_
  TOTAL   : ( 88 )</t>
        </r>
      </text>
    </comment>
    <comment ref="AB116" authorId="0" shapeId="0" xr:uid="{81628BDE-2E3E-482D-9C36-95246A9D3887}">
      <text>
        <r>
          <rPr>
            <sz val="10"/>
            <color indexed="81"/>
            <rFont val="Lucida Console"/>
            <family val="3"/>
          </rPr>
          <t>Última movimentação no estoque em 07/2023 quantidade 20.</t>
        </r>
      </text>
    </comment>
    <comment ref="R117" authorId="0" shapeId="0" xr:uid="{32A2DBDC-AA83-43C1-98F6-AF4A36B8A15A}">
      <text>
        <r>
          <rPr>
            <sz val="10"/>
            <color indexed="81"/>
            <rFont val="Lucida Console"/>
            <family val="3"/>
          </rPr>
          <t>22.09.2020</t>
        </r>
      </text>
    </comment>
    <comment ref="Y117" authorId="0" shapeId="0" xr:uid="{D4906F8B-CDE3-4D36-BD54-7786C511D9EC}">
      <text>
        <r>
          <rPr>
            <sz val="10"/>
            <color indexed="81"/>
            <rFont val="Courier New"/>
            <family val="3"/>
          </rPr>
          <t>_x000D_
    DESCRIÇÃO DO CÁLCULO_x000D_
Código    : 140.060_x000D_
Corte     : 273_x000D_
-----------------------------_x000D_
Pendente  : _x000D_
22 / 08_2 : 90_x000D_
22 / 09_2 : _x000D_
22 / 10_2 : _x000D_
22 / 11_2 : _x000D_
22 / 12_2 : _x000D_
23 / 01_2 : _x000D_
23 / 02_2 : _x000D_
23 / 03_2 : _x000D_
23 / 04_2 : 273 (corte = 400)_x000D_
23 / 05_2 : _x000D_
23 / 06_2 : 12_x000D_
23 / 07_2 : _x000D_
_x000D_
    TOTAL : ( 375 )_x000D_
  DIVISOR : 12_x000D_
    MÉDIA : 31,25_x000D_
-----------------------------_x000D_
   Valores Desconsiderados_x000D_
-----------------------------_x000D_
23 / 04_2 : 127 (400)_x000D_
_x000D_
  TOTAL   : ( 127 )</t>
        </r>
      </text>
    </comment>
    <comment ref="AB117" authorId="0" shapeId="0" xr:uid="{83BF7709-E2F8-44C0-9652-DE4C54E37A2D}">
      <text>
        <r>
          <rPr>
            <sz val="10"/>
            <color indexed="81"/>
            <rFont val="Lucida Console"/>
            <family val="3"/>
          </rPr>
          <t>Última movimentação no estoque em 06/2023 quantidade 12.</t>
        </r>
      </text>
    </comment>
    <comment ref="R118" authorId="0" shapeId="0" xr:uid="{F552A128-219A-48E2-BFD9-93DF7794DD0E}">
      <text>
        <r>
          <rPr>
            <sz val="10"/>
            <color indexed="81"/>
            <rFont val="Lucida Console"/>
            <family val="3"/>
          </rPr>
          <t>28.10.2020</t>
        </r>
      </text>
    </comment>
    <comment ref="Y118" authorId="0" shapeId="0" xr:uid="{B426E7B0-EF20-416C-9201-E5BC0A82CAFF}">
      <text>
        <r>
          <rPr>
            <sz val="10"/>
            <color indexed="81"/>
            <rFont val="Courier New"/>
            <family val="3"/>
          </rPr>
          <t>_x000D_
    DESCRIÇÃO DO CÁLCULO_x000D_
Código    : 140.241_x000D_
Corte     : 466_x000D_
-----------------------------_x000D_
Pendente  : _x000D_
22 / 08_2 : 50_x000D_
22 / 09_2 : 280_x000D_
22 / 10_2 : _x000D_
22 / 11_2 : 128_x000D_
22 / 12_2 : 100_x000D_
23 / 01_2 : 50_x000D_
23 / 02_2 : _x000D_
23 / 03_2 : 50_x000D_
23 / 04_2 : 404_x000D_
23 / 05_2 : 300_x000D_
23 / 06_2 : 420_x000D_
23 / 07_2 : _x000D_
_x000D_
    TOTAL : ( 1.782 )_x000D_
  DIVISOR : 12_x000D_
    MÉDIA : 148,50</t>
        </r>
      </text>
    </comment>
    <comment ref="AB118" authorId="0" shapeId="0" xr:uid="{D6658DEC-486C-4E43-B243-7BF19E291569}">
      <text>
        <r>
          <rPr>
            <sz val="10"/>
            <color indexed="81"/>
            <rFont val="Lucida Console"/>
            <family val="3"/>
          </rPr>
          <t>Última movimentação no estoque em 06/2023 quantidade 420.</t>
        </r>
      </text>
    </comment>
    <comment ref="R119" authorId="0" shapeId="0" xr:uid="{7E29CEF6-06C3-44E2-9780-FB2E55070EC8}">
      <text>
        <r>
          <rPr>
            <sz val="10"/>
            <color indexed="81"/>
            <rFont val="Lucida Console"/>
            <family val="3"/>
          </rPr>
          <t>22.09.2020</t>
        </r>
      </text>
    </comment>
    <comment ref="Y119" authorId="0" shapeId="0" xr:uid="{7B6B75D6-2FFC-43EE-A8C9-B82FC1CB87D8}">
      <text>
        <r>
          <rPr>
            <sz val="10"/>
            <color indexed="81"/>
            <rFont val="Courier New"/>
            <family val="3"/>
          </rPr>
          <t>_x000D_
    DESCRIÇÃO DO CÁLCULO_x000D_
Código    : 140.063_x000D_
Corte     : 1.385_x000D_
-----------------------------_x000D_
Pendente  : 579_x000D_
22 / 08_2 : 450_x000D_
22 / 09_2 : 470_x000D_
22 / 10_2 : 800_x000D_
22 / 11_2 : 575_x000D_
22 / 12_2 : 600_x000D_
23 / 01_2 : 1.100_x000D_
23 / 02_2 : 310_x000D_
23 / 03_2 : 1.300_x000D_
23 / 04_2 : 846_x000D_
23 / 05_2 : 770_x000D_
23 / 06_2 : 124_x000D_
23 / 07_2 : _x000D_
_x000D_
    TOTAL : ( 7.924 )_x000D_
  DIVISOR : 12_x000D_
    MÉDIA : 660,33</t>
        </r>
      </text>
    </comment>
    <comment ref="AB119" authorId="0" shapeId="0" xr:uid="{9A046F2B-C778-43E0-BC69-F126C0F1DED0}">
      <text>
        <r>
          <rPr>
            <sz val="10"/>
            <color indexed="81"/>
            <rFont val="Lucida Console"/>
            <family val="3"/>
          </rPr>
          <t>Última movimentação no estoque em 06/2023 quantidade 124.</t>
        </r>
      </text>
    </comment>
    <comment ref="R120" authorId="0" shapeId="0" xr:uid="{D5B98CCA-54C3-4F69-8DD9-4494D6D72FC7}">
      <text>
        <r>
          <rPr>
            <sz val="10"/>
            <color indexed="81"/>
            <rFont val="Lucida Console"/>
            <family val="3"/>
          </rPr>
          <t>25.02.2019</t>
        </r>
      </text>
    </comment>
    <comment ref="Y120" authorId="0" shapeId="0" xr:uid="{D74A1090-6436-45BE-890D-F7F4E8A1BFB4}">
      <text>
        <r>
          <rPr>
            <sz val="10"/>
            <color indexed="81"/>
            <rFont val="Courier New"/>
            <family val="3"/>
          </rPr>
          <t>_x000D_
    DESCRIÇÃO DO CÁLCULO_x000D_
Código    : 136.564_x000D_
Corte     : 4.994_x000D_
-----------------------------_x000D_
Pendente  : _x000D_
22 / 08_2 : 1.220_x000D_
22 / 09_2 : 1.525_x000D_
22 / 10_2 : 3.355_x000D_
22 / 11_2 : 610_x000D_
22 / 12_2 : 3.355_x000D_
23 / 01_2 : 4.575_x000D_
23 / 02_2 : 3.965_x000D_
23 / 03_2 : 2.440_x000D_
23 / 04_2 : 2.745_x000D_
23 / 05_2 : 3.050_x000D_
23 / 06_2 : 1.525_x000D_
23 / 07_2 : 3.050_x000D_
_x000D_
    TOTAL : ( 31.415 )_x000D_
  DIVISOR : 12_x000D_
    MÉDIA : 2.617,92</t>
        </r>
      </text>
    </comment>
    <comment ref="AB120" authorId="0" shapeId="0" xr:uid="{8F3692D1-9373-474A-8D8C-5C7FF9CF048E}">
      <text>
        <r>
          <rPr>
            <sz val="10"/>
            <color indexed="81"/>
            <rFont val="Lucida Console"/>
            <family val="3"/>
          </rPr>
          <t>Última movimentação no estoque em 07/2023 quantidade 3.050.</t>
        </r>
      </text>
    </comment>
    <comment ref="R121" authorId="0" shapeId="0" xr:uid="{D4A38268-4FC9-4962-9BDE-20C2503F9C83}">
      <text>
        <r>
          <rPr>
            <sz val="10"/>
            <color indexed="81"/>
            <rFont val="Lucida Console"/>
            <family val="3"/>
          </rPr>
          <t>01.01.1901</t>
        </r>
      </text>
    </comment>
    <comment ref="Y121" authorId="0" shapeId="0" xr:uid="{414C65F9-653F-41B4-9368-14FA783CEAE9}">
      <text>
        <r>
          <rPr>
            <sz val="10"/>
            <color indexed="81"/>
            <rFont val="Courier New"/>
            <family val="3"/>
          </rPr>
          <t>_x000D_
    DESCRIÇÃO DO CÁLCULO_x000D_
Código    : 13.180_x000D_
Corte     : 204_x000D_
-----------------------------_x000D_
Pendente  : 1_x000D_
22 / 08_2 : 18_x000D_
22 / 09_2 : 13_x000D_
22 / 10_2 : 3_x000D_
22 / 11_2 : 13_x000D_
22 / 12_2 : 4_x000D_
23 / 01_2 : 6_x000D_
23 / 02_2 : 204 (corte = 309)_x000D_
23 / 03_2 : 28_x000D_
23 / 04_2 : 44_x000D_
23 / 05_2 : _x000D_
23 / 06_2 : _x000D_
23 / 07_2 : _x000D_
_x000D_
    TOTAL : ( 334 )_x000D_
  DIVISOR : 12_x000D_
    MÉDIA : 27,83_x000D_
-----------------------------_x000D_
   Valores Desconsiderados_x000D_
-----------------------------_x000D_
23 / 02_2 : 105 (309)_x000D_
_x000D_
  TOTAL   : ( 105 )</t>
        </r>
      </text>
    </comment>
    <comment ref="AB121" authorId="0" shapeId="0" xr:uid="{12E458F5-3B50-405A-863E-DD85DC7A842C}">
      <text>
        <r>
          <rPr>
            <sz val="10"/>
            <color indexed="81"/>
            <rFont val="Lucida Console"/>
            <family val="3"/>
          </rPr>
          <t>Última movimentação no estoque em 04/2023 quantidade 44.</t>
        </r>
      </text>
    </comment>
    <comment ref="R122" authorId="0" shapeId="0" xr:uid="{D26E30CA-8677-4DA0-81F8-5387A795CC3C}">
      <text>
        <r>
          <rPr>
            <sz val="10"/>
            <color indexed="81"/>
            <rFont val="Lucida Console"/>
            <family val="3"/>
          </rPr>
          <t>01.01.1901</t>
        </r>
      </text>
    </comment>
    <comment ref="Y122" authorId="0" shapeId="0" xr:uid="{2CFD5876-A393-4D50-A10F-FF95F382E0D0}">
      <text>
        <r>
          <rPr>
            <sz val="10"/>
            <color indexed="81"/>
            <rFont val="Courier New"/>
            <family val="3"/>
          </rPr>
          <t>_x000D_
    DESCRIÇÃO DO CÁLCULO_x000D_
Código    : 17.704_x000D_
Corte     : 30_x000D_
-----------------------------_x000D_
Pendente  : 1_x000D_
22 / 08_2 : 29_x000D_
22 / 09_2 : 14_x000D_
22 / 10_2 : 6_x000D_
22 / 11_2 : 7_x000D_
22 / 12_2 : 5_x000D_
23 / 01_2 : 14_x000D_
23 / 02_2 : 11_x000D_
23 / 03_2 : 17_x000D_
23 / 04_2 : 13_x000D_
23 / 05_2 : 7_x000D_
23 / 06_2 : 3_x000D_
23 / 07_2 : 27_x000D_
_x000D_
    TOTAL : ( 154 )_x000D_
  DIVISOR : 12_x000D_
    MÉDIA : 12,83</t>
        </r>
      </text>
    </comment>
    <comment ref="AB122" authorId="0" shapeId="0" xr:uid="{AF0A4402-FEFB-40E0-BBF5-627397F62EEF}">
      <text>
        <r>
          <rPr>
            <sz val="10"/>
            <color indexed="81"/>
            <rFont val="Lucida Console"/>
            <family val="3"/>
          </rPr>
          <t>Última movimentação no estoque em 07/2023 quantidade 27.</t>
        </r>
      </text>
    </comment>
    <comment ref="R123" authorId="0" shapeId="0" xr:uid="{882036D9-BC5F-4ABF-8550-642127E7B32B}">
      <text>
        <r>
          <rPr>
            <sz val="10"/>
            <color indexed="81"/>
            <rFont val="Lucida Console"/>
            <family val="3"/>
          </rPr>
          <t>01.01.1901</t>
        </r>
      </text>
    </comment>
    <comment ref="Y123" authorId="0" shapeId="0" xr:uid="{73CB3B6C-D97D-4AE9-B2AC-198210426B8A}">
      <text>
        <r>
          <rPr>
            <sz val="10"/>
            <color indexed="81"/>
            <rFont val="Courier New"/>
            <family val="3"/>
          </rPr>
          <t>_x000D_
    DESCRIÇÃO DO CÁLCULO_x000D_
Código    : 13.181_x000D_
Corte     : 16_x000D_
-----------------------------_x000D_
Pendente  : 1_x000D_
22 / 08_2 : 15_x000D_
22 / 09_2 : 5_x000D_
22 / 10_2 : 3_x000D_
22 / 11_2 : 6_x000D_
22 / 12_2 : 7_x000D_
23 / 01_2 : 6_x000D_
23 / 02_2 : 2_x000D_
23 / 03_2 : 6_x000D_
23 / 04_2 : 12_x000D_
23 / 05_2 : 4_x000D_
23 / 06_2 : 5_x000D_
23 / 07_2 : 15_x000D_
_x000D_
    TOTAL : ( 87 )_x000D_
  DIVISOR : 12_x000D_
    MÉDIA : 7,25</t>
        </r>
      </text>
    </comment>
    <comment ref="AB123" authorId="0" shapeId="0" xr:uid="{DC3EC9D7-0748-4DF7-BCB3-A9CDAB43189E}">
      <text>
        <r>
          <rPr>
            <sz val="10"/>
            <color indexed="81"/>
            <rFont val="Lucida Console"/>
            <family val="3"/>
          </rPr>
          <t>Última movimentação no estoque em 07/2023 quantidade 15.</t>
        </r>
      </text>
    </comment>
    <comment ref="R124" authorId="0" shapeId="0" xr:uid="{40F68434-BA37-4555-AB22-B4893B5F4D4C}">
      <text>
        <r>
          <rPr>
            <sz val="10"/>
            <color indexed="81"/>
            <rFont val="Lucida Console"/>
            <family val="3"/>
          </rPr>
          <t>12.09.2019</t>
        </r>
      </text>
    </comment>
    <comment ref="Y124" authorId="0" shapeId="0" xr:uid="{AB948153-5CDE-4A83-BB6D-58EE290C0C95}">
      <text>
        <r>
          <rPr>
            <sz val="10"/>
            <color indexed="81"/>
            <rFont val="Courier New"/>
            <family val="3"/>
          </rPr>
          <t>_x000D_
    DESCRIÇÃO DO CÁLCULO_x000D_
Código    : 138.453_x000D_
Corte     : 1.407_x000D_
-----------------------------_x000D_
Pendente  : 43_x000D_
22 / 08_2 : 842_x000D_
22 / 09_2 : 765_x000D_
22 / 10_2 : 769_x000D_
22 / 11_2 : 723_x000D_
22 / 12_2 : 445_x000D_
23 / 01_2 : 75_x000D_
23 / 02_2 : 580_x000D_
23 / 03_2 : 1.388_x000D_
23 / 04_2 : 848_x000D_
23 / 05_2 : 834_x000D_
23 / 06_2 : 661_x000D_
23 / 07_2 : 630_x000D_
_x000D_
    TOTAL : ( 8.603 )_x000D_
  DIVISOR : 12_x000D_
    MÉDIA : 716,92</t>
        </r>
      </text>
    </comment>
    <comment ref="AB124" authorId="0" shapeId="0" xr:uid="{3D251075-C00C-4C52-810D-D0B2949D23AB}">
      <text>
        <r>
          <rPr>
            <sz val="10"/>
            <color indexed="81"/>
            <rFont val="Lucida Console"/>
            <family val="3"/>
          </rPr>
          <t>Última movimentação no estoque em 07/2023 quantidade 630.</t>
        </r>
      </text>
    </comment>
    <comment ref="R125" authorId="0" shapeId="0" xr:uid="{59AE22D6-A216-4613-B2BD-5FEFA3620A6A}">
      <text>
        <r>
          <rPr>
            <sz val="10"/>
            <color indexed="81"/>
            <rFont val="Lucida Console"/>
            <family val="3"/>
          </rPr>
          <t>12.09.2019</t>
        </r>
      </text>
    </comment>
    <comment ref="Y125" authorId="0" shapeId="0" xr:uid="{6E5CD768-9C28-4AEE-B700-EA59D935E2B4}">
      <text>
        <r>
          <rPr>
            <sz val="10"/>
            <color indexed="81"/>
            <rFont val="Courier New"/>
            <family val="3"/>
          </rPr>
          <t>_x000D_
    DESCRIÇÃO DO CÁLCULO_x000D_
Código    : 138.454_x000D_
Corte     : 5.114_x000D_
-----------------------------_x000D_
Pendente  : 3.743_x000D_
22 / 08_2 : 285_x000D_
22 / 09_2 : 265_x000D_
22 / 10_2 : 277_x000D_
22 / 11_2 : 244_x000D_
22 / 12_2 : 174_x000D_
23 / 01_2 : 39_x000D_
23 / 02_2 : 461_x000D_
23 / 03_2 : 4.026_x000D_
23 / 04_2 : 5.114 (corte = 5618)_x000D_
23 / 05_2 : 433_x000D_
23 / 06_2 : 309_x000D_
23 / 07_2 : 258_x000D_
_x000D_
    TOTAL : ( 15.628 )_x000D_
  DIVISOR : 12_x000D_
    MÉDIA : 1.302,33_x000D_
-----------------------------_x000D_
   Valores Desconsiderados_x000D_
-----------------------------_x000D_
23 / 04_2 : 504 (5.618)_x000D_
_x000D_
  TOTAL   : ( 504 )</t>
        </r>
      </text>
    </comment>
    <comment ref="AB125" authorId="0" shapeId="0" xr:uid="{0A74F79F-AC0F-452F-B8A8-70BABC2F9985}">
      <text>
        <r>
          <rPr>
            <sz val="10"/>
            <color indexed="81"/>
            <rFont val="Lucida Console"/>
            <family val="3"/>
          </rPr>
          <t>Última movimentação no estoque em 07/2023 quantidade 258.</t>
        </r>
      </text>
    </comment>
    <comment ref="R126" authorId="0" shapeId="0" xr:uid="{A25223C9-70FE-4271-8F88-001510050BB8}">
      <text>
        <r>
          <rPr>
            <sz val="10"/>
            <color indexed="81"/>
            <rFont val="Lucida Console"/>
            <family val="3"/>
          </rPr>
          <t>12.09.2019</t>
        </r>
      </text>
    </comment>
    <comment ref="Y126" authorId="0" shapeId="0" xr:uid="{9FD8126E-78D7-45D5-95D6-A718E33D1EEF}">
      <text>
        <r>
          <rPr>
            <sz val="10"/>
            <color indexed="81"/>
            <rFont val="Courier New"/>
            <family val="3"/>
          </rPr>
          <t>_x000D_
    DESCRIÇÃO DO CÁLCULO_x000D_
Código    : 138.456_x000D_
Corte     : 22.463_x000D_
-----------------------------_x000D_
Pendente  : 34_x000D_
22 / 08_2 : 557_x000D_
22 / 09_2 : 322_x000D_
22 / 10_2 : 350_x000D_
22 / 11_2 : 377_x000D_
22 / 12_2 : 541_x000D_
23 / 01_2 : 22.463 (corte = 34890)_x000D_
23 / 02_2 : 816_x000D_
23 / 03_2 : 723_x000D_
23 / 04_2 : 465_x000D_
23 / 05_2 : 346_x000D_
23 / 06_2 : 426_x000D_
23 / 07_2 : 405_x000D_
_x000D_
    TOTAL : ( 27.825 )_x000D_
  DIVISOR : 12_x000D_
    MÉDIA : 2.318,75_x000D_
-----------------------------_x000D_
   Valores Desconsiderados_x000D_
-----------------------------_x000D_
23 / 01_2 : 12.427 (34.890)_x000D_
_x000D_
  TOTAL   : ( 12.427 )</t>
        </r>
      </text>
    </comment>
    <comment ref="AB126" authorId="0" shapeId="0" xr:uid="{FF211D6F-99B9-40FF-89CB-C47BBC1A17BD}">
      <text>
        <r>
          <rPr>
            <sz val="10"/>
            <color indexed="81"/>
            <rFont val="Lucida Console"/>
            <family val="3"/>
          </rPr>
          <t>Última movimentação no estoque em 07/2023 quantidade 405.</t>
        </r>
      </text>
    </comment>
    <comment ref="R127" authorId="0" shapeId="0" xr:uid="{780E50F0-DE11-4C37-AEF5-509DC5CEE80F}">
      <text>
        <r>
          <rPr>
            <sz val="10"/>
            <color indexed="81"/>
            <rFont val="Lucida Console"/>
            <family val="3"/>
          </rPr>
          <t>12.09.2019</t>
        </r>
      </text>
    </comment>
    <comment ref="Y127" authorId="0" shapeId="0" xr:uid="{7087463B-5E4F-40F5-AA4D-A35485C2581D}">
      <text>
        <r>
          <rPr>
            <sz val="10"/>
            <color indexed="81"/>
            <rFont val="Courier New"/>
            <family val="3"/>
          </rPr>
          <t>_x000D_
    DESCRIÇÃO DO CÁLCULO_x000D_
Código    : 138.458_x000D_
Corte     : 1.157_x000D_
-----------------------------_x000D_
Pendente  : 10_x000D_
22 / 08_2 : 667_x000D_
22 / 09_2 : 709_x000D_
22 / 10_2 : 803_x000D_
22 / 11_2 : 651_x000D_
22 / 12_2 : 410_x000D_
23 / 01_2 : 113_x000D_
23 / 02_2 : 577_x000D_
23 / 03_2 : 954_x000D_
23 / 04_2 : 812_x000D_
23 / 05_2 : 561_x000D_
23 / 06_2 : 670_x000D_
23 / 07_2 : 558_x000D_
_x000D_
    TOTAL : ( 7.495 )_x000D_
  DIVISOR : 12_x000D_
    MÉDIA : 624,58</t>
        </r>
      </text>
    </comment>
    <comment ref="AB127" authorId="0" shapeId="0" xr:uid="{EB1D22F6-645F-49EC-A268-5646C24CB43B}">
      <text>
        <r>
          <rPr>
            <sz val="10"/>
            <color indexed="81"/>
            <rFont val="Lucida Console"/>
            <family val="3"/>
          </rPr>
          <t>Última movimentação no estoque em 07/2023 quantidade 558.</t>
        </r>
      </text>
    </comment>
    <comment ref="R128" authorId="0" shapeId="0" xr:uid="{AE4C14A8-BE34-4F8A-A384-ACA56874CF4B}">
      <text>
        <r>
          <rPr>
            <sz val="10"/>
            <color indexed="81"/>
            <rFont val="Lucida Console"/>
            <family val="3"/>
          </rPr>
          <t>12.09.2019</t>
        </r>
      </text>
    </comment>
    <comment ref="Y128" authorId="0" shapeId="0" xr:uid="{E31C0F46-AB53-4633-819B-C0BAF247E934}">
      <text>
        <r>
          <rPr>
            <sz val="10"/>
            <color indexed="81"/>
            <rFont val="Courier New"/>
            <family val="3"/>
          </rPr>
          <t>_x000D_
    DESCRIÇÃO DO CÁLCULO_x000D_
Código    : 138.457_x000D_
Corte     : 50_x000D_
-----------------------------_x000D_
Pendente  : 1_x000D_
22 / 08_2 : 17_x000D_
22 / 09_2 : 18_x000D_
22 / 10_2 : 13_x000D_
22 / 11_2 : 22_x000D_
22 / 12_2 : 17_x000D_
23 / 01_2 : 10_x000D_
23 / 02_2 : 15_x000D_
23 / 03_2 : 37_x000D_
23 / 04_2 : 26_x000D_
23 / 05_2 : 25_x000D_
23 / 06_2 : 26_x000D_
23 / 07_2 : 50 (corte = 56)_x000D_
_x000D_
    TOTAL : ( 277 )_x000D_
  DIVISOR : 12_x000D_
    MÉDIA : 23,08_x000D_
-----------------------------_x000D_
   Valores Desconsiderados_x000D_
-----------------------------_x000D_
23 / 07_2 : 6 (56)_x000D_
_x000D_
  TOTAL   : ( 6 )</t>
        </r>
      </text>
    </comment>
    <comment ref="AB128" authorId="0" shapeId="0" xr:uid="{FD3EFF31-831E-49A2-988F-DE90C328709A}">
      <text>
        <r>
          <rPr>
            <sz val="10"/>
            <color indexed="81"/>
            <rFont val="Lucida Console"/>
            <family val="3"/>
          </rPr>
          <t>Última movimentação no estoque em 07/2023 quantidade 56.</t>
        </r>
      </text>
    </comment>
    <comment ref="R129" authorId="0" shapeId="0" xr:uid="{D19223D1-ADC1-48DD-96E4-801BCD64E4B8}">
      <text>
        <r>
          <rPr>
            <sz val="10"/>
            <color indexed="81"/>
            <rFont val="Lucida Console"/>
            <family val="3"/>
          </rPr>
          <t>01.01.1901</t>
        </r>
      </text>
    </comment>
    <comment ref="Y129" authorId="0" shapeId="0" xr:uid="{350896C7-6533-4F11-B8FE-FC2B9D4060D8}">
      <text>
        <r>
          <rPr>
            <sz val="10"/>
            <color indexed="81"/>
            <rFont val="Courier New"/>
            <family val="3"/>
          </rPr>
          <t>_x000D_
    DESCRIÇÃO DO CÁLCULO_x000D_
Código    : 10.719_x000D_
Corte     : 6.152_x000D_
-----------------------------_x000D_
Pendente  : 89_x000D_
22 / 08_2 : 4.160_x000D_
22 / 09_2 : 4.317_x000D_
22 / 10_2 : 3.831_x000D_
22 / 11_2 : 3.815_x000D_
22 / 12_2 : 2.396_x000D_
23 / 01_2 : 1.269_x000D_
23 / 02_2 : 3.281_x000D_
23 / 03_2 : 4.731_x000D_
23 / 04_2 : 3.722_x000D_
23 / 05_2 : 3.646_x000D_
23 / 06_2 : 3.842_x000D_
23 / 07_2 : 3.538_x000D_
_x000D_
    TOTAL : ( 42.637 )_x000D_
  DIVISOR : 12_x000D_
    MÉDIA : 3.553,08</t>
        </r>
      </text>
    </comment>
    <comment ref="AB129" authorId="0" shapeId="0" xr:uid="{35537BC3-78F2-40A8-B9C9-AA2272737431}">
      <text>
        <r>
          <rPr>
            <sz val="10"/>
            <color indexed="81"/>
            <rFont val="Lucida Console"/>
            <family val="3"/>
          </rPr>
          <t>Última movimentação no estoque em 07/2023 quantidade 3.538.</t>
        </r>
      </text>
    </comment>
    <comment ref="R130" authorId="0" shapeId="0" xr:uid="{E2F0E6F1-4C24-48C4-BFCF-B590CEF53D83}">
      <text>
        <r>
          <rPr>
            <sz val="10"/>
            <color indexed="81"/>
            <rFont val="Lucida Console"/>
            <family val="3"/>
          </rPr>
          <t>07.11.2007</t>
        </r>
      </text>
    </comment>
    <comment ref="Y130" authorId="0" shapeId="0" xr:uid="{B114321C-9124-4576-8B6A-44F173252543}">
      <text>
        <r>
          <rPr>
            <sz val="10"/>
            <color indexed="81"/>
            <rFont val="Courier New"/>
            <family val="3"/>
          </rPr>
          <t>_x000D_
    DESCRIÇÃO DO CÁLCULO_x000D_
Código    : 103.142_x000D_
Corte     : 2_x000D_
-----------------------------_x000D_
Pendente  : _x000D_
22 / 08_2 : 2_x000D_
22 / 09_2 : _x000D_
22 / 10_2 : _x000D_
22 / 11_2 : 1_x000D_
22 / 12_2 : _x000D_
23 / 01_2 : _x000D_
23 / 02_2 : 1_x000D_
23 / 03_2 : 2_x000D_
23 / 04_2 : _x000D_
23 / 05_2 : _x000D_
23 / 06_2 : 1_x000D_
23 / 07_2 : _x000D_
_x000D_
    TOTAL : ( 7 )_x000D_
  DIVISOR : 12_x000D_
    MÉDIA : ,58</t>
        </r>
      </text>
    </comment>
    <comment ref="AB130" authorId="0" shapeId="0" xr:uid="{1414CD9C-4C95-4CB0-94F4-71AE495D93D9}">
      <text>
        <r>
          <rPr>
            <sz val="10"/>
            <color indexed="81"/>
            <rFont val="Lucida Console"/>
            <family val="3"/>
          </rPr>
          <t>Última movimentação no estoque em 06/2023 quantidade 1.</t>
        </r>
      </text>
    </comment>
    <comment ref="R131" authorId="0" shapeId="0" xr:uid="{106CDFA7-A51E-440A-8B1A-9CA258B5D667}">
      <text>
        <r>
          <rPr>
            <sz val="10"/>
            <color indexed="81"/>
            <rFont val="Lucida Console"/>
            <family val="3"/>
          </rPr>
          <t>01.01.1901</t>
        </r>
      </text>
    </comment>
    <comment ref="Y131" authorId="0" shapeId="0" xr:uid="{E19C0CE4-01F0-4687-920E-0204474178E0}">
      <text>
        <r>
          <rPr>
            <sz val="10"/>
            <color indexed="81"/>
            <rFont val="Courier New"/>
            <family val="3"/>
          </rPr>
          <t>_x000D_
    DESCRIÇÃO DO CÁLCULO_x000D_
Código    : 17.426_x000D_
Corte     : 6_x000D_
-----------------------------_x000D_
Pendente  : 1_x000D_
22 / 08_2 : 2_x000D_
22 / 09_2 : _x000D_
22 / 10_2 : _x000D_
22 / 11_2 : 1_x000D_
22 / 12_2 : _x000D_
23 / 01_2 : _x000D_
23 / 02_2 : 1_x000D_
23 / 03_2 : 6_x000D_
23 / 04_2 : _x000D_
23 / 05_2 : 6 (corte = 8)_x000D_
23 / 06_2 : 1_x000D_
23 / 07_2 : 3_x000D_
_x000D_
    TOTAL : ( 21 )_x000D_
  DIVISOR : 12_x000D_
    MÉDIA : 1,75_x000D_
-----------------------------_x000D_
   Valores Desconsiderados_x000D_
-----------------------------_x000D_
23 / 05_2 : 2 (8)_x000D_
_x000D_
  TOTAL   : ( 2 )</t>
        </r>
      </text>
    </comment>
    <comment ref="AB131" authorId="0" shapeId="0" xr:uid="{868D85F7-C13F-43E5-887E-C60B1E4A3967}">
      <text>
        <r>
          <rPr>
            <sz val="10"/>
            <color indexed="81"/>
            <rFont val="Lucida Console"/>
            <family val="3"/>
          </rPr>
          <t>Última movimentação no estoque em 07/2023 quantidade 3.</t>
        </r>
      </text>
    </comment>
    <comment ref="R132" authorId="0" shapeId="0" xr:uid="{0E90CEC7-DF43-483C-A172-68B599E24C32}">
      <text>
        <r>
          <rPr>
            <sz val="10"/>
            <color indexed="81"/>
            <rFont val="Lucida Console"/>
            <family val="3"/>
          </rPr>
          <t>03.12.2009</t>
        </r>
      </text>
    </comment>
    <comment ref="Y132" authorId="0" shapeId="0" xr:uid="{2F729B01-F454-41AF-A41D-7B88E2B1AF2F}">
      <text>
        <r>
          <rPr>
            <sz val="10"/>
            <color indexed="81"/>
            <rFont val="Courier New"/>
            <family val="3"/>
          </rPr>
          <t>_x000D_
    DESCRIÇÃO DO CÁLCULO_x000D_
Código    : 113.634_x000D_
Corte     : 2_x000D_
-----------------------------_x000D_
Pendente  : _x000D_
22 / 08_2 : _x000D_
22 / 09_2 : _x000D_
22 / 10_2 : _x000D_
22 / 11_2 : 2 (corte = 3)_x000D_
22 / 12_2 : _x000D_
23 / 01_2 : _x000D_
23 / 02_2 : _x000D_
23 / 03_2 : 1_x000D_
23 / 04_2 : _x000D_
23 / 05_2 : _x000D_
23 / 06_2 : _x000D_
23 / 07_2 : _x000D_
_x000D_
    TOTAL : ( 3 )_x000D_
  DIVISOR : 12_x000D_
    MÉDIA : ,25_x000D_
-----------------------------_x000D_
   Valores Desconsiderados_x000D_
-----------------------------_x000D_
22 / 11_2 : 1 (3)_x000D_
_x000D_
  TOTAL   : ( 1 )</t>
        </r>
      </text>
    </comment>
    <comment ref="AB132" authorId="0" shapeId="0" xr:uid="{4C78CF96-0253-483E-9350-C306890CD48E}">
      <text>
        <r>
          <rPr>
            <sz val="10"/>
            <color indexed="81"/>
            <rFont val="Lucida Console"/>
            <family val="3"/>
          </rPr>
          <t>Última movimentação no estoque em 03/2023 quantidade 1.</t>
        </r>
      </text>
    </comment>
    <comment ref="R133" authorId="0" shapeId="0" xr:uid="{D68EE8AC-E98F-4990-BD86-C08FB0CCF791}">
      <text>
        <r>
          <rPr>
            <sz val="10"/>
            <color indexed="81"/>
            <rFont val="Lucida Console"/>
            <family val="3"/>
          </rPr>
          <t>01.01.1901</t>
        </r>
      </text>
    </comment>
    <comment ref="Y133" authorId="0" shapeId="0" xr:uid="{C50053E4-8B82-4A0E-8853-B80FC85EC781}">
      <text>
        <r>
          <rPr>
            <sz val="10"/>
            <color indexed="81"/>
            <rFont val="Courier New"/>
            <family val="3"/>
          </rPr>
          <t>_x000D_
    DESCRIÇÃO DO CÁLCULO_x000D_
Código    : 12.971_x000D_
Corte     : 66_x000D_
-----------------------------_x000D_
Pendente  : _x000D_
22 / 08_2 : _x000D_
22 / 09_2 : _x000D_
22 / 10_2 : 66 (corte = 100)_x000D_
22 / 11_2 : _x000D_
22 / 12_2 : _x000D_
23 / 01_2 : _x000D_
23 / 02_2 : _x000D_
23 / 03_2 : _x000D_
23 / 04_2 : _x000D_
23 / 05_2 : _x000D_
23 / 06_2 : _x000D_
23 / 07_2 : _x000D_
_x000D_
    TOTAL : ( 66 )_x000D_
  DIVISOR : 12_x000D_
    MÉDIA : 5,50_x000D_
-----------------------------_x000D_
   Valores Desconsiderados_x000D_
-----------------------------_x000D_
22 / 10_2 : 34 (100)_x000D_
_x000D_
  TOTAL   : ( 34 )</t>
        </r>
      </text>
    </comment>
    <comment ref="AB133" authorId="0" shapeId="0" xr:uid="{F1273A89-55E1-4D2E-B1EE-478A3FD5AC85}">
      <text>
        <r>
          <rPr>
            <sz val="10"/>
            <color indexed="81"/>
            <rFont val="Lucida Console"/>
            <family val="3"/>
          </rPr>
          <t>Última movimentação no estoque em 10/2022 quantidade 100.</t>
        </r>
      </text>
    </comment>
    <comment ref="R134" authorId="0" shapeId="0" xr:uid="{3E45ECF9-DFC3-464C-B050-FBA17E9E96E9}">
      <text>
        <r>
          <rPr>
            <sz val="10"/>
            <color indexed="81"/>
            <rFont val="Lucida Console"/>
            <family val="3"/>
          </rPr>
          <t>01.01.1901</t>
        </r>
      </text>
    </comment>
    <comment ref="Y134" authorId="0" shapeId="0" xr:uid="{E53E6A57-21FB-46B4-8218-C2B6DA88B3BB}">
      <text>
        <r>
          <rPr>
            <sz val="10"/>
            <color indexed="81"/>
            <rFont val="Courier New"/>
            <family val="3"/>
          </rPr>
          <t>_x000D_
    DESCRIÇÃO DO CÁLCULO_x000D_
Código    : 13.768_x000D_
Corte     : 629_x000D_
-----------------------------_x000D_
Pendente  : 25_x000D_
22 / 08_2 : 310_x000D_
22 / 09_2 : 342_x000D_
22 / 10_2 : 605_x000D_
22 / 11_2 : 405_x000D_
22 / 12_2 : 285_x000D_
23 / 01_2 : 266_x000D_
23 / 02_2 : 411_x000D_
23 / 03_2 : 471_x000D_
23 / 04_2 : 351_x000D_
23 / 05_2 : 325_x000D_
23 / 06_2 : 287_x000D_
23 / 07_2 : 252_x000D_
_x000D_
    TOTAL : ( 4.335 )_x000D_
  DIVISOR : 12_x000D_
    MÉDIA : 361,25</t>
        </r>
      </text>
    </comment>
    <comment ref="AB134" authorId="0" shapeId="0" xr:uid="{E4FED952-81F8-438B-A281-2176F595681E}">
      <text>
        <r>
          <rPr>
            <sz val="10"/>
            <color indexed="81"/>
            <rFont val="Lucida Console"/>
            <family val="3"/>
          </rPr>
          <t>Última movimentação no estoque em 07/2023 quantidade 252.</t>
        </r>
      </text>
    </comment>
    <comment ref="R135" authorId="0" shapeId="0" xr:uid="{4F4018A8-63E8-4C94-93B8-246D13F32115}">
      <text>
        <r>
          <rPr>
            <sz val="10"/>
            <color indexed="81"/>
            <rFont val="Lucida Console"/>
            <family val="3"/>
          </rPr>
          <t>17.09.2010</t>
        </r>
      </text>
    </comment>
    <comment ref="Y135" authorId="0" shapeId="0" xr:uid="{C2E0D60B-4672-4368-9DDD-7FFEE9A78DB5}">
      <text>
        <r>
          <rPr>
            <sz val="10"/>
            <color indexed="81"/>
            <rFont val="Courier New"/>
            <family val="3"/>
          </rPr>
          <t>_x000D_
    DESCRIÇÃO DO CÁLCULO_x000D_
Código    : 117.734_x000D_
Corte     : 1_x000D_
-----------------------------_x000D_
Pendente  : _x000D_
22 / 08_2 : _x000D_
22 / 09_2 : _x000D_
22 / 10_2 : _x000D_
22 / 11_2 : 1 (corte = 2)_x000D_
22 / 12_2 : _x000D_
23 / 01_2 : 1 (corte = 2)_x000D_
23 / 02_2 : _x000D_
23 / 03_2 : _x000D_
23 / 04_2 : _x000D_
23 / 05_2 : _x000D_
23 / 06_2 : _x000D_
23 / 07_2 : _x000D_
_x000D_
    TOTAL : ( 2 )_x000D_
  DIVISOR : 12_x000D_
    MÉDIA : ,17_x000D_
-----------------------------_x000D_
   Valores Desconsiderados_x000D_
-----------------------------_x000D_
22 / 11_2 : 1 (2)_x000D_
23 / 01_2 : 1 (2)_x000D_
_x000D_
  TOTAL   : ( 2 )</t>
        </r>
      </text>
    </comment>
    <comment ref="AB135" authorId="0" shapeId="0" xr:uid="{76701270-B872-489C-A309-892242DED45E}">
      <text>
        <r>
          <rPr>
            <sz val="10"/>
            <color indexed="81"/>
            <rFont val="Lucida Console"/>
            <family val="3"/>
          </rPr>
          <t>Última movimentação no estoque em 01/2023 quantidade 2.</t>
        </r>
      </text>
    </comment>
    <comment ref="R136" authorId="0" shapeId="0" xr:uid="{82673142-9688-488D-A293-5C3C90E62E33}">
      <text>
        <r>
          <rPr>
            <sz val="10"/>
            <color indexed="81"/>
            <rFont val="Lucida Console"/>
            <family val="3"/>
          </rPr>
          <t>01.01.1901</t>
        </r>
      </text>
    </comment>
    <comment ref="Y136" authorId="0" shapeId="0" xr:uid="{B6B71A3D-A6E0-41D1-B54A-C9E0F727C792}">
      <text>
        <r>
          <rPr>
            <sz val="10"/>
            <color indexed="81"/>
            <rFont val="Courier New"/>
            <family val="3"/>
          </rPr>
          <t>_x000D_
    DESCRIÇÃO DO CÁLCULO_x000D_
Código    : 13.092_x000D_
Corte     : 10_x000D_
-----------------------------_x000D_
Pendente  : _x000D_
22 / 08_2 : 9_x000D_
22 / 09_2 : 1_x000D_
22 / 10_2 : _x000D_
22 / 11_2 : 3_x000D_
22 / 12_2 : 5_x000D_
23 / 01_2 : 6_x000D_
23 / 02_2 : 1_x000D_
23 / 03_2 : 2_x000D_
23 / 04_2 : _x000D_
23 / 05_2 : _x000D_
23 / 06_2 : _x000D_
23 / 07_2 : 10_x000D_
_x000D_
    TOTAL : ( 37 )_x000D_
  DIVISOR : 12_x000D_
    MÉDIA : 3,08</t>
        </r>
      </text>
    </comment>
    <comment ref="AB136" authorId="0" shapeId="0" xr:uid="{F453B580-6C29-4C28-B9FA-810258FAAF61}">
      <text>
        <r>
          <rPr>
            <sz val="10"/>
            <color indexed="81"/>
            <rFont val="Lucida Console"/>
            <family val="3"/>
          </rPr>
          <t>Última movimentação no estoque em 07/2023 quantidade 10.</t>
        </r>
      </text>
    </comment>
    <comment ref="R137" authorId="0" shapeId="0" xr:uid="{BFBFEE8A-50C2-4359-A01C-4634636D7103}">
      <text>
        <r>
          <rPr>
            <sz val="10"/>
            <color indexed="81"/>
            <rFont val="Lucida Console"/>
            <family val="3"/>
          </rPr>
          <t>01.01.1901</t>
        </r>
      </text>
    </comment>
    <comment ref="Y137" authorId="0" shapeId="0" xr:uid="{E61BDC19-C2F3-45B4-A1B0-6CA86C3DB255}">
      <text>
        <r>
          <rPr>
            <sz val="10"/>
            <color indexed="81"/>
            <rFont val="Courier New"/>
            <family val="3"/>
          </rPr>
          <t>_x000D_
    DESCRIÇÃO DO CÁLCULO_x000D_
Código    : 17.422_x000D_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37" authorId="0" shapeId="0" xr:uid="{F7F379D0-BF60-4646-B638-99541AED7963}">
      <text>
        <r>
          <rPr>
            <sz val="10"/>
            <color indexed="81"/>
            <rFont val="Lucida Console"/>
            <family val="3"/>
          </rPr>
          <t>Última movimentação no estoque em 10/2022 quantidade 2.</t>
        </r>
      </text>
    </comment>
    <comment ref="R138" authorId="0" shapeId="0" xr:uid="{B3A29584-CE2D-4CEE-B62D-13C6317D8277}">
      <text>
        <r>
          <rPr>
            <sz val="10"/>
            <color indexed="81"/>
            <rFont val="Lucida Console"/>
            <family val="3"/>
          </rPr>
          <t>01.01.1901</t>
        </r>
      </text>
    </comment>
    <comment ref="Y138" authorId="0" shapeId="0" xr:uid="{F470E3AF-C246-4B7F-90DE-41A4F4021428}">
      <text>
        <r>
          <rPr>
            <sz val="10"/>
            <color indexed="81"/>
            <rFont val="Courier New"/>
            <family val="3"/>
          </rPr>
          <t>_x000D_
    DESCRIÇÃO DO CÁLCULO_x000D_
Código    : 12.763_x000D_
Corte     : 224_x000D_
-----------------------------_x000D_
Pendente  : 51_x000D_
22 / 08_2 : 65_x000D_
22 / 09_2 : 28_x000D_
22 / 10_2 : 145_x000D_
22 / 11_2 : 5_x000D_
22 / 12_2 : _x000D_
23 / 01_2 : 26_x000D_
23 / 02_2 : 111_x000D_
23 / 03_2 : 168_x000D_
23 / 04_2 : 133_x000D_
23 / 05_2 : 217_x000D_
23 / 06_2 : 60_x000D_
23 / 07_2 : 85_x000D_
_x000D_
    TOTAL : ( 1.094 )_x000D_
  DIVISOR : 12_x000D_
    MÉDIA : 91,17</t>
        </r>
      </text>
    </comment>
    <comment ref="AB138" authorId="0" shapeId="0" xr:uid="{8D2AA8D0-8CF0-4E3E-BDDD-1D9D7E469430}">
      <text>
        <r>
          <rPr>
            <sz val="10"/>
            <color indexed="81"/>
            <rFont val="Lucida Console"/>
            <family val="3"/>
          </rPr>
          <t>Última movimentação no estoque em 07/2023 quantidade 85.</t>
        </r>
      </text>
    </comment>
    <comment ref="R139" authorId="0" shapeId="0" xr:uid="{2702870C-B623-4801-82EA-BA8E65D380D8}">
      <text>
        <r>
          <rPr>
            <sz val="10"/>
            <color indexed="81"/>
            <rFont val="Lucida Console"/>
            <family val="3"/>
          </rPr>
          <t>21.02.2008</t>
        </r>
      </text>
    </comment>
    <comment ref="Y139" authorId="0" shapeId="0" xr:uid="{0E35B2F8-7090-4233-81AA-872DC21ABD15}">
      <text>
        <r>
          <rPr>
            <sz val="10"/>
            <color indexed="81"/>
            <rFont val="Courier New"/>
            <family val="3"/>
          </rPr>
          <t>_x000D_
    DESCRIÇÃO DO CÁLCULO_x000D_
Código    : 105.106_x000D_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139" authorId="0" shapeId="0" xr:uid="{45658BF2-FBA1-4326-9BED-A71B6377FBC0}">
      <text>
        <r>
          <rPr>
            <sz val="10"/>
            <color indexed="81"/>
            <rFont val="Lucida Console"/>
            <family val="3"/>
          </rPr>
          <t>Última movimentação no estoque em 01/2023 quantidade 2.</t>
        </r>
      </text>
    </comment>
    <comment ref="R140" authorId="0" shapeId="0" xr:uid="{A8F3D766-EABE-4FD2-946B-995013F00D19}">
      <text>
        <r>
          <rPr>
            <sz val="10"/>
            <color indexed="81"/>
            <rFont val="Lucida Console"/>
            <family val="3"/>
          </rPr>
          <t>21.02.2008</t>
        </r>
      </text>
    </comment>
    <comment ref="Y140" authorId="0" shapeId="0" xr:uid="{3DF89546-02EE-4B20-94C8-4099E4E236E7}">
      <text>
        <r>
          <rPr>
            <sz val="10"/>
            <color indexed="81"/>
            <rFont val="Courier New"/>
            <family val="3"/>
          </rPr>
          <t>_x000D_
    DESCRIÇÃO DO CÁLCULO_x000D_
Código    : 105.107_x000D_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0" authorId="0" shapeId="0" xr:uid="{3F3F851D-8DDC-419A-8261-CA07B6CA52A4}">
      <text>
        <r>
          <rPr>
            <sz val="10"/>
            <color indexed="81"/>
            <rFont val="Lucida Console"/>
            <family val="3"/>
          </rPr>
          <t>Última movimentação no estoque em 03/2023 quantidade 2.</t>
        </r>
      </text>
    </comment>
    <comment ref="R141" authorId="0" shapeId="0" xr:uid="{F6B39D6D-8532-4557-9C88-0D59CD81CC6C}">
      <text>
        <r>
          <rPr>
            <sz val="10"/>
            <color indexed="81"/>
            <rFont val="Lucida Console"/>
            <family val="3"/>
          </rPr>
          <t>21.02.2008</t>
        </r>
      </text>
    </comment>
    <comment ref="Y141" authorId="0" shapeId="0" xr:uid="{8453CC37-E5FC-4012-A0FF-0A36639A8ADC}">
      <text>
        <r>
          <rPr>
            <sz val="10"/>
            <color indexed="81"/>
            <rFont val="Courier New"/>
            <family val="3"/>
          </rPr>
          <t>_x000D_
    DESCRIÇÃO DO CÁLCULO_x000D_
Código    : 105.108_x000D_
Corte     : 2_x000D_
-----------------------------_x000D_
Pendente  : _x000D_
22 / 08_2 : 2_x000D_
22 / 09_2 : _x000D_
22 / 10_2 : _x000D_
22 / 11_2 : _x000D_
22 / 12_2 : _x000D_
23 / 01_2 : 2_x000D_
23 / 02_2 : 2_x000D_
23 / 03_2 : 1_x000D_
23 / 04_2 : _x000D_
23 / 05_2 : _x000D_
23 / 06_2 : _x000D_
23 / 07_2 : _x000D_
_x000D_
    TOTAL : ( 7 )_x000D_
  DIVISOR : 12_x000D_
    MÉDIA : ,58</t>
        </r>
      </text>
    </comment>
    <comment ref="AB141" authorId="0" shapeId="0" xr:uid="{5897EC0B-EA19-48DA-8A52-3616BD17D243}">
      <text>
        <r>
          <rPr>
            <sz val="10"/>
            <color indexed="81"/>
            <rFont val="Lucida Console"/>
            <family val="3"/>
          </rPr>
          <t>Última movimentação no estoque em 03/2023 quantidade 1.</t>
        </r>
      </text>
    </comment>
    <comment ref="R142" authorId="0" shapeId="0" xr:uid="{9D5E07CD-9406-4CF5-B2EE-9836CAD9D839}">
      <text>
        <r>
          <rPr>
            <sz val="10"/>
            <color indexed="81"/>
            <rFont val="Lucida Console"/>
            <family val="3"/>
          </rPr>
          <t>25.06.2008</t>
        </r>
      </text>
    </comment>
    <comment ref="Y142" authorId="0" shapeId="0" xr:uid="{331D7955-E6AA-49F7-9B43-8BE3DEE3D477}">
      <text>
        <r>
          <rPr>
            <sz val="10"/>
            <color indexed="81"/>
            <rFont val="Courier New"/>
            <family val="3"/>
          </rPr>
          <t>_x000D_
    DESCRIÇÃO DO CÁLCULO_x000D_
Código    : 106.917_x000D_
Corte     : _x000D_
-----------------------------_x000D_
Pendente  : 1_x000D_
22 / 08_2 : _x000D_
22 / 09_2 : _x000D_
22 / 10_2 :  (corte = 1)_x000D_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(1)_x000D_
_x000D_
  TOTAL   : ( 1 )</t>
        </r>
      </text>
    </comment>
    <comment ref="AB142" authorId="0" shapeId="0" xr:uid="{7F7BBA18-02A5-4B77-82C1-D1E5C9405E01}">
      <text>
        <r>
          <rPr>
            <sz val="10"/>
            <color indexed="81"/>
            <rFont val="Lucida Console"/>
            <family val="3"/>
          </rPr>
          <t>Última movimentação no estoque em 10/2022 quantidade 1.</t>
        </r>
      </text>
    </comment>
    <comment ref="R143" authorId="0" shapeId="0" xr:uid="{B7708C95-2303-480A-94CD-E90ADA5FFB16}">
      <text>
        <r>
          <rPr>
            <sz val="10"/>
            <color indexed="81"/>
            <rFont val="Lucida Console"/>
            <family val="3"/>
          </rPr>
          <t>25.06.2008</t>
        </r>
      </text>
    </comment>
    <comment ref="Y143" authorId="0" shapeId="0" xr:uid="{65B9507F-538C-4DB6-B75E-AC9FF0711494}">
      <text>
        <r>
          <rPr>
            <sz val="10"/>
            <color indexed="81"/>
            <rFont val="Courier New"/>
            <family val="3"/>
          </rPr>
          <t>_x000D_
    DESCRIÇÃO DO CÁLCULO_x000D_
Código    : 106.918_x000D_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3" authorId="0" shapeId="0" xr:uid="{63D9B562-32C6-4A56-9940-4EB26DEF7DBD}">
      <text>
        <r>
          <rPr>
            <sz val="10"/>
            <color indexed="81"/>
            <rFont val="Lucida Console"/>
            <family val="3"/>
          </rPr>
          <t>Última movimentação no estoque em 07/2023 quantidade 2.</t>
        </r>
      </text>
    </comment>
    <comment ref="R144" authorId="0" shapeId="0" xr:uid="{78C27FBA-ABD1-496A-8617-5AE58A2F84E6}">
      <text>
        <r>
          <rPr>
            <sz val="10"/>
            <color indexed="81"/>
            <rFont val="Lucida Console"/>
            <family val="3"/>
          </rPr>
          <t>21.02.2008</t>
        </r>
      </text>
    </comment>
    <comment ref="Y144" authorId="0" shapeId="0" xr:uid="{E6BEB418-E109-4B4C-810F-5EB4480E0041}">
      <text>
        <r>
          <rPr>
            <sz val="10"/>
            <color indexed="81"/>
            <rFont val="Courier New"/>
            <family val="3"/>
          </rPr>
          <t>_x000D_
    DESCRIÇÃO DO CÁLCULO_x000D_
Código    : 105.110_x000D_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4" authorId="0" shapeId="0" xr:uid="{E9C4D54A-1CD0-4E03-8268-ADDB7DBB14B9}">
      <text>
        <r>
          <rPr>
            <sz val="10"/>
            <color indexed="81"/>
            <rFont val="Lucida Console"/>
            <family val="3"/>
          </rPr>
          <t>Última movimentação no estoque em 07/2023 quantidade 2.</t>
        </r>
      </text>
    </comment>
    <comment ref="R145" authorId="0" shapeId="0" xr:uid="{C681515A-B83F-4B5C-9265-054FAEC5687A}">
      <text>
        <r>
          <rPr>
            <sz val="10"/>
            <color indexed="81"/>
            <rFont val="Lucida Console"/>
            <family val="3"/>
          </rPr>
          <t>09.01.2014</t>
        </r>
      </text>
    </comment>
    <comment ref="Y145" authorId="0" shapeId="0" xr:uid="{62E94F28-DFF7-4A00-9D16-6877EC42E12A}">
      <text>
        <r>
          <rPr>
            <sz val="10"/>
            <color indexed="81"/>
            <rFont val="Courier New"/>
            <family val="3"/>
          </rPr>
          <t>_x000D_
    DESCRIÇÃO DO CÁLCULO_x000D_
Código    : 127.107_x000D_
Corte     : 1_x000D_
-----------------------------_x000D_
Pendente  : _x000D_
22 / 08_2 : _x000D_
22 / 09_2 : _x000D_
22 / 10_2 : 1 (corte = 2)_x000D_
22 / 11_2 : _x000D_
22 / 12_2 : _x000D_
23 / 01_2 : _x000D_
23 / 02_2 : 1 (corte = 2)_x000D_
23 / 03_2 : _x000D_
23 / 04_2 : _x000D_
23 / 05_2 : _x000D_
23 / 06_2 : _x000D_
23 / 07_2 : _x000D_
_x000D_
    TOTAL : ( 2 )_x000D_
  DIVISOR : 12_x000D_
    MÉDIA : ,17_x000D_
-----------------------------_x000D_
   Valores Desconsiderados_x000D_
-----------------------------_x000D_
22 / 10_2 : 1 (2)_x000D_
23 / 02_2 : 1 (2)_x000D_
_x000D_
  TOTAL   : ( 2 )</t>
        </r>
      </text>
    </comment>
    <comment ref="AB145" authorId="0" shapeId="0" xr:uid="{F935D700-3513-4861-85AC-F91684623334}">
      <text>
        <r>
          <rPr>
            <sz val="10"/>
            <color indexed="81"/>
            <rFont val="Lucida Console"/>
            <family val="3"/>
          </rPr>
          <t>Última movimentação no estoque em 02/2023 quantidade 2.</t>
        </r>
      </text>
    </comment>
    <comment ref="R146" authorId="0" shapeId="0" xr:uid="{59B7C667-0243-4491-B40C-AE7C36779AC9}">
      <text>
        <r>
          <rPr>
            <sz val="10"/>
            <color indexed="81"/>
            <rFont val="Lucida Console"/>
            <family val="3"/>
          </rPr>
          <t>15.05.2018</t>
        </r>
      </text>
    </comment>
    <comment ref="Y146" authorId="0" shapeId="0" xr:uid="{B39D606A-CAC5-4921-A9A1-B7B28E442368}">
      <text>
        <r>
          <rPr>
            <sz val="10"/>
            <color indexed="81"/>
            <rFont val="Courier New"/>
            <family val="3"/>
          </rPr>
          <t>_x000D_
    DESCRIÇÃO DO CÁLCULO_x000D_
Código    : 135.014_x000D_
Corte     : 1_x000D_
-----------------------------_x000D_
Pendente  : _x000D_
22 / 08_2 : _x000D_
22 / 09_2 : _x000D_
22 / 10_2 : _x000D_
22 / 11_2 : _x000D_
22 / 12_2 : _x000D_
23 / 01_2 : _x000D_
23 / 02_2 : 1_x000D_
23 / 03_2 : 1_x000D_
23 / 04_2 : 1 (corte = 2)_x000D_
23 / 05_2 : _x000D_
23 / 06_2 : _x000D_
23 / 07_2 : _x000D_
_x000D_
    TOTAL : ( 3 )_x000D_
  DIVISOR : 12_x000D_
    MÉDIA : ,25_x000D_
-----------------------------_x000D_
   Valores Desconsiderados_x000D_
-----------------------------_x000D_
23 / 04_2 : 1 (2)_x000D_
_x000D_
  TOTAL   : ( 1 )</t>
        </r>
      </text>
    </comment>
    <comment ref="AB146" authorId="0" shapeId="0" xr:uid="{EB0D4E17-64C6-4DE8-A503-678CA1BF30FB}">
      <text>
        <r>
          <rPr>
            <sz val="10"/>
            <color indexed="81"/>
            <rFont val="Lucida Console"/>
            <family val="3"/>
          </rPr>
          <t>Última movimentação no estoque em 04/2023 quantidade 2.</t>
        </r>
      </text>
    </comment>
    <comment ref="R147" authorId="0" shapeId="0" xr:uid="{73BCCA8B-55AE-45A6-88CA-CCE007760C2B}">
      <text>
        <r>
          <rPr>
            <sz val="10"/>
            <color indexed="81"/>
            <rFont val="Lucida Console"/>
            <family val="3"/>
          </rPr>
          <t>21.02.2008</t>
        </r>
      </text>
    </comment>
    <comment ref="Y147" authorId="0" shapeId="0" xr:uid="{CFA73445-01F8-4BE8-A2E7-4996F84F03DF}">
      <text>
        <r>
          <rPr>
            <sz val="10"/>
            <color indexed="81"/>
            <rFont val="Courier New"/>
            <family val="3"/>
          </rPr>
          <t>_x000D_
    DESCRIÇÃO DO CÁLCULO_x000D_
Código    : 105.114_x000D_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7" authorId="0" shapeId="0" xr:uid="{7920BCCD-130C-4C7A-87AB-CA29F3A22066}">
      <text>
        <r>
          <rPr>
            <sz val="10"/>
            <color indexed="81"/>
            <rFont val="Lucida Console"/>
            <family val="3"/>
          </rPr>
          <t>Última movimentação no estoque em 03/2023 quantidade 2.</t>
        </r>
      </text>
    </comment>
    <comment ref="R148" authorId="0" shapeId="0" xr:uid="{BE05966E-CC9B-40C1-A92B-D0117E40F882}">
      <text>
        <r>
          <rPr>
            <sz val="10"/>
            <color indexed="81"/>
            <rFont val="Lucida Console"/>
            <family val="3"/>
          </rPr>
          <t>25.06.2008</t>
        </r>
      </text>
    </comment>
    <comment ref="Y148" authorId="0" shapeId="0" xr:uid="{5EDBD43B-B970-498C-B6F0-888B999692B9}">
      <text>
        <r>
          <rPr>
            <sz val="10"/>
            <color indexed="81"/>
            <rFont val="Courier New"/>
            <family val="3"/>
          </rPr>
          <t>_x000D_
    DESCRIÇÃO DO CÁLCULO_x000D_
Código    : 106.910_x000D_
Corte     : 1_x000D_
-----------------------------_x000D_
Pendente  : _x000D_
22 / 08_2 : _x000D_
22 / 09_2 : _x000D_
22 / 10_2 : 1 (corte = 2)_x000D_
22 / 11_2 : _x000D_
22 / 12_2 : _x000D_
23 / 01_2 : _x000D_
23 / 02_2 : _x000D_
23 / 03_2 : _x000D_
23 / 04_2 : _x000D_
23 / 05_2 : _x000D_
23 / 06_2 : _x000D_
23 / 07_2 : 1 (corte = 2)_x000D_
_x000D_
    TOTAL : ( 2 )_x000D_
  DIVISOR : 12_x000D_
    MÉDIA : ,17_x000D_
-----------------------------_x000D_
   Valores Desconsiderados_x000D_
-----------------------------_x000D_
22 / 10_2 : 1 (2)_x000D_
23 / 07_2 : 1 (2)_x000D_
_x000D_
  TOTAL   : ( 2 )</t>
        </r>
      </text>
    </comment>
    <comment ref="AB148" authorId="0" shapeId="0" xr:uid="{8987A99B-CDF7-4A54-8BFF-3A5272D9C153}">
      <text>
        <r>
          <rPr>
            <sz val="10"/>
            <color indexed="81"/>
            <rFont val="Lucida Console"/>
            <family val="3"/>
          </rPr>
          <t>Última movimentação no estoque em 07/2023 quantidade 2.</t>
        </r>
      </text>
    </comment>
    <comment ref="R149" authorId="0" shapeId="0" xr:uid="{0EBA5ED1-8495-47BE-85C6-AF730EDF6724}">
      <text>
        <r>
          <rPr>
            <sz val="10"/>
            <color indexed="81"/>
            <rFont val="Lucida Console"/>
            <family val="3"/>
          </rPr>
          <t>21.02.2008</t>
        </r>
      </text>
    </comment>
    <comment ref="Y149" authorId="0" shapeId="0" xr:uid="{9227E291-C0FB-47E1-B869-2D7E820A05B8}">
      <text>
        <r>
          <rPr>
            <sz val="10"/>
            <color indexed="81"/>
            <rFont val="Courier New"/>
            <family val="3"/>
          </rPr>
          <t>_x000D_
    DESCRIÇÃO DO CÁLCULO_x000D_
Código    : 105.115_x000D_
Corte     : 1_x000D_
-----------------------------_x000D_
Pendente  : _x000D_
22 / 08_2 : _x000D_
22 / 09_2 : _x000D_
22 / 10_2 : _x000D_
22 / 11_2 : _x000D_
22 / 12_2 : _x000D_
23 / 01_2 : 1 (corte = 2)_x000D_
23 / 02_2 : 1 (corte = 2)_x000D_
23 / 03_2 : _x000D_
23 / 04_2 : _x000D_
23 / 05_2 : _x000D_
23 / 06_2 : _x000D_
23 / 07_2 : _x000D_
_x000D_
    TOTAL : ( 2 )_x000D_
  DIVISOR : 12_x000D_
    MÉDIA : ,17_x000D_
-----------------------------_x000D_
   Valores Desconsiderados_x000D_
-----------------------------_x000D_
23 / 01_2 : 1 (2)_x000D_
23 / 02_2 : 1 (2)_x000D_
_x000D_
  TOTAL   : ( 2 )</t>
        </r>
      </text>
    </comment>
    <comment ref="AB149" authorId="0" shapeId="0" xr:uid="{D9796EFF-63FD-47FA-8CE2-34A3AECA6DE5}">
      <text>
        <r>
          <rPr>
            <sz val="10"/>
            <color indexed="81"/>
            <rFont val="Lucida Console"/>
            <family val="3"/>
          </rPr>
          <t>Última movimentação no estoque em 02/2023 quantidade 2.</t>
        </r>
      </text>
    </comment>
    <comment ref="R150" authorId="0" shapeId="0" xr:uid="{DEB240F4-B670-4FF2-A1E8-691AFFFCE586}">
      <text>
        <r>
          <rPr>
            <sz val="10"/>
            <color indexed="81"/>
            <rFont val="Lucida Console"/>
            <family val="3"/>
          </rPr>
          <t>25.06.2008</t>
        </r>
      </text>
    </comment>
    <comment ref="Y150" authorId="0" shapeId="0" xr:uid="{5BFD9F61-92A4-4952-98DD-9B8EFBA0638B}">
      <text>
        <r>
          <rPr>
            <sz val="10"/>
            <color indexed="81"/>
            <rFont val="Courier New"/>
            <family val="3"/>
          </rPr>
          <t>_x000D_
    DESCRIÇÃO DO CÁLCULO_x000D_
Código    : 106.911_x000D_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50" authorId="0" shapeId="0" xr:uid="{B54F80CD-AC9C-4415-ABF0-2052E7998F1F}">
      <text>
        <r>
          <rPr>
            <sz val="10"/>
            <color indexed="81"/>
            <rFont val="Lucida Console"/>
            <family val="3"/>
          </rPr>
          <t>Última movimentação no estoque em 10/2022 quantidade 2.</t>
        </r>
      </text>
    </comment>
    <comment ref="R151" authorId="0" shapeId="0" xr:uid="{2A45DB1F-B567-4F21-B534-AE6DCDCC4BC3}">
      <text>
        <r>
          <rPr>
            <sz val="10"/>
            <color indexed="81"/>
            <rFont val="Lucida Console"/>
            <family val="3"/>
          </rPr>
          <t>21.02.2008</t>
        </r>
      </text>
    </comment>
    <comment ref="Y151" authorId="0" shapeId="0" xr:uid="{3DC4FFCD-5109-4E88-9F57-4F253E5D6AF2}">
      <text>
        <r>
          <rPr>
            <sz val="10"/>
            <color indexed="81"/>
            <rFont val="Courier New"/>
            <family val="3"/>
          </rPr>
          <t>_x000D_
    DESCRIÇÃO DO CÁLCULO_x000D_
Código    : 105.118_x000D_
Corte     : 2_x000D_
-----------------------------_x000D_
Pendente  : _x000D_
22 / 08_2 : _x000D_
22 / 09_2 : _x000D_
22 / 10_2 : _x000D_
22 / 11_2 : _x000D_
22 / 12_2 : _x000D_
23 / 01_2 : _x000D_
23 / 02_2 : 2 (corte = 4)_x000D_
23 / 03_2 : _x000D_
23 / 04_2 : _x000D_
23 / 05_2 : _x000D_
23 / 06_2 : _x000D_
23 / 07_2 : 2_x000D_
_x000D_
    TOTAL : ( 4 )_x000D_
  DIVISOR : 12_x000D_
    MÉDIA : ,33_x000D_
-----------------------------_x000D_
   Valores Desconsiderados_x000D_
-----------------------------_x000D_
23 / 02_2 : 2 (4)_x000D_
_x000D_
  TOTAL   : ( 2 )</t>
        </r>
      </text>
    </comment>
    <comment ref="AB151" authorId="0" shapeId="0" xr:uid="{F654F649-8BC5-48AE-92C2-A2D04E4623DA}">
      <text>
        <r>
          <rPr>
            <sz val="10"/>
            <color indexed="81"/>
            <rFont val="Lucida Console"/>
            <family val="3"/>
          </rPr>
          <t>Última movimentação no estoque em 07/2023 quantidade 2.</t>
        </r>
      </text>
    </comment>
    <comment ref="R152" authorId="0" shapeId="0" xr:uid="{C3D9CE11-86E9-4403-830A-BE58248BBFE6}">
      <text>
        <r>
          <rPr>
            <sz val="10"/>
            <color indexed="81"/>
            <rFont val="Lucida Console"/>
            <family val="3"/>
          </rPr>
          <t>12.09.2019</t>
        </r>
      </text>
    </comment>
    <comment ref="Y152" authorId="0" shapeId="0" xr:uid="{0128BFB9-0B8C-475B-A719-C5D3C0384F1A}">
      <text>
        <r>
          <rPr>
            <sz val="10"/>
            <color indexed="81"/>
            <rFont val="Courier New"/>
            <family val="3"/>
          </rPr>
          <t>_x000D_
    DESCRIÇÃO DO CÁLCULO_x000D_
Código    : 138.459_x000D_
Corte     : 8.081_x000D_
-----------------------------_x000D_
Pendente  : 847_x000D_
22 / 08_2 : 1.953_x000D_
22 / 09_2 : 2.074_x000D_
22 / 10_2 : 1.370_x000D_
22 / 11_2 : _x000D_
22 / 12_2 : _x000D_
23 / 01_2 : 911_x000D_
23 / 02_2 : 2.222_x000D_
23 / 03_2 : 8.081 (corte = 11167)_x000D_
23 / 04_2 : 2.310_x000D_
23 / 05_2 : 2.384_x000D_
23 / 06_2 : 2.343_x000D_
23 / 07_2 : 2.109_x000D_
_x000D_
    TOTAL : ( 26.604 )_x000D_
  DIVISOR : 12_x000D_
    MÉDIA : 2.217,00_x000D_
-----------------------------_x000D_
   Valores Desconsiderados_x000D_
-----------------------------_x000D_
23 / 03_2 : 3.086 (11.167)_x000D_
_x000D_
  TOTAL   : ( 3.086 )</t>
        </r>
      </text>
    </comment>
    <comment ref="AB152" authorId="0" shapeId="0" xr:uid="{7C2CBD27-12CB-40E7-AD97-E56BF277B8A5}">
      <text>
        <r>
          <rPr>
            <sz val="10"/>
            <color indexed="81"/>
            <rFont val="Lucida Console"/>
            <family val="3"/>
          </rPr>
          <t>Última movimentação no estoque em 07/2023 quantidade 2.109.</t>
        </r>
      </text>
    </comment>
    <comment ref="R153" authorId="0" shapeId="0" xr:uid="{7D9CE4D3-8F93-4363-8790-A4EE3EC38C59}">
      <text>
        <r>
          <rPr>
            <sz val="10"/>
            <color indexed="81"/>
            <rFont val="Lucida Console"/>
            <family val="3"/>
          </rPr>
          <t>12.09.2019</t>
        </r>
      </text>
    </comment>
    <comment ref="Y153" authorId="0" shapeId="0" xr:uid="{067EDC89-5A3B-40C9-B50B-121A580A613D}">
      <text>
        <r>
          <rPr>
            <sz val="10"/>
            <color indexed="81"/>
            <rFont val="Courier New"/>
            <family val="3"/>
          </rPr>
          <t>_x000D_
    DESCRIÇÃO DO CÁLCULO_x000D_
Código    : 138.460_x000D_
Corte     : 3.424_x000D_
-----------------------------_x000D_
Pendente  : 15_x000D_
22 / 08_2 : 624_x000D_
22 / 09_2 : 610_x000D_
22 / 10_2 : 481_x000D_
22 / 11_2 : 372_x000D_
22 / 12_2 : 545_x000D_
23 / 01_2 : 149_x000D_
23 / 02_2 : 575_x000D_
23 / 03_2 : 3.424 (corte = 4977)_x000D_
23 / 04_2 : 585_x000D_
23 / 05_2 : 744_x000D_
23 / 06_2 : 668_x000D_
23 / 07_2 : 423_x000D_
_x000D_
    TOTAL : ( 9.215 )_x000D_
  DIVISOR : 12_x000D_
    MÉDIA : 767,92_x000D_
-----------------------------_x000D_
   Valores Desconsiderados_x000D_
-----------------------------_x000D_
23 / 03_2 : 1.553 (4.977)_x000D_
_x000D_
  TOTAL   : ( 1.553 )</t>
        </r>
      </text>
    </comment>
    <comment ref="AB153" authorId="0" shapeId="0" xr:uid="{6963F374-A65E-4FC4-8CA2-6BA8AEFC9D16}">
      <text>
        <r>
          <rPr>
            <sz val="10"/>
            <color indexed="81"/>
            <rFont val="Lucida Console"/>
            <family val="3"/>
          </rPr>
          <t>Última movimentação no estoque em 07/2023 quantidade 423.</t>
        </r>
      </text>
    </comment>
    <comment ref="R154" authorId="0" shapeId="0" xr:uid="{10F3050F-D5DB-490F-81AD-06FB1AFE034F}">
      <text>
        <r>
          <rPr>
            <sz val="10"/>
            <color indexed="81"/>
            <rFont val="Lucida Console"/>
            <family val="3"/>
          </rPr>
          <t>05.05.2017</t>
        </r>
      </text>
    </comment>
    <comment ref="Y154" authorId="0" shapeId="0" xr:uid="{0956948F-E5F4-4B8A-95B3-23485082631D}">
      <text>
        <r>
          <rPr>
            <sz val="10"/>
            <color indexed="81"/>
            <rFont val="Courier New"/>
            <family val="3"/>
          </rPr>
          <t>_x000D_
    DESCRIÇÃO DO CÁLCULO_x000D_
Código    : 132.646_x000D_
Corte     : 3.745_x000D_
-----------------------------_x000D_
Pendente  : 303_x000D_
22 / 08_2 : 487_x000D_
22 / 09_2 : 522_x000D_
22 / 10_2 : 688_x000D_
22 / 11_2 : 706_x000D_
22 / 12_2 : 808_x000D_
23 / 01_2 : 353_x000D_
23 / 02_2 : 1.130_x000D_
23 / 03_2 : 3.745 (corte = 5390)_x000D_
23 / 04_2 : 470_x000D_
23 / 05_2 : 457_x000D_
23 / 06_2 : 716_x000D_
23 / 07_2 : 674_x000D_
_x000D_
    TOTAL : ( 11.059 )_x000D_
  DIVISOR : 12_x000D_
    MÉDIA : 921,58_x000D_
-----------------------------_x000D_
   Valores Desconsiderados_x000D_
-----------------------------_x000D_
23 / 03_2 : 1.645 (5.390)_x000D_
_x000D_
  TOTAL   : ( 1.645 )</t>
        </r>
      </text>
    </comment>
    <comment ref="AB154" authorId="0" shapeId="0" xr:uid="{E31BE937-E511-4C13-A086-0E5688A2EEC8}">
      <text>
        <r>
          <rPr>
            <sz val="10"/>
            <color indexed="81"/>
            <rFont val="Lucida Console"/>
            <family val="3"/>
          </rPr>
          <t>Última movimentação no estoque em 07/2023 quantidade 674.</t>
        </r>
      </text>
    </comment>
    <comment ref="R155" authorId="0" shapeId="0" xr:uid="{CC6AAFEE-5758-4134-8DED-18C0E5021857}">
      <text>
        <r>
          <rPr>
            <sz val="10"/>
            <color indexed="81"/>
            <rFont val="Lucida Console"/>
            <family val="3"/>
          </rPr>
          <t>05.05.2017</t>
        </r>
      </text>
    </comment>
    <comment ref="Y155" authorId="0" shapeId="0" xr:uid="{4D5FA509-E53E-4C72-9591-CFEF6A32EBEA}">
      <text>
        <r>
          <rPr>
            <sz val="10"/>
            <color indexed="81"/>
            <rFont val="Courier New"/>
            <family val="3"/>
          </rPr>
          <t>_x000D_
    DESCRIÇÃO DO CÁLCULO_x000D_
Código    : 132.647_x000D_
Corte     : 5.158_x000D_
-----------------------------_x000D_
Pendente  : 1_x000D_
22 / 08_2 : 649_x000D_
22 / 09_2 : 615_x000D_
22 / 10_2 : 744_x000D_
22 / 11_2 : 919_x000D_
22 / 12_2 : 592_x000D_
23 / 01_2 : 340_x000D_
23 / 02_2 : 626_x000D_
23 / 03_2 : 5.158 (corte = 7646)_x000D_
23 / 04_2 : 511_x000D_
23 / 05_2 : 609_x000D_
23 / 06_2 : 670_x000D_
23 / 07_2 : 644_x000D_
_x000D_
    TOTAL : ( 12.078 )_x000D_
  DIVISOR : 12_x000D_
    MÉDIA : 1.006,50_x000D_
-----------------------------_x000D_
   Valores Desconsiderados_x000D_
-----------------------------_x000D_
23 / 03_2 : 2.488 (7.646)_x000D_
_x000D_
  TOTAL   : ( 2.488 )</t>
        </r>
      </text>
    </comment>
    <comment ref="AB155" authorId="0" shapeId="0" xr:uid="{873CEB79-BAE2-49E6-A46D-CE0A140D42DF}">
      <text>
        <r>
          <rPr>
            <sz val="10"/>
            <color indexed="81"/>
            <rFont val="Lucida Console"/>
            <family val="3"/>
          </rPr>
          <t>Última movimentação no estoque em 07/2023 quantidade 644.</t>
        </r>
      </text>
    </comment>
    <comment ref="R156" authorId="0" shapeId="0" xr:uid="{E9C44C4C-5ED8-4869-B0C7-666252151D17}">
      <text>
        <r>
          <rPr>
            <sz val="10"/>
            <color indexed="81"/>
            <rFont val="Lucida Console"/>
            <family val="3"/>
          </rPr>
          <t>12.09.2019</t>
        </r>
      </text>
    </comment>
    <comment ref="Y156" authorId="0" shapeId="0" xr:uid="{D3B6E184-71FF-4EA3-AA1A-B706135B38F4}">
      <text>
        <r>
          <rPr>
            <sz val="10"/>
            <color indexed="81"/>
            <rFont val="Courier New"/>
            <family val="3"/>
          </rPr>
          <t>_x000D_
    DESCRIÇÃO DO CÁLCULO_x000D_
Código    : 138.461_x000D_
Corte     : 4.332_x000D_
-----------------------------_x000D_
Pendente  : 1.162_x000D_
22 / 08_2 : 831_x000D_
22 / 09_2 : 711_x000D_
22 / 10_2 : 798_x000D_
22 / 11_2 : 902_x000D_
22 / 12_2 : 669_x000D_
23 / 01_2 : 303_x000D_
23 / 02_2 : 799_x000D_
23 / 03_2 : 4.332 (corte = 6228)_x000D_
23 / 04_2 : _x000D_
23 / 05_2 : _x000D_
23 / 06_2 : 491_x000D_
23 / 07_2 : 919_x000D_
_x000D_
    TOTAL : ( 11.917 )_x000D_
  DIVISOR : 12_x000D_
    MÉDIA : 993,08_x000D_
-----------------------------_x000D_
   Valores Desconsiderados_x000D_
-----------------------------_x000D_
23 / 03_2 : 1.896 (6.228)_x000D_
_x000D_
  TOTAL   : ( 1.896 )</t>
        </r>
      </text>
    </comment>
    <comment ref="AB156" authorId="0" shapeId="0" xr:uid="{46E8D584-D614-4344-B058-14DB000FC4F6}">
      <text>
        <r>
          <rPr>
            <sz val="10"/>
            <color indexed="81"/>
            <rFont val="Lucida Console"/>
            <family val="3"/>
          </rPr>
          <t>Última movimentação no estoque em 07/2023 quantidade 919.</t>
        </r>
      </text>
    </comment>
    <comment ref="R157" authorId="0" shapeId="0" xr:uid="{18B0A2E4-B42C-430A-8CB8-2F3CE2E47BC9}">
      <text>
        <r>
          <rPr>
            <sz val="10"/>
            <color indexed="81"/>
            <rFont val="Lucida Console"/>
            <family val="3"/>
          </rPr>
          <t>05.05.2017</t>
        </r>
      </text>
    </comment>
    <comment ref="Y157" authorId="0" shapeId="0" xr:uid="{4CF489F3-B590-426D-B3F8-E57FC6C38202}">
      <text>
        <r>
          <rPr>
            <sz val="10"/>
            <color indexed="81"/>
            <rFont val="Courier New"/>
            <family val="3"/>
          </rPr>
          <t>_x000D_
    DESCRIÇÃO DO CÁLCULO_x000D_
Código    : 132.649_x000D_
Corte     : 4.681_x000D_
-----------------------------_x000D_
Pendente  : 703_x000D_
22 / 08_2 : 433_x000D_
22 / 09_2 : 510_x000D_
22 / 10_2 : 129_x000D_
22 / 11_2 : _x000D_
22 / 12_2 : _x000D_
23 / 01_2 : 166_x000D_
23 / 02_2 : 548_x000D_
23 / 03_2 : 4.681 (corte = 7130)_x000D_
23 / 04_2 : 220_x000D_
23 / 05_2 : _x000D_
23 / 06_2 : 24_x000D_
23 / 07_2 : _x000D_
_x000D_
    TOTAL : ( 7.414 )_x000D_
  DIVISOR : 12_x000D_
    MÉDIA : 617,83_x000D_
-----------------------------_x000D_
   Valores Desconsiderados_x000D_
-----------------------------_x000D_
23 / 03_2 : 2.449 (7.130)_x000D_
_x000D_
  TOTAL   : ( 2.449 )</t>
        </r>
      </text>
    </comment>
    <comment ref="AB157" authorId="0" shapeId="0" xr:uid="{FC9C39E1-186A-482C-A053-51E8145063AB}">
      <text>
        <r>
          <rPr>
            <sz val="10"/>
            <color indexed="81"/>
            <rFont val="Lucida Console"/>
            <family val="3"/>
          </rPr>
          <t>Última movimentação no estoque em 06/2023 quantidade 24.</t>
        </r>
      </text>
    </comment>
    <comment ref="R158" authorId="0" shapeId="0" xr:uid="{C25CA35E-74D9-42BA-9AD1-47E087121C5F}">
      <text>
        <r>
          <rPr>
            <sz val="10"/>
            <color indexed="81"/>
            <rFont val="Lucida Console"/>
            <family val="3"/>
          </rPr>
          <t>01.01.1901</t>
        </r>
      </text>
    </comment>
    <comment ref="Y158" authorId="0" shapeId="0" xr:uid="{BB7190A5-3664-416B-B4EE-EB487E7CB12F}">
      <text>
        <r>
          <rPr>
            <sz val="10"/>
            <color indexed="81"/>
            <rFont val="Courier New"/>
            <family val="3"/>
          </rPr>
          <t>_x000D_
    DESCRIÇÃO DO CÁLCULO_x000D_
Código    : 10.392_x000D_
Corte     : 3.123_x000D_
-----------------------------_x000D_
Pendente  : 1.251_x000D_
22 / 08_2 : 801_x000D_
22 / 09_2 : 314_x000D_
22 / 10_2 : 297_x000D_
22 / 11_2 : 37_x000D_
22 / 12_2 : _x000D_
23 / 01_2 : 415_x000D_
23 / 02_2 : 441_x000D_
23 / 03_2 : 3.123 (corte = 4461)_x000D_
23 / 04_2 : 644_x000D_
23 / 05_2 : 80_x000D_
23 / 06_2 : 15_x000D_
23 / 07_2 : _x000D_
_x000D_
    TOTAL : ( 7.418 )_x000D_
  DIVISOR : 12_x000D_
    MÉDIA : 618,17_x000D_
-----------------------------_x000D_
   Valores Desconsiderados_x000D_
-----------------------------_x000D_
23 / 03_2 : 1.338 (4.461)_x000D_
_x000D_
  TOTAL   : ( 1.338 )</t>
        </r>
      </text>
    </comment>
    <comment ref="AB158" authorId="0" shapeId="0" xr:uid="{06548ED8-8795-48BA-8EC0-DA66FC5979ED}">
      <text>
        <r>
          <rPr>
            <sz val="10"/>
            <color indexed="81"/>
            <rFont val="Lucida Console"/>
            <family val="3"/>
          </rPr>
          <t>Última movimentação no estoque em 06/2023 quantidade 15.</t>
        </r>
      </text>
    </comment>
    <comment ref="R159" authorId="0" shapeId="0" xr:uid="{67D0362D-A766-40CE-8ED0-413CEA23A60A}">
      <text>
        <r>
          <rPr>
            <sz val="10"/>
            <color indexed="81"/>
            <rFont val="Lucida Console"/>
            <family val="3"/>
          </rPr>
          <t>01.01.1901</t>
        </r>
      </text>
    </comment>
    <comment ref="Y159" authorId="0" shapeId="0" xr:uid="{144D15D5-7678-40C3-9E06-7CD6493474B0}">
      <text>
        <r>
          <rPr>
            <sz val="10"/>
            <color indexed="81"/>
            <rFont val="Courier New"/>
            <family val="3"/>
          </rPr>
          <t>_x000D_
    DESCRIÇÃO DO CÁLCULO_x000D_
Código    : 11.418_x000D_
Corte     : 3.609_x000D_
-----------------------------_x000D_
Pendente  : 230_x000D_
22 / 08_2 : 364_x000D_
22 / 09_2 : 346_x000D_
22 / 10_2 : 258_x000D_
22 / 11_2 : _x000D_
22 / 12_2 : _x000D_
23 / 01_2 : 216_x000D_
23 / 02_2 : 384_x000D_
23 / 03_2 : 3.609 (corte = 5441)_x000D_
23 / 04_2 : 334_x000D_
23 / 05_2 : 479_x000D_
23 / 06_2 : 373_x000D_
23 / 07_2 : 344_x000D_
_x000D_
    TOTAL : ( 6.937 )_x000D_
  DIVISOR : 12_x000D_
    MÉDIA : 578,08_x000D_
-----------------------------_x000D_
   Valores Desconsiderados_x000D_
-----------------------------_x000D_
23 / 03_2 : 1.832 (5.441)_x000D_
_x000D_
  TOTAL   : ( 1.832 )</t>
        </r>
      </text>
    </comment>
    <comment ref="AB159" authorId="0" shapeId="0" xr:uid="{8AEDB3E3-4304-4B10-9F8D-E512B815F8FF}">
      <text>
        <r>
          <rPr>
            <sz val="10"/>
            <color indexed="81"/>
            <rFont val="Lucida Console"/>
            <family val="3"/>
          </rPr>
          <t>Última movimentação no estoque em 07/2023 quantidade 344.</t>
        </r>
      </text>
    </comment>
    <comment ref="R160" authorId="0" shapeId="0" xr:uid="{8D1C2EB1-D30B-4F29-B61E-6C1B0D6744E5}">
      <text>
        <r>
          <rPr>
            <sz val="10"/>
            <color indexed="81"/>
            <rFont val="Lucida Console"/>
            <family val="3"/>
          </rPr>
          <t>01.01.1901</t>
        </r>
      </text>
    </comment>
    <comment ref="Y160" authorId="0" shapeId="0" xr:uid="{492AB024-E9D8-4A39-B4B5-D51372D44CCD}">
      <text>
        <r>
          <rPr>
            <sz val="10"/>
            <color indexed="81"/>
            <rFont val="Courier New"/>
            <family val="3"/>
          </rPr>
          <t>_x000D_
    DESCRIÇÃO DO CÁLCULO_x000D_
Código    : 11.509_x000D_
Corte     : 3.616_x000D_
-----------------------------_x000D_
Pendente  : _x000D_
22 / 08_2 : 298_x000D_
22 / 09_2 : 267_x000D_
22 / 10_2 : 352_x000D_
22 / 11_2 : 334_x000D_
22 / 12_2 : 210_x000D_
23 / 01_2 : 255_x000D_
23 / 02_2 : 331_x000D_
23 / 03_2 : 3.616 (corte = 5318)_x000D_
23 / 04_2 : 274_x000D_
23 / 05_2 : 352_x000D_
23 / 06_2 : 338_x000D_
23 / 07_2 : 291_x000D_
_x000D_
    TOTAL : ( 6.918 )_x000D_
  DIVISOR : 12_x000D_
    MÉDIA : 576,50_x000D_
-----------------------------_x000D_
   Valores Desconsiderados_x000D_
-----------------------------_x000D_
23 / 03_2 : 1.702 (5.318)_x000D_
_x000D_
  TOTAL   : ( 1.702 )</t>
        </r>
      </text>
    </comment>
    <comment ref="AB160" authorId="0" shapeId="0" xr:uid="{AC371904-A617-43F7-80CD-475C48543BF9}">
      <text>
        <r>
          <rPr>
            <sz val="10"/>
            <color indexed="81"/>
            <rFont val="Lucida Console"/>
            <family val="3"/>
          </rPr>
          <t>Última movimentação no estoque em 07/2023 quantidade 291.</t>
        </r>
      </text>
    </comment>
    <comment ref="R161" authorId="0" shapeId="0" xr:uid="{3D38E4A2-EB94-4CB6-9F58-A9C19DAB9621}">
      <text>
        <r>
          <rPr>
            <sz val="10"/>
            <color indexed="81"/>
            <rFont val="Lucida Console"/>
            <family val="3"/>
          </rPr>
          <t>01.01.1901</t>
        </r>
      </text>
    </comment>
    <comment ref="Y161" authorId="0" shapeId="0" xr:uid="{7B1697F1-6790-4C06-A997-410EBD3B789A}">
      <text>
        <r>
          <rPr>
            <sz val="10"/>
            <color indexed="81"/>
            <rFont val="Courier New"/>
            <family val="3"/>
          </rPr>
          <t>_x000D_
    DESCRIÇÃO DO CÁLCULO_x000D_
Código    : 70.967_x000D_
Corte     : 27_x000D_
-----------------------------_x000D_
Pendente  : _x000D_
22 / 08_2 : 1_x000D_
22 / 09_2 : 2_x000D_
22 / 10_2 : _x000D_
22 / 11_2 : _x000D_
22 / 12_2 : _x000D_
23 / 01_2 : _x000D_
23 / 02_2 : 21_x000D_
23 / 03_2 : 7_x000D_
23 / 04_2 : 27 (corte = 35)_x000D_
23 / 05_2 : _x000D_
23 / 06_2 : _x000D_
23 / 07_2 : _x000D_
_x000D_
    TOTAL : ( 58 )_x000D_
  DIVISOR : 12_x000D_
    MÉDIA : 4,83_x000D_
-----------------------------_x000D_
   Valores Desconsiderados_x000D_
-----------------------------_x000D_
23 / 04_2 : 8 (35)_x000D_
_x000D_
  TOTAL   : ( 8 )</t>
        </r>
      </text>
    </comment>
    <comment ref="AB161" authorId="0" shapeId="0" xr:uid="{459927B0-A81C-40A2-BA13-8477E0E7F4AE}">
      <text>
        <r>
          <rPr>
            <sz val="10"/>
            <color indexed="81"/>
            <rFont val="Lucida Console"/>
            <family val="3"/>
          </rPr>
          <t>Última movimentação no estoque em 04/2023 quantidade 35.</t>
        </r>
      </text>
    </comment>
    <comment ref="R162" authorId="0" shapeId="0" xr:uid="{693AE545-C898-4409-B532-B31EDFB1E90F}">
      <text>
        <r>
          <rPr>
            <sz val="10"/>
            <color indexed="81"/>
            <rFont val="Lucida Console"/>
            <family val="3"/>
          </rPr>
          <t>01.01.1901</t>
        </r>
      </text>
    </comment>
    <comment ref="Y162" authorId="0" shapeId="0" xr:uid="{99045B8D-605C-4153-8E8C-8783AF1AF6A3}">
      <text>
        <r>
          <rPr>
            <sz val="10"/>
            <color indexed="81"/>
            <rFont val="Courier New"/>
            <family val="3"/>
          </rPr>
          <t>_x000D_
    DESCRIÇÃO DO CÁLCULO_x000D_
Código    : 24.500_x000D_
Corte     : 181_x000D_
-----------------------------_x000D_
Pendente  : 39_x000D_
22 / 08_2 : 43_x000D_
22 / 09_2 : 181 (corte = 243)_x000D_
22 / 10_2 : 3_x000D_
22 / 11_2 : _x000D_
22 / 12_2 : _x000D_
23 / 01_2 : _x000D_
23 / 02_2 : 60_x000D_
23 / 03_2 : 54_x000D_
23 / 04_2 : 74_x000D_
23 / 05_2 : 55_x000D_
23 / 06_2 : _x000D_
23 / 07_2 : 50_x000D_
_x000D_
    TOTAL : ( 559 )_x000D_
  DIVISOR : 12_x000D_
    MÉDIA : 46,58_x000D_
-----------------------------_x000D_
   Valores Desconsiderados_x000D_
-----------------------------_x000D_
22 / 09_2 : 62 (243)_x000D_
_x000D_
  TOTAL   : ( 62 )</t>
        </r>
      </text>
    </comment>
    <comment ref="AB162" authorId="0" shapeId="0" xr:uid="{9F6FBD25-9556-4859-8429-687CA7374C0D}">
      <text>
        <r>
          <rPr>
            <sz val="10"/>
            <color indexed="81"/>
            <rFont val="Lucida Console"/>
            <family val="3"/>
          </rPr>
          <t>Última movimentação no estoque em 07/2023 quantidade 50.</t>
        </r>
      </text>
    </comment>
    <comment ref="R163" authorId="0" shapeId="0" xr:uid="{888D3F39-37A9-44CD-A1DE-1E93D04A1D17}">
      <text>
        <r>
          <rPr>
            <sz val="10"/>
            <color indexed="81"/>
            <rFont val="Lucida Console"/>
            <family val="3"/>
          </rPr>
          <t>01.01.1901</t>
        </r>
      </text>
    </comment>
    <comment ref="Y163" authorId="0" shapeId="0" xr:uid="{FB628B33-D129-4191-B098-F9771164EA4B}">
      <text>
        <r>
          <rPr>
            <sz val="10"/>
            <color indexed="81"/>
            <rFont val="Courier New"/>
            <family val="3"/>
          </rPr>
          <t>_x000D_
    DESCRIÇÃO DO CÁLCULO_x000D_
Código    : 64.607_x000D_
Corte     : 221_x000D_
-----------------------------_x000D_
Pendente  : 4_x000D_
22 / 08_2 : 189_x000D_
22 / 09_2 : _x000D_
22 / 10_2 : _x000D_
22 / 11_2 : 190_x000D_
22 / 12_2 : _x000D_
23 / 01_2 : _x000D_
23 / 02_2 : _x000D_
23 / 03_2 : 20_x000D_
23 / 04_2 : 150_x000D_
23 / 05_2 : _x000D_
23 / 06_2 : _x000D_
23 / 07_2 : 150_x000D_
_x000D_
    TOTAL : ( 703 )_x000D_
  DIVISOR : 12_x000D_
    MÉDIA : 58,58</t>
        </r>
      </text>
    </comment>
    <comment ref="AB163" authorId="0" shapeId="0" xr:uid="{C0F995F9-B193-4B5D-BAFB-DD3AF73AD836}">
      <text>
        <r>
          <rPr>
            <sz val="10"/>
            <color indexed="81"/>
            <rFont val="Lucida Console"/>
            <family val="3"/>
          </rPr>
          <t>Última movimentação no estoque em 07/2023 quantidade 150.</t>
        </r>
      </text>
    </comment>
    <comment ref="R164" authorId="0" shapeId="0" xr:uid="{866D64E4-0C07-474C-A5E7-82853E049CF7}">
      <text>
        <r>
          <rPr>
            <sz val="10"/>
            <color indexed="81"/>
            <rFont val="Lucida Console"/>
            <family val="3"/>
          </rPr>
          <t>01.01.1901</t>
        </r>
      </text>
    </comment>
    <comment ref="Y164" authorId="0" shapeId="0" xr:uid="{5A7E3E26-CF20-485F-9B00-A91766B275A7}">
      <text>
        <r>
          <rPr>
            <sz val="10"/>
            <color indexed="81"/>
            <rFont val="Courier New"/>
            <family val="3"/>
          </rPr>
          <t>_x000D_
    DESCRIÇÃO DO CÁLCULO_x000D_
Código    : 64.609_x000D_
Corte     : 90_x000D_
-----------------------------_x000D_
Pendente  : _x000D_
22 / 08_2 : 40_x000D_
22 / 09_2 : 30_x000D_
22 / 10_2 : 16_x000D_
22 / 11_2 : 55_x000D_
22 / 12_2 : 20_x000D_
23 / 01_2 : 45_x000D_
23 / 02_2 : _x000D_
23 / 03_2 : 50_x000D_
23 / 04_2 : _x000D_
23 / 05_2 : _x000D_
23 / 06_2 : 90 (corte = 100)_x000D_
23 / 07_2 : _x000D_
_x000D_
    TOTAL : ( 346 )_x000D_
  DIVISOR : 12_x000D_
    MÉDIA : 28,83_x000D_
-----------------------------_x000D_
   Valores Desconsiderados_x000D_
-----------------------------_x000D_
23 / 06_2 : 10 (100)_x000D_
_x000D_
  TOTAL   : ( 10 )</t>
        </r>
      </text>
    </comment>
    <comment ref="AB164" authorId="0" shapeId="0" xr:uid="{DCE5F87C-1D55-4573-AC85-941C0A5D6078}">
      <text>
        <r>
          <rPr>
            <sz val="10"/>
            <color indexed="81"/>
            <rFont val="Lucida Console"/>
            <family val="3"/>
          </rPr>
          <t>Última movimentação no estoque em 06/2023 quantidade 100.</t>
        </r>
      </text>
    </comment>
    <comment ref="R165" authorId="0" shapeId="0" xr:uid="{1F111E10-9E95-4AC0-B15B-942841FBA553}">
      <text>
        <r>
          <rPr>
            <sz val="10"/>
            <color indexed="81"/>
            <rFont val="Lucida Console"/>
            <family val="3"/>
          </rPr>
          <t>01.01.1901</t>
        </r>
      </text>
    </comment>
    <comment ref="Y165" authorId="0" shapeId="0" xr:uid="{4B1AA668-BB0E-4443-9CEF-0E51D4753E89}">
      <text>
        <r>
          <rPr>
            <sz val="10"/>
            <color indexed="81"/>
            <rFont val="Courier New"/>
            <family val="3"/>
          </rPr>
          <t>_x000D_
    DESCRIÇÃO DO CÁLCULO_x000D_
Código    : 59.018_x000D_
Corte     : 78_x000D_
-----------------------------_x000D_
Pendente  : _x000D_
22 / 08_2 : 43_x000D_
22 / 09_2 : 17_x000D_
22 / 10_2 : 10_x000D_
22 / 11_2 : 5_x000D_
22 / 12_2 : 4_x000D_
23 / 01_2 : 2_x000D_
23 / 02_2 : 7_x000D_
23 / 03_2 : _x000D_
23 / 04_2 : _x000D_
23 / 05_2 : 40_x000D_
23 / 06_2 : 78 (corte = 100)_x000D_
23 / 07_2 : _x000D_
_x000D_
    TOTAL : ( 206 )_x000D_
  DIVISOR : 12_x000D_
    MÉDIA : 17,17_x000D_
-----------------------------_x000D_
   Valores Desconsiderados_x000D_
-----------------------------_x000D_
23 / 06_2 : 22 (100)_x000D_
_x000D_
  TOTAL   : ( 22 )</t>
        </r>
      </text>
    </comment>
    <comment ref="AB165" authorId="0" shapeId="0" xr:uid="{0BCAF96E-8602-4F90-A63E-B461775DD334}">
      <text>
        <r>
          <rPr>
            <sz val="10"/>
            <color indexed="81"/>
            <rFont val="Lucida Console"/>
            <family val="3"/>
          </rPr>
          <t>Última movimentação no estoque em 06/2023 quantidade 100.</t>
        </r>
      </text>
    </comment>
    <comment ref="R166" authorId="0" shapeId="0" xr:uid="{EE306911-24CA-4AFE-AB45-ACA7DC5D85E3}">
      <text>
        <r>
          <rPr>
            <sz val="10"/>
            <color indexed="81"/>
            <rFont val="Lucida Console"/>
            <family val="3"/>
          </rPr>
          <t>01.01.1901</t>
        </r>
      </text>
    </comment>
    <comment ref="Y166" authorId="0" shapeId="0" xr:uid="{E0377D80-1098-44D1-ABDB-7F6A730B39F7}">
      <text>
        <r>
          <rPr>
            <sz val="10"/>
            <color indexed="81"/>
            <rFont val="Courier New"/>
            <family val="3"/>
          </rPr>
          <t>_x000D_
    DESCRIÇÃO DO CÁLCULO_x000D_
Código    : 61.046_x000D_
Corte     : 4_x000D_
-----------------------------_x000D_
Pendente  : _x000D_
22 / 08_2 : 2_x000D_
22 / 09_2 : _x000D_
22 / 10_2 : 4_x000D_
22 / 11_2 : 3_x000D_
22 / 12_2 : 1_x000D_
23 / 01_2 : _x000D_
23 / 02_2 : 1_x000D_
23 / 03_2 : 4_x000D_
23 / 04_2 : _x000D_
23 / 05_2 : _x000D_
23 / 06_2 : _x000D_
23 / 07_2 : _x000D_
_x000D_
    TOTAL : ( 15 )_x000D_
  DIVISOR : 12_x000D_
    MÉDIA : 1,25</t>
        </r>
      </text>
    </comment>
    <comment ref="AB166" authorId="0" shapeId="0" xr:uid="{57F6A938-6D49-4F58-A88A-15DC902040BC}">
      <text>
        <r>
          <rPr>
            <sz val="10"/>
            <color indexed="81"/>
            <rFont val="Lucida Console"/>
            <family val="3"/>
          </rPr>
          <t>Última movimentação no estoque em 03/2023 quantidade 4.</t>
        </r>
      </text>
    </comment>
    <comment ref="R167" authorId="0" shapeId="0" xr:uid="{77F52983-7AAF-47C5-BF04-2FEA5257BF2F}">
      <text>
        <r>
          <rPr>
            <sz val="10"/>
            <color indexed="81"/>
            <rFont val="Lucida Console"/>
            <family val="3"/>
          </rPr>
          <t>23.07.2010</t>
        </r>
      </text>
    </comment>
    <comment ref="Y167" authorId="0" shapeId="0" xr:uid="{E762F11C-CAFF-475C-900A-06914F0CB4EB}">
      <text>
        <r>
          <rPr>
            <sz val="10"/>
            <color indexed="81"/>
            <rFont val="Courier New"/>
            <family val="3"/>
          </rPr>
          <t>_x000D_
    DESCRIÇÃO DO CÁLCULO_x000D_
Código    : 116.466_x000D_
Corte     : 2.336_x000D_
-----------------------------_x000D_
Pendente  : _x000D_
22 / 08_2 : 225_x000D_
22 / 09_2 : 1.030_x000D_
22 / 10_2 : 1.050_x000D_
22 / 11_2 : 200_x000D_
22 / 12_2 : 200_x000D_
23 / 01_2 : 650_x000D_
23 / 02_2 : 100_x000D_
23 / 03_2 : 250_x000D_
23 / 04_2 : 500_x000D_
23 / 05_2 : _x000D_
23 / 06_2 : 2.336 (corte = 3000)_x000D_
23 / 07_2 : 1.056_x000D_
_x000D_
    TOTAL : ( 7.597 )_x000D_
  DIVISOR : 12_x000D_
    MÉDIA : 633,08_x000D_
-----------------------------_x000D_
   Valores Desconsiderados_x000D_
-----------------------------_x000D_
23 / 06_2 : 664 (3.000)_x000D_
_x000D_
  TOTAL   : ( 664 )</t>
        </r>
      </text>
    </comment>
    <comment ref="AB167" authorId="0" shapeId="0" xr:uid="{938A96F0-6F3C-49E3-B861-B86F505196B7}">
      <text>
        <r>
          <rPr>
            <sz val="10"/>
            <color indexed="81"/>
            <rFont val="Lucida Console"/>
            <family val="3"/>
          </rPr>
          <t>Última movimentação no estoque em 07/2023 quantidade 1.056.</t>
        </r>
      </text>
    </comment>
    <comment ref="R168" authorId="0" shapeId="0" xr:uid="{2DFA41B7-134D-4B10-B271-856F5F974294}">
      <text>
        <r>
          <rPr>
            <sz val="10"/>
            <color indexed="81"/>
            <rFont val="Lucida Console"/>
            <family val="3"/>
          </rPr>
          <t>01.01.1901</t>
        </r>
      </text>
    </comment>
    <comment ref="Y168" authorId="0" shapeId="0" xr:uid="{E886188D-F501-4896-A6BD-29BEE8E52BDE}">
      <text>
        <r>
          <rPr>
            <sz val="10"/>
            <color indexed="81"/>
            <rFont val="Courier New"/>
            <family val="3"/>
          </rPr>
          <t>_x000D_
    DESCRIÇÃO DO CÁLCULO_x000D_
Código    : 35.256_x000D_
Corte     : 9_x000D_
-----------------------------_x000D_
Pendente  : _x000D_
22 / 08_2 : 5_x000D_
22 / 09_2 : 9 (corte = 13)_x000D_
22 / 10_2 : _x000D_
22 / 11_2 : _x000D_
22 / 12_2 : _x000D_
23 / 01_2 : _x000D_
23 / 02_2 : _x000D_
23 / 03_2 : _x000D_
23 / 04_2 : _x000D_
23 / 05_2 : _x000D_
23 / 06_2 : _x000D_
23 / 07_2 : _x000D_
_x000D_
    TOTAL : ( 14 )_x000D_
  DIVISOR : 12_x000D_
    MÉDIA : 1,17_x000D_
-----------------------------_x000D_
   Valores Desconsiderados_x000D_
-----------------------------_x000D_
22 / 09_2 : 4 (13)_x000D_
_x000D_
  TOTAL   : ( 4 )</t>
        </r>
      </text>
    </comment>
    <comment ref="AB168" authorId="0" shapeId="0" xr:uid="{1E624829-5E42-411C-9DD3-1D4EA2A582F0}">
      <text>
        <r>
          <rPr>
            <sz val="10"/>
            <color indexed="81"/>
            <rFont val="Lucida Console"/>
            <family val="3"/>
          </rPr>
          <t>Última movimentação no estoque em 09/2022 quantidade 13.</t>
        </r>
      </text>
    </comment>
    <comment ref="R169" authorId="0" shapeId="0" xr:uid="{E1E2C9C2-C511-4AB6-9C1D-D449EE82A5E4}">
      <text>
        <r>
          <rPr>
            <sz val="10"/>
            <color indexed="81"/>
            <rFont val="Lucida Console"/>
            <family val="3"/>
          </rPr>
          <t>24.06.2014</t>
        </r>
      </text>
    </comment>
    <comment ref="Y169" authorId="0" shapeId="0" xr:uid="{FEAE3EAD-B56C-4BAB-A160-C157C19DB4C5}">
      <text>
        <r>
          <rPr>
            <sz val="10"/>
            <color indexed="81"/>
            <rFont val="Courier New"/>
            <family val="3"/>
          </rPr>
          <t>_x000D_
    DESCRIÇÃO DO CÁLCULO_x000D_
Código    : 128.229_x000D_
Corte     : 5_x000D_
-----------------------------_x000D_
Pendente  : _x000D_
22 / 08_2 : _x000D_
22 / 09_2 : 2_x000D_
22 / 10_2 : 2_x000D_
22 / 11_2 : 3_x000D_
22 / 12_2 : 2_x000D_
23 / 01_2 : 2_x000D_
23 / 02_2 : 4_x000D_
23 / 03_2 : 1_x000D_
23 / 04_2 : 5_x000D_
23 / 05_2 : _x000D_
23 / 06_2 : _x000D_
23 / 07_2 : _x000D_
_x000D_
    TOTAL : ( 21 )_x000D_
  DIVISOR : 12_x000D_
    MÉDIA : 1,75</t>
        </r>
      </text>
    </comment>
    <comment ref="AB169" authorId="0" shapeId="0" xr:uid="{1F4801B4-C19D-492F-A86F-5A8FAB842599}">
      <text>
        <r>
          <rPr>
            <sz val="10"/>
            <color indexed="81"/>
            <rFont val="Lucida Console"/>
            <family val="3"/>
          </rPr>
          <t>Última movimentação no estoque em 04/2023 quantidade 5.</t>
        </r>
      </text>
    </comment>
    <comment ref="R170" authorId="0" shapeId="0" xr:uid="{074FFE30-CDD5-4CD9-BA44-C729258082F2}">
      <text>
        <r>
          <rPr>
            <sz val="10"/>
            <color indexed="81"/>
            <rFont val="Lucida Console"/>
            <family val="3"/>
          </rPr>
          <t>11.02.2004</t>
        </r>
      </text>
    </comment>
    <comment ref="Y170" authorId="0" shapeId="0" xr:uid="{1E19807E-D4EA-4F07-9DF2-A24C671CD2F2}">
      <text>
        <r>
          <rPr>
            <sz val="10"/>
            <color indexed="81"/>
            <rFont val="Courier New"/>
            <family val="3"/>
          </rPr>
          <t>_x000D_
    DESCRIÇÃO DO CÁLCULO_x000D_
Código    : 77.110_x000D_
Corte     : 9_x000D_
-----------------------------_x000D_
Pendente  : _x000D_
22 / 08_2 : _x000D_
22 / 09_2 : _x000D_
22 / 10_2 : _x000D_
22 / 11_2 : _x000D_
22 / 12_2 : _x000D_
23 / 01_2 : _x000D_
23 / 02_2 : 6_x000D_
23 / 03_2 : 4_x000D_
23 / 04_2 : 9 (corte = 12)_x000D_
23 / 05_2 : _x000D_
23 / 06_2 : _x000D_
23 / 07_2 : _x000D_
_x000D_
    TOTAL : ( 19 )_x000D_
  DIVISOR : 12_x000D_
    MÉDIA : 1,58_x000D_
-----------------------------_x000D_
   Valores Desconsiderados_x000D_
-----------------------------_x000D_
23 / 04_2 : 3 (12)_x000D_
_x000D_
  TOTAL   : ( 3 )</t>
        </r>
      </text>
    </comment>
    <comment ref="AB170" authorId="0" shapeId="0" xr:uid="{6A1A999F-DC95-47BE-9B3D-AFC44B26EBA2}">
      <text>
        <r>
          <rPr>
            <sz val="10"/>
            <color indexed="81"/>
            <rFont val="Lucida Console"/>
            <family val="3"/>
          </rPr>
          <t>Última movimentação no estoque em 04/2023 quantidade 12.</t>
        </r>
      </text>
    </comment>
    <comment ref="R171" authorId="0" shapeId="0" xr:uid="{A516814D-9165-45CD-A3FF-94E5806A8C3F}">
      <text>
        <r>
          <rPr>
            <sz val="10"/>
            <color indexed="81"/>
            <rFont val="Lucida Console"/>
            <family val="3"/>
          </rPr>
          <t>11.02.2004</t>
        </r>
      </text>
    </comment>
    <comment ref="Y171" authorId="0" shapeId="0" xr:uid="{A66482A7-FDCD-4069-92F5-A32D913B9F34}">
      <text>
        <r>
          <rPr>
            <sz val="10"/>
            <color indexed="81"/>
            <rFont val="Courier New"/>
            <family val="3"/>
          </rPr>
          <t>_x000D_
    DESCRIÇÃO DO CÁLCULO_x000D_
Código    : 77.109_x000D_
Corte     : 40_x000D_
-----------------------------_x000D_
Pendente  : _x000D_
22 / 08_2 : 20_x000D_
22 / 09_2 : 2_x000D_
22 / 10_2 : 10_x000D_
22 / 11_2 : 5_x000D_
22 / 12_2 : 5_x000D_
23 / 01_2 : 5_x000D_
23 / 02_2 : 16_x000D_
23 / 03_2 : 22_x000D_
23 / 04_2 : 14_x000D_
23 / 05_2 : _x000D_
23 / 06_2 : _x000D_
23 / 07_2 : 40 (corte = 50)_x000D_
_x000D_
    TOTAL : ( 139 )_x000D_
  DIVISOR : 12_x000D_
    MÉDIA : 11,58_x000D_
-----------------------------_x000D_
   Valores Desconsiderados_x000D_
-----------------------------_x000D_
23 / 07_2 : 10 (50)_x000D_
_x000D_
  TOTAL   : ( 10 )</t>
        </r>
      </text>
    </comment>
    <comment ref="AB171" authorId="0" shapeId="0" xr:uid="{ADC1C128-C7C4-41C6-ABE1-C8491AA11CDC}">
      <text>
        <r>
          <rPr>
            <sz val="10"/>
            <color indexed="81"/>
            <rFont val="Lucida Console"/>
            <family val="3"/>
          </rPr>
          <t>Última movimentação no estoque em 07/2023 quantidade 50.</t>
        </r>
      </text>
    </comment>
    <comment ref="R172" authorId="0" shapeId="0" xr:uid="{EA2E5F58-52ED-4A29-BBC0-F3E7CCDA556D}">
      <text>
        <r>
          <rPr>
            <sz val="10"/>
            <color indexed="81"/>
            <rFont val="Lucida Console"/>
            <family val="3"/>
          </rPr>
          <t>25.04.2019</t>
        </r>
      </text>
    </comment>
    <comment ref="Y172" authorId="0" shapeId="0" xr:uid="{CF275A65-705D-4922-864B-8D145A07D5FA}">
      <text>
        <r>
          <rPr>
            <sz val="10"/>
            <color indexed="81"/>
            <rFont val="Courier New"/>
            <family val="3"/>
          </rPr>
          <t>_x000D_
    DESCRIÇÃO DO CÁLCULO_x000D_
Código    : 136.880_x000D_
Corte     : 8_x000D_
-----------------------------_x000D_
Pendente  : _x000D_
22 / 08_2 : _x000D_
22 / 09_2 : _x000D_
22 / 10_2 : _x000D_
22 / 11_2 : 8 (corte = 10)_x000D_
22 / 12_2 : 7_x000D_
23 / 01_2 : _x000D_
23 / 02_2 : 1_x000D_
23 / 03_2 : _x000D_
23 / 04_2 : _x000D_
23 / 05_2 : _x000D_
23 / 06_2 : _x000D_
23 / 07_2 : _x000D_
_x000D_
    TOTAL : ( 16 )_x000D_
  DIVISOR : 12_x000D_
    MÉDIA : 1,33_x000D_
-----------------------------_x000D_
   Valores Desconsiderados_x000D_
-----------------------------_x000D_
22 / 11_2 : 2 (10)_x000D_
_x000D_
  TOTAL   : ( 2 )</t>
        </r>
      </text>
    </comment>
    <comment ref="AB172" authorId="0" shapeId="0" xr:uid="{FD4146A8-B54A-45E1-BA1B-2A3B32DFACC3}">
      <text>
        <r>
          <rPr>
            <sz val="10"/>
            <color indexed="81"/>
            <rFont val="Lucida Console"/>
            <family val="3"/>
          </rPr>
          <t>Última movimentação no estoque em 02/2023 quantidade 1.</t>
        </r>
      </text>
    </comment>
    <comment ref="R173" authorId="0" shapeId="0" xr:uid="{FDF9926C-775D-4153-A498-3919414D4FC5}">
      <text>
        <r>
          <rPr>
            <sz val="10"/>
            <color indexed="81"/>
            <rFont val="Lucida Console"/>
            <family val="3"/>
          </rPr>
          <t>31.05.2004</t>
        </r>
      </text>
    </comment>
    <comment ref="Y173" authorId="0" shapeId="0" xr:uid="{05D13685-AFC1-4216-9189-5DBA483DDEBB}">
      <text>
        <r>
          <rPr>
            <sz val="10"/>
            <color indexed="81"/>
            <rFont val="Courier New"/>
            <family val="3"/>
          </rPr>
          <t>_x000D_
    DESCRIÇÃO DO CÁLCULO_x000D_
Código    : 79.688_x000D_
Corte     : 2.171_x000D_
-----------------------------_x000D_
Pendente  : 34_x000D_
22 / 08_2 : 1.375_x000D_
22 / 09_2 : 1.066_x000D_
22 / 10_2 : 1.082_x000D_
22 / 11_2 : 1.360_x000D_
22 / 12_2 : 978_x000D_
23 / 01_2 : 464_x000D_
23 / 02_2 : 1.203_x000D_
23 / 03_2 : 2.043_x000D_
23 / 04_2 : 1.168_x000D_
23 / 05_2 : 1.425_x000D_
23 / 06_2 : 1.170_x000D_
23 / 07_2 : 1.243_x000D_
_x000D_
    TOTAL : ( 14.611 )_x000D_
  DIVISOR : 12_x000D_
    MÉDIA : 1.217,58</t>
        </r>
      </text>
    </comment>
    <comment ref="AB173" authorId="0" shapeId="0" xr:uid="{2940692D-CF61-4D67-93B4-A44CEB6CC6DA}">
      <text>
        <r>
          <rPr>
            <sz val="10"/>
            <color indexed="81"/>
            <rFont val="Lucida Console"/>
            <family val="3"/>
          </rPr>
          <t>Última movimentação no estoque em 07/2023 quantidade 1.243.</t>
        </r>
      </text>
    </comment>
    <comment ref="R174" authorId="0" shapeId="0" xr:uid="{78CACF00-912E-4A45-A0DF-8D85223BDD29}">
      <text>
        <r>
          <rPr>
            <sz val="10"/>
            <color indexed="81"/>
            <rFont val="Lucida Console"/>
            <family val="3"/>
          </rPr>
          <t>31.05.2004</t>
        </r>
      </text>
    </comment>
    <comment ref="Y174" authorId="0" shapeId="0" xr:uid="{1628D44D-A6D6-4C0D-BE2B-B34C2714148A}">
      <text>
        <r>
          <rPr>
            <sz val="10"/>
            <color indexed="81"/>
            <rFont val="Courier New"/>
            <family val="3"/>
          </rPr>
          <t>_x000D_
    DESCRIÇÃO DO CÁLCULO_x000D_
Código    : 79.687_x000D_
Corte     : 2.451_x000D_
-----------------------------_x000D_
Pendente  : 34_x000D_
22 / 08_2 : 1.406_x000D_
22 / 09_2 : 1.128_x000D_
22 / 10_2 : 2.111_x000D_
22 / 11_2 : 1.447_x000D_
22 / 12_2 : 1.105_x000D_
23 / 01_2 : 640_x000D_
23 / 02_2 : 1.461_x000D_
23 / 03_2 : 2.077_x000D_
23 / 04_2 : 1.193_x000D_
23 / 05_2 : 1.466_x000D_
23 / 06_2 : 1.163_x000D_
23 / 07_2 : 1.273_x000D_
_x000D_
    TOTAL : ( 16.504 )_x000D_
  DIVISOR : 12_x000D_
    MÉDIA : 1.375,33</t>
        </r>
      </text>
    </comment>
    <comment ref="AB174" authorId="0" shapeId="0" xr:uid="{DF6B09E2-1F41-4A1E-B4D0-278E8AA68E83}">
      <text>
        <r>
          <rPr>
            <sz val="10"/>
            <color indexed="81"/>
            <rFont val="Lucida Console"/>
            <family val="3"/>
          </rPr>
          <t>Última movimentação no estoque em 07/2023 quantidade 1.273.</t>
        </r>
      </text>
    </comment>
    <comment ref="R175" authorId="0" shapeId="0" xr:uid="{9BD4D69C-4610-4F73-9994-F7DA5097B51B}">
      <text>
        <r>
          <rPr>
            <sz val="10"/>
            <color indexed="81"/>
            <rFont val="Lucida Console"/>
            <family val="3"/>
          </rPr>
          <t>23.04.2019</t>
        </r>
      </text>
    </comment>
    <comment ref="Y175" authorId="0" shapeId="0" xr:uid="{38375B13-0C89-4819-879A-94D9C2EAE376}">
      <text>
        <r>
          <rPr>
            <sz val="10"/>
            <color indexed="81"/>
            <rFont val="Courier New"/>
            <family val="3"/>
          </rPr>
          <t>_x000D_
    DESCRIÇÃO DO CÁLCULO_x000D_
Código    : 136.860_x000D_
Corte     : _x000D_
-----------------------------_x000D_
Pendente  : _x000D_
22 / 08_2 : _x000D_
22 / 09_2 : _x000D_
22 / 10_2 : _x000D_
22 / 11_2 : _x000D_
22 / 12_2 :  (corte = 1)_x000D_
23 / 01_2 :  (corte = 1)_x000D_
23 / 02_2 : _x000D_
23 / 03_2 : _x000D_
23 / 04_2 : _x000D_
23 / 05_2 : _x000D_
23 / 06_2 : _x000D_
23 / 07_2 : _x000D_
_x000D_
    TOTAL : (  )_x000D_
  DIVISOR : 12_x000D_
    MÉDIA : ,00_x000D_
-----------------------------_x000D_
   Valores Desconsiderados_x000D_
-----------------------------_x000D_
22 / 12_2 : 1 (1)_x000D_
23 / 01_2 : 1 (1)_x000D_
_x000D_
  TOTAL   : ( 2 )</t>
        </r>
      </text>
    </comment>
    <comment ref="AB175" authorId="0" shapeId="0" xr:uid="{AAECF3FA-A6D9-42B5-89F4-9E13FE0EB3AD}">
      <text>
        <r>
          <rPr>
            <sz val="10"/>
            <color indexed="81"/>
            <rFont val="Lucida Console"/>
            <family val="3"/>
          </rPr>
          <t>Última movimentação no estoque em 01/2023 quantidade 1.</t>
        </r>
      </text>
    </comment>
    <comment ref="R176" authorId="0" shapeId="0" xr:uid="{174AF5AC-0140-4C97-AAFB-8707192ADF3C}">
      <text>
        <r>
          <rPr>
            <sz val="10"/>
            <color indexed="81"/>
            <rFont val="Lucida Console"/>
            <family val="3"/>
          </rPr>
          <t>01.01.1901</t>
        </r>
      </text>
    </comment>
    <comment ref="Y176" authorId="0" shapeId="0" xr:uid="{C788BE98-D40A-4DFC-9AA0-9D5912982278}">
      <text>
        <r>
          <rPr>
            <sz val="10"/>
            <color indexed="81"/>
            <rFont val="Courier New"/>
            <family val="3"/>
          </rPr>
          <t>_x000D_
    DESCRIÇÃO DO CÁLCULO_x000D_
Código    : 24.219_x000D_
Corte     : 45_x000D_
-----------------------------_x000D_
Pendente  : 1_x000D_
22 / 08_2 : 16_x000D_
22 / 09_2 : 20_x000D_
22 / 10_2 : 17_x000D_
22 / 11_2 : 25_x000D_
22 / 12_2 : 9_x000D_
23 / 01_2 : 23_x000D_
23 / 02_2 : 32_x000D_
23 / 03_2 : 43_x000D_
23 / 04_2 : 24_x000D_
23 / 05_2 : 30_x000D_
23 / 06_2 : 25_x000D_
23 / 07_2 : 30_x000D_
_x000D_
    TOTAL : ( 295 )_x000D_
  DIVISOR : 12_x000D_
    MÉDIA : 24,58</t>
        </r>
      </text>
    </comment>
    <comment ref="AB176" authorId="0" shapeId="0" xr:uid="{BEDE204B-34CE-4060-8D87-1C0D9636D833}">
      <text>
        <r>
          <rPr>
            <sz val="10"/>
            <color indexed="81"/>
            <rFont val="Lucida Console"/>
            <family val="3"/>
          </rPr>
          <t>Última movimentação no estoque em 07/2023 quantidade 30.</t>
        </r>
      </text>
    </comment>
    <comment ref="R177" authorId="0" shapeId="0" xr:uid="{85A95DBF-DA88-4AEB-82F4-A106C1F4B844}">
      <text>
        <r>
          <rPr>
            <sz val="10"/>
            <color indexed="81"/>
            <rFont val="Lucida Console"/>
            <family val="3"/>
          </rPr>
          <t>01.01.1901</t>
        </r>
      </text>
    </comment>
    <comment ref="Y177" authorId="0" shapeId="0" xr:uid="{2661C969-F5EC-4CA7-9CA3-CBC3CD01B235}">
      <text>
        <r>
          <rPr>
            <sz val="10"/>
            <color indexed="81"/>
            <rFont val="Courier New"/>
            <family val="3"/>
          </rPr>
          <t>_x000D_
    DESCRIÇÃO DO CÁLCULO_x000D_
Código    : 12.635_x000D_
Corte     : 2.709_x000D_
-----------------------------_x000D_
Pendente  : 50_x000D_
22 / 08_2 : 1.379_x000D_
22 / 09_2 : 1.155_x000D_
22 / 10_2 : 1.696_x000D_
22 / 11_2 : 1.586_x000D_
22 / 12_2 : 970_x000D_
23 / 01_2 : 480_x000D_
23 / 02_2 : 1.140_x000D_
23 / 03_2 : 2.100_x000D_
23 / 04_2 : 1.313_x000D_
23 / 05_2 : 1.720_x000D_
23 / 06_2 : 2.431_x000D_
23 / 07_2 : 1.430_x000D_
_x000D_
    TOTAL : ( 17.450 )_x000D_
  DIVISOR : 12_x000D_
    MÉDIA : 1.454,17</t>
        </r>
      </text>
    </comment>
    <comment ref="AB177" authorId="0" shapeId="0" xr:uid="{CC4541B2-6211-439C-9FFD-231DE7B17C6F}">
      <text>
        <r>
          <rPr>
            <sz val="10"/>
            <color indexed="81"/>
            <rFont val="Lucida Console"/>
            <family val="3"/>
          </rPr>
          <t>Última movimentação no estoque em 07/2023 quantidade 1.430.</t>
        </r>
      </text>
    </comment>
    <comment ref="R178" authorId="0" shapeId="0" xr:uid="{9276A34C-7AB0-4556-BBAB-8F959373B10D}">
      <text>
        <r>
          <rPr>
            <sz val="10"/>
            <color indexed="81"/>
            <rFont val="Lucida Console"/>
            <family val="3"/>
          </rPr>
          <t>01.01.1901</t>
        </r>
      </text>
    </comment>
    <comment ref="Y178" authorId="0" shapeId="0" xr:uid="{F67DBA7C-F61F-4F2A-B2E3-DA7079DE7E69}">
      <text>
        <r>
          <rPr>
            <sz val="10"/>
            <color indexed="81"/>
            <rFont val="Courier New"/>
            <family val="3"/>
          </rPr>
          <t>_x000D_
    DESCRIÇÃO DO CÁLCULO_x000D_
Código    : 23.687_x000D_
Corte     : 3.847_x000D_
-----------------------------_x000D_
Pendente  : 40_x000D_
22 / 08_2 : 2.950_x000D_
22 / 09_2 : 1.370_x000D_
22 / 10_2 : 3.767_x000D_
22 / 11_2 : 1.656_x000D_
22 / 12_2 : 910_x000D_
23 / 01_2 : 491_x000D_
23 / 02_2 : 1.170_x000D_
23 / 03_2 : 2.210_x000D_
23 / 04_2 : 1.415_x000D_
23 / 05_2 : 1.815_x000D_
23 / 06_2 : 2.593_x000D_
23 / 07_2 : 1.544_x000D_
_x000D_
    TOTAL : ( 21.931 )_x000D_
  DIVISOR : 12_x000D_
    MÉDIA : 1.827,58</t>
        </r>
      </text>
    </comment>
    <comment ref="AB178" authorId="0" shapeId="0" xr:uid="{97D90AFB-9AD4-40BC-9D40-0E03B4CDCA71}">
      <text>
        <r>
          <rPr>
            <sz val="10"/>
            <color indexed="81"/>
            <rFont val="Lucida Console"/>
            <family val="3"/>
          </rPr>
          <t>Última movimentação no estoque em 07/2023 quantidade 1.544.</t>
        </r>
      </text>
    </comment>
    <comment ref="R179" authorId="0" shapeId="0" xr:uid="{751F7EE9-6E7A-44AA-90CD-FBEAAC5595EC}">
      <text>
        <r>
          <rPr>
            <sz val="10"/>
            <color indexed="81"/>
            <rFont val="Lucida Console"/>
            <family val="3"/>
          </rPr>
          <t>01.01.1901</t>
        </r>
      </text>
    </comment>
    <comment ref="Y179" authorId="0" shapeId="0" xr:uid="{5405A3FE-FD3D-463D-9583-CAEC5CE43836}">
      <text>
        <r>
          <rPr>
            <sz val="10"/>
            <color indexed="81"/>
            <rFont val="Courier New"/>
            <family val="3"/>
          </rPr>
          <t>_x000D_
    DESCRIÇÃO DO CÁLCULO_x000D_
Código    : 12.623_x000D_
Corte     : 6.317_x000D_
-----------------------------_x000D_
Pendente  : 1.765_x000D_
22 / 08_2 : 2.549_x000D_
22 / 09_2 : _x000D_
22 / 10_2 : _x000D_
22 / 11_2 : _x000D_
22 / 12_2 : _x000D_
23 / 01_2 : _x000D_
23 / 02_2 : 720_x000D_
23 / 03_2 : 6.115_x000D_
23 / 04_2 : 3.319_x000D_
23 / 05_2 : 3.625_x000D_
23 / 06_2 : 4.632_x000D_
23 / 07_2 : 3.238_x000D_
_x000D_
    TOTAL : ( 25.963 )_x000D_
  DIVISOR : 12_x000D_
    MÉDIA : 2.163,58</t>
        </r>
      </text>
    </comment>
    <comment ref="AB179" authorId="0" shapeId="0" xr:uid="{DF108F66-B516-4C13-AD31-27707E0D79D2}">
      <text>
        <r>
          <rPr>
            <sz val="10"/>
            <color indexed="81"/>
            <rFont val="Lucida Console"/>
            <family val="3"/>
          </rPr>
          <t>Última movimentação no estoque em 07/2023 quantidade 3.238.</t>
        </r>
      </text>
    </comment>
    <comment ref="R180" authorId="0" shapeId="0" xr:uid="{FFF8DFD2-9AAD-4A67-A05D-FC7B66C67B2A}">
      <text>
        <r>
          <rPr>
            <sz val="10"/>
            <color indexed="81"/>
            <rFont val="Lucida Console"/>
            <family val="3"/>
          </rPr>
          <t>01.01.1901</t>
        </r>
      </text>
    </comment>
    <comment ref="Y180" authorId="0" shapeId="0" xr:uid="{5E2C9A2F-8F79-498A-9E1F-E46FB671787E}">
      <text>
        <r>
          <rPr>
            <sz val="10"/>
            <color indexed="81"/>
            <rFont val="Courier New"/>
            <family val="3"/>
          </rPr>
          <t>_x000D_
    DESCRIÇÃO DO CÁLCULO_x000D_
Código    : 23.692_x000D_
Corte     : 2.428_x000D_
-----------------------------_x000D_
Pendente  : 40_x000D_
22 / 08_2 : 1.130_x000D_
22 / 09_2 : 950_x000D_
22 / 10_2 : 1.196_x000D_
22 / 11_2 : 1.291_x000D_
22 / 12_2 : 700_x000D_
23 / 01_2 : 365_x000D_
23 / 02_2 : 1.080_x000D_
23 / 03_2 : 1.885_x000D_
23 / 04_2 : 1.155_x000D_
23 / 05_2 : 1.536_x000D_
23 / 06_2 : 2.340_x000D_
23 / 07_2 : 1.231_x000D_
_x000D_
    TOTAL : ( 14.899 )_x000D_
  DIVISOR : 12_x000D_
    MÉDIA : 1.241,58</t>
        </r>
      </text>
    </comment>
    <comment ref="AB180" authorId="0" shapeId="0" xr:uid="{E9BD6B79-B715-4A7B-BF9C-734F797AFDA9}">
      <text>
        <r>
          <rPr>
            <sz val="10"/>
            <color indexed="81"/>
            <rFont val="Lucida Console"/>
            <family val="3"/>
          </rPr>
          <t>Última movimentação no estoque em 07/2023 quantidade 1.231.</t>
        </r>
      </text>
    </comment>
    <comment ref="R181" authorId="0" shapeId="0" xr:uid="{20F0482E-13FE-4517-8FF5-53D8E95AD5DA}">
      <text>
        <r>
          <rPr>
            <sz val="10"/>
            <color indexed="81"/>
            <rFont val="Lucida Console"/>
            <family val="3"/>
          </rPr>
          <t>01.01.1901</t>
        </r>
      </text>
    </comment>
    <comment ref="Y181" authorId="0" shapeId="0" xr:uid="{AB46DC4F-BE35-48E6-93E8-327F822ECC15}">
      <text>
        <r>
          <rPr>
            <sz val="10"/>
            <color indexed="81"/>
            <rFont val="Courier New"/>
            <family val="3"/>
          </rPr>
          <t>_x000D_
    DESCRIÇÃO DO CÁLCULO_x000D_
Código    : 47.447_x000D_
Corte     : 3.038_x000D_
-----------------------------_x000D_
Pendente  : 50_x000D_
22 / 08_2 : 2.795_x000D_
22 / 09_2 : 1.131_x000D_
22 / 10_2 : 1.381_x000D_
22 / 11_2 : 1.521_x000D_
22 / 12_2 : 945_x000D_
23 / 01_2 : 460_x000D_
23 / 02_2 : 1.130_x000D_
23 / 03_2 : 2.125_x000D_
23 / 04_2 : 1.382_x000D_
23 / 05_2 : 1.705_x000D_
23 / 06_2 : 2.463_x000D_
23 / 07_2 : 1.355_x000D_
_x000D_
    TOTAL : ( 18.443 )_x000D_
  DIVISOR : 12_x000D_
    MÉDIA : 1.536,92</t>
        </r>
      </text>
    </comment>
    <comment ref="AB181" authorId="0" shapeId="0" xr:uid="{8CD0D80C-5128-47EA-A4E9-87D4680D3916}">
      <text>
        <r>
          <rPr>
            <sz val="10"/>
            <color indexed="81"/>
            <rFont val="Lucida Console"/>
            <family val="3"/>
          </rPr>
          <t>Última movimentação no estoque em 07/2023 quantidade 1.355.</t>
        </r>
      </text>
    </comment>
    <comment ref="R182" authorId="0" shapeId="0" xr:uid="{6B439173-A2FF-4358-A4C7-8F33AC8C7819}">
      <text>
        <r>
          <rPr>
            <sz val="10"/>
            <color indexed="81"/>
            <rFont val="Lucida Console"/>
            <family val="3"/>
          </rPr>
          <t>05.12.2017</t>
        </r>
      </text>
    </comment>
    <comment ref="Y182" authorId="0" shapeId="0" xr:uid="{2B87D9C4-D4D1-474A-A3F2-3CD8D985C615}">
      <text>
        <r>
          <rPr>
            <sz val="10"/>
            <color indexed="81"/>
            <rFont val="Courier New"/>
            <family val="3"/>
          </rPr>
          <t>_x000D_
    DESCRIÇÃO DO CÁLCULO_x000D_
Código    : 133.843_x000D_
Corte     : 2.613_x000D_
-----------------------------_x000D_
Pendente  : 20_x000D_
22 / 08_2 : 1.493_x000D_
22 / 09_2 : 1.395_x000D_
22 / 10_2 : 1.694_x000D_
22 / 11_2 : 1.665_x000D_
22 / 12_2 : 1.167_x000D_
23 / 01_2 : 655_x000D_
23 / 02_2 : 1.260_x000D_
23 / 03_2 : 2.310_x000D_
23 / 04_2 : 1.267_x000D_
23 / 05_2 : 1.770_x000D_
23 / 06_2 : 1.703_x000D_
23 / 07_2 : 1.498_x000D_
_x000D_
    TOTAL : ( 17.897 )_x000D_
  DIVISOR : 12_x000D_
    MÉDIA : 1.491,42</t>
        </r>
      </text>
    </comment>
    <comment ref="AB182" authorId="0" shapeId="0" xr:uid="{A1CE0226-D3EE-48E7-8A52-B30E1041D434}">
      <text>
        <r>
          <rPr>
            <sz val="10"/>
            <color indexed="81"/>
            <rFont val="Lucida Console"/>
            <family val="3"/>
          </rPr>
          <t>Última movimentação no estoque em 07/2023 quantidade 1.498.</t>
        </r>
      </text>
    </comment>
    <comment ref="R183" authorId="0" shapeId="0" xr:uid="{42E12875-F09F-4438-8A2A-35BC503B8089}">
      <text>
        <r>
          <rPr>
            <sz val="10"/>
            <color indexed="81"/>
            <rFont val="Lucida Console"/>
            <family val="3"/>
          </rPr>
          <t>05.12.2017</t>
        </r>
      </text>
    </comment>
    <comment ref="Y183" authorId="0" shapeId="0" xr:uid="{407B8C1A-72FF-4C74-B7B3-008535CEF65B}">
      <text>
        <r>
          <rPr>
            <sz val="10"/>
            <color indexed="81"/>
            <rFont val="Courier New"/>
            <family val="3"/>
          </rPr>
          <t>_x000D_
    DESCRIÇÃO DO CÁLCULO_x000D_
Código    : 133.844_x000D_
Corte     : 2.790_x000D_
-----------------------------_x000D_
Pendente  : 15_x000D_
22 / 08_2 : 1.508_x000D_
22 / 09_2 : 1.528_x000D_
22 / 10_2 : 1.846_x000D_
22 / 11_2 : 1.785_x000D_
22 / 12_2 : 1.195_x000D_
23 / 01_2 : 700_x000D_
23 / 02_2 : 1.290_x000D_
23 / 03_2 : 2.515_x000D_
23 / 04_2 : 1.322_x000D_
23 / 05_2 : 1.775_x000D_
23 / 06_2 : 1.853_x000D_
23 / 07_2 : 1.583_x000D_
_x000D_
    TOTAL : ( 18.915 )_x000D_
  DIVISOR : 12_x000D_
    MÉDIA : 1.576,25</t>
        </r>
      </text>
    </comment>
    <comment ref="AB183" authorId="0" shapeId="0" xr:uid="{AD7680BC-37E5-4682-8380-5EF85B497577}">
      <text>
        <r>
          <rPr>
            <sz val="10"/>
            <color indexed="81"/>
            <rFont val="Lucida Console"/>
            <family val="3"/>
          </rPr>
          <t>Última movimentação no estoque em 07/2023 quantidade 1.583.</t>
        </r>
      </text>
    </comment>
    <comment ref="R184" authorId="0" shapeId="0" xr:uid="{E257957E-12D9-4577-887F-895284EA06CF}">
      <text>
        <r>
          <rPr>
            <sz val="10"/>
            <color indexed="81"/>
            <rFont val="Lucida Console"/>
            <family val="3"/>
          </rPr>
          <t>05.12.2017</t>
        </r>
      </text>
    </comment>
    <comment ref="Y184" authorId="0" shapeId="0" xr:uid="{03041263-54D9-4F92-91E9-4372E862CAE9}">
      <text>
        <r>
          <rPr>
            <sz val="10"/>
            <color indexed="81"/>
            <rFont val="Courier New"/>
            <family val="3"/>
          </rPr>
          <t>_x000D_
    DESCRIÇÃO DO CÁLCULO_x000D_
Código    : 133.845_x000D_
Corte     : 2.511_x000D_
-----------------------------_x000D_
Pendente  : 15_x000D_
22 / 08_2 : 1.453_x000D_
22 / 09_2 : 1.211_x000D_
22 / 10_2 : 1.464_x000D_
22 / 11_2 : 1.560_x000D_
22 / 12_2 : 1.051_x000D_
23 / 01_2 : 620_x000D_
23 / 02_2 : 1.185_x000D_
23 / 03_2 : 2.325_x000D_
23 / 04_2 : 1.242_x000D_
23 / 05_2 : 1.700_x000D_
23 / 06_2 : 1.663_x000D_
23 / 07_2 : 1.385_x000D_
_x000D_
    TOTAL : ( 16.874 )_x000D_
  DIVISOR : 12_x000D_
    MÉDIA : 1.406,17</t>
        </r>
      </text>
    </comment>
    <comment ref="AB184" authorId="0" shapeId="0" xr:uid="{19E91468-468E-42F9-8924-CDED284AB093}">
      <text>
        <r>
          <rPr>
            <sz val="10"/>
            <color indexed="81"/>
            <rFont val="Lucida Console"/>
            <family val="3"/>
          </rPr>
          <t>Última movimentação no estoque em 07/2023 quantidade 1.385.</t>
        </r>
      </text>
    </comment>
    <comment ref="R185" authorId="0" shapeId="0" xr:uid="{1D4BF534-EF13-4ED7-8652-28271A4EDB55}">
      <text>
        <r>
          <rPr>
            <sz val="10"/>
            <color indexed="81"/>
            <rFont val="Lucida Console"/>
            <family val="3"/>
          </rPr>
          <t>05.12.2017</t>
        </r>
      </text>
    </comment>
    <comment ref="Y185" authorId="0" shapeId="0" xr:uid="{00DEFE54-B809-42D3-B202-2BFF40E36630}">
      <text>
        <r>
          <rPr>
            <sz val="10"/>
            <color indexed="81"/>
            <rFont val="Courier New"/>
            <family val="3"/>
          </rPr>
          <t>_x000D_
    DESCRIÇÃO DO CÁLCULO_x000D_
Código    : 133.846_x000D_
Corte     : 2.196_x000D_
-----------------------------_x000D_
Pendente  : 15_x000D_
22 / 08_2 : 1.213_x000D_
22 / 09_2 : 1.165_x000D_
22 / 10_2 : 1.305_x000D_
22 / 11_2 : 1.305_x000D_
22 / 12_2 : 1.072_x000D_
23 / 01_2 : 575_x000D_
23 / 02_2 : 1.155_x000D_
23 / 03_2 : 2.025_x000D_
23 / 04_2 : 1.132_x000D_
23 / 05_2 : 1.370_x000D_
23 / 06_2 : 1.493_x000D_
23 / 07_2 : 1.301_x000D_
_x000D_
    TOTAL : ( 15.126 )_x000D_
  DIVISOR : 12_x000D_
    MÉDIA : 1.260,50</t>
        </r>
      </text>
    </comment>
    <comment ref="AB185" authorId="0" shapeId="0" xr:uid="{C70BF171-85C8-459C-AF6E-F0914F8DA1FD}">
      <text>
        <r>
          <rPr>
            <sz val="10"/>
            <color indexed="81"/>
            <rFont val="Lucida Console"/>
            <family val="3"/>
          </rPr>
          <t>Última movimentação no estoque em 07/2023 quantidade 1.301.</t>
        </r>
      </text>
    </comment>
    <comment ref="R186" authorId="0" shapeId="0" xr:uid="{9F134473-25D4-4C0E-B784-CE4B807640BA}">
      <text>
        <r>
          <rPr>
            <sz val="10"/>
            <color indexed="81"/>
            <rFont val="Lucida Console"/>
            <family val="3"/>
          </rPr>
          <t>05.12.2017</t>
        </r>
      </text>
    </comment>
    <comment ref="Y186" authorId="0" shapeId="0" xr:uid="{F092602E-5775-4E80-8150-57E2B4E76EEE}">
      <text>
        <r>
          <rPr>
            <sz val="10"/>
            <color indexed="81"/>
            <rFont val="Courier New"/>
            <family val="3"/>
          </rPr>
          <t>_x000D_
    DESCRIÇÃO DO CÁLCULO_x000D_
Código    : 133.847_x000D_
Corte     : 3.072_x000D_
-----------------------------_x000D_
Pendente  : 865_x000D_
22 / 08_2 : 1.840_x000D_
22 / 09_2 : 1.601_x000D_
22 / 10_2 : 2.006_x000D_
22 / 11_2 : 1.867_x000D_
22 / 12_2 : 90_x000D_
23 / 01_2 : 554_x000D_
23 / 02_2 : 450_x000D_
23 / 03_2 : 2.700_x000D_
23 / 04_2 : 1.575_x000D_
23 / 05_2 : 1.985_x000D_
23 / 06_2 : 1.937_x000D_
23 / 07_2 : 1.388_x000D_
_x000D_
    TOTAL : ( 18.858 )_x000D_
  DIVISOR : 12_x000D_
    MÉDIA : 1.571,50</t>
        </r>
      </text>
    </comment>
    <comment ref="AB186" authorId="0" shapeId="0" xr:uid="{784E5F4B-636C-402D-B1D5-0849E65CD8A4}">
      <text>
        <r>
          <rPr>
            <sz val="10"/>
            <color indexed="81"/>
            <rFont val="Lucida Console"/>
            <family val="3"/>
          </rPr>
          <t>Última movimentação no estoque em 07/2023 quantidade 1.388.</t>
        </r>
      </text>
    </comment>
    <comment ref="R187" authorId="0" shapeId="0" xr:uid="{3877C61C-8808-4768-826D-E898C7B131E0}">
      <text>
        <r>
          <rPr>
            <sz val="10"/>
            <color indexed="81"/>
            <rFont val="Lucida Console"/>
            <family val="3"/>
          </rPr>
          <t>05.12.2017</t>
        </r>
      </text>
    </comment>
    <comment ref="Y187" authorId="0" shapeId="0" xr:uid="{8634E49C-3C80-49FD-9706-188AA81B3981}">
      <text>
        <r>
          <rPr>
            <sz val="10"/>
            <color indexed="81"/>
            <rFont val="Courier New"/>
            <family val="3"/>
          </rPr>
          <t>_x000D_
    DESCRIÇÃO DO CÁLCULO_x000D_
Código    : 133.848_x000D_
Corte     : 2.224_x000D_
-----------------------------_x000D_
Pendente  : 620_x000D_
22 / 08_2 : 1.253_x000D_
22 / 09_2 : 1.105_x000D_
22 / 10_2 : 1.441_x000D_
22 / 11_2 : 1.490_x000D_
22 / 12_2 : 1.020_x000D_
23 / 01_2 : 560_x000D_
23 / 02_2 : 1.215_x000D_
23 / 03_2 : 2.020_x000D_
23 / 04_2 : 1.237_x000D_
23 / 05_2 : 1.486_x000D_
23 / 06_2 : 1.505_x000D_
23 / 07_2 : 195_x000D_
_x000D_
    TOTAL : ( 15.147 )_x000D_
  DIVISOR : 12_x000D_
    MÉDIA : 1.262,25</t>
        </r>
      </text>
    </comment>
    <comment ref="AB187" authorId="0" shapeId="0" xr:uid="{5E721E00-ED35-4FAA-AA10-6F67B00D451D}">
      <text>
        <r>
          <rPr>
            <sz val="10"/>
            <color indexed="81"/>
            <rFont val="Lucida Console"/>
            <family val="3"/>
          </rPr>
          <t>Última movimentação no estoque em 07/2023 quantidade 195.</t>
        </r>
      </text>
    </comment>
    <comment ref="R188" authorId="0" shapeId="0" xr:uid="{359C864E-DF0D-40D8-AEED-AA2200555273}">
      <text>
        <r>
          <rPr>
            <sz val="10"/>
            <color indexed="81"/>
            <rFont val="Lucida Console"/>
            <family val="3"/>
          </rPr>
          <t>05.12.2017</t>
        </r>
      </text>
    </comment>
    <comment ref="Y188" authorId="0" shapeId="0" xr:uid="{55A54C8B-6732-4EC3-8B2B-D4C10A2127D2}">
      <text>
        <r>
          <rPr>
            <sz val="10"/>
            <color indexed="81"/>
            <rFont val="Courier New"/>
            <family val="3"/>
          </rPr>
          <t>_x000D_
    DESCRIÇÃO DO CÁLCULO_x000D_
Código    : 133.849_x000D_
Corte     : 2.589_x000D_
-----------------------------_x000D_
Pendente  : 5_x000D_
22 / 08_2 : 1.528_x000D_
22 / 09_2 : 1.335_x000D_
22 / 10_2 : 1.611_x000D_
22 / 11_2 : 1.755_x000D_
22 / 12_2 : 1.120_x000D_
23 / 01_2 : 690_x000D_
23 / 02_2 : 1.231_x000D_
23 / 03_2 : 2.320_x000D_
23 / 04_2 : 1.293_x000D_
23 / 05_2 : 1.631_x000D_
23 / 06_2 : 1.720_x000D_
23 / 07_2 : 1.438_x000D_
_x000D_
    TOTAL : ( 17.677 )_x000D_
  DIVISOR : 12_x000D_
    MÉDIA : 1.473,08</t>
        </r>
      </text>
    </comment>
    <comment ref="AB188" authorId="0" shapeId="0" xr:uid="{A10EE7E1-C47C-438E-AB59-BF15DA618948}">
      <text>
        <r>
          <rPr>
            <sz val="10"/>
            <color indexed="81"/>
            <rFont val="Lucida Console"/>
            <family val="3"/>
          </rPr>
          <t>Última movimentação no estoque em 07/2023 quantidade 1.438.</t>
        </r>
      </text>
    </comment>
    <comment ref="R189" authorId="0" shapeId="0" xr:uid="{61CBBC22-AF0E-441E-B701-7FD85F28AADE}">
      <text>
        <r>
          <rPr>
            <sz val="10"/>
            <color indexed="81"/>
            <rFont val="Lucida Console"/>
            <family val="3"/>
          </rPr>
          <t>05.12.2017</t>
        </r>
      </text>
    </comment>
    <comment ref="Y189" authorId="0" shapeId="0" xr:uid="{5FE217B3-EAA5-422E-A289-A3CC2B5B2529}">
      <text>
        <r>
          <rPr>
            <sz val="10"/>
            <color indexed="81"/>
            <rFont val="Courier New"/>
            <family val="3"/>
          </rPr>
          <t>_x000D_
    DESCRIÇÃO DO CÁLCULO_x000D_
Código    : 133.850_x000D_
Corte     : 2.601_x000D_
-----------------------------_x000D_
Pendente  : 5_x000D_
22 / 08_2 : 1.498_x000D_
22 / 09_2 : 1.390_x000D_
22 / 10_2 : 1.621_x000D_
22 / 11_2 : 1.740_x000D_
22 / 12_2 : 1.110_x000D_
23 / 01_2 : 630_x000D_
23 / 02_2 : 1.215_x000D_
23 / 03_2 : 2.255_x000D_
23 / 04_2 : 1.240_x000D_
23 / 05_2 : 1.800_x000D_
23 / 06_2 : 1.670_x000D_
23 / 07_2 : 1.515_x000D_
_x000D_
    TOTAL : ( 17.689 )_x000D_
  DIVISOR : 12_x000D_
    MÉDIA : 1.474,08</t>
        </r>
      </text>
    </comment>
    <comment ref="AB189" authorId="0" shapeId="0" xr:uid="{395592D2-E39D-4321-9417-EA9EEF430054}">
      <text>
        <r>
          <rPr>
            <sz val="10"/>
            <color indexed="81"/>
            <rFont val="Lucida Console"/>
            <family val="3"/>
          </rPr>
          <t>Última movimentação no estoque em 07/2023 quantidade 1.515.</t>
        </r>
      </text>
    </comment>
    <comment ref="R190" authorId="0" shapeId="0" xr:uid="{B47DDCF3-2FBC-43BF-8227-C924E8AA7A4E}">
      <text>
        <r>
          <rPr>
            <sz val="10"/>
            <color indexed="81"/>
            <rFont val="Lucida Console"/>
            <family val="3"/>
          </rPr>
          <t>01.01.1901</t>
        </r>
      </text>
    </comment>
    <comment ref="Y190" authorId="0" shapeId="0" xr:uid="{49686DAA-D508-42F6-BBE8-0932655711AA}">
      <text>
        <r>
          <rPr>
            <sz val="10"/>
            <color indexed="81"/>
            <rFont val="Courier New"/>
            <family val="3"/>
          </rPr>
          <t>_x000D_
    DESCRIÇÃO DO CÁLCULO_x000D_
Código    : 13.991_x000D_
Corte     : 83_x000D_
-----------------------------_x000D_
Pendente  : 50_x000D_
22 / 08_2 : 40_x000D_
22 / 09_2 : 34_x000D_
22 / 10_2 : 58_x000D_
22 / 11_2 : 37_x000D_
22 / 12_2 : _x000D_
23 / 01_2 : 69_x000D_
23 / 02_2 : 62_x000D_
23 / 03_2 : 20_x000D_
23 / 04_2 : _x000D_
23 / 05_2 : _x000D_
23 / 06_2 : _x000D_
23 / 07_2 : _x000D_
_x000D_
    TOTAL : ( 370 )_x000D_
  DIVISOR : 12_x000D_
    MÉDIA : 30,83</t>
        </r>
      </text>
    </comment>
    <comment ref="AB190" authorId="0" shapeId="0" xr:uid="{CC5B6CC3-0702-43A9-BBE5-075C0928F128}">
      <text>
        <r>
          <rPr>
            <sz val="10"/>
            <color indexed="81"/>
            <rFont val="Lucida Console"/>
            <family val="3"/>
          </rPr>
          <t>Última movimentação no estoque em 03/2023 quantidade 20.</t>
        </r>
      </text>
    </comment>
    <comment ref="R191" authorId="0" shapeId="0" xr:uid="{B8CB9734-83B7-49C7-9266-9CC9CC0094C4}">
      <text>
        <r>
          <rPr>
            <sz val="10"/>
            <color indexed="81"/>
            <rFont val="Lucida Console"/>
            <family val="3"/>
          </rPr>
          <t>04.04.2014</t>
        </r>
      </text>
    </comment>
    <comment ref="Y191" authorId="0" shapeId="0" xr:uid="{84C5515B-183D-42C6-8B2F-2DFEA635FECD}">
      <text>
        <r>
          <rPr>
            <sz val="10"/>
            <color indexed="81"/>
            <rFont val="Courier New"/>
            <family val="3"/>
          </rPr>
          <t>_x000D_
    DESCRIÇÃO DO CÁLCULO_x000D_
Código    : 127.664_x000D_
Corte     : 826_x000D_
-----------------------------_x000D_
Pendente  : 31_x000D_
22 / 08_2 : 537_x000D_
22 / 09_2 : 558_x000D_
22 / 10_2 : 512_x000D_
22 / 11_2 : 548_x000D_
22 / 12_2 : 314_x000D_
23 / 01_2 : 170_x000D_
23 / 02_2 : 505_x000D_
23 / 03_2 : 563_x000D_
23 / 04_2 : 456_x000D_
23 / 05_2 : 494_x000D_
23 / 06_2 : 589_x000D_
23 / 07_2 : 542_x000D_
_x000D_
    TOTAL : ( 5.819 )_x000D_
  DIVISOR : 12_x000D_
    MÉDIA : 484,92</t>
        </r>
      </text>
    </comment>
    <comment ref="AB191" authorId="0" shapeId="0" xr:uid="{0D4E4C75-D633-44A6-B057-C9D6ADEE5078}">
      <text>
        <r>
          <rPr>
            <sz val="10"/>
            <color indexed="81"/>
            <rFont val="Lucida Console"/>
            <family val="3"/>
          </rPr>
          <t>Última movimentação no estoque em 07/2023 quantidade 542.</t>
        </r>
      </text>
    </comment>
    <comment ref="R192" authorId="0" shapeId="0" xr:uid="{02D91F78-15AE-49F4-B39F-5CD10EADDD66}">
      <text>
        <r>
          <rPr>
            <sz val="10"/>
            <color indexed="81"/>
            <rFont val="Lucida Console"/>
            <family val="3"/>
          </rPr>
          <t>01.01.1901</t>
        </r>
      </text>
    </comment>
    <comment ref="Y192" authorId="0" shapeId="0" xr:uid="{0B92051A-E6EC-41A1-AF82-80D4CB1BFFE2}">
      <text>
        <r>
          <rPr>
            <sz val="10"/>
            <color indexed="81"/>
            <rFont val="Courier New"/>
            <family val="3"/>
          </rPr>
          <t>_x000D_
    DESCRIÇÃO DO CÁLCULO_x000D_
Código    : 64.610_x000D_
Corte     : 186_x000D_
-----------------------------_x000D_
Pendente  : 12_x000D_
22 / 08_2 : 38_x000D_
22 / 09_2 : 186 (corte = 265)_x000D_
22 / 10_2 : 85_x000D_
22 / 11_2 : 39_x000D_
22 / 12_2 : 39_x000D_
23 / 01_2 : _x000D_
23 / 02_2 : _x000D_
23 / 03_2 : _x000D_
23 / 04_2 : _x000D_
23 / 05_2 : _x000D_
23 / 06_2 : _x000D_
23 / 07_2 : _x000D_
_x000D_
    TOTAL : ( 399 )_x000D_
  DIVISOR : 12_x000D_
    MÉDIA : 33,25_x000D_
-----------------------------_x000D_
   Valores Desconsiderados_x000D_
-----------------------------_x000D_
22 / 09_2 : 79 (265)_x000D_
_x000D_
  TOTAL   : ( 79 )</t>
        </r>
      </text>
    </comment>
    <comment ref="AB192" authorId="0" shapeId="0" xr:uid="{0722CC55-7F80-4375-B6D9-BACFC22850BC}">
      <text>
        <r>
          <rPr>
            <sz val="10"/>
            <color indexed="81"/>
            <rFont val="Lucida Console"/>
            <family val="3"/>
          </rPr>
          <t>Última movimentação no estoque em 12/2022 quantidade 39.</t>
        </r>
      </text>
    </comment>
    <comment ref="R193" authorId="0" shapeId="0" xr:uid="{E1A0E61E-DD5D-454F-8586-7496F462B2F9}">
      <text>
        <r>
          <rPr>
            <sz val="10"/>
            <color indexed="81"/>
            <rFont val="Lucida Console"/>
            <family val="3"/>
          </rPr>
          <t>01.01.1901</t>
        </r>
      </text>
    </comment>
    <comment ref="Y193" authorId="0" shapeId="0" xr:uid="{2246B8D0-5E8B-4AF7-A9E6-E11589EFD312}">
      <text>
        <r>
          <rPr>
            <sz val="10"/>
            <color indexed="81"/>
            <rFont val="Courier New"/>
            <family val="3"/>
          </rPr>
          <t>_x000D_
    DESCRIÇÃO DO CÁLCULO_x000D_
Código    : 20.135_x000D_
Corte     : 62_x000D_
-----------------------------_x000D_
Pendente  : 5_x000D_
22 / 08_2 : 40_x000D_
22 / 09_2 : 7_x000D_
22 / 10_2 : 49_x000D_
22 / 11_2 : 22_x000D_
22 / 12_2 : 14_x000D_
23 / 01_2 : 20_x000D_
23 / 02_2 : 51_x000D_
23 / 03_2 : 48_x000D_
23 / 04_2 : _x000D_
23 / 05_2 : _x000D_
23 / 06_2 : _x000D_
23 / 07_2 : _x000D_
_x000D_
    TOTAL : ( 256 )_x000D_
  DIVISOR : 12_x000D_
    MÉDIA : 21,33</t>
        </r>
      </text>
    </comment>
    <comment ref="AB193" authorId="0" shapeId="0" xr:uid="{3698DAE6-F3A8-48E2-9D09-C4C608FB273E}">
      <text>
        <r>
          <rPr>
            <sz val="10"/>
            <color indexed="81"/>
            <rFont val="Lucida Console"/>
            <family val="3"/>
          </rPr>
          <t>Última movimentação no estoque em 03/2023 quantidade 48.</t>
        </r>
      </text>
    </comment>
    <comment ref="R194" authorId="0" shapeId="0" xr:uid="{F007F057-1D74-4C47-AA69-EE9D2FE35366}">
      <text>
        <r>
          <rPr>
            <sz val="10"/>
            <color indexed="81"/>
            <rFont val="Lucida Console"/>
            <family val="3"/>
          </rPr>
          <t>03.03.2009</t>
        </r>
      </text>
    </comment>
    <comment ref="Y194" authorId="0" shapeId="0" xr:uid="{3D88117F-16B0-48B4-9504-77C4A39C3E95}">
      <text>
        <r>
          <rPr>
            <sz val="10"/>
            <color indexed="81"/>
            <rFont val="Courier New"/>
            <family val="3"/>
          </rPr>
          <t>_x000D_
    DESCRIÇÃO DO CÁLCULO_x000D_
Código    : 109.944_x000D_
Corte     : 150_x000D_
-----------------------------_x000D_
Pendente  : _x000D_
22 / 08_2 : 30_x000D_
22 / 09_2 : 60_x000D_
22 / 10_2 : 30_x000D_
22 / 11_2 : 30_x000D_
22 / 12_2 : 30_x000D_
23 / 01_2 : 150 (corte = 200)_x000D_
23 / 02_2 : _x000D_
23 / 03_2 : _x000D_
23 / 04_2 : _x000D_
23 / 05_2 : 70_x000D_
23 / 06_2 : _x000D_
23 / 07_2 : _x000D_
_x000D_
    TOTAL : ( 400 )_x000D_
  DIVISOR : 12_x000D_
    MÉDIA : 33,33_x000D_
-----------------------------_x000D_
   Valores Desconsiderados_x000D_
-----------------------------_x000D_
23 / 01_2 : 50 (200)_x000D_
_x000D_
  TOTAL   : ( 50 )</t>
        </r>
      </text>
    </comment>
    <comment ref="AB194" authorId="0" shapeId="0" xr:uid="{B5D2C2FC-2AE7-4FE1-9F4F-678A6FB9C445}">
      <text>
        <r>
          <rPr>
            <sz val="10"/>
            <color indexed="81"/>
            <rFont val="Lucida Console"/>
            <family val="3"/>
          </rPr>
          <t>Última movimentação no estoque em 05/2023 quantidade 70.</t>
        </r>
      </text>
    </comment>
    <comment ref="R195" authorId="0" shapeId="0" xr:uid="{3C9E86E8-B111-4D78-A770-DCF73FC6D1C8}">
      <text>
        <r>
          <rPr>
            <sz val="10"/>
            <color indexed="81"/>
            <rFont val="Lucida Console"/>
            <family val="3"/>
          </rPr>
          <t>01.01.1901</t>
        </r>
      </text>
    </comment>
    <comment ref="Y195" authorId="0" shapeId="0" xr:uid="{5E213BB3-C5AF-43AA-9CEE-1C6433A08F0F}">
      <text>
        <r>
          <rPr>
            <sz val="10"/>
            <color indexed="81"/>
            <rFont val="Courier New"/>
            <family val="3"/>
          </rPr>
          <t>_x000D_
    DESCRIÇÃO DO CÁLCULO_x000D_
Código    : 26.215_x000D_
Corte     : 33_x000D_
-----------------------------_x000D_
Pendente  : _x000D_
22 / 08_2 : _x000D_
22 / 09_2 : 3_x000D_
22 / 10_2 : 33 (corte = 38)_x000D_
22 / 11_2 : 15_x000D_
22 / 12_2 : _x000D_
23 / 01_2 : 1_x000D_
23 / 02_2 : _x000D_
23 / 03_2 : _x000D_
23 / 04_2 : 10_x000D_
23 / 05_2 : 29_x000D_
23 / 06_2 : _x000D_
23 / 07_2 : _x000D_
_x000D_
    TOTAL : ( 91 )_x000D_
  DIVISOR : 12_x000D_
    MÉDIA : 7,58_x000D_
-----------------------------_x000D_
   Valores Desconsiderados_x000D_
-----------------------------_x000D_
22 / 10_2 : 5 (38)_x000D_
_x000D_
  TOTAL   : ( 5 )</t>
        </r>
      </text>
    </comment>
    <comment ref="AB195" authorId="0" shapeId="0" xr:uid="{A6FDBA08-4D85-48C6-A186-306C29F32806}">
      <text>
        <r>
          <rPr>
            <sz val="10"/>
            <color indexed="81"/>
            <rFont val="Lucida Console"/>
            <family val="3"/>
          </rPr>
          <t>Última movimentação no estoque em 05/2023 quantidade 29.</t>
        </r>
      </text>
    </comment>
    <comment ref="R196" authorId="0" shapeId="0" xr:uid="{E67C5F59-6A55-4A18-ACE9-E98C7D293BB3}">
      <text>
        <r>
          <rPr>
            <sz val="10"/>
            <color indexed="81"/>
            <rFont val="Lucida Console"/>
            <family val="3"/>
          </rPr>
          <t>09.01.2004</t>
        </r>
      </text>
    </comment>
    <comment ref="Y196" authorId="0" shapeId="0" xr:uid="{9E40BADA-6DC7-438D-9C11-7C3CC74FAFE4}">
      <text>
        <r>
          <rPr>
            <sz val="10"/>
            <color indexed="81"/>
            <rFont val="Courier New"/>
            <family val="3"/>
          </rPr>
          <t>_x000D_
    DESCRIÇÃO DO CÁLCULO_x000D_
Código    : 76.583_x000D_
Corte     : 27_x000D_
-----------------------------_x000D_
Pendente  : _x000D_
22 / 08_2 : _x000D_
22 / 09_2 : _x000D_
22 / 10_2 : _x000D_
22 / 11_2 : 10_x000D_
22 / 12_2 : 4_x000D_
23 / 01_2 : 27 (corte = 37)_x000D_
23 / 02_2 : _x000D_
23 / 03_2 : _x000D_
23 / 04_2 : 5_x000D_
23 / 05_2 : 13_x000D_
23 / 06_2 : _x000D_
23 / 07_2 : _x000D_
_x000D_
    TOTAL : ( 59 )_x000D_
  DIVISOR : 12_x000D_
    MÉDIA : 4,92_x000D_
-----------------------------_x000D_
   Valores Desconsiderados_x000D_
-----------------------------_x000D_
23 / 01_2 : 10 (37)_x000D_
_x000D_
  TOTAL   : ( 10 )</t>
        </r>
      </text>
    </comment>
    <comment ref="AB196" authorId="0" shapeId="0" xr:uid="{9A6A7E11-7A1A-4F80-AB75-1D677E0D1D9B}">
      <text>
        <r>
          <rPr>
            <sz val="10"/>
            <color indexed="81"/>
            <rFont val="Lucida Console"/>
            <family val="3"/>
          </rPr>
          <t>Última movimentação no estoque em 05/2023 quantidade 13.</t>
        </r>
      </text>
    </comment>
    <comment ref="R197" authorId="0" shapeId="0" xr:uid="{263AC9C3-21B1-498A-BCA7-B4568B9E845A}">
      <text>
        <r>
          <rPr>
            <sz val="10"/>
            <color indexed="81"/>
            <rFont val="Lucida Console"/>
            <family val="3"/>
          </rPr>
          <t>01.01.1901</t>
        </r>
      </text>
    </comment>
    <comment ref="Y197" authorId="0" shapeId="0" xr:uid="{70C11264-3ED1-42A0-A1C1-DC4A9F0278D8}">
      <text>
        <r>
          <rPr>
            <sz val="10"/>
            <color indexed="81"/>
            <rFont val="Courier New"/>
            <family val="3"/>
          </rPr>
          <t>_x000D_
    DESCRIÇÃO DO CÁLCULO_x000D_
Código    : 16.363_x000D_
Corte     : 111_x000D_
-----------------------------_x000D_
Pendente  : _x000D_
22 / 08_2 : 22_x000D_
22 / 09_2 : 57_x000D_
22 / 10_2 : 41_x000D_
22 / 11_2 : 46_x000D_
22 / 12_2 : _x000D_
23 / 01_2 : 13_x000D_
23 / 02_2 : 20_x000D_
23 / 03_2 : 99_x000D_
23 / 04_2 : 94_x000D_
23 / 05_2 : 12_x000D_
23 / 06_2 : 80_x000D_
23 / 07_2 : _x000D_
_x000D_
    TOTAL : ( 484 )_x000D_
  DIVISOR : 12_x000D_
    MÉDIA : 40,33</t>
        </r>
      </text>
    </comment>
    <comment ref="AB197" authorId="0" shapeId="0" xr:uid="{C5A325B9-62A6-4409-93A3-38E201C05CFA}">
      <text>
        <r>
          <rPr>
            <sz val="10"/>
            <color indexed="81"/>
            <rFont val="Lucida Console"/>
            <family val="3"/>
          </rPr>
          <t>Última movimentação no estoque em 06/2023 quantidade 80.</t>
        </r>
      </text>
    </comment>
    <comment ref="R198" authorId="0" shapeId="0" xr:uid="{005D87F5-7466-445E-B7B0-078B35B7BD2E}">
      <text>
        <r>
          <rPr>
            <sz val="10"/>
            <color indexed="81"/>
            <rFont val="Lucida Console"/>
            <family val="3"/>
          </rPr>
          <t>01.01.1901</t>
        </r>
      </text>
    </comment>
    <comment ref="Y198" authorId="0" shapeId="0" xr:uid="{04734230-03C9-4865-B25A-E39EBA13622F}">
      <text>
        <r>
          <rPr>
            <sz val="10"/>
            <color indexed="81"/>
            <rFont val="Courier New"/>
            <family val="3"/>
          </rPr>
          <t>_x000D_
    DESCRIÇÃO DO CÁLCULO_x000D_
Código    : 16.365_x000D_
Corte     : 28_x000D_
-----------------------------_x000D_
Pendente  : _x000D_
22 / 08_2 : _x000D_
22 / 09_2 : _x000D_
22 / 10_2 : 18_x000D_
22 / 11_2 : 28 (corte = 30)_x000D_
22 / 12_2 : 20_x000D_
23 / 01_2 : _x000D_
23 / 02_2 : 14_x000D_
23 / 03_2 : 9_x000D_
23 / 04_2 : _x000D_
23 / 05_2 : _x000D_
23 / 06_2 : _x000D_
23 / 07_2 : _x000D_
_x000D_
    TOTAL : ( 89 )_x000D_
  DIVISOR : 12_x000D_
    MÉDIA : 7,42_x000D_
-----------------------------_x000D_
   Valores Desconsiderados_x000D_
-----------------------------_x000D_
22 / 11_2 : 2 (30)_x000D_
_x000D_
  TOTAL   : ( 2 )</t>
        </r>
      </text>
    </comment>
    <comment ref="AB198" authorId="0" shapeId="0" xr:uid="{C6702077-396D-48F8-81C5-BF7100544C35}">
      <text>
        <r>
          <rPr>
            <sz val="10"/>
            <color indexed="81"/>
            <rFont val="Lucida Console"/>
            <family val="3"/>
          </rPr>
          <t>Última movimentação no estoque em 03/2023 quantidade 9.</t>
        </r>
      </text>
    </comment>
    <comment ref="R199" authorId="0" shapeId="0" xr:uid="{E21FD0E5-ECC9-4216-AAE5-58C648FD4181}">
      <text>
        <r>
          <rPr>
            <sz val="10"/>
            <color indexed="81"/>
            <rFont val="Lucida Console"/>
            <family val="3"/>
          </rPr>
          <t>08.04.2011</t>
        </r>
      </text>
    </comment>
    <comment ref="Y199" authorId="0" shapeId="0" xr:uid="{291F0CD6-CFD6-4CD6-8843-509584699575}">
      <text>
        <r>
          <rPr>
            <sz val="10"/>
            <color indexed="81"/>
            <rFont val="Courier New"/>
            <family val="3"/>
          </rPr>
          <t>_x000D_
    DESCRIÇÃO DO CÁLCULO_x000D_
Código    : 119.621_x000D_
Corte     : 106_x000D_
-----------------------------_x000D_
Pendente  : _x000D_
22 / 08_2 : 72_x000D_
22 / 09_2 : _x000D_
22 / 10_2 : 20_x000D_
22 / 11_2 : 50_x000D_
22 / 12_2 : 25_x000D_
23 / 01_2 : 40_x000D_
23 / 02_2 : _x000D_
23 / 03_2 : 42_x000D_
23 / 04_2 : 42_x000D_
23 / 05_2 : 106 (corte = 123)_x000D_
23 / 06_2 : _x000D_
23 / 07_2 : 30_x000D_
_x000D_
    TOTAL : ( 427 )_x000D_
  DIVISOR : 12_x000D_
    MÉDIA : 35,58_x000D_
-----------------------------_x000D_
   Valores Desconsiderados_x000D_
-----------------------------_x000D_
23 / 05_2 : 17 (123)_x000D_
_x000D_
  TOTAL   : ( 17 )</t>
        </r>
      </text>
    </comment>
    <comment ref="AB199" authorId="0" shapeId="0" xr:uid="{5D113905-159C-46E8-AB49-76102B230A75}">
      <text>
        <r>
          <rPr>
            <sz val="10"/>
            <color indexed="81"/>
            <rFont val="Lucida Console"/>
            <family val="3"/>
          </rPr>
          <t>Última movimentação no estoque em 07/2023 quantidade 30.</t>
        </r>
      </text>
    </comment>
    <comment ref="R200" authorId="0" shapeId="0" xr:uid="{C9B31581-153C-4D03-B6C7-5037FE7ACD89}">
      <text>
        <r>
          <rPr>
            <sz val="10"/>
            <color indexed="81"/>
            <rFont val="Lucida Console"/>
            <family val="3"/>
          </rPr>
          <t>30.03.2011</t>
        </r>
      </text>
    </comment>
    <comment ref="Y200" authorId="0" shapeId="0" xr:uid="{360DE96D-747D-41E7-ABF4-5B096299B512}">
      <text>
        <r>
          <rPr>
            <sz val="10"/>
            <color indexed="81"/>
            <rFont val="Courier New"/>
            <family val="3"/>
          </rPr>
          <t>_x000D_
    DESCRIÇÃO DO CÁLCULO_x000D_
Código    : 119.554_x000D_
Corte     : 49_x000D_
-----------------------------_x000D_
Pendente  : _x000D_
22 / 08_2 : 20_x000D_
22 / 09_2 : _x000D_
22 / 10_2 : 42_x000D_
22 / 11_2 : _x000D_
22 / 12_2 : _x000D_
23 / 01_2 : _x000D_
23 / 02_2 : _x000D_
23 / 03_2 : _x000D_
23 / 04_2 : _x000D_
23 / 05_2 : 42_x000D_
23 / 06_2 : _x000D_
23 / 07_2 : 42_x000D_
_x000D_
    TOTAL : ( 146 )_x000D_
  DIVISOR : 12_x000D_
    MÉDIA : 12,17</t>
        </r>
      </text>
    </comment>
    <comment ref="AB200" authorId="0" shapeId="0" xr:uid="{E2C2FCE0-B297-49FA-A2CA-CA624CEE3F64}">
      <text>
        <r>
          <rPr>
            <sz val="10"/>
            <color indexed="81"/>
            <rFont val="Lucida Console"/>
            <family val="3"/>
          </rPr>
          <t>Última movimentação no estoque em 07/2023 quantidade 42.</t>
        </r>
      </text>
    </comment>
    <comment ref="R201" authorId="0" shapeId="0" xr:uid="{CB904423-5E6C-4220-A993-2EA50EAEA913}">
      <text>
        <r>
          <rPr>
            <sz val="10"/>
            <color indexed="81"/>
            <rFont val="Lucida Console"/>
            <family val="3"/>
          </rPr>
          <t>15.09.2003</t>
        </r>
      </text>
    </comment>
    <comment ref="Y201" authorId="0" shapeId="0" xr:uid="{F328B084-8FE3-4519-B960-85FE273C1D68}">
      <text>
        <r>
          <rPr>
            <sz val="10"/>
            <color indexed="81"/>
            <rFont val="Courier New"/>
            <family val="3"/>
          </rPr>
          <t>_x000D_
    DESCRIÇÃO DO CÁLCULO_x000D_
Código    : 75.334_x000D_
Corte     : 114_x000D_
-----------------------------_x000D_
Pendente  : _x000D_
22 / 08_2 : 84_x000D_
22 / 09_2 : 42_x000D_
22 / 10_2 : 42_x000D_
22 / 11_2 : 42_x000D_
22 / 12_2 : _x000D_
23 / 01_2 : 42_x000D_
23 / 02_2 : _x000D_
23 / 03_2 : 42_x000D_
23 / 04_2 : _x000D_
23 / 05_2 : 114 (corte = 126)_x000D_
23 / 06_2 : 42_x000D_
23 / 07_2 : _x000D_
_x000D_
    TOTAL : ( 450 )_x000D_
  DIVISOR : 12_x000D_
    MÉDIA : 37,50_x000D_
-----------------------------_x000D_
   Valores Desconsiderados_x000D_
-----------------------------_x000D_
23 / 05_2 : 12 (126)_x000D_
_x000D_
  TOTAL   : ( 12 )</t>
        </r>
      </text>
    </comment>
    <comment ref="AB201" authorId="0" shapeId="0" xr:uid="{77D79502-7373-4997-AA48-B90C2720B023}">
      <text>
        <r>
          <rPr>
            <sz val="10"/>
            <color indexed="81"/>
            <rFont val="Lucida Console"/>
            <family val="3"/>
          </rPr>
          <t>Última movimentação no estoque em 06/2023 quantidade 42.</t>
        </r>
      </text>
    </comment>
    <comment ref="R202" authorId="0" shapeId="0" xr:uid="{355542C4-2A78-4AAC-934A-11442F7595AF}">
      <text>
        <r>
          <rPr>
            <sz val="10"/>
            <color indexed="81"/>
            <rFont val="Lucida Console"/>
            <family val="3"/>
          </rPr>
          <t>06.08.2010</t>
        </r>
      </text>
    </comment>
    <comment ref="Y202" authorId="0" shapeId="0" xr:uid="{6EDC7AD4-B618-46A4-A891-BFEEF46D77C9}">
      <text>
        <r>
          <rPr>
            <sz val="10"/>
            <color indexed="81"/>
            <rFont val="Courier New"/>
            <family val="3"/>
          </rPr>
          <t>_x000D_
    DESCRIÇÃO DO CÁLCULO_x000D_
Código    : 116.771_x000D_
Corte     : 4_x000D_
-----------------------------_x000D_
Pendente  : _x000D_
22 / 08_2 : _x000D_
22 / 09_2 : _x000D_
22 / 10_2 : _x000D_
22 / 11_2 : _x000D_
22 / 12_2 : 2_x000D_
23 / 01_2 : _x000D_
23 / 02_2 : _x000D_
23 / 03_2 : _x000D_
23 / 04_2 : _x000D_
23 / 05_2 : 4_x000D_
23 / 06_2 : _x000D_
23 / 07_2 : 4 (corte = 5)_x000D_
_x000D_
    TOTAL : ( 10 )_x000D_
  DIVISOR : 12_x000D_
    MÉDIA : ,83_x000D_
-----------------------------_x000D_
   Valores Desconsiderados_x000D_
-----------------------------_x000D_
23 / 07_2 : 1 (5)_x000D_
_x000D_
  TOTAL   : ( 1 )</t>
        </r>
      </text>
    </comment>
    <comment ref="AB202" authorId="0" shapeId="0" xr:uid="{63ACE120-2EA2-4646-BC01-8D8328FF9A05}">
      <text>
        <r>
          <rPr>
            <sz val="10"/>
            <color indexed="81"/>
            <rFont val="Lucida Console"/>
            <family val="3"/>
          </rPr>
          <t>Última movimentação no estoque em 07/2023 quantidade 5.</t>
        </r>
      </text>
    </comment>
    <comment ref="R203" authorId="0" shapeId="0" xr:uid="{B567E0EE-396D-45AD-AACD-D37D00ADE4F3}">
      <text>
        <r>
          <rPr>
            <sz val="10"/>
            <color indexed="81"/>
            <rFont val="Lucida Console"/>
            <family val="3"/>
          </rPr>
          <t>23.06.2010</t>
        </r>
      </text>
    </comment>
    <comment ref="Y203" authorId="0" shapeId="0" xr:uid="{584BFE75-5E50-42CA-B8B4-62A834FE70C7}">
      <text>
        <r>
          <rPr>
            <sz val="10"/>
            <color indexed="81"/>
            <rFont val="Courier New"/>
            <family val="3"/>
          </rPr>
          <t>_x000D_
    DESCRIÇÃO DO CÁLCULO_x000D_
Código    : 115.807_x000D_
Corte     : 123_x000D_
-----------------------------_x000D_
Pendente  : _x000D_
22 / 08_2 : 122_x000D_
22 / 09_2 : 40_x000D_
22 / 10_2 : 40_x000D_
22 / 11_2 : 40_x000D_
22 / 12_2 : _x000D_
23 / 01_2 : 40_x000D_
23 / 02_2 : 40_x000D_
23 / 03_2 : 40_x000D_
23 / 04_2 : 40_x000D_
23 / 05_2 : 40_x000D_
23 / 06_2 : _x000D_
23 / 07_2 : 122_x000D_
_x000D_
    TOTAL : ( 564 )_x000D_
  DIVISOR : 12_x000D_
    MÉDIA : 47,00</t>
        </r>
      </text>
    </comment>
    <comment ref="AB203" authorId="0" shapeId="0" xr:uid="{FBA66847-A245-4237-AECD-E83230BB2F1D}">
      <text>
        <r>
          <rPr>
            <sz val="10"/>
            <color indexed="81"/>
            <rFont val="Lucida Console"/>
            <family val="3"/>
          </rPr>
          <t>Última movimentação no estoque em 07/2023 quantidade 122.</t>
        </r>
      </text>
    </comment>
    <comment ref="R204" authorId="0" shapeId="0" xr:uid="{E6BD1CA4-1D10-4F38-AA6C-B8E5CAFBAEF4}">
      <text>
        <r>
          <rPr>
            <sz val="10"/>
            <color indexed="81"/>
            <rFont val="Lucida Console"/>
            <family val="3"/>
          </rPr>
          <t>15.09.2003</t>
        </r>
      </text>
    </comment>
    <comment ref="Y204" authorId="0" shapeId="0" xr:uid="{035313A7-E25D-4C4C-908B-A2A52E4D4274}">
      <text>
        <r>
          <rPr>
            <sz val="10"/>
            <color indexed="81"/>
            <rFont val="Courier New"/>
            <family val="3"/>
          </rPr>
          <t>_x000D_
    DESCRIÇÃO DO CÁLCULO_x000D_
Código    : 75.324_x000D_
Corte     : 154_x000D_
-----------------------------_x000D_
Pendente  : _x000D_
22 / 08_2 : 73_x000D_
22 / 09_2 : 40_x000D_
22 / 10_2 : 73_x000D_
22 / 11_2 : _x000D_
22 / 12_2 : _x000D_
23 / 01_2 : 154 (corte = 193)_x000D_
23 / 02_2 : _x000D_
23 / 03_2 : _x000D_
23 / 04_2 : _x000D_
23 / 05_2 : 73_x000D_
23 / 06_2 : _x000D_
23 / 07_2 : _x000D_
_x000D_
    TOTAL : ( 413 )_x000D_
  DIVISOR : 12_x000D_
    MÉDIA : 34,42_x000D_
-----------------------------_x000D_
   Valores Desconsiderados_x000D_
-----------------------------_x000D_
23 / 01_2 : 39 (193)_x000D_
_x000D_
  TOTAL   : ( 39 )</t>
        </r>
      </text>
    </comment>
    <comment ref="AB204" authorId="0" shapeId="0" xr:uid="{6666C93A-86DE-4672-90F9-7B6D4D9E1D5F}">
      <text>
        <r>
          <rPr>
            <sz val="10"/>
            <color indexed="81"/>
            <rFont val="Lucida Console"/>
            <family val="3"/>
          </rPr>
          <t>Última movimentação no estoque em 05/2023 quantidade 73.</t>
        </r>
      </text>
    </comment>
    <comment ref="R205" authorId="0" shapeId="0" xr:uid="{5D93C646-BB7D-4DA0-9B6F-D02AEAB8FB28}">
      <text>
        <r>
          <rPr>
            <sz val="10"/>
            <color indexed="81"/>
            <rFont val="Lucida Console"/>
            <family val="3"/>
          </rPr>
          <t>22.08.2013</t>
        </r>
      </text>
    </comment>
    <comment ref="Y205" authorId="0" shapeId="0" xr:uid="{9F40ABCB-32AD-40F4-BC3F-447AC883E090}">
      <text>
        <r>
          <rPr>
            <sz val="10"/>
            <color indexed="81"/>
            <rFont val="Courier New"/>
            <family val="3"/>
          </rPr>
          <t>_x000D_
    DESCRIÇÃO DO CÁLCULO_x000D_
Código    : 126.044_x000D_
Corte     : 8_x000D_
-----------------------------_x000D_
Pendente  : _x000D_
22 / 08_2 : _x000D_
22 / 09_2 : _x000D_
22 / 10_2 : _x000D_
22 / 11_2 : _x000D_
22 / 12_2 : 8_x000D_
23 / 01_2 : 4_x000D_
23 / 02_2 : _x000D_
23 / 03_2 : _x000D_
23 / 04_2 : _x000D_
23 / 05_2 : _x000D_
23 / 06_2 : 8 (corte = 10)_x000D_
23 / 07_2 : _x000D_
_x000D_
    TOTAL : ( 20 )_x000D_
  DIVISOR : 12_x000D_
    MÉDIA : 1,67_x000D_
-----------------------------_x000D_
   Valores Desconsiderados_x000D_
-----------------------------_x000D_
23 / 06_2 : 2 (10)_x000D_
_x000D_
  TOTAL   : ( 2 )</t>
        </r>
      </text>
    </comment>
    <comment ref="AB205" authorId="0" shapeId="0" xr:uid="{0F76723E-BC2B-4D5E-97DF-991611110379}">
      <text>
        <r>
          <rPr>
            <sz val="10"/>
            <color indexed="81"/>
            <rFont val="Lucida Console"/>
            <family val="3"/>
          </rPr>
          <t>Última movimentação no estoque em 06/2023 quantidade 10.</t>
        </r>
      </text>
    </comment>
    <comment ref="R206" authorId="0" shapeId="0" xr:uid="{FF0E12E2-7C36-4AD1-8CB2-88DD8A103EA6}">
      <text>
        <r>
          <rPr>
            <sz val="10"/>
            <color indexed="81"/>
            <rFont val="Lucida Console"/>
            <family val="3"/>
          </rPr>
          <t>18.09.2008</t>
        </r>
      </text>
    </comment>
    <comment ref="Y206" authorId="0" shapeId="0" xr:uid="{699CD616-0535-451F-8ECB-A031770261FA}">
      <text>
        <r>
          <rPr>
            <sz val="10"/>
            <color indexed="81"/>
            <rFont val="Courier New"/>
            <family val="3"/>
          </rPr>
          <t>_x000D_
    DESCRIÇÃO DO CÁLCULO_x000D_
Código    : 107.889_x000D_
Corte     : 55_x000D_
-----------------------------_x000D_
Pendente  : 19_x000D_
22 / 08_2 : 22_x000D_
22 / 09_2 : 22_x000D_
22 / 10_2 : 9_x000D_
22 / 11_2 : 55 (corte = 57)_x000D_
22 / 12_2 : 4_x000D_
23 / 01_2 : 19_x000D_
23 / 02_2 : 14_x000D_
23 / 03_2 : 46_x000D_
23 / 04_2 : 20_x000D_
23 / 05_2 : _x000D_
23 / 06_2 : 35_x000D_
23 / 07_2 : 4_x000D_
_x000D_
    TOTAL : ( 269 )_x000D_
  DIVISOR : 12_x000D_
    MÉDIA : 22,42_x000D_
-----------------------------_x000D_
   Valores Desconsiderados_x000D_
-----------------------------_x000D_
22 / 11_2 : 2 (57)_x000D_
_x000D_
  TOTAL   : ( 2 )</t>
        </r>
      </text>
    </comment>
    <comment ref="AB206" authorId="0" shapeId="0" xr:uid="{FD16B2B0-3C3F-4AEA-AB9A-E03BB423E92D}">
      <text>
        <r>
          <rPr>
            <sz val="10"/>
            <color indexed="81"/>
            <rFont val="Lucida Console"/>
            <family val="3"/>
          </rPr>
          <t>Última movimentação no estoque em 07/2023 quantidade 4.</t>
        </r>
      </text>
    </comment>
    <comment ref="R207" authorId="0" shapeId="0" xr:uid="{4E11DA6F-50FB-43D8-A0F3-9BF74901E422}">
      <text>
        <r>
          <rPr>
            <sz val="10"/>
            <color indexed="81"/>
            <rFont val="Lucida Console"/>
            <family val="3"/>
          </rPr>
          <t>21.05.2008</t>
        </r>
      </text>
    </comment>
    <comment ref="Y207" authorId="0" shapeId="0" xr:uid="{A6C2C938-7C76-44F0-8BAE-12364840385C}">
      <text>
        <r>
          <rPr>
            <sz val="10"/>
            <color indexed="81"/>
            <rFont val="Courier New"/>
            <family val="3"/>
          </rPr>
          <t>_x000D_
    DESCRIÇÃO DO CÁLCULO_x000D_
Código    : 106.546_x000D_
Corte     : 522_x000D_
-----------------------------_x000D_
Pendente  : _x000D_
22 / 08_2 : 152_x000D_
22 / 09_2 : 150_x000D_
22 / 10_2 : 95_x000D_
22 / 11_2 : _x000D_
22 / 12_2 : 20_x000D_
23 / 01_2 : 150_x000D_
23 / 02_2 : 32_x000D_
23 / 03_2 : 441_x000D_
23 / 04_2 : _x000D_
23 / 05_2 : 522 (corte = 600)_x000D_
23 / 06_2 : _x000D_
23 / 07_2 : _x000D_
_x000D_
    TOTAL : ( 1.562 )_x000D_
  DIVISOR : 12_x000D_
    MÉDIA : 130,17_x000D_
-----------------------------_x000D_
   Valores Desconsiderados_x000D_
-----------------------------_x000D_
23 / 05_2 : 78 (600)_x000D_
_x000D_
  TOTAL   : ( 78 )</t>
        </r>
      </text>
    </comment>
    <comment ref="AB207" authorId="0" shapeId="0" xr:uid="{8D1C1B78-16AC-48E4-8163-D88591256A78}">
      <text>
        <r>
          <rPr>
            <sz val="10"/>
            <color indexed="81"/>
            <rFont val="Lucida Console"/>
            <family val="3"/>
          </rPr>
          <t>Última movimentação no estoque em 05/2023 quantidade 600.</t>
        </r>
      </text>
    </comment>
    <comment ref="R208" authorId="0" shapeId="0" xr:uid="{841784DC-DEE2-4B44-97A6-367DAB05F39B}">
      <text>
        <r>
          <rPr>
            <sz val="10"/>
            <color indexed="81"/>
            <rFont val="Lucida Console"/>
            <family val="3"/>
          </rPr>
          <t>21.05.2008</t>
        </r>
      </text>
    </comment>
    <comment ref="Y208" authorId="0" shapeId="0" xr:uid="{0C75BA04-D248-4374-848D-307527B7E51E}">
      <text>
        <r>
          <rPr>
            <sz val="10"/>
            <color indexed="81"/>
            <rFont val="Courier New"/>
            <family val="3"/>
          </rPr>
          <t>_x000D_
    DESCRIÇÃO DO CÁLCULO_x000D_
Código    : 106.544_x000D_
Corte     : 684_x000D_
-----------------------------_x000D_
Pendente  : 397_x000D_
22 / 08_2 : 150_x000D_
22 / 09_2 : 320_x000D_
22 / 10_2 : 80_x000D_
22 / 11_2 : 106_x000D_
22 / 12_2 : 500_x000D_
23 / 01_2 : 666_x000D_
23 / 02_2 : 45_x000D_
23 / 03_2 : 450_x000D_
23 / 04_2 : _x000D_
23 / 05_2 : 203_x000D_
23 / 06_2 : _x000D_
23 / 07_2 : _x000D_
_x000D_
    TOTAL : ( 2.917 )_x000D_
  DIVISOR : 12_x000D_
    MÉDIA : 243,08</t>
        </r>
      </text>
    </comment>
    <comment ref="AB208" authorId="0" shapeId="0" xr:uid="{AE1AF5D8-9412-41A6-AB2B-83E681983DF9}">
      <text>
        <r>
          <rPr>
            <sz val="10"/>
            <color indexed="81"/>
            <rFont val="Lucida Console"/>
            <family val="3"/>
          </rPr>
          <t>Última movimentação no estoque em 05/2023 quantidade 203.</t>
        </r>
      </text>
    </comment>
    <comment ref="R209" authorId="0" shapeId="0" xr:uid="{39C4A100-9BE2-4929-972C-E627E5D719AC}">
      <text>
        <r>
          <rPr>
            <sz val="10"/>
            <color indexed="81"/>
            <rFont val="Lucida Console"/>
            <family val="3"/>
          </rPr>
          <t>01.01.1901</t>
        </r>
      </text>
    </comment>
    <comment ref="Y209" authorId="0" shapeId="0" xr:uid="{052D1F4A-44F2-4C57-9475-414D972B0F12}">
      <text>
        <r>
          <rPr>
            <sz val="10"/>
            <color indexed="81"/>
            <rFont val="Courier New"/>
            <family val="3"/>
          </rPr>
          <t>_x000D_
    DESCRIÇÃO DO CÁLCULO_x000D_
Código    : 50.797_x000D_
Corte     : 55_x000D_
-----------------------------_x000D_
Pendente  : _x000D_
22 / 08_2 : 10_x000D_
22 / 09_2 : 9_x000D_
22 / 10_2 : 7_x000D_
22 / 11_2 : 10_x000D_
22 / 12_2 : 3_x000D_
23 / 01_2 : _x000D_
23 / 02_2 : 55 (corte = 61)_x000D_
23 / 03_2 : 13_x000D_
23 / 04_2 : 35_x000D_
23 / 05_2 : 18_x000D_
23 / 06_2 : 43_x000D_
23 / 07_2 : _x000D_
_x000D_
    TOTAL : ( 203 )_x000D_
  DIVISOR : 12_x000D_
    MÉDIA : 16,92_x000D_
-----------------------------_x000D_
   Valores Desconsiderados_x000D_
-----------------------------_x000D_
23 / 02_2 : 6 (61)_x000D_
_x000D_
  TOTAL   : ( 6 )</t>
        </r>
      </text>
    </comment>
    <comment ref="AB209" authorId="0" shapeId="0" xr:uid="{D0030589-3F9B-44D1-9C6F-9737CC552D6B}">
      <text>
        <r>
          <rPr>
            <sz val="10"/>
            <color indexed="81"/>
            <rFont val="Lucida Console"/>
            <family val="3"/>
          </rPr>
          <t>Última movimentação no estoque em 06/2023 quantidade 43.</t>
        </r>
      </text>
    </comment>
    <comment ref="R210" authorId="0" shapeId="0" xr:uid="{7BB5B0EB-0FE9-4576-B94A-025031C914AC}">
      <text>
        <r>
          <rPr>
            <sz val="10"/>
            <color indexed="81"/>
            <rFont val="Lucida Console"/>
            <family val="3"/>
          </rPr>
          <t>25.06.2007</t>
        </r>
      </text>
    </comment>
    <comment ref="Y210" authorId="0" shapeId="0" xr:uid="{AE82293D-007D-43B2-A0C1-9E414DB1DFD5}">
      <text>
        <r>
          <rPr>
            <sz val="10"/>
            <color indexed="81"/>
            <rFont val="Courier New"/>
            <family val="3"/>
          </rPr>
          <t>_x000D_
    DESCRIÇÃO DO CÁLCULO_x000D_
Código    : 100.362_x000D_
Corte     : 1.140_x000D_
-----------------------------_x000D_
Pendente  : 137_x000D_
22 / 08_2 : 855_x000D_
22 / 09_2 : 742_x000D_
22 / 10_2 : 744_x000D_
22 / 11_2 : 259_x000D_
22 / 12_2 : 1.091_x000D_
23 / 01_2 : 337_x000D_
23 / 02_2 : _x000D_
23 / 03_2 : _x000D_
23 / 04_2 : _x000D_
23 / 05_2 : _x000D_
23 / 06_2 : _x000D_
23 / 07_2 : _x000D_
_x000D_
    TOTAL : ( 4.165 )_x000D_
  DIVISOR : 12_x000D_
    MÉDIA : 347,08</t>
        </r>
      </text>
    </comment>
    <comment ref="AB210" authorId="0" shapeId="0" xr:uid="{148F3982-2294-4DBE-8333-4D64D1D22E45}">
      <text>
        <r>
          <rPr>
            <sz val="10"/>
            <color indexed="81"/>
            <rFont val="Lucida Console"/>
            <family val="3"/>
          </rPr>
          <t>Última movimentação no estoque em 01/2023 quantidade 337.</t>
        </r>
      </text>
    </comment>
    <comment ref="R211" authorId="0" shapeId="0" xr:uid="{6DA77742-10F0-42FB-8798-B18CE8B105F3}">
      <text>
        <r>
          <rPr>
            <sz val="10"/>
            <color indexed="81"/>
            <rFont val="Lucida Console"/>
            <family val="3"/>
          </rPr>
          <t>01.01.1901</t>
        </r>
      </text>
    </comment>
    <comment ref="Y211" authorId="0" shapeId="0" xr:uid="{EF1E80AF-0A34-44B1-8734-7EB63FB828EB}">
      <text>
        <r>
          <rPr>
            <sz val="10"/>
            <color indexed="81"/>
            <rFont val="Courier New"/>
            <family val="3"/>
          </rPr>
          <t>_x000D_
    DESCRIÇÃO DO CÁLCULO_x000D_
Código    : 14.662_x000D_
Corte     : 737_x000D_
-----------------------------_x000D_
Pendente  : 146_x000D_
22 / 08_2 : 419_x000D_
22 / 09_2 : 296_x000D_
22 / 10_2 : 471_x000D_
22 / 11_2 : 485_x000D_
22 / 12_2 : 379_x000D_
23 / 01_2 : 374_x000D_
23 / 02_2 : 602_x000D_
23 / 03_2 : 500_x000D_
23 / 04_2 : 653_x000D_
23 / 05_2 : 539_x000D_
23 / 06_2 : 455_x000D_
23 / 07_2 : 386_x000D_
_x000D_
    TOTAL : ( 5.705 )_x000D_
  DIVISOR : 12_x000D_
    MÉDIA : 475,42</t>
        </r>
      </text>
    </comment>
    <comment ref="AB211" authorId="0" shapeId="0" xr:uid="{18BF6437-674D-4E39-A329-A4F7A8234453}">
      <text>
        <r>
          <rPr>
            <sz val="10"/>
            <color indexed="81"/>
            <rFont val="Lucida Console"/>
            <family val="3"/>
          </rPr>
          <t>Última movimentação no estoque em 07/2023 quantidade 386.</t>
        </r>
      </text>
    </comment>
    <comment ref="R212" authorId="0" shapeId="0" xr:uid="{15350BAD-EBBB-4366-94CB-4B9D5366CC5E}">
      <text>
        <r>
          <rPr>
            <sz val="10"/>
            <color indexed="81"/>
            <rFont val="Lucida Console"/>
            <family val="3"/>
          </rPr>
          <t>01.01.1901</t>
        </r>
      </text>
    </comment>
    <comment ref="Y212" authorId="0" shapeId="0" xr:uid="{E1AE5D2D-70FC-4891-9ED9-3B9C1E3178CD}">
      <text>
        <r>
          <rPr>
            <sz val="10"/>
            <color indexed="81"/>
            <rFont val="Courier New"/>
            <family val="3"/>
          </rPr>
          <t>_x000D_
    DESCRIÇÃO DO CÁLCULO_x000D_
Código    : 11.109_x000D_
Corte     : 604_x000D_
-----------------------------_x000D_
Pendente  : 326_x000D_
22 / 08_2 : 304_x000D_
22 / 09_2 : 355_x000D_
22 / 10_2 : 313_x000D_
22 / 11_2 : 362_x000D_
22 / 12_2 : 92_x000D_
23 / 01_2 : 49_x000D_
23 / 02_2 : _x000D_
23 / 03_2 : 22_x000D_
23 / 04_2 : 363_x000D_
23 / 05_2 : 462_x000D_
23 / 06_2 : 407_x000D_
23 / 07_2 : 357_x000D_
_x000D_
    TOTAL : ( 3.412 )_x000D_
  DIVISOR : 12_x000D_
    MÉDIA : 284,33</t>
        </r>
      </text>
    </comment>
    <comment ref="AB212" authorId="0" shapeId="0" xr:uid="{B5913D90-3496-4CF0-B9E1-74BE5867ABD5}">
      <text>
        <r>
          <rPr>
            <sz val="10"/>
            <color indexed="81"/>
            <rFont val="Lucida Console"/>
            <family val="3"/>
          </rPr>
          <t>Última movimentação no estoque em 07/2023 quantidade 357.</t>
        </r>
      </text>
    </comment>
    <comment ref="R213" authorId="0" shapeId="0" xr:uid="{1E36B0DB-6260-4DEC-9A13-245BF389C39B}">
      <text>
        <r>
          <rPr>
            <sz val="10"/>
            <color indexed="81"/>
            <rFont val="Lucida Console"/>
            <family val="3"/>
          </rPr>
          <t>02.03.2015</t>
        </r>
      </text>
    </comment>
    <comment ref="Y213" authorId="0" shapeId="0" xr:uid="{F7DE478D-5E3D-4175-9DF5-212FC23AFE1D}">
      <text>
        <r>
          <rPr>
            <sz val="10"/>
            <color indexed="81"/>
            <rFont val="Courier New"/>
            <family val="3"/>
          </rPr>
          <t>_x000D_
    DESCRIÇÃO DO CÁLCULO_x000D_
Código    : 130.024_x000D_
Corte     : 562_x000D_
-----------------------------_x000D_
Pendente  : 15_x000D_
22 / 08_2 : 242_x000D_
22 / 09_2 : 260_x000D_
22 / 10_2 : 336_x000D_
22 / 11_2 : 343_x000D_
22 / 12_2 : 214_x000D_
23 / 01_2 : 105_x000D_
23 / 02_2 : 388_x000D_
23 / 03_2 : 469_x000D_
23 / 04_2 : 336_x000D_
23 / 05_2 : 379_x000D_
23 / 06_2 : 356_x000D_
23 / 07_2 : 346_x000D_
_x000D_
    TOTAL : ( 3.789 )_x000D_
  DIVISOR : 12_x000D_
    MÉDIA : 315,75</t>
        </r>
      </text>
    </comment>
    <comment ref="AB213" authorId="0" shapeId="0" xr:uid="{EE0CACC6-24E8-40AC-ACA1-32876A82BF4F}">
      <text>
        <r>
          <rPr>
            <sz val="10"/>
            <color indexed="81"/>
            <rFont val="Lucida Console"/>
            <family val="3"/>
          </rPr>
          <t>Última movimentação no estoque em 07/2023 quantidade 346.</t>
        </r>
      </text>
    </comment>
    <comment ref="R214" authorId="0" shapeId="0" xr:uid="{83F29984-EA8F-4C20-8169-092F294A4DC1}">
      <text>
        <r>
          <rPr>
            <sz val="10"/>
            <color indexed="81"/>
            <rFont val="Lucida Console"/>
            <family val="3"/>
          </rPr>
          <t>05.05.2017</t>
        </r>
      </text>
    </comment>
    <comment ref="Y214" authorId="0" shapeId="0" xr:uid="{9DF54F7A-4CD9-4739-B638-6B012D033F4C}">
      <text>
        <r>
          <rPr>
            <sz val="10"/>
            <color indexed="81"/>
            <rFont val="Courier New"/>
            <family val="3"/>
          </rPr>
          <t>_x000D_
    DESCRIÇÃO DO CÁLCULO_x000D_
Código    : 132.650_x000D_
Corte     : 444_x000D_
-----------------------------_x000D_
Pendente  : 314_x000D_
22 / 08_2 : 78_x000D_
22 / 09_2 : 92_x000D_
22 / 10_2 : 124_x000D_
22 / 11_2 : 133_x000D_
22 / 12_2 : 87_x000D_
23 / 01_2 : 186_x000D_
23 / 02_2 : 150_x000D_
23 / 03_2 : 444 (corte = 543)_x000D_
23 / 04_2 : 45_x000D_
23 / 05_2 : _x000D_
23 / 06_2 : 73_x000D_
23 / 07_2 : _x000D_
_x000D_
    TOTAL : ( 1.726 )_x000D_
  DIVISOR : 12_x000D_
    MÉDIA : 143,83_x000D_
-----------------------------_x000D_
   Valores Desconsiderados_x000D_
-----------------------------_x000D_
23 / 03_2 : 99 (543)_x000D_
_x000D_
  TOTAL   : ( 99 )</t>
        </r>
      </text>
    </comment>
    <comment ref="AB214" authorId="0" shapeId="0" xr:uid="{31208B18-5AB8-43B2-B88A-3510470B64C4}">
      <text>
        <r>
          <rPr>
            <sz val="10"/>
            <color indexed="81"/>
            <rFont val="Lucida Console"/>
            <family val="3"/>
          </rPr>
          <t>Última movimentação no estoque em 06/2023 quantidade 73.</t>
        </r>
      </text>
    </comment>
    <comment ref="R215" authorId="0" shapeId="0" xr:uid="{ED759E27-2273-4134-9BD6-FA9D0F176B8E}">
      <text>
        <r>
          <rPr>
            <sz val="10"/>
            <color indexed="81"/>
            <rFont val="Lucida Console"/>
            <family val="3"/>
          </rPr>
          <t>04.02.2019</t>
        </r>
      </text>
    </comment>
    <comment ref="Y215" authorId="0" shapeId="0" xr:uid="{E09AA700-F083-4F54-AB4B-2420717C31E7}">
      <text>
        <r>
          <rPr>
            <sz val="10"/>
            <color indexed="81"/>
            <rFont val="Courier New"/>
            <family val="3"/>
          </rPr>
          <t>_x000D_
    DESCRIÇÃO DO CÁLCULO_x000D_
Código    : 136.408_x000D_
Corte     : 13.526_x000D_
-----------------------------_x000D_
Pendente  : 952_x000D_
22 / 08_2 : 1.144_x000D_
22 / 09_2 : 997_x000D_
22 / 10_2 : 1.066_x000D_
22 / 11_2 : 1.217_x000D_
22 / 12_2 : 753_x000D_
23 / 01_2 : 438_x000D_
23 / 02_2 : 636_x000D_
23 / 03_2 : 13.526 (corte = 20690)_x000D_
23 / 04_2 : 253_x000D_
23 / 05_2 : _x000D_
23 / 06_2 : _x000D_
23 / 07_2 : 504_x000D_
_x000D_
    TOTAL : ( 21.486 )_x000D_
  DIVISOR : 12_x000D_
    MÉDIA : 1.790,50_x000D_
-----------------------------_x000D_
   Valores Desconsiderados_x000D_
-----------------------------_x000D_
23 / 03_2 : 7.164 (20.690)_x000D_
_x000D_
  TOTAL   : ( 7.164 )</t>
        </r>
      </text>
    </comment>
    <comment ref="AB215" authorId="0" shapeId="0" xr:uid="{1F5E9270-908A-4058-86DB-08AF763327BF}">
      <text>
        <r>
          <rPr>
            <sz val="10"/>
            <color indexed="81"/>
            <rFont val="Lucida Console"/>
            <family val="3"/>
          </rPr>
          <t>Última movimentação no estoque em 07/2023 quantidade 504.</t>
        </r>
      </text>
    </comment>
    <comment ref="R216" authorId="0" shapeId="0" xr:uid="{CB9B1B14-178B-4E2F-B3F6-CFD3D547AF2E}">
      <text>
        <r>
          <rPr>
            <sz val="10"/>
            <color indexed="81"/>
            <rFont val="Lucida Console"/>
            <family val="3"/>
          </rPr>
          <t>01.01.1901</t>
        </r>
      </text>
    </comment>
    <comment ref="Y216" authorId="0" shapeId="0" xr:uid="{D5376B7F-33DD-4A71-9CC2-18AC21A3B80E}">
      <text>
        <r>
          <rPr>
            <sz val="10"/>
            <color indexed="81"/>
            <rFont val="Courier New"/>
            <family val="3"/>
          </rPr>
          <t>_x000D_
    DESCRIÇÃO DO CÁLCULO_x000D_
Código    : 63.839_x000D_
Corte     : 75_x000D_
-----------------------------_x000D_
Pendente  : _x000D_
22 / 08_2 : 30_x000D_
22 / 09_2 : 12_x000D_
22 / 10_2 : 27_x000D_
22 / 11_2 : 12_x000D_
22 / 12_2 : 16_x000D_
23 / 01_2 : 75 (corte = 84)_x000D_
23 / 02_2 : 2_x000D_
23 / 03_2 : 2_x000D_
23 / 04_2 : 21_x000D_
23 / 05_2 : 65_x000D_
23 / 06_2 : _x000D_
23 / 07_2 : _x000D_
_x000D_
    TOTAL : ( 262 )_x000D_
  DIVISOR : 12_x000D_
    MÉDIA : 21,83_x000D_
-----------------------------_x000D_
   Valores Desconsiderados_x000D_
-----------------------------_x000D_
23 / 01_2 : 9 (84)_x000D_
_x000D_
  TOTAL   : ( 9 )</t>
        </r>
      </text>
    </comment>
    <comment ref="AB216" authorId="0" shapeId="0" xr:uid="{50A31F8F-B281-4903-BB68-4899BF6A4C18}">
      <text>
        <r>
          <rPr>
            <sz val="10"/>
            <color indexed="81"/>
            <rFont val="Lucida Console"/>
            <family val="3"/>
          </rPr>
          <t>Última movimentação no estoque em 05/2023 quantidade 65.</t>
        </r>
      </text>
    </comment>
    <comment ref="R217" authorId="0" shapeId="0" xr:uid="{AE7E0232-E67D-496D-B974-2546948B1A76}">
      <text>
        <r>
          <rPr>
            <sz val="10"/>
            <color indexed="81"/>
            <rFont val="Lucida Console"/>
            <family val="3"/>
          </rPr>
          <t>01.01.1901</t>
        </r>
      </text>
    </comment>
    <comment ref="Y217" authorId="0" shapeId="0" xr:uid="{64B1644A-185C-4790-A697-77C7B3F6F9F0}">
      <text>
        <r>
          <rPr>
            <sz val="10"/>
            <color indexed="81"/>
            <rFont val="Courier New"/>
            <family val="3"/>
          </rPr>
          <t>_x000D_
    DESCRIÇÃO DO CÁLCULO_x000D_
Código    : 97.965_x000D_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217" authorId="0" shapeId="0" xr:uid="{62330083-6542-4C05-9DF0-BBC50634D1E2}">
      <text>
        <r>
          <rPr>
            <sz val="10"/>
            <color indexed="81"/>
            <rFont val="Lucida Console"/>
            <family val="3"/>
          </rPr>
          <t>Última movimentação no estoque em 09/2022 quantidade 18.</t>
        </r>
      </text>
    </comment>
    <comment ref="R218" authorId="0" shapeId="0" xr:uid="{B31B44C4-52DF-42B1-B1ED-D404846559A0}">
      <text>
        <r>
          <rPr>
            <sz val="10"/>
            <color indexed="81"/>
            <rFont val="Lucida Console"/>
            <family val="3"/>
          </rPr>
          <t>01.01.1901</t>
        </r>
      </text>
    </comment>
    <comment ref="Y218" authorId="0" shapeId="0" xr:uid="{9412A3EE-DDE6-45DC-BA9C-7529727F7E63}">
      <text>
        <r>
          <rPr>
            <sz val="10"/>
            <color indexed="81"/>
            <rFont val="Courier New"/>
            <family val="3"/>
          </rPr>
          <t>_x000D_
    DESCRIÇÃO DO CÁLCULO_x000D_
Código    : 13.186_x000D_
Corte     : 21_x000D_
-----------------------------_x000D_
Pendente  : 19_x000D_
22 / 08_2 : 1_x000D_
22 / 09_2 : 5_x000D_
22 / 10_2 : _x000D_
22 / 11_2 : 10_x000D_
22 / 12_2 : 21 (corte = 22)_x000D_
23 / 01_2 : 10_x000D_
23 / 02_2 : _x000D_
23 / 03_2 : _x000D_
23 / 04_2 : _x000D_
23 / 05_2 : _x000D_
23 / 06_2 : _x000D_
23 / 07_2 : _x000D_
_x000D_
    TOTAL : ( 66 )_x000D_
  DIVISOR : 12_x000D_
    MÉDIA : 5,50_x000D_
-----------------------------_x000D_
   Valores Desconsiderados_x000D_
-----------------------------_x000D_
22 / 12_2 : 1 (22)_x000D_
_x000D_
  TOTAL   : ( 1 )</t>
        </r>
      </text>
    </comment>
    <comment ref="AB218" authorId="0" shapeId="0" xr:uid="{BA7E2993-D544-48B0-BA21-2DE72C84B1B5}">
      <text>
        <r>
          <rPr>
            <sz val="10"/>
            <color indexed="81"/>
            <rFont val="Lucida Console"/>
            <family val="3"/>
          </rPr>
          <t>Última movimentação no estoque em 01/2023 quantidade 10.</t>
        </r>
      </text>
    </comment>
    <comment ref="R219" authorId="0" shapeId="0" xr:uid="{5065758F-09DA-40B4-9F75-BF3F8DBD5FBA}">
      <text>
        <r>
          <rPr>
            <sz val="10"/>
            <color indexed="81"/>
            <rFont val="Lucida Console"/>
            <family val="3"/>
          </rPr>
          <t>01.01.1901</t>
        </r>
      </text>
    </comment>
    <comment ref="Y219" authorId="0" shapeId="0" xr:uid="{60FA23AE-72BF-4880-B814-94F15C679D89}">
      <text>
        <r>
          <rPr>
            <sz val="10"/>
            <color indexed="81"/>
            <rFont val="Courier New"/>
            <family val="3"/>
          </rPr>
          <t>_x000D_
    DESCRIÇÃO DO CÁLCULO_x000D_
Código    : 13.063_x000D_
Corte     : 133_x000D_
-----------------------------_x000D_
Pendente  : _x000D_
22 / 08_2 : 133 (corte = 142)_x000D_
22 / 09_2 : 79_x000D_
22 / 10_2 : 42_x000D_
22 / 11_2 : 72_x000D_
22 / 12_2 : 80_x000D_
23 / 01_2 : 51_x000D_
23 / 02_2 : 27_x000D_
23 / 03_2 : 79_x000D_
23 / 04_2 : 53_x000D_
23 / 05_2 : 80_x000D_
23 / 06_2 : _x000D_
23 / 07_2 : 33_x000D_
_x000D_
    TOTAL : ( 729 )_x000D_
  DIVISOR : 12_x000D_
    MÉDIA : 60,75_x000D_
-----------------------------_x000D_
   Valores Desconsiderados_x000D_
-----------------------------_x000D_
22 / 08_2 : 9 (142)_x000D_
_x000D_
  TOTAL   : ( 9 )</t>
        </r>
      </text>
    </comment>
    <comment ref="AB219" authorId="0" shapeId="0" xr:uid="{27CC5F09-6DC8-4C07-98F9-50EAE72BA899}">
      <text>
        <r>
          <rPr>
            <sz val="10"/>
            <color indexed="81"/>
            <rFont val="Lucida Console"/>
            <family val="3"/>
          </rPr>
          <t>Última movimentação no estoque em 07/2023 quantidade 33.</t>
        </r>
      </text>
    </comment>
    <comment ref="R220" authorId="0" shapeId="0" xr:uid="{A5B772C9-D61C-41CD-8F2A-85AE1212BBD8}">
      <text>
        <r>
          <rPr>
            <sz val="10"/>
            <color indexed="81"/>
            <rFont val="Lucida Console"/>
            <family val="3"/>
          </rPr>
          <t>01.01.1901</t>
        </r>
      </text>
    </comment>
    <comment ref="Y220" authorId="0" shapeId="0" xr:uid="{A13A076C-65AD-4171-8B26-A1699AA61661}">
      <text>
        <r>
          <rPr>
            <sz val="10"/>
            <color indexed="81"/>
            <rFont val="Courier New"/>
            <family val="3"/>
          </rPr>
          <t>_x000D_
    DESCRIÇÃO DO CÁLCULO_x000D_
Código    : 11.287_x000D_
Corte     : _x000D_
-----------------------------_x000D_
Pendente  : 1_x000D_
22 / 08_2 : _x000D_
22 / 09_2 : _x000D_
22 / 10_2 : _x000D_
22 / 11_2 : _x000D_
22 / 12_2 : _x000D_
23 / 01_2 : _x000D_
23 / 02_2 : _x000D_
23 / 03_2 : _x000D_
23 / 04_2 : _x000D_
23 / 05_2 : _x000D_
23 / 06_2 : _x000D_
23 / 07_2 : _x000D_
_x000D_
    TOTAL : ( 1 )_x000D_
  DIVISOR : 12_x000D_
    MÉDIA : ,08</t>
        </r>
      </text>
    </comment>
    <comment ref="AB220" authorId="0" shapeId="0" xr:uid="{03A277ED-2D60-48DC-8877-4FDDE0D2D75A}">
      <text>
        <r>
          <rPr>
            <sz val="10"/>
            <color indexed="81"/>
            <rFont val="Lucida Console"/>
            <family val="3"/>
          </rPr>
          <t>Última movimentação no estoque em 07/2023 quantidade 33.</t>
        </r>
      </text>
    </comment>
    <comment ref="R221" authorId="0" shapeId="0" xr:uid="{92ED7DA0-1C68-402F-9B60-23562672E9E6}">
      <text>
        <r>
          <rPr>
            <sz val="10"/>
            <color indexed="81"/>
            <rFont val="Lucida Console"/>
            <family val="3"/>
          </rPr>
          <t>13.05.2008</t>
        </r>
      </text>
    </comment>
    <comment ref="Y221" authorId="0" shapeId="0" xr:uid="{3D3CFB89-E967-4B03-A88A-41922C88E0D2}">
      <text>
        <r>
          <rPr>
            <sz val="10"/>
            <color indexed="81"/>
            <rFont val="Courier New"/>
            <family val="3"/>
          </rPr>
          <t>_x000D_
    DESCRIÇÃO DO CÁLCULO_x000D_
Código    : 106.414_x000D_
Corte     : 658_x000D_
-----------------------------_x000D_
Pendente  : _x000D_
22 / 08_2 : 470_x000D_
22 / 09_2 : 200_x000D_
22 / 10_2 : 356_x000D_
22 / 11_2 : 220_x000D_
22 / 12_2 : 550_x000D_
23 / 01_2 : 618_x000D_
23 / 02_2 : 280_x000D_
23 / 03_2 : 393_x000D_
23 / 04_2 : 280_x000D_
23 / 05_2 : 190_x000D_
23 / 06_2 : 520_x000D_
23 / 07_2 : 220_x000D_
_x000D_
    TOTAL : ( 4.297 )_x000D_
  DIVISOR : 12_x000D_
    MÉDIA : 358,08</t>
        </r>
      </text>
    </comment>
    <comment ref="AB221" authorId="0" shapeId="0" xr:uid="{E5D9D11D-798E-466C-AC18-7C412A79E369}">
      <text>
        <r>
          <rPr>
            <sz val="10"/>
            <color indexed="81"/>
            <rFont val="Lucida Console"/>
            <family val="3"/>
          </rPr>
          <t>Última movimentação no estoque em 07/2023 quantidade 220.</t>
        </r>
      </text>
    </comment>
    <comment ref="R222" authorId="0" shapeId="0" xr:uid="{8F65466F-D2BA-4A04-9FA5-0D8155B6764C}">
      <text>
        <r>
          <rPr>
            <sz val="10"/>
            <color indexed="81"/>
            <rFont val="Lucida Console"/>
            <family val="3"/>
          </rPr>
          <t>13.05.2008</t>
        </r>
      </text>
    </comment>
    <comment ref="Y222" authorId="0" shapeId="0" xr:uid="{60CCFAE0-D99A-4AA9-B3F0-1D20334D7FC0}">
      <text>
        <r>
          <rPr>
            <sz val="10"/>
            <color indexed="81"/>
            <rFont val="Courier New"/>
            <family val="3"/>
          </rPr>
          <t>_x000D_
    DESCRIÇÃO DO CÁLCULO_x000D_
Código    : 106.408_x000D_
Corte     : 44_x000D_
-----------------------------_x000D_
Pendente  : _x000D_
22 / 08_2 : 4_x000D_
22 / 09_2 : 16_x000D_
22 / 10_2 : _x000D_
22 / 11_2 : 6_x000D_
22 / 12_2 : 10_x000D_
23 / 01_2 : 44 (corte = 59)_x000D_
23 / 02_2 : 26_x000D_
23 / 03_2 : _x000D_
23 / 04_2 : _x000D_
23 / 05_2 : _x000D_
23 / 06_2 : 6_x000D_
23 / 07_2 : 4_x000D_
_x000D_
    TOTAL : ( 116 )_x000D_
  DIVISOR : 12_x000D_
    MÉDIA : 9,67_x000D_
-----------------------------_x000D_
   Valores Desconsiderados_x000D_
-----------------------------_x000D_
23 / 01_2 : 15 (59)_x000D_
_x000D_
  TOTAL   : ( 15 )</t>
        </r>
      </text>
    </comment>
    <comment ref="AB222" authorId="0" shapeId="0" xr:uid="{F22E63E6-FE21-4CFD-8B90-79E21D685DA5}">
      <text>
        <r>
          <rPr>
            <sz val="10"/>
            <color indexed="81"/>
            <rFont val="Lucida Console"/>
            <family val="3"/>
          </rPr>
          <t>Última movimentação no estoque em 07/2023 quantidade 4.</t>
        </r>
      </text>
    </comment>
    <comment ref="R223" authorId="0" shapeId="0" xr:uid="{98FDA6E8-19D3-4FA7-B03A-290D716B965A}">
      <text>
        <r>
          <rPr>
            <sz val="10"/>
            <color indexed="81"/>
            <rFont val="Lucida Console"/>
            <family val="3"/>
          </rPr>
          <t>14.10.2014</t>
        </r>
      </text>
    </comment>
    <comment ref="Y223" authorId="0" shapeId="0" xr:uid="{B81C6004-59FC-4F30-9A93-653E732FDB80}">
      <text>
        <r>
          <rPr>
            <sz val="10"/>
            <color indexed="81"/>
            <rFont val="Courier New"/>
            <family val="3"/>
          </rPr>
          <t>_x000D_
    DESCRIÇÃO DO CÁLCULO_x000D_
Código    : 128.819_x000D_
Corte     : 81_x000D_
-----------------------------_x000D_
Pendente  : _x000D_
22 / 08_2 : 8_x000D_
22 / 09_2 : 30_x000D_
22 / 10_2 : _x000D_
22 / 11_2 : 6_x000D_
22 / 12_2 : 20_x000D_
23 / 01_2 : 81 (corte = 110)_x000D_
23 / 02_2 : 36_x000D_
23 / 03_2 : _x000D_
23 / 04_2 : _x000D_
23 / 05_2 : _x000D_
23 / 06_2 : 10_x000D_
23 / 07_2 : 10_x000D_
_x000D_
    TOTAL : ( 201 )_x000D_
  DIVISOR : 12_x000D_
    MÉDIA : 16,75_x000D_
-----------------------------_x000D_
   Valores Desconsiderados_x000D_
-----------------------------_x000D_
23 / 01_2 : 29 (110)_x000D_
_x000D_
  TOTAL   : ( 29 )</t>
        </r>
      </text>
    </comment>
    <comment ref="AB223" authorId="0" shapeId="0" xr:uid="{C1BA6EC5-916D-4291-8641-CD7D73A4FDBC}">
      <text>
        <r>
          <rPr>
            <sz val="10"/>
            <color indexed="81"/>
            <rFont val="Lucida Console"/>
            <family val="3"/>
          </rPr>
          <t>Última movimentação no estoque em 07/2023 quantidade 10.</t>
        </r>
      </text>
    </comment>
    <comment ref="R224" authorId="0" shapeId="0" xr:uid="{D6F71E08-5A7D-4BA6-AE2E-6B4BFB3EAF2C}">
      <text>
        <r>
          <rPr>
            <sz val="10"/>
            <color indexed="81"/>
            <rFont val="Lucida Console"/>
            <family val="3"/>
          </rPr>
          <t>14.10.2014</t>
        </r>
      </text>
    </comment>
    <comment ref="Y224" authorId="0" shapeId="0" xr:uid="{2D01E65B-6A11-4E84-98A1-0EF7C9A96233}">
      <text>
        <r>
          <rPr>
            <sz val="10"/>
            <color indexed="81"/>
            <rFont val="Courier New"/>
            <family val="3"/>
          </rPr>
          <t>_x000D_
    DESCRIÇÃO DO CÁLCULO_x000D_
Código    : 128.818_x000D_
Corte     : 1.060_x000D_
-----------------------------_x000D_
Pendente  : _x000D_
22 / 08_2 : 616_x000D_
22 / 09_2 : 300_x000D_
22 / 10_2 : 590_x000D_
22 / 11_2 : 300_x000D_
22 / 12_2 : 940_x000D_
23 / 01_2 : 835_x000D_
23 / 02_2 : 420_x000D_
23 / 03_2 : 482_x000D_
23 / 04_2 : 500_x000D_
23 / 05_2 : 140_x000D_
23 / 06_2 : 800_x000D_
23 / 07_2 : _x000D_
_x000D_
    TOTAL : ( 5.923 )_x000D_
  DIVISOR : 12_x000D_
    MÉDIA : 493,58</t>
        </r>
      </text>
    </comment>
    <comment ref="AB224" authorId="0" shapeId="0" xr:uid="{1EBC35E1-C10C-4214-9A61-C5D2A6857774}">
      <text>
        <r>
          <rPr>
            <sz val="10"/>
            <color indexed="81"/>
            <rFont val="Lucida Console"/>
            <family val="3"/>
          </rPr>
          <t>Última movimentação no estoque em 06/2023 quantidade 800.</t>
        </r>
      </text>
    </comment>
    <comment ref="R225" authorId="0" shapeId="0" xr:uid="{2CA1E275-C333-4D72-8481-201B7B5B4A1F}">
      <text>
        <r>
          <rPr>
            <sz val="10"/>
            <color indexed="81"/>
            <rFont val="Lucida Console"/>
            <family val="3"/>
          </rPr>
          <t>16.04.2008</t>
        </r>
      </text>
    </comment>
    <comment ref="Y225" authorId="0" shapeId="0" xr:uid="{ABBC91DE-FB5C-45D5-B74A-B8919ED1E5DF}">
      <text>
        <r>
          <rPr>
            <sz val="10"/>
            <color indexed="81"/>
            <rFont val="Courier New"/>
            <family val="3"/>
          </rPr>
          <t>_x000D_
    DESCRIÇÃO DO CÁLCULO_x000D_
Código    : 106.038_x000D_
Corte     : 53_x000D_
-----------------------------_x000D_
Pendente  : 20_x000D_
22 / 08_2 : _x000D_
22 / 09_2 : _x000D_
22 / 10_2 : _x000D_
22 / 11_2 : _x000D_
22 / 12_2 : 53 (corte = 80)_x000D_
23 / 01_2 : _x000D_
23 / 02_2 : _x000D_
23 / 03_2 : _x000D_
23 / 04_2 : _x000D_
23 / 05_2 : _x000D_
23 / 06_2 : _x000D_
23 / 07_2 : _x000D_
_x000D_
    TOTAL : ( 73 )_x000D_
  DIVISOR : 12_x000D_
    MÉDIA : 6,08_x000D_
-----------------------------_x000D_
   Valores Desconsiderados_x000D_
-----------------------------_x000D_
22 / 12_2 : 27 (80)_x000D_
_x000D_
  TOTAL   : ( 27 )</t>
        </r>
      </text>
    </comment>
    <comment ref="AB225" authorId="0" shapeId="0" xr:uid="{78B98E52-3783-4B80-813C-1D223F55C4AD}">
      <text>
        <r>
          <rPr>
            <sz val="10"/>
            <color indexed="81"/>
            <rFont val="Lucida Console"/>
            <family val="3"/>
          </rPr>
          <t>Última movimentação no estoque em 12/2022 quantidade 80.</t>
        </r>
      </text>
    </comment>
    <comment ref="R226" authorId="0" shapeId="0" xr:uid="{AB5F3D72-D1EC-490F-87BF-413BF34532A2}">
      <text>
        <r>
          <rPr>
            <sz val="10"/>
            <color indexed="81"/>
            <rFont val="Lucida Console"/>
            <family val="3"/>
          </rPr>
          <t>04.04.2013</t>
        </r>
      </text>
    </comment>
    <comment ref="Y226" authorId="0" shapeId="0" xr:uid="{386F2C71-D07E-42CD-89F3-5CAD2999E7BB}">
      <text>
        <r>
          <rPr>
            <sz val="10"/>
            <color indexed="81"/>
            <rFont val="Courier New"/>
            <family val="3"/>
          </rPr>
          <t>_x000D_
    DESCRIÇÃO DO CÁLCULO_x000D_
Código    : 125.269_x000D_
Corte     : 157_x000D_
-----------------------------_x000D_
Pendente  : _x000D_
22 / 08_2 : 157 (corte = 200)_x000D_
22 / 09_2 : _x000D_
22 / 10_2 : _x000D_
22 / 11_2 : 30_x000D_
22 / 12_2 : 120_x000D_
23 / 01_2 : 15_x000D_
23 / 02_2 : _x000D_
23 / 03_2 : _x000D_
23 / 04_2 : _x000D_
23 / 05_2 : _x000D_
23 / 06_2 : _x000D_
23 / 07_2 : _x000D_
_x000D_
    TOTAL : ( 322 )_x000D_
  DIVISOR : 12_x000D_
    MÉDIA : 26,83_x000D_
-----------------------------_x000D_
   Valores Desconsiderados_x000D_
-----------------------------_x000D_
22 / 08_2 : 43 (200)_x000D_
_x000D_
  TOTAL   : ( 43 )</t>
        </r>
      </text>
    </comment>
    <comment ref="AB226" authorId="0" shapeId="0" xr:uid="{6C04937A-CFAC-45F0-BD20-41C50DAEECAB}">
      <text>
        <r>
          <rPr>
            <sz val="10"/>
            <color indexed="81"/>
            <rFont val="Lucida Console"/>
            <family val="3"/>
          </rPr>
          <t>Última movimentação no estoque em 01/2023 quantidade 15.</t>
        </r>
      </text>
    </comment>
    <comment ref="R227" authorId="0" shapeId="0" xr:uid="{145FA998-F025-40FA-9260-FD5C65A61234}">
      <text>
        <r>
          <rPr>
            <sz val="10"/>
            <color indexed="81"/>
            <rFont val="Lucida Console"/>
            <family val="3"/>
          </rPr>
          <t>01.01.1901</t>
        </r>
      </text>
    </comment>
    <comment ref="Y227" authorId="0" shapeId="0" xr:uid="{AD873091-0640-4DF0-AB06-D36F74DD30CC}">
      <text>
        <r>
          <rPr>
            <sz val="10"/>
            <color indexed="81"/>
            <rFont val="Courier New"/>
            <family val="3"/>
          </rPr>
          <t>_x000D_
    DESCRIÇÃO DO CÁLCULO_x000D_
Código    : 15.267_x000D_
Corte     : 19_x000D_
-----------------------------_x000D_
Pendente  : _x000D_
22 / 08_2 : _x000D_
22 / 09_2 : _x000D_
22 / 10_2 : _x000D_
22 / 11_2 : _x000D_
22 / 12_2 : _x000D_
23 / 01_2 : _x000D_
23 / 02_2 : _x000D_
23 / 03_2 : _x000D_
23 / 04_2 : _x000D_
23 / 05_2 : _x000D_
23 / 06_2 : 19 (corte = 30)_x000D_
23 / 07_2 : _x000D_
_x000D_
    TOTAL : ( 19 )_x000D_
  DIVISOR : 12_x000D_
    MÉDIA : 1,58_x000D_
-----------------------------_x000D_
   Valores Desconsiderados_x000D_
-----------------------------_x000D_
23 / 06_2 : 11 (30)_x000D_
_x000D_
  TOTAL   : ( 11 )</t>
        </r>
      </text>
    </comment>
    <comment ref="AB227" authorId="0" shapeId="0" xr:uid="{E3CBE0F9-4C54-4EB5-BC58-AEE96F4E9621}">
      <text>
        <r>
          <rPr>
            <sz val="10"/>
            <color indexed="81"/>
            <rFont val="Lucida Console"/>
            <family val="3"/>
          </rPr>
          <t>Última movimentação no estoque em 06/2023 quantidade 30.</t>
        </r>
      </text>
    </comment>
    <comment ref="R228" authorId="0" shapeId="0" xr:uid="{7C95BCD4-30F6-4D1A-857B-DBF31C48051C}">
      <text>
        <r>
          <rPr>
            <sz val="10"/>
            <color indexed="81"/>
            <rFont val="Lucida Console"/>
            <family val="3"/>
          </rPr>
          <t>08.03.2004</t>
        </r>
      </text>
    </comment>
    <comment ref="Y228" authorId="0" shapeId="0" xr:uid="{51BAEFEC-F50E-4001-A776-C3B221180BA2}">
      <text>
        <r>
          <rPr>
            <sz val="10"/>
            <color indexed="81"/>
            <rFont val="Courier New"/>
            <family val="3"/>
          </rPr>
          <t>_x000D_
    DESCRIÇÃO DO CÁLCULO_x000D_
Código    : 77.493_x000D_
Corte     : 13_x000D_
-----------------------------_x000D_
Pendente  : _x000D_
22 / 08_2 : _x000D_
22 / 09_2 : 4_x000D_
22 / 10_2 : _x000D_
22 / 11_2 : _x000D_
22 / 12_2 : _x000D_
23 / 01_2 : _x000D_
23 / 02_2 : _x000D_
23 / 03_2 : _x000D_
23 / 04_2 : _x000D_
23 / 05_2 : _x000D_
23 / 06_2 : 13 (corte = 20)_x000D_
23 / 07_2 : _x000D_
_x000D_
    TOTAL : ( 17 )_x000D_
  DIVISOR : 12_x000D_
    MÉDIA : 1,42_x000D_
-----------------------------_x000D_
   Valores Desconsiderados_x000D_
-----------------------------_x000D_
23 / 06_2 : 7 (20)_x000D_
_x000D_
  TOTAL   : ( 7 )</t>
        </r>
      </text>
    </comment>
    <comment ref="AB228" authorId="0" shapeId="0" xr:uid="{B23F0D67-5326-40B1-A5AF-CB0566FD856A}">
      <text>
        <r>
          <rPr>
            <sz val="10"/>
            <color indexed="81"/>
            <rFont val="Lucida Console"/>
            <family val="3"/>
          </rPr>
          <t>Última movimentação no estoque em 06/2023 quantidade 20.</t>
        </r>
      </text>
    </comment>
    <comment ref="R229" authorId="0" shapeId="0" xr:uid="{711A8A21-9DA8-4CE3-98BE-50BA1AFE9EB9}">
      <text>
        <r>
          <rPr>
            <sz val="10"/>
            <color indexed="81"/>
            <rFont val="Lucida Console"/>
            <family val="3"/>
          </rPr>
          <t>01.01.1901</t>
        </r>
      </text>
    </comment>
    <comment ref="Y229" authorId="0" shapeId="0" xr:uid="{3BE3B486-D594-4483-9934-86CA3A5A22E2}">
      <text>
        <r>
          <rPr>
            <sz val="10"/>
            <color indexed="81"/>
            <rFont val="Courier New"/>
            <family val="3"/>
          </rPr>
          <t>_x000D_
    DESCRIÇÃO DO CÁLCULO_x000D_
Código    : 15.272_x000D_
Corte     : 14_x000D_
-----------------------------_x000D_
Pendente  : _x000D_
22 / 08_2 : _x000D_
22 / 09_2 : _x000D_
22 / 10_2 : _x000D_
22 / 11_2 : 10_x000D_
22 / 12_2 : _x000D_
23 / 01_2 : _x000D_
23 / 02_2 : _x000D_
23 / 03_2 : _x000D_
23 / 04_2 : _x000D_
23 / 05_2 : _x000D_
23 / 06_2 : 14 (corte = 20)_x000D_
23 / 07_2 : _x000D_
_x000D_
    TOTAL : ( 24 )_x000D_
  DIVISOR : 12_x000D_
    MÉDIA : 2,00_x000D_
-----------------------------_x000D_
   Valores Desconsiderados_x000D_
-----------------------------_x000D_
23 / 06_2 : 6 (20)_x000D_
_x000D_
  TOTAL   : ( 6 )</t>
        </r>
      </text>
    </comment>
    <comment ref="AB229" authorId="0" shapeId="0" xr:uid="{E2357408-9875-4B51-8E4D-8EB03461DA93}">
      <text>
        <r>
          <rPr>
            <sz val="10"/>
            <color indexed="81"/>
            <rFont val="Lucida Console"/>
            <family val="3"/>
          </rPr>
          <t>Última movimentação no estoque em 06/2023 quantidade 20.</t>
        </r>
      </text>
    </comment>
    <comment ref="R230" authorId="0" shapeId="0" xr:uid="{33ECA00E-55EC-4C7F-A89E-6208483B6F5D}">
      <text>
        <r>
          <rPr>
            <sz val="10"/>
            <color indexed="81"/>
            <rFont val="Lucida Console"/>
            <family val="3"/>
          </rPr>
          <t>01.01.1901</t>
        </r>
      </text>
    </comment>
    <comment ref="Y230" authorId="0" shapeId="0" xr:uid="{A5E6E25E-87E2-4FB6-90D6-57A9962ACA27}">
      <text>
        <r>
          <rPr>
            <sz val="10"/>
            <color indexed="81"/>
            <rFont val="Courier New"/>
            <family val="3"/>
          </rPr>
          <t>_x000D_
    DESCRIÇÃO DO CÁLCULO_x000D_
Código    : 15.465_x000D_
Corte     : 15_x000D_
-----------------------------_x000D_
Pendente  : _x000D_
22 / 08_2 : _x000D_
22 / 09_2 : 4_x000D_
22 / 10_2 : _x000D_
22 / 11_2 : _x000D_
22 / 12_2 : _x000D_
23 / 01_2 : _x000D_
23 / 02_2 : _x000D_
23 / 03_2 : 10_x000D_
23 / 04_2 : _x000D_
23 / 05_2 : _x000D_
23 / 06_2 : 15 (corte = 20)_x000D_
23 / 07_2 : _x000D_
_x000D_
    TOTAL : ( 29 )_x000D_
  DIVISOR : 12_x000D_
    MÉDIA : 2,42_x000D_
-----------------------------_x000D_
   Valores Desconsiderados_x000D_
-----------------------------_x000D_
23 / 06_2 : 5 (20)_x000D_
_x000D_
  TOTAL   : ( 5 )</t>
        </r>
      </text>
    </comment>
    <comment ref="AB230" authorId="0" shapeId="0" xr:uid="{809C797C-14B5-421D-9743-D3820C5DFA45}">
      <text>
        <r>
          <rPr>
            <sz val="10"/>
            <color indexed="81"/>
            <rFont val="Lucida Console"/>
            <family val="3"/>
          </rPr>
          <t>Última movimentação no estoque em 06/2023 quantidade 20.</t>
        </r>
      </text>
    </comment>
    <comment ref="R231" authorId="0" shapeId="0" xr:uid="{88DAA320-B270-425B-AB4D-1B01D2B40B37}">
      <text>
        <r>
          <rPr>
            <sz val="10"/>
            <color indexed="81"/>
            <rFont val="Lucida Console"/>
            <family val="3"/>
          </rPr>
          <t>01.01.1901</t>
        </r>
      </text>
    </comment>
    <comment ref="Y231" authorId="0" shapeId="0" xr:uid="{1AC32F4E-A585-4145-AC85-3A716788FC6C}">
      <text>
        <r>
          <rPr>
            <sz val="10"/>
            <color indexed="81"/>
            <rFont val="Courier New"/>
            <family val="3"/>
          </rPr>
          <t>_x000D_
    DESCRIÇÃO DO CÁLCULO_x000D_
Código    : 15.466_x000D_
Corte     : 16_x000D_
-----------------------------_x000D_
Pendente  : _x000D_
22 / 08_2 : _x000D_
22 / 09_2 : _x000D_
22 / 10_2 : 4_x000D_
22 / 11_2 : _x000D_
22 / 12_2 : _x000D_
23 / 01_2 : _x000D_
23 / 02_2 : _x000D_
23 / 03_2 : _x000D_
23 / 04_2 : _x000D_
23 / 05_2 : 15_x000D_
23 / 06_2 : 16 (corte = 20)_x000D_
23 / 07_2 : _x000D_
_x000D_
    TOTAL : ( 35 )_x000D_
  DIVISOR : 12_x000D_
    MÉDIA : 2,92_x000D_
-----------------------------_x000D_
   Valores Desconsiderados_x000D_
-----------------------------_x000D_
23 / 06_2 : 4 (20)_x000D_
_x000D_
  TOTAL   : ( 4 )</t>
        </r>
      </text>
    </comment>
    <comment ref="AB231" authorId="0" shapeId="0" xr:uid="{842ECF25-8DD4-4ED4-83B6-3FA5A864C548}">
      <text>
        <r>
          <rPr>
            <sz val="10"/>
            <color indexed="81"/>
            <rFont val="Lucida Console"/>
            <family val="3"/>
          </rPr>
          <t>Última movimentação no estoque em 06/2023 quantidade 20.</t>
        </r>
      </text>
    </comment>
    <comment ref="R232" authorId="0" shapeId="0" xr:uid="{D25C7C21-A3C7-4AD1-9676-A1C1A6337C60}">
      <text>
        <r>
          <rPr>
            <sz val="10"/>
            <color indexed="81"/>
            <rFont val="Lucida Console"/>
            <family val="3"/>
          </rPr>
          <t>01.01.1901</t>
        </r>
      </text>
    </comment>
    <comment ref="Y232" authorId="0" shapeId="0" xr:uid="{7EC631B8-81E9-44FD-8357-89F56C9FB4FC}">
      <text>
        <r>
          <rPr>
            <sz val="10"/>
            <color indexed="81"/>
            <rFont val="Courier New"/>
            <family val="3"/>
          </rPr>
          <t>_x000D_
    DESCRIÇÃO DO CÁLCULO_x000D_
Código    : 15.469_x000D_
Corte     : 20_x000D_
-----------------------------_x000D_
Pendente  : _x000D_
22 / 08_2 : _x000D_
22 / 09_2 : 4_x000D_
22 / 10_2 : _x000D_
22 / 11_2 : _x000D_
22 / 12_2 : _x000D_
23 / 01_2 : 3_x000D_
23 / 02_2 : _x000D_
23 / 03_2 : _x000D_
23 / 04_2 : _x000D_
23 / 05_2 : 15_x000D_
23 / 06_2 : 20 (corte = 26)_x000D_
23 / 07_2 : _x000D_
_x000D_
    TOTAL : ( 42 )_x000D_
  DIVISOR : 12_x000D_
    MÉDIA : 3,50_x000D_
-----------------------------_x000D_
   Valores Desconsiderados_x000D_
-----------------------------_x000D_
23 / 06_2 : 6 (26)_x000D_
_x000D_
  TOTAL   : ( 6 )</t>
        </r>
      </text>
    </comment>
    <comment ref="AB232" authorId="0" shapeId="0" xr:uid="{DAC315FD-027D-4603-95B5-3602DC85DE8D}">
      <text>
        <r>
          <rPr>
            <sz val="10"/>
            <color indexed="81"/>
            <rFont val="Lucida Console"/>
            <family val="3"/>
          </rPr>
          <t>Última movimentação no estoque em 06/2023 quantidade 26.</t>
        </r>
      </text>
    </comment>
    <comment ref="R233" authorId="0" shapeId="0" xr:uid="{62818001-137F-4E41-B1C1-55411B24272D}">
      <text>
        <r>
          <rPr>
            <sz val="10"/>
            <color indexed="81"/>
            <rFont val="Lucida Console"/>
            <family val="3"/>
          </rPr>
          <t>01.01.1901</t>
        </r>
      </text>
    </comment>
    <comment ref="Y233" authorId="0" shapeId="0" xr:uid="{A9FD351D-E9B0-464A-9593-0BFB7AC4B281}">
      <text>
        <r>
          <rPr>
            <sz val="10"/>
            <color indexed="81"/>
            <rFont val="Courier New"/>
            <family val="3"/>
          </rPr>
          <t>_x000D_
    DESCRIÇÃO DO CÁLCULO_x000D_
Código    : 15.473_x000D_
Corte     : 15_x000D_
-----------------------------_x000D_
Pendente  : _x000D_
22 / 08_2 : _x000D_
22 / 09_2 : _x000D_
22 / 10_2 : _x000D_
22 / 11_2 : _x000D_
22 / 12_2 : _x000D_
23 / 01_2 : _x000D_
23 / 02_2 : _x000D_
23 / 03_2 : _x000D_
23 / 04_2 : _x000D_
23 / 05_2 : _x000D_
23 / 06_2 : 15 (corte = 24)_x000D_
23 / 07_2 : _x000D_
_x000D_
    TOTAL : ( 15 )_x000D_
  DIVISOR : 12_x000D_
    MÉDIA : 1,25_x000D_
-----------------------------_x000D_
   Valores Desconsiderados_x000D_
-----------------------------_x000D_
23 / 06_2 : 9 (24)_x000D_
_x000D_
  TOTAL   : ( 9 )</t>
        </r>
      </text>
    </comment>
    <comment ref="AB233" authorId="0" shapeId="0" xr:uid="{DBCF42F2-E11B-481A-A340-47BB5C54CB48}">
      <text>
        <r>
          <rPr>
            <sz val="10"/>
            <color indexed="81"/>
            <rFont val="Lucida Console"/>
            <family val="3"/>
          </rPr>
          <t>Última movimentação no estoque em 06/2023 quantidade 24.</t>
        </r>
      </text>
    </comment>
    <comment ref="R234" authorId="0" shapeId="0" xr:uid="{3C2E218A-4797-4CE6-8D63-DBBC0DEE3F8F}">
      <text>
        <r>
          <rPr>
            <sz val="10"/>
            <color indexed="81"/>
            <rFont val="Lucida Console"/>
            <family val="3"/>
          </rPr>
          <t>01.01.1901</t>
        </r>
      </text>
    </comment>
    <comment ref="Y234" authorId="0" shapeId="0" xr:uid="{840F2DE3-0583-4242-9492-1123A23C2CD8}">
      <text>
        <r>
          <rPr>
            <sz val="10"/>
            <color indexed="81"/>
            <rFont val="Courier New"/>
            <family val="3"/>
          </rPr>
          <t>_x000D_
    DESCRIÇÃO DO CÁLCULO_x000D_
Código    : 15.467_x000D_
Corte     : 15_x000D_
-----------------------------_x000D_
Pendente  : _x000D_
22 / 08_2 : _x000D_
22 / 09_2 : _x000D_
22 / 10_2 : _x000D_
22 / 11_2 : _x000D_
22 / 12_2 : _x000D_
23 / 01_2 : 3_x000D_
23 / 02_2 : _x000D_
23 / 03_2 : _x000D_
23 / 04_2 : _x000D_
23 / 05_2 : _x000D_
23 / 06_2 : 15 (corte = 23)_x000D_
23 / 07_2 : _x000D_
_x000D_
    TOTAL : ( 18 )_x000D_
  DIVISOR : 12_x000D_
    MÉDIA : 1,50_x000D_
-----------------------------_x000D_
   Valores Desconsiderados_x000D_
-----------------------------_x000D_
23 / 06_2 : 8 (23)_x000D_
_x000D_
  TOTAL   : ( 8 )</t>
        </r>
      </text>
    </comment>
    <comment ref="AB234" authorId="0" shapeId="0" xr:uid="{B08E3AA2-86AE-4E7E-ADA7-70AFA39825FD}">
      <text>
        <r>
          <rPr>
            <sz val="10"/>
            <color indexed="81"/>
            <rFont val="Lucida Console"/>
            <family val="3"/>
          </rPr>
          <t>Última movimentação no estoque em 06/2023 quantidade 23.</t>
        </r>
      </text>
    </comment>
    <comment ref="R235" authorId="0" shapeId="0" xr:uid="{B4D37D0E-A530-418F-B13E-89D89DBF1B06}">
      <text>
        <r>
          <rPr>
            <sz val="10"/>
            <color indexed="81"/>
            <rFont val="Lucida Console"/>
            <family val="3"/>
          </rPr>
          <t>01.01.1901</t>
        </r>
      </text>
    </comment>
    <comment ref="Y235" authorId="0" shapeId="0" xr:uid="{F70CC90A-4046-48F0-9DD6-E6174106F372}">
      <text>
        <r>
          <rPr>
            <sz val="10"/>
            <color indexed="81"/>
            <rFont val="Courier New"/>
            <family val="3"/>
          </rPr>
          <t>_x000D_
    DESCRIÇÃO DO CÁLCULO_x000D_
Código    : 15.475_x000D_
Corte     : 14_x000D_
-----------------------------_x000D_
Pendente  : _x000D_
22 / 08_2 : _x000D_
22 / 09_2 : _x000D_
22 / 10_2 : _x000D_
22 / 11_2 : _x000D_
22 / 12_2 : _x000D_
23 / 01_2 : _x000D_
23 / 02_2 : _x000D_
23 / 03_2 : _x000D_
23 / 04_2 : _x000D_
23 / 05_2 : _x000D_
23 / 06_2 : 14 (corte = 20)_x000D_
23 / 07_2 : 10_x000D_
_x000D_
    TOTAL : ( 24 )_x000D_
  DIVISOR : 12_x000D_
    MÉDIA : 2,00_x000D_
-----------------------------_x000D_
   Valores Desconsiderados_x000D_
-----------------------------_x000D_
23 / 06_2 : 6 (20)_x000D_
_x000D_
  TOTAL   : ( 6 )</t>
        </r>
      </text>
    </comment>
    <comment ref="AB235" authorId="0" shapeId="0" xr:uid="{C1A44341-FA7E-4D31-9587-036055E49366}">
      <text>
        <r>
          <rPr>
            <sz val="10"/>
            <color indexed="81"/>
            <rFont val="Lucida Console"/>
            <family val="3"/>
          </rPr>
          <t>Última movimentação no estoque em 07/2023 quantidade 10.</t>
        </r>
      </text>
    </comment>
    <comment ref="R236" authorId="0" shapeId="0" xr:uid="{2F2157EA-F3EB-417A-91BD-4C8F05D57D2A}">
      <text>
        <r>
          <rPr>
            <sz val="10"/>
            <color indexed="81"/>
            <rFont val="Lucida Console"/>
            <family val="3"/>
          </rPr>
          <t>01.07.2004</t>
        </r>
      </text>
    </comment>
    <comment ref="Y236" authorId="0" shapeId="0" xr:uid="{C5C267AA-5F30-4A73-AC46-86D5A1F17710}">
      <text>
        <r>
          <rPr>
            <sz val="10"/>
            <color indexed="81"/>
            <rFont val="Courier New"/>
            <family val="3"/>
          </rPr>
          <t>_x000D_
    DESCRIÇÃO DO CÁLCULO_x000D_
Código    : 80.385_x000D_
Corte     : 12_x000D_
-----------------------------_x000D_
Pendente  : _x000D_
22 / 08_2 : _x000D_
22 / 09_2 : _x000D_
22 / 10_2 : 5_x000D_
22 / 11_2 : _x000D_
22 / 12_2 : _x000D_
23 / 01_2 : _x000D_
23 / 02_2 : _x000D_
23 / 03_2 : 12 (corte = 15)_x000D_
23 / 04_2 : _x000D_
23 / 05_2 : 10_x000D_
23 / 06_2 : _x000D_
23 / 07_2 : _x000D_
_x000D_
    TOTAL : ( 27 )_x000D_
  DIVISOR : 12_x000D_
    MÉDIA : 2,25_x000D_
-----------------------------_x000D_
   Valores Desconsiderados_x000D_
-----------------------------_x000D_
23 / 03_2 : 3 (15)_x000D_
_x000D_
  TOTAL   : ( 3 )</t>
        </r>
      </text>
    </comment>
    <comment ref="AB236" authorId="0" shapeId="0" xr:uid="{51F49C8D-1B67-4CAD-A138-1A1F53955907}">
      <text>
        <r>
          <rPr>
            <sz val="10"/>
            <color indexed="81"/>
            <rFont val="Lucida Console"/>
            <family val="3"/>
          </rPr>
          <t>Última movimentação no estoque em 05/2023 quantidade 10.</t>
        </r>
      </text>
    </comment>
    <comment ref="R237" authorId="0" shapeId="0" xr:uid="{AA3DEABF-92E4-44C0-B831-C317F5A2267E}">
      <text>
        <r>
          <rPr>
            <sz val="10"/>
            <color indexed="81"/>
            <rFont val="Lucida Console"/>
            <family val="3"/>
          </rPr>
          <t>15.06.2021</t>
        </r>
      </text>
    </comment>
    <comment ref="Y237" authorId="0" shapeId="0" xr:uid="{4B8E95D4-213D-49EE-8974-7E3B80BE56CA}">
      <text>
        <r>
          <rPr>
            <sz val="10"/>
            <color indexed="81"/>
            <rFont val="Courier New"/>
            <family val="3"/>
          </rPr>
          <t>_x000D_
    DESCRIÇÃO DO CÁLCULO_x000D_
Código    : 141.430_x000D_
Corte     : 31_x000D_
-----------------------------_x000D_
Pendente  : _x000D_
22 / 08_2 : 14_x000D_
22 / 09_2 : 1_x000D_
22 / 10_2 : 2_x000D_
22 / 11_2 : 2_x000D_
22 / 12_2 : 3_x000D_
23 / 01_2 : _x000D_
23 / 02_2 : 10_x000D_
23 / 03_2 : 8_x000D_
23 / 04_2 : 31_x000D_
23 / 05_2 : _x000D_
23 / 06_2 : 31 (corte = 32)_x000D_
23 / 07_2 : _x000D_
_x000D_
    TOTAL : ( 102 )_x000D_
  DIVISOR : 12_x000D_
    MÉDIA : 8,50_x000D_
-----------------------------_x000D_
   Valores Desconsiderados_x000D_
-----------------------------_x000D_
23 / 06_2 : 1 (32)_x000D_
_x000D_
  TOTAL   : ( 1 )</t>
        </r>
      </text>
    </comment>
    <comment ref="AB237" authorId="0" shapeId="0" xr:uid="{2A5D0CBD-728F-4A7B-AFF0-4EC03A724B9E}">
      <text>
        <r>
          <rPr>
            <sz val="10"/>
            <color indexed="81"/>
            <rFont val="Lucida Console"/>
            <family val="3"/>
          </rPr>
          <t>Última movimentação no estoque em 06/2023 quantidade 32.</t>
        </r>
      </text>
    </comment>
    <comment ref="R238" authorId="0" shapeId="0" xr:uid="{DC41557E-0CA7-4F58-9268-FD72A132B6C5}">
      <text>
        <r>
          <rPr>
            <sz val="10"/>
            <color indexed="81"/>
            <rFont val="Lucida Console"/>
            <family val="3"/>
          </rPr>
          <t>01.01.1901</t>
        </r>
      </text>
    </comment>
    <comment ref="Y238" authorId="0" shapeId="0" xr:uid="{FD1B5AA8-0980-4E9D-A93C-B88E8C1AF2BC}">
      <text>
        <r>
          <rPr>
            <sz val="10"/>
            <color indexed="81"/>
            <rFont val="Courier New"/>
            <family val="3"/>
          </rPr>
          <t>_x000D_
    DESCRIÇÃO DO CÁLCULO_x000D_
Código    : 23.676_x000D_
Corte     : 1.293_x000D_
-----------------------------_x000D_
Pendente  : _x000D_
22 / 08_2 : _x000D_
22 / 09_2 : 20_x000D_
22 / 10_2 : 170_x000D_
22 / 11_2 : 370_x000D_
22 / 12_2 : 24_x000D_
23 / 01_2 : 75_x000D_
23 / 02_2 : 160_x000D_
23 / 03_2 : 420_x000D_
23 / 04_2 : 172_x000D_
23 / 05_2 : 250_x000D_
23 / 06_2 : 150_x000D_
23 / 07_2 : 1.293 (corte = 1820)_x000D_
_x000D_
    TOTAL : ( 3.104 )_x000D_
  DIVISOR : 12_x000D_
    MÉDIA : 258,67_x000D_
-----------------------------_x000D_
   Valores Desconsiderados_x000D_
-----------------------------_x000D_
23 / 07_2 : 527 (1.820)_x000D_
_x000D_
  TOTAL   : ( 527 )</t>
        </r>
      </text>
    </comment>
    <comment ref="AB238" authorId="0" shapeId="0" xr:uid="{5B2A510F-2690-4D72-838E-CD87A0CE1E1D}">
      <text>
        <r>
          <rPr>
            <sz val="10"/>
            <color indexed="81"/>
            <rFont val="Lucida Console"/>
            <family val="3"/>
          </rPr>
          <t>Última movimentação no estoque em 07/2023 quantidade 1.820.</t>
        </r>
      </text>
    </comment>
    <comment ref="R239" authorId="0" shapeId="0" xr:uid="{B71B0EC0-FD7D-4D5E-9F41-8771269F5A83}">
      <text>
        <r>
          <rPr>
            <sz val="10"/>
            <color indexed="81"/>
            <rFont val="Lucida Console"/>
            <family val="3"/>
          </rPr>
          <t>20.08.2021</t>
        </r>
      </text>
    </comment>
    <comment ref="Y239" authorId="0" shapeId="0" xr:uid="{5928FA2B-2174-480A-A4F6-7A737B640309}">
      <text>
        <r>
          <rPr>
            <sz val="10"/>
            <color indexed="81"/>
            <rFont val="Courier New"/>
            <family val="3"/>
          </rPr>
          <t>_x000D_
    DESCRIÇÃO DO CÁLCULO_x000D_
Código    : 142.982_x000D_
Corte     : 19_x000D_
-----------------------------_x000D_
Pendente  : 16_x000D_
22 / 08_2 : 4_x000D_
22 / 09_2 : 4_x000D_
22 / 10_2 : 6_x000D_
22 / 11_2 : 16_x000D_
22 / 12_2 : 6_x000D_
23 / 01_2 : 14_x000D_
23 / 02_2 : 4_x000D_
23 / 03_2 : 16_x000D_
23 / 04_2 : 5_x000D_
23 / 05_2 : _x000D_
23 / 06_2 : _x000D_
23 / 07_2 : 4_x000D_
_x000D_
    TOTAL : ( 95 )_x000D_
  DIVISOR : 12_x000D_
    MÉDIA : 7,92</t>
        </r>
      </text>
    </comment>
    <comment ref="AB239" authorId="0" shapeId="0" xr:uid="{541EEBDC-6C0B-4179-B10F-033B8E4DD067}">
      <text>
        <r>
          <rPr>
            <sz val="10"/>
            <color indexed="81"/>
            <rFont val="Lucida Console"/>
            <family val="3"/>
          </rPr>
          <t>Última movimentação no estoque em 07/2023 quantidade 4.</t>
        </r>
      </text>
    </comment>
    <comment ref="R240" authorId="0" shapeId="0" xr:uid="{341FD5A4-BAEB-4BDD-BE35-1CD2FC19B1A3}">
      <text>
        <r>
          <rPr>
            <sz val="10"/>
            <color indexed="81"/>
            <rFont val="Lucida Console"/>
            <family val="3"/>
          </rPr>
          <t>09.09.2008</t>
        </r>
      </text>
    </comment>
    <comment ref="Y240" authorId="0" shapeId="0" xr:uid="{CB0C1832-0F4E-4259-BCAF-0FE84AEDCF85}">
      <text>
        <r>
          <rPr>
            <sz val="10"/>
            <color indexed="81"/>
            <rFont val="Courier New"/>
            <family val="3"/>
          </rPr>
          <t>_x000D_
    DESCRIÇÃO DO CÁLCULO_x000D_
Código    : 107.790_x000D_
Corte     : 39_x000D_
-----------------------------_x000D_
Pendente  : _x000D_
22 / 08_2 : 15_x000D_
22 / 09_2 : 16_x000D_
22 / 10_2 : 11_x000D_
22 / 11_2 : 5_x000D_
22 / 12_2 : 8_x000D_
23 / 01_2 : 16_x000D_
23 / 02_2 : 29_x000D_
23 / 03_2 : 38_x000D_
23 / 04_2 : 31_x000D_
23 / 05_2 : _x000D_
23 / 06_2 : _x000D_
23 / 07_2 : _x000D_
_x000D_
    TOTAL : ( 169 )_x000D_
  DIVISOR : 12_x000D_
    MÉDIA : 14,08</t>
        </r>
      </text>
    </comment>
    <comment ref="AB240" authorId="0" shapeId="0" xr:uid="{E6DF1760-7E56-4373-B97F-7408FA34F9E1}">
      <text>
        <r>
          <rPr>
            <sz val="10"/>
            <color indexed="81"/>
            <rFont val="Lucida Console"/>
            <family val="3"/>
          </rPr>
          <t>Última movimentação no estoque em 04/2023 quantidade 31.</t>
        </r>
      </text>
    </comment>
    <comment ref="R241" authorId="0" shapeId="0" xr:uid="{8DF87160-2AAE-4992-B492-951E7F2BE830}">
      <text>
        <r>
          <rPr>
            <sz val="10"/>
            <color indexed="81"/>
            <rFont val="Lucida Console"/>
            <family val="3"/>
          </rPr>
          <t>01.01.1901</t>
        </r>
      </text>
    </comment>
    <comment ref="Y241" authorId="0" shapeId="0" xr:uid="{D401EBA5-41C8-4267-B9EC-7C76AFB84267}">
      <text>
        <r>
          <rPr>
            <sz val="10"/>
            <color indexed="81"/>
            <rFont val="Courier New"/>
            <family val="3"/>
          </rPr>
          <t>_x000D_
    DESCRIÇÃO DO CÁLCULO_x000D_
Código    : 12.654_x000D_
Corte     : 14.169_x000D_
-----------------------------_x000D_
Pendente  : 239_x000D_
22 / 08_2 : 6.859_x000D_
22 / 09_2 : 7.001_x000D_
22 / 10_2 : 6.790_x000D_
22 / 11_2 : 7.714_x000D_
22 / 12_2 : 5.656_x000D_
23 / 01_2 : 5.749_x000D_
23 / 02_2 : 6.917_x000D_
23 / 03_2 : 13.289_x000D_
23 / 04_2 : 8.771_x000D_
23 / 05_2 : 10.798_x000D_
23 / 06_2 : 9.680_x000D_
23 / 07_2 : 7.426_x000D_
_x000D_
    TOTAL : ( 96.889 )_x000D_
  DIVISOR : 12_x000D_
    MÉDIA : 8.074,08</t>
        </r>
      </text>
    </comment>
    <comment ref="AB241" authorId="0" shapeId="0" xr:uid="{AC04C7E8-08A7-4091-A9C3-9A57C428AB75}">
      <text>
        <r>
          <rPr>
            <sz val="10"/>
            <color indexed="81"/>
            <rFont val="Lucida Console"/>
            <family val="3"/>
          </rPr>
          <t>Última movimentação no estoque em 07/2023 quantidade 7.426.</t>
        </r>
      </text>
    </comment>
    <comment ref="R242" authorId="0" shapeId="0" xr:uid="{6E78BACE-F40E-42F2-9884-C09C90F773DE}">
      <text>
        <r>
          <rPr>
            <sz val="10"/>
            <color indexed="81"/>
            <rFont val="Lucida Console"/>
            <family val="3"/>
          </rPr>
          <t>01.01.1901</t>
        </r>
      </text>
    </comment>
    <comment ref="Y242" authorId="0" shapeId="0" xr:uid="{E466F278-CF14-452A-9BA6-31A361CE339D}">
      <text>
        <r>
          <rPr>
            <sz val="10"/>
            <color indexed="81"/>
            <rFont val="Courier New"/>
            <family val="3"/>
          </rPr>
          <t>_x000D_
    DESCRIÇÃO DO CÁLCULO_x000D_
Código    : 12.652_x000D_
Corte     : 1.840_x000D_
-----------------------------_x000D_
Pendente  : _x000D_
22 / 08_2 : 286_x000D_
22 / 09_2 : 302_x000D_
22 / 10_2 : 99_x000D_
22 / 11_2 : 790_x000D_
22 / 12_2 : 412_x000D_
23 / 01_2 : 116_x000D_
23 / 02_2 : 416_x000D_
23 / 03_2 : 1.840 (corte = 1847)_x000D_
23 / 04_2 : 1.372_x000D_
23 / 05_2 : 1.137_x000D_
23 / 06_2 : 1.198_x000D_
23 / 07_2 : 756_x000D_
_x000D_
    TOTAL : ( 8.724 )_x000D_
  DIVISOR : 12_x000D_
    MÉDIA : 727,00_x000D_
-----------------------------_x000D_
   Valores Desconsiderados_x000D_
-----------------------------_x000D_
23 / 03_2 : 7 (1.847)_x000D_
_x000D_
  TOTAL   : ( 7 )</t>
        </r>
      </text>
    </comment>
    <comment ref="AB242" authorId="0" shapeId="0" xr:uid="{E13A13DA-0013-4909-901A-ABD74740E03D}">
      <text>
        <r>
          <rPr>
            <sz val="10"/>
            <color indexed="81"/>
            <rFont val="Lucida Console"/>
            <family val="3"/>
          </rPr>
          <t>Última movimentação no estoque em 07/2023 quantidade 756.</t>
        </r>
      </text>
    </comment>
    <comment ref="R243" authorId="0" shapeId="0" xr:uid="{5EFAA4A5-45FF-4153-A114-7C588BFF9EB6}">
      <text>
        <r>
          <rPr>
            <sz val="10"/>
            <color indexed="81"/>
            <rFont val="Lucida Console"/>
            <family val="3"/>
          </rPr>
          <t>18.08.2004</t>
        </r>
      </text>
    </comment>
    <comment ref="Y243" authorId="0" shapeId="0" xr:uid="{8AB3982B-4CBF-427C-90B3-8A901F0A0F4A}">
      <text>
        <r>
          <rPr>
            <sz val="10"/>
            <color indexed="81"/>
            <rFont val="Courier New"/>
            <family val="3"/>
          </rPr>
          <t>_x000D_
    DESCRIÇÃO DO CÁLCULO_x000D_
Código    : 81.371_x000D_
Corte     : 1.172_x000D_
-----------------------------_x000D_
Pendente  : 99_x000D_
22 / 08_2 : 174_x000D_
22 / 09_2 : 205_x000D_
22 / 10_2 : 191_x000D_
22 / 11_2 : 253_x000D_
22 / 12_2 : 137_x000D_
23 / 01_2 : 122_x000D_
23 / 02_2 : 128_x000D_
23 / 03_2 : 1.172 (corte = 1704)_x000D_
23 / 04_2 : 181_x000D_
23 / 05_2 : 255_x000D_
23 / 06_2 : 223_x000D_
23 / 07_2 : 193_x000D_
_x000D_
    TOTAL : ( 3.333 )_x000D_
  DIVISOR : 12_x000D_
    MÉDIA : 277,75_x000D_
-----------------------------_x000D_
   Valores Desconsiderados_x000D_
-----------------------------_x000D_
23 / 03_2 : 532 (1.704)_x000D_
_x000D_
  TOTAL   : ( 532 )</t>
        </r>
      </text>
    </comment>
    <comment ref="AB243" authorId="0" shapeId="0" xr:uid="{B8397A97-AC44-469A-B08D-3AC733BAE50C}">
      <text>
        <r>
          <rPr>
            <sz val="10"/>
            <color indexed="81"/>
            <rFont val="Lucida Console"/>
            <family val="3"/>
          </rPr>
          <t>Última movimentação no estoque em 07/2023 quantidade 193.</t>
        </r>
      </text>
    </comment>
    <comment ref="R244" authorId="0" shapeId="0" xr:uid="{92A7E464-FA1B-43A2-8A97-3BA6BD68819D}">
      <text>
        <r>
          <rPr>
            <sz val="10"/>
            <color indexed="81"/>
            <rFont val="Lucida Console"/>
            <family val="3"/>
          </rPr>
          <t>30.01.2017</t>
        </r>
      </text>
    </comment>
    <comment ref="Y244" authorId="0" shapeId="0" xr:uid="{B509CBA2-D7C7-44F0-8D6B-27D0FECBD07C}">
      <text>
        <r>
          <rPr>
            <sz val="10"/>
            <color indexed="81"/>
            <rFont val="Courier New"/>
            <family val="3"/>
          </rPr>
          <t>_x000D_
    DESCRIÇÃO DO CÁLCULO_x000D_
Código    : 132.400_x000D_
Corte     : 1.171_x000D_
-----------------------------_x000D_
Pendente  : 105_x000D_
22 / 08_2 : 177_x000D_
22 / 09_2 : 205_x000D_
22 / 10_2 : 197_x000D_
22 / 11_2 : 255_x000D_
22 / 12_2 : 140_x000D_
23 / 01_2 : 125_x000D_
23 / 02_2 : 130_x000D_
23 / 03_2 : 1.171 (corte = 1701)_x000D_
23 / 04_2 : 184_x000D_
23 / 05_2 : 255_x000D_
23 / 06_2 : 223_x000D_
23 / 07_2 : 191_x000D_
_x000D_
    TOTAL : ( 3.358 )_x000D_
  DIVISOR : 12_x000D_
    MÉDIA : 279,83_x000D_
-----------------------------_x000D_
   Valores Desconsiderados_x000D_
-----------------------------_x000D_
23 / 03_2 : 530 (1.701)_x000D_
_x000D_
  TOTAL   : ( 530 )</t>
        </r>
      </text>
    </comment>
    <comment ref="AB244" authorId="0" shapeId="0" xr:uid="{52D1045A-A0DF-4A6F-9B01-21D6123C5A05}">
      <text>
        <r>
          <rPr>
            <sz val="10"/>
            <color indexed="81"/>
            <rFont val="Lucida Console"/>
            <family val="3"/>
          </rPr>
          <t>Última movimentação no estoque em 07/2023 quantidade 191.</t>
        </r>
      </text>
    </comment>
    <comment ref="R245" authorId="0" shapeId="0" xr:uid="{02E8D39C-CF30-450F-9377-CEF9F97068A6}">
      <text>
        <r>
          <rPr>
            <sz val="10"/>
            <color indexed="81"/>
            <rFont val="Lucida Console"/>
            <family val="3"/>
          </rPr>
          <t>18.08.2004</t>
        </r>
      </text>
    </comment>
    <comment ref="Y245" authorId="0" shapeId="0" xr:uid="{8B94FA17-C6B4-4EE9-986B-B22F56CC2AFB}">
      <text>
        <r>
          <rPr>
            <sz val="10"/>
            <color indexed="81"/>
            <rFont val="Courier New"/>
            <family val="3"/>
          </rPr>
          <t>_x000D_
    DESCRIÇÃO DO CÁLCULO_x000D_
Código    : 81.370_x000D_
Corte     : 1.166_x000D_
-----------------------------_x000D_
Pendente  : 114_x000D_
22 / 08_2 : 175_x000D_
22 / 09_2 : 207_x000D_
22 / 10_2 : 195_x000D_
22 / 11_2 : 253_x000D_
22 / 12_2 : 137_x000D_
23 / 01_2 : 125_x000D_
23 / 02_2 : 126_x000D_
23 / 03_2 : 1.166 (corte = 1694)_x000D_
23 / 04_2 : 180_x000D_
23 / 05_2 : 255_x000D_
23 / 06_2 : 223_x000D_
23 / 07_2 : 191_x000D_
_x000D_
    TOTAL : ( 3.347 )_x000D_
  DIVISOR : 12_x000D_
    MÉDIA : 278,92_x000D_
-----------------------------_x000D_
   Valores Desconsiderados_x000D_
-----------------------------_x000D_
23 / 03_2 : 528 (1.694)_x000D_
_x000D_
  TOTAL   : ( 528 )</t>
        </r>
      </text>
    </comment>
    <comment ref="AB245" authorId="0" shapeId="0" xr:uid="{9369DF00-CCDD-4FE9-894A-6BE1758EC05E}">
      <text>
        <r>
          <rPr>
            <sz val="10"/>
            <color indexed="81"/>
            <rFont val="Lucida Console"/>
            <family val="3"/>
          </rPr>
          <t>Última movimentação no estoque em 07/2023 quantidade 191.</t>
        </r>
      </text>
    </comment>
    <comment ref="R246" authorId="0" shapeId="0" xr:uid="{8CD1F71A-2DFC-408E-B2E8-7EAC8E6A43AB}">
      <text>
        <r>
          <rPr>
            <sz val="10"/>
            <color indexed="81"/>
            <rFont val="Lucida Console"/>
            <family val="3"/>
          </rPr>
          <t>26.03.2004</t>
        </r>
      </text>
    </comment>
    <comment ref="Y246" authorId="0" shapeId="0" xr:uid="{20BC1ECE-11BF-4BA3-87E9-529B1AB171EE}">
      <text>
        <r>
          <rPr>
            <sz val="10"/>
            <color indexed="81"/>
            <rFont val="Courier New"/>
            <family val="3"/>
          </rPr>
          <t>_x000D_
    DESCRIÇÃO DO CÁLCULO_x000D_
Código    : 78.055_x000D_
Corte     : 157_x000D_
-----------------------------_x000D_
Pendente  : _x000D_
22 / 08_2 : 84_x000D_
22 / 09_2 : _x000D_
22 / 10_2 : _x000D_
22 / 11_2 : _x000D_
22 / 12_2 : 13_x000D_
23 / 01_2 : 6_x000D_
23 / 02_2 : 4_x000D_
23 / 03_2 : 20_x000D_
23 / 04_2 : 157 (corte = 218)_x000D_
23 / 05_2 : _x000D_
23 / 06_2 : _x000D_
23 / 07_2 : _x000D_
_x000D_
    TOTAL : ( 284 )_x000D_
  DIVISOR : 12_x000D_
    MÉDIA : 23,67_x000D_
-----------------------------_x000D_
   Valores Desconsiderados_x000D_
-----------------------------_x000D_
23 / 04_2 : 61 (218)_x000D_
_x000D_
  TOTAL   : ( 61 )</t>
        </r>
      </text>
    </comment>
    <comment ref="AB246" authorId="0" shapeId="0" xr:uid="{DBDB5C18-CC46-4E7D-B221-9081D17FCF5F}">
      <text>
        <r>
          <rPr>
            <sz val="10"/>
            <color indexed="81"/>
            <rFont val="Lucida Console"/>
            <family val="3"/>
          </rPr>
          <t>Última movimentação no estoque em 04/2023 quantidade 218.</t>
        </r>
      </text>
    </comment>
    <comment ref="R247" authorId="0" shapeId="0" xr:uid="{2EECDDDE-C2DF-4FFB-A7C7-615E791A939F}">
      <text>
        <r>
          <rPr>
            <sz val="10"/>
            <color indexed="81"/>
            <rFont val="Lucida Console"/>
            <family val="3"/>
          </rPr>
          <t>15.03.2018</t>
        </r>
      </text>
    </comment>
    <comment ref="Y247" authorId="0" shapeId="0" xr:uid="{4D8607C8-755D-4DBA-8993-E70D0F0253A7}">
      <text>
        <r>
          <rPr>
            <sz val="10"/>
            <color indexed="81"/>
            <rFont val="Courier New"/>
            <family val="3"/>
          </rPr>
          <t>_x000D_
    DESCRIÇÃO DO CÁLCULO_x000D_
Código    : 134.569_x000D_
Corte     : 104_x000D_
-----------------------------_x000D_
Pendente  : _x000D_
22 / 08_2 : 79_x000D_
22 / 09_2 : 25_x000D_
22 / 10_2 : 31_x000D_
22 / 11_2 : 10_x000D_
22 / 12_2 : _x000D_
23 / 01_2 : 32_x000D_
23 / 02_2 : _x000D_
23 / 03_2 : 20_x000D_
23 / 04_2 : 100_x000D_
23 / 05_2 : 86_x000D_
23 / 06_2 : _x000D_
23 / 07_2 : _x000D_
_x000D_
    TOTAL : ( 383 )_x000D_
  DIVISOR : 12_x000D_
    MÉDIA : 31,92</t>
        </r>
      </text>
    </comment>
    <comment ref="AB247" authorId="0" shapeId="0" xr:uid="{BB6A3E1E-91FB-40D5-99D9-6D9E8BB7C765}">
      <text>
        <r>
          <rPr>
            <sz val="10"/>
            <color indexed="81"/>
            <rFont val="Lucida Console"/>
            <family val="3"/>
          </rPr>
          <t>Última movimentação no estoque em 05/2023 quantidade 86.</t>
        </r>
      </text>
    </comment>
    <comment ref="R248" authorId="0" shapeId="0" xr:uid="{0D7CE65C-6502-48AB-A3C1-02795551CE2C}">
      <text>
        <r>
          <rPr>
            <sz val="10"/>
            <color indexed="81"/>
            <rFont val="Lucida Console"/>
            <family val="3"/>
          </rPr>
          <t>01.01.1901</t>
        </r>
      </text>
    </comment>
    <comment ref="Y248" authorId="0" shapeId="0" xr:uid="{7E463EC7-1A2B-4B6D-8F6D-9CCA5F384F29}">
      <text>
        <r>
          <rPr>
            <sz val="10"/>
            <color indexed="81"/>
            <rFont val="Courier New"/>
            <family val="3"/>
          </rPr>
          <t>_x000D_
    DESCRIÇÃO DO CÁLCULO_x000D_
Código    : 11.448_x000D_
Corte     : 123_x000D_
-----------------------------_x000D_
Pendente  : 76_x000D_
22 / 08_2 : 61_x000D_
22 / 09_2 : 65_x000D_
22 / 10_2 : 63_x000D_
22 / 11_2 : 67_x000D_
22 / 12_2 : 51_x000D_
23 / 01_2 : _x000D_
23 / 02_2 : _x000D_
23 / 03_2 : _x000D_
23 / 04_2 : 71_x000D_
23 / 05_2 : 94_x000D_
23 / 06_2 : 82_x000D_
23 / 07_2 : 73_x000D_
_x000D_
    TOTAL : ( 703 )_x000D_
  DIVISOR : 12_x000D_
    MÉDIA : 58,58</t>
        </r>
      </text>
    </comment>
    <comment ref="AB248" authorId="0" shapeId="0" xr:uid="{16FDFAF7-A298-4934-A0ED-00DEF27A3546}">
      <text>
        <r>
          <rPr>
            <sz val="10"/>
            <color indexed="81"/>
            <rFont val="Lucida Console"/>
            <family val="3"/>
          </rPr>
          <t>Última movimentação no estoque em 07/2023 quantidade 73.</t>
        </r>
      </text>
    </comment>
    <comment ref="R249" authorId="0" shapeId="0" xr:uid="{C7C25D3C-2936-40C0-B9DC-618C2E573D99}">
      <text>
        <r>
          <rPr>
            <sz val="10"/>
            <color indexed="81"/>
            <rFont val="Lucida Console"/>
            <family val="3"/>
          </rPr>
          <t>26.06.2018</t>
        </r>
      </text>
    </comment>
    <comment ref="Y249" authorId="0" shapeId="0" xr:uid="{01601B3B-9DE1-496F-8CB5-1B6D8F47B0D6}">
      <text>
        <r>
          <rPr>
            <sz val="10"/>
            <color indexed="81"/>
            <rFont val="Courier New"/>
            <family val="3"/>
          </rPr>
          <t>_x000D_
    DESCRIÇÃO DO CÁLCULO_x000D_
Código    : 135.301_x000D_
Corte     : 39_x000D_
-----------------------------_x000D_
Pendente  : _x000D_
22 / 08_2 : 4_x000D_
22 / 09_2 : 16_x000D_
22 / 10_2 : 19_x000D_
22 / 11_2 : 6_x000D_
22 / 12_2 : 14_x000D_
23 / 01_2 : 22_x000D_
23 / 02_2 : 20_x000D_
23 / 03_2 : 32_x000D_
23 / 04_2 : 10_x000D_
23 / 05_2 : 39 (corte = 40)_x000D_
23 / 06_2 : _x000D_
23 / 07_2 : _x000D_
_x000D_
    TOTAL : ( 182 )_x000D_
  DIVISOR : 12_x000D_
    MÉDIA : 15,17_x000D_
-----------------------------_x000D_
   Valores Desconsiderados_x000D_
-----------------------------_x000D_
23 / 05_2 : 1 (40)_x000D_
_x000D_
  TOTAL   : ( 1 )</t>
        </r>
      </text>
    </comment>
    <comment ref="AB249" authorId="0" shapeId="0" xr:uid="{14EC6023-E199-4E72-BE12-B266FFC537AE}">
      <text>
        <r>
          <rPr>
            <sz val="10"/>
            <color indexed="81"/>
            <rFont val="Lucida Console"/>
            <family val="3"/>
          </rPr>
          <t>Última movimentação no estoque em 05/2023 quantidade 40.</t>
        </r>
      </text>
    </comment>
    <comment ref="R250" authorId="0" shapeId="0" xr:uid="{72BFDF70-D03A-43E5-9E22-0B7718FE045E}">
      <text>
        <r>
          <rPr>
            <sz val="10"/>
            <color indexed="81"/>
            <rFont val="Lucida Console"/>
            <family val="3"/>
          </rPr>
          <t>01.01.1901</t>
        </r>
      </text>
    </comment>
    <comment ref="Y250" authorId="0" shapeId="0" xr:uid="{73987011-72DC-4337-870C-E33FC6CD365D}">
      <text>
        <r>
          <rPr>
            <sz val="10"/>
            <color indexed="81"/>
            <rFont val="Courier New"/>
            <family val="3"/>
          </rPr>
          <t>_x000D_
    DESCRIÇÃO DO CÁLCULO_x000D_
Código    : 25.523_x000D_
Corte     : 60_x000D_
-----------------------------_x000D_
Pendente  : _x000D_
22 / 08_2 : 9_x000D_
22 / 09_2 : 22_x000D_
22 / 10_2 : 33_x000D_
22 / 11_2 : 17_x000D_
22 / 12_2 : 24_x000D_
23 / 01_2 : 31_x000D_
23 / 02_2 : 15_x000D_
23 / 03_2 : 60 (corte = 71)_x000D_
23 / 04_2 : 30_x000D_
23 / 05_2 : _x000D_
23 / 06_2 : _x000D_
23 / 07_2 : _x000D_
_x000D_
    TOTAL : ( 241 )_x000D_
  DIVISOR : 12_x000D_
    MÉDIA : 20,08_x000D_
-----------------------------_x000D_
   Valores Desconsiderados_x000D_
-----------------------------_x000D_
23 / 03_2 : 11 (71)_x000D_
_x000D_
  TOTAL   : ( 11 )</t>
        </r>
      </text>
    </comment>
    <comment ref="AB250" authorId="0" shapeId="0" xr:uid="{0949CCA1-442D-4907-96A9-FE816F59A6BD}">
      <text>
        <r>
          <rPr>
            <sz val="10"/>
            <color indexed="81"/>
            <rFont val="Lucida Console"/>
            <family val="3"/>
          </rPr>
          <t>Última movimentação no estoque em 04/2023 quantidade 30.</t>
        </r>
      </text>
    </comment>
    <comment ref="R251" authorId="0" shapeId="0" xr:uid="{ECB42AE7-7E11-4D65-B5D9-6E3869B95873}">
      <text>
        <r>
          <rPr>
            <sz val="10"/>
            <color indexed="81"/>
            <rFont val="Lucida Console"/>
            <family val="3"/>
          </rPr>
          <t>26.06.2018</t>
        </r>
      </text>
    </comment>
    <comment ref="Y251" authorId="0" shapeId="0" xr:uid="{86B8CAF8-7C66-4314-A622-84F013C86AB2}">
      <text>
        <r>
          <rPr>
            <sz val="10"/>
            <color indexed="81"/>
            <rFont val="Courier New"/>
            <family val="3"/>
          </rPr>
          <t>_x000D_
    DESCRIÇÃO DO CÁLCULO_x000D_
Código    : 135.299_x000D_
Corte     : 20_x000D_
-----------------------------_x000D_
Pendente  : _x000D_
22 / 08_2 : _x000D_
22 / 09_2 : 18_x000D_
22 / 10_2 : 14_x000D_
22 / 11_2 : 4_x000D_
22 / 12_2 : _x000D_
23 / 01_2 : _x000D_
23 / 02_2 : 5_x000D_
23 / 03_2 : 4_x000D_
23 / 04_2 : 20_x000D_
23 / 05_2 : _x000D_
23 / 06_2 : _x000D_
23 / 07_2 : _x000D_
_x000D_
    TOTAL : ( 65 )_x000D_
  DIVISOR : 12_x000D_
    MÉDIA : 5,42</t>
        </r>
      </text>
    </comment>
    <comment ref="AB251" authorId="0" shapeId="0" xr:uid="{44A51D72-6A45-43A5-9305-35C0989D8015}">
      <text>
        <r>
          <rPr>
            <sz val="10"/>
            <color indexed="81"/>
            <rFont val="Lucida Console"/>
            <family val="3"/>
          </rPr>
          <t>Última movimentação no estoque em 04/2023 quantidade 20.</t>
        </r>
      </text>
    </comment>
    <comment ref="R252" authorId="0" shapeId="0" xr:uid="{3892056B-CD75-4EB0-AE04-9D9107C223B8}">
      <text>
        <r>
          <rPr>
            <sz val="10"/>
            <color indexed="81"/>
            <rFont val="Lucida Console"/>
            <family val="3"/>
          </rPr>
          <t>26.06.2018</t>
        </r>
      </text>
    </comment>
    <comment ref="Y252" authorId="0" shapeId="0" xr:uid="{2DCACF21-21EB-4F20-B94C-6662A8C90B96}">
      <text>
        <r>
          <rPr>
            <sz val="10"/>
            <color indexed="81"/>
            <rFont val="Courier New"/>
            <family val="3"/>
          </rPr>
          <t>_x000D_
    DESCRIÇÃO DO CÁLCULO_x000D_
Código    : 135.300_x000D_
Corte     : 37_x000D_
-----------------------------_x000D_
Pendente  : _x000D_
22 / 08_2 : 16_x000D_
22 / 09_2 : 37 (corte = 46)_x000D_
22 / 10_2 : 14_x000D_
22 / 11_2 : 14_x000D_
22 / 12_2 : 18_x000D_
23 / 01_2 : 11_x000D_
23 / 02_2 : 9_x000D_
23 / 03_2 : 4_x000D_
23 / 04_2 : 15_x000D_
23 / 05_2 : _x000D_
23 / 06_2 : _x000D_
23 / 07_2 : _x000D_
_x000D_
    TOTAL : ( 138 )_x000D_
  DIVISOR : 12_x000D_
    MÉDIA : 11,50_x000D_
-----------------------------_x000D_
   Valores Desconsiderados_x000D_
-----------------------------_x000D_
22 / 09_2 : 9 (46)_x000D_
_x000D_
  TOTAL   : ( 9 )</t>
        </r>
      </text>
    </comment>
    <comment ref="AB252" authorId="0" shapeId="0" xr:uid="{70002478-19CF-4A7C-A4C6-7B60FF1721B8}">
      <text>
        <r>
          <rPr>
            <sz val="10"/>
            <color indexed="81"/>
            <rFont val="Lucida Console"/>
            <family val="3"/>
          </rPr>
          <t>Última movimentação no estoque em 04/2023 quantidade 15.</t>
        </r>
      </text>
    </comment>
    <comment ref="R253" authorId="0" shapeId="0" xr:uid="{DBCAC228-68D4-4B86-9256-744BAB2CD830}">
      <text>
        <r>
          <rPr>
            <sz val="10"/>
            <color indexed="81"/>
            <rFont val="Lucida Console"/>
            <family val="3"/>
          </rPr>
          <t>01.01.1901</t>
        </r>
      </text>
    </comment>
    <comment ref="Y253" authorId="0" shapeId="0" xr:uid="{EA906D72-4176-4F61-9981-95DEFA4C919A}">
      <text>
        <r>
          <rPr>
            <sz val="10"/>
            <color indexed="81"/>
            <rFont val="Courier New"/>
            <family val="3"/>
          </rPr>
          <t>_x000D_
    DESCRIÇÃO DO CÁLCULO_x000D_
Código    : 54.586_x000D_
Corte     : 19_x000D_
-----------------------------_x000D_
Pendente  : _x000D_
22 / 08_2 : 7_x000D_
22 / 09_2 : _x000D_
22 / 10_2 : 4_x000D_
22 / 11_2 : 10_x000D_
22 / 12_2 : 3_x000D_
23 / 01_2 : 19 (corte = 25)_x000D_
23 / 02_2 : 5_x000D_
23 / 03_2 : 5_x000D_
23 / 04_2 : 6_x000D_
23 / 05_2 : _x000D_
23 / 06_2 : _x000D_
23 / 07_2 : _x000D_
_x000D_
    TOTAL : ( 59 )_x000D_
  DIVISOR : 12_x000D_
    MÉDIA : 4,92_x000D_
-----------------------------_x000D_
   Valores Desconsiderados_x000D_
-----------------------------_x000D_
23 / 01_2 : 6 (25)_x000D_
_x000D_
  TOTAL   : ( 6 )</t>
        </r>
      </text>
    </comment>
    <comment ref="AB253" authorId="0" shapeId="0" xr:uid="{AC05266A-C391-4B61-8615-BBC99DFA6D3A}">
      <text>
        <r>
          <rPr>
            <sz val="10"/>
            <color indexed="81"/>
            <rFont val="Lucida Console"/>
            <family val="3"/>
          </rPr>
          <t>Última movimentação no estoque em 04/2023 quantidade 6.</t>
        </r>
      </text>
    </comment>
    <comment ref="R254" authorId="0" shapeId="0" xr:uid="{E1C82C4B-75DF-42A4-8FEF-4E5AD6C020DD}">
      <text>
        <r>
          <rPr>
            <sz val="10"/>
            <color indexed="81"/>
            <rFont val="Lucida Console"/>
            <family val="3"/>
          </rPr>
          <t>01.01.1901</t>
        </r>
      </text>
    </comment>
    <comment ref="Y254" authorId="0" shapeId="0" xr:uid="{8B4CCC6D-3B80-4FAC-A219-8DE948A88635}">
      <text>
        <r>
          <rPr>
            <sz val="10"/>
            <color indexed="81"/>
            <rFont val="Courier New"/>
            <family val="3"/>
          </rPr>
          <t>_x000D_
    DESCRIÇÃO DO CÁLCULO_x000D_
Código    : 63.277_x000D_
Corte     : 30_x000D_
-----------------------------_x000D_
Pendente  : _x000D_
22 / 08_2 : 28_x000D_
22 / 09_2 : 5_x000D_
22 / 10_2 : 14_x000D_
22 / 11_2 : 9_x000D_
22 / 12_2 : 21_x000D_
23 / 01_2 : 2_x000D_
23 / 02_2 : _x000D_
23 / 03_2 : _x000D_
23 / 04_2 : 20_x000D_
23 / 05_2 : 10_x000D_
23 / 06_2 : _x000D_
23 / 07_2 : 20_x000D_
_x000D_
    TOTAL : ( 129 )_x000D_
  DIVISOR : 12_x000D_
    MÉDIA : 10,75</t>
        </r>
      </text>
    </comment>
    <comment ref="AB254" authorId="0" shapeId="0" xr:uid="{8B14BA51-D023-4980-BB7A-58239B0784B4}">
      <text>
        <r>
          <rPr>
            <sz val="10"/>
            <color indexed="81"/>
            <rFont val="Lucida Console"/>
            <family val="3"/>
          </rPr>
          <t>Última movimentação no estoque em 07/2023 quantidade 20.</t>
        </r>
      </text>
    </comment>
    <comment ref="R255" authorId="0" shapeId="0" xr:uid="{3E40E5D6-82DA-4AC5-9718-A71512D6ACC1}">
      <text>
        <r>
          <rPr>
            <sz val="10"/>
            <color indexed="81"/>
            <rFont val="Lucida Console"/>
            <family val="3"/>
          </rPr>
          <t>26.06.2018</t>
        </r>
      </text>
    </comment>
    <comment ref="Y255" authorId="0" shapeId="0" xr:uid="{4F07959B-233D-4C7A-8E9A-C7B0CDECB4CB}">
      <text>
        <r>
          <rPr>
            <sz val="10"/>
            <color indexed="81"/>
            <rFont val="Courier New"/>
            <family val="3"/>
          </rPr>
          <t>_x000D_
    DESCRIÇÃO DO CÁLCULO_x000D_
Código    : 135.302_x000D_
Corte     : 66_x000D_
-----------------------------_x000D_
Pendente  : _x000D_
22 / 08_2 : 4_x000D_
22 / 09_2 : 7_x000D_
22 / 10_2 : 8_x000D_
22 / 11_2 : 30_x000D_
22 / 12_2 : 19_x000D_
23 / 01_2 : 14_x000D_
23 / 02_2 : 47_x000D_
23 / 03_2 : 13_x000D_
23 / 04_2 : 66 (corte = 80)_x000D_
23 / 05_2 : 2_x000D_
23 / 06_2 : _x000D_
23 / 07_2 : _x000D_
_x000D_
    TOTAL : ( 210 )_x000D_
  DIVISOR : 12_x000D_
    MÉDIA : 17,50_x000D_
-----------------------------_x000D_
   Valores Desconsiderados_x000D_
-----------------------------_x000D_
23 / 04_2 : 14 (80)_x000D_
_x000D_
  TOTAL   : ( 14 )</t>
        </r>
      </text>
    </comment>
    <comment ref="AB255" authorId="0" shapeId="0" xr:uid="{FB8768AF-E987-4F34-926D-C3A5997B929B}">
      <text>
        <r>
          <rPr>
            <sz val="10"/>
            <color indexed="81"/>
            <rFont val="Lucida Console"/>
            <family val="3"/>
          </rPr>
          <t>Última movimentação no estoque em 05/2023 quantidade 2.</t>
        </r>
      </text>
    </comment>
    <comment ref="R256" authorId="0" shapeId="0" xr:uid="{0FF24FF5-F3CE-4245-A491-6D1DCC198229}">
      <text>
        <r>
          <rPr>
            <sz val="10"/>
            <color indexed="81"/>
            <rFont val="Lucida Console"/>
            <family val="3"/>
          </rPr>
          <t>01.01.1901</t>
        </r>
      </text>
    </comment>
    <comment ref="Y256" authorId="0" shapeId="0" xr:uid="{6C377E1F-2514-4943-B463-93F828E89C69}">
      <text>
        <r>
          <rPr>
            <sz val="10"/>
            <color indexed="81"/>
            <rFont val="Courier New"/>
            <family val="3"/>
          </rPr>
          <t>_x000D_
    DESCRIÇÃO DO CÁLCULO_x000D_
Código    : 54.587_x000D_
Corte     : 26_x000D_
-----------------------------_x000D_
Pendente  : _x000D_
22 / 08_2 : 4_x000D_
22 / 09_2 : 1_x000D_
22 / 10_2 : 26 (corte = 36)_x000D_
22 / 11_2 : 8_x000D_
22 / 12_2 : 1_x000D_
23 / 01_2 : 6_x000D_
23 / 02_2 : _x000D_
23 / 03_2 : 10_x000D_
23 / 04_2 : _x000D_
23 / 05_2 : 10_x000D_
23 / 06_2 : _x000D_
23 / 07_2 : _x000D_
_x000D_
    TOTAL : ( 66 )_x000D_
  DIVISOR : 12_x000D_
    MÉDIA : 5,50_x000D_
-----------------------------_x000D_
   Valores Desconsiderados_x000D_
-----------------------------_x000D_
22 / 10_2 : 10 (36)_x000D_
_x000D_
  TOTAL   : ( 10 )</t>
        </r>
      </text>
    </comment>
    <comment ref="AB256" authorId="0" shapeId="0" xr:uid="{946D6FB9-0E62-46BB-BA0D-A6D952D9B637}">
      <text>
        <r>
          <rPr>
            <sz val="10"/>
            <color indexed="81"/>
            <rFont val="Lucida Console"/>
            <family val="3"/>
          </rPr>
          <t>Última movimentação no estoque em 05/2023 quantidade 10.</t>
        </r>
      </text>
    </comment>
    <comment ref="R257" authorId="0" shapeId="0" xr:uid="{D6AA65EC-5A59-4025-AB30-976BBCC14392}">
      <text>
        <r>
          <rPr>
            <sz val="10"/>
            <color indexed="81"/>
            <rFont val="Lucida Console"/>
            <family val="3"/>
          </rPr>
          <t>01.01.1901</t>
        </r>
      </text>
    </comment>
    <comment ref="Y257" authorId="0" shapeId="0" xr:uid="{158477BE-60C1-4636-A8E7-027551C04E23}">
      <text>
        <r>
          <rPr>
            <sz val="10"/>
            <color indexed="81"/>
            <rFont val="Courier New"/>
            <family val="3"/>
          </rPr>
          <t>_x000D_
    DESCRIÇÃO DO CÁLCULO_x000D_
Código    : 12.881_x000D_
Corte     : 40_x000D_
-----------------------------_x000D_
Pendente  : _x000D_
22 / 08_2 : 30_x000D_
22 / 09_2 : 34_x000D_
22 / 10_2 : 4_x000D_
22 / 11_2 : 15_x000D_
22 / 12_2 : 15_x000D_
23 / 01_2 : 10_x000D_
23 / 02_2 : 4_x000D_
23 / 03_2 : 3_x000D_
23 / 04_2 : 29_x000D_
23 / 05_2 : 8_x000D_
23 / 06_2 : _x000D_
23 / 07_2 : 32_x000D_
_x000D_
    TOTAL : ( 184 )_x000D_
  DIVISOR : 12_x000D_
    MÉDIA : 15,33</t>
        </r>
      </text>
    </comment>
    <comment ref="AB257" authorId="0" shapeId="0" xr:uid="{82A19324-F0C0-4948-AEDF-90D85611000B}">
      <text>
        <r>
          <rPr>
            <sz val="10"/>
            <color indexed="81"/>
            <rFont val="Lucida Console"/>
            <family val="3"/>
          </rPr>
          <t>Última movimentação no estoque em 07/2023 quantidade 32.</t>
        </r>
      </text>
    </comment>
    <comment ref="R258" authorId="0" shapeId="0" xr:uid="{D2455076-4917-421B-A4DD-1627606526A3}">
      <text>
        <r>
          <rPr>
            <sz val="10"/>
            <color indexed="81"/>
            <rFont val="Lucida Console"/>
            <family val="3"/>
          </rPr>
          <t>01.01.1901</t>
        </r>
      </text>
    </comment>
    <comment ref="Y258" authorId="0" shapeId="0" xr:uid="{B2678A48-A324-4C52-904C-DA3C1807BEC0}">
      <text>
        <r>
          <rPr>
            <sz val="10"/>
            <color indexed="81"/>
            <rFont val="Courier New"/>
            <family val="3"/>
          </rPr>
          <t>_x000D_
    DESCRIÇÃO DO CÁLCULO_x000D_
Código    : 12.884_x000D_
Corte     : 49_x000D_
-----------------------------_x000D_
Pendente  : _x000D_
22 / 08_2 : 12_x000D_
22 / 09_2 : 17_x000D_
22 / 10_2 : 17_x000D_
22 / 11_2 : 7_x000D_
22 / 12_2 : 12_x000D_
23 / 01_2 : 13_x000D_
23 / 02_2 : 14_x000D_
23 / 03_2 : 49 (corte = 56)_x000D_
23 / 04_2 : 26_x000D_
23 / 05_2 : 40_x000D_
23 / 06_2 : _x000D_
23 / 07_2 : 20_x000D_
_x000D_
    TOTAL : ( 227 )_x000D_
  DIVISOR : 12_x000D_
    MÉDIA : 18,92_x000D_
-----------------------------_x000D_
   Valores Desconsiderados_x000D_
-----------------------------_x000D_
23 / 03_2 : 7 (56)_x000D_
_x000D_
  TOTAL   : ( 7 )</t>
        </r>
      </text>
    </comment>
    <comment ref="AB258" authorId="0" shapeId="0" xr:uid="{37D8719F-1351-41F5-AF3B-27E10F20B73F}">
      <text>
        <r>
          <rPr>
            <sz val="10"/>
            <color indexed="81"/>
            <rFont val="Lucida Console"/>
            <family val="3"/>
          </rPr>
          <t>Última movimentação no estoque em 07/2023 quantidade 20.</t>
        </r>
      </text>
    </comment>
    <comment ref="R259" authorId="0" shapeId="0" xr:uid="{EED68258-EEC2-4953-81C9-E1D82E02A68C}">
      <text>
        <r>
          <rPr>
            <sz val="10"/>
            <color indexed="81"/>
            <rFont val="Lucida Console"/>
            <family val="3"/>
          </rPr>
          <t>01.01.1901</t>
        </r>
      </text>
    </comment>
    <comment ref="Y259" authorId="0" shapeId="0" xr:uid="{D3EC791F-55C1-4E35-AC63-5BC07CBB4D12}">
      <text>
        <r>
          <rPr>
            <sz val="10"/>
            <color indexed="81"/>
            <rFont val="Courier New"/>
            <family val="3"/>
          </rPr>
          <t>_x000D_
    DESCRIÇÃO DO CÁLCULO_x000D_
Código    : 38.534_x000D_
Corte     : 3_x000D_
-----------------------------_x000D_
Pendente  : _x000D_
22 / 08_2 : _x000D_
22 / 09_2 : _x000D_
22 / 10_2 : _x000D_
22 / 11_2 : _x000D_
22 / 12_2 : _x000D_
23 / 01_2 : _x000D_
23 / 02_2 : _x000D_
23 / 03_2 : _x000D_
23 / 04_2 : 3 (corte = 6)_x000D_
23 / 05_2 : _x000D_
23 / 06_2 : _x000D_
23 / 07_2 : _x000D_
_x000D_
    TOTAL : ( 3 )_x000D_
  DIVISOR : 12_x000D_
    MÉDIA : ,25_x000D_
-----------------------------_x000D_
   Valores Desconsiderados_x000D_
-----------------------------_x000D_
23 / 04_2 : 3 (6)_x000D_
_x000D_
  TOTAL   : ( 3 )</t>
        </r>
      </text>
    </comment>
    <comment ref="AB259" authorId="0" shapeId="0" xr:uid="{CBFFCC02-8165-4413-8CC0-6265F87903CC}">
      <text>
        <r>
          <rPr>
            <sz val="10"/>
            <color indexed="81"/>
            <rFont val="Lucida Console"/>
            <family val="3"/>
          </rPr>
          <t>Última movimentação no estoque em 04/2023 quantidade 6.</t>
        </r>
      </text>
    </comment>
    <comment ref="R260" authorId="0" shapeId="0" xr:uid="{A5D01754-007D-4D49-A315-BB93A1EB9637}">
      <text>
        <r>
          <rPr>
            <sz val="10"/>
            <color indexed="81"/>
            <rFont val="Lucida Console"/>
            <family val="3"/>
          </rPr>
          <t>01.01.1901</t>
        </r>
      </text>
    </comment>
    <comment ref="Y260" authorId="0" shapeId="0" xr:uid="{5DFCA68E-7474-41C6-ABD3-A47B2EDC4C3D}">
      <text>
        <r>
          <rPr>
            <sz val="10"/>
            <color indexed="81"/>
            <rFont val="Courier New"/>
            <family val="3"/>
          </rPr>
          <t>_x000D_
    DESCRIÇÃO DO CÁLCULO_x000D_
Código    : 12.891_x000D_
Corte     : 17_x000D_
-----------------------------_x000D_
Pendente  : _x000D_
22 / 08_2 : _x000D_
22 / 09_2 : _x000D_
22 / 10_2 : _x000D_
22 / 11_2 : 9_x000D_
22 / 12_2 : 5_x000D_
23 / 01_2 : 15_x000D_
23 / 02_2 : 5_x000D_
23 / 03_2 : 8_x000D_
23 / 04_2 : 10_x000D_
23 / 05_2 : 15_x000D_
23 / 06_2 : _x000D_
23 / 07_2 : _x000D_
_x000D_
    TOTAL : ( 67 )_x000D_
  DIVISOR : 12_x000D_
    MÉDIA : 5,58</t>
        </r>
      </text>
    </comment>
    <comment ref="AB260" authorId="0" shapeId="0" xr:uid="{987ABA60-BE98-4830-A822-A4FA43CD0261}">
      <text>
        <r>
          <rPr>
            <sz val="10"/>
            <color indexed="81"/>
            <rFont val="Lucida Console"/>
            <family val="3"/>
          </rPr>
          <t>Última movimentação no estoque em 05/2023 quantidade 15.</t>
        </r>
      </text>
    </comment>
    <comment ref="R261" authorId="0" shapeId="0" xr:uid="{134B025C-D398-41FB-903A-94E60E6E2BC5}">
      <text>
        <r>
          <rPr>
            <sz val="10"/>
            <color indexed="81"/>
            <rFont val="Lucida Console"/>
            <family val="3"/>
          </rPr>
          <t>01.01.1901</t>
        </r>
      </text>
    </comment>
    <comment ref="Y261" authorId="0" shapeId="0" xr:uid="{C3A2445A-A536-477A-BF2F-1FACE5844003}">
      <text>
        <r>
          <rPr>
            <sz val="10"/>
            <color indexed="81"/>
            <rFont val="Courier New"/>
            <family val="3"/>
          </rPr>
          <t>_x000D_
    DESCRIÇÃO DO CÁLCULO_x000D_
Código    : 12.894_x000D_
Corte     : 316_x000D_
-----------------------------_x000D_
Pendente  : _x000D_
22 / 08_2 : 306_x000D_
22 / 09_2 : 83_x000D_
22 / 10_2 : 209_x000D_
22 / 11_2 : 130_x000D_
22 / 12_2 : 147_x000D_
23 / 01_2 : 141_x000D_
23 / 02_2 : 99_x000D_
23 / 03_2 : 295_x000D_
23 / 04_2 : 65_x000D_
23 / 05_2 : 130_x000D_
23 / 06_2 : 40_x000D_
23 / 07_2 : 55_x000D_
_x000D_
    TOTAL : ( 1.700 )_x000D_
  DIVISOR : 12_x000D_
    MÉDIA : 141,67</t>
        </r>
      </text>
    </comment>
    <comment ref="AB261" authorId="0" shapeId="0" xr:uid="{3E6FE2FC-145F-4C93-B53A-51FDED81555D}">
      <text>
        <r>
          <rPr>
            <sz val="10"/>
            <color indexed="81"/>
            <rFont val="Lucida Console"/>
            <family val="3"/>
          </rPr>
          <t>Última movimentação no estoque em 07/2023 quantidade 55.</t>
        </r>
      </text>
    </comment>
    <comment ref="R262" authorId="0" shapeId="0" xr:uid="{A8853454-9D0F-40AE-A4E5-5FC12200FD34}">
      <text>
        <r>
          <rPr>
            <sz val="10"/>
            <color indexed="81"/>
            <rFont val="Lucida Console"/>
            <family val="3"/>
          </rPr>
          <t>01.01.1901</t>
        </r>
      </text>
    </comment>
    <comment ref="Y262" authorId="0" shapeId="0" xr:uid="{D7C6015D-BFEC-4F46-95E6-DB32EFD432D7}">
      <text>
        <r>
          <rPr>
            <sz val="10"/>
            <color indexed="81"/>
            <rFont val="Courier New"/>
            <family val="3"/>
          </rPr>
          <t>_x000D_
    DESCRIÇÃO DO CÁLCULO_x000D_
Código    : 12.886_x000D_
Corte     : 32_x000D_
-----------------------------_x000D_
Pendente  : _x000D_
22 / 08_2 : 23_x000D_
22 / 09_2 : 18_x000D_
22 / 10_2 : 14_x000D_
22 / 11_2 : 20_x000D_
22 / 12_2 : 21_x000D_
23 / 01_2 : 13_x000D_
23 / 02_2 : 13_x000D_
23 / 03_2 : _x000D_
23 / 04_2 : 24_x000D_
23 / 05_2 : _x000D_
23 / 06_2 : _x000D_
23 / 07_2 : 20_x000D_
_x000D_
    TOTAL : ( 166 )_x000D_
  DIVISOR : 12_x000D_
    MÉDIA : 13,83</t>
        </r>
      </text>
    </comment>
    <comment ref="AB262" authorId="0" shapeId="0" xr:uid="{A2795278-6ABC-4BE8-8643-27035DF20ABD}">
      <text>
        <r>
          <rPr>
            <sz val="10"/>
            <color indexed="81"/>
            <rFont val="Lucida Console"/>
            <family val="3"/>
          </rPr>
          <t>Última movimentação no estoque em 07/2023 quantidade 20.</t>
        </r>
      </text>
    </comment>
    <comment ref="R263" authorId="0" shapeId="0" xr:uid="{2B283689-0E80-4BEF-AF48-39055393CE09}">
      <text>
        <r>
          <rPr>
            <sz val="10"/>
            <color indexed="81"/>
            <rFont val="Lucida Console"/>
            <family val="3"/>
          </rPr>
          <t>01.01.1901</t>
        </r>
      </text>
    </comment>
    <comment ref="Y263" authorId="0" shapeId="0" xr:uid="{1A47222F-37EF-4C42-B94A-2237828573DE}">
      <text>
        <r>
          <rPr>
            <sz val="10"/>
            <color indexed="81"/>
            <rFont val="Courier New"/>
            <family val="3"/>
          </rPr>
          <t>_x000D_
    DESCRIÇÃO DO CÁLCULO_x000D_
Código    : 67.376_x000D_
Corte     : 19_x000D_
-----------------------------_x000D_
Pendente  : _x000D_
22 / 08_2 : _x000D_
22 / 09_2 : 2_x000D_
22 / 10_2 : 13_x000D_
22 / 11_2 : 10_x000D_
22 / 12_2 : _x000D_
23 / 01_2 : 15_x000D_
23 / 02_2 : _x000D_
23 / 03_2 : 19 (corte = 20)_x000D_
23 / 04_2 : _x000D_
23 / 05_2 : _x000D_
23 / 06_2 : _x000D_
23 / 07_2 : _x000D_
_x000D_
    TOTAL : ( 59 )_x000D_
  DIVISOR : 12_x000D_
    MÉDIA : 4,92_x000D_
-----------------------------_x000D_
   Valores Desconsiderados_x000D_
-----------------------------_x000D_
23 / 03_2 : 1 (20)_x000D_
_x000D_
  TOTAL   : ( 1 )</t>
        </r>
      </text>
    </comment>
    <comment ref="AB263" authorId="0" shapeId="0" xr:uid="{7105E52F-F395-4223-985F-A3E6C15C3D41}">
      <text>
        <r>
          <rPr>
            <sz val="10"/>
            <color indexed="81"/>
            <rFont val="Lucida Console"/>
            <family val="3"/>
          </rPr>
          <t>Última movimentação no estoque em 03/2023 quantidade 20.</t>
        </r>
      </text>
    </comment>
    <comment ref="R264" authorId="0" shapeId="0" xr:uid="{BDCC8EC5-87B4-4F7B-8DCB-9480C964BA33}">
      <text>
        <r>
          <rPr>
            <sz val="10"/>
            <color indexed="81"/>
            <rFont val="Lucida Console"/>
            <family val="3"/>
          </rPr>
          <t>01.01.1901</t>
        </r>
      </text>
    </comment>
    <comment ref="Y264" authorId="0" shapeId="0" xr:uid="{FE361132-A13D-4D49-ACA7-5C5ADEC0A34B}">
      <text>
        <r>
          <rPr>
            <sz val="10"/>
            <color indexed="81"/>
            <rFont val="Courier New"/>
            <family val="3"/>
          </rPr>
          <t>_x000D_
    DESCRIÇÃO DO CÁLCULO_x000D_
Código    : 67.375_x000D_
Corte     : 25_x000D_
-----------------------------_x000D_
Pendente  : _x000D_
22 / 08_2 : _x000D_
22 / 09_2 : _x000D_
22 / 10_2 : 8_x000D_
22 / 11_2 : 1_x000D_
22 / 12_2 : _x000D_
23 / 01_2 : 3_x000D_
23 / 02_2 : 7_x000D_
23 / 03_2 : 25 (corte = 30)_x000D_
23 / 04_2 : _x000D_
23 / 05_2 : _x000D_
23 / 06_2 : 17_x000D_
23 / 07_2 : 13_x000D_
_x000D_
    TOTAL : ( 74 )_x000D_
  DIVISOR : 12_x000D_
    MÉDIA : 6,17_x000D_
-----------------------------_x000D_
   Valores Desconsiderados_x000D_
-----------------------------_x000D_
23 / 03_2 : 5 (30)_x000D_
_x000D_
  TOTAL   : ( 5 )</t>
        </r>
      </text>
    </comment>
    <comment ref="AB264" authorId="0" shapeId="0" xr:uid="{A9FC6745-5DDB-4295-A3B8-603BB0CCF5D4}">
      <text>
        <r>
          <rPr>
            <sz val="10"/>
            <color indexed="81"/>
            <rFont val="Lucida Console"/>
            <family val="3"/>
          </rPr>
          <t>Última movimentação no estoque em 07/2023 quantidade 13.</t>
        </r>
      </text>
    </comment>
    <comment ref="R265" authorId="0" shapeId="0" xr:uid="{A898641C-9A63-4C56-A108-EFC73E04882E}">
      <text>
        <r>
          <rPr>
            <sz val="10"/>
            <color indexed="81"/>
            <rFont val="Lucida Console"/>
            <family val="3"/>
          </rPr>
          <t>05.05.2010</t>
        </r>
      </text>
    </comment>
    <comment ref="Y265" authorId="0" shapeId="0" xr:uid="{5A50D2D2-F708-42D0-8BCA-7A091F4F38BF}">
      <text>
        <r>
          <rPr>
            <sz val="10"/>
            <color indexed="81"/>
            <rFont val="Courier New"/>
            <family val="3"/>
          </rPr>
          <t>_x000D_
    DESCRIÇÃO DO CÁLCULO_x000D_
Código    : 115.135_x000D_
Corte     : 1_x000D_
-----------------------------_x000D_
Pendente  : _x000D_
22 / 08_2 : _x000D_
22 / 09_2 : _x000D_
22 / 10_2 : _x000D_
22 / 11_2 : _x000D_
22 / 12_2 : _x000D_
23 / 01_2 : _x000D_
23 / 02_2 : _x000D_
23 / 03_2 : _x000D_
23 / 04_2 : _x000D_
23 / 05_2 : 1 (corte = 3)_x000D_
23 / 06_2 : _x000D_
23 / 07_2 : _x000D_
_x000D_
    TOTAL : ( 1 )_x000D_
  DIVISOR : 12_x000D_
    MÉDIA : ,08_x000D_
-----------------------------_x000D_
   Valores Desconsiderados_x000D_
-----------------------------_x000D_
23 / 05_2 : 2 (3)_x000D_
_x000D_
  TOTAL   : ( 2 )</t>
        </r>
      </text>
    </comment>
    <comment ref="AB265" authorId="0" shapeId="0" xr:uid="{9F0B10EF-41B5-404A-927A-22CC4CEC4F88}">
      <text>
        <r>
          <rPr>
            <sz val="10"/>
            <color indexed="81"/>
            <rFont val="Lucida Console"/>
            <family val="3"/>
          </rPr>
          <t>Última movimentação no estoque em 05/2023 quantidade 3.</t>
        </r>
      </text>
    </comment>
    <comment ref="R266" authorId="0" shapeId="0" xr:uid="{8B7F0240-7E4A-4E6F-8A97-75981C05F5E8}">
      <text>
        <r>
          <rPr>
            <sz val="10"/>
            <color indexed="81"/>
            <rFont val="Lucida Console"/>
            <family val="3"/>
          </rPr>
          <t>01.01.1901</t>
        </r>
      </text>
    </comment>
    <comment ref="Y266" authorId="0" shapeId="0" xr:uid="{4BB134CB-46D5-4B4D-B7B9-6851B5744CF7}">
      <text>
        <r>
          <rPr>
            <sz val="10"/>
            <color indexed="81"/>
            <rFont val="Courier New"/>
            <family val="3"/>
          </rPr>
          <t>_x000D_
    DESCRIÇÃO DO CÁLCULO_x000D_
Código    : 14.784_x000D_
Corte     : 75_x000D_
-----------------------------_x000D_
Pendente  : 47_x000D_
22 / 08_2 : 55_x000D_
22 / 09_2 : 10_x000D_
22 / 10_2 : 10_x000D_
22 / 11_2 : _x000D_
22 / 12_2 : 52_x000D_
23 / 01_2 : 61_x000D_
23 / 02_2 : 10_x000D_
23 / 03_2 : 42_x000D_
23 / 04_2 : 38_x000D_
23 / 05_2 : _x000D_
23 / 06_2 : _x000D_
23 / 07_2 : _x000D_
_x000D_
    TOTAL : ( 325 )_x000D_
  DIVISOR : 12_x000D_
    MÉDIA : 27,08</t>
        </r>
      </text>
    </comment>
    <comment ref="AB266" authorId="0" shapeId="0" xr:uid="{50314ECE-FC60-4002-A9F8-7B4C0EAAA6D0}">
      <text>
        <r>
          <rPr>
            <sz val="10"/>
            <color indexed="81"/>
            <rFont val="Lucida Console"/>
            <family val="3"/>
          </rPr>
          <t>Última movimentação no estoque em 04/2023 quantidade 38.</t>
        </r>
      </text>
    </comment>
    <comment ref="R267" authorId="0" shapeId="0" xr:uid="{8CCE2F5D-BBAE-44F5-ABA5-6AFF22BCCC2C}">
      <text>
        <r>
          <rPr>
            <sz val="10"/>
            <color indexed="81"/>
            <rFont val="Lucida Console"/>
            <family val="3"/>
          </rPr>
          <t>01.01.1901</t>
        </r>
      </text>
    </comment>
    <comment ref="Y267" authorId="0" shapeId="0" xr:uid="{8E0CC7BD-1099-41C8-B2C0-7F0724FD1D76}">
      <text>
        <r>
          <rPr>
            <sz val="10"/>
            <color indexed="81"/>
            <rFont val="Courier New"/>
            <family val="3"/>
          </rPr>
          <t>_x000D_
    DESCRIÇÃO DO CÁLCULO_x000D_
Código    : 119.407_x000D_
Corte     : 28_x000D_
-----------------------------_x000D_
Pendente  : 4_x000D_
22 / 08_2 : 15_x000D_
22 / 09_2 : 24_x000D_
22 / 10_2 : 28 (corte = 30)_x000D_
22 / 11_2 : 15_x000D_
22 / 12_2 : _x000D_
23 / 01_2 : _x000D_
23 / 02_2 : _x000D_
23 / 03_2 : _x000D_
23 / 04_2 : _x000D_
23 / 05_2 : _x000D_
23 / 06_2 : _x000D_
23 / 07_2 : _x000D_
_x000D_
    TOTAL : ( 86 )_x000D_
  DIVISOR : 12_x000D_
    MÉDIA : 7,17_x000D_
-----------------------------_x000D_
   Valores Desconsiderados_x000D_
-----------------------------_x000D_
22 / 10_2 : 2 (30)_x000D_
_x000D_
  TOTAL   : ( 2 )</t>
        </r>
      </text>
    </comment>
    <comment ref="AB267" authorId="0" shapeId="0" xr:uid="{A485BBFE-4C76-42B6-BE5A-A537B051B5DF}">
      <text>
        <r>
          <rPr>
            <sz val="10"/>
            <color indexed="81"/>
            <rFont val="Lucida Console"/>
            <family val="3"/>
          </rPr>
          <t>Última movimentação no estoque em 11/2022 quantidade 15.</t>
        </r>
      </text>
    </comment>
    <comment ref="R268" authorId="0" shapeId="0" xr:uid="{CB0A64FA-D5F0-4042-95F9-B99B2639C884}">
      <text>
        <r>
          <rPr>
            <sz val="10"/>
            <color indexed="81"/>
            <rFont val="Lucida Console"/>
            <family val="3"/>
          </rPr>
          <t>24.10.2007</t>
        </r>
      </text>
    </comment>
    <comment ref="Y268" authorId="0" shapeId="0" xr:uid="{97FF7F1C-F77C-48C3-9B5C-4D93D99677A7}">
      <text>
        <r>
          <rPr>
            <sz val="10"/>
            <color indexed="81"/>
            <rFont val="Courier New"/>
            <family val="3"/>
          </rPr>
          <t>_x000D_
    DESCRIÇÃO DO CÁLCULO_x000D_
Código    : 102.922_x000D_
Corte     : 3.785_x000D_
-----------------------------_x000D_
Pendente  : 2.947_x000D_
22 / 08_2 : 1.910_x000D_
22 / 09_2 : 2.325_x000D_
22 / 10_2 : 2.270_x000D_
22 / 11_2 : 2.090_x000D_
22 / 12_2 : 1.330_x000D_
23 / 01_2 : 879_x000D_
23 / 02_2 : 1.494_x000D_
23 / 03_2 : 2.538_x000D_
23 / 04_2 : 125_x000D_
23 / 05_2 : 72_x000D_
23 / 06_2 : 2.574_x000D_
23 / 07_2 : 2.476_x000D_
_x000D_
    TOTAL : ( 23.030 )_x000D_
  DIVISOR : 12_x000D_
    MÉDIA : 1.919,17</t>
        </r>
      </text>
    </comment>
    <comment ref="AB268" authorId="0" shapeId="0" xr:uid="{8F7AE41F-83B7-49B3-B34A-7BFBBECD5353}">
      <text>
        <r>
          <rPr>
            <sz val="10"/>
            <color indexed="81"/>
            <rFont val="Lucida Console"/>
            <family val="3"/>
          </rPr>
          <t>Última movimentação no estoque em 07/2023 quantidade 2.476.</t>
        </r>
      </text>
    </comment>
    <comment ref="R269" authorId="0" shapeId="0" xr:uid="{337D35DF-0278-449F-8EBC-D763C9859BFA}">
      <text>
        <r>
          <rPr>
            <sz val="10"/>
            <color indexed="81"/>
            <rFont val="Lucida Console"/>
            <family val="3"/>
          </rPr>
          <t>01.01.1901</t>
        </r>
      </text>
    </comment>
    <comment ref="Y269" authorId="0" shapeId="0" xr:uid="{E205B4E4-F68D-461E-8502-DB57B2544A80}">
      <text>
        <r>
          <rPr>
            <sz val="10"/>
            <color indexed="81"/>
            <rFont val="Courier New"/>
            <family val="3"/>
          </rPr>
          <t>_x000D_
    DESCRIÇÃO DO CÁLCULO_x000D_
Código    : 52.129_x000D_
Corte     : 78_x000D_
-----------------------------_x000D_
Pendente  : _x000D_
22 / 08_2 : _x000D_
22 / 09_2 : _x000D_
22 / 10_2 : 25_x000D_
22 / 11_2 : _x000D_
22 / 12_2 : _x000D_
23 / 01_2 : 20_x000D_
23 / 02_2 : 50_x000D_
23 / 03_2 : 78 (corte = 100)_x000D_
23 / 04_2 : _x000D_
23 / 05_2 : 20_x000D_
23 / 06_2 : _x000D_
23 / 07_2 : _x000D_
_x000D_
    TOTAL : ( 193 )_x000D_
  DIVISOR : 12_x000D_
    MÉDIA : 16,08_x000D_
-----------------------------_x000D_
   Valores Desconsiderados_x000D_
-----------------------------_x000D_
23 / 03_2 : 22 (100)_x000D_
_x000D_
  TOTAL   : ( 22 )</t>
        </r>
      </text>
    </comment>
    <comment ref="AB269" authorId="0" shapeId="0" xr:uid="{DDA030C2-B667-4807-B49D-4C570BE8CA32}">
      <text>
        <r>
          <rPr>
            <sz val="10"/>
            <color indexed="81"/>
            <rFont val="Lucida Console"/>
            <family val="3"/>
          </rPr>
          <t>Última movimentação no estoque em 05/2023 quantidade 20.</t>
        </r>
      </text>
    </comment>
    <comment ref="R270" authorId="0" shapeId="0" xr:uid="{E7FADA32-83D4-4E7B-9972-784472A8A051}">
      <text>
        <r>
          <rPr>
            <sz val="10"/>
            <color indexed="81"/>
            <rFont val="Lucida Console"/>
            <family val="3"/>
          </rPr>
          <t>13.09.2019</t>
        </r>
      </text>
    </comment>
    <comment ref="Y270" authorId="0" shapeId="0" xr:uid="{6EA2C135-4AA8-4025-B733-B93ECAB33119}">
      <text>
        <r>
          <rPr>
            <sz val="10"/>
            <color indexed="81"/>
            <rFont val="Courier New"/>
            <family val="3"/>
          </rPr>
          <t>_x000D_
    DESCRIÇÃO DO CÁLCULO_x000D_
Código    : 138.475_x000D_
Corte     : 8_x000D_
-----------------------------_x000D_
Pendente  : _x000D_
22 / 08_2 : _x000D_
22 / 09_2 : _x000D_
22 / 10_2 : _x000D_
22 / 11_2 : _x000D_
22 / 12_2 : 5_x000D_
23 / 01_2 : 6_x000D_
23 / 02_2 : _x000D_
23 / 03_2 : 8 (corte = 10)_x000D_
23 / 04_2 : _x000D_
23 / 05_2 : _x000D_
23 / 06_2 : _x000D_
23 / 07_2 : _x000D_
_x000D_
    TOTAL : ( 19 )_x000D_
  DIVISOR : 12_x000D_
    MÉDIA : 1,58_x000D_
-----------------------------_x000D_
   Valores Desconsiderados_x000D_
-----------------------------_x000D_
23 / 03_2 : 2 (10)_x000D_
_x000D_
  TOTAL   : ( 2 )</t>
        </r>
      </text>
    </comment>
    <comment ref="AB270" authorId="0" shapeId="0" xr:uid="{6F15E082-5442-4292-8BD2-8F3AEDCC5B5D}">
      <text>
        <r>
          <rPr>
            <sz val="10"/>
            <color indexed="81"/>
            <rFont val="Lucida Console"/>
            <family val="3"/>
          </rPr>
          <t>Última movimentação no estoque em 03/2023 quantidade 10.</t>
        </r>
      </text>
    </comment>
    <comment ref="R271" authorId="0" shapeId="0" xr:uid="{5DB4A4E4-42DB-4CDF-A668-5F39D66536CE}">
      <text>
        <r>
          <rPr>
            <sz val="10"/>
            <color indexed="81"/>
            <rFont val="Lucida Console"/>
            <family val="3"/>
          </rPr>
          <t>07.02.2012</t>
        </r>
      </text>
    </comment>
    <comment ref="Y271" authorId="0" shapeId="0" xr:uid="{CEDE81F6-C707-43DA-AFB6-AE9E602B0294}">
      <text>
        <r>
          <rPr>
            <sz val="10"/>
            <color indexed="81"/>
            <rFont val="Courier New"/>
            <family val="3"/>
          </rPr>
          <t>_x000D_
    DESCRIÇÃO DO CÁLCULO_x000D_
Código    : 122.304_x000D_
Corte     : 637_x000D_
-----------------------------_x000D_
Pendente  : 205_x000D_
22 / 08_2 : 458_x000D_
22 / 09_2 : 298_x000D_
22 / 10_2 : 194_x000D_
22 / 11_2 : 371_x000D_
22 / 12_2 : 130_x000D_
23 / 01_2 : 320_x000D_
23 / 02_2 : 351_x000D_
23 / 03_2 : 619_x000D_
23 / 04_2 : _x000D_
23 / 05_2 : _x000D_
23 / 06_2 : _x000D_
23 / 07_2 : 65_x000D_
_x000D_
    TOTAL : ( 3.011 )_x000D_
  DIVISOR : 12_x000D_
    MÉDIA : 250,92</t>
        </r>
      </text>
    </comment>
    <comment ref="AB271" authorId="0" shapeId="0" xr:uid="{EF3D937E-639F-470A-B2F6-DEA9E445DFEC}">
      <text>
        <r>
          <rPr>
            <sz val="10"/>
            <color indexed="81"/>
            <rFont val="Lucida Console"/>
            <family val="3"/>
          </rPr>
          <t>Última movimentação no estoque em 07/2023 quantidade 65.</t>
        </r>
      </text>
    </comment>
    <comment ref="R272" authorId="0" shapeId="0" xr:uid="{A962C634-98F3-4A53-89E5-E171FEADFDFA}">
      <text>
        <r>
          <rPr>
            <sz val="10"/>
            <color indexed="81"/>
            <rFont val="Lucida Console"/>
            <family val="3"/>
          </rPr>
          <t>07.02.2012</t>
        </r>
      </text>
    </comment>
    <comment ref="Y272" authorId="0" shapeId="0" xr:uid="{DFE78E8B-5128-4B6A-AF13-7BAA6903B734}">
      <text>
        <r>
          <rPr>
            <sz val="10"/>
            <color indexed="81"/>
            <rFont val="Courier New"/>
            <family val="3"/>
          </rPr>
          <t>_x000D_
    DESCRIÇÃO DO CÁLCULO_x000D_
Código    : 122.305_x000D_
Corte     : 319_x000D_
-----------------------------_x000D_
Pendente  : _x000D_
22 / 08_2 : _x000D_
22 / 09_2 : _x000D_
22 / 10_2 : _x000D_
22 / 11_2 : 50_x000D_
22 / 12_2 : 25_x000D_
23 / 01_2 : 4_x000D_
23 / 02_2 : _x000D_
23 / 03_2 : 254_x000D_
23 / 04_2 : 20_x000D_
23 / 05_2 : 319 (corte = 400)_x000D_
23 / 06_2 : _x000D_
23 / 07_2 : _x000D_
_x000D_
    TOTAL : ( 672 )_x000D_
  DIVISOR : 12_x000D_
    MÉDIA : 56,00_x000D_
-----------------------------_x000D_
   Valores Desconsiderados_x000D_
-----------------------------_x000D_
23 / 05_2 : 81 (400)_x000D_
_x000D_
  TOTAL   : ( 81 )</t>
        </r>
      </text>
    </comment>
    <comment ref="AB272" authorId="0" shapeId="0" xr:uid="{BCDE5874-E5ED-46AA-B847-B91991CFD548}">
      <text>
        <r>
          <rPr>
            <sz val="10"/>
            <color indexed="81"/>
            <rFont val="Lucida Console"/>
            <family val="3"/>
          </rPr>
          <t>Última movimentação no estoque em 05/2023 quantidade 400.</t>
        </r>
      </text>
    </comment>
    <comment ref="R273" authorId="0" shapeId="0" xr:uid="{E9B92C8D-6A65-40E2-AEA3-533FF152DBC5}">
      <text>
        <r>
          <rPr>
            <sz val="10"/>
            <color indexed="81"/>
            <rFont val="Lucida Console"/>
            <family val="3"/>
          </rPr>
          <t>24.08.2004</t>
        </r>
      </text>
    </comment>
    <comment ref="Y273" authorId="0" shapeId="0" xr:uid="{783EE2B0-3995-4E41-8958-DFBF1A7CCF3B}">
      <text>
        <r>
          <rPr>
            <sz val="10"/>
            <color indexed="81"/>
            <rFont val="Courier New"/>
            <family val="3"/>
          </rPr>
          <t>_x000D_
    DESCRIÇÃO DO CÁLCULO_x000D_
Código    : 81.455_x000D_
Corte     : 220_x000D_
-----------------------------_x000D_
Pendente  : 68_x000D_
22 / 08_2 : _x000D_
22 / 09_2 : 60_x000D_
22 / 10_2 : 20_x000D_
22 / 11_2 : 130_x000D_
22 / 12_2 : 30_x000D_
23 / 01_2 : _x000D_
23 / 02_2 : _x000D_
23 / 03_2 : 220 (corte = 270)_x000D_
23 / 04_2 : _x000D_
23 / 05_2 : 132_x000D_
23 / 06_2 : _x000D_
23 / 07_2 : _x000D_
_x000D_
    TOTAL : ( 660 )_x000D_
  DIVISOR : 12_x000D_
    MÉDIA : 55,00_x000D_
-----------------------------_x000D_
   Valores Desconsiderados_x000D_
-----------------------------_x000D_
23 / 03_2 : 50 (270)_x000D_
_x000D_
  TOTAL   : ( 50 )</t>
        </r>
      </text>
    </comment>
    <comment ref="AB273" authorId="0" shapeId="0" xr:uid="{6B95F2F4-3FAD-49EA-B270-1D514D38E646}">
      <text>
        <r>
          <rPr>
            <sz val="10"/>
            <color indexed="81"/>
            <rFont val="Lucida Console"/>
            <family val="3"/>
          </rPr>
          <t>Última movimentação no estoque em 05/2023 quantidade 132.</t>
        </r>
      </text>
    </comment>
    <comment ref="R274" authorId="0" shapeId="0" xr:uid="{0D807717-86D8-4373-A102-C44B35CBCF9E}">
      <text>
        <r>
          <rPr>
            <sz val="10"/>
            <color indexed="81"/>
            <rFont val="Lucida Console"/>
            <family val="3"/>
          </rPr>
          <t>01.07.2004</t>
        </r>
      </text>
    </comment>
    <comment ref="Y274" authorId="0" shapeId="0" xr:uid="{060436EF-2AC5-4752-8C56-9BB506CAE8F0}">
      <text>
        <r>
          <rPr>
            <sz val="10"/>
            <color indexed="81"/>
            <rFont val="Courier New"/>
            <family val="3"/>
          </rPr>
          <t>_x000D_
    DESCRIÇÃO DO CÁLCULO_x000D_
Código    : 80.387_x000D_
Corte     : 252_x000D_
-----------------------------_x000D_
Pendente  : _x000D_
22 / 08_2 : 16_x000D_
22 / 09_2 : 30_x000D_
22 / 10_2 : 30_x000D_
22 / 11_2 : 50_x000D_
22 / 12_2 : 50_x000D_
23 / 01_2 : 50_x000D_
23 / 02_2 : 50_x000D_
23 / 03_2 : 252 (corte = 310)_x000D_
23 / 04_2 : _x000D_
23 / 05_2 : 200_x000D_
23 / 06_2 : _x000D_
23 / 07_2 : _x000D_
_x000D_
    TOTAL : ( 728 )_x000D_
  DIVISOR : 12_x000D_
    MÉDIA : 60,67_x000D_
-----------------------------_x000D_
   Valores Desconsiderados_x000D_
-----------------------------_x000D_
23 / 03_2 : 58 (310)_x000D_
_x000D_
  TOTAL   : ( 58 )</t>
        </r>
      </text>
    </comment>
    <comment ref="AB274" authorId="0" shapeId="0" xr:uid="{24921D47-2E16-48C4-B906-8FA6BC154792}">
      <text>
        <r>
          <rPr>
            <sz val="10"/>
            <color indexed="81"/>
            <rFont val="Lucida Console"/>
            <family val="3"/>
          </rPr>
          <t>Última movimentação no estoque em 05/2023 quantidade 200.</t>
        </r>
      </text>
    </comment>
    <comment ref="R275" authorId="0" shapeId="0" xr:uid="{8588328B-07C0-44A3-A661-DB116D5F0186}">
      <text>
        <r>
          <rPr>
            <sz val="10"/>
            <color indexed="81"/>
            <rFont val="Lucida Console"/>
            <family val="3"/>
          </rPr>
          <t>30.05.2005</t>
        </r>
      </text>
    </comment>
    <comment ref="Y275" authorId="0" shapeId="0" xr:uid="{A4242061-42D3-4EEC-ADCF-79C9827D7DA5}">
      <text>
        <r>
          <rPr>
            <sz val="10"/>
            <color indexed="81"/>
            <rFont val="Courier New"/>
            <family val="3"/>
          </rPr>
          <t>_x000D_
    DESCRIÇÃO DO CÁLCULO_x000D_
Código    : 85.798_x000D_
Corte     : 1_x000D_
-----------------------------_x000D_
Pendente  : _x000D_
22 / 08_2 : _x000D_
22 / 09_2 : _x000D_
22 / 10_2 : _x000D_
22 / 11_2 : _x000D_
22 / 12_2 : _x000D_
23 / 01_2 : _x000D_
23 / 02_2 : _x000D_
23 / 03_2 : _x000D_
23 / 04_2 : 1 (corte = 2)_x000D_
23 / 05_2 : _x000D_
23 / 06_2 : _x000D_
23 / 07_2 : _x000D_
_x000D_
    TOTAL : ( 1 )_x000D_
  DIVISOR : 12_x000D_
    MÉDIA : ,08_x000D_
-----------------------------_x000D_
   Valores Desconsiderados_x000D_
-----------------------------_x000D_
23 / 04_2 : 1 (2)_x000D_
_x000D_
  TOTAL   : ( 1 )</t>
        </r>
      </text>
    </comment>
    <comment ref="AB275" authorId="0" shapeId="0" xr:uid="{C5D4F068-754B-4304-8054-746A07D34D57}">
      <text>
        <r>
          <rPr>
            <sz val="10"/>
            <color indexed="81"/>
            <rFont val="Lucida Console"/>
            <family val="3"/>
          </rPr>
          <t>Última movimentação no estoque em 04/2023 quantidade 2.</t>
        </r>
      </text>
    </comment>
    <comment ref="D276" authorId="0" shapeId="0" xr:uid="{FEDC1C84-442A-42BF-9F01-5710444F7F2A}">
      <text>
        <r>
          <rPr>
            <sz val="10"/>
            <color indexed="81"/>
            <rFont val="Lucida Console"/>
            <family val="3"/>
          </rPr>
          <t>_x000D_
Quantidade Original: 373_x000D_
Quantidade importada do código 85.798: +264</t>
        </r>
      </text>
    </comment>
    <comment ref="N276" authorId="0" shapeId="0" xr:uid="{742045EC-C5B0-4885-A8AE-A96F420BB155}">
      <text>
        <r>
          <rPr>
            <sz val="10"/>
            <color indexed="81"/>
            <rFont val="Lucida Console"/>
            <family val="3"/>
          </rPr>
          <t>_x000D_
Quantidade Original: 2_x000D_
Quantidade importada do código 85.798: +2</t>
        </r>
      </text>
    </comment>
    <comment ref="R276" authorId="0" shapeId="0" xr:uid="{BAAE24DA-9638-4FCF-B7B0-233CEF3F0B75}">
      <text>
        <r>
          <rPr>
            <sz val="10"/>
            <color indexed="81"/>
            <rFont val="Lucida Console"/>
            <family val="3"/>
          </rPr>
          <t>01.06.2020</t>
        </r>
      </text>
    </comment>
    <comment ref="Y276" authorId="0" shapeId="0" xr:uid="{2FFFBF50-34FC-4024-9C2B-62695C28E623}">
      <text>
        <r>
          <rPr>
            <sz val="10"/>
            <color indexed="81"/>
            <rFont val="Courier New"/>
            <family val="3"/>
          </rPr>
          <t>_x000D_
    DESCRIÇÃO DO CÁLCULO_x000D_
Código    : 139.545_x000D_
Corte     : 37_x000D_
-----------------------------_x000D_
Pendente  : _x000D_
22 / 08_2 : _x000D_
22 / 09_2 : _x000D_
22 / 10_2 : _x000D_
22 / 11_2 : _x000D_
22 / 12_2 : _x000D_
23 / 01_2 : 25_x000D_
23 / 02_2 : _x000D_
23 / 03_2 : 37 (corte = 50)_x000D_
23 / 04_2 : 4_x000D_
23 / 05_2 : _x000D_
23 / 06_2 : _x000D_
23 / 07_2 : _x000D_
_x000D_
    TOTAL : ( 66 )_x000D_
  DIVISOR : 12_x000D_
    MÉDIA : 5,50_x000D_
-----------------------------_x000D_
   Valores Desconsiderados_x000D_
-----------------------------_x000D_
23 / 03_2 : 13 (50)_x000D_
_x000D_
  TOTAL   : ( 13 )</t>
        </r>
      </text>
    </comment>
    <comment ref="AB276" authorId="0" shapeId="0" xr:uid="{311F6134-AC1F-49C2-A4FF-FAF6696E4284}">
      <text>
        <r>
          <rPr>
            <sz val="10"/>
            <color indexed="81"/>
            <rFont val="Lucida Console"/>
            <family val="3"/>
          </rPr>
          <t>Última movimentação no estoque em 04/2023 quantidade 4.</t>
        </r>
      </text>
    </comment>
    <comment ref="R277" authorId="0" shapeId="0" xr:uid="{90CD2BDD-F7E8-491A-9F60-8F662169CC94}">
      <text>
        <r>
          <rPr>
            <sz val="10"/>
            <color indexed="81"/>
            <rFont val="Lucida Console"/>
            <family val="3"/>
          </rPr>
          <t>01.01.1901</t>
        </r>
      </text>
    </comment>
    <comment ref="Y277" authorId="0" shapeId="0" xr:uid="{E8A17B23-BC05-40C9-AB11-8BC1C0BE8259}">
      <text>
        <r>
          <rPr>
            <sz val="10"/>
            <color indexed="81"/>
            <rFont val="Courier New"/>
            <family val="3"/>
          </rPr>
          <t>_x000D_
    DESCRIÇÃO DO CÁLCULO_x000D_
Código    : 17.562_x000D_
Corte     : 21_x000D_
-----------------------------_x000D_
Pendente  : _x000D_
22 / 08_2 : _x000D_
22 / 09_2 : _x000D_
22 / 10_2 : _x000D_
22 / 11_2 : 21 (corte = 30)_x000D_
22 / 12_2 : _x000D_
23 / 01_2 : _x000D_
23 / 02_2 : _x000D_
23 / 03_2 : 10_x000D_
23 / 04_2 : _x000D_
23 / 05_2 : _x000D_
23 / 06_2 : _x000D_
23 / 07_2 : _x000D_
_x000D_
    TOTAL : ( 31 )_x000D_
  DIVISOR : 12_x000D_
    MÉDIA : 2,58_x000D_
-----------------------------_x000D_
   Valores Desconsiderados_x000D_
-----------------------------_x000D_
22 / 11_2 : 9 (30)_x000D_
_x000D_
  TOTAL   : ( 9 )</t>
        </r>
      </text>
    </comment>
    <comment ref="AB277" authorId="0" shapeId="0" xr:uid="{98238809-6932-46AA-9364-1F104BA8303C}">
      <text>
        <r>
          <rPr>
            <sz val="10"/>
            <color indexed="81"/>
            <rFont val="Lucida Console"/>
            <family val="3"/>
          </rPr>
          <t>Última movimentação no estoque em 03/2023 quantidade 10.</t>
        </r>
      </text>
    </comment>
    <comment ref="R278" authorId="0" shapeId="0" xr:uid="{08E95F5C-24D4-4DA2-A2C1-5ED4B523E530}">
      <text>
        <r>
          <rPr>
            <sz val="10"/>
            <color indexed="81"/>
            <rFont val="Lucida Console"/>
            <family val="3"/>
          </rPr>
          <t>01.01.1901</t>
        </r>
      </text>
    </comment>
    <comment ref="Y278" authorId="0" shapeId="0" xr:uid="{D6F8D061-194E-45E9-AE5C-DAFB3E4FDE43}">
      <text>
        <r>
          <rPr>
            <sz val="10"/>
            <color indexed="81"/>
            <rFont val="Courier New"/>
            <family val="3"/>
          </rPr>
          <t>_x000D_
    DESCRIÇÃO DO CÁLCULO_x000D_
Código    : 40.251_x000D_
Corte     : 160_x000D_
-----------------------------_x000D_
Pendente  : 110_x000D_
22 / 08_2 : 60_x000D_
22 / 09_2 : 50_x000D_
22 / 10_2 : 20_x000D_
22 / 11_2 : 30_x000D_
22 / 12_2 : 50_x000D_
23 / 01_2 : 37_x000D_
23 / 02_2 : 32_x000D_
23 / 03_2 : 78_x000D_
23 / 04_2 : 160 (corte = 191)_x000D_
23 / 05_2 : _x000D_
23 / 06_2 : _x000D_
23 / 07_2 : _x000D_
_x000D_
    TOTAL : ( 627 )_x000D_
  DIVISOR : 12_x000D_
    MÉDIA : 52,25_x000D_
-----------------------------_x000D_
   Valores Desconsiderados_x000D_
-----------------------------_x000D_
23 / 04_2 : 31 (191)_x000D_
_x000D_
  TOTAL   : ( 31 )</t>
        </r>
      </text>
    </comment>
    <comment ref="AB278" authorId="0" shapeId="0" xr:uid="{B2B0FFB3-D1A0-414B-8F9C-03D38D11F2C2}">
      <text>
        <r>
          <rPr>
            <sz val="10"/>
            <color indexed="81"/>
            <rFont val="Lucida Console"/>
            <family val="3"/>
          </rPr>
          <t>Última movimentação no estoque em 04/2023 quantidade 191.</t>
        </r>
      </text>
    </comment>
    <comment ref="R279" authorId="0" shapeId="0" xr:uid="{3A5503BB-608A-47FC-AF74-29AE97CBDC76}">
      <text>
        <r>
          <rPr>
            <sz val="10"/>
            <color indexed="81"/>
            <rFont val="Lucida Console"/>
            <family val="3"/>
          </rPr>
          <t>31.10.2005</t>
        </r>
      </text>
    </comment>
    <comment ref="Y279" authorId="0" shapeId="0" xr:uid="{3678EEE2-6F01-4B1D-B0C9-CDA3F0514099}">
      <text>
        <r>
          <rPr>
            <sz val="10"/>
            <color indexed="81"/>
            <rFont val="Courier New"/>
            <family val="3"/>
          </rPr>
          <t>_x000D_
    DESCRIÇÃO DO CÁLCULO_x000D_
Código    : 88.718_x000D_
Corte     : 5_x000D_
-----------------------------_x000D_
Pendente  : _x000D_
22 / 08_2 : _x000D_
22 / 09_2 : _x000D_
22 / 10_2 : _x000D_
22 / 11_2 : _x000D_
22 / 12_2 : 5 (corte = 6)_x000D_
23 / 01_2 : _x000D_
23 / 02_2 : _x000D_
23 / 03_2 : 2_x000D_
23 / 04_2 : _x000D_
23 / 05_2 : 4_x000D_
23 / 06_2 : _x000D_
23 / 07_2 : _x000D_
_x000D_
    TOTAL : ( 11 )_x000D_
  DIVISOR : 12_x000D_
    MÉDIA : ,92_x000D_
-----------------------------_x000D_
   Valores Desconsiderados_x000D_
-----------------------------_x000D_
22 / 12_2 : 1 (6)_x000D_
_x000D_
  TOTAL   : ( 1 )</t>
        </r>
      </text>
    </comment>
    <comment ref="AB279" authorId="0" shapeId="0" xr:uid="{CECF9B61-EBD9-4529-B9E0-D01289324132}">
      <text>
        <r>
          <rPr>
            <sz val="10"/>
            <color indexed="81"/>
            <rFont val="Lucida Console"/>
            <family val="3"/>
          </rPr>
          <t>Última movimentação no estoque em 05/2023 quantidade 4.</t>
        </r>
      </text>
    </comment>
    <comment ref="R280" authorId="0" shapeId="0" xr:uid="{38402A03-87A8-4E82-9FE8-50EEC882E199}">
      <text>
        <r>
          <rPr>
            <sz val="10"/>
            <color indexed="81"/>
            <rFont val="Lucida Console"/>
            <family val="3"/>
          </rPr>
          <t>30.04.2009</t>
        </r>
      </text>
    </comment>
    <comment ref="Y280" authorId="0" shapeId="0" xr:uid="{6AF31C20-796B-4CA2-BD8D-9E0717A43947}">
      <text>
        <r>
          <rPr>
            <sz val="10"/>
            <color indexed="81"/>
            <rFont val="Courier New"/>
            <family val="3"/>
          </rPr>
          <t>_x000D_
    DESCRIÇÃO DO CÁLCULO_x000D_
Código    : 110.771_x000D_
Corte     : 26_x000D_
-----------------------------_x000D_
Pendente  : _x000D_
22 / 08_2 : 23_x000D_
22 / 09_2 : 4_x000D_
22 / 10_2 : 10_x000D_
22 / 11_2 : _x000D_
22 / 12_2 : 26 (corte = 27)_x000D_
23 / 01_2 : 4_x000D_
23 / 02_2 : 3_x000D_
23 / 03_2 : _x000D_
23 / 04_2 : 15_x000D_
23 / 05_2 : _x000D_
23 / 06_2 : _x000D_
23 / 07_2 : _x000D_
_x000D_
    TOTAL : ( 85 )_x000D_
  DIVISOR : 12_x000D_
    MÉDIA : 7,08_x000D_
-----------------------------_x000D_
   Valores Desconsiderados_x000D_
-----------------------------_x000D_
22 / 12_2 : 1 (27)_x000D_
_x000D_
  TOTAL   : ( 1 )</t>
        </r>
      </text>
    </comment>
    <comment ref="AB280" authorId="0" shapeId="0" xr:uid="{E697A9D2-CFA6-4075-A62D-0BB255B83C54}">
      <text>
        <r>
          <rPr>
            <sz val="10"/>
            <color indexed="81"/>
            <rFont val="Lucida Console"/>
            <family val="3"/>
          </rPr>
          <t>Última movimentação no estoque em 04/2023 quantidade 15.</t>
        </r>
      </text>
    </comment>
    <comment ref="R281" authorId="0" shapeId="0" xr:uid="{6DD4B1DD-47BA-4571-BEA4-45A403FE25E9}">
      <text>
        <r>
          <rPr>
            <sz val="10"/>
            <color indexed="81"/>
            <rFont val="Lucida Console"/>
            <family val="3"/>
          </rPr>
          <t>31.10.2005</t>
        </r>
      </text>
    </comment>
    <comment ref="Y281" authorId="0" shapeId="0" xr:uid="{D8292FB8-72CA-40A4-B67D-A037A51518FD}">
      <text>
        <r>
          <rPr>
            <sz val="10"/>
            <color indexed="81"/>
            <rFont val="Courier New"/>
            <family val="3"/>
          </rPr>
          <t>_x000D_
    DESCRIÇÃO DO CÁLCULO_x000D_
Código    : 88.726_x000D_
Corte     : 9_x000D_
-----------------------------_x000D_
Pendente  : _x000D_
22 / 08_2 : _x000D_
22 / 09_2 : 3_x000D_
22 / 10_2 : 2_x000D_
22 / 11_2 : 4_x000D_
22 / 12_2 : 2_x000D_
23 / 01_2 : 4_x000D_
23 / 02_2 : 1_x000D_
23 / 03_2 : _x000D_
23 / 04_2 : 9 (corte = 12)_x000D_
23 / 05_2 : 4_x000D_
23 / 06_2 : _x000D_
23 / 07_2 : _x000D_
_x000D_
    TOTAL : ( 29 )_x000D_
  DIVISOR : 12_x000D_
    MÉDIA : 2,42_x000D_
-----------------------------_x000D_
   Valores Desconsiderados_x000D_
-----------------------------_x000D_
23 / 04_2 : 3 (12)_x000D_
_x000D_
  TOTAL   : ( 3 )</t>
        </r>
      </text>
    </comment>
    <comment ref="AB281" authorId="0" shapeId="0" xr:uid="{049BD57D-E440-4FA5-9E4D-4936BF4BF1E9}">
      <text>
        <r>
          <rPr>
            <sz val="10"/>
            <color indexed="81"/>
            <rFont val="Lucida Console"/>
            <family val="3"/>
          </rPr>
          <t>Última movimentação no estoque em 05/2023 quantidade 4.</t>
        </r>
      </text>
    </comment>
    <comment ref="R282" authorId="0" shapeId="0" xr:uid="{DD24C585-C07E-4F3C-B8A1-0B3382630E8E}">
      <text>
        <r>
          <rPr>
            <sz val="10"/>
            <color indexed="81"/>
            <rFont val="Lucida Console"/>
            <family val="3"/>
          </rPr>
          <t>31.10.2005</t>
        </r>
      </text>
    </comment>
    <comment ref="Y282" authorId="0" shapeId="0" xr:uid="{AE6B89C4-1BFF-4551-992F-F01528DD96B5}">
      <text>
        <r>
          <rPr>
            <sz val="10"/>
            <color indexed="81"/>
            <rFont val="Courier New"/>
            <family val="3"/>
          </rPr>
          <t>_x000D_
    DESCRIÇÃO DO CÁLCULO_x000D_
Código    : 88.727_x000D_
Corte     : 47_x000D_
-----------------------------_x000D_
Pendente  : _x000D_
22 / 08_2 : 2_x000D_
22 / 09_2 : 32_x000D_
22 / 10_2 : 18_x000D_
22 / 11_2 : 2_x000D_
22 / 12_2 : 32_x000D_
23 / 01_2 : 47 (corte = 51)_x000D_
23 / 02_2 : 14_x000D_
23 / 03_2 : 8_x000D_
23 / 04_2 : 20_x000D_
23 / 05_2 : _x000D_
23 / 06_2 : 10_x000D_
23 / 07_2 : _x000D_
_x000D_
    TOTAL : ( 185 )_x000D_
  DIVISOR : 12_x000D_
    MÉDIA : 15,42_x000D_
-----------------------------_x000D_
   Valores Desconsiderados_x000D_
-----------------------------_x000D_
23 / 01_2 : 4 (51)_x000D_
_x000D_
  TOTAL   : ( 4 )</t>
        </r>
      </text>
    </comment>
    <comment ref="AB282" authorId="0" shapeId="0" xr:uid="{556F7E75-3587-4AB0-A58A-B0B37FD62AA8}">
      <text>
        <r>
          <rPr>
            <sz val="10"/>
            <color indexed="81"/>
            <rFont val="Lucida Console"/>
            <family val="3"/>
          </rPr>
          <t>Última movimentação no estoque em 06/2023 quantidade 10.</t>
        </r>
      </text>
    </comment>
    <comment ref="R283" authorId="0" shapeId="0" xr:uid="{10B475E5-0700-421C-9226-8AEE68C810B8}">
      <text>
        <r>
          <rPr>
            <sz val="10"/>
            <color indexed="81"/>
            <rFont val="Lucida Console"/>
            <family val="3"/>
          </rPr>
          <t>31.10.2005</t>
        </r>
      </text>
    </comment>
    <comment ref="Y283" authorId="0" shapeId="0" xr:uid="{8F15A842-C799-4C6C-97A0-8BAC5E68EBA8}">
      <text>
        <r>
          <rPr>
            <sz val="10"/>
            <color indexed="81"/>
            <rFont val="Courier New"/>
            <family val="3"/>
          </rPr>
          <t>_x000D_
    DESCRIÇÃO DO CÁLCULO_x000D_
Código    : 88.728_x000D_
Corte     : 23_x000D_
-----------------------------_x000D_
Pendente  : _x000D_
22 / 08_2 : 7_x000D_
22 / 09_2 : 8_x000D_
22 / 10_2 : 14_x000D_
22 / 11_2 : 5_x000D_
22 / 12_2 : 11_x000D_
23 / 01_2 : 5_x000D_
23 / 02_2 : 11_x000D_
23 / 03_2 : 7_x000D_
23 / 04_2 : 23 (corte = 24)_x000D_
23 / 05_2 : _x000D_
23 / 06_2 : _x000D_
23 / 07_2 : 20_x000D_
_x000D_
    TOTAL : ( 111 )_x000D_
  DIVISOR : 12_x000D_
    MÉDIA : 9,25_x000D_
-----------------------------_x000D_
   Valores Desconsiderados_x000D_
-----------------------------_x000D_
23 / 04_2 : 1 (24)_x000D_
_x000D_
  TOTAL   : ( 1 )</t>
        </r>
      </text>
    </comment>
    <comment ref="AB283" authorId="0" shapeId="0" xr:uid="{E6A03DB5-E869-4EAD-AE02-4DBE19E1F11B}">
      <text>
        <r>
          <rPr>
            <sz val="10"/>
            <color indexed="81"/>
            <rFont val="Lucida Console"/>
            <family val="3"/>
          </rPr>
          <t>Última movimentação no estoque em 07/2023 quantidade 20.</t>
        </r>
      </text>
    </comment>
    <comment ref="R284" authorId="0" shapeId="0" xr:uid="{68542E6A-EC53-4C99-9B0C-97160AA45C8E}">
      <text>
        <r>
          <rPr>
            <sz val="10"/>
            <color indexed="81"/>
            <rFont val="Lucida Console"/>
            <family val="3"/>
          </rPr>
          <t>31.10.2005</t>
        </r>
      </text>
    </comment>
    <comment ref="Y284" authorId="0" shapeId="0" xr:uid="{8D7299D2-E7E1-40AA-8EBC-66C2946F200D}">
      <text>
        <r>
          <rPr>
            <sz val="10"/>
            <color indexed="81"/>
            <rFont val="Courier New"/>
            <family val="3"/>
          </rPr>
          <t>_x000D_
    DESCRIÇÃO DO CÁLCULO_x000D_
Código    : 88.729_x000D_
Corte     : 16_x000D_
-----------------------------_x000D_
Pendente  : _x000D_
22 / 08_2 : 5_x000D_
22 / 09_2 : _x000D_
22 / 10_2 : 5_x000D_
22 / 11_2 : 2_x000D_
22 / 12_2 : 6_x000D_
23 / 01_2 : _x000D_
23 / 02_2 : 3_x000D_
23 / 03_2 : 3_x000D_
23 / 04_2 : 10_x000D_
23 / 05_2 : _x000D_
23 / 06_2 : 16 (corte = 20)_x000D_
23 / 07_2 : _x000D_
_x000D_
    TOTAL : ( 50 )_x000D_
  DIVISOR : 12_x000D_
    MÉDIA : 4,17_x000D_
-----------------------------_x000D_
   Valores Desconsiderados_x000D_
-----------------------------_x000D_
23 / 06_2 : 4 (20)_x000D_
_x000D_
  TOTAL   : ( 4 )</t>
        </r>
      </text>
    </comment>
    <comment ref="AB284" authorId="0" shapeId="0" xr:uid="{93B5EAA4-CC9F-481F-82E6-80390A332E7D}">
      <text>
        <r>
          <rPr>
            <sz val="10"/>
            <color indexed="81"/>
            <rFont val="Lucida Console"/>
            <family val="3"/>
          </rPr>
          <t>Última movimentação no estoque em 06/2023 quantidade 20.</t>
        </r>
      </text>
    </comment>
    <comment ref="R285" authorId="0" shapeId="0" xr:uid="{0D04D7E9-72B0-4760-8B03-1ABB0F922ECD}">
      <text>
        <r>
          <rPr>
            <sz val="10"/>
            <color indexed="81"/>
            <rFont val="Lucida Console"/>
            <family val="3"/>
          </rPr>
          <t>31.10.2005</t>
        </r>
      </text>
    </comment>
    <comment ref="Y285" authorId="0" shapeId="0" xr:uid="{73D21D68-9C93-4E0A-83FC-1BB11F3B2527}">
      <text>
        <r>
          <rPr>
            <sz val="10"/>
            <color indexed="81"/>
            <rFont val="Courier New"/>
            <family val="3"/>
          </rPr>
          <t>_x000D_
    DESCRIÇÃO DO CÁLCULO_x000D_
Código    : 88.730_x000D_
Corte     : 5_x000D_
-----------------------------_x000D_
Pendente  : _x000D_
22 / 08_2 : _x000D_
22 / 09_2 : 4_x000D_
22 / 10_2 : 5 (corte = 6)_x000D_
22 / 11_2 : 2_x000D_
22 / 12_2 : 4_x000D_
23 / 01_2 : _x000D_
23 / 02_2 : 1_x000D_
23 / 03_2 : 2_x000D_
23 / 04_2 : _x000D_
23 / 05_2 : _x000D_
23 / 06_2 : _x000D_
23 / 07_2 : _x000D_
_x000D_
    TOTAL : ( 18 )_x000D_
  DIVISOR : 12_x000D_
    MÉDIA : 1,50_x000D_
-----------------------------_x000D_
   Valores Desconsiderados_x000D_
-----------------------------_x000D_
22 / 10_2 : 1 (6)_x000D_
_x000D_
  TOTAL   : ( 1 )</t>
        </r>
      </text>
    </comment>
    <comment ref="AB285" authorId="0" shapeId="0" xr:uid="{B65C4547-EF7C-42DA-8086-7330B3B4483D}">
      <text>
        <r>
          <rPr>
            <sz val="10"/>
            <color indexed="81"/>
            <rFont val="Lucida Console"/>
            <family val="3"/>
          </rPr>
          <t>Última movimentação no estoque em 03/2023 quantidade 2.</t>
        </r>
      </text>
    </comment>
    <comment ref="R286" authorId="0" shapeId="0" xr:uid="{ECC969E6-C02D-45B2-A52E-BB8D3A62029D}">
      <text>
        <r>
          <rPr>
            <sz val="10"/>
            <color indexed="81"/>
            <rFont val="Lucida Console"/>
            <family val="3"/>
          </rPr>
          <t>31.10.2005</t>
        </r>
      </text>
    </comment>
    <comment ref="Y286" authorId="0" shapeId="0" xr:uid="{4CE0235B-E30A-4506-AD31-88359F8B8AF1}">
      <text>
        <r>
          <rPr>
            <sz val="10"/>
            <color indexed="81"/>
            <rFont val="Courier New"/>
            <family val="3"/>
          </rPr>
          <t>_x000D_
    DESCRIÇÃO DO CÁLCULO_x000D_
Código    : 88.740_x000D_
Corte     : 42_x000D_
-----------------------------_x000D_
Pendente  : _x000D_
22 / 08_2 : 2_x000D_
22 / 09_2 : 3_x000D_
22 / 10_2 : 5_x000D_
22 / 11_2 : _x000D_
22 / 12_2 : 3_x000D_
23 / 01_2 : _x000D_
23 / 02_2 : 1_x000D_
23 / 03_2 : 2_x000D_
23 / 04_2 : 42 (corte = 63)_x000D_
23 / 05_2 : _x000D_
23 / 06_2 : _x000D_
23 / 07_2 : _x000D_
_x000D_
    TOTAL : ( 58 )_x000D_
  DIVISOR : 12_x000D_
    MÉDIA : 4,83_x000D_
-----------------------------_x000D_
   Valores Desconsiderados_x000D_
-----------------------------_x000D_
23 / 04_2 : 21 (63)_x000D_
_x000D_
  TOTAL   : ( 21 )</t>
        </r>
      </text>
    </comment>
    <comment ref="AB286" authorId="0" shapeId="0" xr:uid="{4B49E367-FBFB-4D95-BBCC-1D60966BE992}">
      <text>
        <r>
          <rPr>
            <sz val="10"/>
            <color indexed="81"/>
            <rFont val="Lucida Console"/>
            <family val="3"/>
          </rPr>
          <t>Última movimentação no estoque em 04/2023 quantidade 63.</t>
        </r>
      </text>
    </comment>
    <comment ref="R287" authorId="0" shapeId="0" xr:uid="{7E5DF7DD-7B27-4691-8D99-B4DC025C7FDE}">
      <text>
        <r>
          <rPr>
            <sz val="10"/>
            <color indexed="81"/>
            <rFont val="Lucida Console"/>
            <family val="3"/>
          </rPr>
          <t>31.10.2005</t>
        </r>
      </text>
    </comment>
    <comment ref="Y287" authorId="0" shapeId="0" xr:uid="{9C5EB85E-685F-436D-80FE-34927F443755}">
      <text>
        <r>
          <rPr>
            <sz val="10"/>
            <color indexed="81"/>
            <rFont val="Courier New"/>
            <family val="3"/>
          </rPr>
          <t>_x000D_
    DESCRIÇÃO DO CÁLCULO_x000D_
Código    : 88.731_x000D_
Corte     : _x000D_
-----------------------------_x000D_
Pendente  : _x000D_
22 / 08_2 : _x000D_
22 / 09_2 : _x000D_
22 / 10_2 : _x000D_
22 / 11_2 : _x000D_
22 / 12_2 : _x000D_
23 / 01_2 : _x000D_
23 / 02_2 :  (corte = 1)_x000D_
23 / 03_2 : _x000D_
23 / 04_2 : _x000D_
23 / 05_2 : _x000D_
23 / 06_2 : _x000D_
23 / 07_2 : _x000D_
_x000D_
    TOTAL : (  )_x000D_
  DIVISOR : 12_x000D_
    MÉDIA : ,00_x000D_
-----------------------------_x000D_
   Valores Desconsiderados_x000D_
-----------------------------_x000D_
23 / 02_2 : 1 (1)_x000D_
_x000D_
  TOTAL   : ( 1 )</t>
        </r>
      </text>
    </comment>
    <comment ref="AB287" authorId="0" shapeId="0" xr:uid="{9CC74610-CE18-4C3F-853D-F3698163A0A1}">
      <text>
        <r>
          <rPr>
            <sz val="10"/>
            <color indexed="81"/>
            <rFont val="Lucida Console"/>
            <family val="3"/>
          </rPr>
          <t>Última movimentação no estoque em 02/2023 quantidade 1.</t>
        </r>
      </text>
    </comment>
    <comment ref="R288" authorId="0" shapeId="0" xr:uid="{8E82E3F7-5B19-4E2E-A0EC-24A9C812E8FF}">
      <text>
        <r>
          <rPr>
            <sz val="10"/>
            <color indexed="81"/>
            <rFont val="Lucida Console"/>
            <family val="3"/>
          </rPr>
          <t>31.10.2005</t>
        </r>
      </text>
    </comment>
    <comment ref="Y288" authorId="0" shapeId="0" xr:uid="{234BFED5-EEF9-48C3-B811-E0FAD126DA2D}">
      <text>
        <r>
          <rPr>
            <sz val="10"/>
            <color indexed="81"/>
            <rFont val="Courier New"/>
            <family val="3"/>
          </rPr>
          <t>_x000D_
    DESCRIÇÃO DO CÁLCULO_x000D_
Código    : 88.746_x000D_
Corte     : 3_x000D_
-----------------------------_x000D_
Pendente  : _x000D_
22 / 08_2 : 1_x000D_
22 / 09_2 : _x000D_
22 / 10_2 : _x000D_
22 / 11_2 : _x000D_
22 / 12_2 : _x000D_
23 / 01_2 : 2_x000D_
23 / 02_2 : 1_x000D_
23 / 03_2 : 1_x000D_
23 / 04_2 : 3 (corte = 5)_x000D_
23 / 05_2 : _x000D_
23 / 06_2 : _x000D_
23 / 07_2 : _x000D_
_x000D_
    TOTAL : ( 8 )_x000D_
  DIVISOR : 12_x000D_
    MÉDIA : ,67_x000D_
-----------------------------_x000D_
   Valores Desconsiderados_x000D_
-----------------------------_x000D_
23 / 04_2 : 2 (5)_x000D_
_x000D_
  TOTAL   : ( 2 )</t>
        </r>
      </text>
    </comment>
    <comment ref="AB288" authorId="0" shapeId="0" xr:uid="{924B1825-7EE5-401B-B0BA-268328BF5B8E}">
      <text>
        <r>
          <rPr>
            <sz val="10"/>
            <color indexed="81"/>
            <rFont val="Lucida Console"/>
            <family val="3"/>
          </rPr>
          <t>Última movimentação no estoque em 04/2023 quantidade 5.</t>
        </r>
      </text>
    </comment>
    <comment ref="R289" authorId="0" shapeId="0" xr:uid="{AD5DFEE1-E94A-40B5-BBD5-C497102142DC}">
      <text>
        <r>
          <rPr>
            <sz val="10"/>
            <color indexed="81"/>
            <rFont val="Lucida Console"/>
            <family val="3"/>
          </rPr>
          <t>31.10.2005</t>
        </r>
      </text>
    </comment>
    <comment ref="Y289" authorId="0" shapeId="0" xr:uid="{1D0D129B-7F0E-42A4-8DB4-0B1EFF238109}">
      <text>
        <r>
          <rPr>
            <sz val="10"/>
            <color indexed="81"/>
            <rFont val="Courier New"/>
            <family val="3"/>
          </rPr>
          <t>_x000D_
    DESCRIÇÃO DO CÁLCULO_x000D_
Código    : 88.747_x000D_
Corte     : 2_x000D_
-----------------------------_x000D_
Pendente  : _x000D_
22 / 08_2 : _x000D_
22 / 09_2 : 1_x000D_
22 / 10_2 : _x000D_
22 / 11_2 : _x000D_
22 / 12_2 : _x000D_
23 / 01_2 : _x000D_
23 / 02_2 : 1_x000D_
23 / 03_2 : 1_x000D_
23 / 04_2 : 2 (corte = 3)_x000D_
23 / 05_2 : _x000D_
23 / 06_2 : _x000D_
23 / 07_2 : _x000D_
_x000D_
    TOTAL : ( 5 )_x000D_
  DIVISOR : 12_x000D_
    MÉDIA : ,42_x000D_
-----------------------------_x000D_
   Valores Desconsiderados_x000D_
-----------------------------_x000D_
23 / 04_2 : 1 (3)_x000D_
_x000D_
  TOTAL   : ( 1 )</t>
        </r>
      </text>
    </comment>
    <comment ref="AB289" authorId="0" shapeId="0" xr:uid="{48C73DF0-C5B4-429F-98EC-FCA7BF724279}">
      <text>
        <r>
          <rPr>
            <sz val="10"/>
            <color indexed="81"/>
            <rFont val="Lucida Console"/>
            <family val="3"/>
          </rPr>
          <t>Última movimentação no estoque em 04/2023 quantidade 3.</t>
        </r>
      </text>
    </comment>
    <comment ref="R290" authorId="0" shapeId="0" xr:uid="{8B75C60E-5D2E-4F53-8CB0-66573D30281C}">
      <text>
        <r>
          <rPr>
            <sz val="10"/>
            <color indexed="81"/>
            <rFont val="Lucida Console"/>
            <family val="3"/>
          </rPr>
          <t>31.10.2005</t>
        </r>
      </text>
    </comment>
    <comment ref="Y290" authorId="0" shapeId="0" xr:uid="{620FB320-D358-4529-8D65-8C1439FF5D04}">
      <text>
        <r>
          <rPr>
            <sz val="10"/>
            <color indexed="81"/>
            <rFont val="Courier New"/>
            <family val="3"/>
          </rPr>
          <t>_x000D_
    DESCRIÇÃO DO CÁLCULO_x000D_
Código    : 88.732_x000D_
Corte     : 10_x000D_
-----------------------------_x000D_
Pendente  : _x000D_
22 / 08_2 : _x000D_
22 / 09_2 : 4_x000D_
22 / 10_2 : 7_x000D_
22 / 11_2 : _x000D_
22 / 12_2 : 7_x000D_
23 / 01_2 : 6_x000D_
23 / 02_2 : 2_x000D_
23 / 03_2 : _x000D_
23 / 04_2 : 10_x000D_
23 / 05_2 : _x000D_
23 / 06_2 : _x000D_
23 / 07_2 : _x000D_
_x000D_
    TOTAL : ( 36 )_x000D_
  DIVISOR : 12_x000D_
    MÉDIA : 3,00</t>
        </r>
      </text>
    </comment>
    <comment ref="AB290" authorId="0" shapeId="0" xr:uid="{A840BC71-5B08-4906-9401-C1F557BD05BD}">
      <text>
        <r>
          <rPr>
            <sz val="10"/>
            <color indexed="81"/>
            <rFont val="Lucida Console"/>
            <family val="3"/>
          </rPr>
          <t>Última movimentação no estoque em 04/2023 quantidade 10.</t>
        </r>
      </text>
    </comment>
    <comment ref="R291" authorId="0" shapeId="0" xr:uid="{A4726C2D-70A9-4C2A-8E13-E84BE9DC2456}">
      <text>
        <r>
          <rPr>
            <sz val="10"/>
            <color indexed="81"/>
            <rFont val="Lucida Console"/>
            <family val="3"/>
          </rPr>
          <t>31.10.2005</t>
        </r>
      </text>
    </comment>
    <comment ref="Y291" authorId="0" shapeId="0" xr:uid="{ACCBFFBD-BDFC-4D2B-A1E9-8D0FE7468E22}">
      <text>
        <r>
          <rPr>
            <sz val="10"/>
            <color indexed="81"/>
            <rFont val="Courier New"/>
            <family val="3"/>
          </rPr>
          <t>_x000D_
    DESCRIÇÃO DO CÁLCULO_x000D_
Código    : 88.733_x000D_
Corte     : 17_x000D_
-----------------------------_x000D_
Pendente  : 2_x000D_
22 / 08_2 : _x000D_
22 / 09_2 : 3_x000D_
22 / 10_2 : 3_x000D_
22 / 11_2 : _x000D_
22 / 12_2 : 5_x000D_
23 / 01_2 : 17 (corte = 20)_x000D_
23 / 02_2 : 7_x000D_
23 / 03_2 : 12_x000D_
23 / 04_2 : 9_x000D_
23 / 05_2 : _x000D_
23 / 06_2 : _x000D_
23 / 07_2 : _x000D_
_x000D_
    TOTAL : ( 58 )_x000D_
  DIVISOR : 12_x000D_
    MÉDIA : 4,83_x000D_
-----------------------------_x000D_
   Valores Desconsiderados_x000D_
-----------------------------_x000D_
23 / 01_2 : 3 (20)_x000D_
_x000D_
  TOTAL   : ( 3 )</t>
        </r>
      </text>
    </comment>
    <comment ref="AB291" authorId="0" shapeId="0" xr:uid="{6632146B-1046-44BC-B5F7-108F126EF752}">
      <text>
        <r>
          <rPr>
            <sz val="10"/>
            <color indexed="81"/>
            <rFont val="Lucida Console"/>
            <family val="3"/>
          </rPr>
          <t>Última movimentação no estoque em 04/2023 quantidade 9.</t>
        </r>
      </text>
    </comment>
    <comment ref="R292" authorId="0" shapeId="0" xr:uid="{5E9B5BC6-EA89-4510-BC1A-FD5CA64C420B}">
      <text>
        <r>
          <rPr>
            <sz val="10"/>
            <color indexed="81"/>
            <rFont val="Lucida Console"/>
            <family val="3"/>
          </rPr>
          <t>31.10.2005</t>
        </r>
      </text>
    </comment>
    <comment ref="Y292" authorId="0" shapeId="0" xr:uid="{4667A0AB-6282-4D5F-B5A8-6447FE67247B}">
      <text>
        <r>
          <rPr>
            <sz val="10"/>
            <color indexed="81"/>
            <rFont val="Courier New"/>
            <family val="3"/>
          </rPr>
          <t>_x000D_
    DESCRIÇÃO DO CÁLCULO_x000D_
Código    : 88.734_x000D_
Corte     : 2_x000D_
-----------------------------_x000D_
Pendente  : _x000D_
22 / 08_2 : _x000D_
22 / 09_2 : _x000D_
22 / 10_2 : 2 (corte = 3)_x000D_
22 / 11_2 : 1_x000D_
22 / 12_2 : _x000D_
23 / 01_2 : 1_x000D_
23 / 02_2 : 2 (corte = 3)_x000D_
23 / 03_2 : _x000D_
23 / 04_2 : _x000D_
23 / 05_2 : _x000D_
23 / 06_2 : _x000D_
23 / 07_2 : _x000D_
_x000D_
    TOTAL : ( 6 )_x000D_
  DIVISOR : 12_x000D_
    MÉDIA : ,50_x000D_
-----------------------------_x000D_
   Valores Desconsiderados_x000D_
-----------------------------_x000D_
22 / 10_2 : 1 (3)_x000D_
23 / 02_2 : 1 (3)_x000D_
_x000D_
  TOTAL   : ( 2 )</t>
        </r>
      </text>
    </comment>
    <comment ref="AB292" authorId="0" shapeId="0" xr:uid="{6B54425F-DC0C-4034-A9DF-1E1499CF9A7B}">
      <text>
        <r>
          <rPr>
            <sz val="10"/>
            <color indexed="81"/>
            <rFont val="Lucida Console"/>
            <family val="3"/>
          </rPr>
          <t>Última movimentação no estoque em 02/2023 quantidade 3.</t>
        </r>
      </text>
    </comment>
    <comment ref="R293" authorId="0" shapeId="0" xr:uid="{98B92CF5-D883-4DC2-9B93-F76F5D111C93}">
      <text>
        <r>
          <rPr>
            <sz val="10"/>
            <color indexed="81"/>
            <rFont val="Lucida Console"/>
            <family val="3"/>
          </rPr>
          <t>31.10.2005</t>
        </r>
      </text>
    </comment>
    <comment ref="Y293" authorId="0" shapeId="0" xr:uid="{6ECCC810-C5A0-472F-82D9-0D3768DE9C0C}">
      <text>
        <r>
          <rPr>
            <sz val="10"/>
            <color indexed="81"/>
            <rFont val="Courier New"/>
            <family val="3"/>
          </rPr>
          <t>_x000D_
    DESCRIÇÃO DO CÁLCULO_x000D_
Código    : 88.735_x000D_
Corte     : 6_x000D_
-----------------------------_x000D_
Pendente  : _x000D_
22 / 08_2 : _x000D_
22 / 09_2 : _x000D_
22 / 10_2 : 3_x000D_
22 / 11_2 : 1_x000D_
22 / 12_2 : 3_x000D_
23 / 01_2 : 5_x000D_
23 / 02_2 : 1_x000D_
23 / 03_2 : _x000D_
23 / 04_2 : 5_x000D_
23 / 05_2 : _x000D_
23 / 06_2 : 5_x000D_
23 / 07_2 : _x000D_
_x000D_
    TOTAL : ( 23 )_x000D_
  DIVISOR : 12_x000D_
    MÉDIA : 1,92</t>
        </r>
      </text>
    </comment>
    <comment ref="AB293" authorId="0" shapeId="0" xr:uid="{CC818E76-34FC-4B51-976F-342C2FCCC7A6}">
      <text>
        <r>
          <rPr>
            <sz val="10"/>
            <color indexed="81"/>
            <rFont val="Lucida Console"/>
            <family val="3"/>
          </rPr>
          <t>Última movimentação no estoque em 06/2023 quantidade 5.</t>
        </r>
      </text>
    </comment>
    <comment ref="R294" authorId="0" shapeId="0" xr:uid="{C01C0D9B-6158-446E-9F75-E8A9A1771BD3}">
      <text>
        <r>
          <rPr>
            <sz val="10"/>
            <color indexed="81"/>
            <rFont val="Lucida Console"/>
            <family val="3"/>
          </rPr>
          <t>31.10.2005</t>
        </r>
      </text>
    </comment>
    <comment ref="Y294" authorId="0" shapeId="0" xr:uid="{24366A4A-1121-411D-9D19-F38A7DCB12D3}">
      <text>
        <r>
          <rPr>
            <sz val="10"/>
            <color indexed="81"/>
            <rFont val="Courier New"/>
            <family val="3"/>
          </rPr>
          <t>_x000D_
    DESCRIÇÃO DO CÁLCULO_x000D_
Código    : 88.744_x000D_
Corte     : 5_x000D_
-----------------------------_x000D_
Pendente  : _x000D_
22 / 08_2 : _x000D_
22 / 09_2 : _x000D_
22 / 10_2 : 4_x000D_
22 / 11_2 : 1_x000D_
22 / 12_2 : 3_x000D_
23 / 01_2 : 1_x000D_
23 / 02_2 : 3_x000D_
23 / 03_2 : 1_x000D_
23 / 04_2 : 5_x000D_
23 / 05_2 : _x000D_
23 / 06_2 : _x000D_
23 / 07_2 : _x000D_
_x000D_
    TOTAL : ( 18 )_x000D_
  DIVISOR : 12_x000D_
    MÉDIA : 1,50</t>
        </r>
      </text>
    </comment>
    <comment ref="AB294" authorId="0" shapeId="0" xr:uid="{01DA245D-89D5-44D5-94CB-21C5F36F6D40}">
      <text>
        <r>
          <rPr>
            <sz val="10"/>
            <color indexed="81"/>
            <rFont val="Lucida Console"/>
            <family val="3"/>
          </rPr>
          <t>Última movimentação no estoque em 04/2023 quantidade 5.</t>
        </r>
      </text>
    </comment>
    <comment ref="R295" authorId="0" shapeId="0" xr:uid="{B48F2DA0-FDC8-4F8D-83C7-D317DC6ACCF8}">
      <text>
        <r>
          <rPr>
            <sz val="10"/>
            <color indexed="81"/>
            <rFont val="Lucida Console"/>
            <family val="3"/>
          </rPr>
          <t>31.10.2005</t>
        </r>
      </text>
    </comment>
    <comment ref="Y295" authorId="0" shapeId="0" xr:uid="{716EA039-6C4C-40B4-BE6B-1836C9CBBB0A}">
      <text>
        <r>
          <rPr>
            <sz val="10"/>
            <color indexed="81"/>
            <rFont val="Courier New"/>
            <family val="3"/>
          </rPr>
          <t>_x000D_
    DESCRIÇÃO DO CÁLCULO_x000D_
Código    : 88.745_x000D_
Corte     : 4_x000D_
-----------------------------_x000D_
Pendente  : _x000D_
22 / 08_2 : _x000D_
22 / 09_2 : 3_x000D_
22 / 10_2 : 1_x000D_
22 / 11_2 : _x000D_
22 / 12_2 : 1_x000D_
23 / 01_2 : 4_x000D_
23 / 02_2 : 1_x000D_
23 / 03_2 : _x000D_
23 / 04_2 : 4 (corte = 5)_x000D_
23 / 05_2 : _x000D_
23 / 06_2 : _x000D_
23 / 07_2 : _x000D_
_x000D_
    TOTAL : ( 14 )_x000D_
  DIVISOR : 12_x000D_
    MÉDIA : 1,17_x000D_
-----------------------------_x000D_
   Valores Desconsiderados_x000D_
-----------------------------_x000D_
23 / 04_2 : 1 (5)_x000D_
_x000D_
  TOTAL   : ( 1 )</t>
        </r>
      </text>
    </comment>
    <comment ref="AB295" authorId="0" shapeId="0" xr:uid="{7B9AF8AE-8DCB-4766-BFE3-0A6886B999B5}">
      <text>
        <r>
          <rPr>
            <sz val="10"/>
            <color indexed="81"/>
            <rFont val="Lucida Console"/>
            <family val="3"/>
          </rPr>
          <t>Última movimentação no estoque em 04/2023 quantidade 5.</t>
        </r>
      </text>
    </comment>
    <comment ref="R296" authorId="0" shapeId="0" xr:uid="{946B253B-978A-48F0-BA68-7938E321C587}">
      <text>
        <r>
          <rPr>
            <sz val="10"/>
            <color indexed="81"/>
            <rFont val="Lucida Console"/>
            <family val="3"/>
          </rPr>
          <t>19.10.2007</t>
        </r>
      </text>
    </comment>
    <comment ref="Y296" authorId="0" shapeId="0" xr:uid="{E09A421B-16B6-47C1-BC4A-64359380CE6D}">
      <text>
        <r>
          <rPr>
            <sz val="10"/>
            <color indexed="81"/>
            <rFont val="Courier New"/>
            <family val="3"/>
          </rPr>
          <t>_x000D_
    DESCRIÇÃO DO CÁLCULO_x000D_
Código    : 102.820_x000D_
Corte     : 2_x000D_
-----------------------------_x000D_
Pendente  : _x000D_
22 / 08_2 : _x000D_
22 / 09_2 : _x000D_
22 / 10_2 : _x000D_
22 / 11_2 : _x000D_
22 / 12_2 : 2_x000D_
23 / 01_2 : 2 (corte = 3)_x000D_
23 / 02_2 : _x000D_
23 / 03_2 : _x000D_
23 / 04_2 : _x000D_
23 / 05_2 : _x000D_
23 / 06_2 : _x000D_
23 / 07_2 : _x000D_
_x000D_
    TOTAL : ( 4 )_x000D_
  DIVISOR : 12_x000D_
    MÉDIA : ,33_x000D_
-----------------------------_x000D_
   Valores Desconsiderados_x000D_
-----------------------------_x000D_
23 / 01_2 : 1 (3)_x000D_
_x000D_
  TOTAL   : ( 1 )</t>
        </r>
      </text>
    </comment>
    <comment ref="AB296" authorId="0" shapeId="0" xr:uid="{24014F34-AF6D-41CF-87B9-FB3E1D699765}">
      <text>
        <r>
          <rPr>
            <sz val="10"/>
            <color indexed="81"/>
            <rFont val="Lucida Console"/>
            <family val="3"/>
          </rPr>
          <t>Última movimentação no estoque em 01/2023 quantidade 3.</t>
        </r>
      </text>
    </comment>
    <comment ref="R297" authorId="0" shapeId="0" xr:uid="{79F92BC6-5E84-4C44-8067-D46AB1FD5B20}">
      <text>
        <r>
          <rPr>
            <sz val="10"/>
            <color indexed="81"/>
            <rFont val="Lucida Console"/>
            <family val="3"/>
          </rPr>
          <t>19.10.2007</t>
        </r>
      </text>
    </comment>
    <comment ref="Y297" authorId="0" shapeId="0" xr:uid="{01AD77ED-ADD9-46EA-996E-FFD3C13144F8}">
      <text>
        <r>
          <rPr>
            <sz val="10"/>
            <color indexed="81"/>
            <rFont val="Courier New"/>
            <family val="3"/>
          </rPr>
          <t>_x000D_
    DESCRIÇÃO DO CÁLCULO_x000D_
Código    : 102.819_x000D_
Corte     : 3_x000D_
-----------------------------_x000D_
Pendente  : _x000D_
22 / 08_2 : 2_x000D_
22 / 09_2 : _x000D_
22 / 10_2 : _x000D_
22 / 11_2 : _x000D_
22 / 12_2 : _x000D_
23 / 01_2 : 3 (corte = 4)_x000D_
23 / 02_2 : _x000D_
23 / 03_2 : _x000D_
23 / 04_2 : _x000D_
23 / 05_2 : _x000D_
23 / 06_2 : 2_x000D_
23 / 07_2 : 3_x000D_
_x000D_
    TOTAL : ( 10 )_x000D_
  DIVISOR : 12_x000D_
    MÉDIA : ,83_x000D_
-----------------------------_x000D_
   Valores Desconsiderados_x000D_
-----------------------------_x000D_
23 / 01_2 : 1 (4)_x000D_
_x000D_
  TOTAL   : ( 1 )</t>
        </r>
      </text>
    </comment>
    <comment ref="AB297" authorId="0" shapeId="0" xr:uid="{567D1DB4-147D-4867-A5ED-6B77ABCF37D9}">
      <text>
        <r>
          <rPr>
            <sz val="10"/>
            <color indexed="81"/>
            <rFont val="Lucida Console"/>
            <family val="3"/>
          </rPr>
          <t>Última movimentação no estoque em 07/2023 quantidade 3.</t>
        </r>
      </text>
    </comment>
    <comment ref="R298" authorId="0" shapeId="0" xr:uid="{A95A89C2-8C98-45C6-BC93-E5A4C036DA7A}">
      <text>
        <r>
          <rPr>
            <sz val="10"/>
            <color indexed="81"/>
            <rFont val="Lucida Console"/>
            <family val="3"/>
          </rPr>
          <t>11.05.2009</t>
        </r>
      </text>
    </comment>
    <comment ref="Y298" authorId="0" shapeId="0" xr:uid="{21137752-D4A1-4280-8BB6-A4994695E271}">
      <text>
        <r>
          <rPr>
            <sz val="10"/>
            <color indexed="81"/>
            <rFont val="Courier New"/>
            <family val="3"/>
          </rPr>
          <t>_x000D_
    DESCRIÇÃO DO CÁLCULO_x000D_
Código    : 110.888_x000D_
Corte     : 1_x000D_
-----------------------------_x000D_
Pendente  : _x000D_
22 / 08_2 : _x000D_
22 / 09_2 : _x000D_
22 / 10_2 : _x000D_
22 / 11_2 : _x000D_
22 / 12_2 : _x000D_
23 / 01_2 : 1 (corte = 2)_x000D_
23 / 02_2 : _x000D_
23 / 03_2 : _x000D_
23 / 04_2 : 1_x000D_
23 / 05_2 : _x000D_
23 / 06_2 : _x000D_
23 / 07_2 : _x000D_
_x000D_
    TOTAL : ( 2 )_x000D_
  DIVISOR : 12_x000D_
    MÉDIA : ,17_x000D_
-----------------------------_x000D_
   Valores Desconsiderados_x000D_
-----------------------------_x000D_
23 / 01_2 : 1 (2)_x000D_
_x000D_
  TOTAL   : ( 1 )</t>
        </r>
      </text>
    </comment>
    <comment ref="AB298" authorId="0" shapeId="0" xr:uid="{598565DA-0594-42A0-BA2D-44346ECEB55B}">
      <text>
        <r>
          <rPr>
            <sz val="10"/>
            <color indexed="81"/>
            <rFont val="Lucida Console"/>
            <family val="3"/>
          </rPr>
          <t>Última movimentação no estoque em 04/2023 quantidade 1.</t>
        </r>
      </text>
    </comment>
    <comment ref="R299" authorId="0" shapeId="0" xr:uid="{5A492782-54C0-41F5-98F2-CBCB4AE7E93C}">
      <text>
        <r>
          <rPr>
            <sz val="10"/>
            <color indexed="81"/>
            <rFont val="Lucida Console"/>
            <family val="3"/>
          </rPr>
          <t>11.02.2015</t>
        </r>
      </text>
    </comment>
    <comment ref="Y299" authorId="0" shapeId="0" xr:uid="{6CFB2A80-9E2B-4280-9983-7C80C396CDCF}">
      <text>
        <r>
          <rPr>
            <sz val="10"/>
            <color indexed="81"/>
            <rFont val="Courier New"/>
            <family val="3"/>
          </rPr>
          <t>_x000D_
    DESCRIÇÃO DO CÁLCULO_x000D_
Código    : 129.962_x000D_
Corte     : 1_x000D_
-----------------------------_x000D_
Pendente  : _x000D_
22 / 08_2 : _x000D_
22 / 09_2 : _x000D_
22 / 10_2 : _x000D_
22 / 11_2 : _x000D_
22 / 12_2 : 1_x000D_
23 / 01_2 : 1 (corte = 2)_x000D_
23 / 02_2 : _x000D_
23 / 03_2 : _x000D_
23 / 04_2 : _x000D_
23 / 05_2 : _x000D_
23 / 06_2 : _x000D_
23 / 07_2 : _x000D_
_x000D_
    TOTAL : ( 2 )_x000D_
  DIVISOR : 12_x000D_
    MÉDIA : ,17_x000D_
-----------------------------_x000D_
   Valores Desconsiderados_x000D_
-----------------------------_x000D_
23 / 01_2 : 1 (2)_x000D_
_x000D_
  TOTAL   : ( 1 )</t>
        </r>
      </text>
    </comment>
    <comment ref="AB299" authorId="0" shapeId="0" xr:uid="{0B6E788C-9C2F-447F-86A2-759B9368D407}">
      <text>
        <r>
          <rPr>
            <sz val="10"/>
            <color indexed="81"/>
            <rFont val="Lucida Console"/>
            <family val="3"/>
          </rPr>
          <t>Última movimentação no estoque em 01/2023 quantidade 2.</t>
        </r>
      </text>
    </comment>
    <comment ref="R300" authorId="0" shapeId="0" xr:uid="{11B5FA66-14CD-4311-9C3B-F7D0D2FAA388}">
      <text>
        <r>
          <rPr>
            <sz val="10"/>
            <color indexed="81"/>
            <rFont val="Lucida Console"/>
            <family val="3"/>
          </rPr>
          <t>11.02.2015</t>
        </r>
      </text>
    </comment>
    <comment ref="Y300" authorId="0" shapeId="0" xr:uid="{5567FF06-A9FB-4000-BE54-A22013C7027E}">
      <text>
        <r>
          <rPr>
            <sz val="10"/>
            <color indexed="81"/>
            <rFont val="Courier New"/>
            <family val="3"/>
          </rPr>
          <t>_x000D_
    DESCRIÇÃO DO CÁLCULO_x000D_
Código    : 129.961_x000D_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300" authorId="0" shapeId="0" xr:uid="{983EAADF-3186-4F13-9528-6C6497349539}">
      <text>
        <r>
          <rPr>
            <sz val="10"/>
            <color indexed="81"/>
            <rFont val="Lucida Console"/>
            <family val="3"/>
          </rPr>
          <t>Última movimentação no estoque em 08/2022 quantidade 1.</t>
        </r>
      </text>
    </comment>
    <comment ref="R301" authorId="0" shapeId="0" xr:uid="{DC740068-E4CD-49D0-8485-1150A1B7F5DE}">
      <text>
        <r>
          <rPr>
            <sz val="10"/>
            <color indexed="81"/>
            <rFont val="Lucida Console"/>
            <family val="3"/>
          </rPr>
          <t>05.09.2007</t>
        </r>
      </text>
    </comment>
    <comment ref="Y301" authorId="0" shapeId="0" xr:uid="{5CBFAAC5-03A4-4503-BC07-0BE93B4E0AF9}">
      <text>
        <r>
          <rPr>
            <sz val="10"/>
            <color indexed="81"/>
            <rFont val="Courier New"/>
            <family val="3"/>
          </rPr>
          <t>_x000D_
    DESCRIÇÃO DO CÁLCULO_x000D_
Código    : 101.891_x000D_
Corte     : 12_x000D_
-----------------------------_x000D_
Pendente  : _x000D_
22 / 08_2 : _x000D_
22 / 09_2 : _x000D_
22 / 10_2 : _x000D_
22 / 11_2 : _x000D_
22 / 12_2 : 12 (corte = 16)_x000D_
23 / 01_2 : _x000D_
23 / 02_2 : _x000D_
23 / 03_2 : _x000D_
23 / 04_2 : 10_x000D_
23 / 05_2 : _x000D_
23 / 06_2 : _x000D_
23 / 07_2 : _x000D_
_x000D_
    TOTAL : ( 22 )_x000D_
  DIVISOR : 12_x000D_
    MÉDIA : 1,83_x000D_
-----------------------------_x000D_
   Valores Desconsiderados_x000D_
-----------------------------_x000D_
22 / 12_2 : 4 (16)_x000D_
_x000D_
  TOTAL   : ( 4 )</t>
        </r>
      </text>
    </comment>
    <comment ref="AB301" authorId="0" shapeId="0" xr:uid="{31738D5A-CD55-4841-A512-F9D8DE2C7144}">
      <text>
        <r>
          <rPr>
            <sz val="10"/>
            <color indexed="81"/>
            <rFont val="Lucida Console"/>
            <family val="3"/>
          </rPr>
          <t>Última movimentação no estoque em 04/2023 quantidade 10.</t>
        </r>
      </text>
    </comment>
    <comment ref="R302" authorId="0" shapeId="0" xr:uid="{F527DB17-FFE6-45AD-950D-971688928610}">
      <text>
        <r>
          <rPr>
            <sz val="10"/>
            <color indexed="81"/>
            <rFont val="Lucida Console"/>
            <family val="3"/>
          </rPr>
          <t>01.01.1901</t>
        </r>
      </text>
    </comment>
    <comment ref="Y302" authorId="0" shapeId="0" xr:uid="{1E96C9A2-152D-4B3A-A711-563B1803E2E3}">
      <text>
        <r>
          <rPr>
            <sz val="10"/>
            <color indexed="81"/>
            <rFont val="Courier New"/>
            <family val="3"/>
          </rPr>
          <t>_x000D_
    DESCRIÇÃO DO CÁLCULO_x000D_
Código    : 13.197_x000D_
Corte     : 48_x000D_
-----------------------------_x000D_
Pendente  : _x000D_
22 / 08_2 : _x000D_
22 / 09_2 : _x000D_
22 / 10_2 : _x000D_
22 / 11_2 : _x000D_
22 / 12_2 : _x000D_
23 / 01_2 : _x000D_
23 / 02_2 : _x000D_
23 / 03_2 : 48 (corte = 55)_x000D_
23 / 04_2 : 48_x000D_
23 / 05_2 : _x000D_
23 / 06_2 : _x000D_
23 / 07_2 : _x000D_
_x000D_
    TOTAL : ( 96 )_x000D_
  DIVISOR : 12_x000D_
    MÉDIA : 8,00_x000D_
-----------------------------_x000D_
   Valores Desconsiderados_x000D_
-----------------------------_x000D_
23 / 03_2 : 7 (55)_x000D_
_x000D_
  TOTAL   : ( 7 )</t>
        </r>
      </text>
    </comment>
    <comment ref="AB302" authorId="0" shapeId="0" xr:uid="{05ADD6B7-4814-45A6-BE9F-6114FD23142C}">
      <text>
        <r>
          <rPr>
            <sz val="10"/>
            <color indexed="81"/>
            <rFont val="Lucida Console"/>
            <family val="3"/>
          </rPr>
          <t>Última movimentação no estoque em 04/2023 quantidade 48.</t>
        </r>
      </text>
    </comment>
    <comment ref="R303" authorId="0" shapeId="0" xr:uid="{2C2DF601-CEF7-4995-9ED6-8625B50B2108}">
      <text>
        <r>
          <rPr>
            <sz val="10"/>
            <color indexed="81"/>
            <rFont val="Lucida Console"/>
            <family val="3"/>
          </rPr>
          <t>01.01.1901</t>
        </r>
      </text>
    </comment>
    <comment ref="Y303" authorId="0" shapeId="0" xr:uid="{CF3B80EC-9320-48E9-9001-6100E0BA361C}">
      <text>
        <r>
          <rPr>
            <sz val="10"/>
            <color indexed="81"/>
            <rFont val="Courier New"/>
            <family val="3"/>
          </rPr>
          <t>_x000D_
    DESCRIÇÃO DO CÁLCULO_x000D_
Código    : 13.199_x000D_
Corte     : 57_x000D_
-----------------------------_x000D_
Pendente  : _x000D_
22 / 08_2 : _x000D_
22 / 09_2 : 4_x000D_
22 / 10_2 : _x000D_
22 / 11_2 : _x000D_
22 / 12_2 : _x000D_
23 / 01_2 : _x000D_
23 / 02_2 : 50_x000D_
23 / 03_2 : _x000D_
23 / 04_2 : _x000D_
23 / 05_2 : 57 (corte = 70)_x000D_
23 / 06_2 : _x000D_
23 / 07_2 : _x000D_
_x000D_
    TOTAL : ( 111 )_x000D_
  DIVISOR : 12_x000D_
    MÉDIA : 9,25_x000D_
-----------------------------_x000D_
   Valores Desconsiderados_x000D_
-----------------------------_x000D_
23 / 05_2 : 13 (70)_x000D_
_x000D_
  TOTAL   : ( 13 )</t>
        </r>
      </text>
    </comment>
    <comment ref="AB303" authorId="0" shapeId="0" xr:uid="{758E7B9D-1C91-4CB9-8D97-A8723BB36247}">
      <text>
        <r>
          <rPr>
            <sz val="10"/>
            <color indexed="81"/>
            <rFont val="Lucida Console"/>
            <family val="3"/>
          </rPr>
          <t>Última movimentação no estoque em 05/2023 quantidade 70.</t>
        </r>
      </text>
    </comment>
    <comment ref="R304" authorId="0" shapeId="0" xr:uid="{824AC5D7-1775-42CE-A87F-031883AB6FD3}">
      <text>
        <r>
          <rPr>
            <sz val="10"/>
            <color indexed="81"/>
            <rFont val="Lucida Console"/>
            <family val="3"/>
          </rPr>
          <t>22.02.2019</t>
        </r>
      </text>
    </comment>
    <comment ref="Y304" authorId="0" shapeId="0" xr:uid="{33918CC7-3B78-4546-A199-11017443FD6B}">
      <text>
        <r>
          <rPr>
            <sz val="10"/>
            <color indexed="81"/>
            <rFont val="Courier New"/>
            <family val="3"/>
          </rPr>
          <t>_x000D_
    DESCRIÇÃO DO CÁLCULO_x000D_
Código    : 136.553_x000D_
Corte     : 640_x000D_
-----------------------------_x000D_
Pendente  : 200_x000D_
22 / 08_2 : 295_x000D_
22 / 09_2 : 580_x000D_
22 / 10_2 : 440_x000D_
22 / 11_2 : 100_x000D_
22 / 12_2 : 90_x000D_
23 / 01_2 : 320_x000D_
23 / 02_2 : 105_x000D_
23 / 03_2 : 504_x000D_
23 / 04_2 : 330_x000D_
23 / 05_2 : 48_x000D_
23 / 06_2 : _x000D_
23 / 07_2 : _x000D_
_x000D_
    TOTAL : ( 3.012 )_x000D_
  DIVISOR : 12_x000D_
    MÉDIA : 251,00</t>
        </r>
      </text>
    </comment>
    <comment ref="AB304" authorId="0" shapeId="0" xr:uid="{F6B8D44B-8A8F-4617-8278-3139B9805273}">
      <text>
        <r>
          <rPr>
            <sz val="10"/>
            <color indexed="81"/>
            <rFont val="Lucida Console"/>
            <family val="3"/>
          </rPr>
          <t>Última movimentação no estoque em 05/2023 quantidade 48.</t>
        </r>
      </text>
    </comment>
    <comment ref="R305" authorId="0" shapeId="0" xr:uid="{56DC5AE4-CB42-4C11-A887-B827E2E5A08B}">
      <text>
        <r>
          <rPr>
            <sz val="10"/>
            <color indexed="81"/>
            <rFont val="Lucida Console"/>
            <family val="3"/>
          </rPr>
          <t>22.02.2019</t>
        </r>
      </text>
    </comment>
    <comment ref="Y305" authorId="0" shapeId="0" xr:uid="{F1607AC7-3DAC-4008-9801-7E02ADE244A7}">
      <text>
        <r>
          <rPr>
            <sz val="10"/>
            <color indexed="81"/>
            <rFont val="Courier New"/>
            <family val="3"/>
          </rPr>
          <t>_x000D_
    DESCRIÇÃO DO CÁLCULO_x000D_
Código    : 136.556_x000D_
Corte     : 198_x000D_
-----------------------------_x000D_
Pendente  : 97_x000D_
22 / 08_2 : 133_x000D_
22 / 09_2 : 66_x000D_
22 / 10_2 : 105_x000D_
22 / 11_2 : 48_x000D_
22 / 12_2 : 12_x000D_
23 / 01_2 : 139_x000D_
23 / 02_2 : 112_x000D_
23 / 03_2 : 134_x000D_
23 / 04_2 : 144_x000D_
23 / 05_2 : _x000D_
23 / 06_2 : _x000D_
23 / 07_2 : _x000D_
_x000D_
    TOTAL : ( 990 )_x000D_
  DIVISOR : 12_x000D_
    MÉDIA : 82,50</t>
        </r>
      </text>
    </comment>
    <comment ref="AB305" authorId="0" shapeId="0" xr:uid="{B38DDC63-0F52-4D9C-879B-5FD71466A8D1}">
      <text>
        <r>
          <rPr>
            <sz val="10"/>
            <color indexed="81"/>
            <rFont val="Lucida Console"/>
            <family val="3"/>
          </rPr>
          <t>Última movimentação no estoque em 04/2023 quantidade 144.</t>
        </r>
      </text>
    </comment>
    <comment ref="R306" authorId="0" shapeId="0" xr:uid="{B7F3BA31-D48A-4815-9484-E057EB2C44E7}">
      <text>
        <r>
          <rPr>
            <sz val="10"/>
            <color indexed="81"/>
            <rFont val="Lucida Console"/>
            <family val="3"/>
          </rPr>
          <t>01.01.1901</t>
        </r>
      </text>
    </comment>
    <comment ref="Y306" authorId="0" shapeId="0" xr:uid="{5B7D66F3-3FC2-419D-A647-010E1B877D3F}">
      <text>
        <r>
          <rPr>
            <sz val="10"/>
            <color indexed="81"/>
            <rFont val="Courier New"/>
            <family val="3"/>
          </rPr>
          <t>_x000D_
    DESCRIÇÃO DO CÁLCULO_x000D_
Código    : 17.132_x000D_
Corte     : 357_x000D_
-----------------------------_x000D_
Pendente  : _x000D_
22 / 08_2 : 34_x000D_
22 / 09_2 : 46_x000D_
22 / 10_2 : 30_x000D_
22 / 11_2 : 56_x000D_
22 / 12_2 : 35_x000D_
23 / 01_2 : 27_x000D_
23 / 02_2 : 35_x000D_
23 / 03_2 : 357 (corte = 519)_x000D_
23 / 04_2 : 46_x000D_
23 / 05_2 : 42_x000D_
23 / 06_2 : 65_x000D_
23 / 07_2 : 45_x000D_
_x000D_
    TOTAL : ( 818 )_x000D_
  DIVISOR : 12_x000D_
    MÉDIA : 68,17_x000D_
-----------------------------_x000D_
   Valores Desconsiderados_x000D_
-----------------------------_x000D_
23 / 03_2 : 162 (519)_x000D_
_x000D_
  TOTAL   : ( 162 )</t>
        </r>
      </text>
    </comment>
    <comment ref="AB306" authorId="0" shapeId="0" xr:uid="{40DC58C1-181A-48BE-B47C-075F8E976AB1}">
      <text>
        <r>
          <rPr>
            <sz val="10"/>
            <color indexed="81"/>
            <rFont val="Lucida Console"/>
            <family val="3"/>
          </rPr>
          <t>Última movimentação no estoque em 07/2023 quantidade 45.</t>
        </r>
      </text>
    </comment>
    <comment ref="R307" authorId="0" shapeId="0" xr:uid="{2B097845-742B-413B-8464-6A0236E07CEF}">
      <text>
        <r>
          <rPr>
            <sz val="10"/>
            <color indexed="81"/>
            <rFont val="Lucida Console"/>
            <family val="3"/>
          </rPr>
          <t>10.11.2008</t>
        </r>
      </text>
    </comment>
    <comment ref="Y307" authorId="0" shapeId="0" xr:uid="{56663EDD-7B01-4B67-966C-A7A29F251ED9}">
      <text>
        <r>
          <rPr>
            <sz val="10"/>
            <color indexed="81"/>
            <rFont val="Courier New"/>
            <family val="3"/>
          </rPr>
          <t>_x000D_
    DESCRIÇÃO DO CÁLCULO_x000D_
Código    : 108.711_x000D_
Corte     : 4_x000D_
-----------------------------_x000D_
Pendente  : _x000D_
22 / 08_2 : _x000D_
22 / 09_2 : 4 (corte = 6)_x000D_
22 / 10_2 : _x000D_
22 / 11_2 : 1_x000D_
22 / 12_2 : _x000D_
23 / 01_2 : _x000D_
23 / 02_2 : _x000D_
23 / 03_2 : _x000D_
23 / 04_2 : _x000D_
23 / 05_2 : _x000D_
23 / 06_2 : _x000D_
23 / 07_2 : _x000D_
_x000D_
    TOTAL : ( 5 )_x000D_
  DIVISOR : 12_x000D_
    MÉDIA : ,42_x000D_
-----------------------------_x000D_
   Valores Desconsiderados_x000D_
-----------------------------_x000D_
22 / 09_2 : 2 (6)_x000D_
_x000D_
  TOTAL   : ( 2 )</t>
        </r>
      </text>
    </comment>
    <comment ref="AB307" authorId="0" shapeId="0" xr:uid="{92598F0B-3C4F-49B0-9A6A-F55AB5F9AF6A}">
      <text>
        <r>
          <rPr>
            <sz val="10"/>
            <color indexed="81"/>
            <rFont val="Lucida Console"/>
            <family val="3"/>
          </rPr>
          <t>Última movimentação no estoque em 11/2022 quantidade 1.</t>
        </r>
      </text>
    </comment>
    <comment ref="R308" authorId="0" shapeId="0" xr:uid="{6363F6DF-DF27-43D8-9E31-2DD60AB21BD3}">
      <text>
        <r>
          <rPr>
            <sz val="10"/>
            <color indexed="81"/>
            <rFont val="Lucida Console"/>
            <family val="3"/>
          </rPr>
          <t>16.10.2007</t>
        </r>
      </text>
    </comment>
    <comment ref="Y308" authorId="0" shapeId="0" xr:uid="{58FB6CF4-A6DF-4C73-88A4-0598043B3DB0}">
      <text>
        <r>
          <rPr>
            <sz val="10"/>
            <color indexed="81"/>
            <rFont val="Courier New"/>
            <family val="3"/>
          </rPr>
          <t>_x000D_
    DESCRIÇÃO DO CÁLCULO_x000D_
Código    : 102.723_x000D_
Corte     : 33_x000D_
-----------------------------_x000D_
Pendente  : _x000D_
22 / 08_2 : _x000D_
22 / 09_2 : 15_x000D_
22 / 10_2 : 27_x000D_
22 / 11_2 : 29_x000D_
22 / 12_2 : _x000D_
23 / 01_2 : _x000D_
23 / 02_2 : 15_x000D_
23 / 03_2 : _x000D_
23 / 04_2 : _x000D_
23 / 05_2 : _x000D_
23 / 06_2 : 20_x000D_
23 / 07_2 : 20_x000D_
_x000D_
    TOTAL : ( 126 )_x000D_
  DIVISOR : 12_x000D_
    MÉDIA : 10,50</t>
        </r>
      </text>
    </comment>
    <comment ref="AB308" authorId="0" shapeId="0" xr:uid="{4B892699-61A3-4CD4-82BF-B8121DDD64C9}">
      <text>
        <r>
          <rPr>
            <sz val="10"/>
            <color indexed="81"/>
            <rFont val="Lucida Console"/>
            <family val="3"/>
          </rPr>
          <t>Última movimentação no estoque em 07/2023 quantidade 20.</t>
        </r>
      </text>
    </comment>
    <comment ref="R309" authorId="0" shapeId="0" xr:uid="{22FF6EC8-3BBF-44C8-8660-B4AD44C0FCE8}">
      <text>
        <r>
          <rPr>
            <sz val="10"/>
            <color indexed="81"/>
            <rFont val="Lucida Console"/>
            <family val="3"/>
          </rPr>
          <t>16.10.2007</t>
        </r>
      </text>
    </comment>
    <comment ref="Y309" authorId="0" shapeId="0" xr:uid="{B4BF7AE7-2BCE-4483-80C7-543553F55F1E}">
      <text>
        <r>
          <rPr>
            <sz val="10"/>
            <color indexed="81"/>
            <rFont val="Courier New"/>
            <family val="3"/>
          </rPr>
          <t>_x000D_
    DESCRIÇÃO DO CÁLCULO_x000D_
Código    : 102.690_x000D_
Corte     : 24_x000D_
-----------------------------_x000D_
Pendente  : 7_x000D_
22 / 08_2 : 10_x000D_
22 / 09_2 : _x000D_
22 / 10_2 : _x000D_
22 / 11_2 : 8_x000D_
22 / 12_2 : 20_x000D_
23 / 01_2 : 24 (corte = 26)_x000D_
23 / 02_2 : 12_x000D_
23 / 03_2 : _x000D_
23 / 04_2 : 10_x000D_
23 / 05_2 : _x000D_
23 / 06_2 : _x000D_
23 / 07_2 : _x000D_
_x000D_
    TOTAL : ( 91 )_x000D_
  DIVISOR : 12_x000D_
    MÉDIA : 7,58_x000D_
-----------------------------_x000D_
   Valores Desconsiderados_x000D_
-----------------------------_x000D_
23 / 01_2 : 2 (26)_x000D_
_x000D_
  TOTAL   : ( 2 )</t>
        </r>
      </text>
    </comment>
    <comment ref="AB309" authorId="0" shapeId="0" xr:uid="{35BC7D1E-F4FD-4DF3-9E68-AB34F477DA65}">
      <text>
        <r>
          <rPr>
            <sz val="10"/>
            <color indexed="81"/>
            <rFont val="Lucida Console"/>
            <family val="3"/>
          </rPr>
          <t>Última movimentação no estoque em 04/2023 quantidade 10.</t>
        </r>
      </text>
    </comment>
    <comment ref="R310" authorId="0" shapeId="0" xr:uid="{B022D845-2DC9-472E-A5F1-BB8C5311F178}">
      <text>
        <r>
          <rPr>
            <sz val="10"/>
            <color indexed="81"/>
            <rFont val="Lucida Console"/>
            <family val="3"/>
          </rPr>
          <t>05.09.2017</t>
        </r>
      </text>
    </comment>
    <comment ref="Y310" authorId="0" shapeId="0" xr:uid="{3E021F0D-A15F-49C1-8476-5BE890D4259E}">
      <text>
        <r>
          <rPr>
            <sz val="10"/>
            <color indexed="81"/>
            <rFont val="Courier New"/>
            <family val="3"/>
          </rPr>
          <t>_x000D_
    DESCRIÇÃO DO CÁLCULO_x000D_
Código    : 133.371_x000D_
Corte     : 152_x000D_
-----------------------------_x000D_
Pendente  : _x000D_
22 / 08_2 : 20_x000D_
22 / 09_2 : 60_x000D_
22 / 10_2 : 20_x000D_
22 / 11_2 : 60_x000D_
22 / 12_2 : _x000D_
23 / 01_2 : 60_x000D_
23 / 02_2 : 40_x000D_
23 / 03_2 : 40_x000D_
23 / 04_2 : _x000D_
23 / 05_2 : 152 (corte = 200)_x000D_
23 / 06_2 : _x000D_
23 / 07_2 : _x000D_
_x000D_
    TOTAL : ( 452 )_x000D_
  DIVISOR : 12_x000D_
    MÉDIA : 37,67_x000D_
-----------------------------_x000D_
   Valores Desconsiderados_x000D_
-----------------------------_x000D_
23 / 05_2 : 48 (200)_x000D_
_x000D_
  TOTAL   : ( 48 )</t>
        </r>
      </text>
    </comment>
    <comment ref="AB310" authorId="0" shapeId="0" xr:uid="{E2D4B2EB-A452-4B6C-96FB-1F4C43F45CB0}">
      <text>
        <r>
          <rPr>
            <sz val="10"/>
            <color indexed="81"/>
            <rFont val="Lucida Console"/>
            <family val="3"/>
          </rPr>
          <t>Última movimentação no estoque em 05/2023 quantidade 200.</t>
        </r>
      </text>
    </comment>
    <comment ref="R311" authorId="0" shapeId="0" xr:uid="{A30D499B-0DC0-4CD0-8397-8FB460D8C287}">
      <text>
        <r>
          <rPr>
            <sz val="10"/>
            <color indexed="81"/>
            <rFont val="Lucida Console"/>
            <family val="3"/>
          </rPr>
          <t>20.02.2015</t>
        </r>
      </text>
    </comment>
    <comment ref="Y311" authorId="0" shapeId="0" xr:uid="{611824E8-1E33-422A-8A77-997F7B90EA42}">
      <text>
        <r>
          <rPr>
            <sz val="10"/>
            <color indexed="81"/>
            <rFont val="Courier New"/>
            <family val="3"/>
          </rPr>
          <t>_x000D_
    DESCRIÇÃO DO CÁLCULO_x000D_
Código    : 129.991_x000D_
Corte     : 107_x000D_
-----------------------------_x000D_
Pendente  : _x000D_
22 / 08_2 : _x000D_
22 / 09_2 : 107 (corte = 150)_x000D_
22 / 10_2 : 50_x000D_
22 / 11_2 : 26_x000D_
22 / 12_2 : _x000D_
23 / 01_2 : _x000D_
23 / 02_2 : _x000D_
23 / 03_2 : _x000D_
23 / 04_2 : _x000D_
23 / 05_2 : _x000D_
23 / 06_2 : _x000D_
23 / 07_2 : 2_x000D_
_x000D_
    TOTAL : ( 185 )_x000D_
  DIVISOR : 12_x000D_
    MÉDIA : 15,42_x000D_
-----------------------------_x000D_
   Valores Desconsiderados_x000D_
-----------------------------_x000D_
22 / 09_2 : 43 (150)_x000D_
_x000D_
  TOTAL   : ( 43 )</t>
        </r>
      </text>
    </comment>
    <comment ref="AB311" authorId="0" shapeId="0" xr:uid="{CF1D7281-DA55-4850-8492-8050FE4F041F}">
      <text>
        <r>
          <rPr>
            <sz val="10"/>
            <color indexed="81"/>
            <rFont val="Lucida Console"/>
            <family val="3"/>
          </rPr>
          <t>Última movimentação no estoque em 07/2023 quantidade 2.</t>
        </r>
      </text>
    </comment>
    <comment ref="R312" authorId="0" shapeId="0" xr:uid="{0B6AED84-9344-4EB0-87B8-70076DBDB961}">
      <text>
        <r>
          <rPr>
            <sz val="10"/>
            <color indexed="81"/>
            <rFont val="Lucida Console"/>
            <family val="3"/>
          </rPr>
          <t>08.09.2011</t>
        </r>
      </text>
    </comment>
    <comment ref="Y312" authorId="0" shapeId="0" xr:uid="{9659A412-AB0C-4935-9118-F350A7D32263}">
      <text>
        <r>
          <rPr>
            <sz val="10"/>
            <color indexed="81"/>
            <rFont val="Courier New"/>
            <family val="3"/>
          </rPr>
          <t>_x000D_
    DESCRIÇÃO DO CÁLCULO_x000D_
Código    : 120.995_x000D_
Corte     : 48_x000D_
-----------------------------_x000D_
Pendente  : _x000D_
22 / 08_2 : 6_x000D_
22 / 09_2 : 10_x000D_
22 / 10_2 : _x000D_
22 / 11_2 : 30_x000D_
22 / 12_2 : _x000D_
23 / 01_2 : 40_x000D_
23 / 02_2 : _x000D_
23 / 03_2 : 20_x000D_
23 / 04_2 : _x000D_
23 / 05_2 : _x000D_
23 / 06_2 : 48 (corte = 50)_x000D_
23 / 07_2 : _x000D_
_x000D_
    TOTAL : ( 154 )_x000D_
  DIVISOR : 12_x000D_
    MÉDIA : 12,83_x000D_
-----------------------------_x000D_
   Valores Desconsiderados_x000D_
-----------------------------_x000D_
23 / 06_2 : 2 (50)_x000D_
_x000D_
  TOTAL   : ( 2 )</t>
        </r>
      </text>
    </comment>
    <comment ref="AB312" authorId="0" shapeId="0" xr:uid="{931A1A7B-90B5-4DA2-9406-8B4283E51ADA}">
      <text>
        <r>
          <rPr>
            <sz val="10"/>
            <color indexed="81"/>
            <rFont val="Lucida Console"/>
            <family val="3"/>
          </rPr>
          <t>Última movimentação no estoque em 06/2023 quantidade 50.</t>
        </r>
      </text>
    </comment>
    <comment ref="R313" authorId="0" shapeId="0" xr:uid="{C7C59131-64D5-44F6-85D9-C4295D0493DA}">
      <text>
        <r>
          <rPr>
            <sz val="10"/>
            <color indexed="81"/>
            <rFont val="Lucida Console"/>
            <family val="3"/>
          </rPr>
          <t>25.05.2007</t>
        </r>
      </text>
    </comment>
    <comment ref="Y313" authorId="0" shapeId="0" xr:uid="{0244A81C-379C-4121-9E36-73E253947488}">
      <text>
        <r>
          <rPr>
            <sz val="10"/>
            <color indexed="81"/>
            <rFont val="Courier New"/>
            <family val="3"/>
          </rPr>
          <t>_x000D_
    DESCRIÇÃO DO CÁLCULO_x000D_
Código    : 99.787_x000D_
Corte     : 25_x000D_
-----------------------------_x000D_
Pendente  : _x000D_
22 / 08_2 : 2_x000D_
22 / 09_2 : 3_x000D_
22 / 10_2 : _x000D_
22 / 11_2 : 2_x000D_
22 / 12_2 : 5_x000D_
23 / 01_2 : 25 (corte = 35)_x000D_
23 / 02_2 : 12_x000D_
23 / 03_2 : _x000D_
23 / 04_2 : _x000D_
23 / 05_2 : 4_x000D_
23 / 06_2 : 4_x000D_
23 / 07_2 : 2_x000D_
_x000D_
    TOTAL : ( 59 )_x000D_
  DIVISOR : 12_x000D_
    MÉDIA : 4,92_x000D_
-----------------------------_x000D_
   Valores Desconsiderados_x000D_
-----------------------------_x000D_
23 / 01_2 : 10 (35)_x000D_
_x000D_
  TOTAL   : ( 10 )</t>
        </r>
      </text>
    </comment>
    <comment ref="AB313" authorId="0" shapeId="0" xr:uid="{9FEE7AC8-E9F9-4619-9A43-8450337DCB37}">
      <text>
        <r>
          <rPr>
            <sz val="10"/>
            <color indexed="81"/>
            <rFont val="Lucida Console"/>
            <family val="3"/>
          </rPr>
          <t>Última movimentação no estoque em 07/2023 quantidade 2.</t>
        </r>
      </text>
    </comment>
    <comment ref="R314" authorId="0" shapeId="0" xr:uid="{991F5D0B-4E49-40E3-BF3F-438158B61DF8}">
      <text>
        <r>
          <rPr>
            <sz val="10"/>
            <color indexed="81"/>
            <rFont val="Lucida Console"/>
            <family val="3"/>
          </rPr>
          <t>01.01.1901</t>
        </r>
      </text>
    </comment>
    <comment ref="Y314" authorId="0" shapeId="0" xr:uid="{EC8D5386-14D5-4B31-A15C-652A704FB5DA}">
      <text>
        <r>
          <rPr>
            <sz val="10"/>
            <color indexed="81"/>
            <rFont val="Courier New"/>
            <family val="3"/>
          </rPr>
          <t>_x000D_
    DESCRIÇÃO DO CÁLCULO_x000D_
Código    : 60.889_x000D_
Corte     : 304_x000D_
-----------------------------_x000D_
Pendente  : _x000D_
22 / 08_2 : 234_x000D_
22 / 09_2 : 86_x000D_
22 / 10_2 : 156_x000D_
22 / 11_2 : 107_x000D_
22 / 12_2 : 158_x000D_
23 / 01_2 : 304 (corte = 320)_x000D_
23 / 02_2 : 130_x000D_
23 / 03_2 : 161_x000D_
23 / 04_2 : 163_x000D_
23 / 05_2 : 40_x000D_
23 / 06_2 : 190_x000D_
23 / 07_2 : 190_x000D_
_x000D_
    TOTAL : ( 1.919 )_x000D_
  DIVISOR : 12_x000D_
    MÉDIA : 159,92_x000D_
-----------------------------_x000D_
   Valores Desconsiderados_x000D_
-----------------------------_x000D_
23 / 01_2 : 16 (320)_x000D_
_x000D_
  TOTAL   : ( 16 )</t>
        </r>
      </text>
    </comment>
    <comment ref="AB314" authorId="0" shapeId="0" xr:uid="{F4CA1E15-EAAD-49FC-916A-363CAE84F1A5}">
      <text>
        <r>
          <rPr>
            <sz val="10"/>
            <color indexed="81"/>
            <rFont val="Lucida Console"/>
            <family val="3"/>
          </rPr>
          <t>Última movimentação no estoque em 07/2023 quantidade 190.</t>
        </r>
      </text>
    </comment>
    <comment ref="R315" authorId="0" shapeId="0" xr:uid="{AED5BFCD-EAB3-4AEE-9A61-4D8D0B5A9678}">
      <text>
        <r>
          <rPr>
            <sz val="10"/>
            <color indexed="81"/>
            <rFont val="Lucida Console"/>
            <family val="3"/>
          </rPr>
          <t>01.01.1901</t>
        </r>
      </text>
    </comment>
    <comment ref="Y315" authorId="0" shapeId="0" xr:uid="{E8FC7940-D7FD-44AC-9DA4-5B692B4A1C32}">
      <text>
        <r>
          <rPr>
            <sz val="10"/>
            <color indexed="81"/>
            <rFont val="Courier New"/>
            <family val="3"/>
          </rPr>
          <t>_x000D_
    DESCRIÇÃO DO CÁLCULO_x000D_
Código    : 14.885_x000D_
Corte     : 111_x000D_
-----------------------------_x000D_
Pendente  : 35_x000D_
22 / 08_2 : _x000D_
22 / 09_2 : _x000D_
22 / 10_2 : _x000D_
22 / 11_2 : _x000D_
22 / 12_2 : _x000D_
23 / 01_2 : 35_x000D_
23 / 02_2 : _x000D_
23 / 03_2 : _x000D_
23 / 04_2 : 111 (corte = 165)_x000D_
23 / 05_2 : _x000D_
23 / 06_2 : _x000D_
23 / 07_2 : _x000D_
_x000D_
    TOTAL : ( 181 )_x000D_
  DIVISOR : 12_x000D_
    MÉDIA : 15,08_x000D_
-----------------------------_x000D_
   Valores Desconsiderados_x000D_
-----------------------------_x000D_
23 / 04_2 : 54 (165)_x000D_
_x000D_
  TOTAL   : ( 54 )</t>
        </r>
      </text>
    </comment>
    <comment ref="AB315" authorId="0" shapeId="0" xr:uid="{0B730BA1-AE10-4EDF-BCA1-613382B197E9}">
      <text>
        <r>
          <rPr>
            <sz val="10"/>
            <color indexed="81"/>
            <rFont val="Lucida Console"/>
            <family val="3"/>
          </rPr>
          <t>Última movimentação no estoque em 04/2023 quantidade 165.</t>
        </r>
      </text>
    </comment>
    <comment ref="R316" authorId="0" shapeId="0" xr:uid="{4DB2377C-AB0D-4BC0-8DEC-02A763DBA017}">
      <text>
        <r>
          <rPr>
            <sz val="10"/>
            <color indexed="81"/>
            <rFont val="Lucida Console"/>
            <family val="3"/>
          </rPr>
          <t>01.01.1901</t>
        </r>
      </text>
    </comment>
    <comment ref="Y316" authorId="0" shapeId="0" xr:uid="{732E8CAD-DC0A-473C-B251-91947229E310}">
      <text>
        <r>
          <rPr>
            <sz val="10"/>
            <color indexed="81"/>
            <rFont val="Courier New"/>
            <family val="3"/>
          </rPr>
          <t>_x000D_
    DESCRIÇÃO DO CÁLCULO_x000D_
Código    : 14.887_x000D_
Corte     : 112_x000D_
-----------------------------_x000D_
Pendente  : 100_x000D_
22 / 08_2 : _x000D_
22 / 09_2 : _x000D_
22 / 10_2 : _x000D_
22 / 11_2 : _x000D_
22 / 12_2 : 100_x000D_
23 / 01_2 : _x000D_
23 / 02_2 : _x000D_
23 / 03_2 : _x000D_
23 / 04_2 : 100_x000D_
23 / 05_2 : _x000D_
23 / 06_2 : _x000D_
23 / 07_2 : _x000D_
_x000D_
    TOTAL : ( 300 )_x000D_
  DIVISOR : 12_x000D_
    MÉDIA : 25,00</t>
        </r>
      </text>
    </comment>
    <comment ref="AB316" authorId="0" shapeId="0" xr:uid="{19F40875-37A8-4ADA-80E3-E7B75579DB38}">
      <text>
        <r>
          <rPr>
            <sz val="10"/>
            <color indexed="81"/>
            <rFont val="Lucida Console"/>
            <family val="3"/>
          </rPr>
          <t>Última movimentação no estoque em 04/2023 quantidade 100.</t>
        </r>
      </text>
    </comment>
    <comment ref="R317" authorId="0" shapeId="0" xr:uid="{4409D4CF-3321-4B6E-9131-21D2DDB0607F}">
      <text>
        <r>
          <rPr>
            <sz val="10"/>
            <color indexed="81"/>
            <rFont val="Lucida Console"/>
            <family val="3"/>
          </rPr>
          <t>01.01.1901</t>
        </r>
      </text>
    </comment>
    <comment ref="Y317" authorId="0" shapeId="0" xr:uid="{84C5BB0D-B0A1-4E3C-B18A-27C183017676}">
      <text>
        <r>
          <rPr>
            <sz val="10"/>
            <color indexed="81"/>
            <rFont val="Courier New"/>
            <family val="3"/>
          </rPr>
          <t>_x000D_
    DESCRIÇÃO DO CÁLCULO_x000D_
Código    : 13.009_x000D_
Corte     : 117_x000D_
-----------------------------_x000D_
Pendente  : _x000D_
22 / 08_2 : _x000D_
22 / 09_2 : 15_x000D_
22 / 10_2 : 20_x000D_
22 / 11_2 : 50_x000D_
22 / 12_2 : 60_x000D_
23 / 01_2 : _x000D_
23 / 02_2 : _x000D_
23 / 03_2 : 50_x000D_
23 / 04_2 : _x000D_
23 / 05_2 : 117 (corte = 150)_x000D_
23 / 06_2 : _x000D_
23 / 07_2 : _x000D_
_x000D_
    TOTAL : ( 312 )_x000D_
  DIVISOR : 12_x000D_
    MÉDIA : 26,00_x000D_
-----------------------------_x000D_
   Valores Desconsiderados_x000D_
-----------------------------_x000D_
23 / 05_2 : 33 (150)_x000D_
_x000D_
  TOTAL   : ( 33 )</t>
        </r>
      </text>
    </comment>
    <comment ref="AB317" authorId="0" shapeId="0" xr:uid="{B406E906-0BC6-46E8-AA64-403E0ACF7D1C}">
      <text>
        <r>
          <rPr>
            <sz val="10"/>
            <color indexed="81"/>
            <rFont val="Lucida Console"/>
            <family val="3"/>
          </rPr>
          <t>Última movimentação no estoque em 05/2023 quantidade 150.</t>
        </r>
      </text>
    </comment>
    <comment ref="R318" authorId="0" shapeId="0" xr:uid="{11ED0CF3-8843-4559-9DBD-93F57B351952}">
      <text>
        <r>
          <rPr>
            <sz val="10"/>
            <color indexed="81"/>
            <rFont val="Lucida Console"/>
            <family val="3"/>
          </rPr>
          <t>24.04.2009</t>
        </r>
      </text>
    </comment>
    <comment ref="Y318" authorId="0" shapeId="0" xr:uid="{D6D1767D-394F-4A3B-9F8C-8BCFFC4E7A2F}">
      <text>
        <r>
          <rPr>
            <sz val="10"/>
            <color indexed="81"/>
            <rFont val="Courier New"/>
            <family val="3"/>
          </rPr>
          <t>_x000D_
    DESCRIÇÃO DO CÁLCULO_x000D_
Código    : 110.702_x000D_
Corte     : 9_x000D_
-----------------------------_x000D_
Pendente  : _x000D_
22 / 08_2 : _x000D_
22 / 09_2 : 9 (corte = 10)_x000D_
22 / 10_2 : 9 (corte = 10)_x000D_
22 / 11_2 : 3_x000D_
22 / 12_2 : _x000D_
23 / 01_2 : _x000D_
23 / 02_2 : _x000D_
23 / 03_2 : _x000D_
23 / 04_2 : _x000D_
23 / 05_2 : 4_x000D_
23 / 06_2 : _x000D_
23 / 07_2 : _x000D_
_x000D_
    TOTAL : ( 25 )_x000D_
  DIVISOR : 12_x000D_
    MÉDIA : 2,08_x000D_
-----------------------------_x000D_
   Valores Desconsiderados_x000D_
-----------------------------_x000D_
22 / 09_2 : 1 (10)_x000D_
22 / 10_2 : 1 (10)_x000D_
_x000D_
  TOTAL   : ( 2 )</t>
        </r>
      </text>
    </comment>
    <comment ref="AB318" authorId="0" shapeId="0" xr:uid="{0A90A3C1-022A-4229-9419-F9264CA95BAD}">
      <text>
        <r>
          <rPr>
            <sz val="10"/>
            <color indexed="81"/>
            <rFont val="Lucida Console"/>
            <family val="3"/>
          </rPr>
          <t>Última movimentação no estoque em 05/2023 quantidade 4.</t>
        </r>
      </text>
    </comment>
    <comment ref="R319" authorId="0" shapeId="0" xr:uid="{4FBF68A6-04A7-4DCB-A852-C12D8E00A1E2}">
      <text>
        <r>
          <rPr>
            <sz val="10"/>
            <color indexed="81"/>
            <rFont val="Lucida Console"/>
            <family val="3"/>
          </rPr>
          <t>16.10.2007</t>
        </r>
      </text>
    </comment>
    <comment ref="Y319" authorId="0" shapeId="0" xr:uid="{8F4489A0-06FB-467E-81FA-FAAA6FE36994}">
      <text>
        <r>
          <rPr>
            <sz val="10"/>
            <color indexed="81"/>
            <rFont val="Courier New"/>
            <family val="3"/>
          </rPr>
          <t>_x000D_
    DESCRIÇÃO DO CÁLCULO_x000D_
Código    : 102.694_x000D_
Corte     : 23_x000D_
-----------------------------_x000D_
Pendente  : 3_x000D_
22 / 08_2 : 5_x000D_
22 / 09_2 : _x000D_
22 / 10_2 : _x000D_
22 / 11_2 : _x000D_
22 / 12_2 : _x000D_
23 / 01_2 : 23 (corte = 27)_x000D_
23 / 02_2 : 20_x000D_
23 / 03_2 : _x000D_
23 / 04_2 : 5_x000D_
23 / 05_2 : 10_x000D_
23 / 06_2 : _x000D_
23 / 07_2 : _x000D_
_x000D_
    TOTAL : ( 66 )_x000D_
  DIVISOR : 12_x000D_
    MÉDIA : 5,50_x000D_
-----------------------------_x000D_
   Valores Desconsiderados_x000D_
-----------------------------_x000D_
23 / 01_2 : 4 (27)_x000D_
_x000D_
  TOTAL   : ( 4 )</t>
        </r>
      </text>
    </comment>
    <comment ref="AB319" authorId="0" shapeId="0" xr:uid="{D4A6A37E-4671-4327-B8A6-F4B6F559D03A}">
      <text>
        <r>
          <rPr>
            <sz val="10"/>
            <color indexed="81"/>
            <rFont val="Lucida Console"/>
            <family val="3"/>
          </rPr>
          <t>Última movimentação no estoque em 05/2023 quantidade 10.</t>
        </r>
      </text>
    </comment>
    <comment ref="R320" authorId="0" shapeId="0" xr:uid="{94CDE8F1-C8FA-4518-A2AF-793FC433395D}">
      <text>
        <r>
          <rPr>
            <sz val="10"/>
            <color indexed="81"/>
            <rFont val="Lucida Console"/>
            <family val="3"/>
          </rPr>
          <t>10.07.2019</t>
        </r>
      </text>
    </comment>
    <comment ref="Y320" authorId="0" shapeId="0" xr:uid="{9064CAC2-470A-4EAB-9E69-49101EDF0C56}">
      <text>
        <r>
          <rPr>
            <sz val="10"/>
            <color indexed="81"/>
            <rFont val="Courier New"/>
            <family val="3"/>
          </rPr>
          <t>_x000D_
    DESCRIÇÃO DO CÁLCULO_x000D_
Código    : 138.055_x000D_
Corte     : 138_x000D_
-----------------------------_x000D_
Pendente  : _x000D_
22 / 08_2 : 54_x000D_
22 / 09_2 : 62_x000D_
22 / 10_2 : 31_x000D_
22 / 11_2 : 24_x000D_
22 / 12_2 : 18_x000D_
23 / 01_2 : 26_x000D_
23 / 02_2 : 41_x000D_
23 / 03_2 : 95_x000D_
23 / 04_2 : 82_x000D_
23 / 05_2 : 138 (corte = 156)_x000D_
23 / 06_2 : _x000D_
23 / 07_2 : _x000D_
_x000D_
    TOTAL : ( 571 )_x000D_
  DIVISOR : 12_x000D_
    MÉDIA : 47,58_x000D_
-----------------------------_x000D_
   Valores Desconsiderados_x000D_
-----------------------------_x000D_
23 / 05_2 : 18 (156)_x000D_
_x000D_
  TOTAL   : ( 18 )</t>
        </r>
      </text>
    </comment>
    <comment ref="AB320" authorId="0" shapeId="0" xr:uid="{8A4AFAD1-9445-4D10-87D1-278542C7D370}">
      <text>
        <r>
          <rPr>
            <sz val="10"/>
            <color indexed="81"/>
            <rFont val="Lucida Console"/>
            <family val="3"/>
          </rPr>
          <t>Última movimentação no estoque em 05/2023 quantidade 156.</t>
        </r>
      </text>
    </comment>
    <comment ref="R321" authorId="0" shapeId="0" xr:uid="{73A51593-A2E3-4520-9C63-A7A6E50B81B8}">
      <text>
        <r>
          <rPr>
            <sz val="10"/>
            <color indexed="81"/>
            <rFont val="Lucida Console"/>
            <family val="3"/>
          </rPr>
          <t>01.01.1901</t>
        </r>
      </text>
    </comment>
    <comment ref="Y321" authorId="0" shapeId="0" xr:uid="{E7FC2372-BE14-4C64-AD26-75EB52546B69}">
      <text>
        <r>
          <rPr>
            <sz val="10"/>
            <color indexed="81"/>
            <rFont val="Courier New"/>
            <family val="3"/>
          </rPr>
          <t>_x000D_
    DESCRIÇÃO DO CÁLCULO_x000D_
Código    : 11.980_x000D_
Corte     : 2.167_x000D_
-----------------------------_x000D_
Pendente  : 1.882_x000D_
22 / 08_2 : 435_x000D_
22 / 09_2 : 1.006_x000D_
22 / 10_2 : 430_x000D_
22 / 11_2 : 725_x000D_
22 / 12_2 : 575_x000D_
23 / 01_2 : 560_x000D_
23 / 02_2 : 570_x000D_
23 / 03_2 : 2.167 (corte = 2354)_x000D_
23 / 04_2 : _x000D_
23 / 05_2 : _x000D_
23 / 06_2 : _x000D_
23 / 07_2 : _x000D_
_x000D_
    TOTAL : ( 8.350 )_x000D_
  DIVISOR : 12_x000D_
    MÉDIA : 695,83_x000D_
-----------------------------_x000D_
   Valores Desconsiderados_x000D_
-----------------------------_x000D_
23 / 03_2 : 187 (2.354)_x000D_
_x000D_
  TOTAL   : ( 187 )</t>
        </r>
      </text>
    </comment>
    <comment ref="AB321" authorId="0" shapeId="0" xr:uid="{C1B599CA-168A-4D7C-9D04-C42690A36AB1}">
      <text>
        <r>
          <rPr>
            <sz val="10"/>
            <color indexed="81"/>
            <rFont val="Lucida Console"/>
            <family val="3"/>
          </rPr>
          <t>Última movimentação no estoque em 03/2023 quantidade 2.354.</t>
        </r>
      </text>
    </comment>
    <comment ref="R322" authorId="0" shapeId="0" xr:uid="{B922DEAC-B5D7-4BA6-BCF4-40DA130E0DC5}">
      <text>
        <r>
          <rPr>
            <sz val="10"/>
            <color indexed="81"/>
            <rFont val="Lucida Console"/>
            <family val="3"/>
          </rPr>
          <t>01.01.1901</t>
        </r>
      </text>
    </comment>
    <comment ref="Y322" authorId="0" shapeId="0" xr:uid="{064595DE-20AE-4F80-9BD5-BA925D46D2B1}">
      <text>
        <r>
          <rPr>
            <sz val="10"/>
            <color indexed="81"/>
            <rFont val="Courier New"/>
            <family val="3"/>
          </rPr>
          <t>_x000D_
    DESCRIÇÃO DO CÁLCULO_x000D_
Código    : 23.581_x000D_
Corte     : 4.017_x000D_
-----------------------------_x000D_
Pendente  : _x000D_
22 / 08_2 : 755_x000D_
22 / 09_2 : 1.905_x000D_
22 / 10_2 : 975_x000D_
22 / 11_2 : 1.317_x000D_
22 / 12_2 : 745_x000D_
23 / 01_2 : 630_x000D_
23 / 02_2 : 905_x000D_
23 / 03_2 : 4.017 (corte = 5409)_x000D_
23 / 04_2 : 815_x000D_
23 / 05_2 : 1.390_x000D_
23 / 06_2 : 890_x000D_
23 / 07_2 : 885_x000D_
_x000D_
    TOTAL : ( 15.229 )_x000D_
  DIVISOR : 12_x000D_
    MÉDIA : 1.269,08_x000D_
-----------------------------_x000D_
   Valores Desconsiderados_x000D_
-----------------------------_x000D_
23 / 03_2 : 1.392 (5.409)_x000D_
_x000D_
  TOTAL   : ( 1.392 )</t>
        </r>
      </text>
    </comment>
    <comment ref="AB322" authorId="0" shapeId="0" xr:uid="{9D95C7A5-A7E1-4ADB-9E3C-187C7F22E978}">
      <text>
        <r>
          <rPr>
            <sz val="10"/>
            <color indexed="81"/>
            <rFont val="Lucida Console"/>
            <family val="3"/>
          </rPr>
          <t>Última movimentação no estoque em 07/2023 quantidade 885.</t>
        </r>
      </text>
    </comment>
    <comment ref="R323" authorId="0" shapeId="0" xr:uid="{A942DFFE-5681-4FFA-A856-66BE806F5A72}">
      <text>
        <r>
          <rPr>
            <sz val="10"/>
            <color indexed="81"/>
            <rFont val="Lucida Console"/>
            <family val="3"/>
          </rPr>
          <t>06.04.2005</t>
        </r>
      </text>
    </comment>
    <comment ref="Y323" authorId="0" shapeId="0" xr:uid="{7CB3E24C-A36D-4906-8920-C830FD8FADF2}">
      <text>
        <r>
          <rPr>
            <sz val="10"/>
            <color indexed="81"/>
            <rFont val="Courier New"/>
            <family val="3"/>
          </rPr>
          <t>_x000D_
    DESCRIÇÃO DO CÁLCULO_x000D_
Código    : 84.878_x000D_
Corte     : 28.093_x000D_
-----------------------------_x000D_
Pendente  : 1.519_x000D_
22 / 08_2 : 3.290_x000D_
22 / 09_2 : 3.545_x000D_
22 / 10_2 : 2.950_x000D_
22 / 11_2 : 409_x000D_
22 / 12_2 : _x000D_
23 / 01_2 : 1.740_x000D_
23 / 02_2 : 3.580_x000D_
23 / 03_2 : 28.093 (corte = 41878)_x000D_
23 / 04_2 : 3.715_x000D_
23 / 05_2 : 5.220_x000D_
23 / 06_2 : 3.200_x000D_
23 / 07_2 : 2.845_x000D_
_x000D_
    TOTAL : ( 60.106 )_x000D_
  DIVISOR : 12_x000D_
    MÉDIA : 5.008,83_x000D_
-----------------------------_x000D_
   Valores Desconsiderados_x000D_
-----------------------------_x000D_
23 / 03_2 : 13.785 (41.878)_x000D_
_x000D_
  TOTAL   : ( 13.785 )</t>
        </r>
      </text>
    </comment>
    <comment ref="AB323" authorId="0" shapeId="0" xr:uid="{F05D10AD-1775-40C4-91EC-B22078E9EC71}">
      <text>
        <r>
          <rPr>
            <sz val="10"/>
            <color indexed="81"/>
            <rFont val="Lucida Console"/>
            <family val="3"/>
          </rPr>
          <t>Última movimentação no estoque em 07/2023 quantidade 2.845.</t>
        </r>
      </text>
    </comment>
    <comment ref="R324" authorId="0" shapeId="0" xr:uid="{DBF57586-2DF7-4D74-8780-83533AA17147}">
      <text>
        <r>
          <rPr>
            <sz val="10"/>
            <color indexed="81"/>
            <rFont val="Lucida Console"/>
            <family val="3"/>
          </rPr>
          <t>01.01.1901</t>
        </r>
      </text>
    </comment>
    <comment ref="Y324" authorId="0" shapeId="0" xr:uid="{73F9D9E0-D0C0-45B1-8A45-1BCDF9D6AE21}">
      <text>
        <r>
          <rPr>
            <sz val="10"/>
            <color indexed="81"/>
            <rFont val="Courier New"/>
            <family val="3"/>
          </rPr>
          <t>_x000D_
    DESCRIÇÃO DO CÁLCULO_x000D_
Código    : 11.857_x000D_
Corte     : 2.863_x000D_
-----------------------------_x000D_
Pendente  : _x000D_
22 / 08_2 : 1.425_x000D_
22 / 09_2 : 1.680_x000D_
22 / 10_2 : 1.295_x000D_
22 / 11_2 : 1.705_x000D_
22 / 12_2 : 1.095_x000D_
23 / 01_2 : 730_x000D_
23 / 02_2 : 1.105_x000D_
23 / 03_2 : 2.863 (corte = 3197)_x000D_
23 / 04_2 : 2.015_x000D_
23 / 05_2 : 2.025_x000D_
23 / 06_2 : 1.605_x000D_
23 / 07_2 : 1.435_x000D_
_x000D_
    TOTAL : ( 18.978 )_x000D_
  DIVISOR : 12_x000D_
    MÉDIA : 1.581,50_x000D_
-----------------------------_x000D_
   Valores Desconsiderados_x000D_
-----------------------------_x000D_
23 / 03_2 : 334 (3.197)_x000D_
_x000D_
  TOTAL   : ( 334 )</t>
        </r>
      </text>
    </comment>
    <comment ref="AB324" authorId="0" shapeId="0" xr:uid="{DD321AC9-E886-4A2E-9E44-4D9AE950F45A}">
      <text>
        <r>
          <rPr>
            <sz val="10"/>
            <color indexed="81"/>
            <rFont val="Lucida Console"/>
            <family val="3"/>
          </rPr>
          <t>Última movimentação no estoque em 07/2023 quantidade 1.435.</t>
        </r>
      </text>
    </comment>
    <comment ref="R325" authorId="0" shapeId="0" xr:uid="{3CBEBB24-FFC2-419F-B0CE-87C7B734C262}">
      <text>
        <r>
          <rPr>
            <sz val="10"/>
            <color indexed="81"/>
            <rFont val="Lucida Console"/>
            <family val="3"/>
          </rPr>
          <t>01.01.1901</t>
        </r>
      </text>
    </comment>
    <comment ref="Y325" authorId="0" shapeId="0" xr:uid="{E383617E-3656-4571-AA54-7B503E213382}">
      <text>
        <r>
          <rPr>
            <sz val="10"/>
            <color indexed="81"/>
            <rFont val="Courier New"/>
            <family val="3"/>
          </rPr>
          <t>_x000D_
    DESCRIÇÃO DO CÁLCULO_x000D_
Código    : 12.613_x000D_
Corte     : 9.897_x000D_
-----------------------------_x000D_
Pendente  : 3.262_x000D_
22 / 08_2 : _x000D_
22 / 09_2 : _x000D_
22 / 10_2 : _x000D_
22 / 11_2 : _x000D_
22 / 12_2 : 120_x000D_
23 / 01_2 : 1.850_x000D_
23 / 02_2 : 5.897_x000D_
23 / 03_2 : 8.747_x000D_
23 / 04_2 : 5.980_x000D_
23 / 05_2 : 6.445_x000D_
23 / 06_2 : 5.539_x000D_
23 / 07_2 : 5.424_x000D_
_x000D_
    TOTAL : ( 43.264 )_x000D_
  DIVISOR : 12_x000D_
    MÉDIA : 3.605,33</t>
        </r>
      </text>
    </comment>
    <comment ref="AB325" authorId="0" shapeId="0" xr:uid="{DAED60F8-D089-4E7D-8C63-AC30C18AB454}">
      <text>
        <r>
          <rPr>
            <sz val="10"/>
            <color indexed="81"/>
            <rFont val="Lucida Console"/>
            <family val="3"/>
          </rPr>
          <t>Última movimentação no estoque em 07/2023 quantidade 5.424.</t>
        </r>
      </text>
    </comment>
    <comment ref="R326" authorId="0" shapeId="0" xr:uid="{EC0B2C04-758E-48A2-AF8B-C84540FFD15B}">
      <text>
        <r>
          <rPr>
            <sz val="10"/>
            <color indexed="81"/>
            <rFont val="Lucida Console"/>
            <family val="3"/>
          </rPr>
          <t>01.01.1901</t>
        </r>
      </text>
    </comment>
    <comment ref="Y326" authorId="0" shapeId="0" xr:uid="{8438752D-DE7E-4359-9B30-F4BE3FFD7D2A}">
      <text>
        <r>
          <rPr>
            <sz val="10"/>
            <color indexed="81"/>
            <rFont val="Courier New"/>
            <family val="3"/>
          </rPr>
          <t>_x000D_
    DESCRIÇÃO DO CÁLCULO_x000D_
Código    : 12.614_x000D_
Corte     : 7.346_x000D_
-----------------------------_x000D_
Pendente  : 487_x000D_
22 / 08_2 : 2.735_x000D_
22 / 09_2 : 3.315_x000D_
22 / 10_2 : 3.415_x000D_
22 / 11_2 : 3.705_x000D_
22 / 12_2 : 2.418_x000D_
23 / 01_2 : 1.000_x000D_
23 / 02_2 : 2.260_x000D_
23 / 03_2 : 7.346 (corte = 8884)_x000D_
23 / 04_2 : 3.310_x000D_
23 / 05_2 : 3.690_x000D_
23 / 06_2 : 1.977_x000D_
23 / 07_2 : 1.138_x000D_
_x000D_
    TOTAL : ( 36.796 )_x000D_
  DIVISOR : 12_x000D_
    MÉDIA : 3.066,33_x000D_
-----------------------------_x000D_
   Valores Desconsiderados_x000D_
-----------------------------_x000D_
23 / 03_2 : 1.538 (8.884)_x000D_
_x000D_
  TOTAL   : ( 1.538 )</t>
        </r>
      </text>
    </comment>
    <comment ref="AB326" authorId="0" shapeId="0" xr:uid="{F00F4D48-D0A5-4F16-BBA3-10F89FEC836F}">
      <text>
        <r>
          <rPr>
            <sz val="10"/>
            <color indexed="81"/>
            <rFont val="Lucida Console"/>
            <family val="3"/>
          </rPr>
          <t>Última movimentação no estoque em 07/2023 quantidade 1.138.</t>
        </r>
      </text>
    </comment>
    <comment ref="R327" authorId="0" shapeId="0" xr:uid="{9EDA8DCD-3ADB-4A91-8A55-A8FBC33F56F8}">
      <text>
        <r>
          <rPr>
            <sz val="10"/>
            <color indexed="81"/>
            <rFont val="Lucida Console"/>
            <family val="3"/>
          </rPr>
          <t>01.01.1901</t>
        </r>
      </text>
    </comment>
    <comment ref="Y327" authorId="0" shapeId="0" xr:uid="{C87301B2-1CFE-4F40-9102-EB22D4943A62}">
      <text>
        <r>
          <rPr>
            <sz val="10"/>
            <color indexed="81"/>
            <rFont val="Courier New"/>
            <family val="3"/>
          </rPr>
          <t>_x000D_
    DESCRIÇÃO DO CÁLCULO_x000D_
Código    : 16.737_x000D_
Corte     : 1_x000D_
-----------------------------_x000D_
Pendente  : _x000D_
22 / 08_2 : _x000D_
22 / 09_2 : _x000D_
22 / 10_2 : _x000D_
22 / 11_2 : 1 (corte = 2)_x000D_
22 / 12_2 : _x000D_
23 / 01_2 : _x000D_
23 / 02_2 : _x000D_
23 / 03_2 : _x000D_
23 / 04_2 : _x000D_
23 / 05_2 : _x000D_
23 / 06_2 : _x000D_
23 / 07_2 : _x000D_
_x000D_
    TOTAL : ( 1 )_x000D_
  DIVISOR : 12_x000D_
    MÉDIA : ,08_x000D_
-----------------------------_x000D_
   Valores Desconsiderados_x000D_
-----------------------------_x000D_
22 / 11_2 : 1 (2)_x000D_
_x000D_
  TOTAL   : ( 1 )</t>
        </r>
      </text>
    </comment>
    <comment ref="AB327" authorId="0" shapeId="0" xr:uid="{6CEA9BED-F136-4AD1-B829-D79925A0DA92}">
      <text>
        <r>
          <rPr>
            <sz val="10"/>
            <color indexed="81"/>
            <rFont val="Lucida Console"/>
            <family val="3"/>
          </rPr>
          <t>Última movimentação no estoque em 11/2022 quantidade 2.</t>
        </r>
      </text>
    </comment>
    <comment ref="R328" authorId="0" shapeId="0" xr:uid="{9200626B-F2C2-41D8-B857-AFB9EC30D743}">
      <text>
        <r>
          <rPr>
            <sz val="10"/>
            <color indexed="81"/>
            <rFont val="Lucida Console"/>
            <family val="3"/>
          </rPr>
          <t>01.01.1901</t>
        </r>
      </text>
    </comment>
    <comment ref="Y328" authorId="0" shapeId="0" xr:uid="{B70BA00C-6AAF-49F8-95FE-C9FA05516268}">
      <text>
        <r>
          <rPr>
            <sz val="10"/>
            <color indexed="81"/>
            <rFont val="Courier New"/>
            <family val="3"/>
          </rPr>
          <t>_x000D_
    DESCRIÇÃO DO CÁLCULO_x000D_
Código    : 16.736_x000D_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28" authorId="0" shapeId="0" xr:uid="{2D268558-183C-4C2D-811A-7B9F37D98964}">
      <text>
        <r>
          <rPr>
            <sz val="10"/>
            <color indexed="81"/>
            <rFont val="Lucida Console"/>
            <family val="3"/>
          </rPr>
          <t>Última movimentação no estoque em 11/2022 quantidade 1.</t>
        </r>
      </text>
    </comment>
    <comment ref="R329" authorId="0" shapeId="0" xr:uid="{2FDA9E84-FCFE-49C4-8C3F-A47BDCB2EC99}">
      <text>
        <r>
          <rPr>
            <sz val="10"/>
            <color indexed="81"/>
            <rFont val="Lucida Console"/>
            <family val="3"/>
          </rPr>
          <t>01.01.1901</t>
        </r>
      </text>
    </comment>
    <comment ref="Y329" authorId="0" shapeId="0" xr:uid="{2FA022BA-F53D-4F78-82B0-39CE59DD8FDD}">
      <text>
        <r>
          <rPr>
            <sz val="10"/>
            <color indexed="81"/>
            <rFont val="Courier New"/>
            <family val="3"/>
          </rPr>
          <t>_x000D_
    DESCRIÇÃO DO CÁLCULO_x000D_
Código    : 72.222_x000D_
Corte     : 38_x000D_
-----------------------------_x000D_
Pendente  : _x000D_
22 / 08_2 : 11_x000D_
22 / 09_2 : 10_x000D_
22 / 10_2 : 7_x000D_
22 / 11_2 : 21_x000D_
22 / 12_2 : 12_x000D_
23 / 01_2 : 12_x000D_
23 / 02_2 : 18_x000D_
23 / 03_2 : 38 (corte = 44)_x000D_
23 / 04_2 : 27_x000D_
23 / 05_2 : 23_x000D_
23 / 06_2 : 16_x000D_
23 / 07_2 : 15_x000D_
_x000D_
    TOTAL : ( 210 )_x000D_
  DIVISOR : 12_x000D_
    MÉDIA : 17,50_x000D_
-----------------------------_x000D_
   Valores Desconsiderados_x000D_
-----------------------------_x000D_
23 / 03_2 : 6 (44)_x000D_
_x000D_
  TOTAL   : ( 6 )</t>
        </r>
      </text>
    </comment>
    <comment ref="AB329" authorId="0" shapeId="0" xr:uid="{78299E90-4AA7-4A63-AE6A-D3E05523F2D8}">
      <text>
        <r>
          <rPr>
            <sz val="10"/>
            <color indexed="81"/>
            <rFont val="Lucida Console"/>
            <family val="3"/>
          </rPr>
          <t>Última movimentação no estoque em 07/2023 quantidade 15.</t>
        </r>
      </text>
    </comment>
    <comment ref="R330" authorId="0" shapeId="0" xr:uid="{8F2395C4-3843-45E5-A853-2403FE191A89}">
      <text>
        <r>
          <rPr>
            <sz val="10"/>
            <color indexed="81"/>
            <rFont val="Lucida Console"/>
            <family val="3"/>
          </rPr>
          <t>07.02.2017</t>
        </r>
      </text>
    </comment>
    <comment ref="Y330" authorId="0" shapeId="0" xr:uid="{ECE54AA6-10B5-4368-863F-9970BCF24A7D}">
      <text>
        <r>
          <rPr>
            <sz val="10"/>
            <color indexed="81"/>
            <rFont val="Courier New"/>
            <family val="3"/>
          </rPr>
          <t>_x000D_
    DESCRIÇÃO DO CÁLCULO_x000D_
Código    : 132.407_x000D_
Corte     : 32_x000D_
-----------------------------_x000D_
Pendente  : _x000D_
22 / 08_2 : 7_x000D_
22 / 09_2 : 8_x000D_
22 / 10_2 : 6_x000D_
22 / 11_2 : 17_x000D_
22 / 12_2 : 4_x000D_
23 / 01_2 : 10_x000D_
23 / 02_2 : 18_x000D_
23 / 03_2 : 32 (corte = 36)_x000D_
23 / 04_2 : 22_x000D_
23 / 05_2 : 19_x000D_
23 / 06_2 : 14_x000D_
23 / 07_2 : 12_x000D_
_x000D_
    TOTAL : ( 169 )_x000D_
  DIVISOR : 12_x000D_
    MÉDIA : 14,08_x000D_
-----------------------------_x000D_
   Valores Desconsiderados_x000D_
-----------------------------_x000D_
23 / 03_2 : 4 (36)_x000D_
_x000D_
  TOTAL   : ( 4 )</t>
        </r>
      </text>
    </comment>
    <comment ref="AB330" authorId="0" shapeId="0" xr:uid="{DAE9F18E-47CC-47E7-ACE6-033C8EF47051}">
      <text>
        <r>
          <rPr>
            <sz val="10"/>
            <color indexed="81"/>
            <rFont val="Lucida Console"/>
            <family val="3"/>
          </rPr>
          <t>Última movimentação no estoque em 07/2023 quantidade 12.</t>
        </r>
      </text>
    </comment>
    <comment ref="R331" authorId="0" shapeId="0" xr:uid="{0783CF19-8C09-46E3-8FB3-CF21B690F688}">
      <text>
        <r>
          <rPr>
            <sz val="10"/>
            <color indexed="81"/>
            <rFont val="Lucida Console"/>
            <family val="3"/>
          </rPr>
          <t>07.02.2017</t>
        </r>
      </text>
    </comment>
    <comment ref="Y331" authorId="0" shapeId="0" xr:uid="{D45D632B-1613-41AE-8AA7-25443BB0B6AB}">
      <text>
        <r>
          <rPr>
            <sz val="10"/>
            <color indexed="81"/>
            <rFont val="Courier New"/>
            <family val="3"/>
          </rPr>
          <t>_x000D_
    DESCRIÇÃO DO CÁLCULO_x000D_
Código    : 132.405_x000D_
Corte     : 30_x000D_
-----------------------------_x000D_
Pendente  : _x000D_
22 / 08_2 : 7_x000D_
22 / 09_2 : 8_x000D_
22 / 10_2 : 7_x000D_
22 / 11_2 : 18_x000D_
22 / 12_2 : 7_x000D_
23 / 01_2 : 12_x000D_
23 / 02_2 : 15_x000D_
23 / 03_2 : 30 (corte = 31)_x000D_
23 / 04_2 : 23_x000D_
23 / 05_2 : 21_x000D_
23 / 06_2 : 16_x000D_
23 / 07_2 : 17_x000D_
_x000D_
    TOTAL : ( 181 )_x000D_
  DIVISOR : 12_x000D_
    MÉDIA : 15,08_x000D_
-----------------------------_x000D_
   Valores Desconsiderados_x000D_
-----------------------------_x000D_
23 / 03_2 : 1 (31)_x000D_
_x000D_
  TOTAL   : ( 1 )</t>
        </r>
      </text>
    </comment>
    <comment ref="AB331" authorId="0" shapeId="0" xr:uid="{24964CAE-141D-4364-AFE5-4E4F44D221B7}">
      <text>
        <r>
          <rPr>
            <sz val="10"/>
            <color indexed="81"/>
            <rFont val="Lucida Console"/>
            <family val="3"/>
          </rPr>
          <t>Última movimentação no estoque em 07/2023 quantidade 17.</t>
        </r>
      </text>
    </comment>
    <comment ref="R332" authorId="0" shapeId="0" xr:uid="{9D72C94E-C36A-4E7F-8486-686FEF498E76}">
      <text>
        <r>
          <rPr>
            <sz val="10"/>
            <color indexed="81"/>
            <rFont val="Lucida Console"/>
            <family val="3"/>
          </rPr>
          <t>01.01.1901</t>
        </r>
      </text>
    </comment>
    <comment ref="Y332" authorId="0" shapeId="0" xr:uid="{82F1B161-5BC8-4BCD-A9FD-322525415F30}">
      <text>
        <r>
          <rPr>
            <sz val="10"/>
            <color indexed="81"/>
            <rFont val="Courier New"/>
            <family val="3"/>
          </rPr>
          <t>_x000D_
    DESCRIÇÃO DO CÁLCULO_x000D_
Código    : 14.154_x000D_
Corte     : 2.759_x000D_
-----------------------------_x000D_
Pendente  : 624_x000D_
22 / 08_2 : 869_x000D_
22 / 09_2 : 949_x000D_
22 / 10_2 : 902_x000D_
22 / 11_2 : 839_x000D_
22 / 12_2 : 615_x000D_
23 / 01_2 : 434_x000D_
23 / 02_2 : 734_x000D_
23 / 03_2 : 2.759 (corte = 3714)_x000D_
23 / 04_2 : 177_x000D_
23 / 05_2 : _x000D_
23 / 06_2 : 537_x000D_
23 / 07_2 : 1.024_x000D_
_x000D_
    TOTAL : ( 10.463 )_x000D_
  DIVISOR : 12_x000D_
    MÉDIA : 871,92_x000D_
-----------------------------_x000D_
   Valores Desconsiderados_x000D_
-----------------------------_x000D_
23 / 03_2 : 955 (3.714)_x000D_
_x000D_
  TOTAL   : ( 955 )</t>
        </r>
      </text>
    </comment>
    <comment ref="AB332" authorId="0" shapeId="0" xr:uid="{BFD24873-B1E6-4BA6-9A4C-8801DDECFA41}">
      <text>
        <r>
          <rPr>
            <sz val="10"/>
            <color indexed="81"/>
            <rFont val="Lucida Console"/>
            <family val="3"/>
          </rPr>
          <t>Última movimentação no estoque em 07/2023 quantidade 1.024.</t>
        </r>
      </text>
    </comment>
    <comment ref="R333" authorId="0" shapeId="0" xr:uid="{3E5EDE7C-6E7B-41A3-BECF-9732CF1AB0F0}">
      <text>
        <r>
          <rPr>
            <sz val="10"/>
            <color indexed="81"/>
            <rFont val="Lucida Console"/>
            <family val="3"/>
          </rPr>
          <t>13.11.2017</t>
        </r>
      </text>
    </comment>
    <comment ref="Y333" authorId="0" shapeId="0" xr:uid="{90D7CB62-77AD-4893-A67B-8626D70D2037}">
      <text>
        <r>
          <rPr>
            <sz val="10"/>
            <color indexed="81"/>
            <rFont val="Courier New"/>
            <family val="3"/>
          </rPr>
          <t>_x000D_
    DESCRIÇÃO DO CÁLCULO_x000D_
Código    : 133.819_x000D_
Corte     : 78_x000D_
-----------------------------_x000D_
Pendente  : _x000D_
22 / 08_2 : 35_x000D_
22 / 09_2 : 78 (corte = 80)_x000D_
22 / 10_2 : 32_x000D_
22 / 11_2 : 9_x000D_
22 / 12_2 : 33_x000D_
23 / 01_2 : 19_x000D_
23 / 02_2 : 30_x000D_
23 / 03_2 : 55_x000D_
23 / 04_2 : 61_x000D_
23 / 05_2 : 20_x000D_
23 / 06_2 : 15_x000D_
23 / 07_2 : 50_x000D_
_x000D_
    TOTAL : ( 437 )_x000D_
  DIVISOR : 12_x000D_
    MÉDIA : 36,42_x000D_
-----------------------------_x000D_
   Valores Desconsiderados_x000D_
-----------------------------_x000D_
22 / 09_2 : 2 (80)_x000D_
_x000D_
  TOTAL   : ( 2 )</t>
        </r>
      </text>
    </comment>
    <comment ref="AB333" authorId="0" shapeId="0" xr:uid="{29E63608-FFB8-4C8B-84DF-C2524CF38DCD}">
      <text>
        <r>
          <rPr>
            <sz val="10"/>
            <color indexed="81"/>
            <rFont val="Lucida Console"/>
            <family val="3"/>
          </rPr>
          <t>Última movimentação no estoque em 07/2023 quantidade 50.</t>
        </r>
      </text>
    </comment>
    <comment ref="R334" authorId="0" shapeId="0" xr:uid="{3B0BA7FB-37C0-40C1-9A69-EABB5F0AE568}">
      <text>
        <r>
          <rPr>
            <sz val="10"/>
            <color indexed="81"/>
            <rFont val="Lucida Console"/>
            <family val="3"/>
          </rPr>
          <t>30.10.2017</t>
        </r>
      </text>
    </comment>
    <comment ref="Y334" authorId="0" shapeId="0" xr:uid="{95007445-5460-4805-9D34-CEEDC6D74607}">
      <text>
        <r>
          <rPr>
            <sz val="10"/>
            <color indexed="81"/>
            <rFont val="Courier New"/>
            <family val="3"/>
          </rPr>
          <t>_x000D_
    DESCRIÇÃO DO CÁLCULO_x000D_
Código    : 133.788_x000D_
Corte     : 528_x000D_
-----------------------------_x000D_
Pendente  : _x000D_
22 / 08_2 : 20_x000D_
22 / 09_2 : 15_x000D_
22 / 10_2 : 35_x000D_
22 / 11_2 : 34_x000D_
22 / 12_2 : 61_x000D_
23 / 01_2 : 20_x000D_
23 / 02_2 : 528 (corte = 718)_x000D_
23 / 03_2 : 227_x000D_
23 / 04_2 : 200_x000D_
23 / 05_2 : 112_x000D_
23 / 06_2 : 123_x000D_
23 / 07_2 : 50_x000D_
_x000D_
    TOTAL : ( 1.425 )_x000D_
  DIVISOR : 12_x000D_
    MÉDIA : 118,75_x000D_
-----------------------------_x000D_
   Valores Desconsiderados_x000D_
-----------------------------_x000D_
23 / 02_2 : 190 (718)_x000D_
_x000D_
  TOTAL   : ( 190 )</t>
        </r>
      </text>
    </comment>
    <comment ref="AB334" authorId="0" shapeId="0" xr:uid="{7F3D1F31-B40C-49B3-A7EE-6CDCECE6B148}">
      <text>
        <r>
          <rPr>
            <sz val="10"/>
            <color indexed="81"/>
            <rFont val="Lucida Console"/>
            <family val="3"/>
          </rPr>
          <t>Última movimentação no estoque em 07/2023 quantidade 50.</t>
        </r>
      </text>
    </comment>
    <comment ref="R335" authorId="0" shapeId="0" xr:uid="{CDEB2BD0-D4DA-466D-8472-8E8B9CDAE117}">
      <text>
        <r>
          <rPr>
            <sz val="10"/>
            <color indexed="81"/>
            <rFont val="Lucida Console"/>
            <family val="3"/>
          </rPr>
          <t>30.10.2017</t>
        </r>
      </text>
    </comment>
    <comment ref="Y335" authorId="0" shapeId="0" xr:uid="{1F3FF6F9-87D9-4B08-8315-00C0AF537092}">
      <text>
        <r>
          <rPr>
            <sz val="10"/>
            <color indexed="81"/>
            <rFont val="Courier New"/>
            <family val="3"/>
          </rPr>
          <t>_x000D_
    DESCRIÇÃO DO CÁLCULO_x000D_
Código    : 133.790_x000D_
Corte     : 231_x000D_
-----------------------------_x000D_
Pendente  : _x000D_
22 / 08_2 : 20_x000D_
22 / 09_2 : 47_x000D_
22 / 10_2 : 35_x000D_
22 / 11_2 : 34_x000D_
22 / 12_2 : 61_x000D_
23 / 01_2 : 20_x000D_
23 / 02_2 : 114_x000D_
23 / 03_2 : 231 (corte = 245)_x000D_
23 / 04_2 : 190_x000D_
23 / 05_2 : 115_x000D_
23 / 06_2 : 123_x000D_
23 / 07_2 : 50_x000D_
_x000D_
    TOTAL : ( 1.040 )_x000D_
  DIVISOR : 12_x000D_
    MÉDIA : 86,67_x000D_
-----------------------------_x000D_
   Valores Desconsiderados_x000D_
-----------------------------_x000D_
23 / 03_2 : 14 (245)_x000D_
_x000D_
  TOTAL   : ( 14 )</t>
        </r>
      </text>
    </comment>
    <comment ref="AB335" authorId="0" shapeId="0" xr:uid="{21A8E8D7-8A8C-4EFB-A89B-BE596924597B}">
      <text>
        <r>
          <rPr>
            <sz val="10"/>
            <color indexed="81"/>
            <rFont val="Lucida Console"/>
            <family val="3"/>
          </rPr>
          <t>Última movimentação no estoque em 07/2023 quantidade 50.</t>
        </r>
      </text>
    </comment>
    <comment ref="R336" authorId="0" shapeId="0" xr:uid="{EC9A018B-7D50-4011-9B73-938B3116B410}">
      <text>
        <r>
          <rPr>
            <sz val="10"/>
            <color indexed="81"/>
            <rFont val="Lucida Console"/>
            <family val="3"/>
          </rPr>
          <t>01.01.1901</t>
        </r>
      </text>
    </comment>
    <comment ref="Y336" authorId="0" shapeId="0" xr:uid="{DBCE7BDE-770E-4AA2-BD30-6C13D259A6AA}">
      <text>
        <r>
          <rPr>
            <sz val="10"/>
            <color indexed="81"/>
            <rFont val="Courier New"/>
            <family val="3"/>
          </rPr>
          <t>_x000D_
    DESCRIÇÃO DO CÁLCULO_x000D_
Código    : 46.420_x000D_
Corte     : 270_x000D_
-----------------------------_x000D_
Pendente  : 3_x000D_
22 / 08_2 : 129_x000D_
22 / 09_2 : 159_x000D_
22 / 10_2 : 134_x000D_
22 / 11_2 : 128_x000D_
22 / 12_2 : 151_x000D_
23 / 01_2 : 109_x000D_
23 / 02_2 : 168_x000D_
23 / 03_2 : 259_x000D_
23 / 04_2 : 173_x000D_
23 / 05_2 : 173_x000D_
23 / 06_2 : 159_x000D_
23 / 07_2 : 151_x000D_
_x000D_
    TOTAL : ( 1.896 )_x000D_
  DIVISOR : 12_x000D_
    MÉDIA : 158,00</t>
        </r>
      </text>
    </comment>
    <comment ref="AB336" authorId="0" shapeId="0" xr:uid="{3340E3BD-4258-42FE-B90A-197C6BEF420D}">
      <text>
        <r>
          <rPr>
            <sz val="10"/>
            <color indexed="81"/>
            <rFont val="Lucida Console"/>
            <family val="3"/>
          </rPr>
          <t>Última movimentação no estoque em 07/2023 quantidade 151.</t>
        </r>
      </text>
    </comment>
    <comment ref="R337" authorId="0" shapeId="0" xr:uid="{A0CA8186-3C1E-44D9-AE4F-258A25CACD73}">
      <text>
        <r>
          <rPr>
            <sz val="10"/>
            <color indexed="81"/>
            <rFont val="Lucida Console"/>
            <family val="3"/>
          </rPr>
          <t>08.04.2021</t>
        </r>
      </text>
    </comment>
    <comment ref="Y337" authorId="0" shapeId="0" xr:uid="{55A80B98-6FDB-4D1E-A81E-F5220D6AFF9F}">
      <text>
        <r>
          <rPr>
            <sz val="10"/>
            <color indexed="81"/>
            <rFont val="Courier New"/>
            <family val="3"/>
          </rPr>
          <t>_x000D_
    DESCRIÇÃO DO CÁLCULO_x000D_
Código    : 140.933_x000D_
Corte     : 26_x000D_
-----------------------------_x000D_
Pendente  : _x000D_
22 / 08_2 : _x000D_
22 / 09_2 : _x000D_
22 / 10_2 : _x000D_
22 / 11_2 : _x000D_
22 / 12_2 : _x000D_
23 / 01_2 : _x000D_
23 / 02_2 : _x000D_
23 / 03_2 : 3_x000D_
23 / 04_2 : 24_x000D_
23 / 05_2 : 10_x000D_
23 / 06_2 : 26 (corte = 29)_x000D_
23 / 07_2 : _x000D_
_x000D_
    TOTAL : ( 63 )_x000D_
  DIVISOR : 12_x000D_
    MÉDIA : 5,25_x000D_
-----------------------------_x000D_
   Valores Desconsiderados_x000D_
-----------------------------_x000D_
23 / 06_2 : 3 (29)_x000D_
_x000D_
  TOTAL   : ( 3 )</t>
        </r>
      </text>
    </comment>
    <comment ref="AB337" authorId="0" shapeId="0" xr:uid="{81D9BAA9-CB3F-448C-973C-CF62D3DF3452}">
      <text>
        <r>
          <rPr>
            <sz val="10"/>
            <color indexed="81"/>
            <rFont val="Lucida Console"/>
            <family val="3"/>
          </rPr>
          <t>Última movimentação no estoque em 06/2023 quantidade 29.</t>
        </r>
      </text>
    </comment>
    <comment ref="R338" authorId="0" shapeId="0" xr:uid="{6E5339BC-2A9D-4B8A-B744-2CAA8F4D57AE}">
      <text>
        <r>
          <rPr>
            <sz val="10"/>
            <color indexed="81"/>
            <rFont val="Lucida Console"/>
            <family val="3"/>
          </rPr>
          <t>01.01.1901</t>
        </r>
      </text>
    </comment>
    <comment ref="Y338" authorId="0" shapeId="0" xr:uid="{6E3D76B5-88B1-4006-B322-A4E70504C9A3}">
      <text>
        <r>
          <rPr>
            <sz val="10"/>
            <color indexed="81"/>
            <rFont val="Courier New"/>
            <family val="3"/>
          </rPr>
          <t>_x000D_
    DESCRIÇÃO DO CÁLCULO_x000D_
Código    : 29.296_x000D_
Corte     : 40_x000D_
-----------------------------_x000D_
Pendente  : _x000D_
22 / 08_2 : 21_x000D_
22 / 09_2 : 12_x000D_
22 / 10_2 : 18_x000D_
22 / 11_2 : 26_x000D_
22 / 12_2 : 9_x000D_
23 / 01_2 : 27_x000D_
23 / 02_2 : 4_x000D_
23 / 03_2 : 40 (corte = 41)_x000D_
23 / 04_2 : 22_x000D_
23 / 05_2 : 27_x000D_
23 / 06_2 : 22_x000D_
23 / 07_2 : 6_x000D_
_x000D_
    TOTAL : ( 234 )_x000D_
  DIVISOR : 12_x000D_
    MÉDIA : 19,50_x000D_
-----------------------------_x000D_
   Valores Desconsiderados_x000D_
-----------------------------_x000D_
23 / 03_2 : 1 (41)_x000D_
_x000D_
  TOTAL   : ( 1 )</t>
        </r>
      </text>
    </comment>
    <comment ref="AB338" authorId="0" shapeId="0" xr:uid="{7E593719-66B8-4A58-AA28-535AE5509077}">
      <text>
        <r>
          <rPr>
            <sz val="10"/>
            <color indexed="81"/>
            <rFont val="Lucida Console"/>
            <family val="3"/>
          </rPr>
          <t>Última movimentação no estoque em 07/2023 quantidade 6.</t>
        </r>
      </text>
    </comment>
    <comment ref="R339" authorId="0" shapeId="0" xr:uid="{783C442D-4989-4227-8416-179530DBFA45}">
      <text>
        <r>
          <rPr>
            <sz val="10"/>
            <color indexed="81"/>
            <rFont val="Lucida Console"/>
            <family val="3"/>
          </rPr>
          <t>01.01.1901</t>
        </r>
      </text>
    </comment>
    <comment ref="Y339" authorId="0" shapeId="0" xr:uid="{8B737EE4-FA60-4DC8-B890-7D6449890828}">
      <text>
        <r>
          <rPr>
            <sz val="10"/>
            <color indexed="81"/>
            <rFont val="Courier New"/>
            <family val="3"/>
          </rPr>
          <t>_x000D_
    DESCRIÇÃO DO CÁLCULO_x000D_
Código    : 13.091_x000D_
Corte     : 942_x000D_
-----------------------------_x000D_
Pendente  : 848_x000D_
22 / 08_2 : 275_x000D_
22 / 09_2 : _x000D_
22 / 10_2 : _x000D_
22 / 11_2 : 37_x000D_
22 / 12_2 : _x000D_
23 / 01_2 : 84_x000D_
23 / 02_2 : 528_x000D_
23 / 03_2 : 915_x000D_
23 / 04_2 : 484_x000D_
23 / 05_2 : _x000D_
23 / 06_2 : _x000D_
23 / 07_2 : _x000D_
_x000D_
    TOTAL : ( 3.171 )_x000D_
  DIVISOR : 12_x000D_
    MÉDIA : 264,25</t>
        </r>
      </text>
    </comment>
    <comment ref="AB339" authorId="0" shapeId="0" xr:uid="{9BB382CE-98CE-4F03-8096-AAF1B67E77FD}">
      <text>
        <r>
          <rPr>
            <sz val="10"/>
            <color indexed="81"/>
            <rFont val="Lucida Console"/>
            <family val="3"/>
          </rPr>
          <t>Última movimentação no estoque em 04/2023 quantidade 484.</t>
        </r>
      </text>
    </comment>
    <comment ref="R340" authorId="0" shapeId="0" xr:uid="{635A16F5-06A9-453E-A65C-EF31D57302C0}">
      <text>
        <r>
          <rPr>
            <sz val="10"/>
            <color indexed="81"/>
            <rFont val="Lucida Console"/>
            <family val="3"/>
          </rPr>
          <t>01.01.1901</t>
        </r>
      </text>
    </comment>
    <comment ref="Y340" authorId="0" shapeId="0" xr:uid="{BE9D666A-38A1-4BE2-BE89-0E62C2A06DD3}">
      <text>
        <r>
          <rPr>
            <sz val="10"/>
            <color indexed="81"/>
            <rFont val="Courier New"/>
            <family val="3"/>
          </rPr>
          <t>_x000D_
    DESCRIÇÃO DO CÁLCULO_x000D_
Código    : 11.072_x000D_
Corte     : 78_x000D_
-----------------------------_x000D_
Pendente  : _x000D_
22 / 08_2 : 49_x000D_
22 / 09_2 : 69_x000D_
22 / 10_2 : 31_x000D_
22 / 11_2 : 41_x000D_
22 / 12_2 : 29_x000D_
23 / 01_2 : 59_x000D_
23 / 02_2 : 47_x000D_
23 / 03_2 : 73_x000D_
23 / 04_2 : 59_x000D_
23 / 05_2 : 59_x000D_
23 / 06_2 : 50_x000D_
23 / 07_2 : 52_x000D_
_x000D_
    TOTAL : ( 618 )_x000D_
  DIVISOR : 12_x000D_
    MÉDIA : 51,50</t>
        </r>
      </text>
    </comment>
    <comment ref="AB340" authorId="0" shapeId="0" xr:uid="{22DA78B1-00B6-457A-8359-2F2F95A48DC5}">
      <text>
        <r>
          <rPr>
            <sz val="10"/>
            <color indexed="81"/>
            <rFont val="Lucida Console"/>
            <family val="3"/>
          </rPr>
          <t>Última movimentação no estoque em 07/2023 quantidade 52.</t>
        </r>
      </text>
    </comment>
    <comment ref="R341" authorId="0" shapeId="0" xr:uid="{75EADA7F-EF45-4AF8-B6E8-DF24F0D92499}">
      <text>
        <r>
          <rPr>
            <sz val="10"/>
            <color indexed="81"/>
            <rFont val="Lucida Console"/>
            <family val="3"/>
          </rPr>
          <t>01.01.1901</t>
        </r>
      </text>
    </comment>
    <comment ref="Y341" authorId="0" shapeId="0" xr:uid="{98FE1160-DC2C-46F0-BAF3-231D9E32EBA1}">
      <text>
        <r>
          <rPr>
            <sz val="10"/>
            <color indexed="81"/>
            <rFont val="Courier New"/>
            <family val="3"/>
          </rPr>
          <t>_x000D_
    DESCRIÇÃO DO CÁLCULO_x000D_
Código    : 15.436_x000D_
Corte     : 212_x000D_
-----------------------------_x000D_
Pendente  : 103_x000D_
22 / 08_2 : 115_x000D_
22 / 09_2 : 183_x000D_
22 / 10_2 : 102_x000D_
22 / 11_2 : 58_x000D_
22 / 12_2 : 97_x000D_
23 / 01_2 : 126_x000D_
23 / 02_2 : 123_x000D_
23 / 03_2 : 157_x000D_
23 / 04_2 : 45_x000D_
23 / 05_2 : _x000D_
23 / 06_2 : _x000D_
23 / 07_2 : _x000D_
_x000D_
    TOTAL : ( 1.109 )_x000D_
  DIVISOR : 12_x000D_
    MÉDIA : 92,42</t>
        </r>
      </text>
    </comment>
    <comment ref="AB341" authorId="0" shapeId="0" xr:uid="{D3EEFDFA-861D-4D6A-9A1C-BD5A74849372}">
      <text>
        <r>
          <rPr>
            <sz val="10"/>
            <color indexed="81"/>
            <rFont val="Lucida Console"/>
            <family val="3"/>
          </rPr>
          <t>Última movimentação no estoque em 04/2023 quantidade 45.</t>
        </r>
      </text>
    </comment>
    <comment ref="R342" authorId="0" shapeId="0" xr:uid="{A7925A68-3C80-42BF-8057-E398CCCD4594}">
      <text>
        <r>
          <rPr>
            <sz val="10"/>
            <color indexed="81"/>
            <rFont val="Lucida Console"/>
            <family val="3"/>
          </rPr>
          <t>22.02.2019</t>
        </r>
      </text>
    </comment>
    <comment ref="Y342" authorId="0" shapeId="0" xr:uid="{E8DCBCCA-4AA3-47EE-806A-723903C108FD}">
      <text>
        <r>
          <rPr>
            <sz val="10"/>
            <color indexed="81"/>
            <rFont val="Courier New"/>
            <family val="3"/>
          </rPr>
          <t>_x000D_
    DESCRIÇÃO DO CÁLCULO_x000D_
Código    : 136.554_x000D_
Corte     : 226_x000D_
-----------------------------_x000D_
Pendente  : 214_x000D_
22 / 08_2 : 97_x000D_
22 / 09_2 : 152_x000D_
22 / 10_2 : 180_x000D_
22 / 11_2 : 61_x000D_
22 / 12_2 : 88_x000D_
23 / 01_2 : 51_x000D_
23 / 02_2 : 100_x000D_
23 / 03_2 : 16_x000D_
23 / 04_2 : _x000D_
23 / 05_2 : _x000D_
23 / 06_2 : _x000D_
23 / 07_2 : _x000D_
_x000D_
    TOTAL : ( 959 )_x000D_
  DIVISOR : 12_x000D_
    MÉDIA : 79,92</t>
        </r>
      </text>
    </comment>
    <comment ref="AB342" authorId="0" shapeId="0" xr:uid="{DB8CC218-996F-4DEB-8EB7-17049846101F}">
      <text>
        <r>
          <rPr>
            <sz val="10"/>
            <color indexed="81"/>
            <rFont val="Lucida Console"/>
            <family val="3"/>
          </rPr>
          <t>Última movimentação no estoque em 03/2023 quantidade 16.</t>
        </r>
      </text>
    </comment>
    <comment ref="R343" authorId="0" shapeId="0" xr:uid="{44D105C2-E796-4029-9EB3-D50D9F402B5D}">
      <text>
        <r>
          <rPr>
            <sz val="10"/>
            <color indexed="81"/>
            <rFont val="Lucida Console"/>
            <family val="3"/>
          </rPr>
          <t>22.02.2019</t>
        </r>
      </text>
    </comment>
    <comment ref="Y343" authorId="0" shapeId="0" xr:uid="{53AACEE1-9EE4-4A6C-99A2-7665224147E1}">
      <text>
        <r>
          <rPr>
            <sz val="10"/>
            <color indexed="81"/>
            <rFont val="Courier New"/>
            <family val="3"/>
          </rPr>
          <t>_x000D_
    DESCRIÇÃO DO CÁLCULO_x000D_
Código    : 136.555_x000D_
Corte     : 421_x000D_
-----------------------------_x000D_
Pendente  : 252_x000D_
22 / 08_2 : 15_x000D_
22 / 09_2 : 12_x000D_
22 / 10_2 : 44_x000D_
22 / 11_2 : _x000D_
22 / 12_2 : _x000D_
23 / 01_2 : 32_x000D_
23 / 02_2 : 80_x000D_
23 / 03_2 : 78_x000D_
23 / 04_2 : 310_x000D_
23 / 05_2 : _x000D_
23 / 06_2 : 421 (corte = 500)_x000D_
23 / 07_2 : _x000D_
_x000D_
    TOTAL : ( 1.244 )_x000D_
  DIVISOR : 12_x000D_
    MÉDIA : 103,67_x000D_
-----------------------------_x000D_
   Valores Desconsiderados_x000D_
-----------------------------_x000D_
23 / 06_2 : 79 (500)_x000D_
_x000D_
  TOTAL   : ( 79 )</t>
        </r>
      </text>
    </comment>
    <comment ref="AB343" authorId="0" shapeId="0" xr:uid="{55241110-B599-4D18-B424-56D787F7DA06}">
      <text>
        <r>
          <rPr>
            <sz val="10"/>
            <color indexed="81"/>
            <rFont val="Lucida Console"/>
            <family val="3"/>
          </rPr>
          <t>Última movimentação no estoque em 06/2023 quantidade 500.</t>
        </r>
      </text>
    </comment>
    <comment ref="R344" authorId="0" shapeId="0" xr:uid="{F500560A-6820-4425-8F80-4224D0E0032A}">
      <text>
        <r>
          <rPr>
            <sz val="10"/>
            <color indexed="81"/>
            <rFont val="Lucida Console"/>
            <family val="3"/>
          </rPr>
          <t>02.03.2017</t>
        </r>
      </text>
    </comment>
    <comment ref="Y344" authorId="0" shapeId="0" xr:uid="{12502914-356D-48B5-B3CF-1D044D58E52D}">
      <text>
        <r>
          <rPr>
            <sz val="10"/>
            <color indexed="81"/>
            <rFont val="Courier New"/>
            <family val="3"/>
          </rPr>
          <t>_x000D_
    DESCRIÇÃO DO CÁLCULO_x000D_
Código    : 132.465_x000D_
Corte     : 42_x000D_
-----------------------------_x000D_
Pendente  : _x000D_
22 / 08_2 : _x000D_
22 / 09_2 : _x000D_
22 / 10_2 : 12_x000D_
22 / 11_2 : _x000D_
22 / 12_2 : 2_x000D_
23 / 01_2 : 12_x000D_
23 / 02_2 : 12_x000D_
23 / 03_2 : 42 (corte = 60)_x000D_
23 / 04_2 : _x000D_
23 / 05_2 : _x000D_
23 / 06_2 : _x000D_
23 / 07_2 : _x000D_
_x000D_
    TOTAL : ( 80 )_x000D_
  DIVISOR : 12_x000D_
    MÉDIA : 6,67_x000D_
-----------------------------_x000D_
   Valores Desconsiderados_x000D_
-----------------------------_x000D_
23 / 03_2 : 18 (60)_x000D_
_x000D_
  TOTAL   : ( 18 )</t>
        </r>
      </text>
    </comment>
    <comment ref="AB344" authorId="0" shapeId="0" xr:uid="{86EB2EAD-FECD-430A-9F35-1AB72815475A}">
      <text>
        <r>
          <rPr>
            <sz val="10"/>
            <color indexed="81"/>
            <rFont val="Lucida Console"/>
            <family val="3"/>
          </rPr>
          <t>Última movimentação no estoque em 03/2023 quantidade 60.</t>
        </r>
      </text>
    </comment>
    <comment ref="R345" authorId="0" shapeId="0" xr:uid="{AC8B8747-F69F-441D-B47C-C9F4CFA3F921}">
      <text>
        <r>
          <rPr>
            <sz val="10"/>
            <color indexed="81"/>
            <rFont val="Lucida Console"/>
            <family val="3"/>
          </rPr>
          <t>01.01.1901</t>
        </r>
      </text>
    </comment>
    <comment ref="Y345" authorId="0" shapeId="0" xr:uid="{7BC3F15D-02CD-4518-A141-86C2253CA6E3}">
      <text>
        <r>
          <rPr>
            <sz val="10"/>
            <color indexed="81"/>
            <rFont val="Courier New"/>
            <family val="3"/>
          </rPr>
          <t>_x000D_
    DESCRIÇÃO DO CÁLCULO_x000D_
Código    : 64.625_x000D_
Corte     : 30_x000D_
-----------------------------_x000D_
Pendente  : _x000D_
22 / 08_2 : 15_x000D_
22 / 09_2 : _x000D_
22 / 10_2 : _x000D_
22 / 11_2 : _x000D_
22 / 12_2 : _x000D_
23 / 01_2 : 30 (corte = 35)_x000D_
23 / 02_2 : 25_x000D_
23 / 03_2 : _x000D_
23 / 04_2 : _x000D_
23 / 05_2 : _x000D_
23 / 06_2 : _x000D_
23 / 07_2 : _x000D_
_x000D_
    TOTAL : ( 70 )_x000D_
  DIVISOR : 12_x000D_
    MÉDIA : 5,83_x000D_
-----------------------------_x000D_
   Valores Desconsiderados_x000D_
-----------------------------_x000D_
23 / 01_2 : 5 (35)_x000D_
_x000D_
  TOTAL   : ( 5 )</t>
        </r>
      </text>
    </comment>
    <comment ref="AB345" authorId="0" shapeId="0" xr:uid="{83736728-6F85-43A7-BCC1-E7EE3EAC3106}">
      <text>
        <r>
          <rPr>
            <sz val="10"/>
            <color indexed="81"/>
            <rFont val="Lucida Console"/>
            <family val="3"/>
          </rPr>
          <t>Última movimentação no estoque em 02/2023 quantidade 25.</t>
        </r>
      </text>
    </comment>
    <comment ref="R346" authorId="0" shapeId="0" xr:uid="{30F0BF31-D178-4B86-B9DD-EE2E0B387974}">
      <text>
        <r>
          <rPr>
            <sz val="10"/>
            <color indexed="81"/>
            <rFont val="Lucida Console"/>
            <family val="3"/>
          </rPr>
          <t>01.01.1901</t>
        </r>
      </text>
    </comment>
    <comment ref="Y346" authorId="0" shapeId="0" xr:uid="{4BB4870E-49EA-46EB-8F83-F81EDE35C472}">
      <text>
        <r>
          <rPr>
            <sz val="10"/>
            <color indexed="81"/>
            <rFont val="Courier New"/>
            <family val="3"/>
          </rPr>
          <t>_x000D_
    DESCRIÇÃO DO CÁLCULO_x000D_
Código    : 64.626_x000D_
Corte     : 244_x000D_
-----------------------------_x000D_
Pendente  : _x000D_
22 / 08_2 : _x000D_
22 / 09_2 : _x000D_
22 / 10_2 : _x000D_
22 / 11_2 : _x000D_
22 / 12_2 : _x000D_
23 / 01_2 : _x000D_
23 / 02_2 : _x000D_
23 / 03_2 : _x000D_
23 / 04_2 : _x000D_
23 / 05_2 : 244 (corte = 307)_x000D_
23 / 06_2 : _x000D_
23 / 07_2 : 200_x000D_
_x000D_
    TOTAL : ( 444 )_x000D_
  DIVISOR : 12_x000D_
    MÉDIA : 37,00_x000D_
-----------------------------_x000D_
   Valores Desconsiderados_x000D_
-----------------------------_x000D_
23 / 05_2 : 63 (307)_x000D_
_x000D_
  TOTAL   : ( 63 )</t>
        </r>
      </text>
    </comment>
    <comment ref="AB346" authorId="0" shapeId="0" xr:uid="{AEB994FE-C0D9-45BC-882E-E114681701FE}">
      <text>
        <r>
          <rPr>
            <sz val="10"/>
            <color indexed="81"/>
            <rFont val="Lucida Console"/>
            <family val="3"/>
          </rPr>
          <t>Última movimentação no estoque em 07/2023 quantidade 200.</t>
        </r>
      </text>
    </comment>
    <comment ref="R347" authorId="0" shapeId="0" xr:uid="{9AAF48A7-CD48-4163-B7A3-B9D3871C55F1}">
      <text>
        <r>
          <rPr>
            <sz val="10"/>
            <color indexed="81"/>
            <rFont val="Lucida Console"/>
            <family val="3"/>
          </rPr>
          <t>01.01.1901</t>
        </r>
      </text>
    </comment>
    <comment ref="Y347" authorId="0" shapeId="0" xr:uid="{B77A4C8A-53AF-4737-A318-D0DB405DFEC2}">
      <text>
        <r>
          <rPr>
            <sz val="10"/>
            <color indexed="81"/>
            <rFont val="Courier New"/>
            <family val="3"/>
          </rPr>
          <t>_x000D_
    DESCRIÇÃO DO CÁLCULO_x000D_
Código    : 27.287_x000D_
Corte     : 32_x000D_
-----------------------------_x000D_
Pendente  : _x000D_
22 / 08_2 : 15_x000D_
22 / 09_2 : 10_x000D_
22 / 10_2 : _x000D_
22 / 11_2 : _x000D_
22 / 12_2 : 10_x000D_
23 / 01_2 : 5_x000D_
23 / 02_2 : 10_x000D_
23 / 03_2 : 20_x000D_
23 / 04_2 : _x000D_
23 / 05_2 : 32 (corte = 40)_x000D_
23 / 06_2 : _x000D_
23 / 07_2 : _x000D_
_x000D_
    TOTAL : ( 102 )_x000D_
  DIVISOR : 12_x000D_
    MÉDIA : 8,50_x000D_
-----------------------------_x000D_
   Valores Desconsiderados_x000D_
-----------------------------_x000D_
23 / 05_2 : 8 (40)_x000D_
_x000D_
  TOTAL   : ( 8 )</t>
        </r>
      </text>
    </comment>
    <comment ref="AB347" authorId="0" shapeId="0" xr:uid="{A88D5606-D18A-4FFD-8FE0-F30FFA97EB0B}">
      <text>
        <r>
          <rPr>
            <sz val="10"/>
            <color indexed="81"/>
            <rFont val="Lucida Console"/>
            <family val="3"/>
          </rPr>
          <t>Última movimentação no estoque em 05/2023 quantidade 40.</t>
        </r>
      </text>
    </comment>
    <comment ref="R348" authorId="0" shapeId="0" xr:uid="{4DF7E635-AA8D-499E-9A93-88A229D90F90}">
      <text>
        <r>
          <rPr>
            <sz val="10"/>
            <color indexed="81"/>
            <rFont val="Lucida Console"/>
            <family val="3"/>
          </rPr>
          <t>01.01.1901</t>
        </r>
      </text>
    </comment>
    <comment ref="Y348" authorId="0" shapeId="0" xr:uid="{59290D9D-A533-49E0-A200-5CA9DBDD8D21}">
      <text>
        <r>
          <rPr>
            <sz val="10"/>
            <color indexed="81"/>
            <rFont val="Courier New"/>
            <family val="3"/>
          </rPr>
          <t>_x000D_
    DESCRIÇÃO DO CÁLCULO_x000D_
Código    : 64.860_x000D_
Corte     : 132_x000D_
-----------------------------_x000D_
Pendente  : _x000D_
22 / 08_2 : 10_x000D_
22 / 09_2 : _x000D_
22 / 10_2 : _x000D_
22 / 11_2 : _x000D_
22 / 12_2 : _x000D_
23 / 01_2 : 132 (corte = 200)_x000D_
23 / 02_2 : 1_x000D_
23 / 03_2 : _x000D_
23 / 04_2 : _x000D_
23 / 05_2 : _x000D_
23 / 06_2 : _x000D_
23 / 07_2 : _x000D_
_x000D_
    TOTAL : ( 143 )_x000D_
  DIVISOR : 12_x000D_
    MÉDIA : 11,92_x000D_
-----------------------------_x000D_
   Valores Desconsiderados_x000D_
-----------------------------_x000D_
23 / 01_2 : 68 (200)_x000D_
_x000D_
  TOTAL   : ( 68 )</t>
        </r>
      </text>
    </comment>
    <comment ref="AB348" authorId="0" shapeId="0" xr:uid="{AD790319-CDB4-4F3D-AAD8-F1E9E7F4D605}">
      <text>
        <r>
          <rPr>
            <sz val="10"/>
            <color indexed="81"/>
            <rFont val="Lucida Console"/>
            <family val="3"/>
          </rPr>
          <t>Última movimentação no estoque em 02/2023 quantidade 1.</t>
        </r>
      </text>
    </comment>
    <comment ref="R349" authorId="0" shapeId="0" xr:uid="{F13C6121-76FF-4ED3-A861-97213DD8FAE7}">
      <text>
        <r>
          <rPr>
            <sz val="10"/>
            <color indexed="81"/>
            <rFont val="Lucida Console"/>
            <family val="3"/>
          </rPr>
          <t>19.08.2005</t>
        </r>
      </text>
    </comment>
    <comment ref="Y349" authorId="0" shapeId="0" xr:uid="{67FF78FD-5B46-4604-ABB2-D08AFC71171D}">
      <text>
        <r>
          <rPr>
            <sz val="10"/>
            <color indexed="81"/>
            <rFont val="Courier New"/>
            <family val="3"/>
          </rPr>
          <t>_x000D_
    DESCRIÇÃO DO CÁLCULO_x000D_
Código    : 87.348_x000D_
Corte     : 16_x000D_
-----------------------------_x000D_
Pendente  : _x000D_
22 / 08_2 : 6_x000D_
22 / 09_2 : 5_x000D_
22 / 10_2 : _x000D_
22 / 11_2 : 10_x000D_
22 / 12_2 : _x000D_
23 / 01_2 : 5_x000D_
23 / 02_2 : _x000D_
23 / 03_2 : 16 (corte = 20)_x000D_
23 / 04_2 : _x000D_
23 / 05_2 : _x000D_
23 / 06_2 : _x000D_
23 / 07_2 : _x000D_
_x000D_
    TOTAL : ( 42 )_x000D_
  DIVISOR : 12_x000D_
    MÉDIA : 3,50_x000D_
-----------------------------_x000D_
   Valores Desconsiderados_x000D_
-----------------------------_x000D_
23 / 03_2 : 4 (20)_x000D_
_x000D_
  TOTAL   : ( 4 )</t>
        </r>
      </text>
    </comment>
    <comment ref="AB349" authorId="0" shapeId="0" xr:uid="{6D1E7A8B-CAAA-4424-AD61-31E8BDA9AF4C}">
      <text>
        <r>
          <rPr>
            <sz val="10"/>
            <color indexed="81"/>
            <rFont val="Lucida Console"/>
            <family val="3"/>
          </rPr>
          <t>Última movimentação no estoque em 03/2023 quantidade 20.</t>
        </r>
      </text>
    </comment>
    <comment ref="R350" authorId="0" shapeId="0" xr:uid="{45331FA6-0D89-4C23-A043-21C6B35B525E}">
      <text>
        <r>
          <rPr>
            <sz val="10"/>
            <color indexed="81"/>
            <rFont val="Lucida Console"/>
            <family val="3"/>
          </rPr>
          <t>01.01.1901</t>
        </r>
      </text>
    </comment>
    <comment ref="Y350" authorId="0" shapeId="0" xr:uid="{BF553054-5948-4333-984B-841195327022}">
      <text>
        <r>
          <rPr>
            <sz val="10"/>
            <color indexed="81"/>
            <rFont val="Courier New"/>
            <family val="3"/>
          </rPr>
          <t>_x000D_
    DESCRIÇÃO DO CÁLCULO_x000D_
Código    : 64.861_x000D_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350" authorId="0" shapeId="0" xr:uid="{8D1A9FF8-6570-4381-A0EB-9A743B229A0E}">
      <text>
        <r>
          <rPr>
            <sz val="10"/>
            <color indexed="81"/>
            <rFont val="Lucida Console"/>
            <family val="3"/>
          </rPr>
          <t>Última movimentação no estoque em 08/2022 quantidade 10.</t>
        </r>
      </text>
    </comment>
    <comment ref="R351" authorId="0" shapeId="0" xr:uid="{2BCFD29C-D7A0-4BB4-8100-7DFFF0D66BD9}">
      <text>
        <r>
          <rPr>
            <sz val="10"/>
            <color indexed="81"/>
            <rFont val="Lucida Console"/>
            <family val="3"/>
          </rPr>
          <t>01.01.1901</t>
        </r>
      </text>
    </comment>
    <comment ref="Y351" authorId="0" shapeId="0" xr:uid="{E0EF7394-3596-4F89-9BF5-EEF8AEDE973E}">
      <text>
        <r>
          <rPr>
            <sz val="10"/>
            <color indexed="81"/>
            <rFont val="Courier New"/>
            <family val="3"/>
          </rPr>
          <t>_x000D_
    DESCRIÇÃO DO CÁLCULO_x000D_
Código    : 64.627_x000D_
Corte     : 28_x000D_
-----------------------------_x000D_
Pendente  : _x000D_
22 / 08_2 : 15_x000D_
22 / 09_2 : _x000D_
22 / 10_2 : _x000D_
22 / 11_2 : _x000D_
22 / 12_2 : _x000D_
23 / 01_2 : _x000D_
23 / 02_2 : _x000D_
23 / 03_2 : _x000D_
23 / 04_2 : _x000D_
23 / 05_2 : 28 (corte = 40)_x000D_
23 / 06_2 : _x000D_
23 / 07_2 : _x000D_
_x000D_
    TOTAL : ( 43 )_x000D_
  DIVISOR : 12_x000D_
    MÉDIA : 3,58_x000D_
-----------------------------_x000D_
   Valores Desconsiderados_x000D_
-----------------------------_x000D_
23 / 05_2 : 12 (40)_x000D_
_x000D_
  TOTAL   : ( 12 )</t>
        </r>
      </text>
    </comment>
    <comment ref="AB351" authorId="0" shapeId="0" xr:uid="{E3ACF700-0CEC-471D-AB7D-15EEFCA56B67}">
      <text>
        <r>
          <rPr>
            <sz val="10"/>
            <color indexed="81"/>
            <rFont val="Lucida Console"/>
            <family val="3"/>
          </rPr>
          <t>Última movimentação no estoque em 05/2023 quantidade 40.</t>
        </r>
      </text>
    </comment>
    <comment ref="R352" authorId="0" shapeId="0" xr:uid="{4E1A612B-2924-4C0D-8933-4DEC3C9C367E}">
      <text>
        <r>
          <rPr>
            <sz val="10"/>
            <color indexed="81"/>
            <rFont val="Lucida Console"/>
            <family val="3"/>
          </rPr>
          <t>01.01.1901</t>
        </r>
      </text>
    </comment>
    <comment ref="Y352" authorId="0" shapeId="0" xr:uid="{2212E550-09D9-4778-9D1C-2CB3AB7D12EF}">
      <text>
        <r>
          <rPr>
            <sz val="10"/>
            <color indexed="81"/>
            <rFont val="Courier New"/>
            <family val="3"/>
          </rPr>
          <t>_x000D_
    DESCRIÇÃO DO CÁLCULO_x000D_
Código    : 60.517_x000D_
Corte     : 6_x000D_
-----------------------------_x000D_
Pendente  : _x000D_
22 / 08_2 : _x000D_
22 / 09_2 : _x000D_
22 / 10_2 : 2_x000D_
22 / 11_2 : _x000D_
22 / 12_2 : _x000D_
23 / 01_2 : _x000D_
23 / 02_2 : _x000D_
23 / 03_2 : _x000D_
23 / 04_2 : _x000D_
23 / 05_2 : 6 (corte = 10)_x000D_
23 / 06_2 : _x000D_
23 / 07_2 : _x000D_
_x000D_
    TOTAL : ( 8 )_x000D_
  DIVISOR : 12_x000D_
    MÉDIA : ,67_x000D_
-----------------------------_x000D_
   Valores Desconsiderados_x000D_
-----------------------------_x000D_
23 / 05_2 : 4 (10)_x000D_
_x000D_
  TOTAL   : ( 4 )</t>
        </r>
      </text>
    </comment>
    <comment ref="AB352" authorId="0" shapeId="0" xr:uid="{BA336802-D400-4480-8525-B68A687C88E6}">
      <text>
        <r>
          <rPr>
            <sz val="10"/>
            <color indexed="81"/>
            <rFont val="Lucida Console"/>
            <family val="3"/>
          </rPr>
          <t>Última movimentação no estoque em 05/2023 quantidade 10.</t>
        </r>
      </text>
    </comment>
    <comment ref="R353" authorId="0" shapeId="0" xr:uid="{12ECECFB-6B64-4D84-A74F-6823803F056C}">
      <text>
        <r>
          <rPr>
            <sz val="10"/>
            <color indexed="81"/>
            <rFont val="Lucida Console"/>
            <family val="3"/>
          </rPr>
          <t>01.01.1901</t>
        </r>
      </text>
    </comment>
    <comment ref="Y353" authorId="0" shapeId="0" xr:uid="{6D37FBB1-2410-41F1-8932-691A7BF7DDDB}">
      <text>
        <r>
          <rPr>
            <sz val="10"/>
            <color indexed="81"/>
            <rFont val="Courier New"/>
            <family val="3"/>
          </rPr>
          <t>_x000D_
    DESCRIÇÃO DO CÁLCULO_x000D_
Código    : 64.817_x000D_
Corte     : 1_x000D_
-----------------------------_x000D_
Pendente  : _x000D_
22 / 08_2 : _x000D_
22 / 09_2 : 1 (corte = 2)_x000D_
22 / 10_2 : _x000D_
22 / 11_2 : _x000D_
22 / 12_2 : _x000D_
23 / 01_2 : 1 (corte = 2)_x000D_
23 / 02_2 : _x000D_
23 / 03_2 : _x000D_
23 / 04_2 : _x000D_
23 / 05_2 : _x000D_
23 / 06_2 : _x000D_
23 / 07_2 : _x000D_
_x000D_
    TOTAL : ( 2 )_x000D_
  DIVISOR : 12_x000D_
    MÉDIA : ,17_x000D_
-----------------------------_x000D_
   Valores Desconsiderados_x000D_
-----------------------------_x000D_
22 / 09_2 : 1 (2)_x000D_
23 / 01_2 : 1 (2)_x000D_
_x000D_
  TOTAL   : ( 2 )</t>
        </r>
      </text>
    </comment>
    <comment ref="AB353" authorId="0" shapeId="0" xr:uid="{2104AD63-5F6E-453E-B125-86CF6EF00920}">
      <text>
        <r>
          <rPr>
            <sz val="10"/>
            <color indexed="81"/>
            <rFont val="Lucida Console"/>
            <family val="3"/>
          </rPr>
          <t>Última movimentação no estoque em 01/2023 quantidade 2.</t>
        </r>
      </text>
    </comment>
    <comment ref="R354" authorId="0" shapeId="0" xr:uid="{1961E9EE-7313-4447-A9D7-071990596DA1}">
      <text>
        <r>
          <rPr>
            <sz val="10"/>
            <color indexed="81"/>
            <rFont val="Lucida Console"/>
            <family val="3"/>
          </rPr>
          <t>01.01.1901</t>
        </r>
      </text>
    </comment>
    <comment ref="Y354" authorId="0" shapeId="0" xr:uid="{B009B088-89DC-4E4B-A2C2-C1CFE3E2408A}">
      <text>
        <r>
          <rPr>
            <sz val="10"/>
            <color indexed="81"/>
            <rFont val="Courier New"/>
            <family val="3"/>
          </rPr>
          <t>_x000D_
    DESCRIÇÃO DO CÁLCULO_x000D_
Código    : 53.813_x000D_
Corte     : 59_x000D_
-----------------------------_x000D_
Pendente  : _x000D_
22 / 08_2 : 59 (corte = 90)_x000D_
22 / 09_2 : _x000D_
22 / 10_2 : _x000D_
22 / 11_2 : 1_x000D_
22 / 12_2 : 4_x000D_
23 / 01_2 : 4_x000D_
23 / 02_2 : _x000D_
23 / 03_2 : _x000D_
23 / 04_2 : _x000D_
23 / 05_2 : _x000D_
23 / 06_2 : _x000D_
23 / 07_2 : _x000D_
_x000D_
    TOTAL : ( 68 )_x000D_
  DIVISOR : 12_x000D_
    MÉDIA : 5,67_x000D_
-----------------------------_x000D_
   Valores Desconsiderados_x000D_
-----------------------------_x000D_
22 / 08_2 : 31 (90)_x000D_
_x000D_
  TOTAL   : ( 31 )</t>
        </r>
      </text>
    </comment>
    <comment ref="AB354" authorId="0" shapeId="0" xr:uid="{560F4CCC-C5CE-429C-857F-5811A26FFF37}">
      <text>
        <r>
          <rPr>
            <sz val="10"/>
            <color indexed="81"/>
            <rFont val="Lucida Console"/>
            <family val="3"/>
          </rPr>
          <t>Última movimentação no estoque em 01/2023 quantidade 4.</t>
        </r>
      </text>
    </comment>
    <comment ref="R355" authorId="0" shapeId="0" xr:uid="{5AC2C308-A968-4494-ABCA-06A2322895D3}">
      <text>
        <r>
          <rPr>
            <sz val="10"/>
            <color indexed="81"/>
            <rFont val="Lucida Console"/>
            <family val="3"/>
          </rPr>
          <t>01.01.1901</t>
        </r>
      </text>
    </comment>
    <comment ref="Y355" authorId="0" shapeId="0" xr:uid="{B2F28E57-5561-444A-9244-88C0C34AD06A}">
      <text>
        <r>
          <rPr>
            <sz val="10"/>
            <color indexed="81"/>
            <rFont val="Courier New"/>
            <family val="3"/>
          </rPr>
          <t>_x000D_
    DESCRIÇÃO DO CÁLCULO_x000D_
Código    : 53.814_x000D_
Corte     : 179_x000D_
-----------------------------_x000D_
Pendente  : 4_x000D_
22 / 08_2 : 172_x000D_
22 / 09_2 : 35_x000D_
22 / 10_2 : _x000D_
22 / 11_2 : 32_x000D_
22 / 12_2 : _x000D_
23 / 01_2 : 179 (corte = 201)_x000D_
23 / 02_2 : _x000D_
23 / 03_2 : _x000D_
23 / 04_2 : _x000D_
23 / 05_2 : _x000D_
23 / 06_2 : 60_x000D_
23 / 07_2 : _x000D_
_x000D_
    TOTAL : ( 482 )_x000D_
  DIVISOR : 12_x000D_
    MÉDIA : 40,17_x000D_
-----------------------------_x000D_
   Valores Desconsiderados_x000D_
-----------------------------_x000D_
23 / 01_2 : 22 (201)_x000D_
_x000D_
  TOTAL   : ( 22 )</t>
        </r>
      </text>
    </comment>
    <comment ref="AB355" authorId="0" shapeId="0" xr:uid="{59C61135-D544-4F6C-B5A7-05DEA7E2CB5E}">
      <text>
        <r>
          <rPr>
            <sz val="10"/>
            <color indexed="81"/>
            <rFont val="Lucida Console"/>
            <family val="3"/>
          </rPr>
          <t>Última movimentação no estoque em 06/2023 quantidade 60.</t>
        </r>
      </text>
    </comment>
    <comment ref="R356" authorId="0" shapeId="0" xr:uid="{38FC594C-AAC4-4602-BC14-52D1391B9D7D}">
      <text>
        <r>
          <rPr>
            <sz val="10"/>
            <color indexed="81"/>
            <rFont val="Lucida Console"/>
            <family val="3"/>
          </rPr>
          <t>13.10.2016</t>
        </r>
      </text>
    </comment>
    <comment ref="Y356" authorId="0" shapeId="0" xr:uid="{6C4843C7-56D0-4FE9-9859-551BC70065DE}">
      <text>
        <r>
          <rPr>
            <sz val="10"/>
            <color indexed="81"/>
            <rFont val="Courier New"/>
            <family val="3"/>
          </rPr>
          <t>_x000D_
    DESCRIÇÃO DO CÁLCULO_x000D_
Código    : 132.232_x000D_
Corte     : 12_x000D_
-----------------------------_x000D_
Pendente  : _x000D_
22 / 08_2 : _x000D_
22 / 09_2 : 6_x000D_
22 / 10_2 : _x000D_
22 / 11_2 : _x000D_
22 / 12_2 : 9_x000D_
23 / 01_2 : 6_x000D_
23 / 02_2 : _x000D_
23 / 03_2 : _x000D_
23 / 04_2 : _x000D_
23 / 05_2 : _x000D_
23 / 06_2 : _x000D_
23 / 07_2 : 12 (corte = 15)_x000D_
_x000D_
    TOTAL : ( 33 )_x000D_
  DIVISOR : 12_x000D_
    MÉDIA : 2,75_x000D_
-----------------------------_x000D_
   Valores Desconsiderados_x000D_
-----------------------------_x000D_
23 / 07_2 : 3 (15)_x000D_
_x000D_
  TOTAL   : ( 3 )</t>
        </r>
      </text>
    </comment>
    <comment ref="AB356" authorId="0" shapeId="0" xr:uid="{9D6C09EB-A336-42FB-9778-3882CE56BB41}">
      <text>
        <r>
          <rPr>
            <sz val="10"/>
            <color indexed="81"/>
            <rFont val="Lucida Console"/>
            <family val="3"/>
          </rPr>
          <t>Última movimentação no estoque em 07/2023 quantidade 15.</t>
        </r>
      </text>
    </comment>
    <comment ref="R357" authorId="0" shapeId="0" xr:uid="{DD3ACB53-0329-4878-8CA6-DD921577479C}">
      <text>
        <r>
          <rPr>
            <sz val="10"/>
            <color indexed="81"/>
            <rFont val="Lucida Console"/>
            <family val="3"/>
          </rPr>
          <t>14.05.2010</t>
        </r>
      </text>
    </comment>
    <comment ref="Y357" authorId="0" shapeId="0" xr:uid="{7E1D12E9-A77C-4BD2-80E1-122D4B9DC566}">
      <text>
        <r>
          <rPr>
            <sz val="10"/>
            <color indexed="81"/>
            <rFont val="Courier New"/>
            <family val="3"/>
          </rPr>
          <t>_x000D_
    DESCRIÇÃO DO CÁLCULO_x000D_
Código    : 115.282_x000D_
Corte     : 208_x000D_
-----------------------------_x000D_
Pendente  : 3_x000D_
22 / 08_2 : 12_x000D_
22 / 09_2 : 167_x000D_
22 / 10_2 : 15_x000D_
22 / 11_2 : 29_x000D_
22 / 12_2 : 6_x000D_
23 / 01_2 : 25_x000D_
23 / 02_2 : 105_x000D_
23 / 03_2 : 208 (corte = 250)_x000D_
23 / 04_2 : 26_x000D_
23 / 05_2 : 27_x000D_
23 / 06_2 : 33_x000D_
23 / 07_2 : 32_x000D_
_x000D_
    TOTAL : ( 688 )_x000D_
  DIVISOR : 12_x000D_
    MÉDIA : 57,33_x000D_
-----------------------------_x000D_
   Valores Desconsiderados_x000D_
-----------------------------_x000D_
23 / 03_2 : 42 (250)_x000D_
_x000D_
  TOTAL   : ( 42 )</t>
        </r>
      </text>
    </comment>
    <comment ref="AB357" authorId="0" shapeId="0" xr:uid="{D7FB5604-10AE-4700-8881-57C102BDE48C}">
      <text>
        <r>
          <rPr>
            <sz val="10"/>
            <color indexed="81"/>
            <rFont val="Lucida Console"/>
            <family val="3"/>
          </rPr>
          <t>Última movimentação no estoque em 07/2023 quantidade 32.</t>
        </r>
      </text>
    </comment>
    <comment ref="R358" authorId="0" shapeId="0" xr:uid="{E4359187-FA1A-4E08-A85A-A7AECC9A05D5}">
      <text>
        <r>
          <rPr>
            <sz val="10"/>
            <color indexed="81"/>
            <rFont val="Lucida Console"/>
            <family val="3"/>
          </rPr>
          <t>26.06.2018</t>
        </r>
      </text>
    </comment>
    <comment ref="Y358" authorId="0" shapeId="0" xr:uid="{03832304-6152-435D-87A9-5C65A206AAFC}">
      <text>
        <r>
          <rPr>
            <sz val="10"/>
            <color indexed="81"/>
            <rFont val="Courier New"/>
            <family val="3"/>
          </rPr>
          <t>_x000D_
    DESCRIÇÃO DO CÁLCULO_x000D_
Código    : 135.303_x000D_
Corte     : 8_x000D_
-----------------------------_x000D_
Pendente  : _x000D_
22 / 08_2 : 6_x000D_
22 / 09_2 : 1_x000D_
22 / 10_2 : 8_x000D_
22 / 11_2 : 6_x000D_
22 / 12_2 : 3_x000D_
23 / 01_2 : 3_x000D_
23 / 02_2 : 2_x000D_
23 / 03_2 : 6_x000D_
23 / 04_2 : 7_x000D_
23 / 05_2 : 1_x000D_
23 / 06_2 : 3_x000D_
23 / 07_2 : 4_x000D_
_x000D_
    TOTAL : ( 50 )_x000D_
  DIVISOR : 12_x000D_
    MÉDIA : 4,17</t>
        </r>
      </text>
    </comment>
    <comment ref="AB358" authorId="0" shapeId="0" xr:uid="{60F8AC18-E850-4B1F-9583-DAE731F78B0B}">
      <text>
        <r>
          <rPr>
            <sz val="10"/>
            <color indexed="81"/>
            <rFont val="Lucida Console"/>
            <family val="3"/>
          </rPr>
          <t>Última movimentação no estoque em 07/2023 quantidade 4.</t>
        </r>
      </text>
    </comment>
    <comment ref="R359" authorId="0" shapeId="0" xr:uid="{68D88A70-E63B-4405-A6EC-263066378FD2}">
      <text>
        <r>
          <rPr>
            <sz val="10"/>
            <color indexed="81"/>
            <rFont val="Lucida Console"/>
            <family val="3"/>
          </rPr>
          <t>27.06.2007</t>
        </r>
      </text>
    </comment>
    <comment ref="Y359" authorId="0" shapeId="0" xr:uid="{B51D6234-642F-4C1F-98DF-1F57AF7DCA85}">
      <text>
        <r>
          <rPr>
            <sz val="10"/>
            <color indexed="81"/>
            <rFont val="Courier New"/>
            <family val="3"/>
          </rPr>
          <t>_x000D_
    DESCRIÇÃO DO CÁLCULO_x000D_
Código    : 100.383_x000D_
Corte     : 1_x000D_
-----------------------------_x000D_
Pendente  : _x000D_
22 / 08_2 : _x000D_
22 / 09_2 : _x000D_
22 / 10_2 : _x000D_
22 / 11_2 : _x000D_
22 / 12_2 : _x000D_
23 / 01_2 : _x000D_
23 / 02_2 : _x000D_
23 / 03_2 : _x000D_
23 / 04_2 : 1 (corte = 3)_x000D_
23 / 05_2 : _x000D_
23 / 06_2 : _x000D_
23 / 07_2 : _x000D_
_x000D_
    TOTAL : ( 1 )_x000D_
  DIVISOR : 12_x000D_
    MÉDIA : ,08_x000D_
-----------------------------_x000D_
   Valores Desconsiderados_x000D_
-----------------------------_x000D_
23 / 04_2 : 2 (3)_x000D_
_x000D_
  TOTAL   : ( 2 )</t>
        </r>
      </text>
    </comment>
    <comment ref="AB359" authorId="0" shapeId="0" xr:uid="{7590B1C4-2C2A-4652-89A9-D0C11498D5B6}">
      <text>
        <r>
          <rPr>
            <sz val="10"/>
            <color indexed="81"/>
            <rFont val="Lucida Console"/>
            <family val="3"/>
          </rPr>
          <t>Última movimentação no estoque em 04/2023 quantidade 3.</t>
        </r>
      </text>
    </comment>
    <comment ref="R360" authorId="0" shapeId="0" xr:uid="{890C4B68-A000-4725-AE33-EA6C3FF655A2}">
      <text>
        <r>
          <rPr>
            <sz val="10"/>
            <color indexed="81"/>
            <rFont val="Lucida Console"/>
            <family val="3"/>
          </rPr>
          <t>30.01.2017</t>
        </r>
      </text>
    </comment>
    <comment ref="Y360" authorId="0" shapeId="0" xr:uid="{D8C22753-C9E2-4AEF-A547-AE995A3F9E15}">
      <text>
        <r>
          <rPr>
            <sz val="10"/>
            <color indexed="81"/>
            <rFont val="Courier New"/>
            <family val="3"/>
          </rPr>
          <t>_x000D_
    DESCRIÇÃO DO CÁLCULO_x000D_
Código    : 132.394_x000D_
Corte     : 2.652_x000D_
-----------------------------_x000D_
Pendente  : 2_x000D_
22 / 08_2 : 365_x000D_
22 / 09_2 : 429_x000D_
22 / 10_2 : 439_x000D_
22 / 11_2 : 503_x000D_
22 / 12_2 : 303_x000D_
23 / 01_2 : 153_x000D_
23 / 02_2 : 320_x000D_
23 / 03_2 : 2.652 (corte = 3897)_x000D_
23 / 04_2 : 321_x000D_
23 / 05_2 : 430_x000D_
23 / 06_2 : 376_x000D_
23 / 07_2 : 368_x000D_
_x000D_
    TOTAL : ( 6.661 )_x000D_
  DIVISOR : 12_x000D_
    MÉDIA : 555,08_x000D_
-----------------------------_x000D_
   Valores Desconsiderados_x000D_
-----------------------------_x000D_
23 / 03_2 : 1.245 (3.897)_x000D_
_x000D_
  TOTAL   : ( 1.245 )</t>
        </r>
      </text>
    </comment>
    <comment ref="AB360" authorId="0" shapeId="0" xr:uid="{F62DD980-DC6B-4C8B-8367-BC0498D7C0EB}">
      <text>
        <r>
          <rPr>
            <sz val="10"/>
            <color indexed="81"/>
            <rFont val="Lucida Console"/>
            <family val="3"/>
          </rPr>
          <t>Última movimentação no estoque em 07/2023 quantidade 368.</t>
        </r>
      </text>
    </comment>
    <comment ref="R361" authorId="0" shapeId="0" xr:uid="{EB054C0A-FAC5-430E-AAAD-81BD4C9D2A8C}">
      <text>
        <r>
          <rPr>
            <sz val="10"/>
            <color indexed="81"/>
            <rFont val="Lucida Console"/>
            <family val="3"/>
          </rPr>
          <t>30.01.2017</t>
        </r>
      </text>
    </comment>
    <comment ref="Y361" authorId="0" shapeId="0" xr:uid="{9B651A32-41EE-4A1E-B0FE-B945BF2ABDA8}">
      <text>
        <r>
          <rPr>
            <sz val="10"/>
            <color indexed="81"/>
            <rFont val="Courier New"/>
            <family val="3"/>
          </rPr>
          <t>_x000D_
    DESCRIÇÃO DO CÁLCULO_x000D_
Código    : 132.395_x000D_
Corte     : 2.675_x000D_
-----------------------------_x000D_
Pendente  : 2_x000D_
22 / 08_2 : 380_x000D_
22 / 09_2 : 446_x000D_
22 / 10_2 : 441_x000D_
22 / 11_2 : 499_x000D_
22 / 12_2 : 315_x000D_
23 / 01_2 : 153_x000D_
23 / 02_2 : 323_x000D_
23 / 03_2 : 2.675 (corte = 3929)_x000D_
23 / 04_2 : 331_x000D_
23 / 05_2 : 430_x000D_
23 / 06_2 : 383_x000D_
23 / 07_2 : 368_x000D_
_x000D_
    TOTAL : ( 6.746 )_x000D_
  DIVISOR : 12_x000D_
    MÉDIA : 562,17_x000D_
-----------------------------_x000D_
   Valores Desconsiderados_x000D_
-----------------------------_x000D_
23 / 03_2 : 1.254 (3.929)_x000D_
_x000D_
  TOTAL   : ( 1.254 )</t>
        </r>
      </text>
    </comment>
    <comment ref="AB361" authorId="0" shapeId="0" xr:uid="{B37030ED-A695-4DC6-ABD2-F1451C439F54}">
      <text>
        <r>
          <rPr>
            <sz val="10"/>
            <color indexed="81"/>
            <rFont val="Lucida Console"/>
            <family val="3"/>
          </rPr>
          <t>Última movimentação no estoque em 07/2023 quantidade 368.</t>
        </r>
      </text>
    </comment>
    <comment ref="R362" authorId="0" shapeId="0" xr:uid="{39E3C7FB-0A76-4A0A-A0AF-8061602AE4B9}">
      <text>
        <r>
          <rPr>
            <sz val="10"/>
            <color indexed="81"/>
            <rFont val="Lucida Console"/>
            <family val="3"/>
          </rPr>
          <t>11.11.2016</t>
        </r>
      </text>
    </comment>
    <comment ref="Y362" authorId="0" shapeId="0" xr:uid="{15FE0836-EDFF-4F4E-B763-FED4E44E84D0}">
      <text>
        <r>
          <rPr>
            <sz val="10"/>
            <color indexed="81"/>
            <rFont val="Courier New"/>
            <family val="3"/>
          </rPr>
          <t>_x000D_
    DESCRIÇÃO DO CÁLCULO_x000D_
Código    : 132.290_x000D_
Corte     : 2.668_x000D_
-----------------------------_x000D_
Pendente  : 2_x000D_
22 / 08_2 : 372_x000D_
22 / 09_2 : 437_x000D_
22 / 10_2 : 441_x000D_
22 / 11_2 : 482_x000D_
22 / 12_2 : 308_x000D_
23 / 01_2 : 149_x000D_
23 / 02_2 : 323_x000D_
23 / 03_2 : 2.668 (corte = 3921)_x000D_
23 / 04_2 : 331_x000D_
23 / 05_2 : 442_x000D_
23 / 06_2 : 364_x000D_
23 / 07_2 : 379_x000D_
_x000D_
    TOTAL : ( 6.698 )_x000D_
  DIVISOR : 12_x000D_
    MÉDIA : 558,17_x000D_
-----------------------------_x000D_
   Valores Desconsiderados_x000D_
-----------------------------_x000D_
23 / 03_2 : 1.253 (3.921)_x000D_
_x000D_
  TOTAL   : ( 1.253 )</t>
        </r>
      </text>
    </comment>
    <comment ref="AB362" authorId="0" shapeId="0" xr:uid="{8ADC0583-FBD6-4712-9C2F-D8E7E11A7F67}">
      <text>
        <r>
          <rPr>
            <sz val="10"/>
            <color indexed="81"/>
            <rFont val="Lucida Console"/>
            <family val="3"/>
          </rPr>
          <t>Última movimentação no estoque em 07/2023 quantidade 379.</t>
        </r>
      </text>
    </comment>
    <comment ref="R363" authorId="0" shapeId="0" xr:uid="{3482CD7E-786F-4946-861F-D17B6D10EDA2}">
      <text>
        <r>
          <rPr>
            <sz val="10"/>
            <color indexed="81"/>
            <rFont val="Lucida Console"/>
            <family val="3"/>
          </rPr>
          <t>01.01.1901</t>
        </r>
      </text>
    </comment>
    <comment ref="Y363" authorId="0" shapeId="0" xr:uid="{65733874-85EE-4943-8031-7F31FFD0E54B}">
      <text>
        <r>
          <rPr>
            <sz val="10"/>
            <color indexed="81"/>
            <rFont val="Courier New"/>
            <family val="3"/>
          </rPr>
          <t>_x000D_
    DESCRIÇÃO DO CÁLCULO_x000D_
Código    : 10.547_x000D_
Corte     : 7.839_x000D_
-----------------------------_x000D_
Pendente  : 1.670_x000D_
22 / 08_2 : _x000D_
22 / 09_2 : _x000D_
22 / 10_2 : _x000D_
22 / 11_2 : _x000D_
22 / 12_2 : 4_x000D_
23 / 01_2 : 653_x000D_
23 / 02_2 : 1.227_x000D_
23 / 03_2 : 7.839 (corte = 11820)_x000D_
23 / 04_2 : 1.295_x000D_
23 / 05_2 : 114_x000D_
23 / 06_2 : _x000D_
23 / 07_2 : _x000D_
_x000D_
    TOTAL : ( 12.802 )_x000D_
  DIVISOR : 12_x000D_
    MÉDIA : 1.066,83_x000D_
-----------------------------_x000D_
   Valores Desconsiderados_x000D_
-----------------------------_x000D_
23 / 03_2 : 3.981 (11.820)_x000D_
_x000D_
  TOTAL   : ( 3.981 )</t>
        </r>
      </text>
    </comment>
    <comment ref="AB363" authorId="0" shapeId="0" xr:uid="{E901E67D-0CFA-4780-95F6-645F154E9B6F}">
      <text>
        <r>
          <rPr>
            <sz val="10"/>
            <color indexed="81"/>
            <rFont val="Lucida Console"/>
            <family val="3"/>
          </rPr>
          <t>Última movimentação no estoque em 05/2023 quantidade 114.</t>
        </r>
      </text>
    </comment>
    <comment ref="R364" authorId="0" shapeId="0" xr:uid="{567D5A6F-B3DC-4FA3-9D59-E3A56F0FFE1E}">
      <text>
        <r>
          <rPr>
            <sz val="10"/>
            <color indexed="81"/>
            <rFont val="Lucida Console"/>
            <family val="3"/>
          </rPr>
          <t>08.08.2016</t>
        </r>
      </text>
    </comment>
    <comment ref="Y364" authorId="0" shapeId="0" xr:uid="{00CE29FF-3600-416B-8BCB-A934875440D0}">
      <text>
        <r>
          <rPr>
            <sz val="10"/>
            <color indexed="81"/>
            <rFont val="Courier New"/>
            <family val="3"/>
          </rPr>
          <t>_x000D_
    DESCRIÇÃO DO CÁLCULO_x000D_
Código    : 131.930_x000D_
Corte     : 3.741_x000D_
-----------------------------_x000D_
Pendente  : 53_x000D_
22 / 08_2 : 1.164_x000D_
22 / 09_2 : 1.205_x000D_
22 / 10_2 : 1.194_x000D_
22 / 11_2 : 1.216_x000D_
22 / 12_2 : 852_x000D_
23 / 01_2 : 413_x000D_
23 / 02_2 : 867_x000D_
23 / 03_2 : 3.741 (corte = 5008)_x000D_
23 / 04_2 : 1.131_x000D_
23 / 05_2 : 1.286_x000D_
23 / 06_2 : 1.148_x000D_
23 / 07_2 : 1.127_x000D_
_x000D_
    TOTAL : ( 15.397 )_x000D_
  DIVISOR : 12_x000D_
    MÉDIA : 1.283,08_x000D_
-----------------------------_x000D_
   Valores Desconsiderados_x000D_
-----------------------------_x000D_
23 / 03_2 : 1.267 (5.008)_x000D_
_x000D_
  TOTAL   : ( 1.267 )</t>
        </r>
      </text>
    </comment>
    <comment ref="AB364" authorId="0" shapeId="0" xr:uid="{6FC1ED10-6B2F-412F-9870-5C07E733502A}">
      <text>
        <r>
          <rPr>
            <sz val="10"/>
            <color indexed="81"/>
            <rFont val="Lucida Console"/>
            <family val="3"/>
          </rPr>
          <t>Última movimentação no estoque em 07/2023 quantidade 1.127.</t>
        </r>
      </text>
    </comment>
    <comment ref="R365" authorId="0" shapeId="0" xr:uid="{8EEE9702-9F9F-4694-93BF-3082EFA2C3DD}">
      <text>
        <r>
          <rPr>
            <sz val="10"/>
            <color indexed="81"/>
            <rFont val="Lucida Console"/>
            <family val="3"/>
          </rPr>
          <t>11.11.2016</t>
        </r>
      </text>
    </comment>
    <comment ref="Y365" authorId="0" shapeId="0" xr:uid="{D8604279-A480-4D53-A934-E7F2AFC01F41}">
      <text>
        <r>
          <rPr>
            <sz val="10"/>
            <color indexed="81"/>
            <rFont val="Courier New"/>
            <family val="3"/>
          </rPr>
          <t>_x000D_
    DESCRIÇÃO DO CÁLCULO_x000D_
Código    : 132.296_x000D_
Corte     : 1.315_x000D_
-----------------------------_x000D_
Pendente  : 569_x000D_
22 / 08_2 : 476_x000D_
22 / 09_2 : _x000D_
22 / 10_2 : _x000D_
22 / 11_2 : _x000D_
22 / 12_2 : _x000D_
23 / 01_2 : _x000D_
23 / 02_2 : _x000D_
23 / 03_2 : 588_x000D_
23 / 04_2 : 863_x000D_
23 / 05_2 : 1.018_x000D_
23 / 06_2 : 1.039_x000D_
23 / 07_2 : 858_x000D_
_x000D_
    TOTAL : ( 5.411 )_x000D_
  DIVISOR : 12_x000D_
    MÉDIA : 450,92</t>
        </r>
      </text>
    </comment>
    <comment ref="AB365" authorId="0" shapeId="0" xr:uid="{CB5506C5-77A4-4549-9CB4-812627C62C4B}">
      <text>
        <r>
          <rPr>
            <sz val="10"/>
            <color indexed="81"/>
            <rFont val="Lucida Console"/>
            <family val="3"/>
          </rPr>
          <t>Última movimentação no estoque em 07/2023 quantidade 858.</t>
        </r>
      </text>
    </comment>
    <comment ref="R366" authorId="0" shapeId="0" xr:uid="{503D9D4A-6B43-43B8-9475-FA40A92CB4DB}">
      <text>
        <r>
          <rPr>
            <sz val="10"/>
            <color indexed="81"/>
            <rFont val="Lucida Console"/>
            <family val="3"/>
          </rPr>
          <t>11.11.2016</t>
        </r>
      </text>
    </comment>
    <comment ref="Y366" authorId="0" shapeId="0" xr:uid="{4FC046B6-0B20-4E16-8670-ED5A240695F8}">
      <text>
        <r>
          <rPr>
            <sz val="10"/>
            <color indexed="81"/>
            <rFont val="Courier New"/>
            <family val="3"/>
          </rPr>
          <t>_x000D_
    DESCRIÇÃO DO CÁLCULO_x000D_
Código    : 132.297_x000D_
Corte     : 5.672_x000D_
-----------------------------_x000D_
Pendente  : 831_x000D_
22 / 08_2 : 1.387_x000D_
22 / 09_2 : 1.421_x000D_
22 / 10_2 : 1.621_x000D_
22 / 11_2 : 1.631_x000D_
22 / 12_2 : 1.125_x000D_
23 / 01_2 : 677_x000D_
23 / 02_2 : 1.240_x000D_
23 / 03_2 : 5.672 (corte = 7873)_x000D_
23 / 04_2 : 1.451_x000D_
23 / 05_2 : 1.639_x000D_
23 / 06_2 : 1.557_x000D_
23 / 07_2 : 1.543_x000D_
_x000D_
    TOTAL : ( 21.795 )_x000D_
  DIVISOR : 12_x000D_
    MÉDIA : 1.816,25_x000D_
-----------------------------_x000D_
   Valores Desconsiderados_x000D_
-----------------------------_x000D_
23 / 03_2 : 2.201 (7.873)_x000D_
_x000D_
  TOTAL   : ( 2.201 )</t>
        </r>
      </text>
    </comment>
    <comment ref="AB366" authorId="0" shapeId="0" xr:uid="{D04F87CD-EC1F-4166-B739-C5215C66A066}">
      <text>
        <r>
          <rPr>
            <sz val="10"/>
            <color indexed="81"/>
            <rFont val="Lucida Console"/>
            <family val="3"/>
          </rPr>
          <t>Última movimentação no estoque em 07/2023 quantidade 1.543.</t>
        </r>
      </text>
    </comment>
    <comment ref="R367" authorId="0" shapeId="0" xr:uid="{C78C1EC0-642D-4C67-AC69-29B02BA31924}">
      <text>
        <r>
          <rPr>
            <sz val="10"/>
            <color indexed="81"/>
            <rFont val="Lucida Console"/>
            <family val="3"/>
          </rPr>
          <t>15.03.2018</t>
        </r>
      </text>
    </comment>
    <comment ref="Y367" authorId="0" shapeId="0" xr:uid="{5038C6B0-7DF3-46F4-8D0B-78B9A813ABC2}">
      <text>
        <r>
          <rPr>
            <sz val="10"/>
            <color indexed="81"/>
            <rFont val="Courier New"/>
            <family val="3"/>
          </rPr>
          <t>_x000D_
    DESCRIÇÃO DO CÁLCULO_x000D_
Código    : 134.556_x000D_
Corte     : 59_x000D_
-----------------------------_x000D_
Pendente  : 9_x000D_
22 / 08_2 : 40_x000D_
22 / 09_2 : 50_x000D_
22 / 10_2 : 59 (corte = 60)_x000D_
22 / 11_2 : 10_x000D_
22 / 12_2 : 23_x000D_
23 / 01_2 : _x000D_
23 / 02_2 : _x000D_
23 / 03_2 : _x000D_
23 / 04_2 : _x000D_
23 / 05_2 : _x000D_
23 / 06_2 : _x000D_
23 / 07_2 : _x000D_
_x000D_
    TOTAL : ( 191 )_x000D_
  DIVISOR : 12_x000D_
    MÉDIA : 15,92_x000D_
-----------------------------_x000D_
   Valores Desconsiderados_x000D_
-----------------------------_x000D_
22 / 10_2 : 1 (60)_x000D_
_x000D_
  TOTAL   : ( 1 )</t>
        </r>
      </text>
    </comment>
    <comment ref="AB367" authorId="0" shapeId="0" xr:uid="{1CDD085F-4588-4DB2-850F-4D6B1125AF63}">
      <text>
        <r>
          <rPr>
            <sz val="10"/>
            <color indexed="81"/>
            <rFont val="Lucida Console"/>
            <family val="3"/>
          </rPr>
          <t>Última movimentação no estoque em 12/2022 quantidade 23.</t>
        </r>
      </text>
    </comment>
    <comment ref="R368" authorId="0" shapeId="0" xr:uid="{794651B1-C738-4497-992B-FBE6274C38E2}">
      <text>
        <r>
          <rPr>
            <sz val="10"/>
            <color indexed="81"/>
            <rFont val="Lucida Console"/>
            <family val="3"/>
          </rPr>
          <t>16.07.2015</t>
        </r>
      </text>
    </comment>
    <comment ref="Y368" authorId="0" shapeId="0" xr:uid="{4F31BC1D-F80B-4567-8772-5953EEAC56ED}">
      <text>
        <r>
          <rPr>
            <sz val="10"/>
            <color indexed="81"/>
            <rFont val="Courier New"/>
            <family val="3"/>
          </rPr>
          <t>_x000D_
    DESCRIÇÃO DO CÁLCULO_x000D_
Código    : 130.618_x000D_
Corte     : 33_x000D_
-----------------------------_x000D_
Pendente  : 29_x000D_
22 / 08_2 : 10_x000D_
22 / 09_2 : _x000D_
22 / 10_2 : 20_x000D_
22 / 11_2 : _x000D_
22 / 12_2 : _x000D_
23 / 01_2 : 20_x000D_
23 / 02_2 : 31_x000D_
23 / 03_2 : _x000D_
23 / 04_2 : _x000D_
23 / 05_2 : _x000D_
23 / 06_2 : _x000D_
23 / 07_2 : _x000D_
_x000D_
    TOTAL : ( 110 )_x000D_
  DIVISOR : 12_x000D_
    MÉDIA : 9,17</t>
        </r>
      </text>
    </comment>
    <comment ref="AB368" authorId="0" shapeId="0" xr:uid="{4820FB79-611E-49AB-989B-5BB90095FF43}">
      <text>
        <r>
          <rPr>
            <sz val="10"/>
            <color indexed="81"/>
            <rFont val="Lucida Console"/>
            <family val="3"/>
          </rPr>
          <t>Última movimentação no estoque em 02/2023 quantidade 31.</t>
        </r>
      </text>
    </comment>
    <comment ref="R369" authorId="0" shapeId="0" xr:uid="{7F0002DE-3A27-43E0-97A1-4098C524E5F1}">
      <text>
        <r>
          <rPr>
            <sz val="10"/>
            <color indexed="81"/>
            <rFont val="Lucida Console"/>
            <family val="3"/>
          </rPr>
          <t>27.03.2007</t>
        </r>
      </text>
    </comment>
    <comment ref="Y369" authorId="0" shapeId="0" xr:uid="{685E0B2C-37DE-485B-8D54-E7CA53DE1C74}">
      <text>
        <r>
          <rPr>
            <sz val="10"/>
            <color indexed="81"/>
            <rFont val="Courier New"/>
            <family val="3"/>
          </rPr>
          <t>_x000D_
    DESCRIÇÃO DO CÁLCULO_x000D_
Código    : 98.359_x000D_
Corte     : 9_x000D_
-----------------------------_x000D_
Pendente  : _x000D_
22 / 08_2 : 6_x000D_
22 / 09_2 : 3_x000D_
22 / 10_2 : _x000D_
22 / 11_2 : 1_x000D_
22 / 12_2 : 2_x000D_
23 / 01_2 : 8_x000D_
23 / 02_2 : _x000D_
23 / 03_2 : _x000D_
23 / 04_2 : _x000D_
23 / 05_2 : _x000D_
23 / 06_2 : _x000D_
23 / 07_2 : 9 (corte = 10)_x000D_
_x000D_
    TOTAL : ( 29 )_x000D_
  DIVISOR : 12_x000D_
    MÉDIA : 2,42_x000D_
-----------------------------_x000D_
   Valores Desconsiderados_x000D_
-----------------------------_x000D_
23 / 07_2 : 1 (10)_x000D_
_x000D_
  TOTAL   : ( 1 )</t>
        </r>
      </text>
    </comment>
    <comment ref="AB369" authorId="0" shapeId="0" xr:uid="{EBF24345-766A-470D-9D9D-577340330099}">
      <text>
        <r>
          <rPr>
            <sz val="10"/>
            <color indexed="81"/>
            <rFont val="Lucida Console"/>
            <family val="3"/>
          </rPr>
          <t>Última movimentação no estoque em 07/2023 quantidade 10.</t>
        </r>
      </text>
    </comment>
    <comment ref="R370" authorId="0" shapeId="0" xr:uid="{207DAF88-CF8D-4D73-AEA8-2AF60C719A16}">
      <text>
        <r>
          <rPr>
            <sz val="10"/>
            <color indexed="81"/>
            <rFont val="Lucida Console"/>
            <family val="3"/>
          </rPr>
          <t>01.01.1901</t>
        </r>
      </text>
    </comment>
    <comment ref="Y370" authorId="0" shapeId="0" xr:uid="{586C7FF3-737B-4F72-98A3-1247BB4B8635}">
      <text>
        <r>
          <rPr>
            <sz val="10"/>
            <color indexed="81"/>
            <rFont val="Courier New"/>
            <family val="3"/>
          </rPr>
          <t>_x000D_
    DESCRIÇÃO DO CÁLCULO_x000D_
Código    : 13.064_x000D_
Corte     : 281_x000D_
-----------------------------_x000D_
Pendente  : _x000D_
22 / 08_2 : 169_x000D_
22 / 09_2 : 195_x000D_
22 / 10_2 : 156_x000D_
22 / 11_2 : 108_x000D_
22 / 12_2 : 104_x000D_
23 / 01_2 : 100_x000D_
23 / 02_2 : 153_x000D_
23 / 03_2 : 281 (corte = 316)_x000D_
23 / 04_2 : 158_x000D_
23 / 05_2 : 199_x000D_
23 / 06_2 : 180_x000D_
23 / 07_2 : 122_x000D_
_x000D_
    TOTAL : ( 1.925 )_x000D_
  DIVISOR : 12_x000D_
    MÉDIA : 160,42_x000D_
-----------------------------_x000D_
   Valores Desconsiderados_x000D_
-----------------------------_x000D_
23 / 03_2 : 35 (316)_x000D_
_x000D_
  TOTAL   : ( 35 )</t>
        </r>
      </text>
    </comment>
    <comment ref="AB370" authorId="0" shapeId="0" xr:uid="{CE370241-B784-49A0-98B2-8DDB357922AD}">
      <text>
        <r>
          <rPr>
            <sz val="10"/>
            <color indexed="81"/>
            <rFont val="Lucida Console"/>
            <family val="3"/>
          </rPr>
          <t>Última movimentação no estoque em 07/2023 quantidade 122.</t>
        </r>
      </text>
    </comment>
    <comment ref="R371" authorId="0" shapeId="0" xr:uid="{FDB9D910-8D5D-41BD-9955-44B2A3590DF7}">
      <text>
        <r>
          <rPr>
            <sz val="10"/>
            <color indexed="81"/>
            <rFont val="Lucida Console"/>
            <family val="3"/>
          </rPr>
          <t>01.01.1901</t>
        </r>
      </text>
    </comment>
    <comment ref="Y371" authorId="0" shapeId="0" xr:uid="{2954B130-193A-4501-A73E-D515992FFD38}">
      <text>
        <r>
          <rPr>
            <sz val="10"/>
            <color indexed="81"/>
            <rFont val="Courier New"/>
            <family val="3"/>
          </rPr>
          <t>_x000D_
    DESCRIÇÃO DO CÁLCULO_x000D_
Código    : 14.754_x000D_
Corte     : 7_x000D_
-----------------------------_x000D_
Pendente  : _x000D_
22 / 08_2 : 1_x000D_
22 / 09_2 : 1_x000D_
22 / 10_2 : 3_x000D_
22 / 11_2 : 2_x000D_
22 / 12_2 : 1_x000D_
23 / 01_2 : 2_x000D_
23 / 02_2 : 3_x000D_
23 / 03_2 : 3_x000D_
23 / 04_2 : 4_x000D_
23 / 05_2 : 2_x000D_
23 / 06_2 : _x000D_
23 / 07_2 : 7 (corte = 10)_x000D_
_x000D_
    TOTAL : ( 29 )_x000D_
  DIVISOR : 12_x000D_
    MÉDIA : 2,42_x000D_
-----------------------------_x000D_
   Valores Desconsiderados_x000D_
-----------------------------_x000D_
23 / 07_2 : 3 (10)_x000D_
_x000D_
  TOTAL   : ( 3 )</t>
        </r>
      </text>
    </comment>
    <comment ref="AB371" authorId="0" shapeId="0" xr:uid="{C1CE25A6-6DB0-4CC4-B451-745AE6CB0A9B}">
      <text>
        <r>
          <rPr>
            <sz val="10"/>
            <color indexed="81"/>
            <rFont val="Lucida Console"/>
            <family val="3"/>
          </rPr>
          <t>Última movimentação no estoque em 07/2023 quantidade 10.</t>
        </r>
      </text>
    </comment>
    <comment ref="R372" authorId="0" shapeId="0" xr:uid="{F92098C2-F80C-4A23-8225-C1B382DE1D14}">
      <text>
        <r>
          <rPr>
            <sz val="10"/>
            <color indexed="81"/>
            <rFont val="Lucida Console"/>
            <family val="3"/>
          </rPr>
          <t>01.01.1901</t>
        </r>
      </text>
    </comment>
    <comment ref="Y372" authorId="0" shapeId="0" xr:uid="{97109B31-ED0A-4AC1-B8B3-55AB3447F564}">
      <text>
        <r>
          <rPr>
            <sz val="10"/>
            <color indexed="81"/>
            <rFont val="Courier New"/>
            <family val="3"/>
          </rPr>
          <t>_x000D_
    DESCRIÇÃO DO CÁLCULO_x000D_
Código    : 14.921_x000D_
Corte     : 163_x000D_
-----------------------------_x000D_
Pendente  : _x000D_
22 / 08_2 : 97_x000D_
22 / 09_2 : 124_x000D_
22 / 10_2 : 95_x000D_
22 / 11_2 : 87_x000D_
22 / 12_2 : 114_x000D_
23 / 01_2 : 117_x000D_
23 / 02_2 : 91_x000D_
23 / 03_2 : 125_x000D_
23 / 04_2 : 155_x000D_
23 / 05_2 : 39_x000D_
23 / 06_2 : 100_x000D_
23 / 07_2 : 129_x000D_
_x000D_
    TOTAL : ( 1.273 )_x000D_
  DIVISOR : 12_x000D_
    MÉDIA : 106,08</t>
        </r>
      </text>
    </comment>
    <comment ref="AB372" authorId="0" shapeId="0" xr:uid="{C79CC67A-1F75-4833-8485-663D34DC1AD6}">
      <text>
        <r>
          <rPr>
            <sz val="10"/>
            <color indexed="81"/>
            <rFont val="Lucida Console"/>
            <family val="3"/>
          </rPr>
          <t>Última movimentação no estoque em 07/2023 quantidade 129.</t>
        </r>
      </text>
    </comment>
    <comment ref="R373" authorId="0" shapeId="0" xr:uid="{513035A9-570B-43DA-AB05-4214761A6349}">
      <text>
        <r>
          <rPr>
            <sz val="10"/>
            <color indexed="81"/>
            <rFont val="Lucida Console"/>
            <family val="3"/>
          </rPr>
          <t>06.06.2017</t>
        </r>
      </text>
    </comment>
    <comment ref="Y373" authorId="0" shapeId="0" xr:uid="{4A34610A-A1FB-4CB7-98AE-97E3427B87F3}">
      <text>
        <r>
          <rPr>
            <sz val="10"/>
            <color indexed="81"/>
            <rFont val="Courier New"/>
            <family val="3"/>
          </rPr>
          <t>_x000D_
    DESCRIÇÃO DO CÁLCULO_x000D_
Código    : 132.751_x000D_
Corte     : _x000D_
-----------------------------_x000D_
Pendente  : _x000D_
22 / 08_2 :  (corte = 1)_x000D_
22 / 09_2 : _x000D_
22 / 10_2 : _x000D_
22 / 11_2 : _x000D_
22 / 12_2 : _x000D_
23 / 01_2 :  (corte = 1)_x000D_
23 / 02_2 : _x000D_
23 / 03_2 : _x000D_
23 / 04_2 : _x000D_
23 / 05_2 : _x000D_
23 / 06_2 : _x000D_
23 / 07_2 : _x000D_
_x000D_
    TOTAL : (  )_x000D_
  DIVISOR : 12_x000D_
    MÉDIA : ,00_x000D_
-----------------------------_x000D_
   Valores Desconsiderados_x000D_
-----------------------------_x000D_
22 / 08_2 : 1 (1)_x000D_
23 / 01_2 : 1 (1)_x000D_
_x000D_
  TOTAL   : ( 2 )</t>
        </r>
      </text>
    </comment>
    <comment ref="AB373" authorId="0" shapeId="0" xr:uid="{61DF2882-1CFF-4A09-AC94-33F7A643B503}">
      <text>
        <r>
          <rPr>
            <sz val="10"/>
            <color indexed="81"/>
            <rFont val="Lucida Console"/>
            <family val="3"/>
          </rPr>
          <t>Última movimentação no estoque em 01/2023 quantidade 1.</t>
        </r>
      </text>
    </comment>
    <comment ref="R374" authorId="0" shapeId="0" xr:uid="{2787ED33-0C04-4082-A344-544E0344A53A}">
      <text>
        <r>
          <rPr>
            <sz val="10"/>
            <color indexed="81"/>
            <rFont val="Lucida Console"/>
            <family val="3"/>
          </rPr>
          <t>14.07.2006</t>
        </r>
      </text>
    </comment>
    <comment ref="Y374" authorId="0" shapeId="0" xr:uid="{F3E02F39-EAFA-40A0-9BEC-08085BBD0B60}">
      <text>
        <r>
          <rPr>
            <sz val="10"/>
            <color indexed="81"/>
            <rFont val="Courier New"/>
            <family val="3"/>
          </rPr>
          <t>_x000D_
    DESCRIÇÃO DO CÁLCULO_x000D_
Código    : 93.139_x000D_
Corte     : 44_x000D_
-----------------------------_x000D_
Pendente  : _x000D_
22 / 08_2 : 9_x000D_
22 / 09_2 : 16_x000D_
22 / 10_2 : 12_x000D_
22 / 11_2 : 12_x000D_
22 / 12_2 : 5_x000D_
23 / 01_2 : 12_x000D_
23 / 02_2 : 4_x000D_
23 / 03_2 : 8_x000D_
23 / 04_2 : 11_x000D_
23 / 05_2 : 44 (corte = 61)_x000D_
23 / 06_2 : 3_x000D_
23 / 07_2 : _x000D_
_x000D_
    TOTAL : ( 136 )_x000D_
  DIVISOR : 12_x000D_
    MÉDIA : 11,33_x000D_
-----------------------------_x000D_
   Valores Desconsiderados_x000D_
-----------------------------_x000D_
23 / 05_2 : 17 (61)_x000D_
_x000D_
  TOTAL   : ( 17 )</t>
        </r>
      </text>
    </comment>
    <comment ref="AB374" authorId="0" shapeId="0" xr:uid="{37909561-3825-43B3-89AC-E5B4071D326B}">
      <text>
        <r>
          <rPr>
            <sz val="10"/>
            <color indexed="81"/>
            <rFont val="Lucida Console"/>
            <family val="3"/>
          </rPr>
          <t>Última movimentação no estoque em 06/2023 quantidade 3.</t>
        </r>
      </text>
    </comment>
    <comment ref="R375" authorId="0" shapeId="0" xr:uid="{0EEB1307-4004-4E69-AE94-5E911D0AC65D}">
      <text>
        <r>
          <rPr>
            <sz val="10"/>
            <color indexed="81"/>
            <rFont val="Lucida Console"/>
            <family val="3"/>
          </rPr>
          <t>01.01.1901</t>
        </r>
      </text>
    </comment>
    <comment ref="Y375" authorId="0" shapeId="0" xr:uid="{B6A2F125-6695-443C-96CB-F728547275C1}">
      <text>
        <r>
          <rPr>
            <sz val="10"/>
            <color indexed="81"/>
            <rFont val="Courier New"/>
            <family val="3"/>
          </rPr>
          <t>_x000D_
    DESCRIÇÃO DO CÁLCULO_x000D_
Código    : 42.566_x000D_
Corte     : 9_x000D_
-----------------------------_x000D_
Pendente  : _x000D_
22 / 08_2 : 1_x000D_
22 / 09_2 : 1_x000D_
22 / 10_2 : _x000D_
22 / 11_2 : 1_x000D_
22 / 12_2 : _x000D_
23 / 01_2 : 2_x000D_
23 / 02_2 : 9 (corte = 14)_x000D_
23 / 03_2 : _x000D_
23 / 04_2 : 1_x000D_
23 / 05_2 : _x000D_
23 / 06_2 : _x000D_
23 / 07_2 : _x000D_
_x000D_
    TOTAL : ( 15 )_x000D_
  DIVISOR : 12_x000D_
    MÉDIA : 1,25_x000D_
-----------------------------_x000D_
   Valores Desconsiderados_x000D_
-----------------------------_x000D_
23 / 02_2 : 5 (14)_x000D_
_x000D_
  TOTAL   : ( 5 )</t>
        </r>
      </text>
    </comment>
    <comment ref="AB375" authorId="0" shapeId="0" xr:uid="{020138EE-32BD-4CA6-80D1-4885246F248E}">
      <text>
        <r>
          <rPr>
            <sz val="10"/>
            <color indexed="81"/>
            <rFont val="Lucida Console"/>
            <family val="3"/>
          </rPr>
          <t>Última movimentação no estoque em 04/2023 quantidade 1.</t>
        </r>
      </text>
    </comment>
    <comment ref="R376" authorId="0" shapeId="0" xr:uid="{CF0188D5-79AE-412B-8359-C57E7706FF8B}">
      <text>
        <r>
          <rPr>
            <sz val="10"/>
            <color indexed="81"/>
            <rFont val="Lucida Console"/>
            <family val="3"/>
          </rPr>
          <t>01.01.1901</t>
        </r>
      </text>
    </comment>
    <comment ref="Y376" authorId="0" shapeId="0" xr:uid="{7AFA8881-99E7-4A12-AA0A-20B2B77B9EA5}">
      <text>
        <r>
          <rPr>
            <sz val="10"/>
            <color indexed="81"/>
            <rFont val="Courier New"/>
            <family val="3"/>
          </rPr>
          <t>_x000D_
    DESCRIÇÃO DO CÁLCULO_x000D_
Código    : 50.591_x000D_
Corte     : 4_x000D_
-----------------------------_x000D_
Pendente  : _x000D_
22 / 08_2 : 2_x000D_
22 / 09_2 : 4_x000D_
22 / 10_2 : 2_x000D_
22 / 11_2 : 1_x000D_
22 / 12_2 : _x000D_
23 / 01_2 : 2_x000D_
23 / 02_2 : 4_x000D_
23 / 03_2 : 3_x000D_
23 / 04_2 : _x000D_
23 / 05_2 : _x000D_
23 / 06_2 : _x000D_
23 / 07_2 : _x000D_
_x000D_
    TOTAL : ( 18 )_x000D_
  DIVISOR : 12_x000D_
    MÉDIA : 1,50</t>
        </r>
      </text>
    </comment>
    <comment ref="AB376" authorId="0" shapeId="0" xr:uid="{04CA77E3-B0F3-4425-9502-918D2B8449CE}">
      <text>
        <r>
          <rPr>
            <sz val="10"/>
            <color indexed="81"/>
            <rFont val="Lucida Console"/>
            <family val="3"/>
          </rPr>
          <t>Última movimentação no estoque em 03/2023 quantidade 3.</t>
        </r>
      </text>
    </comment>
    <comment ref="R377" authorId="0" shapeId="0" xr:uid="{C42549F3-F131-4659-8D9F-F0EAD8928535}">
      <text>
        <r>
          <rPr>
            <sz val="10"/>
            <color indexed="81"/>
            <rFont val="Lucida Console"/>
            <family val="3"/>
          </rPr>
          <t>01.01.1901</t>
        </r>
      </text>
    </comment>
    <comment ref="Y377" authorId="0" shapeId="0" xr:uid="{1E358B71-33D8-4DF4-B775-7E100D750271}">
      <text>
        <r>
          <rPr>
            <sz val="10"/>
            <color indexed="81"/>
            <rFont val="Courier New"/>
            <family val="3"/>
          </rPr>
          <t>_x000D_
    DESCRIÇÃO DO CÁLCULO_x000D_
Código    : 49.033_x000D_
Corte     : 3_x000D_
-----------------------------_x000D_
Pendente  : 1_x000D_
22 / 08_2 : 1_x000D_
22 / 09_2 : 2_x000D_
22 / 10_2 : 2_x000D_
22 / 11_2 : _x000D_
22 / 12_2 : 2_x000D_
23 / 01_2 : 1_x000D_
23 / 02_2 : 3 (corte = 4)_x000D_
23 / 03_2 : 3_x000D_
23 / 04_2 : _x000D_
23 / 05_2 : _x000D_
23 / 06_2 : _x000D_
23 / 07_2 : _x000D_
_x000D_
    TOTAL : ( 15 )_x000D_
  DIVISOR : 12_x000D_
    MÉDIA : 1,25_x000D_
-----------------------------_x000D_
   Valores Desconsiderados_x000D_
-----------------------------_x000D_
23 / 02_2 : 1 (4)_x000D_
_x000D_
  TOTAL   : ( 1 )</t>
        </r>
      </text>
    </comment>
    <comment ref="AB377" authorId="0" shapeId="0" xr:uid="{5C09ABE7-CFC1-421A-8D3B-3EF71AF69576}">
      <text>
        <r>
          <rPr>
            <sz val="10"/>
            <color indexed="81"/>
            <rFont val="Lucida Console"/>
            <family val="3"/>
          </rPr>
          <t>Última movimentação no estoque em 03/2023 quantidade 3.</t>
        </r>
      </text>
    </comment>
    <comment ref="R378" authorId="0" shapeId="0" xr:uid="{F7ED09CF-0B58-4651-AF60-8AF3DDCDB516}">
      <text>
        <r>
          <rPr>
            <sz val="10"/>
            <color indexed="81"/>
            <rFont val="Lucida Console"/>
            <family val="3"/>
          </rPr>
          <t>01.01.1901</t>
        </r>
      </text>
    </comment>
    <comment ref="Y378" authorId="0" shapeId="0" xr:uid="{FD0A7027-6E4F-4D7C-85CD-FAF9CEDC054F}">
      <text>
        <r>
          <rPr>
            <sz val="10"/>
            <color indexed="81"/>
            <rFont val="Courier New"/>
            <family val="3"/>
          </rPr>
          <t>_x000D_
    DESCRIÇÃO DO CÁLCULO_x000D_
Código    : 56.519_x000D_
Corte     : 9_x000D_
-----------------------------_x000D_
Pendente  : _x000D_
22 / 08_2 : 9_x000D_
22 / 09_2 : 8_x000D_
22 / 10_2 : 1_x000D_
22 / 11_2 : 4_x000D_
22 / 12_2 : _x000D_
23 / 01_2 : 2_x000D_
23 / 02_2 : 2_x000D_
23 / 03_2 : _x000D_
23 / 04_2 : 1_x000D_
23 / 05_2 : _x000D_
23 / 06_2 : _x000D_
23 / 07_2 : 6_x000D_
_x000D_
    TOTAL : ( 33 )_x000D_
  DIVISOR : 12_x000D_
    MÉDIA : 2,75</t>
        </r>
      </text>
    </comment>
    <comment ref="AB378" authorId="0" shapeId="0" xr:uid="{6956192A-F8CB-4971-8AC2-08671962B524}">
      <text>
        <r>
          <rPr>
            <sz val="10"/>
            <color indexed="81"/>
            <rFont val="Lucida Console"/>
            <family val="3"/>
          </rPr>
          <t>Última movimentação no estoque em 07/2023 quantidade 6.</t>
        </r>
      </text>
    </comment>
    <comment ref="R379" authorId="0" shapeId="0" xr:uid="{10F99683-8E22-4AAE-91A3-BC15402B43FB}">
      <text>
        <r>
          <rPr>
            <sz val="10"/>
            <color indexed="81"/>
            <rFont val="Lucida Console"/>
            <family val="3"/>
          </rPr>
          <t>01.01.1901</t>
        </r>
      </text>
    </comment>
    <comment ref="Y379" authorId="0" shapeId="0" xr:uid="{4DF11116-D06C-42FC-A3F7-3A2123BC4132}">
      <text>
        <r>
          <rPr>
            <sz val="10"/>
            <color indexed="81"/>
            <rFont val="Courier New"/>
            <family val="3"/>
          </rPr>
          <t>_x000D_
    DESCRIÇÃO DO CÁLCULO_x000D_
Código    : 56.520_x000D_
Corte     : 19_x000D_
-----------------------------_x000D_
Pendente  : 22_x000D_
22 / 08_2 : 1_x000D_
22 / 09_2 : 12_x000D_
22 / 10_2 : 12_x000D_
22 / 11_2 : 9_x000D_
22 / 12_2 : 2_x000D_
23 / 01_2 : 4_x000D_
23 / 02_2 : 3_x000D_
23 / 03_2 : 7_x000D_
23 / 04_2 : _x000D_
23 / 05_2 : _x000D_
23 / 06_2 : _x000D_
23 / 07_2 : _x000D_
_x000D_
    TOTAL : ( 72 )_x000D_
  DIVISOR : 12_x000D_
    MÉDIA : 6,00</t>
        </r>
      </text>
    </comment>
    <comment ref="AB379" authorId="0" shapeId="0" xr:uid="{907EA8F9-ECAB-4736-B097-40DB66E7DC4F}">
      <text>
        <r>
          <rPr>
            <sz val="10"/>
            <color indexed="81"/>
            <rFont val="Lucida Console"/>
            <family val="3"/>
          </rPr>
          <t>Última movimentação no estoque em 03/2023 quantidade 7.</t>
        </r>
      </text>
    </comment>
    <comment ref="R380" authorId="0" shapeId="0" xr:uid="{3BA5AF4C-CC01-4093-9906-2AF63D188BD5}">
      <text>
        <r>
          <rPr>
            <sz val="10"/>
            <color indexed="81"/>
            <rFont val="Lucida Console"/>
            <family val="3"/>
          </rPr>
          <t>11.04.2007</t>
        </r>
      </text>
    </comment>
    <comment ref="Y380" authorId="0" shapeId="0" xr:uid="{A1117B3E-D4E0-43D9-81F6-562E75D5BBAB}">
      <text>
        <r>
          <rPr>
            <sz val="10"/>
            <color indexed="81"/>
            <rFont val="Courier New"/>
            <family val="3"/>
          </rPr>
          <t>_x000D_
    DESCRIÇÃO DO CÁLCULO_x000D_
Código    : 98.702_x000D_
Corte     : 1.191_x000D_
-----------------------------_x000D_
Pendente  : _x000D_
22 / 08_2 : 1.008_x000D_
22 / 09_2 : 995_x000D_
22 / 10_2 : 684_x000D_
22 / 11_2 : 351_x000D_
22 / 12_2 : 418_x000D_
23 / 01_2 : 602_x000D_
23 / 02_2 : 124_x000D_
23 / 03_2 : 437_x000D_
23 / 04_2 : 264_x000D_
23 / 05_2 : 957_x000D_
23 / 06_2 : _x000D_
23 / 07_2 : 360_x000D_
_x000D_
    TOTAL : ( 6.200 )_x000D_
  DIVISOR : 12_x000D_
    MÉDIA : 516,67</t>
        </r>
      </text>
    </comment>
    <comment ref="AB380" authorId="0" shapeId="0" xr:uid="{98FD5BC5-73EA-4D6C-A23E-54B2CBBCDC03}">
      <text>
        <r>
          <rPr>
            <sz val="10"/>
            <color indexed="81"/>
            <rFont val="Lucida Console"/>
            <family val="3"/>
          </rPr>
          <t>Última movimentação no estoque em 07/2023 quantidade 360.</t>
        </r>
      </text>
    </comment>
    <comment ref="R381" authorId="0" shapeId="0" xr:uid="{1FA89E01-E1B4-4420-8052-216C45EC6D2E}">
      <text>
        <r>
          <rPr>
            <sz val="10"/>
            <color indexed="81"/>
            <rFont val="Lucida Console"/>
            <family val="3"/>
          </rPr>
          <t>01.01.1901</t>
        </r>
      </text>
    </comment>
    <comment ref="Y381" authorId="0" shapeId="0" xr:uid="{A69D3EC0-E41C-4729-B5D7-1C548E130535}">
      <text>
        <r>
          <rPr>
            <sz val="10"/>
            <color indexed="81"/>
            <rFont val="Courier New"/>
            <family val="3"/>
          </rPr>
          <t>_x000D_
    DESCRIÇÃO DO CÁLCULO_x000D_
Código    : 16.427_x000D_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81" authorId="0" shapeId="0" xr:uid="{D25EE101-6FCC-4872-A419-1C1494ED963D}">
      <text>
        <r>
          <rPr>
            <sz val="10"/>
            <color indexed="81"/>
            <rFont val="Lucida Console"/>
            <family val="3"/>
          </rPr>
          <t>Última movimentação no estoque em 11/2022 quantidade 1.</t>
        </r>
      </text>
    </comment>
    <comment ref="R382" authorId="0" shapeId="0" xr:uid="{C44DF681-7907-4283-87DE-87CF2DB868E1}">
      <text>
        <r>
          <rPr>
            <sz val="10"/>
            <color indexed="81"/>
            <rFont val="Lucida Console"/>
            <family val="3"/>
          </rPr>
          <t>08.06.2021</t>
        </r>
      </text>
    </comment>
    <comment ref="Y382" authorId="0" shapeId="0" xr:uid="{65EF62DB-D4C0-4BA4-90D9-FA05B620494D}">
      <text>
        <r>
          <rPr>
            <sz val="10"/>
            <color indexed="81"/>
            <rFont val="Courier New"/>
            <family val="3"/>
          </rPr>
          <t>_x000D_
    DESCRIÇÃO DO CÁLCULO_x000D_
Código    : 141.253_x000D_
Corte     : 52_x000D_
-----------------------------_x000D_
Pendente  : 8_x000D_
22 / 08_2 : 6_x000D_
22 / 09_2 : 52 (corte = 57)_x000D_
22 / 10_2 : 21_x000D_
22 / 11_2 : 26_x000D_
22 / 12_2 : 23_x000D_
23 / 01_2 : 10_x000D_
23 / 02_2 : _x000D_
23 / 03_2 : 22_x000D_
23 / 04_2 : 11_x000D_
23 / 05_2 : 27_x000D_
23 / 06_2 : 38_x000D_
23 / 07_2 : _x000D_
_x000D_
    TOTAL : ( 244 )_x000D_
  DIVISOR : 12_x000D_
    MÉDIA : 20,33_x000D_
-----------------------------_x000D_
   Valores Desconsiderados_x000D_
-----------------------------_x000D_
22 / 09_2 : 5 (57)_x000D_
_x000D_
  TOTAL   : ( 5 )</t>
        </r>
      </text>
    </comment>
    <comment ref="AB382" authorId="0" shapeId="0" xr:uid="{E5DFE21F-453B-4D97-8EAA-057AB0D77621}">
      <text>
        <r>
          <rPr>
            <sz val="10"/>
            <color indexed="81"/>
            <rFont val="Lucida Console"/>
            <family val="3"/>
          </rPr>
          <t>Última movimentação no estoque em 06/2023 quantidade 38.</t>
        </r>
      </text>
    </comment>
    <comment ref="R383" authorId="0" shapeId="0" xr:uid="{40CF8D93-F64D-4F0A-930C-3EECB35E068F}">
      <text>
        <r>
          <rPr>
            <sz val="10"/>
            <color indexed="81"/>
            <rFont val="Lucida Console"/>
            <family val="3"/>
          </rPr>
          <t>16.10.2007</t>
        </r>
      </text>
    </comment>
    <comment ref="Y383" authorId="0" shapeId="0" xr:uid="{789D81FC-CAFD-4AAE-9911-A976DC6C20B1}">
      <text>
        <r>
          <rPr>
            <sz val="10"/>
            <color indexed="81"/>
            <rFont val="Courier New"/>
            <family val="3"/>
          </rPr>
          <t>_x000D_
    DESCRIÇÃO DO CÁLCULO_x000D_
Código    : 102.728_x000D_
Corte     : 125_x000D_
-----------------------------_x000D_
Pendente  : _x000D_
22 / 08_2 : _x000D_
22 / 09_2 : 8_x000D_
22 / 10_2 : 125 (corte = 150)_x000D_
22 / 11_2 : 20_x000D_
22 / 12_2 : 40_x000D_
23 / 01_2 : 30_x000D_
23 / 02_2 : _x000D_
23 / 03_2 : _x000D_
23 / 04_2 : 100_x000D_
23 / 05_2 : _x000D_
23 / 06_2 : _x000D_
23 / 07_2 : 20_x000D_
_x000D_
    TOTAL : ( 343 )_x000D_
  DIVISOR : 12_x000D_
    MÉDIA : 28,58_x000D_
-----------------------------_x000D_
   Valores Desconsiderados_x000D_
-----------------------------_x000D_
22 / 10_2 : 25 (150)_x000D_
_x000D_
  TOTAL   : ( 25 )</t>
        </r>
      </text>
    </comment>
    <comment ref="AB383" authorId="0" shapeId="0" xr:uid="{44631A8A-03FD-477B-8402-3413BF3F0AC6}">
      <text>
        <r>
          <rPr>
            <sz val="10"/>
            <color indexed="81"/>
            <rFont val="Lucida Console"/>
            <family val="3"/>
          </rPr>
          <t>Última movimentação no estoque em 07/2023 quantidade 20.</t>
        </r>
      </text>
    </comment>
    <comment ref="R384" authorId="0" shapeId="0" xr:uid="{3565C525-E052-4CB5-A382-2928B0B7F68C}">
      <text>
        <r>
          <rPr>
            <sz val="10"/>
            <color indexed="81"/>
            <rFont val="Lucida Console"/>
            <family val="3"/>
          </rPr>
          <t>01.01.1901</t>
        </r>
      </text>
    </comment>
    <comment ref="Y384" authorId="0" shapeId="0" xr:uid="{2CA7C948-FAF7-462D-9A4E-E738920D12DB}">
      <text>
        <r>
          <rPr>
            <sz val="10"/>
            <color indexed="81"/>
            <rFont val="Courier New"/>
            <family val="3"/>
          </rPr>
          <t>_x000D_
    DESCRIÇÃO DO CÁLCULO_x000D_
Código    : 16.528_x000D_
Corte     : 39_x000D_
-----------------------------_x000D_
Pendente  : 3_x000D_
22 / 08_2 : 39 (corte = 62)_x000D_
22 / 09_2 : _x000D_
22 / 10_2 : _x000D_
22 / 11_2 : _x000D_
22 / 12_2 : _x000D_
23 / 01_2 : _x000D_
23 / 02_2 : _x000D_
23 / 03_2 : _x000D_
23 / 04_2 : _x000D_
23 / 05_2 : _x000D_
23 / 06_2 : _x000D_
23 / 07_2 : _x000D_
_x000D_
    TOTAL : ( 42 )_x000D_
  DIVISOR : 12_x000D_
    MÉDIA : 3,50_x000D_
-----------------------------_x000D_
   Valores Desconsiderados_x000D_
-----------------------------_x000D_
22 / 08_2 : 23 (62)_x000D_
_x000D_
  TOTAL   : ( 23 )</t>
        </r>
      </text>
    </comment>
    <comment ref="AB384" authorId="0" shapeId="0" xr:uid="{15313399-A4A0-4631-9C9A-9CFAA30E23DF}">
      <text>
        <r>
          <rPr>
            <sz val="10"/>
            <color indexed="81"/>
            <rFont val="Lucida Console"/>
            <family val="3"/>
          </rPr>
          <t>Última movimentação no estoque em 08/2022 quantidade 62.</t>
        </r>
      </text>
    </comment>
    <comment ref="E385" authorId="0" shapeId="0" xr:uid="{793F1FC9-33FA-42C1-B66A-3D5580492799}">
      <text>
        <r>
          <rPr>
            <sz val="10"/>
            <color indexed="81"/>
            <rFont val="Lucida Console"/>
            <family val="3"/>
          </rPr>
          <t>_x000D_
Quantidade Original: 29_x000D_
Quantidade importada do código 16.528: +3</t>
        </r>
      </text>
    </comment>
    <comment ref="F385" authorId="0" shapeId="0" xr:uid="{4D36B54A-E07F-4A0E-9E5A-4B31B91474DC}">
      <text>
        <r>
          <rPr>
            <sz val="10"/>
            <color indexed="81"/>
            <rFont val="Lucida Console"/>
            <family val="3"/>
          </rPr>
          <t>_x000D_
Quantidade Original: 21_x000D_
Quantidade importada do código 16.528: +62</t>
        </r>
      </text>
    </comment>
    <comment ref="R385" authorId="0" shapeId="0" xr:uid="{4489DDDD-0D4A-4FB7-A3B2-9E6A69D7EE23}">
      <text>
        <r>
          <rPr>
            <sz val="10"/>
            <color indexed="81"/>
            <rFont val="Lucida Console"/>
            <family val="3"/>
          </rPr>
          <t>02.12.2005</t>
        </r>
      </text>
    </comment>
    <comment ref="Y385" authorId="0" shapeId="0" xr:uid="{E4806772-8942-4FFA-9CB0-BDB0398ECA75}">
      <text>
        <r>
          <rPr>
            <sz val="10"/>
            <color indexed="81"/>
            <rFont val="Courier New"/>
            <family val="3"/>
          </rPr>
          <t>_x000D_
    DESCRIÇÃO DO CÁLCULO_x000D_
Código    : 89.194_x000D_
Corte     : 182_x000D_
-----------------------------_x000D_
Pendente  : 32_x000D_
22 / 08_2 : 83_x000D_
22 / 09_2 : 117_x000D_
22 / 10_2 : 140_x000D_
22 / 11_2 : 98_x000D_
22 / 12_2 : 66_x000D_
23 / 01_2 : 85_x000D_
23 / 02_2 : 98_x000D_
23 / 03_2 : 147_x000D_
23 / 04_2 : 127_x000D_
23 / 05_2 : 101_x000D_
23 / 06_2 : 29_x000D_
23 / 07_2 : _x000D_
_x000D_
    TOTAL : ( 1.123 )_x000D_
  DIVISOR : 12_x000D_
    MÉDIA : 93,58</t>
        </r>
      </text>
    </comment>
    <comment ref="AB385" authorId="0" shapeId="0" xr:uid="{343D693D-CCB2-42EE-9A67-64719F217251}">
      <text>
        <r>
          <rPr>
            <sz val="10"/>
            <color indexed="81"/>
            <rFont val="Lucida Console"/>
            <family val="3"/>
          </rPr>
          <t>Última movimentação no estoque em 06/2023 quantidade 29.</t>
        </r>
      </text>
    </comment>
    <comment ref="R386" authorId="0" shapeId="0" xr:uid="{6D9FCFF5-EB39-4A95-A974-B6D276EEE138}">
      <text>
        <r>
          <rPr>
            <sz val="10"/>
            <color indexed="81"/>
            <rFont val="Lucida Console"/>
            <family val="3"/>
          </rPr>
          <t>01.01.1901</t>
        </r>
      </text>
    </comment>
    <comment ref="Y386" authorId="0" shapeId="0" xr:uid="{D063A69D-EBDA-49CA-B8B8-4257F908A4F6}">
      <text>
        <r>
          <rPr>
            <sz val="10"/>
            <color indexed="81"/>
            <rFont val="Courier New"/>
            <family val="3"/>
          </rPr>
          <t>_x000D_
    DESCRIÇÃO DO CÁLCULO_x000D_
Código    : 27.353_x000D_
Corte     : 127_x000D_
-----------------------------_x000D_
Pendente  : _x000D_
22 / 08_2 : 18_x000D_
22 / 09_2 : 24_x000D_
22 / 10_2 : 30_x000D_
22 / 11_2 : 16_x000D_
22 / 12_2 : 26_x000D_
23 / 01_2 : 39_x000D_
23 / 02_2 : 12_x000D_
23 / 03_2 : 17_x000D_
23 / 04_2 : 103_x000D_
23 / 05_2 : 127 (corte = 154)_x000D_
23 / 06_2 : _x000D_
23 / 07_2 : _x000D_
_x000D_
    TOTAL : ( 412 )_x000D_
  DIVISOR : 12_x000D_
    MÉDIA : 34,33_x000D_
-----------------------------_x000D_
   Valores Desconsiderados_x000D_
-----------------------------_x000D_
23 / 05_2 : 27 (154)_x000D_
_x000D_
  TOTAL   : ( 27 )</t>
        </r>
      </text>
    </comment>
    <comment ref="AB386" authorId="0" shapeId="0" xr:uid="{8D347762-C77A-40B0-8FC7-DD9BDFA2B938}">
      <text>
        <r>
          <rPr>
            <sz val="10"/>
            <color indexed="81"/>
            <rFont val="Lucida Console"/>
            <family val="3"/>
          </rPr>
          <t>Última movimentação no estoque em 05/2023 quantidade 154.</t>
        </r>
      </text>
    </comment>
    <comment ref="R387" authorId="0" shapeId="0" xr:uid="{CA4C78B2-D972-40EE-BBE7-BA6B13062DEB}">
      <text>
        <r>
          <rPr>
            <sz val="10"/>
            <color indexed="81"/>
            <rFont val="Lucida Console"/>
            <family val="3"/>
          </rPr>
          <t>12.09.2019</t>
        </r>
      </text>
    </comment>
    <comment ref="Y387" authorId="0" shapeId="0" xr:uid="{314CA6D9-4E76-4DE5-A48E-0D31C62D97A1}">
      <text>
        <r>
          <rPr>
            <sz val="10"/>
            <color indexed="81"/>
            <rFont val="Courier New"/>
            <family val="3"/>
          </rPr>
          <t>_x000D_
    DESCRIÇÃO DO CÁLCULO_x000D_
Código    : 138.462_x000D_
Corte     : 3.847_x000D_
-----------------------------_x000D_
Pendente  : 130_x000D_
22 / 08_2 : 534_x000D_
22 / 09_2 : 301_x000D_
22 / 10_2 : 448_x000D_
22 / 11_2 : 348_x000D_
22 / 12_2 : 239_x000D_
23 / 01_2 : 124_x000D_
23 / 02_2 : 751_x000D_
23 / 03_2 : 3.847 (corte = 5715)_x000D_
23 / 04_2 : 295_x000D_
23 / 05_2 : 311_x000D_
23 / 06_2 : 359_x000D_
23 / 07_2 : 800_x000D_
_x000D_
    TOTAL : ( 8.487 )_x000D_
  DIVISOR : 12_x000D_
    MÉDIA : 707,25_x000D_
-----------------------------_x000D_
   Valores Desconsiderados_x000D_
-----------------------------_x000D_
23 / 03_2 : 1.868 (5.715)_x000D_
_x000D_
  TOTAL   : ( 1.868 )</t>
        </r>
      </text>
    </comment>
    <comment ref="AB387" authorId="0" shapeId="0" xr:uid="{856A2BD4-8899-43E2-894E-BB0FE5280319}">
      <text>
        <r>
          <rPr>
            <sz val="10"/>
            <color indexed="81"/>
            <rFont val="Lucida Console"/>
            <family val="3"/>
          </rPr>
          <t>Última movimentação no estoque em 07/2023 quantidade 800.</t>
        </r>
      </text>
    </comment>
    <comment ref="R388" authorId="0" shapeId="0" xr:uid="{E9B5BA6B-60C6-4E45-A428-4A195C297AF5}">
      <text>
        <r>
          <rPr>
            <sz val="10"/>
            <color indexed="81"/>
            <rFont val="Lucida Console"/>
            <family val="3"/>
          </rPr>
          <t>01.01.1901</t>
        </r>
      </text>
    </comment>
    <comment ref="Y388" authorId="0" shapeId="0" xr:uid="{7F9402FB-C4AE-433E-85E3-2EE3079415C6}">
      <text>
        <r>
          <rPr>
            <sz val="10"/>
            <color indexed="81"/>
            <rFont val="Courier New"/>
            <family val="3"/>
          </rPr>
          <t>_x000D_
    DESCRIÇÃO DO CÁLCULO_x000D_
Código    : 16.512_x000D_
Corte     : 481_x000D_
-----------------------------_x000D_
Pendente  : 380_x000D_
22 / 08_2 : 310_x000D_
22 / 09_2 : 122_x000D_
22 / 10_2 : _x000D_
22 / 11_2 : 18_x000D_
22 / 12_2 : 3_x000D_
23 / 01_2 : 49_x000D_
23 / 02_2 : 225_x000D_
23 / 03_2 : 474_x000D_
23 / 04_2 : 231_x000D_
23 / 05_2 : 38_x000D_
23 / 06_2 : 3_x000D_
23 / 07_2 : 46_x000D_
_x000D_
    TOTAL : ( 1.899 )_x000D_
  DIVISOR : 12_x000D_
    MÉDIA : 158,25</t>
        </r>
      </text>
    </comment>
    <comment ref="AB388" authorId="0" shapeId="0" xr:uid="{8DFB08A9-FFFE-4D3C-85AF-CCF92EC21C5E}">
      <text>
        <r>
          <rPr>
            <sz val="10"/>
            <color indexed="81"/>
            <rFont val="Lucida Console"/>
            <family val="3"/>
          </rPr>
          <t>Última movimentação no estoque em 07/2023 quantidade 46.</t>
        </r>
      </text>
    </comment>
    <comment ref="R389" authorId="0" shapeId="0" xr:uid="{02DC5457-F6A3-4B61-882C-1384C0E2A57C}">
      <text>
        <r>
          <rPr>
            <sz val="10"/>
            <color indexed="81"/>
            <rFont val="Lucida Console"/>
            <family val="3"/>
          </rPr>
          <t>11.11.2016</t>
        </r>
      </text>
    </comment>
    <comment ref="Y389" authorId="0" shapeId="0" xr:uid="{5934E97B-9D43-40E3-87E0-7CCC178477D9}">
      <text>
        <r>
          <rPr>
            <sz val="10"/>
            <color indexed="81"/>
            <rFont val="Courier New"/>
            <family val="3"/>
          </rPr>
          <t>_x000D_
    DESCRIÇÃO DO CÁLCULO_x000D_
Código    : 132.299_x000D_
Corte     : 1.733_x000D_
-----------------------------_x000D_
Pendente  : 4_x000D_
22 / 08_2 : 118_x000D_
22 / 09_2 : 120_x000D_
22 / 10_2 : 175_x000D_
22 / 11_2 : 164_x000D_
22 / 12_2 : 113_x000D_
23 / 01_2 : 66_x000D_
23 / 02_2 : 112_x000D_
23 / 03_2 : 1.733 (corte = 2639)_x000D_
23 / 04_2 : 76_x000D_
23 / 05_2 : 94_x000D_
23 / 06_2 : 104_x000D_
23 / 07_2 : 116_x000D_
_x000D_
    TOTAL : ( 2.995 )_x000D_
  DIVISOR : 12_x000D_
    MÉDIA : 249,58_x000D_
-----------------------------_x000D_
   Valores Desconsiderados_x000D_
-----------------------------_x000D_
23 / 03_2 : 906 (2.639)_x000D_
_x000D_
  TOTAL   : ( 906 )</t>
        </r>
      </text>
    </comment>
    <comment ref="AB389" authorId="0" shapeId="0" xr:uid="{3B5370F6-BE32-4931-AD46-965C907F2EEF}">
      <text>
        <r>
          <rPr>
            <sz val="10"/>
            <color indexed="81"/>
            <rFont val="Lucida Console"/>
            <family val="3"/>
          </rPr>
          <t>Última movimentação no estoque em 07/2023 quantidade 116.</t>
        </r>
      </text>
    </comment>
    <comment ref="R390" authorId="0" shapeId="0" xr:uid="{43376A3A-197B-49B5-9F6A-7A48EDA12892}">
      <text>
        <r>
          <rPr>
            <sz val="10"/>
            <color indexed="81"/>
            <rFont val="Lucida Console"/>
            <family val="3"/>
          </rPr>
          <t>26.11.2004</t>
        </r>
      </text>
    </comment>
    <comment ref="Y390" authorId="0" shapeId="0" xr:uid="{964DD866-4F7F-44A7-8154-16E61EAABE83}">
      <text>
        <r>
          <rPr>
            <sz val="10"/>
            <color indexed="81"/>
            <rFont val="Courier New"/>
            <family val="3"/>
          </rPr>
          <t>_x000D_
    DESCRIÇÃO DO CÁLCULO_x000D_
Código    : 82.995_x000D_
Corte     : 301_x000D_
-----------------------------_x000D_
Pendente  : 260_x000D_
22 / 08_2 : 50_x000D_
22 / 09_2 : _x000D_
22 / 10_2 : 75_x000D_
22 / 11_2 : _x000D_
22 / 12_2 : 25_x000D_
23 / 01_2 : 105_x000D_
23 / 02_2 : _x000D_
23 / 03_2 : 125_x000D_
23 / 04_2 : _x000D_
23 / 05_2 : _x000D_
23 / 06_2 : 301 (corte = 340)_x000D_
23 / 07_2 : _x000D_
_x000D_
    TOTAL : ( 941 )_x000D_
  DIVISOR : 12_x000D_
    MÉDIA : 78,42_x000D_
-----------------------------_x000D_
   Valores Desconsiderados_x000D_
-----------------------------_x000D_
23 / 06_2 : 39 (340)_x000D_
_x000D_
  TOTAL   : ( 39 )</t>
        </r>
      </text>
    </comment>
    <comment ref="AB390" authorId="0" shapeId="0" xr:uid="{29DC30A8-D2F9-4C79-88A5-8B424C513DD8}">
      <text>
        <r>
          <rPr>
            <sz val="10"/>
            <color indexed="81"/>
            <rFont val="Lucida Console"/>
            <family val="3"/>
          </rPr>
          <t>Última movimentação no estoque em 06/2023 quantidade 340.</t>
        </r>
      </text>
    </comment>
    <comment ref="R391" authorId="0" shapeId="0" xr:uid="{F727C3D8-5ABD-49F9-87DB-6D15AF6EC082}">
      <text>
        <r>
          <rPr>
            <sz val="10"/>
            <color indexed="81"/>
            <rFont val="Lucida Console"/>
            <family val="3"/>
          </rPr>
          <t>26.11.2004</t>
        </r>
      </text>
    </comment>
    <comment ref="Y391" authorId="0" shapeId="0" xr:uid="{0BE5ED41-B56E-4871-A311-276905D15306}">
      <text>
        <r>
          <rPr>
            <sz val="10"/>
            <color indexed="81"/>
            <rFont val="Courier New"/>
            <family val="3"/>
          </rPr>
          <t>_x000D_
    DESCRIÇÃO DO CÁLCULO_x000D_
Código    : 82.996_x000D_
Corte     : 66_x000D_
-----------------------------_x000D_
Pendente  : _x000D_
22 / 08_2 : _x000D_
22 / 09_2 : _x000D_
22 / 10_2 : _x000D_
22 / 11_2 : _x000D_
22 / 12_2 : _x000D_
23 / 01_2 : _x000D_
23 / 02_2 : _x000D_
23 / 03_2 : 66 (corte = 100)_x000D_
23 / 04_2 : _x000D_
23 / 05_2 : _x000D_
23 / 06_2 : _x000D_
23 / 07_2 : _x000D_
_x000D_
    TOTAL : ( 66 )_x000D_
  DIVISOR : 12_x000D_
    MÉDIA : 5,50_x000D_
-----------------------------_x000D_
   Valores Desconsiderados_x000D_
-----------------------------_x000D_
23 / 03_2 : 34 (100)_x000D_
_x000D_
  TOTAL   : ( 34 )</t>
        </r>
      </text>
    </comment>
    <comment ref="AB391" authorId="0" shapeId="0" xr:uid="{4AA3876C-07F2-4797-8588-7120C74367B9}">
      <text>
        <r>
          <rPr>
            <sz val="10"/>
            <color indexed="81"/>
            <rFont val="Lucida Console"/>
            <family val="3"/>
          </rPr>
          <t>Última movimentação no estoque em 03/2023 quantidade 100.</t>
        </r>
      </text>
    </comment>
    <comment ref="R392" authorId="0" shapeId="0" xr:uid="{301BAB95-E781-4346-9FD9-3323F996AA01}">
      <text>
        <r>
          <rPr>
            <sz val="10"/>
            <color indexed="81"/>
            <rFont val="Lucida Console"/>
            <family val="3"/>
          </rPr>
          <t>01.01.1901</t>
        </r>
      </text>
    </comment>
    <comment ref="Y392" authorId="0" shapeId="0" xr:uid="{5BEA94F0-FD7C-47AB-9E15-8F9197A66202}">
      <text>
        <r>
          <rPr>
            <sz val="10"/>
            <color indexed="81"/>
            <rFont val="Courier New"/>
            <family val="3"/>
          </rPr>
          <t>_x000D_
    DESCRIÇÃO DO CÁLCULO_x000D_
Código    : 51.579_x000D_
Corte     : 137_x000D_
-----------------------------_x000D_
Pendente  : 1_x000D_
22 / 08_2 : 74_x000D_
22 / 09_2 : 88_x000D_
22 / 10_2 : 70_x000D_
22 / 11_2 : 96_x000D_
22 / 12_2 : 49_x000D_
23 / 01_2 : 47_x000D_
23 / 02_2 : 62_x000D_
23 / 03_2 : 119_x000D_
23 / 04_2 : 89_x000D_
23 / 05_2 : 86_x000D_
23 / 06_2 : 92_x000D_
23 / 07_2 : 80_x000D_
_x000D_
    TOTAL : ( 953 )_x000D_
  DIVISOR : 12_x000D_
    MÉDIA : 79,42</t>
        </r>
      </text>
    </comment>
    <comment ref="AB392" authorId="0" shapeId="0" xr:uid="{EA8F87C2-DA51-41DE-B2F6-A5D33DDE2DBB}">
      <text>
        <r>
          <rPr>
            <sz val="10"/>
            <color indexed="81"/>
            <rFont val="Lucida Console"/>
            <family val="3"/>
          </rPr>
          <t>Última movimentação no estoque em 07/2023 quantidade 80.</t>
        </r>
      </text>
    </comment>
    <comment ref="R393" authorId="0" shapeId="0" xr:uid="{311ECE24-0FAD-4FAB-83DA-8A752A1FF662}">
      <text>
        <r>
          <rPr>
            <sz val="10"/>
            <color indexed="81"/>
            <rFont val="Lucida Console"/>
            <family val="3"/>
          </rPr>
          <t>01.01.1901</t>
        </r>
      </text>
    </comment>
    <comment ref="Y393" authorId="0" shapeId="0" xr:uid="{60BECE69-486A-4B14-9707-F107A0053D6D}">
      <text>
        <r>
          <rPr>
            <sz val="10"/>
            <color indexed="81"/>
            <rFont val="Courier New"/>
            <family val="3"/>
          </rPr>
          <t>_x000D_
    DESCRIÇÃO DO CÁLCULO_x000D_
Código    : 11.116_x000D_
Corte     : 78_x000D_
-----------------------------_x000D_
Pendente  : _x000D_
22 / 08_2 : 50_x000D_
22 / 09_2 : 46_x000D_
22 / 10_2 : 55_x000D_
22 / 11_2 : 47_x000D_
22 / 12_2 : 31_x000D_
23 / 01_2 : 44_x000D_
23 / 02_2 : 40_x000D_
23 / 03_2 : 78_x000D_
23 / 04_2 : 60_x000D_
23 / 05_2 : 65_x000D_
23 / 06_2 : 67_x000D_
23 / 07_2 : 45_x000D_
_x000D_
    TOTAL : ( 628 )_x000D_
  DIVISOR : 12_x000D_
    MÉDIA : 52,33</t>
        </r>
      </text>
    </comment>
    <comment ref="AB393" authorId="0" shapeId="0" xr:uid="{405CFD04-7D25-40CE-8E5C-69E1E64A3B2D}">
      <text>
        <r>
          <rPr>
            <sz val="10"/>
            <color indexed="81"/>
            <rFont val="Lucida Console"/>
            <family val="3"/>
          </rPr>
          <t>Última movimentação no estoque em 07/2023 quantidade 45.</t>
        </r>
      </text>
    </comment>
    <comment ref="R394" authorId="0" shapeId="0" xr:uid="{893227D1-E588-4EB7-A470-DA2A81C145BE}">
      <text>
        <r>
          <rPr>
            <sz val="10"/>
            <color indexed="81"/>
            <rFont val="Lucida Console"/>
            <family val="3"/>
          </rPr>
          <t>01.01.1901</t>
        </r>
      </text>
    </comment>
    <comment ref="Y394" authorId="0" shapeId="0" xr:uid="{A548CB8D-17F5-4A85-B1B8-93D0CB0CECC5}">
      <text>
        <r>
          <rPr>
            <sz val="10"/>
            <color indexed="81"/>
            <rFont val="Courier New"/>
            <family val="3"/>
          </rPr>
          <t>_x000D_
    DESCRIÇÃO DO CÁLCULO_x000D_
Código    : 17.135_x000D_
Corte     : 2.612_x000D_
-----------------------------_x000D_
Pendente  : 132_x000D_
22 / 08_2 : 445_x000D_
22 / 09_2 : 552_x000D_
22 / 10_2 : 225_x000D_
22 / 11_2 : 305_x000D_
22 / 12_2 : 225_x000D_
23 / 01_2 : 359_x000D_
23 / 02_2 : 705_x000D_
23 / 03_2 : 2.612 (corte = 3802)_x000D_
23 / 04_2 : 345_x000D_
23 / 05_2 : 440_x000D_
23 / 06_2 : 340_x000D_
23 / 07_2 : 340_x000D_
_x000D_
    TOTAL : ( 7.025 )_x000D_
  DIVISOR : 12_x000D_
    MÉDIA : 585,42_x000D_
-----------------------------_x000D_
   Valores Desconsiderados_x000D_
-----------------------------_x000D_
23 / 03_2 : 1.190 (3.802)_x000D_
_x000D_
  TOTAL   : ( 1.190 )</t>
        </r>
      </text>
    </comment>
    <comment ref="AB394" authorId="0" shapeId="0" xr:uid="{79D66228-7B6D-4130-9236-770DDDB4C68A}">
      <text>
        <r>
          <rPr>
            <sz val="10"/>
            <color indexed="81"/>
            <rFont val="Lucida Console"/>
            <family val="3"/>
          </rPr>
          <t>Última movimentação no estoque em 07/2023 quantidade 340.</t>
        </r>
      </text>
    </comment>
    <comment ref="R395" authorId="0" shapeId="0" xr:uid="{2052EBB1-79CF-4B08-A4AC-D3D3E4E0ABF9}">
      <text>
        <r>
          <rPr>
            <sz val="10"/>
            <color indexed="81"/>
            <rFont val="Lucida Console"/>
            <family val="3"/>
          </rPr>
          <t>01.01.1901</t>
        </r>
      </text>
    </comment>
    <comment ref="Y395" authorId="0" shapeId="0" xr:uid="{64511549-7F77-40DD-8E06-CE982C0E5C94}">
      <text>
        <r>
          <rPr>
            <sz val="10"/>
            <color indexed="81"/>
            <rFont val="Courier New"/>
            <family val="3"/>
          </rPr>
          <t>_x000D_
    DESCRIÇÃO DO CÁLCULO_x000D_
Código    : 17.136_x000D_
Corte     : 169_x000D_
-----------------------------_x000D_
Pendente  : 72_x000D_
22 / 08_2 : 96_x000D_
22 / 09_2 : 94_x000D_
22 / 10_2 : 85_x000D_
22 / 11_2 : 131_x000D_
22 / 12_2 : 37_x000D_
23 / 01_2 : 1_x000D_
23 / 02_2 : _x000D_
23 / 03_2 : _x000D_
23 / 04_2 : 27_x000D_
23 / 05_2 : 117_x000D_
23 / 06_2 : 112_x000D_
23 / 07_2 : 105_x000D_
_x000D_
    TOTAL : ( 877 )_x000D_
  DIVISOR : 12_x000D_
    MÉDIA : 73,08</t>
        </r>
      </text>
    </comment>
    <comment ref="AB395" authorId="0" shapeId="0" xr:uid="{63D88E54-FF86-4152-930C-2D986B990E91}">
      <text>
        <r>
          <rPr>
            <sz val="10"/>
            <color indexed="81"/>
            <rFont val="Lucida Console"/>
            <family val="3"/>
          </rPr>
          <t>Última movimentação no estoque em 07/2023 quantidade 105.</t>
        </r>
      </text>
    </comment>
    <comment ref="R396" authorId="0" shapeId="0" xr:uid="{0D38B080-5E82-4C77-987D-9C571CCE52FD}">
      <text>
        <r>
          <rPr>
            <sz val="10"/>
            <color indexed="81"/>
            <rFont val="Lucida Console"/>
            <family val="3"/>
          </rPr>
          <t>10.10.2007</t>
        </r>
      </text>
    </comment>
    <comment ref="Y396" authorId="0" shapeId="0" xr:uid="{B722CF9D-EDD4-41A1-A367-BFD63A467EAE}">
      <text>
        <r>
          <rPr>
            <sz val="10"/>
            <color indexed="81"/>
            <rFont val="Courier New"/>
            <family val="3"/>
          </rPr>
          <t>_x000D_
    DESCRIÇÃO DO CÁLCULO_x000D_
Código    : 102.588_x000D_
Corte     : 54_x000D_
-----------------------------_x000D_
Pendente  : 65_x000D_
22 / 08_2 : _x000D_
22 / 09_2 : _x000D_
22 / 10_2 : _x000D_
22 / 11_2 : 20_x000D_
22 / 12_2 : 10_x000D_
23 / 01_2 : 8_x000D_
23 / 02_2 : 15_x000D_
23 / 03_2 : 45_x000D_
23 / 04_2 : 4_x000D_
23 / 05_2 : 5_x000D_
23 / 06_2 : _x000D_
23 / 07_2 : _x000D_
_x000D_
    TOTAL : ( 172 )_x000D_
  DIVISOR : 12_x000D_
    MÉDIA : 14,33</t>
        </r>
      </text>
    </comment>
    <comment ref="AB396" authorId="0" shapeId="0" xr:uid="{8469D55C-93A3-43C6-852F-E371D1A6A16E}">
      <text>
        <r>
          <rPr>
            <sz val="10"/>
            <color indexed="81"/>
            <rFont val="Lucida Console"/>
            <family val="3"/>
          </rPr>
          <t>Última movimentação no estoque em 05/2023 quantidade 5.</t>
        </r>
      </text>
    </comment>
    <comment ref="R397" authorId="0" shapeId="0" xr:uid="{240B4DB2-5BB4-444A-A592-99F712ED1111}">
      <text>
        <r>
          <rPr>
            <sz val="10"/>
            <color indexed="81"/>
            <rFont val="Lucida Console"/>
            <family val="3"/>
          </rPr>
          <t>28.02.2008</t>
        </r>
      </text>
    </comment>
    <comment ref="Y397" authorId="0" shapeId="0" xr:uid="{581FEACB-5118-455F-B85F-0FA7D8F11E73}">
      <text>
        <r>
          <rPr>
            <sz val="10"/>
            <color indexed="81"/>
            <rFont val="Courier New"/>
            <family val="3"/>
          </rPr>
          <t>_x000D_
    DESCRIÇÃO DO CÁLCULO_x000D_
Código    : 105.294_x000D_
Corte     : 35_x000D_
-----------------------------_x000D_
Pendente  : 2_x000D_
22 / 08_2 : _x000D_
22 / 09_2 : _x000D_
22 / 10_2 : _x000D_
22 / 11_2 : _x000D_
22 / 12_2 : _x000D_
23 / 01_2 : _x000D_
23 / 02_2 : 20_x000D_
23 / 03_2 : 10_x000D_
23 / 04_2 : 5_x000D_
23 / 05_2 : 35 (corte = 50)_x000D_
23 / 06_2 : _x000D_
23 / 07_2 : _x000D_
_x000D_
    TOTAL : ( 72 )_x000D_
  DIVISOR : 12_x000D_
    MÉDIA : 6,00_x000D_
-----------------------------_x000D_
   Valores Desconsiderados_x000D_
-----------------------------_x000D_
23 / 05_2 : 15 (50)_x000D_
_x000D_
  TOTAL   : ( 15 )</t>
        </r>
      </text>
    </comment>
    <comment ref="AB397" authorId="0" shapeId="0" xr:uid="{EC8754BE-BBC5-49B4-BD3F-D1495EAB49D8}">
      <text>
        <r>
          <rPr>
            <sz val="10"/>
            <color indexed="81"/>
            <rFont val="Lucida Console"/>
            <family val="3"/>
          </rPr>
          <t>Última movimentação no estoque em 05/2023 quantidade 50.</t>
        </r>
      </text>
    </comment>
    <comment ref="R398" authorId="0" shapeId="0" xr:uid="{1B9C1A45-706F-4714-A1F8-344FB33266E5}">
      <text>
        <r>
          <rPr>
            <sz val="10"/>
            <color indexed="81"/>
            <rFont val="Lucida Console"/>
            <family val="3"/>
          </rPr>
          <t>01.01.1901</t>
        </r>
      </text>
    </comment>
    <comment ref="Y398" authorId="0" shapeId="0" xr:uid="{D5AD0CC2-36BB-4DCB-91FE-18A0A06B5BDB}">
      <text>
        <r>
          <rPr>
            <sz val="10"/>
            <color indexed="81"/>
            <rFont val="Courier New"/>
            <family val="3"/>
          </rPr>
          <t>_x000D_
    DESCRIÇÃO DO CÁLCULO_x000D_
Código    : 17.115_x000D_
Corte     : 1.137_x000D_
-----------------------------_x000D_
Pendente  : 629_x000D_
22 / 08_2 : 567_x000D_
22 / 09_2 : 546_x000D_
22 / 10_2 : 625_x000D_
22 / 11_2 : 705_x000D_
22 / 12_2 : 510_x000D_
23 / 01_2 : 210_x000D_
23 / 02_2 : 310_x000D_
23 / 03_2 : 410_x000D_
23 / 04_2 : 1.118_x000D_
23 / 05_2 : 802_x000D_
23 / 06_2 : 681_x000D_
23 / 07_2 : 60_x000D_
_x000D_
    TOTAL : ( 7.173 )_x000D_
  DIVISOR : 12_x000D_
    MÉDIA : 597,75</t>
        </r>
      </text>
    </comment>
    <comment ref="AB398" authorId="0" shapeId="0" xr:uid="{11545DE9-E2CA-4CCE-A4FC-1D7DDBCFB83F}">
      <text>
        <r>
          <rPr>
            <sz val="10"/>
            <color indexed="81"/>
            <rFont val="Lucida Console"/>
            <family val="3"/>
          </rPr>
          <t>Última movimentação no estoque em 07/2023 quantidade 60.</t>
        </r>
      </text>
    </comment>
    <comment ref="R399" authorId="0" shapeId="0" xr:uid="{F2A2B162-643A-45D6-B60E-14E3EE49E144}">
      <text>
        <r>
          <rPr>
            <sz val="10"/>
            <color indexed="81"/>
            <rFont val="Lucida Console"/>
            <family val="3"/>
          </rPr>
          <t>01.01.1901</t>
        </r>
      </text>
    </comment>
    <comment ref="Y399" authorId="0" shapeId="0" xr:uid="{A2622B13-C4BC-4FD1-AEFE-79D166F9B60B}">
      <text>
        <r>
          <rPr>
            <sz val="10"/>
            <color indexed="81"/>
            <rFont val="Courier New"/>
            <family val="3"/>
          </rPr>
          <t>_x000D_
    DESCRIÇÃO DO CÁLCULO_x000D_
Código    : 67.939_x000D_
Corte     : 45_x000D_
-----------------------------_x000D_
Pendente  : _x000D_
22 / 08_2 : 45_x000D_
22 / 09_2 : 20_x000D_
22 / 10_2 : _x000D_
22 / 11_2 : 30_x000D_
22 / 12_2 : _x000D_
23 / 01_2 : 18_x000D_
23 / 02_2 : 12_x000D_
23 / 03_2 : 30_x000D_
23 / 04_2 : 25_x000D_
23 / 05_2 : _x000D_
23 / 06_2 : _x000D_
23 / 07_2 : 11_x000D_
_x000D_
    TOTAL : ( 191 )_x000D_
  DIVISOR : 12_x000D_
    MÉDIA : 15,92</t>
        </r>
      </text>
    </comment>
    <comment ref="AB399" authorId="0" shapeId="0" xr:uid="{59CFB277-A1F2-40A7-B777-1920D148C4DB}">
      <text>
        <r>
          <rPr>
            <sz val="10"/>
            <color indexed="81"/>
            <rFont val="Lucida Console"/>
            <family val="3"/>
          </rPr>
          <t>Última movimentação no estoque em 07/2023 quantidade 11.</t>
        </r>
      </text>
    </comment>
    <comment ref="R400" authorId="0" shapeId="0" xr:uid="{C3B3444A-2FFF-4DF0-8D4E-6863C9681FAA}">
      <text>
        <r>
          <rPr>
            <sz val="10"/>
            <color indexed="81"/>
            <rFont val="Lucida Console"/>
            <family val="3"/>
          </rPr>
          <t>01.01.1901</t>
        </r>
      </text>
    </comment>
    <comment ref="Y400" authorId="0" shapeId="0" xr:uid="{D4CECD32-DDC1-467A-A527-71ADF40FA834}">
      <text>
        <r>
          <rPr>
            <sz val="10"/>
            <color indexed="81"/>
            <rFont val="Courier New"/>
            <family val="3"/>
          </rPr>
          <t>_x000D_
    DESCRIÇÃO DO CÁLCULO_x000D_
Código    : 16.571_x000D_
Corte     : 342_x000D_
-----------------------------_x000D_
Pendente  : _x000D_
22 / 08_2 : 165_x000D_
22 / 09_2 : 146_x000D_
22 / 10_2 : 158_x000D_
22 / 11_2 : 180_x000D_
22 / 12_2 : 155_x000D_
23 / 01_2 : 155_x000D_
23 / 02_2 : 219_x000D_
23 / 03_2 : 342 (corte = 395)_x000D_
23 / 04_2 : 256_x000D_
23 / 05_2 : 237_x000D_
23 / 06_2 : 191_x000D_
23 / 07_2 : 154_x000D_
_x000D_
    TOTAL : ( 2.358 )_x000D_
  DIVISOR : 12_x000D_
    MÉDIA : 196,50_x000D_
-----------------------------_x000D_
   Valores Desconsiderados_x000D_
-----------------------------_x000D_
23 / 03_2 : 53 (395)_x000D_
_x000D_
  TOTAL   : ( 53 )</t>
        </r>
      </text>
    </comment>
    <comment ref="AB400" authorId="0" shapeId="0" xr:uid="{172A02C0-FF25-4270-B075-F483FA9055C3}">
      <text>
        <r>
          <rPr>
            <sz val="10"/>
            <color indexed="81"/>
            <rFont val="Lucida Console"/>
            <family val="3"/>
          </rPr>
          <t>Última movimentação no estoque em 07/2023 quantidade 154.</t>
        </r>
      </text>
    </comment>
    <comment ref="R401" authorId="0" shapeId="0" xr:uid="{0196458C-4735-4241-A5F8-BE27E69D83D7}">
      <text>
        <r>
          <rPr>
            <sz val="10"/>
            <color indexed="81"/>
            <rFont val="Lucida Console"/>
            <family val="3"/>
          </rPr>
          <t>16.10.2008</t>
        </r>
      </text>
    </comment>
    <comment ref="Y401" authorId="0" shapeId="0" xr:uid="{C8F9AAC6-6BB0-4DF6-9260-03043A88F0D4}">
      <text>
        <r>
          <rPr>
            <sz val="10"/>
            <color indexed="81"/>
            <rFont val="Courier New"/>
            <family val="3"/>
          </rPr>
          <t>_x000D_
    DESCRIÇÃO DO CÁLCULO_x000D_
Código    : 108.393_x000D_
Corte     : 16_x000D_
-----------------------------_x000D_
Pendente  : _x000D_
22 / 08_2 : 6_x000D_
22 / 09_2 : _x000D_
22 / 10_2 : _x000D_
22 / 11_2 : _x000D_
22 / 12_2 : 16 (corte = 18)_x000D_
23 / 01_2 : _x000D_
23 / 02_2 : 5_x000D_
23 / 03_2 : 10_x000D_
23 / 04_2 : 11_x000D_
23 / 05_2 : _x000D_
23 / 06_2 : _x000D_
23 / 07_2 : _x000D_
_x000D_
    TOTAL : ( 48 )_x000D_
  DIVISOR : 12_x000D_
    MÉDIA : 4,00_x000D_
-----------------------------_x000D_
   Valores Desconsiderados_x000D_
-----------------------------_x000D_
22 / 12_2 : 2 (18)_x000D_
_x000D_
  TOTAL   : ( 2 )</t>
        </r>
      </text>
    </comment>
    <comment ref="AB401" authorId="0" shapeId="0" xr:uid="{6B0E79ED-870C-4992-913B-F5016504742E}">
      <text>
        <r>
          <rPr>
            <sz val="10"/>
            <color indexed="81"/>
            <rFont val="Lucida Console"/>
            <family val="3"/>
          </rPr>
          <t>Última movimentação no estoque em 04/2023 quantidade 11.</t>
        </r>
      </text>
    </comment>
    <comment ref="R402" authorId="0" shapeId="0" xr:uid="{17FE2C32-2E1C-4E19-A915-CD5EB1D730F2}">
      <text>
        <r>
          <rPr>
            <sz val="10"/>
            <color indexed="81"/>
            <rFont val="Lucida Console"/>
            <family val="3"/>
          </rPr>
          <t>01.08.2006</t>
        </r>
      </text>
    </comment>
    <comment ref="Y402" authorId="0" shapeId="0" xr:uid="{83FDB2E4-DE38-4996-9B0C-841C59C384A7}">
      <text>
        <r>
          <rPr>
            <sz val="10"/>
            <color indexed="81"/>
            <rFont val="Courier New"/>
            <family val="3"/>
          </rPr>
          <t>_x000D_
    DESCRIÇÃO DO CÁLCULO_x000D_
Código    : 93.486_x000D_
Corte     : 1_x000D_
-----------------------------_x000D_
Pendente  : _x000D_
22 / 08_2 : _x000D_
22 / 09_2 : _x000D_
22 / 10_2 : _x000D_
22 / 11_2 : _x000D_
22 / 12_2 : _x000D_
23 / 01_2 : _x000D_
23 / 02_2 : 1 (corte = 2)_x000D_
23 / 03_2 : _x000D_
23 / 04_2 : 1_x000D_
23 / 05_2 : _x000D_
23 / 06_2 : _x000D_
23 / 07_2 : _x000D_
_x000D_
    TOTAL : ( 2 )_x000D_
  DIVISOR : 12_x000D_
    MÉDIA : ,17_x000D_
-----------------------------_x000D_
   Valores Desconsiderados_x000D_
-----------------------------_x000D_
23 / 02_2 : 1 (2)_x000D_
_x000D_
  TOTAL   : ( 1 )</t>
        </r>
      </text>
    </comment>
    <comment ref="AB402" authorId="0" shapeId="0" xr:uid="{172F425E-4B9B-4CA0-8D7D-FD5745B62B35}">
      <text>
        <r>
          <rPr>
            <sz val="10"/>
            <color indexed="81"/>
            <rFont val="Lucida Console"/>
            <family val="3"/>
          </rPr>
          <t>Última movimentação no estoque em 04/2023 quantidade 1.</t>
        </r>
      </text>
    </comment>
    <comment ref="R403" authorId="0" shapeId="0" xr:uid="{B26469BF-B8D6-4CE1-9326-4419D3478EF5}">
      <text>
        <r>
          <rPr>
            <sz val="10"/>
            <color indexed="81"/>
            <rFont val="Lucida Console"/>
            <family val="3"/>
          </rPr>
          <t>01.08.2006</t>
        </r>
      </text>
    </comment>
    <comment ref="Y403" authorId="0" shapeId="0" xr:uid="{4DB41E18-28F6-420F-9DBA-72B6AC6101BF}">
      <text>
        <r>
          <rPr>
            <sz val="10"/>
            <color indexed="81"/>
            <rFont val="Courier New"/>
            <family val="3"/>
          </rPr>
          <t>_x000D_
    DESCRIÇÃO DO CÁLCULO_x000D_
Código    : 93.488_x000D_
Corte     : 2_x000D_
-----------------------------_x000D_
Pendente  : _x000D_
22 / 08_2 : _x000D_
22 / 09_2 : _x000D_
22 / 10_2 : _x000D_
22 / 11_2 : _x000D_
22 / 12_2 : _x000D_
23 / 01_2 : _x000D_
23 / 02_2 : _x000D_
23 / 03_2 : 1_x000D_
23 / 04_2 : 2 (corte = 4)_x000D_
23 / 05_2 : _x000D_
23 / 06_2 : _x000D_
23 / 07_2 : _x000D_
_x000D_
    TOTAL : ( 3 )_x000D_
  DIVISOR : 12_x000D_
    MÉDIA : ,25_x000D_
-----------------------------_x000D_
   Valores Desconsiderados_x000D_
-----------------------------_x000D_
23 / 04_2 : 2 (4)_x000D_
_x000D_
  TOTAL   : ( 2 )</t>
        </r>
      </text>
    </comment>
    <comment ref="AB403" authorId="0" shapeId="0" xr:uid="{977B993F-56B8-4775-945F-231EA10E3AD8}">
      <text>
        <r>
          <rPr>
            <sz val="10"/>
            <color indexed="81"/>
            <rFont val="Lucida Console"/>
            <family val="3"/>
          </rPr>
          <t>Última movimentação no estoque em 04/2023 quantidade 4.</t>
        </r>
      </text>
    </comment>
    <comment ref="R404" authorId="0" shapeId="0" xr:uid="{748111A7-F4B6-47FD-B670-591613D2B3EE}">
      <text>
        <r>
          <rPr>
            <sz val="10"/>
            <color indexed="81"/>
            <rFont val="Lucida Console"/>
            <family val="3"/>
          </rPr>
          <t>20.08.2009</t>
        </r>
      </text>
    </comment>
    <comment ref="Y404" authorId="0" shapeId="0" xr:uid="{E37CC684-D2B4-4FE5-ABE5-80A60990193E}">
      <text>
        <r>
          <rPr>
            <sz val="10"/>
            <color indexed="81"/>
            <rFont val="Courier New"/>
            <family val="3"/>
          </rPr>
          <t>_x000D_
    DESCRIÇÃO DO CÁLCULO_x000D_
Código    : 112.158_x000D_
Corte     : 31_x000D_
-----------------------------_x000D_
Pendente  : _x000D_
22 / 08_2 : _x000D_
22 / 09_2 : 18_x000D_
22 / 10_2 : 13_x000D_
22 / 11_2 : 14_x000D_
22 / 12_2 : 20_x000D_
23 / 01_2 : 19_x000D_
23 / 02_2 : 12_x000D_
23 / 03_2 : 25_x000D_
23 / 04_2 : 20_x000D_
23 / 05_2 : _x000D_
23 / 06_2 : 20_x000D_
23 / 07_2 : _x000D_
_x000D_
    TOTAL : ( 161 )_x000D_
  DIVISOR : 12_x000D_
    MÉDIA : 13,42</t>
        </r>
      </text>
    </comment>
    <comment ref="AB404" authorId="0" shapeId="0" xr:uid="{80FE95E7-397A-4775-BACF-BEFC623BA2A2}">
      <text>
        <r>
          <rPr>
            <sz val="10"/>
            <color indexed="81"/>
            <rFont val="Lucida Console"/>
            <family val="3"/>
          </rPr>
          <t>Última movimentação no estoque em 06/2023 quantidade 20.</t>
        </r>
      </text>
    </comment>
    <comment ref="R405" authorId="0" shapeId="0" xr:uid="{FC18A6D2-A4E9-495D-B081-EA16FCBCEEC0}">
      <text>
        <r>
          <rPr>
            <sz val="10"/>
            <color indexed="81"/>
            <rFont val="Lucida Console"/>
            <family val="3"/>
          </rPr>
          <t>20.08.2009</t>
        </r>
      </text>
    </comment>
    <comment ref="Y405" authorId="0" shapeId="0" xr:uid="{DE84E15D-D9A0-4747-80FF-D94ACF532B37}">
      <text>
        <r>
          <rPr>
            <sz val="10"/>
            <color indexed="81"/>
            <rFont val="Courier New"/>
            <family val="3"/>
          </rPr>
          <t>_x000D_
    DESCRIÇÃO DO CÁLCULO_x000D_
Código    : 112.159_x000D_
Corte     : 19_x000D_
-----------------------------_x000D_
Pendente  : _x000D_
22 / 08_2 : _x000D_
22 / 09_2 : _x000D_
22 / 10_2 : 4_x000D_
22 / 11_2 : _x000D_
22 / 12_2 : 3_x000D_
23 / 01_2 : _x000D_
23 / 02_2 : 4_x000D_
23 / 03_2 : 1_x000D_
23 / 04_2 : 19 (corte = 20)_x000D_
23 / 05_2 : 19 (corte = 20)_x000D_
23 / 06_2 : _x000D_
23 / 07_2 : _x000D_
_x000D_
    TOTAL : ( 50 )_x000D_
  DIVISOR : 12_x000D_
    MÉDIA : 4,17_x000D_
-----------------------------_x000D_
   Valores Desconsiderados_x000D_
-----------------------------_x000D_
23 / 04_2 : 1 (20)_x000D_
23 / 05_2 : 1 (20)_x000D_
_x000D_
  TOTAL   : ( 2 )</t>
        </r>
      </text>
    </comment>
    <comment ref="AB405" authorId="0" shapeId="0" xr:uid="{F4662291-41D2-479B-8805-051F2D693862}">
      <text>
        <r>
          <rPr>
            <sz val="10"/>
            <color indexed="81"/>
            <rFont val="Lucida Console"/>
            <family val="3"/>
          </rPr>
          <t>Última movimentação no estoque em 05/2023 quantidade 20.</t>
        </r>
      </text>
    </comment>
    <comment ref="R406" authorId="0" shapeId="0" xr:uid="{E2A4AD30-4B25-43E3-9B96-E556B1868608}">
      <text>
        <r>
          <rPr>
            <sz val="10"/>
            <color indexed="81"/>
            <rFont val="Lucida Console"/>
            <family val="3"/>
          </rPr>
          <t>11.05.2009</t>
        </r>
      </text>
    </comment>
    <comment ref="Y406" authorId="0" shapeId="0" xr:uid="{F1D24BE7-1737-4FB3-B5B6-234FE416AD6F}">
      <text>
        <r>
          <rPr>
            <sz val="10"/>
            <color indexed="81"/>
            <rFont val="Courier New"/>
            <family val="3"/>
          </rPr>
          <t>_x000D_
    DESCRIÇÃO DO CÁLCULO_x000D_
Código    : 110.895_x000D_
Corte     : 61_x000D_
-----------------------------_x000D_
Pendente  : _x000D_
22 / 08_2 : 34_x000D_
22 / 09_2 : 3_x000D_
22 / 10_2 : 16_x000D_
22 / 11_2 : _x000D_
22 / 12_2 : 8_x000D_
23 / 01_2 : 10_x000D_
23 / 02_2 : 12_x000D_
23 / 03_2 : 29_x000D_
23 / 04_2 : 20_x000D_
23 / 05_2 : _x000D_
23 / 06_2 : 30_x000D_
23 / 07_2 : 61 (corte = 75)_x000D_
_x000D_
    TOTAL : ( 223 )_x000D_
  DIVISOR : 12_x000D_
    MÉDIA : 18,58_x000D_
-----------------------------_x000D_
   Valores Desconsiderados_x000D_
-----------------------------_x000D_
23 / 07_2 : 14 (75)_x000D_
_x000D_
  TOTAL   : ( 14 )</t>
        </r>
      </text>
    </comment>
    <comment ref="AB406" authorId="0" shapeId="0" xr:uid="{1282F372-8727-43C2-A4E1-A43B6177B0AF}">
      <text>
        <r>
          <rPr>
            <sz val="10"/>
            <color indexed="81"/>
            <rFont val="Lucida Console"/>
            <family val="3"/>
          </rPr>
          <t>Última movimentação no estoque em 07/2023 quantidade 75.</t>
        </r>
      </text>
    </comment>
    <comment ref="R407" authorId="0" shapeId="0" xr:uid="{9F69669A-009E-4392-8353-30AF4C027B3D}">
      <text>
        <r>
          <rPr>
            <sz val="10"/>
            <color indexed="81"/>
            <rFont val="Lucida Console"/>
            <family val="3"/>
          </rPr>
          <t>01.01.1901</t>
        </r>
      </text>
    </comment>
    <comment ref="Y407" authorId="0" shapeId="0" xr:uid="{0CC7A9A9-5506-4E97-9EA2-453D5EBBA396}">
      <text>
        <r>
          <rPr>
            <sz val="10"/>
            <color indexed="81"/>
            <rFont val="Courier New"/>
            <family val="3"/>
          </rPr>
          <t>_x000D_
    DESCRIÇÃO DO CÁLCULO_x000D_
Código    : 12.989_x000D_
Corte     : 87_x000D_
-----------------------------_x000D_
Pendente  : 100_x000D_
22 / 08_2 : 20_x000D_
22 / 09_2 : 55_x000D_
22 / 10_2 : 10_x000D_
22 / 11_2 : 7_x000D_
22 / 12_2 : _x000D_
23 / 01_2 : 68_x000D_
23 / 02_2 : 13_x000D_
23 / 03_2 : 13_x000D_
23 / 04_2 : 4_x000D_
23 / 05_2 : _x000D_
23 / 06_2 : _x000D_
23 / 07_2 : 16_x000D_
_x000D_
    TOTAL : ( 306 )_x000D_
  DIVISOR : 12_x000D_
    MÉDIA : 25,50</t>
        </r>
      </text>
    </comment>
    <comment ref="AB407" authorId="0" shapeId="0" xr:uid="{4AF021D9-A53E-44C6-B34C-89F615E77DE2}">
      <text>
        <r>
          <rPr>
            <sz val="10"/>
            <color indexed="81"/>
            <rFont val="Lucida Console"/>
            <family val="3"/>
          </rPr>
          <t>Última movimentação no estoque em 07/2023 quantidade 16.</t>
        </r>
      </text>
    </comment>
    <comment ref="R408" authorId="0" shapeId="0" xr:uid="{7363005C-51E1-4412-8FE2-B61C433CC24B}">
      <text>
        <r>
          <rPr>
            <sz val="10"/>
            <color indexed="81"/>
            <rFont val="Lucida Console"/>
            <family val="3"/>
          </rPr>
          <t>11.05.2009</t>
        </r>
      </text>
    </comment>
    <comment ref="Y408" authorId="0" shapeId="0" xr:uid="{9B77EFDA-89CE-4383-9EB5-413752978CA0}">
      <text>
        <r>
          <rPr>
            <sz val="10"/>
            <color indexed="81"/>
            <rFont val="Courier New"/>
            <family val="3"/>
          </rPr>
          <t>_x000D_
    DESCRIÇÃO DO CÁLCULO_x000D_
Código    : 110.896_x000D_
Corte     : 6_x000D_
-----------------------------_x000D_
Pendente  : _x000D_
22 / 08_2 : _x000D_
22 / 09_2 : 2_x000D_
22 / 10_2 : _x000D_
22 / 11_2 : 2_x000D_
22 / 12_2 : _x000D_
23 / 01_2 : _x000D_
23 / 02_2 : _x000D_
23 / 03_2 : 6 (corte = 10)_x000D_
23 / 04_2 : _x000D_
23 / 05_2 : _x000D_
23 / 06_2 : _x000D_
23 / 07_2 : _x000D_
_x000D_
    TOTAL : ( 10 )_x000D_
  DIVISOR : 12_x000D_
    MÉDIA : ,83_x000D_
-----------------------------_x000D_
   Valores Desconsiderados_x000D_
-----------------------------_x000D_
23 / 03_2 : 4 (10)_x000D_
_x000D_
  TOTAL   : ( 4 )</t>
        </r>
      </text>
    </comment>
    <comment ref="AB408" authorId="0" shapeId="0" xr:uid="{735609BD-6D42-4665-8127-9A3B4825EC99}">
      <text>
        <r>
          <rPr>
            <sz val="10"/>
            <color indexed="81"/>
            <rFont val="Lucida Console"/>
            <family val="3"/>
          </rPr>
          <t>Última movimentação no estoque em 03/2023 quantidade 10.</t>
        </r>
      </text>
    </comment>
    <comment ref="R409" authorId="0" shapeId="0" xr:uid="{47FB198F-C620-4F6E-9A89-5A3F20AB0AC2}">
      <text>
        <r>
          <rPr>
            <sz val="10"/>
            <color indexed="81"/>
            <rFont val="Lucida Console"/>
            <family val="3"/>
          </rPr>
          <t>01.01.1901</t>
        </r>
      </text>
    </comment>
    <comment ref="Y409" authorId="0" shapeId="0" xr:uid="{E738037E-1F9C-4792-88FF-98E41D7D5ED3}">
      <text>
        <r>
          <rPr>
            <sz val="10"/>
            <color indexed="81"/>
            <rFont val="Courier New"/>
            <family val="3"/>
          </rPr>
          <t>_x000D_
    DESCRIÇÃO DO CÁLCULO_x000D_
Código    : 15.299_x000D_
Corte     : 78_x000D_
-----------------------------_x000D_
Pendente  : _x000D_
22 / 08_2 : 66_x000D_
22 / 09_2 : 54_x000D_
22 / 10_2 : 4_x000D_
22 / 11_2 : 16_x000D_
22 / 12_2 : 48_x000D_
23 / 01_2 : 56_x000D_
23 / 02_2 : 15_x000D_
23 / 03_2 : 50_x000D_
23 / 04_2 : 20_x000D_
23 / 05_2 : 4_x000D_
23 / 06_2 : 20_x000D_
23 / 07_2 : 50_x000D_
_x000D_
    TOTAL : ( 403 )_x000D_
  DIVISOR : 12_x000D_
    MÉDIA : 33,58</t>
        </r>
      </text>
    </comment>
    <comment ref="AB409" authorId="0" shapeId="0" xr:uid="{D3EB3456-DAAB-4BCC-ACF6-B03483714510}">
      <text>
        <r>
          <rPr>
            <sz val="10"/>
            <color indexed="81"/>
            <rFont val="Lucida Console"/>
            <family val="3"/>
          </rPr>
          <t>Última movimentação no estoque em 07/2023 quantidade 50.</t>
        </r>
      </text>
    </comment>
    <comment ref="R410" authorId="0" shapeId="0" xr:uid="{A64E60F2-349E-4FB9-9030-268C1D3A0738}">
      <text>
        <r>
          <rPr>
            <sz val="10"/>
            <color indexed="81"/>
            <rFont val="Lucida Console"/>
            <family val="3"/>
          </rPr>
          <t>01.01.1901</t>
        </r>
      </text>
    </comment>
    <comment ref="Y410" authorId="0" shapeId="0" xr:uid="{DE742D15-C2E2-4C6D-A0AC-124D3834E277}">
      <text>
        <r>
          <rPr>
            <sz val="10"/>
            <color indexed="81"/>
            <rFont val="Courier New"/>
            <family val="3"/>
          </rPr>
          <t>_x000D_
    DESCRIÇÃO DO CÁLCULO_x000D_
Código    : 12.992_x000D_
Corte     : 34_x000D_
-----------------------------_x000D_
Pendente  : 44_x000D_
22 / 08_2 : 5_x000D_
22 / 09_2 : 7_x000D_
22 / 10_2 : 1_x000D_
22 / 11_2 : 2_x000D_
22 / 12_2 : 2_x000D_
23 / 01_2 : 18_x000D_
23 / 02_2 : _x000D_
23 / 03_2 : 10_x000D_
23 / 04_2 : 18_x000D_
23 / 05_2 : _x000D_
23 / 06_2 : _x000D_
23 / 07_2 : 8_x000D_
_x000D_
    TOTAL : ( 115 )_x000D_
  DIVISOR : 12_x000D_
    MÉDIA : 9,58</t>
        </r>
      </text>
    </comment>
    <comment ref="AB410" authorId="0" shapeId="0" xr:uid="{0FFFE0D9-B0A2-4B1E-B347-81C5EF148207}">
      <text>
        <r>
          <rPr>
            <sz val="10"/>
            <color indexed="81"/>
            <rFont val="Lucida Console"/>
            <family val="3"/>
          </rPr>
          <t>Última movimentação no estoque em 07/2023 quantidade 8.</t>
        </r>
      </text>
    </comment>
    <comment ref="R411" authorId="0" shapeId="0" xr:uid="{53CF895A-EC01-4A81-96CD-F2653CB167A7}">
      <text>
        <r>
          <rPr>
            <sz val="10"/>
            <color indexed="81"/>
            <rFont val="Lucida Console"/>
            <family val="3"/>
          </rPr>
          <t>07.02.2011</t>
        </r>
      </text>
    </comment>
    <comment ref="Y411" authorId="0" shapeId="0" xr:uid="{8189A6BA-AD1C-4517-A50E-3064546D01B9}">
      <text>
        <r>
          <rPr>
            <sz val="10"/>
            <color indexed="81"/>
            <rFont val="Courier New"/>
            <family val="3"/>
          </rPr>
          <t>_x000D_
    DESCRIÇÃO DO CÁLCULO_x000D_
Código    : 119.180_x000D_
Corte     : 22_x000D_
-----------------------------_x000D_
Pendente  : _x000D_
22 / 08_2 : _x000D_
22 / 09_2 : _x000D_
22 / 10_2 : 12_x000D_
22 / 11_2 : 3_x000D_
22 / 12_2 : _x000D_
23 / 01_2 : _x000D_
23 / 02_2 : _x000D_
23 / 03_2 : _x000D_
23 / 04_2 : 20_x000D_
23 / 05_2 : 22 (corte = 24)_x000D_
23 / 06_2 : _x000D_
23 / 07_2 : _x000D_
_x000D_
    TOTAL : ( 57 )_x000D_
  DIVISOR : 12_x000D_
    MÉDIA : 4,75_x000D_
-----------------------------_x000D_
   Valores Desconsiderados_x000D_
-----------------------------_x000D_
23 / 05_2 : 2 (24)_x000D_
_x000D_
  TOTAL   : ( 2 )</t>
        </r>
      </text>
    </comment>
    <comment ref="AB411" authorId="0" shapeId="0" xr:uid="{2806B4ED-2363-49A2-B5BA-D16038A74242}">
      <text>
        <r>
          <rPr>
            <sz val="10"/>
            <color indexed="81"/>
            <rFont val="Lucida Console"/>
            <family val="3"/>
          </rPr>
          <t>Última movimentação no estoque em 05/2023 quantidade 24.</t>
        </r>
      </text>
    </comment>
    <comment ref="R412" authorId="0" shapeId="0" xr:uid="{167F985A-C3E9-49B7-8930-18629A4F2EAF}">
      <text>
        <r>
          <rPr>
            <sz val="10"/>
            <color indexed="81"/>
            <rFont val="Lucida Console"/>
            <family val="3"/>
          </rPr>
          <t>23.07.2015</t>
        </r>
      </text>
    </comment>
    <comment ref="Y412" authorId="0" shapeId="0" xr:uid="{5E83762D-287D-4623-BAD4-E693631B24B4}">
      <text>
        <r>
          <rPr>
            <sz val="10"/>
            <color indexed="81"/>
            <rFont val="Courier New"/>
            <family val="3"/>
          </rPr>
          <t>_x000D_
    DESCRIÇÃO DO CÁLCULO_x000D_
Código    : 130.634_x000D_
Corte     : 351_x000D_
-----------------------------_x000D_
Pendente  : _x000D_
22 / 08_2 : 54_x000D_
22 / 09_2 : 81_x000D_
22 / 10_2 : 78_x000D_
22 / 11_2 : 4_x000D_
22 / 12_2 : 31_x000D_
23 / 01_2 : 10_x000D_
23 / 02_2 : 76_x000D_
23 / 03_2 : 209_x000D_
23 / 04_2 : 351 (corte = 409)_x000D_
23 / 05_2 : 54_x000D_
23 / 06_2 : 251_x000D_
23 / 07_2 : _x000D_
_x000D_
    TOTAL : ( 1.199 )_x000D_
  DIVISOR : 12_x000D_
    MÉDIA : 99,92_x000D_
-----------------------------_x000D_
   Valores Desconsiderados_x000D_
-----------------------------_x000D_
23 / 04_2 : 58 (409)_x000D_
_x000D_
  TOTAL   : ( 58 )</t>
        </r>
      </text>
    </comment>
    <comment ref="AB412" authorId="0" shapeId="0" xr:uid="{04C753FB-432E-49BD-816D-AF5ECD78D433}">
      <text>
        <r>
          <rPr>
            <sz val="10"/>
            <color indexed="81"/>
            <rFont val="Lucida Console"/>
            <family val="3"/>
          </rPr>
          <t>Última movimentação no estoque em 06/2023 quantidade 251.</t>
        </r>
      </text>
    </comment>
    <comment ref="R413" authorId="0" shapeId="0" xr:uid="{D5F2840C-69D5-47E6-B61B-426C2DB3E8A5}">
      <text>
        <r>
          <rPr>
            <sz val="10"/>
            <color indexed="81"/>
            <rFont val="Lucida Console"/>
            <family val="3"/>
          </rPr>
          <t>11.10.2006</t>
        </r>
      </text>
    </comment>
    <comment ref="Y413" authorId="0" shapeId="0" xr:uid="{3C2CC939-3476-421B-80E9-0346B76264B7}">
      <text>
        <r>
          <rPr>
            <sz val="10"/>
            <color indexed="81"/>
            <rFont val="Courier New"/>
            <family val="3"/>
          </rPr>
          <t>_x000D_
    DESCRIÇÃO DO CÁLCULO_x000D_
Código    : 95.121_x000D_
Corte     : 68_x000D_
-----------------------------_x000D_
Pendente  : 50_x000D_
22 / 08_2 : 10_x000D_
22 / 09_2 : 18_x000D_
22 / 10_2 : 40_x000D_
22 / 11_2 : 11_x000D_
22 / 12_2 : 49_x000D_
23 / 01_2 : 39_x000D_
23 / 02_2 : 20_x000D_
23 / 03_2 : 31_x000D_
23 / 04_2 : 65_x000D_
23 / 05_2 : 19_x000D_
23 / 06_2 : 21_x000D_
23 / 07_2 : _x000D_
_x000D_
    TOTAL : ( 373 )_x000D_
  DIVISOR : 12_x000D_
    MÉDIA : 31,08</t>
        </r>
      </text>
    </comment>
    <comment ref="AB413" authorId="0" shapeId="0" xr:uid="{CD9E3766-9A2F-40F3-ACCC-6DD5621B43AA}">
      <text>
        <r>
          <rPr>
            <sz val="10"/>
            <color indexed="81"/>
            <rFont val="Lucida Console"/>
            <family val="3"/>
          </rPr>
          <t>Última movimentação no estoque em 06/2023 quantidade 21.</t>
        </r>
      </text>
    </comment>
    <comment ref="R414" authorId="0" shapeId="0" xr:uid="{5DB33074-E4D1-43B2-A76E-AB7CABC2EA6E}">
      <text>
        <r>
          <rPr>
            <sz val="10"/>
            <color indexed="81"/>
            <rFont val="Lucida Console"/>
            <family val="3"/>
          </rPr>
          <t>01.01.1901</t>
        </r>
      </text>
    </comment>
    <comment ref="Y414" authorId="0" shapeId="0" xr:uid="{399F1BA0-C72C-446E-A4C0-D1BF66A74659}">
      <text>
        <r>
          <rPr>
            <sz val="10"/>
            <color indexed="81"/>
            <rFont val="Courier New"/>
            <family val="3"/>
          </rPr>
          <t>_x000D_
    DESCRIÇÃO DO CÁLCULO_x000D_
Código    : 54.144_x000D_
Corte     : 70_x000D_
-----------------------------_x000D_
Pendente  : _x000D_
22 / 08_2 : _x000D_
22 / 09_2 : 16_x000D_
22 / 10_2 : 70 (corte = 90)_x000D_
22 / 11_2 : 35_x000D_
22 / 12_2 : 20_x000D_
23 / 01_2 : 20_x000D_
23 / 02_2 : 33_x000D_
23 / 03_2 : _x000D_
23 / 04_2 : 10_x000D_
23 / 05_2 : _x000D_
23 / 06_2 : 6_x000D_
23 / 07_2 : _x000D_
_x000D_
    TOTAL : ( 210 )_x000D_
  DIVISOR : 12_x000D_
    MÉDIA : 17,50_x000D_
-----------------------------_x000D_
   Valores Desconsiderados_x000D_
-----------------------------_x000D_
22 / 10_2 : 20 (90)_x000D_
_x000D_
  TOTAL   : ( 20 )</t>
        </r>
      </text>
    </comment>
    <comment ref="AB414" authorId="0" shapeId="0" xr:uid="{D8F5C631-BE0B-41D6-9B10-382FFF3DC7C4}">
      <text>
        <r>
          <rPr>
            <sz val="10"/>
            <color indexed="81"/>
            <rFont val="Lucida Console"/>
            <family val="3"/>
          </rPr>
          <t>Última movimentação no estoque em 06/2023 quantidade 6.</t>
        </r>
      </text>
    </comment>
    <comment ref="R415" authorId="0" shapeId="0" xr:uid="{012668FB-F093-45EE-98DC-E08996984C89}">
      <text>
        <r>
          <rPr>
            <sz val="10"/>
            <color indexed="81"/>
            <rFont val="Lucida Console"/>
            <family val="3"/>
          </rPr>
          <t>01.01.1901</t>
        </r>
      </text>
    </comment>
    <comment ref="Y415" authorId="0" shapeId="0" xr:uid="{0AA3586B-3567-4DA8-813F-D00B172BB588}">
      <text>
        <r>
          <rPr>
            <sz val="10"/>
            <color indexed="81"/>
            <rFont val="Courier New"/>
            <family val="3"/>
          </rPr>
          <t>_x000D_
    DESCRIÇÃO DO CÁLCULO_x000D_
Código    : 54.018_x000D_
Corte     : 38_x000D_
-----------------------------_x000D_
Pendente  : _x000D_
22 / 08_2 : 10_x000D_
22 / 09_2 : _x000D_
22 / 10_2 : 38 (corte = 50)_x000D_
22 / 11_2 : 20_x000D_
22 / 12_2 : _x000D_
23 / 01_2 : 10_x000D_
23 / 02_2 : 10_x000D_
23 / 03_2 : _x000D_
23 / 04_2 : 10_x000D_
23 / 05_2 : _x000D_
23 / 06_2 : _x000D_
23 / 07_2 : _x000D_
_x000D_
    TOTAL : ( 98 )_x000D_
  DIVISOR : 12_x000D_
    MÉDIA : 8,17_x000D_
-----------------------------_x000D_
   Valores Desconsiderados_x000D_
-----------------------------_x000D_
22 / 10_2 : 12 (50)_x000D_
_x000D_
  TOTAL   : ( 12 )</t>
        </r>
      </text>
    </comment>
    <comment ref="AB415" authorId="0" shapeId="0" xr:uid="{7FB77F2F-6D91-4981-BE91-ED2F4A2160F2}">
      <text>
        <r>
          <rPr>
            <sz val="10"/>
            <color indexed="81"/>
            <rFont val="Lucida Console"/>
            <family val="3"/>
          </rPr>
          <t>Última movimentação no estoque em 04/2023 quantidade 10.</t>
        </r>
      </text>
    </comment>
    <comment ref="R416" authorId="0" shapeId="0" xr:uid="{CB9242CE-8008-41B8-8539-CE3E5A7FEA64}">
      <text>
        <r>
          <rPr>
            <sz val="10"/>
            <color indexed="81"/>
            <rFont val="Lucida Console"/>
            <family val="3"/>
          </rPr>
          <t>01.01.1901</t>
        </r>
      </text>
    </comment>
    <comment ref="Y416" authorId="0" shapeId="0" xr:uid="{9EB15EBB-BB94-459C-9744-879D0D5DF6EE}">
      <text>
        <r>
          <rPr>
            <sz val="10"/>
            <color indexed="81"/>
            <rFont val="Courier New"/>
            <family val="3"/>
          </rPr>
          <t>_x000D_
    DESCRIÇÃO DO CÁLCULO_x000D_
Código    : 54.017_x000D_
Corte     : 54_x000D_
-----------------------------_x000D_
Pendente  : 6_x000D_
22 / 08_2 : _x000D_
22 / 09_2 : 2_x000D_
22 / 10_2 : 50_x000D_
22 / 11_2 : 20_x000D_
22 / 12_2 : 10_x000D_
23 / 01_2 : 50_x000D_
23 / 02_2 : 40_x000D_
23 / 03_2 : _x000D_
23 / 04_2 : 4_x000D_
23 / 05_2 : _x000D_
23 / 06_2 : _x000D_
23 / 07_2 : _x000D_
_x000D_
    TOTAL : ( 182 )_x000D_
  DIVISOR : 12_x000D_
    MÉDIA : 15,17</t>
        </r>
      </text>
    </comment>
    <comment ref="AB416" authorId="0" shapeId="0" xr:uid="{6A08AB40-5256-461C-949D-CF9D0E97CF69}">
      <text>
        <r>
          <rPr>
            <sz val="10"/>
            <color indexed="81"/>
            <rFont val="Lucida Console"/>
            <family val="3"/>
          </rPr>
          <t>Última movimentação no estoque em 04/2023 quantidade 4.</t>
        </r>
      </text>
    </comment>
    <comment ref="R417" authorId="0" shapeId="0" xr:uid="{388F2932-5EFE-4CAE-9D05-4E537A025CA2}">
      <text>
        <r>
          <rPr>
            <sz val="10"/>
            <color indexed="81"/>
            <rFont val="Lucida Console"/>
            <family val="3"/>
          </rPr>
          <t>25.01.2008</t>
        </r>
      </text>
    </comment>
    <comment ref="Y417" authorId="0" shapeId="0" xr:uid="{6B2D2CF2-7BAA-475E-819B-3214CB1A3929}">
      <text>
        <r>
          <rPr>
            <sz val="10"/>
            <color indexed="81"/>
            <rFont val="Courier New"/>
            <family val="3"/>
          </rPr>
          <t>_x000D_
    DESCRIÇÃO DO CÁLCULO_x000D_
Código    : 104.665_x000D_
Corte     : 5_x000D_
-----------------------------_x000D_
Pendente  : _x000D_
22 / 08_2 : _x000D_
22 / 09_2 : _x000D_
22 / 10_2 : 2_x000D_
22 / 11_2 : 1_x000D_
22 / 12_2 : 1_x000D_
23 / 01_2 : 1_x000D_
23 / 02_2 : 1_x000D_
23 / 03_2 : _x000D_
23 / 04_2 : _x000D_
23 / 05_2 : _x000D_
23 / 06_2 : 5 (corte = 7)_x000D_
23 / 07_2 : _x000D_
_x000D_
    TOTAL : ( 11 )_x000D_
  DIVISOR : 12_x000D_
    MÉDIA : ,92_x000D_
-----------------------------_x000D_
   Valores Desconsiderados_x000D_
-----------------------------_x000D_
23 / 06_2 : 2 (7)_x000D_
_x000D_
  TOTAL   : ( 2 )</t>
        </r>
      </text>
    </comment>
    <comment ref="AB417" authorId="0" shapeId="0" xr:uid="{9CB07B74-B041-4CEA-AA36-7B2A429DE832}">
      <text>
        <r>
          <rPr>
            <sz val="10"/>
            <color indexed="81"/>
            <rFont val="Lucida Console"/>
            <family val="3"/>
          </rPr>
          <t>Última movimentação no estoque em 06/2023 quantidade 7.</t>
        </r>
      </text>
    </comment>
    <comment ref="R418" authorId="0" shapeId="0" xr:uid="{387B0688-1F7D-42DD-A0D1-3E80069C5063}">
      <text>
        <r>
          <rPr>
            <sz val="10"/>
            <color indexed="81"/>
            <rFont val="Lucida Console"/>
            <family val="3"/>
          </rPr>
          <t>27.10.2009</t>
        </r>
      </text>
    </comment>
    <comment ref="Y418" authorId="0" shapeId="0" xr:uid="{C5CA5DE8-3481-464D-8F64-FC63B83CDD4B}">
      <text>
        <r>
          <rPr>
            <sz val="10"/>
            <color indexed="81"/>
            <rFont val="Courier New"/>
            <family val="3"/>
          </rPr>
          <t>_x000D_
    DESCRIÇÃO DO CÁLCULO_x000D_
Código    : 113.238_x000D_
Corte     : 3_x000D_
-----------------------------_x000D_
Pendente  : _x000D_
22 / 08_2 : _x000D_
22 / 09_2 : _x000D_
22 / 10_2 : 1_x000D_
22 / 11_2 : 1_x000D_
22 / 12_2 : 1_x000D_
23 / 01_2 : 3 (corte = 4)_x000D_
23 / 02_2 : _x000D_
23 / 03_2 : _x000D_
23 / 04_2 : _x000D_
23 / 05_2 : 1_x000D_
23 / 06_2 : 3 (corte = 4)_x000D_
23 / 07_2 : 1_x000D_
_x000D_
    TOTAL : ( 11 )_x000D_
  DIVISOR : 12_x000D_
    MÉDIA : ,92_x000D_
-----------------------------_x000D_
   Valores Desconsiderados_x000D_
-----------------------------_x000D_
23 / 01_2 : 1 (4)_x000D_
23 / 06_2 : 1 (4)_x000D_
_x000D_
  TOTAL   : ( 2 )</t>
        </r>
      </text>
    </comment>
    <comment ref="AB418" authorId="0" shapeId="0" xr:uid="{2886C748-E27B-4CFA-963A-F4BCB8C8CBE2}">
      <text>
        <r>
          <rPr>
            <sz val="10"/>
            <color indexed="81"/>
            <rFont val="Lucida Console"/>
            <family val="3"/>
          </rPr>
          <t>Última movimentação no estoque em 07/2023 quantidade 1.</t>
        </r>
      </text>
    </comment>
    <comment ref="R419" authorId="0" shapeId="0" xr:uid="{8F665391-67D0-4F37-9B11-CE99B586724A}">
      <text>
        <r>
          <rPr>
            <sz val="10"/>
            <color indexed="81"/>
            <rFont val="Lucida Console"/>
            <family val="3"/>
          </rPr>
          <t>01.01.1901</t>
        </r>
      </text>
    </comment>
    <comment ref="Y419" authorId="0" shapeId="0" xr:uid="{F4C2C87D-C5CC-4F54-8E3B-14BD04B7A465}">
      <text>
        <r>
          <rPr>
            <sz val="10"/>
            <color indexed="81"/>
            <rFont val="Courier New"/>
            <family val="3"/>
          </rPr>
          <t>_x000D_
    DESCRIÇÃO DO CÁLCULO_x000D_
Código    : 12.754_x000D_
Corte     : 191_x000D_
-----------------------------_x000D_
Pendente  : _x000D_
22 / 08_2 : 78_x000D_
22 / 09_2 : 99_x000D_
22 / 10_2 : 115_x000D_
22 / 11_2 : 81_x000D_
22 / 12_2 : 48_x000D_
23 / 01_2 : 48_x000D_
23 / 02_2 : 74_x000D_
23 / 03_2 : 191 (corte = 192)_x000D_
23 / 04_2 : 125_x000D_
23 / 05_2 : 138_x000D_
23 / 06_2 : 140_x000D_
23 / 07_2 : 137_x000D_
_x000D_
    TOTAL : ( 1.274 )_x000D_
  DIVISOR : 12_x000D_
    MÉDIA : 106,17_x000D_
-----------------------------_x000D_
   Valores Desconsiderados_x000D_
-----------------------------_x000D_
23 / 03_2 : 1 (192)_x000D_
_x000D_
  TOTAL   : ( 1 )</t>
        </r>
      </text>
    </comment>
    <comment ref="AB419" authorId="0" shapeId="0" xr:uid="{CD148772-A5E5-4A85-95DE-E1D17DB0B23E}">
      <text>
        <r>
          <rPr>
            <sz val="10"/>
            <color indexed="81"/>
            <rFont val="Lucida Console"/>
            <family val="3"/>
          </rPr>
          <t>Última movimentação no estoque em 07/2023 quantidade 137.</t>
        </r>
      </text>
    </comment>
    <comment ref="R420" authorId="0" shapeId="0" xr:uid="{1A6FACE2-A7B9-46FF-9B8A-CDE0AADD10E6}">
      <text>
        <r>
          <rPr>
            <sz val="10"/>
            <color indexed="81"/>
            <rFont val="Lucida Console"/>
            <family val="3"/>
          </rPr>
          <t>15.03.2018</t>
        </r>
      </text>
    </comment>
    <comment ref="Y420" authorId="0" shapeId="0" xr:uid="{4EC80D76-6C8B-4435-9B0E-7C908A38F8F6}">
      <text>
        <r>
          <rPr>
            <sz val="10"/>
            <color indexed="81"/>
            <rFont val="Courier New"/>
            <family val="3"/>
          </rPr>
          <t>_x000D_
    DESCRIÇÃO DO CÁLCULO_x000D_
Código    : 134.560_x000D_
Corte     : 152_x000D_
-----------------------------_x000D_
Pendente  : _x000D_
22 / 08_2 : 25_x000D_
22 / 09_2 : 17_x000D_
22 / 10_2 : 26_x000D_
22 / 11_2 : 23_x000D_
22 / 12_2 : 52_x000D_
23 / 01_2 : 33_x000D_
23 / 02_2 : 11_x000D_
23 / 03_2 : 70_x000D_
23 / 04_2 : 65_x000D_
23 / 05_2 : _x000D_
23 / 06_2 : 50_x000D_
23 / 07_2 : 152 (corte = 200)_x000D_
_x000D_
    TOTAL : ( 524 )_x000D_
  DIVISOR : 12_x000D_
    MÉDIA : 43,67_x000D_
-----------------------------_x000D_
   Valores Desconsiderados_x000D_
-----------------------------_x000D_
23 / 07_2 : 48 (200)_x000D_
_x000D_
  TOTAL   : ( 48 )</t>
        </r>
      </text>
    </comment>
    <comment ref="AB420" authorId="0" shapeId="0" xr:uid="{891C209F-8BE9-48ED-ACA0-26B298D94866}">
      <text>
        <r>
          <rPr>
            <sz val="10"/>
            <color indexed="81"/>
            <rFont val="Lucida Console"/>
            <family val="3"/>
          </rPr>
          <t>Última movimentação no estoque em 07/2023 quantidade 200.</t>
        </r>
      </text>
    </comment>
    <comment ref="R421" authorId="0" shapeId="0" xr:uid="{2EDFC7DD-B8CE-4D89-B411-72792E7D750D}">
      <text>
        <r>
          <rPr>
            <sz val="10"/>
            <color indexed="81"/>
            <rFont val="Lucida Console"/>
            <family val="3"/>
          </rPr>
          <t>29.04.2019</t>
        </r>
      </text>
    </comment>
    <comment ref="Y421" authorId="0" shapeId="0" xr:uid="{59A75394-4320-472C-A9B5-E54BB24B7C5D}">
      <text>
        <r>
          <rPr>
            <sz val="10"/>
            <color indexed="81"/>
            <rFont val="Courier New"/>
            <family val="3"/>
          </rPr>
          <t>_x000D_
    DESCRIÇÃO DO CÁLCULO_x000D_
Código    : 136.895_x000D_
Corte     : 125_x000D_
-----------------------------_x000D_
Pendente  : _x000D_
22 / 08_2 : 30_x000D_
22 / 09_2 : 69_x000D_
22 / 10_2 : 8_x000D_
22 / 11_2 : 5_x000D_
22 / 12_2 : 13_x000D_
23 / 01_2 : 9_x000D_
23 / 02_2 : 40_x000D_
23 / 03_2 : 24_x000D_
23 / 04_2 : 94_x000D_
23 / 05_2 : 50_x000D_
23 / 06_2 : 125 (corte = 140)_x000D_
23 / 07_2 : 50_x000D_
_x000D_
    TOTAL : ( 517 )_x000D_
  DIVISOR : 12_x000D_
    MÉDIA : 43,08_x000D_
-----------------------------_x000D_
   Valores Desconsiderados_x000D_
-----------------------------_x000D_
23 / 06_2 : 15 (140)_x000D_
_x000D_
  TOTAL   : ( 15 )</t>
        </r>
      </text>
    </comment>
    <comment ref="AB421" authorId="0" shapeId="0" xr:uid="{36AAF4BC-3C91-4965-8924-60B26DF77AFA}">
      <text>
        <r>
          <rPr>
            <sz val="10"/>
            <color indexed="81"/>
            <rFont val="Lucida Console"/>
            <family val="3"/>
          </rPr>
          <t>Última movimentação no estoque em 07/2023 quantidade 50.</t>
        </r>
      </text>
    </comment>
    <comment ref="R422" authorId="0" shapeId="0" xr:uid="{157C8328-B7D4-4291-946E-BDE891A7B4B3}">
      <text>
        <r>
          <rPr>
            <sz val="10"/>
            <color indexed="81"/>
            <rFont val="Lucida Console"/>
            <family val="3"/>
          </rPr>
          <t>29.04.2019</t>
        </r>
      </text>
    </comment>
    <comment ref="Y422" authorId="0" shapeId="0" xr:uid="{02975F55-A9EE-4591-8AE7-CDA20E5DBA94}">
      <text>
        <r>
          <rPr>
            <sz val="10"/>
            <color indexed="81"/>
            <rFont val="Courier New"/>
            <family val="3"/>
          </rPr>
          <t>_x000D_
    DESCRIÇÃO DO CÁLCULO_x000D_
Código    : 136.896_x000D_
Corte     : 237_x000D_
-----------------------------_x000D_
Pendente  : _x000D_
22 / 08_2 : 60_x000D_
22 / 09_2 : 181_x000D_
22 / 10_2 : 71_x000D_
22 / 11_2 : 35_x000D_
22 / 12_2 : 32_x000D_
23 / 01_2 : 65_x000D_
23 / 02_2 : 115_x000D_
23 / 03_2 : 42_x000D_
23 / 04_2 : 224_x000D_
23 / 05_2 : _x000D_
23 / 06_2 : 170_x000D_
23 / 07_2 : 150_x000D_
_x000D_
    TOTAL : ( 1.145 )_x000D_
  DIVISOR : 12_x000D_
    MÉDIA : 95,42</t>
        </r>
      </text>
    </comment>
    <comment ref="AB422" authorId="0" shapeId="0" xr:uid="{39F529F2-ECE2-45E8-AF6F-6FD022710350}">
      <text>
        <r>
          <rPr>
            <sz val="10"/>
            <color indexed="81"/>
            <rFont val="Lucida Console"/>
            <family val="3"/>
          </rPr>
          <t>Última movimentação no estoque em 07/2023 quantidade 150.</t>
        </r>
      </text>
    </comment>
    <comment ref="R423" authorId="0" shapeId="0" xr:uid="{879EA137-E767-408E-BEDC-9B3C875B823C}">
      <text>
        <r>
          <rPr>
            <sz val="10"/>
            <color indexed="81"/>
            <rFont val="Lucida Console"/>
            <family val="3"/>
          </rPr>
          <t>23.02.2018</t>
        </r>
      </text>
    </comment>
    <comment ref="Y423" authorId="0" shapeId="0" xr:uid="{995EE4FF-DA05-4C04-979C-9A91A797B25B}">
      <text>
        <r>
          <rPr>
            <sz val="10"/>
            <color indexed="81"/>
            <rFont val="Courier New"/>
            <family val="3"/>
          </rPr>
          <t>_x000D_
    DESCRIÇÃO DO CÁLCULO_x000D_
Código    : 134.373_x000D_
Corte     : 1.072_x000D_
-----------------------------_x000D_
Pendente  : _x000D_
22 / 08_2 : 277_x000D_
22 / 09_2 : 900_x000D_
22 / 10_2 : 550_x000D_
22 / 11_2 : 135_x000D_
22 / 12_2 : 400_x000D_
23 / 01_2 : 820_x000D_
23 / 02_2 : 475_x000D_
23 / 03_2 : 526_x000D_
23 / 04_2 : 925_x000D_
23 / 05_2 : 50_x000D_
23 / 06_2 : 375_x000D_
23 / 07_2 : 650_x000D_
_x000D_
    TOTAL : ( 6.083 )_x000D_
  DIVISOR : 12_x000D_
    MÉDIA : 506,92</t>
        </r>
      </text>
    </comment>
    <comment ref="AB423" authorId="0" shapeId="0" xr:uid="{A08F74FE-A0B2-4079-B43E-8DD1100A2477}">
      <text>
        <r>
          <rPr>
            <sz val="10"/>
            <color indexed="81"/>
            <rFont val="Lucida Console"/>
            <family val="3"/>
          </rPr>
          <t>Última movimentação no estoque em 07/2023 quantidade 650.</t>
        </r>
      </text>
    </comment>
    <comment ref="R424" authorId="0" shapeId="0" xr:uid="{9A2B93D5-0B19-4018-AA25-4C4E20C31747}">
      <text>
        <r>
          <rPr>
            <sz val="10"/>
            <color indexed="81"/>
            <rFont val="Lucida Console"/>
            <family val="3"/>
          </rPr>
          <t>18.05.2018</t>
        </r>
      </text>
    </comment>
    <comment ref="Y424" authorId="0" shapeId="0" xr:uid="{FA9F339E-1569-4C0E-962A-A062703A8F4E}">
      <text>
        <r>
          <rPr>
            <sz val="10"/>
            <color indexed="81"/>
            <rFont val="Courier New"/>
            <family val="3"/>
          </rPr>
          <t>_x000D_
    DESCRIÇÃO DO CÁLCULO_x000D_
Código    : 135.088_x000D_
Corte     : 107_x000D_
-----------------------------_x000D_
Pendente  : _x000D_
22 / 08_2 : _x000D_
22 / 09_2 : 50_x000D_
22 / 10_2 : 50_x000D_
22 / 11_2 : _x000D_
22 / 12_2 : 75_x000D_
23 / 01_2 : 107 (corte = 125)_x000D_
23 / 02_2 : 3_x000D_
23 / 03_2 : _x000D_
23 / 04_2 : _x000D_
23 / 05_2 : 2_x000D_
23 / 06_2 : 2_x000D_
23 / 07_2 : _x000D_
_x000D_
    TOTAL : ( 289 )_x000D_
  DIVISOR : 12_x000D_
    MÉDIA : 24,08_x000D_
-----------------------------_x000D_
   Valores Desconsiderados_x000D_
-----------------------------_x000D_
23 / 01_2 : 18 (125)_x000D_
_x000D_
  TOTAL   : ( 18 )</t>
        </r>
      </text>
    </comment>
    <comment ref="AB424" authorId="0" shapeId="0" xr:uid="{6FCBC619-E680-42FA-BE4E-E2C36958B7FB}">
      <text>
        <r>
          <rPr>
            <sz val="10"/>
            <color indexed="81"/>
            <rFont val="Lucida Console"/>
            <family val="3"/>
          </rPr>
          <t>Última movimentação no estoque em 06/2023 quantidade 2.</t>
        </r>
      </text>
    </comment>
    <comment ref="R425" authorId="0" shapeId="0" xr:uid="{76599DCB-65A3-4578-BE08-D0F144B549EF}">
      <text>
        <r>
          <rPr>
            <sz val="10"/>
            <color indexed="81"/>
            <rFont val="Lucida Console"/>
            <family val="3"/>
          </rPr>
          <t>11.11.2016</t>
        </r>
      </text>
    </comment>
    <comment ref="Y425" authorId="0" shapeId="0" xr:uid="{53DAB7BC-C13B-4F40-B862-2036853B4F3B}">
      <text>
        <r>
          <rPr>
            <sz val="10"/>
            <color indexed="81"/>
            <rFont val="Courier New"/>
            <family val="3"/>
          </rPr>
          <t>_x000D_
    DESCRIÇÃO DO CÁLCULO_x000D_
Código    : 132.300_x000D_
Corte     : 6.432_x000D_
-----------------------------_x000D_
Pendente  : 250_x000D_
22 / 08_2 : 228_x000D_
22 / 09_2 : 217_x000D_
22 / 10_2 : 264_x000D_
22 / 11_2 : 294_x000D_
22 / 12_2 : 174_x000D_
23 / 01_2 : 90_x000D_
23 / 02_2 : 217_x000D_
23 / 03_2 : 6.432 (corte = 9919)_x000D_
23 / 04_2 : 211_x000D_
23 / 05_2 : 211_x000D_
23 / 06_2 : 274_x000D_
23 / 07_2 : 341_x000D_
_x000D_
    TOTAL : ( 9.203 )_x000D_
  DIVISOR : 12_x000D_
    MÉDIA : 766,92_x000D_
-----------------------------_x000D_
   Valores Desconsiderados_x000D_
-----------------------------_x000D_
23 / 03_2 : 3.487 (9.919)_x000D_
_x000D_
  TOTAL   : ( 3.487 )</t>
        </r>
      </text>
    </comment>
    <comment ref="AB425" authorId="0" shapeId="0" xr:uid="{9165BD8A-5674-40B6-B0BE-FE2A45AACAB3}">
      <text>
        <r>
          <rPr>
            <sz val="10"/>
            <color indexed="81"/>
            <rFont val="Lucida Console"/>
            <family val="3"/>
          </rPr>
          <t>Última movimentação no estoque em 07/2023 quantidade 341.</t>
        </r>
      </text>
    </comment>
    <comment ref="R426" authorId="0" shapeId="0" xr:uid="{987C103B-930B-4A34-8DA3-D9CD877779C2}">
      <text>
        <r>
          <rPr>
            <sz val="10"/>
            <color indexed="81"/>
            <rFont val="Lucida Console"/>
            <family val="3"/>
          </rPr>
          <t>26.06.2018</t>
        </r>
      </text>
    </comment>
    <comment ref="Y426" authorId="0" shapeId="0" xr:uid="{82AB2311-1DA3-4ACC-8F13-1A3FC29A048B}">
      <text>
        <r>
          <rPr>
            <sz val="10"/>
            <color indexed="81"/>
            <rFont val="Courier New"/>
            <family val="3"/>
          </rPr>
          <t>_x000D_
    DESCRIÇÃO DO CÁLCULO_x000D_
Código    : 135.297_x000D_
Corte     : 8.289_x000D_
-----------------------------_x000D_
Pendente  : 29_x000D_
22 / 08_2 : 145_x000D_
22 / 09_2 : 122_x000D_
22 / 10_2 : 130_x000D_
22 / 11_2 : 176_x000D_
22 / 12_2 : 53_x000D_
23 / 01_2 : 75_x000D_
23 / 02_2 : _x000D_
23 / 03_2 : 8.289 (corte = 12925)_x000D_
23 / 04_2 : 69_x000D_
23 / 05_2 : 99_x000D_
23 / 06_2 : 122_x000D_
23 / 07_2 : 110_x000D_
_x000D_
    TOTAL : ( 9.419 )_x000D_
  DIVISOR : 12_x000D_
    MÉDIA : 784,92_x000D_
-----------------------------_x000D_
   Valores Desconsiderados_x000D_
-----------------------------_x000D_
23 / 03_2 : 4.636 (12.925)_x000D_
_x000D_
  TOTAL   : ( 4.636 )</t>
        </r>
      </text>
    </comment>
    <comment ref="AB426" authorId="0" shapeId="0" xr:uid="{1FB00226-E3A3-41CF-BABF-A781980176CF}">
      <text>
        <r>
          <rPr>
            <sz val="10"/>
            <color indexed="81"/>
            <rFont val="Lucida Console"/>
            <family val="3"/>
          </rPr>
          <t>Última movimentação no estoque em 07/2023 quantidade 110.</t>
        </r>
      </text>
    </comment>
    <comment ref="R427" authorId="0" shapeId="0" xr:uid="{ACD61F90-E6BA-4528-A8B3-08EB51064105}">
      <text>
        <r>
          <rPr>
            <sz val="10"/>
            <color indexed="81"/>
            <rFont val="Lucida Console"/>
            <family val="3"/>
          </rPr>
          <t>12.09.2019</t>
        </r>
      </text>
    </comment>
    <comment ref="Y427" authorId="0" shapeId="0" xr:uid="{85918D9C-0823-470C-B1C2-F5CF5526A4BE}">
      <text>
        <r>
          <rPr>
            <sz val="10"/>
            <color indexed="81"/>
            <rFont val="Courier New"/>
            <family val="3"/>
          </rPr>
          <t>_x000D_
    DESCRIÇÃO DO CÁLCULO_x000D_
Código    : 138.463_x000D_
Corte     : 10.267_x000D_
-----------------------------_x000D_
Pendente  : 71_x000D_
22 / 08_2 : 636_x000D_
22 / 09_2 : 359_x000D_
22 / 10_2 : 485_x000D_
22 / 11_2 : 408_x000D_
22 / 12_2 : 166_x000D_
23 / 01_2 : 139_x000D_
23 / 02_2 : 8.245_x000D_
23 / 03_2 : 10.267 (corte = 13385)_x000D_
23 / 04_2 : 593_x000D_
23 / 05_2 : 364_x000D_
23 / 06_2 : 388_x000D_
23 / 07_2 : 366_x000D_
_x000D_
    TOTAL : ( 22.487 )_x000D_
  DIVISOR : 12_x000D_
    MÉDIA : 1.873,92_x000D_
-----------------------------_x000D_
   Valores Desconsiderados_x000D_
-----------------------------_x000D_
23 / 03_2 : 3.118 (13.385)_x000D_
_x000D_
  TOTAL   : ( 3.118 )</t>
        </r>
      </text>
    </comment>
    <comment ref="AB427" authorId="0" shapeId="0" xr:uid="{69879012-AEF0-441B-932A-1116BA255A78}">
      <text>
        <r>
          <rPr>
            <sz val="10"/>
            <color indexed="81"/>
            <rFont val="Lucida Console"/>
            <family val="3"/>
          </rPr>
          <t>Última movimentação no estoque em 07/2023 quantidade 366.</t>
        </r>
      </text>
    </comment>
    <comment ref="R428" authorId="0" shapeId="0" xr:uid="{451D1105-299B-4ACA-8E50-BF5FF82B059A}">
      <text>
        <r>
          <rPr>
            <sz val="10"/>
            <color indexed="81"/>
            <rFont val="Lucida Console"/>
            <family val="3"/>
          </rPr>
          <t>12.09.2019</t>
        </r>
      </text>
    </comment>
    <comment ref="Y428" authorId="0" shapeId="0" xr:uid="{98EFEFEB-8C72-4B2F-AC1D-30636CB1ADC9}">
      <text>
        <r>
          <rPr>
            <sz val="10"/>
            <color indexed="81"/>
            <rFont val="Courier New"/>
            <family val="3"/>
          </rPr>
          <t>_x000D_
    DESCRIÇÃO DO CÁLCULO_x000D_
Código    : 138.464_x000D_
Corte     : 12.537_x000D_
-----------------------------_x000D_
Pendente  : 155_x000D_
22 / 08_2 : 7.474_x000D_
22 / 09_2 : 5.015_x000D_
22 / 10_2 : 5.505_x000D_
22 / 11_2 : 6.268_x000D_
22 / 12_2 : 3.056_x000D_
23 / 01_2 : 471_x000D_
23 / 02_2 : 5.228_x000D_
23 / 03_2 : 12.537 (corte = 14402)_x000D_
23 / 04_2 : 5.318_x000D_
23 / 05_2 : 4.895_x000D_
23 / 06_2 : 4.763_x000D_
23 / 07_2 : 4.754_x000D_
_x000D_
    TOTAL : ( 65.439 )_x000D_
  DIVISOR : 12_x000D_
    MÉDIA : 5.453,25_x000D_
-----------------------------_x000D_
   Valores Desconsiderados_x000D_
-----------------------------_x000D_
23 / 03_2 : 1.865 (14.402)_x000D_
_x000D_
  TOTAL   : ( 1.865 )</t>
        </r>
      </text>
    </comment>
    <comment ref="AB428" authorId="0" shapeId="0" xr:uid="{82019ADC-7EEB-44CE-94FC-B221B3D38F26}">
      <text>
        <r>
          <rPr>
            <sz val="10"/>
            <color indexed="81"/>
            <rFont val="Lucida Console"/>
            <family val="3"/>
          </rPr>
          <t>Última movimentação no estoque em 07/2023 quantidade 4.754.</t>
        </r>
      </text>
    </comment>
    <comment ref="R429" authorId="0" shapeId="0" xr:uid="{171644E2-0CFF-4F95-B97B-338EBB11C58E}">
      <text>
        <r>
          <rPr>
            <sz val="10"/>
            <color indexed="81"/>
            <rFont val="Lucida Console"/>
            <family val="3"/>
          </rPr>
          <t>08.08.2016</t>
        </r>
      </text>
    </comment>
    <comment ref="Y429" authorId="0" shapeId="0" xr:uid="{5E955E99-987C-4268-9BAF-40EB5C9A3DEA}">
      <text>
        <r>
          <rPr>
            <sz val="10"/>
            <color indexed="81"/>
            <rFont val="Courier New"/>
            <family val="3"/>
          </rPr>
          <t>_x000D_
    DESCRIÇÃO DO CÁLCULO_x000D_
Código    : 131.927_x000D_
Corte     : 2.391_x000D_
-----------------------------_x000D_
Pendente  : 405_x000D_
22 / 08_2 : 208_x000D_
22 / 09_2 : 191_x000D_
22 / 10_2 : 255_x000D_
22 / 11_2 : 278_x000D_
22 / 12_2 : 493_x000D_
23 / 01_2 : 203_x000D_
23 / 02_2 : 223_x000D_
23 / 03_2 : 2.391 (corte = 3575)_x000D_
23 / 04_2 : 15_x000D_
23 / 05_2 : _x000D_
23 / 06_2 : 76_x000D_
23 / 07_2 : _x000D_
_x000D_
    TOTAL : ( 4.738 )_x000D_
  DIVISOR : 12_x000D_
    MÉDIA : 394,83_x000D_
-----------------------------_x000D_
   Valores Desconsiderados_x000D_
-----------------------------_x000D_
23 / 03_2 : 1.184 (3.575)_x000D_
_x000D_
  TOTAL   : ( 1.184 )</t>
        </r>
      </text>
    </comment>
    <comment ref="AB429" authorId="0" shapeId="0" xr:uid="{2B076601-3A5D-4AFC-A4C4-94EC61B2D998}">
      <text>
        <r>
          <rPr>
            <sz val="10"/>
            <color indexed="81"/>
            <rFont val="Lucida Console"/>
            <family val="3"/>
          </rPr>
          <t>Última movimentação no estoque em 06/2023 quantidade 76.</t>
        </r>
      </text>
    </comment>
    <comment ref="R430" authorId="0" shapeId="0" xr:uid="{72035E7D-835A-498B-B82F-3C4EC080A40C}">
      <text>
        <r>
          <rPr>
            <sz val="10"/>
            <color indexed="81"/>
            <rFont val="Lucida Console"/>
            <family val="3"/>
          </rPr>
          <t>08.08.2016</t>
        </r>
      </text>
    </comment>
    <comment ref="Y430" authorId="0" shapeId="0" xr:uid="{D2C7087D-F654-4D81-A619-209676B0E65C}">
      <text>
        <r>
          <rPr>
            <sz val="10"/>
            <color indexed="81"/>
            <rFont val="Courier New"/>
            <family val="3"/>
          </rPr>
          <t>_x000D_
    DESCRIÇÃO DO CÁLCULO_x000D_
Código    : 131.926_x000D_
Corte     : 610_x000D_
-----------------------------_x000D_
Pendente  : 546_x000D_
22 / 08_2 : 546_x000D_
22 / 09_2 : 255_x000D_
22 / 10_2 : _x000D_
22 / 11_2 : 58_x000D_
22 / 12_2 : _x000D_
23 / 01_2 : _x000D_
23 / 02_2 : _x000D_
23 / 03_2 : _x000D_
23 / 04_2 : _x000D_
23 / 05_2 : _x000D_
23 / 06_2 : 137_x000D_
23 / 07_2 : 466_x000D_
_x000D_
    TOTAL : ( 2.008 )_x000D_
  DIVISOR : 12_x000D_
    MÉDIA : 167,33</t>
        </r>
      </text>
    </comment>
    <comment ref="AB430" authorId="0" shapeId="0" xr:uid="{553B6519-B029-4026-8416-CEBB997260D8}">
      <text>
        <r>
          <rPr>
            <sz val="10"/>
            <color indexed="81"/>
            <rFont val="Lucida Console"/>
            <family val="3"/>
          </rPr>
          <t>Última movimentação no estoque em 07/2023 quantidade 466.</t>
        </r>
      </text>
    </comment>
    <comment ref="R431" authorId="0" shapeId="0" xr:uid="{D5210435-0434-42E0-9112-02F419A4FA72}">
      <text>
        <r>
          <rPr>
            <sz val="10"/>
            <color indexed="81"/>
            <rFont val="Lucida Console"/>
            <family val="3"/>
          </rPr>
          <t>20.11.2020</t>
        </r>
      </text>
    </comment>
    <comment ref="Y431" authorId="0" shapeId="0" xr:uid="{680238D6-114F-4A2A-AD15-AABEBA558467}">
      <text>
        <r>
          <rPr>
            <sz val="10"/>
            <color indexed="81"/>
            <rFont val="Courier New"/>
            <family val="3"/>
          </rPr>
          <t>_x000D_
    DESCRIÇÃO DO CÁLCULO_x000D_
Código    : 140.283_x000D_
Corte     : 14_x000D_
-----------------------------_x000D_
Pendente  : _x000D_
22 / 08_2 : 13_x000D_
22 / 09_2 : 4_x000D_
22 / 10_2 : 2_x000D_
22 / 11_2 : 1_x000D_
22 / 12_2 : 2_x000D_
23 / 01_2 : 5_x000D_
23 / 02_2 : 12_x000D_
23 / 03_2 : 3_x000D_
23 / 04_2 : 13_x000D_
23 / 05_2 : 1_x000D_
23 / 06_2 : _x000D_
23 / 07_2 : _x000D_
_x000D_
    TOTAL : ( 56 )_x000D_
  DIVISOR : 12_x000D_
    MÉDIA : 4,67</t>
        </r>
      </text>
    </comment>
    <comment ref="AB431" authorId="0" shapeId="0" xr:uid="{551C25E0-7A5F-41A1-81A8-5303C5041D6F}">
      <text>
        <r>
          <rPr>
            <sz val="10"/>
            <color indexed="81"/>
            <rFont val="Lucida Console"/>
            <family val="3"/>
          </rPr>
          <t>Última movimentação no estoque em 05/2023 quantidade 1.</t>
        </r>
      </text>
    </comment>
    <comment ref="R432" authorId="0" shapeId="0" xr:uid="{8C9DEFFF-C652-4BFA-912B-34175B121F7A}">
      <text>
        <r>
          <rPr>
            <sz val="10"/>
            <color indexed="81"/>
            <rFont val="Lucida Console"/>
            <family val="3"/>
          </rPr>
          <t>25.04.2017</t>
        </r>
      </text>
    </comment>
    <comment ref="Y432" authorId="0" shapeId="0" xr:uid="{386A05B8-B13F-4717-A256-9E6039C4AB55}">
      <text>
        <r>
          <rPr>
            <sz val="10"/>
            <color indexed="81"/>
            <rFont val="Courier New"/>
            <family val="3"/>
          </rPr>
          <t>_x000D_
    DESCRIÇÃO DO CÁLCULO_x000D_
Código    : 132.624_x000D_
Corte     : 3_x000D_
-----------------------------_x000D_
Pendente  : _x000D_
22 / 08_2 : 3_x000D_
22 / 09_2 : _x000D_
22 / 10_2 : _x000D_
22 / 11_2 : 2_x000D_
22 / 12_2 : _x000D_
23 / 01_2 : 3 (corte = 4)_x000D_
23 / 02_2 : _x000D_
23 / 03_2 : 1_x000D_
23 / 04_2 : _x000D_
23 / 05_2 : 1_x000D_
23 / 06_2 : 1_x000D_
23 / 07_2 : _x000D_
_x000D_
    TOTAL : ( 11 )_x000D_
  DIVISOR : 12_x000D_
    MÉDIA : ,92_x000D_
-----------------------------_x000D_
   Valores Desconsiderados_x000D_
-----------------------------_x000D_
23 / 01_2 : 1 (4)_x000D_
_x000D_
  TOTAL   : ( 1 )</t>
        </r>
      </text>
    </comment>
    <comment ref="AB432" authorId="0" shapeId="0" xr:uid="{97BCBEED-B6B3-456A-BD0F-31EB8E3371CA}">
      <text>
        <r>
          <rPr>
            <sz val="10"/>
            <color indexed="81"/>
            <rFont val="Lucida Console"/>
            <family val="3"/>
          </rPr>
          <t>Última movimentação no estoque em 06/2023 quantidade 1.</t>
        </r>
      </text>
    </comment>
    <comment ref="R433" authorId="0" shapeId="0" xr:uid="{62A96131-948A-4C15-953D-8AC6567BCE99}">
      <text>
        <r>
          <rPr>
            <sz val="10"/>
            <color indexed="81"/>
            <rFont val="Lucida Console"/>
            <family val="3"/>
          </rPr>
          <t>01.01.1901</t>
        </r>
      </text>
    </comment>
    <comment ref="Y433" authorId="0" shapeId="0" xr:uid="{D2DBF307-7DF7-474A-B761-05CF2F6F3D22}">
      <text>
        <r>
          <rPr>
            <sz val="10"/>
            <color indexed="81"/>
            <rFont val="Courier New"/>
            <family val="3"/>
          </rPr>
          <t>_x000D_
    DESCRIÇÃO DO CÁLCULO_x000D_
Código    : 10.359_x000D_
Corte     : 273_x000D_
-----------------------------_x000D_
Pendente  : _x000D_
22 / 08_2 : 180_x000D_
22 / 09_2 : 219_x000D_
22 / 10_2 : 200_x000D_
22 / 11_2 : 172_x000D_
22 / 12_2 : 218_x000D_
23 / 01_2 : 243_x000D_
23 / 02_2 : 178_x000D_
23 / 03_2 : 237_x000D_
23 / 04_2 : 239_x000D_
23 / 05_2 : 260_x000D_
23 / 06_2 : 235_x000D_
23 / 07_2 : 216_x000D_
_x000D_
    TOTAL : ( 2.597 )_x000D_
  DIVISOR : 12_x000D_
    MÉDIA : 216,42</t>
        </r>
      </text>
    </comment>
    <comment ref="AB433" authorId="0" shapeId="0" xr:uid="{0E9E841A-3784-4451-A886-33333FAE7044}">
      <text>
        <r>
          <rPr>
            <sz val="10"/>
            <color indexed="81"/>
            <rFont val="Lucida Console"/>
            <family val="3"/>
          </rPr>
          <t>Última movimentação no estoque em 07/2023 quantidade 216.</t>
        </r>
      </text>
    </comment>
    <comment ref="R434" authorId="0" shapeId="0" xr:uid="{07DAB7CA-7B62-4887-9614-6203E08AC73A}">
      <text>
        <r>
          <rPr>
            <sz val="10"/>
            <color indexed="81"/>
            <rFont val="Lucida Console"/>
            <family val="3"/>
          </rPr>
          <t>01.01.1901</t>
        </r>
      </text>
    </comment>
    <comment ref="Y434" authorId="0" shapeId="0" xr:uid="{CA2181F4-362A-42F6-BD6F-C4D490E55249}">
      <text>
        <r>
          <rPr>
            <sz val="10"/>
            <color indexed="81"/>
            <rFont val="Courier New"/>
            <family val="3"/>
          </rPr>
          <t>_x000D_
    DESCRIÇÃO DO CÁLCULO_x000D_
Código    : 4.680_x000D_
Corte     : 3.060_x000D_
-----------------------------_x000D_
Pendente  : 44_x000D_
22 / 08_2 : 1.831_x000D_
22 / 09_2 : 1.796_x000D_
22 / 10_2 : 1.781_x000D_
22 / 11_2 : 1.754_x000D_
22 / 12_2 : 1.378_x000D_
23 / 01_2 : 303_x000D_
23 / 02_2 : 1.316_x000D_
23 / 03_2 : 2.517_x000D_
23 / 04_2 : 1.508_x000D_
23 / 05_2 : 2.019_x000D_
23 / 06_2 : 2.078_x000D_
23 / 07_2 : 1.881_x000D_
_x000D_
    TOTAL : ( 20.206 )_x000D_
  DIVISOR : 12_x000D_
    MÉDIA : 1.683,83</t>
        </r>
      </text>
    </comment>
    <comment ref="AB434" authorId="0" shapeId="0" xr:uid="{F2B7A50E-F3A6-4C73-BCAE-4BCD5C3AAF4C}">
      <text>
        <r>
          <rPr>
            <sz val="10"/>
            <color indexed="81"/>
            <rFont val="Lucida Console"/>
            <family val="3"/>
          </rPr>
          <t>Última movimentação no estoque em 07/2023 quantidade 1.881.</t>
        </r>
      </text>
    </comment>
    <comment ref="R435" authorId="0" shapeId="0" xr:uid="{AEB74404-186B-4A22-9E45-99AA1D56E67D}">
      <text>
        <r>
          <rPr>
            <sz val="10"/>
            <color indexed="81"/>
            <rFont val="Lucida Console"/>
            <family val="3"/>
          </rPr>
          <t>01.01.1901</t>
        </r>
      </text>
    </comment>
    <comment ref="Y435" authorId="0" shapeId="0" xr:uid="{59B09A62-B99F-4A35-8352-C1A4383F618D}">
      <text>
        <r>
          <rPr>
            <sz val="10"/>
            <color indexed="81"/>
            <rFont val="Courier New"/>
            <family val="3"/>
          </rPr>
          <t>_x000D_
    DESCRIÇÃO DO CÁLCULO_x000D_
Código    : 2.278_x000D_
Corte     : _x000D_
-----------------------------_x000D_
Pendente  : _x000D_
22 / 08_2 : _x000D_
22 / 09_2 : _x000D_
22 / 10_2 :  (corte = 1)_x000D_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10_2 : 1 (1)_x000D_
_x000D_
  TOTAL   : ( 1 )</t>
        </r>
      </text>
    </comment>
    <comment ref="AB435" authorId="0" shapeId="0" xr:uid="{475F611C-C330-40D3-B83F-BC7F0AFB0881}">
      <text>
        <r>
          <rPr>
            <sz val="10"/>
            <color indexed="81"/>
            <rFont val="Lucida Console"/>
            <family val="3"/>
          </rPr>
          <t>Última movimentação no estoque em 10/2022 quantidade 1.</t>
        </r>
      </text>
    </comment>
    <comment ref="R436" authorId="0" shapeId="0" xr:uid="{4E9AEFE1-FB62-4066-8941-0577AFDF8EAF}">
      <text>
        <r>
          <rPr>
            <sz val="10"/>
            <color indexed="81"/>
            <rFont val="Lucida Console"/>
            <family val="3"/>
          </rPr>
          <t>20.09.2017</t>
        </r>
      </text>
    </comment>
    <comment ref="Y436" authorId="0" shapeId="0" xr:uid="{7A22F4C4-67C3-4886-B7EC-570795E08E99}">
      <text>
        <r>
          <rPr>
            <sz val="10"/>
            <color indexed="81"/>
            <rFont val="Courier New"/>
            <family val="3"/>
          </rPr>
          <t>_x000D_
    DESCRIÇÃO DO CÁLCULO_x000D_
Código    : 133.451_x000D_
Corte     : 263_x000D_
-----------------------------_x000D_
Pendente  : _x000D_
22 / 08_2 : 47_x000D_
22 / 09_2 : 65_x000D_
22 / 10_2 : 263 (corte = 347)_x000D_
22 / 11_2 : 71_x000D_
22 / 12_2 : 30_x000D_
23 / 01_2 : 112_x000D_
23 / 02_2 : 90_x000D_
23 / 03_2 : 133_x000D_
23 / 04_2 : 71_x000D_
23 / 05_2 : 72_x000D_
23 / 06_2 : 65_x000D_
23 / 07_2 : 42_x000D_
_x000D_
    TOTAL : ( 1.061 )_x000D_
  DIVISOR : 12_x000D_
    MÉDIA : 88,42_x000D_
-----------------------------_x000D_
   Valores Desconsiderados_x000D_
-----------------------------_x000D_
22 / 10_2 : 84 (347)_x000D_
_x000D_
  TOTAL   : ( 84 )</t>
        </r>
      </text>
    </comment>
    <comment ref="AB436" authorId="0" shapeId="0" xr:uid="{9B8F5BB1-B186-4C09-8DB6-612EE746931F}">
      <text>
        <r>
          <rPr>
            <sz val="10"/>
            <color indexed="81"/>
            <rFont val="Lucida Console"/>
            <family val="3"/>
          </rPr>
          <t>Última movimentação no estoque em 07/2023 quantidade 42.</t>
        </r>
      </text>
    </comment>
    <comment ref="R437" authorId="0" shapeId="0" xr:uid="{8975D8B7-3A99-4F8F-B581-575E3AD081C1}">
      <text>
        <r>
          <rPr>
            <sz val="10"/>
            <color indexed="81"/>
            <rFont val="Lucida Console"/>
            <family val="3"/>
          </rPr>
          <t>20.09.2017</t>
        </r>
      </text>
    </comment>
    <comment ref="Y437" authorId="0" shapeId="0" xr:uid="{205A63A9-C38F-4D5C-A594-ECAC7CDCC3AC}">
      <text>
        <r>
          <rPr>
            <sz val="10"/>
            <color indexed="81"/>
            <rFont val="Courier New"/>
            <family val="3"/>
          </rPr>
          <t>_x000D_
    DESCRIÇÃO DO CÁLCULO_x000D_
Código    : 133.450_x000D_
Corte     : 98_x000D_
-----------------------------_x000D_
Pendente  : _x000D_
22 / 08_2 : 40_x000D_
22 / 09_2 : 41_x000D_
22 / 10_2 : 40_x000D_
22 / 11_2 : 55_x000D_
22 / 12_2 : 36_x000D_
23 / 01_2 : 90_x000D_
23 / 02_2 : 72_x000D_
23 / 03_2 : 98_x000D_
23 / 04_2 : 58_x000D_
23 / 05_2 : 58_x000D_
23 / 06_2 : 58_x000D_
23 / 07_2 : 35_x000D_
_x000D_
    TOTAL : ( 681 )_x000D_
  DIVISOR : 12_x000D_
    MÉDIA : 56,75</t>
        </r>
      </text>
    </comment>
    <comment ref="AB437" authorId="0" shapeId="0" xr:uid="{0803B68C-CC1D-4A2F-8FE3-02750241DEAE}">
      <text>
        <r>
          <rPr>
            <sz val="10"/>
            <color indexed="81"/>
            <rFont val="Lucida Console"/>
            <family val="3"/>
          </rPr>
          <t>Última movimentação no estoque em 07/2023 quantidade 35.</t>
        </r>
      </text>
    </comment>
    <comment ref="R438" authorId="0" shapeId="0" xr:uid="{452EAF50-B5EA-4551-81F3-0FF0A57CEF8D}">
      <text>
        <r>
          <rPr>
            <sz val="10"/>
            <color indexed="81"/>
            <rFont val="Lucida Console"/>
            <family val="3"/>
          </rPr>
          <t>01.01.1901</t>
        </r>
      </text>
    </comment>
    <comment ref="Y438" authorId="0" shapeId="0" xr:uid="{F1E23E87-C739-4333-8E5F-3F3FBA4BAA3E}">
      <text>
        <r>
          <rPr>
            <sz val="10"/>
            <color indexed="81"/>
            <rFont val="Courier New"/>
            <family val="3"/>
          </rPr>
          <t>_x000D_
    DESCRIÇÃO DO CÁLCULO_x000D_
Código    : 12.018_x000D_
Corte     : 27_x000D_
-----------------------------_x000D_
Pendente  : _x000D_
22 / 08_2 : 9_x000D_
22 / 09_2 : 7_x000D_
22 / 10_2 : 5_x000D_
22 / 11_2 : 17_x000D_
22 / 12_2 : 7_x000D_
23 / 01_2 : 17_x000D_
23 / 02_2 : 15_x000D_
23 / 03_2 : 27_x000D_
23 / 04_2 : 14_x000D_
23 / 05_2 : 17_x000D_
23 / 06_2 : 23_x000D_
23 / 07_2 : 12_x000D_
_x000D_
    TOTAL : ( 170 )_x000D_
  DIVISOR : 12_x000D_
    MÉDIA : 14,17</t>
        </r>
      </text>
    </comment>
    <comment ref="AB438" authorId="0" shapeId="0" xr:uid="{A0D69D1A-8039-4D73-B26E-164113E3EDBE}">
      <text>
        <r>
          <rPr>
            <sz val="10"/>
            <color indexed="81"/>
            <rFont val="Lucida Console"/>
            <family val="3"/>
          </rPr>
          <t>Última movimentação no estoque em 07/2023 quantidade 12.</t>
        </r>
      </text>
    </comment>
    <comment ref="R439" authorId="0" shapeId="0" xr:uid="{1E016621-910C-4671-AE02-F3C496929C24}">
      <text>
        <r>
          <rPr>
            <sz val="10"/>
            <color indexed="81"/>
            <rFont val="Lucida Console"/>
            <family val="3"/>
          </rPr>
          <t>01.01.1901</t>
        </r>
      </text>
    </comment>
    <comment ref="Y439" authorId="0" shapeId="0" xr:uid="{F5D3089F-F52A-4F33-BEC3-E2C8D653788D}">
      <text>
        <r>
          <rPr>
            <sz val="10"/>
            <color indexed="81"/>
            <rFont val="Courier New"/>
            <family val="3"/>
          </rPr>
          <t>_x000D_
    DESCRIÇÃO DO CÁLCULO_x000D_
Código    : 60.973_x000D_
Corte     : 24_x000D_
-----------------------------_x000D_
Pendente  : 5_x000D_
22 / 08_2 : 10_x000D_
22 / 09_2 : 10_x000D_
22 / 10_2 : 6_x000D_
22 / 11_2 : _x000D_
22 / 12_2 : 10_x000D_
23 / 01_2 : 20_x000D_
23 / 02_2 : 24 (corte = 27)_x000D_
23 / 03_2 : _x000D_
23 / 04_2 : _x000D_
23 / 05_2 : _x000D_
23 / 06_2 : _x000D_
23 / 07_2 : _x000D_
_x000D_
    TOTAL : ( 85 )_x000D_
  DIVISOR : 12_x000D_
    MÉDIA : 7,08_x000D_
-----------------------------_x000D_
   Valores Desconsiderados_x000D_
-----------------------------_x000D_
23 / 02_2 : 3 (27)_x000D_
_x000D_
  TOTAL   : ( 3 )</t>
        </r>
      </text>
    </comment>
    <comment ref="AB439" authorId="0" shapeId="0" xr:uid="{D57ECDCE-8739-4718-A3BF-1CDC4ECF7B9B}">
      <text>
        <r>
          <rPr>
            <sz val="10"/>
            <color indexed="81"/>
            <rFont val="Lucida Console"/>
            <family val="3"/>
          </rPr>
          <t>Última movimentação no estoque em 02/2023 quantidade 27.</t>
        </r>
      </text>
    </comment>
    <comment ref="R440" authorId="0" shapeId="0" xr:uid="{867256A9-C5FE-42C6-9948-8B95F3A0D167}">
      <text>
        <r>
          <rPr>
            <sz val="10"/>
            <color indexed="81"/>
            <rFont val="Lucida Console"/>
            <family val="3"/>
          </rPr>
          <t>01.01.1901</t>
        </r>
      </text>
    </comment>
    <comment ref="Y440" authorId="0" shapeId="0" xr:uid="{F1E2CE13-AE3B-48B4-921A-4F356984F894}">
      <text>
        <r>
          <rPr>
            <sz val="10"/>
            <color indexed="81"/>
            <rFont val="Courier New"/>
            <family val="3"/>
          </rPr>
          <t>_x000D_
    DESCRIÇÃO DO CÁLCULO_x000D_
Código    : 24.551_x000D_
Corte     : 20_x000D_
-----------------------------_x000D_
Pendente  : 22_x000D_
22 / 08_2 : 10_x000D_
22 / 09_2 : _x000D_
22 / 10_2 : 6_x000D_
22 / 11_2 : _x000D_
22 / 12_2 : 10_x000D_
23 / 01_2 : 18_x000D_
23 / 02_2 : _x000D_
23 / 03_2 : _x000D_
23 / 04_2 : _x000D_
23 / 05_2 : _x000D_
23 / 06_2 : _x000D_
23 / 07_2 : _x000D_
_x000D_
    TOTAL : ( 66 )_x000D_
  DIVISOR : 12_x000D_
    MÉDIA : 5,50</t>
        </r>
      </text>
    </comment>
    <comment ref="AB440" authorId="0" shapeId="0" xr:uid="{18024C90-65CE-459E-BED7-7EC2ACA83BBA}">
      <text>
        <r>
          <rPr>
            <sz val="10"/>
            <color indexed="81"/>
            <rFont val="Lucida Console"/>
            <family val="3"/>
          </rPr>
          <t>Última movimentação no estoque em 01/2023 quantidade 18.</t>
        </r>
      </text>
    </comment>
    <comment ref="R441" authorId="0" shapeId="0" xr:uid="{3E37E3C8-38F6-4E0F-920D-F6864DB1905A}">
      <text>
        <r>
          <rPr>
            <sz val="10"/>
            <color indexed="81"/>
            <rFont val="Lucida Console"/>
            <family val="3"/>
          </rPr>
          <t>01.01.1901</t>
        </r>
      </text>
    </comment>
    <comment ref="Y441" authorId="0" shapeId="0" xr:uid="{2000DC58-CAF0-4D61-AFC9-D46B6006AC9E}">
      <text>
        <r>
          <rPr>
            <sz val="10"/>
            <color indexed="81"/>
            <rFont val="Courier New"/>
            <family val="3"/>
          </rPr>
          <t>_x000D_
    DESCRIÇÃO DO CÁLCULO_x000D_
Código    : 13.218_x000D_
Corte     : _x000D_
-----------------------------_x000D_
Pendente  : _x000D_
22 / 08_2 : _x000D_
22 / 09_2 : _x000D_
22 / 10_2 : _x000D_
22 / 11_2 : _x000D_
22 / 12_2 : _x000D_
23 / 01_2 : _x000D_
23 / 02_2 : _x000D_
23 / 03_2 : _x000D_
23 / 04_2 :  (corte = 1)_x000D_
23 / 05_2 : _x000D_
23 / 06_2 : _x000D_
23 / 07_2 : _x000D_
_x000D_
    TOTAL : (  )_x000D_
  DIVISOR : 12_x000D_
    MÉDIA : ,00_x000D_
-----------------------------_x000D_
   Valores Desconsiderados_x000D_
-----------------------------_x000D_
23 / 04_2 : 1 (1)_x000D_
_x000D_
  TOTAL   : ( 1 )</t>
        </r>
      </text>
    </comment>
    <comment ref="AB441" authorId="0" shapeId="0" xr:uid="{0D7E978D-1E40-4F03-8B25-3676251EE6DC}">
      <text>
        <r>
          <rPr>
            <sz val="10"/>
            <color indexed="81"/>
            <rFont val="Lucida Console"/>
            <family val="3"/>
          </rPr>
          <t>Última movimentação no estoque em 04/2023 quantidade 1.</t>
        </r>
      </text>
    </comment>
    <comment ref="R442" authorId="0" shapeId="0" xr:uid="{861A8DA1-3587-437F-AAB0-30F896501D87}">
      <text>
        <r>
          <rPr>
            <sz val="10"/>
            <color indexed="81"/>
            <rFont val="Lucida Console"/>
            <family val="3"/>
          </rPr>
          <t>01.01.1901</t>
        </r>
      </text>
    </comment>
    <comment ref="Y442" authorId="0" shapeId="0" xr:uid="{10CEF6E3-52EF-464A-92B8-5E0A01217A06}">
      <text>
        <r>
          <rPr>
            <sz val="10"/>
            <color indexed="81"/>
            <rFont val="Courier New"/>
            <family val="3"/>
          </rPr>
          <t>_x000D_
    DESCRIÇÃO DO CÁLCULO_x000D_
Código    : 17.662_x000D_
Corte     : 6_x000D_
-----------------------------_x000D_
Pendente  : _x000D_
22 / 08_2 : _x000D_
22 / 09_2 : _x000D_
22 / 10_2 : _x000D_
22 / 11_2 : 6 (corte = 10)_x000D_
22 / 12_2 : _x000D_
23 / 01_2 : _x000D_
23 / 02_2 : _x000D_
23 / 03_2 : _x000D_
23 / 04_2 : _x000D_
23 / 05_2 : _x000D_
23 / 06_2 : _x000D_
23 / 07_2 : _x000D_
_x000D_
    TOTAL : ( 6 )_x000D_
  DIVISOR : 12_x000D_
    MÉDIA : ,50_x000D_
-----------------------------_x000D_
   Valores Desconsiderados_x000D_
-----------------------------_x000D_
22 / 11_2 : 4 (10)_x000D_
_x000D_
  TOTAL   : ( 4 )</t>
        </r>
      </text>
    </comment>
    <comment ref="AB442" authorId="0" shapeId="0" xr:uid="{438F27C5-880A-4101-9CF7-BAA1C259CBD3}">
      <text>
        <r>
          <rPr>
            <sz val="10"/>
            <color indexed="81"/>
            <rFont val="Lucida Console"/>
            <family val="3"/>
          </rPr>
          <t>Última movimentação no estoque em 11/2022 quantidade 10.</t>
        </r>
      </text>
    </comment>
    <comment ref="R443" authorId="0" shapeId="0" xr:uid="{E23C4D39-C4AF-49CB-985E-18ACADB50814}">
      <text>
        <r>
          <rPr>
            <sz val="10"/>
            <color indexed="81"/>
            <rFont val="Lucida Console"/>
            <family val="3"/>
          </rPr>
          <t>01.01.1901</t>
        </r>
      </text>
    </comment>
    <comment ref="Y443" authorId="0" shapeId="0" xr:uid="{668DF913-45C8-4F77-9008-916EE32D3B2C}">
      <text>
        <r>
          <rPr>
            <sz val="10"/>
            <color indexed="81"/>
            <rFont val="Courier New"/>
            <family val="3"/>
          </rPr>
          <t>_x000D_
    DESCRIÇÃO DO CÁLCULO_x000D_
Código    : 13.066_x000D_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443" authorId="0" shapeId="0" xr:uid="{C38DEAA8-A2C1-495A-B6D2-5FC116919FBB}">
      <text>
        <r>
          <rPr>
            <sz val="10"/>
            <color indexed="81"/>
            <rFont val="Lucida Console"/>
            <family val="3"/>
          </rPr>
          <t>Última movimentação no estoque em 05/2023 quantidade 10.</t>
        </r>
      </text>
    </comment>
    <comment ref="R444" authorId="0" shapeId="0" xr:uid="{0FBF68A9-57D3-4355-B609-F85C9E8111E1}">
      <text>
        <r>
          <rPr>
            <sz val="10"/>
            <color indexed="81"/>
            <rFont val="Lucida Console"/>
            <family val="3"/>
          </rPr>
          <t>01.01.1901</t>
        </r>
      </text>
    </comment>
    <comment ref="Y444" authorId="0" shapeId="0" xr:uid="{672B2561-3BB6-4FA4-A3C4-8665C842466E}">
      <text>
        <r>
          <rPr>
            <sz val="10"/>
            <color indexed="81"/>
            <rFont val="Courier New"/>
            <family val="3"/>
          </rPr>
          <t>_x000D_
    DESCRIÇÃO DO CÁLCULO_x000D_
Código    : 13.087_x000D_
Corte     : 19_x000D_
-----------------------------_x000D_
Pendente  : _x000D_
22 / 08_2 : _x000D_
22 / 09_2 : _x000D_
22 / 10_2 : 10_x000D_
22 / 11_2 : 10_x000D_
22 / 12_2 : _x000D_
23 / 01_2 : _x000D_
23 / 02_2 : 19 (corte = 20)_x000D_
23 / 03_2 : _x000D_
23 / 04_2 : _x000D_
23 / 05_2 : 15_x000D_
23 / 06_2 : _x000D_
23 / 07_2 : _x000D_
_x000D_
    TOTAL : ( 54 )_x000D_
  DIVISOR : 12_x000D_
    MÉDIA : 4,50_x000D_
-----------------------------_x000D_
   Valores Desconsiderados_x000D_
-----------------------------_x000D_
23 / 02_2 : 1 (20)_x000D_
_x000D_
  TOTAL   : ( 1 )</t>
        </r>
      </text>
    </comment>
    <comment ref="AB444" authorId="0" shapeId="0" xr:uid="{8880DE04-4806-4215-93FE-568AD02E4870}">
      <text>
        <r>
          <rPr>
            <sz val="10"/>
            <color indexed="81"/>
            <rFont val="Lucida Console"/>
            <family val="3"/>
          </rPr>
          <t>Última movimentação no estoque em 05/2023 quantidade 15.</t>
        </r>
      </text>
    </comment>
    <comment ref="R445" authorId="0" shapeId="0" xr:uid="{A9F4E822-91A5-4B8C-B426-E6B1929667E5}">
      <text>
        <r>
          <rPr>
            <sz val="10"/>
            <color indexed="81"/>
            <rFont val="Lucida Console"/>
            <family val="3"/>
          </rPr>
          <t>01.01.1901</t>
        </r>
      </text>
    </comment>
    <comment ref="Y445" authorId="0" shapeId="0" xr:uid="{333E1494-CF39-4F7F-9686-4B526FB1A5C1}">
      <text>
        <r>
          <rPr>
            <sz val="10"/>
            <color indexed="81"/>
            <rFont val="Courier New"/>
            <family val="3"/>
          </rPr>
          <t>_x000D_
    DESCRIÇÃO DO CÁLCULO_x000D_
Código    : 13.088_x000D_
Corte     : 21_x000D_
-----------------------------_x000D_
Pendente  : _x000D_
22 / 08_2 : _x000D_
22 / 09_2 : _x000D_
22 / 10_2 : _x000D_
22 / 11_2 : _x000D_
22 / 12_2 : _x000D_
23 / 01_2 : _x000D_
23 / 02_2 : 15_x000D_
23 / 03_2 : _x000D_
23 / 04_2 : _x000D_
23 / 05_2 : 21 (corte = 29)_x000D_
23 / 06_2 : _x000D_
23 / 07_2 : _x000D_
_x000D_
    TOTAL : ( 36 )_x000D_
  DIVISOR : 12_x000D_
    MÉDIA : 3,00_x000D_
-----------------------------_x000D_
   Valores Desconsiderados_x000D_
-----------------------------_x000D_
23 / 05_2 : 8 (29)_x000D_
_x000D_
  TOTAL   : ( 8 )</t>
        </r>
      </text>
    </comment>
    <comment ref="AB445" authorId="0" shapeId="0" xr:uid="{3CD34C02-7AC3-48DD-9B1C-972D2366558D}">
      <text>
        <r>
          <rPr>
            <sz val="10"/>
            <color indexed="81"/>
            <rFont val="Lucida Console"/>
            <family val="3"/>
          </rPr>
          <t>Última movimentação no estoque em 05/2023 quantidade 29.</t>
        </r>
      </text>
    </comment>
    <comment ref="R446" authorId="0" shapeId="0" xr:uid="{C7BB7E2E-D4B9-48B9-92EE-DFC922719918}">
      <text>
        <r>
          <rPr>
            <sz val="10"/>
            <color indexed="81"/>
            <rFont val="Lucida Console"/>
            <family val="3"/>
          </rPr>
          <t>01.01.1901</t>
        </r>
      </text>
    </comment>
    <comment ref="Y446" authorId="0" shapeId="0" xr:uid="{EBCA131C-B467-4827-B407-87A1986768A6}">
      <text>
        <r>
          <rPr>
            <sz val="10"/>
            <color indexed="81"/>
            <rFont val="Courier New"/>
            <family val="3"/>
          </rPr>
          <t>_x000D_
    DESCRIÇÃO DO CÁLCULO_x000D_
Código    : 35.555_x000D_
Corte     : 39_x000D_
-----------------------------_x000D_
Pendente  : _x000D_
22 / 08_2 : _x000D_
22 / 09_2 : _x000D_
22 / 10_2 : _x000D_
22 / 11_2 : _x000D_
22 / 12_2 : _x000D_
23 / 01_2 : _x000D_
23 / 02_2 : _x000D_
23 / 03_2 : 20_x000D_
23 / 04_2 : 39 (corte = 55)_x000D_
23 / 05_2 : _x000D_
23 / 06_2 : _x000D_
23 / 07_2 : _x000D_
_x000D_
    TOTAL : ( 59 )_x000D_
  DIVISOR : 12_x000D_
    MÉDIA : 4,92_x000D_
-----------------------------_x000D_
   Valores Desconsiderados_x000D_
-----------------------------_x000D_
23 / 04_2 : 16 (55)_x000D_
_x000D_
  TOTAL   : ( 16 )</t>
        </r>
      </text>
    </comment>
    <comment ref="AB446" authorId="0" shapeId="0" xr:uid="{8E54B66C-7B83-45D9-9DC1-4C10A86348EC}">
      <text>
        <r>
          <rPr>
            <sz val="10"/>
            <color indexed="81"/>
            <rFont val="Lucida Console"/>
            <family val="3"/>
          </rPr>
          <t>Última movimentação no estoque em 04/2023 quantidade 55.</t>
        </r>
      </text>
    </comment>
    <comment ref="R447" authorId="0" shapeId="0" xr:uid="{3AB1ADD1-1F60-4736-821E-5217014A93D7}">
      <text>
        <r>
          <rPr>
            <sz val="10"/>
            <color indexed="81"/>
            <rFont val="Lucida Console"/>
            <family val="3"/>
          </rPr>
          <t>01.01.1901</t>
        </r>
      </text>
    </comment>
    <comment ref="Y447" authorId="0" shapeId="0" xr:uid="{F58555C2-78FE-4A84-9BE1-AA4D5533B699}">
      <text>
        <r>
          <rPr>
            <sz val="10"/>
            <color indexed="81"/>
            <rFont val="Courier New"/>
            <family val="3"/>
          </rPr>
          <t>_x000D_
    DESCRIÇÃO DO CÁLCULO_x000D_
Código    : 35.554_x000D_
Corte     : 28_x000D_
-----------------------------_x000D_
Pendente  : 35_x000D_
22 / 08_2 : 10_x000D_
22 / 09_2 : _x000D_
22 / 10_2 : _x000D_
22 / 11_2 : _x000D_
22 / 12_2 : _x000D_
23 / 01_2 : _x000D_
23 / 02_2 : 11_x000D_
23 / 03_2 : 22_x000D_
23 / 04_2 : 5_x000D_
23 / 05_2 : _x000D_
23 / 06_2 : _x000D_
23 / 07_2 : _x000D_
_x000D_
    TOTAL : ( 83 )_x000D_
  DIVISOR : 12_x000D_
    MÉDIA : 6,92</t>
        </r>
      </text>
    </comment>
    <comment ref="AB447" authorId="0" shapeId="0" xr:uid="{D325F6B4-89DC-4BC7-890E-0562572D0799}">
      <text>
        <r>
          <rPr>
            <sz val="10"/>
            <color indexed="81"/>
            <rFont val="Lucida Console"/>
            <family val="3"/>
          </rPr>
          <t>Última movimentação no estoque em 04/2023 quantidade 5.</t>
        </r>
      </text>
    </comment>
    <comment ref="R448" authorId="0" shapeId="0" xr:uid="{7E7439DB-9B0D-4C52-A1B2-07A959C25C3E}">
      <text>
        <r>
          <rPr>
            <sz val="10"/>
            <color indexed="81"/>
            <rFont val="Lucida Console"/>
            <family val="3"/>
          </rPr>
          <t>01.01.1901</t>
        </r>
      </text>
    </comment>
    <comment ref="Y448" authorId="0" shapeId="0" xr:uid="{DEC353D7-D4E3-4791-AF82-E54BAE9B153F}">
      <text>
        <r>
          <rPr>
            <sz val="10"/>
            <color indexed="81"/>
            <rFont val="Courier New"/>
            <family val="3"/>
          </rPr>
          <t>_x000D_
    DESCRIÇÃO DO CÁLCULO_x000D_
Código    : 35.550_x000D_
Corte     : 43_x000D_
-----------------------------_x000D_
Pendente  : _x000D_
22 / 08_2 : _x000D_
22 / 09_2 : _x000D_
22 / 10_2 : _x000D_
22 / 11_2 : _x000D_
22 / 12_2 : _x000D_
23 / 01_2 : _x000D_
23 / 02_2 : 10_x000D_
23 / 03_2 : 1_x000D_
23 / 04_2 : 43 (corte = 65)_x000D_
23 / 05_2 : _x000D_
23 / 06_2 : _x000D_
23 / 07_2 : _x000D_
_x000D_
    TOTAL : ( 54 )_x000D_
  DIVISOR : 12_x000D_
    MÉDIA : 4,50_x000D_
-----------------------------_x000D_
   Valores Desconsiderados_x000D_
-----------------------------_x000D_
23 / 04_2 : 22 (65)_x000D_
_x000D_
  TOTAL   : ( 22 )</t>
        </r>
      </text>
    </comment>
    <comment ref="AB448" authorId="0" shapeId="0" xr:uid="{667B494A-B863-4D33-96B3-83565380F9C5}">
      <text>
        <r>
          <rPr>
            <sz val="10"/>
            <color indexed="81"/>
            <rFont val="Lucida Console"/>
            <family val="3"/>
          </rPr>
          <t>Última movimentação no estoque em 04/2023 quantidade 65.</t>
        </r>
      </text>
    </comment>
    <comment ref="R449" authorId="0" shapeId="0" xr:uid="{512D13E1-295F-474A-8AF9-4462992E3EB1}">
      <text>
        <r>
          <rPr>
            <sz val="10"/>
            <color indexed="81"/>
            <rFont val="Lucida Console"/>
            <family val="3"/>
          </rPr>
          <t>01.01.1901</t>
        </r>
      </text>
    </comment>
    <comment ref="Y449" authorId="0" shapeId="0" xr:uid="{C5CC1BBD-CBF0-428A-A316-EB6A86EB2056}">
      <text>
        <r>
          <rPr>
            <sz val="10"/>
            <color indexed="81"/>
            <rFont val="Courier New"/>
            <family val="3"/>
          </rPr>
          <t>_x000D_
    DESCRIÇÃO DO CÁLCULO_x000D_
Código    : 17.698_x000D_
Corte     : 99_x000D_
-----------------------------_x000D_
Pendente  : 72_x000D_
22 / 08_2 : 11_x000D_
22 / 09_2 : _x000D_
22 / 10_2 : _x000D_
22 / 11_2 : _x000D_
22 / 12_2 : _x000D_
23 / 01_2 : 60_x000D_
23 / 02_2 : 4_x000D_
23 / 03_2 : 78_x000D_
23 / 04_2 : 3_x000D_
23 / 05_2 : 76_x000D_
23 / 06_2 : 60_x000D_
23 / 07_2 : 23_x000D_
_x000D_
    TOTAL : ( 387 )_x000D_
  DIVISOR : 12_x000D_
    MÉDIA : 32,25</t>
        </r>
      </text>
    </comment>
    <comment ref="AB449" authorId="0" shapeId="0" xr:uid="{7A270592-91DE-477C-992E-00791F308FB9}">
      <text>
        <r>
          <rPr>
            <sz val="10"/>
            <color indexed="81"/>
            <rFont val="Lucida Console"/>
            <family val="3"/>
          </rPr>
          <t>Última movimentação no estoque em 07/2023 quantidade 23.</t>
        </r>
      </text>
    </comment>
    <comment ref="R450" authorId="0" shapeId="0" xr:uid="{9BF6A5E8-51F8-48C7-A26C-301A40336CC1}">
      <text>
        <r>
          <rPr>
            <sz val="10"/>
            <color indexed="81"/>
            <rFont val="Lucida Console"/>
            <family val="3"/>
          </rPr>
          <t>01.01.1901</t>
        </r>
      </text>
    </comment>
    <comment ref="Y450" authorId="0" shapeId="0" xr:uid="{BC9B2457-2F6C-40BA-810D-D616AF27B595}">
      <text>
        <r>
          <rPr>
            <sz val="10"/>
            <color indexed="81"/>
            <rFont val="Courier New"/>
            <family val="3"/>
          </rPr>
          <t>_x000D_
    DESCRIÇÃO DO CÁLCULO_x000D_
Código    : 17.696_x000D_
Corte     : 44_x000D_
-----------------------------_x000D_
Pendente  : 27_x000D_
22 / 08_2 : 5_x000D_
22 / 09_2 : 44 (corte = 55)_x000D_
22 / 10_2 : 29_x000D_
22 / 11_2 : _x000D_
22 / 12_2 : _x000D_
23 / 01_2 : _x000D_
23 / 02_2 : _x000D_
23 / 03_2 : _x000D_
23 / 04_2 : _x000D_
23 / 05_2 : _x000D_
23 / 06_2 : _x000D_
23 / 07_2 : _x000D_
_x000D_
    TOTAL : ( 105 )_x000D_
  DIVISOR : 12_x000D_
    MÉDIA : 8,75_x000D_
-----------------------------_x000D_
   Valores Desconsiderados_x000D_
-----------------------------_x000D_
22 / 09_2 : 11 (55)_x000D_
_x000D_
  TOTAL   : ( 11 )</t>
        </r>
      </text>
    </comment>
    <comment ref="AB450" authorId="0" shapeId="0" xr:uid="{A9461A74-D1E1-418D-9258-213835C2EF3F}">
      <text>
        <r>
          <rPr>
            <sz val="10"/>
            <color indexed="81"/>
            <rFont val="Lucida Console"/>
            <family val="3"/>
          </rPr>
          <t>Última movimentação no estoque em 10/2022 quantidade 29.</t>
        </r>
      </text>
    </comment>
    <comment ref="R451" authorId="0" shapeId="0" xr:uid="{B5089ED8-247C-4F2B-A78E-7246935C6CC0}">
      <text>
        <r>
          <rPr>
            <sz val="10"/>
            <color indexed="81"/>
            <rFont val="Lucida Console"/>
            <family val="3"/>
          </rPr>
          <t>01.01.1901</t>
        </r>
      </text>
    </comment>
    <comment ref="Y451" authorId="0" shapeId="0" xr:uid="{535F61BA-7DE4-4365-97BE-C69A2EEF3136}">
      <text>
        <r>
          <rPr>
            <sz val="10"/>
            <color indexed="81"/>
            <rFont val="Courier New"/>
            <family val="3"/>
          </rPr>
          <t>_x000D_
    DESCRIÇÃO DO CÁLCULO_x000D_
Código    : 13.101_x000D_
Corte     : 28_x000D_
-----------------------------_x000D_
Pendente  : _x000D_
22 / 08_2 : _x000D_
22 / 09_2 : _x000D_
22 / 10_2 : _x000D_
22 / 11_2 : 28 (corte = 30)_x000D_
22 / 12_2 : 20_x000D_
23 / 01_2 : 11_x000D_
23 / 02_2 : 5_x000D_
23 / 03_2 : 20_x000D_
23 / 04_2 : 10_x000D_
23 / 05_2 : 1_x000D_
23 / 06_2 : _x000D_
23 / 07_2 : _x000D_
_x000D_
    TOTAL : ( 95 )_x000D_
  DIVISOR : 12_x000D_
    MÉDIA : 7,92_x000D_
-----------------------------_x000D_
   Valores Desconsiderados_x000D_
-----------------------------_x000D_
22 / 11_2 : 2 (30)_x000D_
_x000D_
  TOTAL   : ( 2 )</t>
        </r>
      </text>
    </comment>
    <comment ref="AB451" authorId="0" shapeId="0" xr:uid="{0BA51FDF-2A19-424C-9AF2-44715F2CF2F3}">
      <text>
        <r>
          <rPr>
            <sz val="10"/>
            <color indexed="81"/>
            <rFont val="Lucida Console"/>
            <family val="3"/>
          </rPr>
          <t>Última movimentação no estoque em 05/2023 quantidade 1.</t>
        </r>
      </text>
    </comment>
    <comment ref="R452" authorId="0" shapeId="0" xr:uid="{6DFFC153-7AE2-4187-98E6-CB1DAADDAB79}">
      <text>
        <r>
          <rPr>
            <sz val="10"/>
            <color indexed="81"/>
            <rFont val="Lucida Console"/>
            <family val="3"/>
          </rPr>
          <t>01.01.1901</t>
        </r>
      </text>
    </comment>
    <comment ref="Y452" authorId="0" shapeId="0" xr:uid="{E5A32AAF-7F67-4827-8ECF-2C9E80A1D325}">
      <text>
        <r>
          <rPr>
            <sz val="10"/>
            <color indexed="81"/>
            <rFont val="Courier New"/>
            <family val="3"/>
          </rPr>
          <t>_x000D_
    DESCRIÇÃO DO CÁLCULO_x000D_
Código    : 13.109_x000D_
Corte     : 95_x000D_
-----------------------------_x000D_
Pendente  : 29_x000D_
22 / 08_2 : 31_x000D_
22 / 09_2 : 94_x000D_
22 / 10_2 : 12_x000D_
22 / 11_2 : 95 (corte = 102)_x000D_
22 / 12_2 : 14_x000D_
23 / 01_2 : 24_x000D_
23 / 02_2 : _x000D_
23 / 03_2 : _x000D_
23 / 04_2 : _x000D_
23 / 05_2 : _x000D_
23 / 06_2 : _x000D_
23 / 07_2 : 12_x000D_
_x000D_
    TOTAL : ( 311 )_x000D_
  DIVISOR : 12_x000D_
    MÉDIA : 25,92_x000D_
-----------------------------_x000D_
   Valores Desconsiderados_x000D_
-----------------------------_x000D_
22 / 11_2 : 7 (102)_x000D_
_x000D_
  TOTAL   : ( 7 )</t>
        </r>
      </text>
    </comment>
    <comment ref="AB452" authorId="0" shapeId="0" xr:uid="{68528DBB-65A4-4902-8DAC-AB63C6D6B3FE}">
      <text>
        <r>
          <rPr>
            <sz val="10"/>
            <color indexed="81"/>
            <rFont val="Lucida Console"/>
            <family val="3"/>
          </rPr>
          <t>Última movimentação no estoque em 07/2023 quantidade 12.</t>
        </r>
      </text>
    </comment>
    <comment ref="R453" authorId="0" shapeId="0" xr:uid="{8186CAFD-4A58-4FA7-A844-85E2D7B2F34A}">
      <text>
        <r>
          <rPr>
            <sz val="10"/>
            <color indexed="81"/>
            <rFont val="Lucida Console"/>
            <family val="3"/>
          </rPr>
          <t>07.11.2005</t>
        </r>
      </text>
    </comment>
    <comment ref="Y453" authorId="0" shapeId="0" xr:uid="{68FC2459-1EF1-4851-BE48-5E285C3E51CE}">
      <text>
        <r>
          <rPr>
            <sz val="10"/>
            <color indexed="81"/>
            <rFont val="Courier New"/>
            <family val="3"/>
          </rPr>
          <t>_x000D_
    DESCRIÇÃO DO CÁLCULO_x000D_
Código    : 88.838_x000D_
Corte     : 497_x000D_
-----------------------------_x000D_
Pendente  : _x000D_
22 / 08_2 : 453_x000D_
22 / 09_2 : 295_x000D_
22 / 10_2 : 448_x000D_
22 / 11_2 : 342_x000D_
22 / 12_2 : 273_x000D_
23 / 01_2 : 133_x000D_
23 / 02_2 : 175_x000D_
23 / 03_2 : 403_x000D_
23 / 04_2 : 197_x000D_
23 / 05_2 : 251_x000D_
23 / 06_2 : 229_x000D_
23 / 07_2 : 271_x000D_
_x000D_
    TOTAL : ( 3.470 )_x000D_
  DIVISOR : 12_x000D_
    MÉDIA : 289,17</t>
        </r>
      </text>
    </comment>
    <comment ref="AB453" authorId="0" shapeId="0" xr:uid="{9E66F775-7C91-4536-BEBD-F39231D9FC82}">
      <text>
        <r>
          <rPr>
            <sz val="10"/>
            <color indexed="81"/>
            <rFont val="Lucida Console"/>
            <family val="3"/>
          </rPr>
          <t>Última movimentação no estoque em 07/2023 quantidade 271.</t>
        </r>
      </text>
    </comment>
    <comment ref="R454" authorId="0" shapeId="0" xr:uid="{BE565E35-7041-430E-9D8C-6F770B98AFDC}">
      <text>
        <r>
          <rPr>
            <sz val="10"/>
            <color indexed="81"/>
            <rFont val="Lucida Console"/>
            <family val="3"/>
          </rPr>
          <t>01.01.1901</t>
        </r>
      </text>
    </comment>
    <comment ref="Y454" authorId="0" shapeId="0" xr:uid="{DD3F88E1-E484-4006-829E-353B095B3787}">
      <text>
        <r>
          <rPr>
            <sz val="10"/>
            <color indexed="81"/>
            <rFont val="Courier New"/>
            <family val="3"/>
          </rPr>
          <t>_x000D_
    DESCRIÇÃO DO CÁLCULO_x000D_
Código    : 71.697_x000D_
Corte     : 365_x000D_
-----------------------------_x000D_
Pendente  : _x000D_
22 / 08_2 : 254_x000D_
22 / 09_2 : 233_x000D_
22 / 10_2 : 276_x000D_
22 / 11_2 : 270_x000D_
22 / 12_2 : 250_x000D_
23 / 01_2 : 88_x000D_
23 / 02_2 : 144_x000D_
23 / 03_2 : 358_x000D_
23 / 04_2 : 177_x000D_
23 / 05_2 : 196_x000D_
23 / 06_2 : 199_x000D_
23 / 07_2 : 256_x000D_
_x000D_
    TOTAL : ( 2.701 )_x000D_
  DIVISOR : 12_x000D_
    MÉDIA : 225,08</t>
        </r>
      </text>
    </comment>
    <comment ref="AB454" authorId="0" shapeId="0" xr:uid="{5163C6C6-4270-4E3B-A779-2C88764170DE}">
      <text>
        <r>
          <rPr>
            <sz val="10"/>
            <color indexed="81"/>
            <rFont val="Lucida Console"/>
            <family val="3"/>
          </rPr>
          <t>Última movimentação no estoque em 07/2023 quantidade 256.</t>
        </r>
      </text>
    </comment>
    <comment ref="R455" authorId="0" shapeId="0" xr:uid="{9F6B91A9-3609-49F1-BECA-9B525C599553}">
      <text>
        <r>
          <rPr>
            <sz val="10"/>
            <color indexed="81"/>
            <rFont val="Lucida Console"/>
            <family val="3"/>
          </rPr>
          <t>01.01.1901</t>
        </r>
      </text>
    </comment>
    <comment ref="Y455" authorId="0" shapeId="0" xr:uid="{17813134-0CD0-480D-BE3C-9552F1690937}">
      <text>
        <r>
          <rPr>
            <sz val="10"/>
            <color indexed="81"/>
            <rFont val="Courier New"/>
            <family val="3"/>
          </rPr>
          <t>_x000D_
    DESCRIÇÃO DO CÁLCULO_x000D_
Código    : 20.167_x000D_
Corte     : 4_x000D_
-----------------------------_x000D_
Pendente  : 2_x000D_
22 / 08_2 : 2_x000D_
22 / 09_2 : 2_x000D_
22 / 10_2 : _x000D_
22 / 11_2 : 2_x000D_
22 / 12_2 : _x000D_
23 / 01_2 : 4 (corte = 5)_x000D_
23 / 02_2 : 1_x000D_
23 / 03_2 : 3_x000D_
23 / 04_2 : _x000D_
23 / 05_2 : 2_x000D_
23 / 06_2 : _x000D_
23 / 07_2 : _x000D_
_x000D_
    TOTAL : ( 18 )_x000D_
  DIVISOR : 12_x000D_
    MÉDIA : 1,50_x000D_
-----------------------------_x000D_
   Valores Desconsiderados_x000D_
-----------------------------_x000D_
23 / 01_2 : 1 (5)_x000D_
_x000D_
  TOTAL   : ( 1 )</t>
        </r>
      </text>
    </comment>
    <comment ref="AB455" authorId="0" shapeId="0" xr:uid="{B47F59C2-CD68-4A57-BAF4-43700787E758}">
      <text>
        <r>
          <rPr>
            <sz val="10"/>
            <color indexed="81"/>
            <rFont val="Lucida Console"/>
            <family val="3"/>
          </rPr>
          <t>Última movimentação no estoque em 05/2023 quantidade 2.</t>
        </r>
      </text>
    </comment>
    <comment ref="R456" authorId="0" shapeId="0" xr:uid="{8E9F3D07-B485-4662-8F10-9580AADDE0A4}">
      <text>
        <r>
          <rPr>
            <sz val="10"/>
            <color indexed="81"/>
            <rFont val="Lucida Console"/>
            <family val="3"/>
          </rPr>
          <t>29.04.2019</t>
        </r>
      </text>
    </comment>
    <comment ref="Y456" authorId="0" shapeId="0" xr:uid="{D65561E1-330A-4F56-9710-76BCA1986AFE}">
      <text>
        <r>
          <rPr>
            <sz val="10"/>
            <color indexed="81"/>
            <rFont val="Courier New"/>
            <family val="3"/>
          </rPr>
          <t>_x000D_
    DESCRIÇÃO DO CÁLCULO_x000D_
Código    : 136.898_x000D_
Corte     : 50_x000D_
-----------------------------_x000D_
Pendente  : 22_x000D_
22 / 08_2 : 20_x000D_
22 / 09_2 : 5_x000D_
22 / 10_2 : 30_x000D_
22 / 11_2 : 42_x000D_
22 / 12_2 : _x000D_
23 / 01_2 : _x000D_
23 / 02_2 : 50_x000D_
23 / 03_2 : _x000D_
23 / 04_2 : _x000D_
23 / 05_2 : _x000D_
23 / 06_2 : _x000D_
23 / 07_2 : _x000D_
_x000D_
    TOTAL : ( 169 )_x000D_
  DIVISOR : 12_x000D_
    MÉDIA : 14,08</t>
        </r>
      </text>
    </comment>
    <comment ref="AB456" authorId="0" shapeId="0" xr:uid="{F29130AB-6AA5-45EA-A4CA-9EAF9B44CAE2}">
      <text>
        <r>
          <rPr>
            <sz val="10"/>
            <color indexed="81"/>
            <rFont val="Lucida Console"/>
            <family val="3"/>
          </rPr>
          <t>Última movimentação no estoque em 02/2023 quantidade 50.</t>
        </r>
      </text>
    </comment>
    <comment ref="R457" authorId="0" shapeId="0" xr:uid="{130D7C5C-DF4B-4AEF-B973-2AD4B967A1AC}">
      <text>
        <r>
          <rPr>
            <sz val="10"/>
            <color indexed="81"/>
            <rFont val="Lucida Console"/>
            <family val="3"/>
          </rPr>
          <t>01.01.1901</t>
        </r>
      </text>
    </comment>
    <comment ref="Y457" authorId="0" shapeId="0" xr:uid="{944812C1-891D-4DE6-A8B9-1044A5AD61F9}">
      <text>
        <r>
          <rPr>
            <sz val="10"/>
            <color indexed="81"/>
            <rFont val="Courier New"/>
            <family val="3"/>
          </rPr>
          <t>_x000D_
    DESCRIÇÃO DO CÁLCULO_x000D_
Código    : 51.222_x000D_
Corte     : 6_x000D_
-----------------------------_x000D_
Pendente  : _x000D_
22 / 08_2 : _x000D_
22 / 09_2 : _x000D_
22 / 10_2 : _x000D_
22 / 11_2 : _x000D_
22 / 12_2 : _x000D_
23 / 01_2 : 6 (corte = 10)_x000D_
23 / 02_2 : _x000D_
23 / 03_2 : _x000D_
23 / 04_2 : _x000D_
23 / 05_2 : _x000D_
23 / 06_2 : _x000D_
23 / 07_2 : _x000D_
_x000D_
    TOTAL : ( 6 )_x000D_
  DIVISOR : 12_x000D_
    MÉDIA : ,50_x000D_
-----------------------------_x000D_
   Valores Desconsiderados_x000D_
-----------------------------_x000D_
23 / 01_2 : 4 (10)_x000D_
_x000D_
  TOTAL   : ( 4 )</t>
        </r>
      </text>
    </comment>
    <comment ref="AB457" authorId="0" shapeId="0" xr:uid="{96F514FB-DCF1-433C-A8D5-7F513F09D6BC}">
      <text>
        <r>
          <rPr>
            <sz val="10"/>
            <color indexed="81"/>
            <rFont val="Lucida Console"/>
            <family val="3"/>
          </rPr>
          <t>Última movimentação no estoque em 01/2023 quantidade 10.</t>
        </r>
      </text>
    </comment>
    <comment ref="R458" authorId="0" shapeId="0" xr:uid="{B968FD1B-5096-4AC8-B27A-C0DA18B485EC}">
      <text>
        <r>
          <rPr>
            <sz val="10"/>
            <color indexed="81"/>
            <rFont val="Lucida Console"/>
            <family val="3"/>
          </rPr>
          <t>01.01.1901</t>
        </r>
      </text>
    </comment>
    <comment ref="Y458" authorId="0" shapeId="0" xr:uid="{C25D8EBF-513E-49DA-BABB-C9A9EBFB0870}">
      <text>
        <r>
          <rPr>
            <sz val="10"/>
            <color indexed="81"/>
            <rFont val="Courier New"/>
            <family val="3"/>
          </rPr>
          <t>_x000D_
    DESCRIÇÃO DO CÁLCULO_x000D_
Código    : 15.167_x000D_
Corte     : 150_x000D_
-----------------------------_x000D_
Pendente  : 8_x000D_
22 / 08_2 : 30_x000D_
22 / 09_2 : 119_x000D_
22 / 10_2 : 103_x000D_
22 / 11_2 : 60_x000D_
22 / 12_2 : 20_x000D_
23 / 01_2 : 120_x000D_
23 / 02_2 : 52_x000D_
23 / 03_2 : _x000D_
23 / 04_2 : 110_x000D_
23 / 05_2 : _x000D_
23 / 06_2 : _x000D_
23 / 07_2 : _x000D_
_x000D_
    TOTAL : ( 622 )_x000D_
  DIVISOR : 12_x000D_
    MÉDIA : 51,83</t>
        </r>
      </text>
    </comment>
    <comment ref="AB458" authorId="0" shapeId="0" xr:uid="{A97F7296-FF3D-44F5-84AF-990C8EDD72B7}">
      <text>
        <r>
          <rPr>
            <sz val="10"/>
            <color indexed="81"/>
            <rFont val="Lucida Console"/>
            <family val="3"/>
          </rPr>
          <t>Última movimentação no estoque em 04/2023 quantidade 110.</t>
        </r>
      </text>
    </comment>
    <comment ref="R459" authorId="0" shapeId="0" xr:uid="{25D65E9D-DC7E-45F7-83D2-E63D5445C349}">
      <text>
        <r>
          <rPr>
            <sz val="10"/>
            <color indexed="81"/>
            <rFont val="Lucida Console"/>
            <family val="3"/>
          </rPr>
          <t>16.02.2021</t>
        </r>
      </text>
    </comment>
    <comment ref="Y459" authorId="0" shapeId="0" xr:uid="{CBD97A09-D3F3-4FCC-A6E7-7B6E89248D5C}">
      <text>
        <r>
          <rPr>
            <sz val="10"/>
            <color indexed="81"/>
            <rFont val="Courier New"/>
            <family val="3"/>
          </rPr>
          <t>_x000D_
    DESCRIÇÃO DO CÁLCULO_x000D_
Código    : 140.666_x000D_
Corte     : 39_x000D_
-----------------------------_x000D_
Pendente  : _x000D_
22 / 08_2 : 20_x000D_
22 / 09_2 : 22_x000D_
22 / 10_2 : _x000D_
22 / 11_2 : _x000D_
22 / 12_2 : 7_x000D_
23 / 01_2 : 35_x000D_
23 / 02_2 : 5_x000D_
23 / 03_2 : 3_x000D_
23 / 04_2 : 38_x000D_
23 / 05_2 : _x000D_
23 / 06_2 : _x000D_
23 / 07_2 : 10_x000D_
_x000D_
    TOTAL : ( 140 )_x000D_
  DIVISOR : 12_x000D_
    MÉDIA : 11,67</t>
        </r>
      </text>
    </comment>
    <comment ref="AB459" authorId="0" shapeId="0" xr:uid="{47BFC1CD-B971-41C5-8477-E861486DD11B}">
      <text>
        <r>
          <rPr>
            <sz val="10"/>
            <color indexed="81"/>
            <rFont val="Lucida Console"/>
            <family val="3"/>
          </rPr>
          <t>Última movimentação no estoque em 07/2023 quantidade 10.</t>
        </r>
      </text>
    </comment>
    <comment ref="R460" authorId="0" shapeId="0" xr:uid="{281A031F-F738-43C2-B2A5-AA82DDCCD92E}">
      <text>
        <r>
          <rPr>
            <sz val="10"/>
            <color indexed="81"/>
            <rFont val="Lucida Console"/>
            <family val="3"/>
          </rPr>
          <t>26.09.2019</t>
        </r>
      </text>
    </comment>
    <comment ref="Y460" authorId="0" shapeId="0" xr:uid="{8AA03E49-BC0A-47B7-B25B-932BBC6FCEB0}">
      <text>
        <r>
          <rPr>
            <sz val="10"/>
            <color indexed="81"/>
            <rFont val="Courier New"/>
            <family val="3"/>
          </rPr>
          <t>_x000D_
    DESCRIÇÃO DO CÁLCULO_x000D_
Código    : 138.554_x000D_
Corte     : 98_x000D_
-----------------------------_x000D_
Pendente  : _x000D_
22 / 08_2 : _x000D_
22 / 09_2 : _x000D_
22 / 10_2 : _x000D_
22 / 11_2 : _x000D_
22 / 12_2 : _x000D_
23 / 01_2 : _x000D_
23 / 02_2 : _x000D_
23 / 03_2 : _x000D_
23 / 04_2 : _x000D_
23 / 05_2 : _x000D_
23 / 06_2 : 98 (corte = 104)_x000D_
23 / 07_2 : 98 (corte = 104)_x000D_
_x000D_
    TOTAL : ( 196 )_x000D_
  DIVISOR : 12_x000D_
    MÉDIA : 16,33_x000D_
-----------------------------_x000D_
   Valores Desconsiderados_x000D_
-----------------------------_x000D_
23 / 06_2 : 6 (104)_x000D_
23 / 07_2 : 6 (104)_x000D_
_x000D_
  TOTAL   : ( 12 )</t>
        </r>
      </text>
    </comment>
    <comment ref="AB460" authorId="0" shapeId="0" xr:uid="{754DD3D4-152F-4BAA-A0A5-27738DE3E408}">
      <text>
        <r>
          <rPr>
            <sz val="10"/>
            <color indexed="81"/>
            <rFont val="Lucida Console"/>
            <family val="3"/>
          </rPr>
          <t>Última movimentação no estoque em 07/2023 quantidade 104.</t>
        </r>
      </text>
    </comment>
    <comment ref="R461" authorId="0" shapeId="0" xr:uid="{8107BD74-2D98-4307-B6C7-A1E146EEB2DA}">
      <text>
        <r>
          <rPr>
            <sz val="10"/>
            <color indexed="81"/>
            <rFont val="Lucida Console"/>
            <family val="3"/>
          </rPr>
          <t>26.09.2019</t>
        </r>
      </text>
    </comment>
    <comment ref="Y461" authorId="0" shapeId="0" xr:uid="{7514D601-3499-4507-888C-9F95B9174289}">
      <text>
        <r>
          <rPr>
            <sz val="10"/>
            <color indexed="81"/>
            <rFont val="Courier New"/>
            <family val="3"/>
          </rPr>
          <t>_x000D_
    DESCRIÇÃO DO CÁLCULO_x000D_
Código    : 138.552_x000D_
Corte     : 30_x000D_
-----------------------------_x000D_
Pendente  : _x000D_
22 / 08_2 : 2_x000D_
22 / 09_2 : 10_x000D_
22 / 10_2 : 2_x000D_
22 / 11_2 : _x000D_
22 / 12_2 : _x000D_
23 / 01_2 : 2_x000D_
23 / 02_2 : _x000D_
23 / 03_2 : _x000D_
23 / 04_2 : 4_x000D_
23 / 05_2 : 30 (corte = 35)_x000D_
23 / 06_2 : _x000D_
23 / 07_2 : 27_x000D_
_x000D_
    TOTAL : ( 77 )_x000D_
  DIVISOR : 12_x000D_
    MÉDIA : 6,42_x000D_
-----------------------------_x000D_
   Valores Desconsiderados_x000D_
-----------------------------_x000D_
23 / 05_2 : 5 (35)_x000D_
_x000D_
  TOTAL   : ( 5 )</t>
        </r>
      </text>
    </comment>
    <comment ref="AB461" authorId="0" shapeId="0" xr:uid="{58B8801D-33B1-46B2-B8EE-46EE78C4CD15}">
      <text>
        <r>
          <rPr>
            <sz val="10"/>
            <color indexed="81"/>
            <rFont val="Lucida Console"/>
            <family val="3"/>
          </rPr>
          <t>Última movimentação no estoque em 07/2023 quantidade 27.</t>
        </r>
      </text>
    </comment>
    <comment ref="R462" authorId="0" shapeId="0" xr:uid="{F1747ADF-9D4C-4D5E-9229-1EA1BFFA7F9E}">
      <text>
        <r>
          <rPr>
            <sz val="10"/>
            <color indexed="81"/>
            <rFont val="Lucida Console"/>
            <family val="3"/>
          </rPr>
          <t>26.09.2019</t>
        </r>
      </text>
    </comment>
    <comment ref="Y462" authorId="0" shapeId="0" xr:uid="{31294B06-E7AC-46E2-B0D5-DFB3F19EC0EE}">
      <text>
        <r>
          <rPr>
            <sz val="10"/>
            <color indexed="81"/>
            <rFont val="Courier New"/>
            <family val="3"/>
          </rPr>
          <t>_x000D_
    DESCRIÇÃO DO CÁLCULO_x000D_
Código    : 138.553_x000D_
Corte     : 9_x000D_
-----------------------------_x000D_
Pendente  : _x000D_
22 / 08_2 : _x000D_
22 / 09_2 : _x000D_
22 / 10_2 : _x000D_
22 / 11_2 : _x000D_
22 / 12_2 : 9 (corte = 10)_x000D_
23 / 01_2 : _x000D_
23 / 02_2 : _x000D_
23 / 03_2 : _x000D_
23 / 04_2 : _x000D_
23 / 05_2 : 9 (corte = 10)_x000D_
23 / 06_2 : _x000D_
23 / 07_2 : _x000D_
_x000D_
    TOTAL : ( 18 )_x000D_
  DIVISOR : 12_x000D_
    MÉDIA : 1,50_x000D_
-----------------------------_x000D_
   Valores Desconsiderados_x000D_
-----------------------------_x000D_
22 / 12_2 : 1 (10)_x000D_
23 / 05_2 : 1 (10)_x000D_
_x000D_
  TOTAL   : ( 2 )</t>
        </r>
      </text>
    </comment>
    <comment ref="AB462" authorId="0" shapeId="0" xr:uid="{B050750F-CA4E-46F6-BBC7-694D62B16DC2}">
      <text>
        <r>
          <rPr>
            <sz val="10"/>
            <color indexed="81"/>
            <rFont val="Lucida Console"/>
            <family val="3"/>
          </rPr>
          <t>Última movimentação no estoque em 05/2023 quantidade 10.</t>
        </r>
      </text>
    </comment>
    <comment ref="R463" authorId="0" shapeId="0" xr:uid="{ED945B4B-4D3C-4E82-9FEB-3C268BA1B400}">
      <text>
        <r>
          <rPr>
            <sz val="10"/>
            <color indexed="81"/>
            <rFont val="Lucida Console"/>
            <family val="3"/>
          </rPr>
          <t>07.11.2008</t>
        </r>
      </text>
    </comment>
    <comment ref="Y463" authorId="0" shapeId="0" xr:uid="{3B0CF877-FE78-4C6F-8DFA-E00E5F8103B7}">
      <text>
        <r>
          <rPr>
            <sz val="10"/>
            <color indexed="81"/>
            <rFont val="Courier New"/>
            <family val="3"/>
          </rPr>
          <t>_x000D_
    DESCRIÇÃO DO CÁLCULO_x000D_
Código    : 108.697_x000D_
Corte     : 5_x000D_
-----------------------------_x000D_
Pendente  : _x000D_
22 / 08_2 : _x000D_
22 / 09_2 : 2_x000D_
22 / 10_2 : _x000D_
22 / 11_2 : _x000D_
22 / 12_2 : _x000D_
23 / 01_2 : _x000D_
23 / 02_2 : _x000D_
23 / 03_2 : _x000D_
23 / 04_2 : 5_x000D_
23 / 05_2 : _x000D_
23 / 06_2 : 5 (corte = 6)_x000D_
23 / 07_2 : _x000D_
_x000D_
    TOTAL : ( 12 )_x000D_
  DIVISOR : 12_x000D_
    MÉDIA : 1,00_x000D_
-----------------------------_x000D_
   Valores Desconsiderados_x000D_
-----------------------------_x000D_
23 / 06_2 : 1 (6)_x000D_
_x000D_
  TOTAL   : ( 1 )</t>
        </r>
      </text>
    </comment>
    <comment ref="AB463" authorId="0" shapeId="0" xr:uid="{DF47311A-70BC-4E8F-8AE8-E14C056BD72D}">
      <text>
        <r>
          <rPr>
            <sz val="10"/>
            <color indexed="81"/>
            <rFont val="Lucida Console"/>
            <family val="3"/>
          </rPr>
          <t>Última movimentação no estoque em 06/2023 quantidade 6.</t>
        </r>
      </text>
    </comment>
    <comment ref="R464" authorId="0" shapeId="0" xr:uid="{EF97D236-C990-4F57-873F-369C8CE735A4}">
      <text>
        <r>
          <rPr>
            <sz val="10"/>
            <color indexed="81"/>
            <rFont val="Lucida Console"/>
            <family val="3"/>
          </rPr>
          <t>13.03.2007</t>
        </r>
      </text>
    </comment>
    <comment ref="Y464" authorId="0" shapeId="0" xr:uid="{0D831281-D386-4DCE-A0EE-78666145DCD6}">
      <text>
        <r>
          <rPr>
            <sz val="10"/>
            <color indexed="81"/>
            <rFont val="Courier New"/>
            <family val="3"/>
          </rPr>
          <t>_x000D_
    DESCRIÇÃO DO CÁLCULO_x000D_
Código    : 98.080_x000D_
Corte     : 41_x000D_
-----------------------------_x000D_
Pendente  : _x000D_
22 / 08_2 : 18_x000D_
22 / 09_2 : 20_x000D_
22 / 10_2 : 16_x000D_
22 / 11_2 : 28_x000D_
22 / 12_2 : 6_x000D_
23 / 01_2 : 6_x000D_
23 / 02_2 : 14_x000D_
23 / 03_2 : 35_x000D_
23 / 04_2 : 28_x000D_
23 / 05_2 : 33_x000D_
23 / 06_2 : 29_x000D_
23 / 07_2 : 25_x000D_
_x000D_
    TOTAL : ( 258 )_x000D_
  DIVISOR : 12_x000D_
    MÉDIA : 21,50</t>
        </r>
      </text>
    </comment>
    <comment ref="AB464" authorId="0" shapeId="0" xr:uid="{80927F80-C35E-4547-922E-A6422CC82749}">
      <text>
        <r>
          <rPr>
            <sz val="10"/>
            <color indexed="81"/>
            <rFont val="Lucida Console"/>
            <family val="3"/>
          </rPr>
          <t>Última movimentação no estoque em 07/2023 quantidade 25.</t>
        </r>
      </text>
    </comment>
    <comment ref="R465" authorId="0" shapeId="0" xr:uid="{E04836A5-0299-406F-B4FB-55CAA7BBA7A9}">
      <text>
        <r>
          <rPr>
            <sz val="10"/>
            <color indexed="81"/>
            <rFont val="Lucida Console"/>
            <family val="3"/>
          </rPr>
          <t>12.12.2006</t>
        </r>
      </text>
    </comment>
    <comment ref="Y465" authorId="0" shapeId="0" xr:uid="{9ACA03E1-DAD2-46A1-9BB8-6CBF869C8FD9}">
      <text>
        <r>
          <rPr>
            <sz val="10"/>
            <color indexed="81"/>
            <rFont val="Courier New"/>
            <family val="3"/>
          </rPr>
          <t>_x000D_
    DESCRIÇÃO DO CÁLCULO_x000D_
Código    : 96.516_x000D_
Corte     : 84_x000D_
-----------------------------_x000D_
Pendente  : _x000D_
22 / 08_2 : 19_x000D_
22 / 09_2 : 23_x000D_
22 / 10_2 : 16_x000D_
22 / 11_2 : 21_x000D_
22 / 12_2 : 9_x000D_
23 / 01_2 : 9_x000D_
23 / 02_2 : 15_x000D_
23 / 03_2 : 40_x000D_
23 / 04_2 : 27_x000D_
23 / 05_2 : 84 (corte = 111)_x000D_
23 / 06_2 : 37_x000D_
23 / 07_2 : 25_x000D_
_x000D_
    TOTAL : ( 325 )_x000D_
  DIVISOR : 12_x000D_
    MÉDIA : 27,08_x000D_
-----------------------------_x000D_
   Valores Desconsiderados_x000D_
-----------------------------_x000D_
23 / 05_2 : 27 (111)_x000D_
_x000D_
  TOTAL   : ( 27 )</t>
        </r>
      </text>
    </comment>
    <comment ref="AB465" authorId="0" shapeId="0" xr:uid="{1642CE0F-5006-4D44-98C5-F51B998D9F10}">
      <text>
        <r>
          <rPr>
            <sz val="10"/>
            <color indexed="81"/>
            <rFont val="Lucida Console"/>
            <family val="3"/>
          </rPr>
          <t>Última movimentação no estoque em 07/2023 quantidade 25.</t>
        </r>
      </text>
    </comment>
    <comment ref="R466" authorId="0" shapeId="0" xr:uid="{B2BE266E-97D8-45C1-A72B-CBF031077FC2}">
      <text>
        <r>
          <rPr>
            <sz val="10"/>
            <color indexed="81"/>
            <rFont val="Lucida Console"/>
            <family val="3"/>
          </rPr>
          <t>01.02.2005</t>
        </r>
      </text>
    </comment>
    <comment ref="Y466" authorId="0" shapeId="0" xr:uid="{9C5511F5-C5FF-41EA-A74E-5C4F4E0635DF}">
      <text>
        <r>
          <rPr>
            <sz val="10"/>
            <color indexed="81"/>
            <rFont val="Courier New"/>
            <family val="3"/>
          </rPr>
          <t>_x000D_
    DESCRIÇÃO DO CÁLCULO_x000D_
Código    : 83.839_x000D_
Corte     : 818_x000D_
-----------------------------_x000D_
Pendente  : 1_x000D_
22 / 08_2 : 439_x000D_
22 / 09_2 : 457_x000D_
22 / 10_2 : 490_x000D_
22 / 11_2 : 537_x000D_
22 / 12_2 : 370_x000D_
23 / 01_2 : 129_x000D_
23 / 02_2 : 379_x000D_
23 / 03_2 : 726_x000D_
23 / 04_2 : 426_x000D_
23 / 05_2 : 489_x000D_
23 / 06_2 : 525_x000D_
23 / 07_2 : 482_x000D_
_x000D_
    TOTAL : ( 5.450 )_x000D_
  DIVISOR : 12_x000D_
    MÉDIA : 454,17</t>
        </r>
      </text>
    </comment>
    <comment ref="AB466" authorId="0" shapeId="0" xr:uid="{78DB89B0-2F3D-48A2-A6FA-E0B84E8EFBA8}">
      <text>
        <r>
          <rPr>
            <sz val="10"/>
            <color indexed="81"/>
            <rFont val="Lucida Console"/>
            <family val="3"/>
          </rPr>
          <t>Última movimentação no estoque em 07/2023 quantidade 482.</t>
        </r>
      </text>
    </comment>
    <comment ref="R467" authorId="0" shapeId="0" xr:uid="{80ACA9EA-248C-446F-A2E8-D54845966DC1}">
      <text>
        <r>
          <rPr>
            <sz val="10"/>
            <color indexed="81"/>
            <rFont val="Lucida Console"/>
            <family val="3"/>
          </rPr>
          <t>01.02.2005</t>
        </r>
      </text>
    </comment>
    <comment ref="Y467" authorId="0" shapeId="0" xr:uid="{C86C9136-FCEC-4BF9-9087-541BCADA26ED}">
      <text>
        <r>
          <rPr>
            <sz val="10"/>
            <color indexed="81"/>
            <rFont val="Courier New"/>
            <family val="3"/>
          </rPr>
          <t>_x000D_
    DESCRIÇÃO DO CÁLCULO_x000D_
Código    : 83.838_x000D_
Corte     : 3.112_x000D_
-----------------------------_x000D_
Pendente  : 35_x000D_
22 / 08_2 : 1.854_x000D_
22 / 09_2 : 1.739_x000D_
22 / 10_2 : 1.811_x000D_
22 / 11_2 : 2.019_x000D_
22 / 12_2 : 1.451_x000D_
23 / 01_2 : 394_x000D_
23 / 02_2 : 1.575_x000D_
23 / 03_2 : 2.515_x000D_
23 / 04_2 : 1.459_x000D_
23 / 05_2 : 1.902_x000D_
23 / 06_2 : 2.151_x000D_
23 / 07_2 : 1.997_x000D_
_x000D_
    TOTAL : ( 20.902 )_x000D_
  DIVISOR : 12_x000D_
    MÉDIA : 1.741,83</t>
        </r>
      </text>
    </comment>
    <comment ref="AB467" authorId="0" shapeId="0" xr:uid="{AFF16FBB-8E16-4CA5-8D5F-91B3DB2E1D9E}">
      <text>
        <r>
          <rPr>
            <sz val="10"/>
            <color indexed="81"/>
            <rFont val="Lucida Console"/>
            <family val="3"/>
          </rPr>
          <t>Última movimentação no estoque em 07/2023 quantidade 1.997.</t>
        </r>
      </text>
    </comment>
    <comment ref="R468" authorId="0" shapeId="0" xr:uid="{290D731D-46FC-4D2A-B429-635C8EC6EEC6}">
      <text>
        <r>
          <rPr>
            <sz val="10"/>
            <color indexed="81"/>
            <rFont val="Lucida Console"/>
            <family val="3"/>
          </rPr>
          <t>17.04.2019</t>
        </r>
      </text>
    </comment>
    <comment ref="Y468" authorId="0" shapeId="0" xr:uid="{B12723D8-0F2F-4E92-BF39-CFE60A0C0B2C}">
      <text>
        <r>
          <rPr>
            <sz val="10"/>
            <color indexed="81"/>
            <rFont val="Courier New"/>
            <family val="3"/>
          </rPr>
          <t>_x000D_
    DESCRIÇÃO DO CÁLCULO_x000D_
Código    : 136.819_x000D_
Corte     : 4_x000D_
-----------------------------_x000D_
Pendente  : _x000D_
22 / 08_2 : 3_x000D_
22 / 09_2 : 1_x000D_
22 / 10_2 : 4_x000D_
22 / 11_2 : _x000D_
22 / 12_2 : _x000D_
23 / 01_2 : 3_x000D_
23 / 02_2 : _x000D_
23 / 03_2 : 2_x000D_
23 / 04_2 : 2_x000D_
23 / 05_2 : 2_x000D_
23 / 06_2 : 3_x000D_
23 / 07_2 : 2_x000D_
_x000D_
    TOTAL : ( 22 )_x000D_
  DIVISOR : 12_x000D_
    MÉDIA : 1,83</t>
        </r>
      </text>
    </comment>
    <comment ref="AB468" authorId="0" shapeId="0" xr:uid="{F48BA2C6-1D2E-4FFA-B958-F8776B3339F8}">
      <text>
        <r>
          <rPr>
            <sz val="10"/>
            <color indexed="81"/>
            <rFont val="Lucida Console"/>
            <family val="3"/>
          </rPr>
          <t>Última movimentação no estoque em 07/2023 quantidade 2.</t>
        </r>
      </text>
    </comment>
    <comment ref="R469" authorId="0" shapeId="0" xr:uid="{669320E3-6931-4B0D-9AC7-1C0AC273E6A8}">
      <text>
        <r>
          <rPr>
            <sz val="10"/>
            <color indexed="81"/>
            <rFont val="Lucida Console"/>
            <family val="3"/>
          </rPr>
          <t>01.01.1901</t>
        </r>
      </text>
    </comment>
    <comment ref="Y469" authorId="0" shapeId="0" xr:uid="{85A07F7B-011D-4DEC-A5B6-8F494F2C5C81}">
      <text>
        <r>
          <rPr>
            <sz val="10"/>
            <color indexed="81"/>
            <rFont val="Courier New"/>
            <family val="3"/>
          </rPr>
          <t>_x000D_
    DESCRIÇÃO DO CÁLCULO_x000D_
Código    : 12.950_x000D_
Corte     : 35_x000D_
-----------------------------_x000D_
Pendente  : _x000D_
22 / 08_2 : 8_x000D_
22 / 09_2 : 17_x000D_
22 / 10_2 : 35 (corte = 36)_x000D_
22 / 11_2 : 6_x000D_
22 / 12_2 : 26_x000D_
23 / 01_2 : 11_x000D_
23 / 02_2 : 5_x000D_
23 / 03_2 : 18_x000D_
23 / 04_2 : 20_x000D_
23 / 05_2 : _x000D_
23 / 06_2 : _x000D_
23 / 07_2 : _x000D_
_x000D_
    TOTAL : ( 146 )_x000D_
  DIVISOR : 12_x000D_
    MÉDIA : 12,17_x000D_
-----------------------------_x000D_
   Valores Desconsiderados_x000D_
-----------------------------_x000D_
22 / 10_2 : 1 (36)_x000D_
_x000D_
  TOTAL   : ( 1 )</t>
        </r>
      </text>
    </comment>
    <comment ref="AB469" authorId="0" shapeId="0" xr:uid="{7644B780-05B8-4C19-BC0C-1B8DD6B6B5E7}">
      <text>
        <r>
          <rPr>
            <sz val="10"/>
            <color indexed="81"/>
            <rFont val="Lucida Console"/>
            <family val="3"/>
          </rPr>
          <t>Última movimentação no estoque em 04/2023 quantidade 20.</t>
        </r>
      </text>
    </comment>
    <comment ref="R470" authorId="0" shapeId="0" xr:uid="{FF10419E-4ED2-4308-8FF6-BD3ED1F8639C}">
      <text>
        <r>
          <rPr>
            <sz val="10"/>
            <color indexed="81"/>
            <rFont val="Lucida Console"/>
            <family val="3"/>
          </rPr>
          <t>01.01.1901</t>
        </r>
      </text>
    </comment>
    <comment ref="Y470" authorId="0" shapeId="0" xr:uid="{2CAEE28E-F8E1-429E-8068-A3DA23E8FF3D}">
      <text>
        <r>
          <rPr>
            <sz val="10"/>
            <color indexed="81"/>
            <rFont val="Courier New"/>
            <family val="3"/>
          </rPr>
          <t>_x000D_
    DESCRIÇÃO DO CÁLCULO_x000D_
Código    : 40.772_x000D_
Corte     : 6_x000D_
-----------------------------_x000D_
Pendente  : _x000D_
22 / 08_2 : _x000D_
22 / 09_2 : _x000D_
22 / 10_2 : _x000D_
22 / 11_2 : _x000D_
22 / 12_2 : _x000D_
23 / 01_2 : 3_x000D_
23 / 02_2 : _x000D_
23 / 03_2 : _x000D_
23 / 04_2 : 6 (corte = 10)_x000D_
23 / 05_2 : _x000D_
23 / 06_2 : _x000D_
23 / 07_2 : _x000D_
_x000D_
    TOTAL : ( 9 )_x000D_
  DIVISOR : 12_x000D_
    MÉDIA : ,75_x000D_
-----------------------------_x000D_
   Valores Desconsiderados_x000D_
-----------------------------_x000D_
23 / 04_2 : 4 (10)_x000D_
_x000D_
  TOTAL   : ( 4 )</t>
        </r>
      </text>
    </comment>
    <comment ref="AB470" authorId="0" shapeId="0" xr:uid="{DABC56FA-4241-4B41-A46C-20846BEA2F44}">
      <text>
        <r>
          <rPr>
            <sz val="10"/>
            <color indexed="81"/>
            <rFont val="Lucida Console"/>
            <family val="3"/>
          </rPr>
          <t>Última movimentação no estoque em 04/2023 quantidade 10.</t>
        </r>
      </text>
    </comment>
    <comment ref="R471" authorId="0" shapeId="0" xr:uid="{734D80C1-A1EA-4608-A100-694BE150D237}">
      <text>
        <r>
          <rPr>
            <sz val="10"/>
            <color indexed="81"/>
            <rFont val="Lucida Console"/>
            <family val="3"/>
          </rPr>
          <t>01.01.1901</t>
        </r>
      </text>
    </comment>
    <comment ref="Y471" authorId="0" shapeId="0" xr:uid="{D2339CB3-0BD4-420D-B6B6-633B46025BFA}">
      <text>
        <r>
          <rPr>
            <sz val="10"/>
            <color indexed="81"/>
            <rFont val="Courier New"/>
            <family val="3"/>
          </rPr>
          <t>_x000D_
    DESCRIÇÃO DO CÁLCULO_x000D_
Código    : 12.948_x000D_
Corte     : 8_x000D_
-----------------------------_x000D_
Pendente  : _x000D_
22 / 08_2 : _x000D_
22 / 09_2 : _x000D_
22 / 10_2 : _x000D_
22 / 11_2 : _x000D_
22 / 12_2 : 7_x000D_
23 / 01_2 : _x000D_
23 / 02_2 : _x000D_
23 / 03_2 : _x000D_
23 / 04_2 : 8 (corte = 10)_x000D_
23 / 05_2 : _x000D_
23 / 06_2 : _x000D_
23 / 07_2 : _x000D_
_x000D_
    TOTAL : ( 15 )_x000D_
  DIVISOR : 12_x000D_
    MÉDIA : 1,25_x000D_
-----------------------------_x000D_
   Valores Desconsiderados_x000D_
-----------------------------_x000D_
23 / 04_2 : 2 (10)_x000D_
_x000D_
  TOTAL   : ( 2 )</t>
        </r>
      </text>
    </comment>
    <comment ref="AB471" authorId="0" shapeId="0" xr:uid="{8CD0D6DE-4F10-400A-A611-D33D2A8A235E}">
      <text>
        <r>
          <rPr>
            <sz val="10"/>
            <color indexed="81"/>
            <rFont val="Lucida Console"/>
            <family val="3"/>
          </rPr>
          <t>Última movimentação no estoque em 04/2023 quantidade 10.</t>
        </r>
      </text>
    </comment>
    <comment ref="R472" authorId="0" shapeId="0" xr:uid="{D60E478E-5804-4E83-8071-3236A2FA0D30}">
      <text>
        <r>
          <rPr>
            <sz val="10"/>
            <color indexed="81"/>
            <rFont val="Lucida Console"/>
            <family val="3"/>
          </rPr>
          <t>01.01.1901</t>
        </r>
      </text>
    </comment>
    <comment ref="Y472" authorId="0" shapeId="0" xr:uid="{57B69925-7403-4C31-96B4-4AC795E49210}">
      <text>
        <r>
          <rPr>
            <sz val="10"/>
            <color indexed="81"/>
            <rFont val="Courier New"/>
            <family val="3"/>
          </rPr>
          <t>_x000D_
    DESCRIÇÃO DO CÁLCULO_x000D_
Código    : 12.956_x000D_
Corte     : 112_x000D_
-----------------------------_x000D_
Pendente  : _x000D_
22 / 08_2 : 103_x000D_
22 / 09_2 : 55_x000D_
22 / 10_2 : 40_x000D_
22 / 11_2 : 32_x000D_
22 / 12_2 : 75_x000D_
23 / 01_2 : 57_x000D_
23 / 02_2 : 2_x000D_
23 / 03_2 : 61_x000D_
23 / 04_2 : 80_x000D_
23 / 05_2 : 50_x000D_
23 / 06_2 : _x000D_
23 / 07_2 : _x000D_
_x000D_
    TOTAL : ( 555 )_x000D_
  DIVISOR : 12_x000D_
    MÉDIA : 46,25</t>
        </r>
      </text>
    </comment>
    <comment ref="AB472" authorId="0" shapeId="0" xr:uid="{7128DEDF-7F8D-40DC-823E-750058163900}">
      <text>
        <r>
          <rPr>
            <sz val="10"/>
            <color indexed="81"/>
            <rFont val="Lucida Console"/>
            <family val="3"/>
          </rPr>
          <t>Última movimentação no estoque em 05/2023 quantidade 50.</t>
        </r>
      </text>
    </comment>
    <comment ref="R473" authorId="0" shapeId="0" xr:uid="{75645757-4C9C-4CB3-8DF0-27AD5B835BBD}">
      <text>
        <r>
          <rPr>
            <sz val="10"/>
            <color indexed="81"/>
            <rFont val="Lucida Console"/>
            <family val="3"/>
          </rPr>
          <t>01.01.1901</t>
        </r>
      </text>
    </comment>
    <comment ref="Y473" authorId="0" shapeId="0" xr:uid="{F876E18A-5DCE-40C1-B6FA-2A65BD62F8FD}">
      <text>
        <r>
          <rPr>
            <sz val="10"/>
            <color indexed="81"/>
            <rFont val="Courier New"/>
            <family val="3"/>
          </rPr>
          <t>_x000D_
    DESCRIÇÃO DO CÁLCULO_x000D_
Código    : 61.201_x000D_
Corte     : 110_x000D_
-----------------------------_x000D_
Pendente  : _x000D_
22 / 08_2 : 13_x000D_
22 / 09_2 : 23_x000D_
22 / 10_2 : 28_x000D_
22 / 11_2 : 2_x000D_
22 / 12_2 : 6_x000D_
23 / 01_2 : 30_x000D_
23 / 02_2 : 11_x000D_
23 / 03_2 : 21_x000D_
23 / 04_2 : 44_x000D_
23 / 05_2 : 110 (corte = 152)_x000D_
23 / 06_2 : _x000D_
23 / 07_2 : _x000D_
_x000D_
    TOTAL : ( 288 )_x000D_
  DIVISOR : 12_x000D_
    MÉDIA : 24,00_x000D_
-----------------------------_x000D_
   Valores Desconsiderados_x000D_
-----------------------------_x000D_
23 / 05_2 : 42 (152)_x000D_
_x000D_
  TOTAL   : ( 42 )</t>
        </r>
      </text>
    </comment>
    <comment ref="AB473" authorId="0" shapeId="0" xr:uid="{12E29B22-A9AA-45E5-B6AE-8F4A1BF314B4}">
      <text>
        <r>
          <rPr>
            <sz val="10"/>
            <color indexed="81"/>
            <rFont val="Lucida Console"/>
            <family val="3"/>
          </rPr>
          <t>Última movimentação no estoque em 05/2023 quantidade 152.</t>
        </r>
      </text>
    </comment>
    <comment ref="R474" authorId="0" shapeId="0" xr:uid="{AAF34CF8-463F-4E32-87E2-79F0ECEC8B54}">
      <text>
        <r>
          <rPr>
            <sz val="10"/>
            <color indexed="81"/>
            <rFont val="Lucida Console"/>
            <family val="3"/>
          </rPr>
          <t>01.01.1901</t>
        </r>
      </text>
    </comment>
    <comment ref="Y474" authorId="0" shapeId="0" xr:uid="{78904786-0978-4A7A-AC0D-5FF3C83DC100}">
      <text>
        <r>
          <rPr>
            <sz val="10"/>
            <color indexed="81"/>
            <rFont val="Courier New"/>
            <family val="3"/>
          </rPr>
          <t>_x000D_
    DESCRIÇÃO DO CÁLCULO_x000D_
Código    : 59.400_x000D_
Corte     : 18_x000D_
-----------------------------_x000D_
Pendente  : _x000D_
22 / 08_2 : _x000D_
22 / 09_2 : 12_x000D_
22 / 10_2 : 4_x000D_
22 / 11_2 : 4_x000D_
22 / 12_2 : 11_x000D_
23 / 01_2 : 10_x000D_
23 / 02_2 : _x000D_
23 / 03_2 : 16_x000D_
23 / 04_2 : 15_x000D_
23 / 05_2 : _x000D_
23 / 06_2 : _x000D_
23 / 07_2 : _x000D_
_x000D_
    TOTAL : ( 72 )_x000D_
  DIVISOR : 12_x000D_
    MÉDIA : 6,00</t>
        </r>
      </text>
    </comment>
    <comment ref="AB474" authorId="0" shapeId="0" xr:uid="{775B0352-A111-47F1-B3F9-D8B3332C5463}">
      <text>
        <r>
          <rPr>
            <sz val="10"/>
            <color indexed="81"/>
            <rFont val="Lucida Console"/>
            <family val="3"/>
          </rPr>
          <t>Última movimentação no estoque em 04/2023 quantidade 15.</t>
        </r>
      </text>
    </comment>
    <comment ref="R475" authorId="0" shapeId="0" xr:uid="{60F445DF-52A9-4737-8330-CD558527E3A6}">
      <text>
        <r>
          <rPr>
            <sz val="10"/>
            <color indexed="81"/>
            <rFont val="Lucida Console"/>
            <family val="3"/>
          </rPr>
          <t>23.04.2019</t>
        </r>
      </text>
    </comment>
    <comment ref="Y475" authorId="0" shapeId="0" xr:uid="{781B3188-B6AE-4346-92E6-37211A291E6D}">
      <text>
        <r>
          <rPr>
            <sz val="10"/>
            <color indexed="81"/>
            <rFont val="Courier New"/>
            <family val="3"/>
          </rPr>
          <t>_x000D_
    DESCRIÇÃO DO CÁLCULO_x000D_
Código    : 136.855_x000D_
Corte     : 1_x000D_
-----------------------------_x000D_
Pendente  : _x000D_
22 / 08_2 : _x000D_
22 / 09_2 : _x000D_
22 / 10_2 : _x000D_
22 / 11_2 : _x000D_
22 / 12_2 : _x000D_
23 / 01_2 : _x000D_
23 / 02_2 : _x000D_
23 / 03_2 : _x000D_
23 / 04_2 : _x000D_
23 / 05_2 : _x000D_
23 / 06_2 : _x000D_
23 / 07_2 : 1 (corte = 3)_x000D_
_x000D_
    TOTAL : ( 1 )_x000D_
  DIVISOR : 12_x000D_
    MÉDIA : ,08_x000D_
-----------------------------_x000D_
   Valores Desconsiderados_x000D_
-----------------------------_x000D_
23 / 07_2 : 2 (3)_x000D_
_x000D_
  TOTAL   : ( 2 )</t>
        </r>
      </text>
    </comment>
    <comment ref="AB475" authorId="0" shapeId="0" xr:uid="{2918BC8A-803D-4E49-9B3C-316F8FC75E77}">
      <text>
        <r>
          <rPr>
            <sz val="10"/>
            <color indexed="81"/>
            <rFont val="Lucida Console"/>
            <family val="3"/>
          </rPr>
          <t>Última movimentação no estoque em 07/2023 quantidade 3.</t>
        </r>
      </text>
    </comment>
    <comment ref="R476" authorId="0" shapeId="0" xr:uid="{E888BBA9-2505-4CB9-B219-78609E66B80A}">
      <text>
        <r>
          <rPr>
            <sz val="10"/>
            <color indexed="81"/>
            <rFont val="Lucida Console"/>
            <family val="3"/>
          </rPr>
          <t>12.03.2013</t>
        </r>
      </text>
    </comment>
    <comment ref="Y476" authorId="0" shapeId="0" xr:uid="{0952E319-4190-4F19-9583-8E0EC07634C4}">
      <text>
        <r>
          <rPr>
            <sz val="10"/>
            <color indexed="81"/>
            <rFont val="Courier New"/>
            <family val="3"/>
          </rPr>
          <t>_x000D_
    DESCRIÇÃO DO CÁLCULO_x000D_
Código    : 125.173_x000D_
Corte     : 12_x000D_
-----------------------------_x000D_
Pendente  : _x000D_
22 / 08_2 : _x000D_
22 / 09_2 : _x000D_
22 / 10_2 : 2_x000D_
22 / 11_2 : 4_x000D_
22 / 12_2 : 4_x000D_
23 / 01_2 : 5_x000D_
23 / 02_2 : 2_x000D_
23 / 03_2 : 1_x000D_
23 / 04_2 : 12 (corte = 17)_x000D_
23 / 05_2 : _x000D_
23 / 06_2 : _x000D_
23 / 07_2 : _x000D_
_x000D_
    TOTAL : ( 30 )_x000D_
  DIVISOR : 12_x000D_
    MÉDIA : 2,50_x000D_
-----------------------------_x000D_
   Valores Desconsiderados_x000D_
-----------------------------_x000D_
23 / 04_2 : 5 (17)_x000D_
_x000D_
  TOTAL   : ( 5 )</t>
        </r>
      </text>
    </comment>
    <comment ref="AB476" authorId="0" shapeId="0" xr:uid="{6DABF794-1DDC-47D9-BD86-80CE379D9B73}">
      <text>
        <r>
          <rPr>
            <sz val="10"/>
            <color indexed="81"/>
            <rFont val="Lucida Console"/>
            <family val="3"/>
          </rPr>
          <t>Última movimentação no estoque em 04/2023 quantidade 17.</t>
        </r>
      </text>
    </comment>
    <comment ref="R477" authorId="0" shapeId="0" xr:uid="{5D6312DA-C4A1-4F6C-AFF1-1D8A481A68AA}">
      <text>
        <r>
          <rPr>
            <sz val="10"/>
            <color indexed="81"/>
            <rFont val="Lucida Console"/>
            <family val="3"/>
          </rPr>
          <t>01.01.1901</t>
        </r>
      </text>
    </comment>
    <comment ref="Y477" authorId="0" shapeId="0" xr:uid="{A3F165C7-EDEC-4882-B6AC-5B1975C543E7}">
      <text>
        <r>
          <rPr>
            <sz val="10"/>
            <color indexed="81"/>
            <rFont val="Courier New"/>
            <family val="3"/>
          </rPr>
          <t>_x000D_
    DESCRIÇÃO DO CÁLCULO_x000D_
Código    : 52.994_x000D_
Corte     : 13_x000D_
-----------------------------_x000D_
Pendente  : _x000D_
22 / 08_2 : _x000D_
22 / 09_2 : _x000D_
22 / 10_2 : _x000D_
22 / 11_2 : 1_x000D_
22 / 12_2 : _x000D_
23 / 01_2 : _x000D_
23 / 02_2 : _x000D_
23 / 03_2 : 4_x000D_
23 / 04_2 : 13 (corte = 20)_x000D_
23 / 05_2 : _x000D_
23 / 06_2 : _x000D_
23 / 07_2 : _x000D_
_x000D_
    TOTAL : ( 18 )_x000D_
  DIVISOR : 12_x000D_
    MÉDIA : 1,50_x000D_
-----------------------------_x000D_
   Valores Desconsiderados_x000D_
-----------------------------_x000D_
23 / 04_2 : 7 (20)_x000D_
_x000D_
  TOTAL   : ( 7 )</t>
        </r>
      </text>
    </comment>
    <comment ref="AB477" authorId="0" shapeId="0" xr:uid="{6CD86C6C-9FE0-4781-907B-285346647255}">
      <text>
        <r>
          <rPr>
            <sz val="10"/>
            <color indexed="81"/>
            <rFont val="Lucida Console"/>
            <family val="3"/>
          </rPr>
          <t>Última movimentação no estoque em 04/2023 quantidade 20.</t>
        </r>
      </text>
    </comment>
    <comment ref="R478" authorId="0" shapeId="0" xr:uid="{91E98EE5-93D6-40E1-979B-3D1A3AB077F3}">
      <text>
        <r>
          <rPr>
            <sz val="10"/>
            <color indexed="81"/>
            <rFont val="Lucida Console"/>
            <family val="3"/>
          </rPr>
          <t>01.01.1901</t>
        </r>
      </text>
    </comment>
    <comment ref="Y478" authorId="0" shapeId="0" xr:uid="{6282C5C7-E54D-47B7-989F-013242884DE5}">
      <text>
        <r>
          <rPr>
            <sz val="10"/>
            <color indexed="81"/>
            <rFont val="Courier New"/>
            <family val="3"/>
          </rPr>
          <t>_x000D_
    DESCRIÇÃO DO CÁLCULO_x000D_
Código    : 64.635_x000D_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478" authorId="0" shapeId="0" xr:uid="{BE665768-4614-42EF-A8D9-4CE4D4B3FC57}">
      <text>
        <r>
          <rPr>
            <sz val="10"/>
            <color indexed="81"/>
            <rFont val="Lucida Console"/>
            <family val="3"/>
          </rPr>
          <t>Última movimentação no estoque em 01/2023 quantidade 2.</t>
        </r>
      </text>
    </comment>
    <comment ref="R479" authorId="0" shapeId="0" xr:uid="{D362902A-0F10-4170-B97E-CDA4250E5A06}">
      <text>
        <r>
          <rPr>
            <sz val="10"/>
            <color indexed="81"/>
            <rFont val="Lucida Console"/>
            <family val="3"/>
          </rPr>
          <t>01.01.1901</t>
        </r>
      </text>
    </comment>
    <comment ref="Y479" authorId="0" shapeId="0" xr:uid="{25D0FA04-F67A-49A0-B70B-7910AAEDAE9F}">
      <text>
        <r>
          <rPr>
            <sz val="10"/>
            <color indexed="81"/>
            <rFont val="Courier New"/>
            <family val="3"/>
          </rPr>
          <t>_x000D_
    DESCRIÇÃO DO CÁLCULO_x000D_
Código    : 64.636_x000D_
Corte     : 19_x000D_
-----------------------------_x000D_
Pendente  : _x000D_
22 / 08_2 : 15_x000D_
22 / 09_2 : 9_x000D_
22 / 10_2 : 4_x000D_
22 / 11_2 : 6_x000D_
22 / 12_2 : 10_x000D_
23 / 01_2 : 3_x000D_
23 / 02_2 : 3_x000D_
23 / 03_2 : 8_x000D_
23 / 04_2 : 19 (corte = 20)_x000D_
23 / 05_2 : _x000D_
23 / 06_2 : _x000D_
23 / 07_2 : _x000D_
_x000D_
    TOTAL : ( 77 )_x000D_
  DIVISOR : 12_x000D_
    MÉDIA : 6,42_x000D_
-----------------------------_x000D_
   Valores Desconsiderados_x000D_
-----------------------------_x000D_
23 / 04_2 : 1 (20)_x000D_
_x000D_
  TOTAL   : ( 1 )</t>
        </r>
      </text>
    </comment>
    <comment ref="AB479" authorId="0" shapeId="0" xr:uid="{6215227A-19E7-4FD1-B6B8-B70ABF113DE1}">
      <text>
        <r>
          <rPr>
            <sz val="10"/>
            <color indexed="81"/>
            <rFont val="Lucida Console"/>
            <family val="3"/>
          </rPr>
          <t>Última movimentação no estoque em 04/2023 quantidade 20.</t>
        </r>
      </text>
    </comment>
    <comment ref="R480" authorId="0" shapeId="0" xr:uid="{6A5B02D1-54AB-48BF-989C-C3A42D970002}">
      <text>
        <r>
          <rPr>
            <sz val="10"/>
            <color indexed="81"/>
            <rFont val="Lucida Console"/>
            <family val="3"/>
          </rPr>
          <t>01.01.1901</t>
        </r>
      </text>
    </comment>
    <comment ref="Y480" authorId="0" shapeId="0" xr:uid="{1432D7FB-3CDB-435E-BE6E-16F6A44772FE}">
      <text>
        <r>
          <rPr>
            <sz val="10"/>
            <color indexed="81"/>
            <rFont val="Courier New"/>
            <family val="3"/>
          </rPr>
          <t>_x000D_
    DESCRIÇÃO DO CÁLCULO_x000D_
Código    : 44.789_x000D_
Corte     : 13_x000D_
-----------------------------_x000D_
Pendente  : _x000D_
22 / 08_2 : 4_x000D_
22 / 09_2 : _x000D_
22 / 10_2 : _x000D_
22 / 11_2 : _x000D_
22 / 12_2 : 2_x000D_
23 / 01_2 : _x000D_
23 / 02_2 : _x000D_
23 / 03_2 : 3_x000D_
23 / 04_2 : 13 (corte = 20)_x000D_
23 / 05_2 : _x000D_
23 / 06_2 : _x000D_
23 / 07_2 : _x000D_
_x000D_
    TOTAL : ( 22 )_x000D_
  DIVISOR : 12_x000D_
    MÉDIA : 1,83_x000D_
-----------------------------_x000D_
   Valores Desconsiderados_x000D_
-----------------------------_x000D_
23 / 04_2 : 7 (20)_x000D_
_x000D_
  TOTAL   : ( 7 )</t>
        </r>
      </text>
    </comment>
    <comment ref="AB480" authorId="0" shapeId="0" xr:uid="{710A2A57-7B05-41F0-A824-F1521AC461E2}">
      <text>
        <r>
          <rPr>
            <sz val="10"/>
            <color indexed="81"/>
            <rFont val="Lucida Console"/>
            <family val="3"/>
          </rPr>
          <t>Última movimentação no estoque em 04/2023 quantidade 20.</t>
        </r>
      </text>
    </comment>
    <comment ref="R481" authorId="0" shapeId="0" xr:uid="{FBE2E409-C2DE-499D-82A1-0C0942E19BA5}">
      <text>
        <r>
          <rPr>
            <sz val="10"/>
            <color indexed="81"/>
            <rFont val="Lucida Console"/>
            <family val="3"/>
          </rPr>
          <t>01.01.1901</t>
        </r>
      </text>
    </comment>
    <comment ref="Y481" authorId="0" shapeId="0" xr:uid="{3487B62B-2325-4148-82BC-8F39CF3D4BD3}">
      <text>
        <r>
          <rPr>
            <sz val="10"/>
            <color indexed="81"/>
            <rFont val="Courier New"/>
            <family val="3"/>
          </rPr>
          <t>_x000D_
    DESCRIÇÃO DO CÁLCULO_x000D_
Código    : 12.922_x000D_
Corte     : 12_x000D_
-----------------------------_x000D_
Pendente  : 5_x000D_
22 / 08_2 : _x000D_
22 / 09_2 : 9_x000D_
22 / 10_2 : 1_x000D_
22 / 11_2 : _x000D_
22 / 12_2 : _x000D_
23 / 01_2 : _x000D_
23 / 02_2 : _x000D_
23 / 03_2 : 4_x000D_
23 / 04_2 : 12 (corte = 15)_x000D_
23 / 05_2 : _x000D_
23 / 06_2 : _x000D_
23 / 07_2 : _x000D_
_x000D_
    TOTAL : ( 31 )_x000D_
  DIVISOR : 12_x000D_
    MÉDIA : 2,58_x000D_
-----------------------------_x000D_
   Valores Desconsiderados_x000D_
-----------------------------_x000D_
23 / 04_2 : 3 (15)_x000D_
_x000D_
  TOTAL   : ( 3 )</t>
        </r>
      </text>
    </comment>
    <comment ref="AB481" authorId="0" shapeId="0" xr:uid="{E6A4FE2F-8F70-4C1C-863D-B62DFCC22875}">
      <text>
        <r>
          <rPr>
            <sz val="10"/>
            <color indexed="81"/>
            <rFont val="Lucida Console"/>
            <family val="3"/>
          </rPr>
          <t>Última movimentação no estoque em 04/2023 quantidade 15.</t>
        </r>
      </text>
    </comment>
    <comment ref="R482" authorId="0" shapeId="0" xr:uid="{E0116188-2017-42EE-B552-D765F88C32B1}">
      <text>
        <r>
          <rPr>
            <sz val="10"/>
            <color indexed="81"/>
            <rFont val="Lucida Console"/>
            <family val="3"/>
          </rPr>
          <t>03.07.2015</t>
        </r>
      </text>
    </comment>
    <comment ref="Y482" authorId="0" shapeId="0" xr:uid="{A9CA2FAD-7FE0-47C3-A209-FE9248B7D6C9}">
      <text>
        <r>
          <rPr>
            <sz val="10"/>
            <color indexed="81"/>
            <rFont val="Courier New"/>
            <family val="3"/>
          </rPr>
          <t>_x000D_
    DESCRIÇÃO DO CÁLCULO_x000D_
Código    : 130.572_x000D_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482" authorId="0" shapeId="0" xr:uid="{B4582630-31E7-4B41-AB63-25FCB1A73056}">
      <text>
        <r>
          <rPr>
            <sz val="10"/>
            <color indexed="81"/>
            <rFont val="Lucida Console"/>
            <family val="3"/>
          </rPr>
          <t>Última movimentação no estoque em 09/2022 quantidade 18.</t>
        </r>
      </text>
    </comment>
    <comment ref="R483" authorId="0" shapeId="0" xr:uid="{4196EDCF-79B3-4597-A62B-2A16819A9866}">
      <text>
        <r>
          <rPr>
            <sz val="10"/>
            <color indexed="81"/>
            <rFont val="Lucida Console"/>
            <family val="3"/>
          </rPr>
          <t>25.04.2019</t>
        </r>
      </text>
    </comment>
    <comment ref="Y483" authorId="0" shapeId="0" xr:uid="{4D331AC8-7365-440C-A689-3FF514965467}">
      <text>
        <r>
          <rPr>
            <sz val="10"/>
            <color indexed="81"/>
            <rFont val="Courier New"/>
            <family val="3"/>
          </rPr>
          <t>_x000D_
    DESCRIÇÃO DO CÁLCULO_x000D_
Código    : 136.881_x000D_
Corte     : 37_x000D_
-----------------------------_x000D_
Pendente  : _x000D_
22 / 08_2 : 22_x000D_
22 / 09_2 : 19_x000D_
22 / 10_2 : 23_x000D_
22 / 11_2 : 22_x000D_
22 / 12_2 : 19_x000D_
23 / 01_2 : 2_x000D_
23 / 02_2 : 22_x000D_
23 / 03_2 : 31_x000D_
23 / 04_2 : 15_x000D_
23 / 05_2 : 35_x000D_
23 / 06_2 : 24_x000D_
23 / 07_2 : 22_x000D_
_x000D_
    TOTAL : ( 256 )_x000D_
  DIVISOR : 12_x000D_
    MÉDIA : 21,33</t>
        </r>
      </text>
    </comment>
    <comment ref="AB483" authorId="0" shapeId="0" xr:uid="{EA82CA5B-2BBB-4994-91A6-40E821C0A06E}">
      <text>
        <r>
          <rPr>
            <sz val="10"/>
            <color indexed="81"/>
            <rFont val="Lucida Console"/>
            <family val="3"/>
          </rPr>
          <t>Última movimentação no estoque em 07/2023 quantidade 22.</t>
        </r>
      </text>
    </comment>
    <comment ref="R484" authorId="0" shapeId="0" xr:uid="{87F2128A-008E-40C9-9664-C9E7EB46E16B}">
      <text>
        <r>
          <rPr>
            <sz val="10"/>
            <color indexed="81"/>
            <rFont val="Lucida Console"/>
            <family val="3"/>
          </rPr>
          <t>30.08.2021</t>
        </r>
      </text>
    </comment>
    <comment ref="Y484" authorId="0" shapeId="0" xr:uid="{480E493B-50CB-441D-8148-AB412EFC0303}">
      <text>
        <r>
          <rPr>
            <sz val="10"/>
            <color indexed="81"/>
            <rFont val="Courier New"/>
            <family val="3"/>
          </rPr>
          <t>_x000D_
    DESCRIÇÃO DO CÁLCULO_x000D_
Código    : 143.099_x000D_
Corte     : 164_x000D_
-----------------------------_x000D_
Pendente  : _x000D_
22 / 08_2 : 131_x000D_
22 / 09_2 : 86_x000D_
22 / 10_2 : 90_x000D_
22 / 11_2 : 104_x000D_
22 / 12_2 : 56_x000D_
23 / 01_2 : 12_x000D_
23 / 02_2 : 136_x000D_
23 / 03_2 : 137_x000D_
23 / 04_2 : 45_x000D_
23 / 05_2 : 101_x000D_
23 / 06_2 : 79_x000D_
23 / 07_2 : 86_x000D_
_x000D_
    TOTAL : ( 1.063 )_x000D_
  DIVISOR : 12_x000D_
    MÉDIA : 88,58</t>
        </r>
      </text>
    </comment>
    <comment ref="AB484" authorId="0" shapeId="0" xr:uid="{457DD861-AC5C-4E94-B768-27A3939C4F31}">
      <text>
        <r>
          <rPr>
            <sz val="10"/>
            <color indexed="81"/>
            <rFont val="Lucida Console"/>
            <family val="3"/>
          </rPr>
          <t>Última movimentação no estoque em 07/2023 quantidade 86.</t>
        </r>
      </text>
    </comment>
    <comment ref="R485" authorId="0" shapeId="0" xr:uid="{C7CDEDBC-B6A2-449F-BFC1-8F6AC93DFD32}">
      <text>
        <r>
          <rPr>
            <sz val="10"/>
            <color indexed="81"/>
            <rFont val="Lucida Console"/>
            <family val="3"/>
          </rPr>
          <t>14.08.2003</t>
        </r>
      </text>
    </comment>
    <comment ref="Y485" authorId="0" shapeId="0" xr:uid="{7DBB5C85-6468-42DB-8FD7-E5BC4591AD82}">
      <text>
        <r>
          <rPr>
            <sz val="10"/>
            <color indexed="81"/>
            <rFont val="Courier New"/>
            <family val="3"/>
          </rPr>
          <t>_x000D_
    DESCRIÇÃO DO CÁLCULO_x000D_
Código    : 74.979_x000D_
Corte     : 16_x000D_
-----------------------------_x000D_
Pendente  : _x000D_
22 / 08_2 : 2_x000D_
22 / 09_2 : 2_x000D_
22 / 10_2 : 1_x000D_
22 / 11_2 : _x000D_
22 / 12_2 : 8_x000D_
23 / 01_2 : 6_x000D_
23 / 02_2 : _x000D_
23 / 03_2 : 2_x000D_
23 / 04_2 : 10_x000D_
23 / 05_2 : _x000D_
23 / 06_2 : 16 (corte = 20)_x000D_
23 / 07_2 : _x000D_
_x000D_
    TOTAL : ( 47 )_x000D_
  DIVISOR : 12_x000D_
    MÉDIA : 3,92_x000D_
-----------------------------_x000D_
   Valores Desconsiderados_x000D_
-----------------------------_x000D_
23 / 06_2 : 4 (20)_x000D_
_x000D_
  TOTAL   : ( 4 )</t>
        </r>
      </text>
    </comment>
    <comment ref="AB485" authorId="0" shapeId="0" xr:uid="{A62FFCAB-FC13-4AF2-8491-CEE9297FA8C9}">
      <text>
        <r>
          <rPr>
            <sz val="10"/>
            <color indexed="81"/>
            <rFont val="Lucida Console"/>
            <family val="3"/>
          </rPr>
          <t>Última movimentação no estoque em 06/2023 quantidade 20.</t>
        </r>
      </text>
    </comment>
    <comment ref="R486" authorId="0" shapeId="0" xr:uid="{87F95F51-93DB-4E3D-B40D-39260D633C66}">
      <text>
        <r>
          <rPr>
            <sz val="10"/>
            <color indexed="81"/>
            <rFont val="Lucida Console"/>
            <family val="3"/>
          </rPr>
          <t>14.08.2003</t>
        </r>
      </text>
    </comment>
    <comment ref="Y486" authorId="0" shapeId="0" xr:uid="{B1E2B0C7-C285-49C4-9A89-B8D605F20F92}">
      <text>
        <r>
          <rPr>
            <sz val="10"/>
            <color indexed="81"/>
            <rFont val="Courier New"/>
            <family val="3"/>
          </rPr>
          <t>_x000D_
    DESCRIÇÃO DO CÁLCULO_x000D_
Código    : 74.976_x000D_
Corte     : 7_x000D_
-----------------------------_x000D_
Pendente  : _x000D_
22 / 08_2 : _x000D_
22 / 09_2 : _x000D_
22 / 10_2 : _x000D_
22 / 11_2 : 2_x000D_
22 / 12_2 : 4_x000D_
23 / 01_2 : 7 (corte = 10)_x000D_
23 / 02_2 : _x000D_
23 / 03_2 : _x000D_
23 / 04_2 : _x000D_
23 / 05_2 : _x000D_
23 / 06_2 : _x000D_
23 / 07_2 : _x000D_
_x000D_
    TOTAL : ( 13 )_x000D_
  DIVISOR : 12_x000D_
    MÉDIA : 1,08_x000D_
-----------------------------_x000D_
   Valores Desconsiderados_x000D_
-----------------------------_x000D_
23 / 01_2 : 3 (10)_x000D_
_x000D_
  TOTAL   : ( 3 )</t>
        </r>
      </text>
    </comment>
    <comment ref="AB486" authorId="0" shapeId="0" xr:uid="{F76461A1-28CC-440E-AEBF-BFC757214AFC}">
      <text>
        <r>
          <rPr>
            <sz val="10"/>
            <color indexed="81"/>
            <rFont val="Lucida Console"/>
            <family val="3"/>
          </rPr>
          <t>Última movimentação no estoque em 01/2023 quantidade 10.</t>
        </r>
      </text>
    </comment>
    <comment ref="R487" authorId="0" shapeId="0" xr:uid="{970E4D89-204A-4F76-9C05-75F0EC8FA8B8}">
      <text>
        <r>
          <rPr>
            <sz val="10"/>
            <color indexed="81"/>
            <rFont val="Lucida Console"/>
            <family val="3"/>
          </rPr>
          <t>23.04.2019</t>
        </r>
      </text>
    </comment>
    <comment ref="Y487" authorId="0" shapeId="0" xr:uid="{849E26AE-3F15-44B6-A38F-CDAAD16F206C}">
      <text>
        <r>
          <rPr>
            <sz val="10"/>
            <color indexed="81"/>
            <rFont val="Courier New"/>
            <family val="3"/>
          </rPr>
          <t>_x000D_
    DESCRIÇÃO DO CÁLCULO_x000D_
Código    : 136.853_x000D_
Corte     : 7_x000D_
-----------------------------_x000D_
Pendente  : _x000D_
22 / 08_2 : _x000D_
22 / 09_2 : _x000D_
22 / 10_2 : _x000D_
22 / 11_2 : _x000D_
22 / 12_2 : _x000D_
23 / 01_2 : 6_x000D_
23 / 02_2 : _x000D_
23 / 03_2 : 3_x000D_
23 / 04_2 : 6_x000D_
23 / 05_2 : 6_x000D_
23 / 06_2 : _x000D_
23 / 07_2 : _x000D_
_x000D_
    TOTAL : ( 21 )_x000D_
  DIVISOR : 12_x000D_
    MÉDIA : 1,75</t>
        </r>
      </text>
    </comment>
    <comment ref="AB487" authorId="0" shapeId="0" xr:uid="{8F3A9606-64BE-4F76-8625-99D31BBFEE8A}">
      <text>
        <r>
          <rPr>
            <sz val="10"/>
            <color indexed="81"/>
            <rFont val="Lucida Console"/>
            <family val="3"/>
          </rPr>
          <t>Última movimentação no estoque em 05/2023 quantidade 6.</t>
        </r>
      </text>
    </comment>
    <comment ref="R488" authorId="0" shapeId="0" xr:uid="{592A46E8-C21A-4566-943E-4212BAFC9239}">
      <text>
        <r>
          <rPr>
            <sz val="10"/>
            <color indexed="81"/>
            <rFont val="Lucida Console"/>
            <family val="3"/>
          </rPr>
          <t>01.01.1901</t>
        </r>
      </text>
    </comment>
    <comment ref="Y488" authorId="0" shapeId="0" xr:uid="{91A3AD21-44DB-4635-A590-EA55135588BA}">
      <text>
        <r>
          <rPr>
            <sz val="10"/>
            <color indexed="81"/>
            <rFont val="Courier New"/>
            <family val="3"/>
          </rPr>
          <t>_x000D_
    DESCRIÇÃO DO CÁLCULO_x000D_
Código    : 49.695_x000D_
Corte     : 97_x000D_
-----------------------------_x000D_
Pendente  : 71_x000D_
22 / 08_2 : 52_x000D_
22 / 09_2 : 70_x000D_
22 / 10_2 : 15_x000D_
22 / 11_2 : _x000D_
22 / 12_2 : 30_x000D_
23 / 01_2 : _x000D_
23 / 02_2 : 30_x000D_
23 / 03_2 : 50_x000D_
23 / 04_2 : 60_x000D_
23 / 05_2 : 80_x000D_
23 / 06_2 : 29_x000D_
23 / 07_2 : _x000D_
_x000D_
    TOTAL : ( 487 )_x000D_
  DIVISOR : 12_x000D_
    MÉDIA : 40,58</t>
        </r>
      </text>
    </comment>
    <comment ref="AB488" authorId="0" shapeId="0" xr:uid="{E9B40113-322F-40AA-9B3E-89C02DCD661B}">
      <text>
        <r>
          <rPr>
            <sz val="10"/>
            <color indexed="81"/>
            <rFont val="Lucida Console"/>
            <family val="3"/>
          </rPr>
          <t>Última movimentação no estoque em 06/2023 quantidade 29.</t>
        </r>
      </text>
    </comment>
    <comment ref="R489" authorId="0" shapeId="0" xr:uid="{5125B3B8-704D-4313-8CA1-FB271603184B}">
      <text>
        <r>
          <rPr>
            <sz val="10"/>
            <color indexed="81"/>
            <rFont val="Lucida Console"/>
            <family val="3"/>
          </rPr>
          <t>22.08.2012</t>
        </r>
      </text>
    </comment>
    <comment ref="Y489" authorId="0" shapeId="0" xr:uid="{018BDE8E-0394-44A8-A3FE-2C09AF85B2C8}">
      <text>
        <r>
          <rPr>
            <sz val="10"/>
            <color indexed="81"/>
            <rFont val="Courier New"/>
            <family val="3"/>
          </rPr>
          <t>_x000D_
    DESCRIÇÃO DO CÁLCULO_x000D_
Código    : 123.710_x000D_
Corte     : 31_x000D_
-----------------------------_x000D_
Pendente  : 5_x000D_
22 / 08_2 : 3_x000D_
22 / 09_2 : 12_x000D_
22 / 10_2 : 7_x000D_
22 / 11_2 : 7_x000D_
22 / 12_2 : 5_x000D_
23 / 01_2 : 5_x000D_
23 / 02_2 : 11_x000D_
23 / 03_2 : 31 (corte = 34)_x000D_
23 / 04_2 : 18_x000D_
23 / 05_2 : 22_x000D_
23 / 06_2 : 19_x000D_
23 / 07_2 : 16_x000D_
_x000D_
    TOTAL : ( 161 )_x000D_
  DIVISOR : 12_x000D_
    MÉDIA : 13,42_x000D_
-----------------------------_x000D_
   Valores Desconsiderados_x000D_
-----------------------------_x000D_
23 / 03_2 : 3 (34)_x000D_
_x000D_
  TOTAL   : ( 3 )</t>
        </r>
      </text>
    </comment>
    <comment ref="AB489" authorId="0" shapeId="0" xr:uid="{72E50478-B901-47EE-A285-EA6955064BB8}">
      <text>
        <r>
          <rPr>
            <sz val="10"/>
            <color indexed="81"/>
            <rFont val="Lucida Console"/>
            <family val="3"/>
          </rPr>
          <t>Última movimentação no estoque em 07/2023 quantidade 16.</t>
        </r>
      </text>
    </comment>
    <comment ref="R490" authorId="0" shapeId="0" xr:uid="{4EE4EE6E-A4CE-4C36-B37E-4F51371C0EBB}">
      <text>
        <r>
          <rPr>
            <sz val="10"/>
            <color indexed="81"/>
            <rFont val="Lucida Console"/>
            <family val="3"/>
          </rPr>
          <t>18.02.2014</t>
        </r>
      </text>
    </comment>
    <comment ref="Y490" authorId="0" shapeId="0" xr:uid="{2757C2E0-6E09-4673-8146-12EBB6844613}">
      <text>
        <r>
          <rPr>
            <sz val="10"/>
            <color indexed="81"/>
            <rFont val="Courier New"/>
            <family val="3"/>
          </rPr>
          <t>_x000D_
    DESCRIÇÃO DO CÁLCULO_x000D_
Código    : 127.384_x000D_
Corte     : 69_x000D_
-----------------------------_x000D_
Pendente  : _x000D_
22 / 08_2 : 5_x000D_
22 / 09_2 : 4_x000D_
22 / 10_2 : 12_x000D_
22 / 11_2 : 18_x000D_
22 / 12_2 : 27_x000D_
23 / 01_2 : 18_x000D_
23 / 02_2 : 32_x000D_
23 / 03_2 : 53_x000D_
23 / 04_2 : 63_x000D_
23 / 05_2 : 60_x000D_
23 / 06_2 : 15_x000D_
23 / 07_2 : _x000D_
_x000D_
    TOTAL : ( 307 )_x000D_
  DIVISOR : 12_x000D_
    MÉDIA : 25,58</t>
        </r>
      </text>
    </comment>
    <comment ref="AB490" authorId="0" shapeId="0" xr:uid="{C382A838-2E63-4DD8-9A2D-3EDAF0DF20E7}">
      <text>
        <r>
          <rPr>
            <sz val="10"/>
            <color indexed="81"/>
            <rFont val="Lucida Console"/>
            <family val="3"/>
          </rPr>
          <t>Última movimentação no estoque em 06/2023 quantidade 15.</t>
        </r>
      </text>
    </comment>
    <comment ref="R491" authorId="0" shapeId="0" xr:uid="{94695386-F4F2-4635-AF34-A0AAF054A2D9}">
      <text>
        <r>
          <rPr>
            <sz val="10"/>
            <color indexed="81"/>
            <rFont val="Lucida Console"/>
            <family val="3"/>
          </rPr>
          <t>05.05.2017</t>
        </r>
      </text>
    </comment>
    <comment ref="Y491" authorId="0" shapeId="0" xr:uid="{F09EA615-E283-4FC1-B858-8FC2C2FC964B}">
      <text>
        <r>
          <rPr>
            <sz val="10"/>
            <color indexed="81"/>
            <rFont val="Courier New"/>
            <family val="3"/>
          </rPr>
          <t>_x000D_
    DESCRIÇÃO DO CÁLCULO_x000D_
Código    : 132.655_x000D_
Corte     : 11.420_x000D_
-----------------------------_x000D_
Pendente  : 947_x000D_
22 / 08_2 : 2.007_x000D_
22 / 09_2 : 2.212_x000D_
22 / 10_2 : _x000D_
22 / 11_2 : 126_x000D_
22 / 12_2 : _x000D_
23 / 01_2 : 1.175_x000D_
23 / 02_2 : 2.282_x000D_
23 / 03_2 : 11.420 (corte = 16416)_x000D_
23 / 04_2 : 2.413_x000D_
23 / 05_2 : 2.752_x000D_
23 / 06_2 : 2.664_x000D_
23 / 07_2 : 2.247_x000D_
_x000D_
    TOTAL : ( 30.245 )_x000D_
  DIVISOR : 12_x000D_
    MÉDIA : 2.520,42_x000D_
-----------------------------_x000D_
   Valores Desconsiderados_x000D_
-----------------------------_x000D_
23 / 03_2 : 4.996 (16.416)_x000D_
_x000D_
  TOTAL   : ( 4.996 )</t>
        </r>
      </text>
    </comment>
    <comment ref="AB491" authorId="0" shapeId="0" xr:uid="{8A053275-6BD8-406B-907C-D27614A8D08F}">
      <text>
        <r>
          <rPr>
            <sz val="10"/>
            <color indexed="81"/>
            <rFont val="Lucida Console"/>
            <family val="3"/>
          </rPr>
          <t>Última movimentação no estoque em 07/2023 quantidade 2.247.</t>
        </r>
      </text>
    </comment>
    <comment ref="R492" authorId="0" shapeId="0" xr:uid="{6E03B27F-D57D-479F-9EE1-0836B177B870}">
      <text>
        <r>
          <rPr>
            <sz val="10"/>
            <color indexed="81"/>
            <rFont val="Lucida Console"/>
            <family val="3"/>
          </rPr>
          <t>05.05.2017</t>
        </r>
      </text>
    </comment>
    <comment ref="Y492" authorId="0" shapeId="0" xr:uid="{1A7A2BE2-69CA-4865-8248-29C74D991967}">
      <text>
        <r>
          <rPr>
            <sz val="10"/>
            <color indexed="81"/>
            <rFont val="Courier New"/>
            <family val="3"/>
          </rPr>
          <t>_x000D_
    DESCRIÇÃO DO CÁLCULO_x000D_
Código    : 132.656_x000D_
Corte     : 11.404_x000D_
-----------------------------_x000D_
Pendente  : 1.108_x000D_
22 / 08_2 : 1.989_x000D_
22 / 09_2 : 2.285_x000D_
22 / 10_2 : 170_x000D_
22 / 11_2 : 133_x000D_
22 / 12_2 : _x000D_
23 / 01_2 : 1.241_x000D_
23 / 02_2 : 2.271_x000D_
23 / 03_2 : 11.404 (corte = 16392)_x000D_
23 / 04_2 : 2.423_x000D_
23 / 05_2 : 2.719_x000D_
23 / 06_2 : 2.693_x000D_
23 / 07_2 : 2.164_x000D_
_x000D_
    TOTAL : ( 30.600 )_x000D_
  DIVISOR : 12_x000D_
    MÉDIA : 2.550,00_x000D_
-----------------------------_x000D_
   Valores Desconsiderados_x000D_
-----------------------------_x000D_
23 / 03_2 : 4.988 (16.392)_x000D_
_x000D_
  TOTAL   : ( 4.988 )</t>
        </r>
      </text>
    </comment>
    <comment ref="AB492" authorId="0" shapeId="0" xr:uid="{E899ECF4-B86F-4241-9FA0-67A7C0B6C45C}">
      <text>
        <r>
          <rPr>
            <sz val="10"/>
            <color indexed="81"/>
            <rFont val="Lucida Console"/>
            <family val="3"/>
          </rPr>
          <t>Última movimentação no estoque em 07/2023 quantidade 2.164.</t>
        </r>
      </text>
    </comment>
    <comment ref="R493" authorId="0" shapeId="0" xr:uid="{C845A4A5-86E0-4D50-AA00-2A1286950171}">
      <text>
        <r>
          <rPr>
            <sz val="10"/>
            <color indexed="81"/>
            <rFont val="Lucida Console"/>
            <family val="3"/>
          </rPr>
          <t>01.01.1901</t>
        </r>
      </text>
    </comment>
    <comment ref="Y493" authorId="0" shapeId="0" xr:uid="{4EDD3F76-72D1-4B12-B294-A1BA6BE58CEB}">
      <text>
        <r>
          <rPr>
            <sz val="10"/>
            <color indexed="81"/>
            <rFont val="Courier New"/>
            <family val="3"/>
          </rPr>
          <t>_x000D_
    DESCRIÇÃO DO CÁLCULO_x000D_
Código    : 10.412_x000D_
Corte     : 156_x000D_
-----------------------------_x000D_
Pendente  : 132_x000D_
22 / 08_2 : 92_x000D_
22 / 09_2 : 116_x000D_
22 / 10_2 : 50_x000D_
22 / 11_2 : 109_x000D_
22 / 12_2 : 98_x000D_
23 / 01_2 : 71_x000D_
23 / 02_2 : 70_x000D_
23 / 03_2 : 108_x000D_
23 / 04_2 : 121_x000D_
23 / 05_2 : 70_x000D_
23 / 06_2 : 120_x000D_
23 / 07_2 : 118_x000D_
_x000D_
    TOTAL : ( 1.275 )_x000D_
  DIVISOR : 12_x000D_
    MÉDIA : 106,21</t>
        </r>
      </text>
    </comment>
    <comment ref="AB493" authorId="0" shapeId="0" xr:uid="{9E5EEF3C-281F-47AC-B779-23482B8DED1E}">
      <text>
        <r>
          <rPr>
            <sz val="10"/>
            <color indexed="81"/>
            <rFont val="Lucida Console"/>
            <family val="3"/>
          </rPr>
          <t>Última movimentação no estoque em 07/2023 quantidade 118.</t>
        </r>
      </text>
    </comment>
    <comment ref="R494" authorId="0" shapeId="0" xr:uid="{8A8D9866-5C02-43E9-A89E-0E2D61F51891}">
      <text>
        <r>
          <rPr>
            <sz val="10"/>
            <color indexed="81"/>
            <rFont val="Lucida Console"/>
            <family val="3"/>
          </rPr>
          <t>01.01.1901</t>
        </r>
      </text>
    </comment>
    <comment ref="Y494" authorId="0" shapeId="0" xr:uid="{A57C9220-8D4F-4EFD-BEC8-627AB9FDEF5F}">
      <text>
        <r>
          <rPr>
            <sz val="10"/>
            <color indexed="81"/>
            <rFont val="Courier New"/>
            <family val="3"/>
          </rPr>
          <t>_x000D_
    DESCRIÇÃO DO CÁLCULO_x000D_
Código    : 23.016_x000D_
Corte     : 10_x000D_
-----------------------------_x000D_
Pendente  : _x000D_
22 / 08_2 : 3_x000D_
22 / 09_2 : 2_x000D_
22 / 10_2 : 10 (corte = 15)_x000D_
22 / 11_2 : 3_x000D_
22 / 12_2 : _x000D_
23 / 01_2 : 2_x000D_
23 / 02_2 : _x000D_
23 / 03_2 : 3_x000D_
23 / 04_2 : 2_x000D_
23 / 05_2 : _x000D_
23 / 06_2 : _x000D_
23 / 07_2 : _x000D_
_x000D_
    TOTAL : ( 25 )_x000D_
  DIVISOR : 12_x000D_
    MÉDIA : 2,08_x000D_
-----------------------------_x000D_
   Valores Desconsiderados_x000D_
-----------------------------_x000D_
22 / 10_2 : 5 (15)_x000D_
_x000D_
  TOTAL   : ( 5 )</t>
        </r>
      </text>
    </comment>
    <comment ref="AB494" authorId="0" shapeId="0" xr:uid="{DB6C0FC0-718B-40ED-B1E1-83DF0E94FF67}">
      <text>
        <r>
          <rPr>
            <sz val="10"/>
            <color indexed="81"/>
            <rFont val="Lucida Console"/>
            <family val="3"/>
          </rPr>
          <t>Última movimentação no estoque em 04/2023 quantidade 2.</t>
        </r>
      </text>
    </comment>
    <comment ref="R495" authorId="0" shapeId="0" xr:uid="{6AAFD045-0EC5-4FF2-AF51-1A71633051B4}">
      <text>
        <r>
          <rPr>
            <sz val="10"/>
            <color indexed="81"/>
            <rFont val="Lucida Console"/>
            <family val="3"/>
          </rPr>
          <t>01.01.1901</t>
        </r>
      </text>
    </comment>
    <comment ref="Y495" authorId="0" shapeId="0" xr:uid="{B987C4AD-57FA-46B2-91BA-5D946B82F3A3}">
      <text>
        <r>
          <rPr>
            <sz val="10"/>
            <color indexed="81"/>
            <rFont val="Courier New"/>
            <family val="3"/>
          </rPr>
          <t>_x000D_
    DESCRIÇÃO DO CÁLCULO_x000D_
Código    : 14.001_x000D_
Corte     : 107_x000D_
-----------------------------_x000D_
Pendente  : _x000D_
22 / 08_2 : 107 (corte = 128)_x000D_
22 / 09_2 : 80_x000D_
22 / 10_2 : 27_x000D_
22 / 11_2 : 30_x000D_
22 / 12_2 : 30_x000D_
23 / 01_2 : 34_x000D_
23 / 02_2 : 10_x000D_
23 / 03_2 : 34_x000D_
23 / 04_2 : 10_x000D_
23 / 05_2 : 40_x000D_
23 / 06_2 : _x000D_
23 / 07_2 : _x000D_
_x000D_
    TOTAL : ( 402 )_x000D_
  DIVISOR : 12_x000D_
    MÉDIA : 33,50_x000D_
-----------------------------_x000D_
   Valores Desconsiderados_x000D_
-----------------------------_x000D_
22 / 08_2 : 21 (128)_x000D_
_x000D_
  TOTAL   : ( 21 )</t>
        </r>
      </text>
    </comment>
    <comment ref="AB495" authorId="0" shapeId="0" xr:uid="{24384014-A464-47A1-8231-78559ED6C04E}">
      <text>
        <r>
          <rPr>
            <sz val="10"/>
            <color indexed="81"/>
            <rFont val="Lucida Console"/>
            <family val="3"/>
          </rPr>
          <t>Última movimentação no estoque em 05/2023 quantidade 40.</t>
        </r>
      </text>
    </comment>
    <comment ref="R496" authorId="0" shapeId="0" xr:uid="{24426D15-FD25-4E29-BF57-B426BC396FCD}">
      <text>
        <r>
          <rPr>
            <sz val="10"/>
            <color indexed="81"/>
            <rFont val="Lucida Console"/>
            <family val="3"/>
          </rPr>
          <t>01.01.1901</t>
        </r>
      </text>
    </comment>
    <comment ref="Y496" authorId="0" shapeId="0" xr:uid="{CF5A734F-C9ED-46FE-9EB2-782B76682583}">
      <text>
        <r>
          <rPr>
            <sz val="10"/>
            <color indexed="81"/>
            <rFont val="Courier New"/>
            <family val="3"/>
          </rPr>
          <t>_x000D_
    DESCRIÇÃO DO CÁLCULO_x000D_
Código    : 63.382_x000D_
Corte     : 23_x000D_
-----------------------------_x000D_
Pendente  : _x000D_
22 / 08_2 : 2_x000D_
22 / 09_2 : 13_x000D_
22 / 10_2 : 1_x000D_
22 / 11_2 : 1_x000D_
22 / 12_2 : _x000D_
23 / 01_2 : _x000D_
23 / 02_2 : 2_x000D_
23 / 03_2 : 1_x000D_
23 / 04_2 : 23 (corte = 32)_x000D_
23 / 05_2 : _x000D_
23 / 06_2 : _x000D_
23 / 07_2 : _x000D_
_x000D_
    TOTAL : ( 43 )_x000D_
  DIVISOR : 12_x000D_
    MÉDIA : 3,58_x000D_
-----------------------------_x000D_
   Valores Desconsiderados_x000D_
-----------------------------_x000D_
23 / 04_2 : 9 (32)_x000D_
_x000D_
  TOTAL   : ( 9 )</t>
        </r>
      </text>
    </comment>
    <comment ref="AB496" authorId="0" shapeId="0" xr:uid="{5E642E0C-B22B-4168-A20E-B449F498634D}">
      <text>
        <r>
          <rPr>
            <sz val="10"/>
            <color indexed="81"/>
            <rFont val="Lucida Console"/>
            <family val="3"/>
          </rPr>
          <t>Última movimentação no estoque em 04/2023 quantidade 32.</t>
        </r>
      </text>
    </comment>
    <comment ref="R497" authorId="0" shapeId="0" xr:uid="{F6D1D054-2CE9-4A37-97D2-4B2426D27876}">
      <text>
        <r>
          <rPr>
            <sz val="10"/>
            <color indexed="81"/>
            <rFont val="Lucida Console"/>
            <family val="3"/>
          </rPr>
          <t>22.07.2015</t>
        </r>
      </text>
    </comment>
    <comment ref="Y497" authorId="0" shapeId="0" xr:uid="{AF3CB184-F0CF-4A48-A5D6-1F887E92F08F}">
      <text>
        <r>
          <rPr>
            <sz val="10"/>
            <color indexed="81"/>
            <rFont val="Courier New"/>
            <family val="3"/>
          </rPr>
          <t>_x000D_
    DESCRIÇÃO DO CÁLCULO_x000D_
Código    : 130.632_x000D_
Corte     : 10_x000D_
-----------------------------_x000D_
Pendente  : 1_x000D_
22 / 08_2 : 6_x000D_
22 / 09_2 : 1_x000D_
22 / 10_2 : 2_x000D_
22 / 11_2 : 2_x000D_
22 / 12_2 : _x000D_
23 / 01_2 : _x000D_
23 / 02_2 : 1_x000D_
23 / 03_2 : 3_x000D_
23 / 04_2 : _x000D_
23 / 05_2 : _x000D_
23 / 06_2 : 10 (corte = 15)_x000D_
23 / 07_2 : _x000D_
_x000D_
    TOTAL : ( 26 )_x000D_
  DIVISOR : 12_x000D_
    MÉDIA : 2,17_x000D_
-----------------------------_x000D_
   Valores Desconsiderados_x000D_
-----------------------------_x000D_
23 / 06_2 : 5 (15)_x000D_
_x000D_
  TOTAL   : ( 5 )</t>
        </r>
      </text>
    </comment>
    <comment ref="AB497" authorId="0" shapeId="0" xr:uid="{69ACBFB9-F497-4B75-8757-11436E9423FB}">
      <text>
        <r>
          <rPr>
            <sz val="10"/>
            <color indexed="81"/>
            <rFont val="Lucida Console"/>
            <family val="3"/>
          </rPr>
          <t>Última movimentação no estoque em 06/2023 quantidade 15.</t>
        </r>
      </text>
    </comment>
    <comment ref="R498" authorId="0" shapeId="0" xr:uid="{5270850B-9A6F-4ED1-880A-BC56986E676A}">
      <text>
        <r>
          <rPr>
            <sz val="10"/>
            <color indexed="81"/>
            <rFont val="Lucida Console"/>
            <family val="3"/>
          </rPr>
          <t>26.08.2004</t>
        </r>
      </text>
    </comment>
    <comment ref="Y498" authorId="0" shapeId="0" xr:uid="{5CA2F5C2-748A-4DE3-A23C-F0A518B50D3B}">
      <text>
        <r>
          <rPr>
            <sz val="10"/>
            <color indexed="81"/>
            <rFont val="Courier New"/>
            <family val="3"/>
          </rPr>
          <t>_x000D_
    DESCRIÇÃO DO CÁLCULO_x000D_
Código    : 81.493_x000D_
Corte     : 24_x000D_
-----------------------------_x000D_
Pendente  : 15_x000D_
22 / 08_2 : 5_x000D_
22 / 09_2 : 11_x000D_
22 / 10_2 : 7_x000D_
22 / 11_2 : 14_x000D_
22 / 12_2 : 15_x000D_
23 / 01_2 : 4_x000D_
23 / 02_2 : 13_x000D_
23 / 03_2 : 17_x000D_
23 / 04_2 : 14_x000D_
23 / 05_2 : 6_x000D_
23 / 06_2 : 23_x000D_
23 / 07_2 : _x000D_
_x000D_
    TOTAL : ( 144 )_x000D_
  DIVISOR : 12_x000D_
    MÉDIA : 12,00</t>
        </r>
      </text>
    </comment>
    <comment ref="AB498" authorId="0" shapeId="0" xr:uid="{7278A2BB-F350-4E7E-A504-E884DFB60D18}">
      <text>
        <r>
          <rPr>
            <sz val="10"/>
            <color indexed="81"/>
            <rFont val="Lucida Console"/>
            <family val="3"/>
          </rPr>
          <t>Última movimentação no estoque em 06/2023 quantidade 23.</t>
        </r>
      </text>
    </comment>
    <comment ref="R499" authorId="0" shapeId="0" xr:uid="{B78BB145-334F-47EF-81C6-FAFF14647723}">
      <text>
        <r>
          <rPr>
            <sz val="10"/>
            <color indexed="81"/>
            <rFont val="Lucida Console"/>
            <family val="3"/>
          </rPr>
          <t>21.08.2018</t>
        </r>
      </text>
    </comment>
    <comment ref="Y499" authorId="0" shapeId="0" xr:uid="{84C2F0A4-9227-4AEF-A30B-92377E228814}">
      <text>
        <r>
          <rPr>
            <sz val="10"/>
            <color indexed="81"/>
            <rFont val="Courier New"/>
            <family val="3"/>
          </rPr>
          <t>_x000D_
    DESCRIÇÃO DO CÁLCULO_x000D_
Código    : 135.701_x000D_
Corte     : 31_x000D_
-----------------------------_x000D_
Pendente  : 3_x000D_
22 / 08_2 : 19_x000D_
22 / 09_2 : 20_x000D_
22 / 10_2 : 15_x000D_
22 / 11_2 : 12_x000D_
22 / 12_2 : 7_x000D_
23 / 01_2 : 17_x000D_
23 / 02_2 : 16_x000D_
23 / 03_2 : 31 (corte = 32)_x000D_
23 / 04_2 : 16_x000D_
23 / 05_2 : 20_x000D_
23 / 06_2 : 20_x000D_
23 / 07_2 : 15_x000D_
_x000D_
    TOTAL : ( 211 )_x000D_
  DIVISOR : 12_x000D_
    MÉDIA : 17,58_x000D_
-----------------------------_x000D_
   Valores Desconsiderados_x000D_
-----------------------------_x000D_
23 / 03_2 : 1 (32)_x000D_
_x000D_
  TOTAL   : ( 1 )</t>
        </r>
      </text>
    </comment>
    <comment ref="AB499" authorId="0" shapeId="0" xr:uid="{6A9E5314-BEDA-4DE9-9F44-8E51304B981F}">
      <text>
        <r>
          <rPr>
            <sz val="10"/>
            <color indexed="81"/>
            <rFont val="Lucida Console"/>
            <family val="3"/>
          </rPr>
          <t>Última movimentação no estoque em 07/2023 quantidade 15.</t>
        </r>
      </text>
    </comment>
    <comment ref="R500" authorId="0" shapeId="0" xr:uid="{0B4D9BFD-9238-4A83-90C2-5F36B6434EAC}">
      <text>
        <r>
          <rPr>
            <sz val="10"/>
            <color indexed="81"/>
            <rFont val="Lucida Console"/>
            <family val="3"/>
          </rPr>
          <t>26.06.2018</t>
        </r>
      </text>
    </comment>
    <comment ref="Y500" authorId="0" shapeId="0" xr:uid="{0C268424-C4BE-4924-830A-5468BA039245}">
      <text>
        <r>
          <rPr>
            <sz val="10"/>
            <color indexed="81"/>
            <rFont val="Courier New"/>
            <family val="3"/>
          </rPr>
          <t>_x000D_
    DESCRIÇÃO DO CÁLCULO_x000D_
Código    : 135.304_x000D_
Corte     : 52_x000D_
-----------------------------_x000D_
Pendente  : _x000D_
22 / 08_2 : 8_x000D_
22 / 09_2 : _x000D_
22 / 10_2 : 18_x000D_
22 / 11_2 : 6_x000D_
22 / 12_2 : 6_x000D_
23 / 01_2 : 8_x000D_
23 / 02_2 : 42_x000D_
23 / 03_2 : 52 (corte = 61)_x000D_
23 / 04_2 : 15_x000D_
23 / 05_2 : 20_x000D_
23 / 06_2 : _x000D_
23 / 07_2 : _x000D_
_x000D_
    TOTAL : ( 175 )_x000D_
  DIVISOR : 12_x000D_
    MÉDIA : 14,58_x000D_
-----------------------------_x000D_
   Valores Desconsiderados_x000D_
-----------------------------_x000D_
23 / 03_2 : 9 (61)_x000D_
_x000D_
  TOTAL   : ( 9 )</t>
        </r>
      </text>
    </comment>
    <comment ref="AB500" authorId="0" shapeId="0" xr:uid="{C17D463F-0884-44F3-B78B-1A7DFD169E4B}">
      <text>
        <r>
          <rPr>
            <sz val="10"/>
            <color indexed="81"/>
            <rFont val="Lucida Console"/>
            <family val="3"/>
          </rPr>
          <t>Última movimentação no estoque em 05/2023 quantidade 20.</t>
        </r>
      </text>
    </comment>
    <comment ref="R501" authorId="0" shapeId="0" xr:uid="{43E6EA10-8C73-4F53-945E-69FAAD28EF6F}">
      <text>
        <r>
          <rPr>
            <sz val="10"/>
            <color indexed="81"/>
            <rFont val="Lucida Console"/>
            <family val="3"/>
          </rPr>
          <t>23.04.2019</t>
        </r>
      </text>
    </comment>
    <comment ref="Y501" authorId="0" shapeId="0" xr:uid="{3D534C15-C9C2-4C68-A34F-C42FB31006C5}">
      <text>
        <r>
          <rPr>
            <sz val="10"/>
            <color indexed="81"/>
            <rFont val="Courier New"/>
            <family val="3"/>
          </rPr>
          <t>_x000D_
    DESCRIÇÃO DO CÁLCULO_x000D_
Código    : 136.854_x000D_
Corte     : 1_x000D_
-----------------------------_x000D_
Pendente  : _x000D_
22 / 08_2 : _x000D_
22 / 09_2 : _x000D_
22 / 10_2 : _x000D_
22 / 11_2 : _x000D_
22 / 12_2 : 1 (corte = 2)_x000D_
23 / 01_2 : 1 (corte = 2)_x000D_
23 / 02_2 : _x000D_
23 / 03_2 : _x000D_
23 / 04_2 : _x000D_
23 / 05_2 : _x000D_
23 / 06_2 : _x000D_
23 / 07_2 : _x000D_
_x000D_
    TOTAL : ( 2 )_x000D_
  DIVISOR : 12_x000D_
    MÉDIA : ,17_x000D_
-----------------------------_x000D_
   Valores Desconsiderados_x000D_
-----------------------------_x000D_
22 / 12_2 : 1 (2)_x000D_
23 / 01_2 : 1 (2)_x000D_
_x000D_
  TOTAL   : ( 2 )</t>
        </r>
      </text>
    </comment>
    <comment ref="AB501" authorId="0" shapeId="0" xr:uid="{1F490300-44E5-4358-89F7-495DED3147D6}">
      <text>
        <r>
          <rPr>
            <sz val="10"/>
            <color indexed="81"/>
            <rFont val="Lucida Console"/>
            <family val="3"/>
          </rPr>
          <t>Última movimentação no estoque em 01/2023 quantidade 2.</t>
        </r>
      </text>
    </comment>
    <comment ref="R502" authorId="0" shapeId="0" xr:uid="{C87C4B94-63F2-4FBF-9ABA-64CA52DEC974}">
      <text>
        <r>
          <rPr>
            <sz val="10"/>
            <color indexed="81"/>
            <rFont val="Lucida Console"/>
            <family val="3"/>
          </rPr>
          <t>01.01.1901</t>
        </r>
      </text>
    </comment>
    <comment ref="Y502" authorId="0" shapeId="0" xr:uid="{E69C5941-5943-4FA5-AED8-BFCE46CE691B}">
      <text>
        <r>
          <rPr>
            <sz val="10"/>
            <color indexed="81"/>
            <rFont val="Courier New"/>
            <family val="3"/>
          </rPr>
          <t>_x000D_
    DESCRIÇÃO DO CÁLCULO_x000D_
Código    : 63.252_x000D_
Corte     : 47_x000D_
-----------------------------_x000D_
Pendente  : 14_x000D_
22 / 08_2 : 13_x000D_
22 / 09_2 : 12_x000D_
22 / 10_2 : 17_x000D_
22 / 11_2 : 11_x000D_
22 / 12_2 : 12_x000D_
23 / 01_2 : 24_x000D_
23 / 02_2 : 15_x000D_
23 / 03_2 : 47 (corte = 61)_x000D_
23 / 04_2 : _x000D_
23 / 05_2 : _x000D_
23 / 06_2 : _x000D_
23 / 07_2 : _x000D_
_x000D_
    TOTAL : ( 165 )_x000D_
  DIVISOR : 12_x000D_
    MÉDIA : 13,75_x000D_
-----------------------------_x000D_
   Valores Desconsiderados_x000D_
-----------------------------_x000D_
23 / 03_2 : 14 (61)_x000D_
_x000D_
  TOTAL   : ( 14 )</t>
        </r>
      </text>
    </comment>
    <comment ref="AB502" authorId="0" shapeId="0" xr:uid="{33D5011B-06F1-48B5-9DF2-E33B35BB341A}">
      <text>
        <r>
          <rPr>
            <sz val="10"/>
            <color indexed="81"/>
            <rFont val="Lucida Console"/>
            <family val="3"/>
          </rPr>
          <t>Última movimentação no estoque em 03/2023 quantidade 61.</t>
        </r>
      </text>
    </comment>
    <comment ref="R503" authorId="0" shapeId="0" xr:uid="{A19C5B76-8F06-427A-AD25-BBE71FBA6D78}">
      <text>
        <r>
          <rPr>
            <sz val="10"/>
            <color indexed="81"/>
            <rFont val="Lucida Console"/>
            <family val="3"/>
          </rPr>
          <t>16.07.2015</t>
        </r>
      </text>
    </comment>
    <comment ref="Y503" authorId="0" shapeId="0" xr:uid="{AA076901-1B16-4BFF-AE4F-1648EC9E7E4D}">
      <text>
        <r>
          <rPr>
            <sz val="10"/>
            <color indexed="81"/>
            <rFont val="Courier New"/>
            <family val="3"/>
          </rPr>
          <t>_x000D_
    DESCRIÇÃO DO CÁLCULO_x000D_
Código    : 130.614_x000D_
Corte     : 18_x000D_
-----------------------------_x000D_
Pendente  : _x000D_
22 / 08_2 : _x000D_
22 / 09_2 : 3_x000D_
22 / 10_2 : _x000D_
22 / 11_2 : _x000D_
22 / 12_2 : _x000D_
23 / 01_2 : _x000D_
23 / 02_2 : _x000D_
23 / 03_2 : _x000D_
23 / 04_2 : 18 (corte = 24)_x000D_
23 / 05_2 : _x000D_
23 / 06_2 : 12_x000D_
23 / 07_2 : _x000D_
_x000D_
    TOTAL : ( 33 )_x000D_
  DIVISOR : 12_x000D_
    MÉDIA : 2,75_x000D_
-----------------------------_x000D_
   Valores Desconsiderados_x000D_
-----------------------------_x000D_
23 / 04_2 : 6 (24)_x000D_
_x000D_
  TOTAL   : ( 6 )</t>
        </r>
      </text>
    </comment>
    <comment ref="AB503" authorId="0" shapeId="0" xr:uid="{471977E7-695B-4F2F-B348-D1DCB67E0A9C}">
      <text>
        <r>
          <rPr>
            <sz val="10"/>
            <color indexed="81"/>
            <rFont val="Lucida Console"/>
            <family val="3"/>
          </rPr>
          <t>Última movimentação no estoque em 06/2023 quantidade 12.</t>
        </r>
      </text>
    </comment>
    <comment ref="R504" authorId="0" shapeId="0" xr:uid="{97292D81-D9C2-4856-ADC6-684685C0C627}">
      <text>
        <r>
          <rPr>
            <sz val="10"/>
            <color indexed="81"/>
            <rFont val="Lucida Console"/>
            <family val="3"/>
          </rPr>
          <t>21.09.2011</t>
        </r>
      </text>
    </comment>
    <comment ref="Y504" authorId="0" shapeId="0" xr:uid="{0635C1CF-AFEB-4FCA-9B38-40B709DB780D}">
      <text>
        <r>
          <rPr>
            <sz val="10"/>
            <color indexed="81"/>
            <rFont val="Courier New"/>
            <family val="3"/>
          </rPr>
          <t>_x000D_
    DESCRIÇÃO DO CÁLCULO_x000D_
Código    : 121.086_x000D_
Corte     : 2_x000D_
-----------------------------_x000D_
Pendente  : _x000D_
22 / 08_2 : 1_x000D_
22 / 09_2 : _x000D_
22 / 10_2 : 1_x000D_
22 / 11_2 : _x000D_
22 / 12_2 : 1_x000D_
23 / 01_2 : 1_x000D_
23 / 02_2 : _x000D_
23 / 03_2 : 2 (corte = 3)_x000D_
23 / 04_2 : _x000D_
23 / 05_2 : 2_x000D_
23 / 06_2 : _x000D_
23 / 07_2 : _x000D_
_x000D_
    TOTAL : ( 8 )_x000D_
  DIVISOR : 12_x000D_
    MÉDIA : ,67_x000D_
-----------------------------_x000D_
   Valores Desconsiderados_x000D_
-----------------------------_x000D_
23 / 03_2 : 1 (3)_x000D_
_x000D_
  TOTAL   : ( 1 )</t>
        </r>
      </text>
    </comment>
    <comment ref="AB504" authorId="0" shapeId="0" xr:uid="{8AB303E2-676E-4227-ADC7-92D863D15EA1}">
      <text>
        <r>
          <rPr>
            <sz val="10"/>
            <color indexed="81"/>
            <rFont val="Lucida Console"/>
            <family val="3"/>
          </rPr>
          <t>Última movimentação no estoque em 05/2023 quantidade 2.</t>
        </r>
      </text>
    </comment>
    <comment ref="R505" authorId="0" shapeId="0" xr:uid="{B0127D6A-AB4C-416D-BA1C-BEA4F17FB1D3}">
      <text>
        <r>
          <rPr>
            <sz val="10"/>
            <color indexed="81"/>
            <rFont val="Lucida Console"/>
            <family val="3"/>
          </rPr>
          <t>04.04.2016</t>
        </r>
      </text>
    </comment>
    <comment ref="Y505" authorId="0" shapeId="0" xr:uid="{EAB081B5-67F3-4F19-98E6-03CFC20263CA}">
      <text>
        <r>
          <rPr>
            <sz val="10"/>
            <color indexed="81"/>
            <rFont val="Courier New"/>
            <family val="3"/>
          </rPr>
          <t>_x000D_
    DESCRIÇÃO DO CÁLCULO_x000D_
Código    : 131.482_x000D_
Corte     : 14_x000D_
-----------------------------_x000D_
Pendente  : _x000D_
22 / 08_2 : 6_x000D_
22 / 09_2 : _x000D_
22 / 10_2 : _x000D_
22 / 11_2 : _x000D_
22 / 12_2 : _x000D_
23 / 01_2 : _x000D_
23 / 02_2 : 1_x000D_
23 / 03_2 : _x000D_
23 / 04_2 : 1_x000D_
23 / 05_2 : 14 (corte = 21)_x000D_
23 / 06_2 : _x000D_
23 / 07_2 : _x000D_
_x000D_
    TOTAL : ( 22 )_x000D_
  DIVISOR : 12_x000D_
    MÉDIA : 1,83_x000D_
-----------------------------_x000D_
   Valores Desconsiderados_x000D_
-----------------------------_x000D_
23 / 05_2 : 7 (21)_x000D_
_x000D_
  TOTAL   : ( 7 )</t>
        </r>
      </text>
    </comment>
    <comment ref="AB505" authorId="0" shapeId="0" xr:uid="{CD543C6A-2DFE-4C9F-888D-E8B1E92BDBF5}">
      <text>
        <r>
          <rPr>
            <sz val="10"/>
            <color indexed="81"/>
            <rFont val="Lucida Console"/>
            <family val="3"/>
          </rPr>
          <t>Última movimentação no estoque em 05/2023 quantidade 21.</t>
        </r>
      </text>
    </comment>
    <comment ref="R506" authorId="0" shapeId="0" xr:uid="{7F9F98F2-B1E2-4971-9D50-D94E78E63B42}">
      <text>
        <r>
          <rPr>
            <sz val="10"/>
            <color indexed="81"/>
            <rFont val="Lucida Console"/>
            <family val="3"/>
          </rPr>
          <t>06.08.2004</t>
        </r>
      </text>
    </comment>
    <comment ref="Y506" authorId="0" shapeId="0" xr:uid="{4975E6AF-3688-4BEA-A97A-4FEDC7DC2CFD}">
      <text>
        <r>
          <rPr>
            <sz val="10"/>
            <color indexed="81"/>
            <rFont val="Courier New"/>
            <family val="3"/>
          </rPr>
          <t>_x000D_
    DESCRIÇÃO DO CÁLCULO_x000D_
Código    : 81.131_x000D_
Corte     : 62_x000D_
-----------------------------_x000D_
Pendente  : _x000D_
22 / 08_2 : 11_x000D_
22 / 09_2 : 1_x000D_
22 / 10_2 : 6_x000D_
22 / 11_2 : 7_x000D_
22 / 12_2 : 30_x000D_
23 / 01_2 : 26_x000D_
23 / 02_2 : 16_x000D_
23 / 03_2 : 62 (corte = 71)_x000D_
23 / 04_2 : 10_x000D_
23 / 05_2 : 50_x000D_
23 / 06_2 : 17_x000D_
23 / 07_2 : _x000D_
_x000D_
    TOTAL : ( 236 )_x000D_
  DIVISOR : 12_x000D_
    MÉDIA : 19,67_x000D_
-----------------------------_x000D_
   Valores Desconsiderados_x000D_
-----------------------------_x000D_
23 / 03_2 : 9 (71)_x000D_
_x000D_
  TOTAL   : ( 9 )</t>
        </r>
      </text>
    </comment>
    <comment ref="AB506" authorId="0" shapeId="0" xr:uid="{B6008D8C-2A54-4ED7-995E-749E1A8CFF95}">
      <text>
        <r>
          <rPr>
            <sz val="10"/>
            <color indexed="81"/>
            <rFont val="Lucida Console"/>
            <family val="3"/>
          </rPr>
          <t>Última movimentação no estoque em 06/2023 quantidade 17.</t>
        </r>
      </text>
    </comment>
    <comment ref="R507" authorId="0" shapeId="0" xr:uid="{F9B726F7-0BEF-4DEA-BE59-3AB356613078}">
      <text>
        <r>
          <rPr>
            <sz val="10"/>
            <color indexed="81"/>
            <rFont val="Lucida Console"/>
            <family val="3"/>
          </rPr>
          <t>10.07.2017</t>
        </r>
      </text>
    </comment>
    <comment ref="Y507" authorId="0" shapeId="0" xr:uid="{C1F681B6-D55C-44D9-AB19-55E5E81312F0}">
      <text>
        <r>
          <rPr>
            <sz val="10"/>
            <color indexed="81"/>
            <rFont val="Courier New"/>
            <family val="3"/>
          </rPr>
          <t>_x000D_
    DESCRIÇÃO DO CÁLCULO_x000D_
Código    : 133.021_x000D_
Corte     : 176_x000D_
-----------------------------_x000D_
Pendente  : 211_x000D_
22 / 08_2 : 50_x000D_
22 / 09_2 : 66_x000D_
22 / 10_2 : 53_x000D_
22 / 11_2 : 121_x000D_
22 / 12_2 : 47_x000D_
23 / 01_2 : 26_x000D_
23 / 02_2 : 70_x000D_
23 / 03_2 : 48_x000D_
23 / 04_2 : _x000D_
23 / 05_2 : _x000D_
23 / 06_2 : _x000D_
23 / 07_2 : 58_x000D_
_x000D_
    TOTAL : ( 750 )_x000D_
  DIVISOR : 12_x000D_
    MÉDIA : 62,50</t>
        </r>
      </text>
    </comment>
    <comment ref="AB507" authorId="0" shapeId="0" xr:uid="{21A861B1-CF64-44F7-B7D2-CA5FE89BCAFC}">
      <text>
        <r>
          <rPr>
            <sz val="10"/>
            <color indexed="81"/>
            <rFont val="Lucida Console"/>
            <family val="3"/>
          </rPr>
          <t>Última movimentação no estoque em 07/2023 quantidade 58.</t>
        </r>
      </text>
    </comment>
    <comment ref="R508" authorId="0" shapeId="0" xr:uid="{94E3B8B2-AB65-4F28-B915-5BD48DF2FF08}">
      <text>
        <r>
          <rPr>
            <sz val="10"/>
            <color indexed="81"/>
            <rFont val="Lucida Console"/>
            <family val="3"/>
          </rPr>
          <t>01.01.1901</t>
        </r>
      </text>
    </comment>
    <comment ref="Y508" authorId="0" shapeId="0" xr:uid="{A620350C-6AC8-4C3B-BC70-23782E90E42F}">
      <text>
        <r>
          <rPr>
            <sz val="10"/>
            <color indexed="81"/>
            <rFont val="Courier New"/>
            <family val="3"/>
          </rPr>
          <t>_x000D_
    DESCRIÇÃO DO CÁLCULO_x000D_
Código    : 87.465_x000D_
Corte     : 1_x000D_
-----------------------------_x000D_
Pendente  : 3_x000D_
22 / 08_2 : _x000D_
22 / 09_2 : _x000D_
22 / 10_2 : _x000D_
22 / 11_2 : _x000D_
22 / 12_2 : _x000D_
23 / 01_2 : _x000D_
23 / 02_2 : _x000D_
23 / 03_2 : _x000D_
23 / 04_2 : _x000D_
23 / 05_2 : _x000D_
23 / 06_2 : _x000D_
23 / 07_2 : _x000D_
_x000D_
    TOTAL : ( 3 )_x000D_
  DIVISOR : 12_x000D_
    MÉDIA : ,25</t>
        </r>
      </text>
    </comment>
    <comment ref="AB508" authorId="0" shapeId="0" xr:uid="{CB9CFED7-5F20-47A9-886A-84F1A797DAEA}">
      <text>
        <r>
          <rPr>
            <sz val="10"/>
            <color indexed="81"/>
            <rFont val="Lucida Console"/>
            <family val="3"/>
          </rPr>
          <t>Última movimentação no estoque em 07/2023 quantidade 58.</t>
        </r>
      </text>
    </comment>
    <comment ref="R509" authorId="0" shapeId="0" xr:uid="{BD72F1D9-F899-4A2E-A925-8225FEC230C0}">
      <text>
        <r>
          <rPr>
            <sz val="10"/>
            <color indexed="81"/>
            <rFont val="Lucida Console"/>
            <family val="3"/>
          </rPr>
          <t>01.01.1901</t>
        </r>
      </text>
    </comment>
    <comment ref="Y509" authorId="0" shapeId="0" xr:uid="{915145CA-6FA6-444C-B08A-801FF02610B0}">
      <text>
        <r>
          <rPr>
            <sz val="10"/>
            <color indexed="81"/>
            <rFont val="Courier New"/>
            <family val="3"/>
          </rPr>
          <t>_x000D_
    DESCRIÇÃO DO CÁLCULO_x000D_
Código    : 12.659_x000D_
Corte     : 572_x000D_
-----------------------------_x000D_
Pendente  : 1_x000D_
22 / 08_2 : 217_x000D_
22 / 09_2 : 258_x000D_
22 / 10_2 : 267_x000D_
22 / 11_2 : 338_x000D_
22 / 12_2 : 183_x000D_
23 / 01_2 : 114_x000D_
23 / 02_2 : 217_x000D_
23 / 03_2 : 403_x000D_
23 / 04_2 : 281_x000D_
23 / 05_2 : 298_x000D_
23 / 06_2 : 541_x000D_
23 / 07_2 : 425_x000D_
_x000D_
    TOTAL : ( 3.543 )_x000D_
  DIVISOR : 12_x000D_
    MÉDIA : 295,25</t>
        </r>
      </text>
    </comment>
    <comment ref="AB509" authorId="0" shapeId="0" xr:uid="{F094BFA5-8876-4B82-ADD0-FE4B1E498F8A}">
      <text>
        <r>
          <rPr>
            <sz val="10"/>
            <color indexed="81"/>
            <rFont val="Lucida Console"/>
            <family val="3"/>
          </rPr>
          <t>Última movimentação no estoque em 07/2023 quantidade 425.</t>
        </r>
      </text>
    </comment>
    <comment ref="R510" authorId="0" shapeId="0" xr:uid="{B1DE18D3-B7A2-4C14-892A-F057C2C5CA1D}">
      <text>
        <r>
          <rPr>
            <sz val="10"/>
            <color indexed="81"/>
            <rFont val="Lucida Console"/>
            <family val="3"/>
          </rPr>
          <t>27.02.2008</t>
        </r>
      </text>
    </comment>
    <comment ref="Y510" authorId="0" shapeId="0" xr:uid="{16C66EFD-6D59-418E-B511-124EE1898011}">
      <text>
        <r>
          <rPr>
            <sz val="10"/>
            <color indexed="81"/>
            <rFont val="Courier New"/>
            <family val="3"/>
          </rPr>
          <t>_x000D_
    DESCRIÇÃO DO CÁLCULO_x000D_
Código    : 105.259_x000D_
Corte     : 1.965_x000D_
-----------------------------_x000D_
Pendente  : 8_x000D_
22 / 08_2 : 126_x000D_
22 / 09_2 : 109_x000D_
22 / 10_2 : 114_x000D_
22 / 11_2 : 128_x000D_
22 / 12_2 : 93_x000D_
23 / 01_2 : 77_x000D_
23 / 02_2 : 107_x000D_
23 / 03_2 : 1.965 (corte = 3007)_x000D_
23 / 04_2 : 104_x000D_
23 / 05_2 : 136_x000D_
23 / 06_2 : 110_x000D_
23 / 07_2 : 113_x000D_
_x000D_
    TOTAL : ( 3.190 )_x000D_
  DIVISOR : 12_x000D_
    MÉDIA : 265,83_x000D_
-----------------------------_x000D_
   Valores Desconsiderados_x000D_
-----------------------------_x000D_
23 / 03_2 : 1.042 (3.007)_x000D_
_x000D_
  TOTAL   : ( 1.042 )</t>
        </r>
      </text>
    </comment>
    <comment ref="AB510" authorId="0" shapeId="0" xr:uid="{718EC571-A52A-4141-A88C-E65C4C69B252}">
      <text>
        <r>
          <rPr>
            <sz val="10"/>
            <color indexed="81"/>
            <rFont val="Lucida Console"/>
            <family val="3"/>
          </rPr>
          <t>Última movimentação no estoque em 07/2023 quantidade 113.</t>
        </r>
      </text>
    </comment>
    <comment ref="R511" authorId="0" shapeId="0" xr:uid="{A380D10A-3451-4699-A055-9406896DD9AF}">
      <text>
        <r>
          <rPr>
            <sz val="10"/>
            <color indexed="81"/>
            <rFont val="Lucida Console"/>
            <family val="3"/>
          </rPr>
          <t>01.01.1901</t>
        </r>
      </text>
    </comment>
    <comment ref="Y511" authorId="0" shapeId="0" xr:uid="{86243D28-7D2A-4307-B5E2-202F2B6030CC}">
      <text>
        <r>
          <rPr>
            <sz val="10"/>
            <color indexed="81"/>
            <rFont val="Courier New"/>
            <family val="3"/>
          </rPr>
          <t>_x000D_
    DESCRIÇÃO DO CÁLCULO_x000D_
Código    : 15.530_x000D_
Corte     : 3.762_x000D_
-----------------------------_x000D_
Pendente  : 50_x000D_
22 / 08_2 : 1.940_x000D_
22 / 09_2 : 2.190_x000D_
22 / 10_2 : 2.350_x000D_
22 / 11_2 : 2.280_x000D_
22 / 12_2 : 1.430_x000D_
23 / 01_2 : 880_x000D_
23 / 02_2 : 1.120_x000D_
23 / 03_2 : 3.150_x000D_
23 / 04_2 : 2.680_x000D_
23 / 05_2 : 2.490_x000D_
23 / 06_2 : 2.350_x000D_
23 / 07_2 : 2.080_x000D_
_x000D_
    TOTAL : ( 24.990 )_x000D_
  DIVISOR : 12_x000D_
    MÉDIA : 2.082,50</t>
        </r>
      </text>
    </comment>
    <comment ref="AB511" authorId="0" shapeId="0" xr:uid="{78AFC0C8-47CF-4BF5-9A63-3266F0C6D034}">
      <text>
        <r>
          <rPr>
            <sz val="10"/>
            <color indexed="81"/>
            <rFont val="Lucida Console"/>
            <family val="3"/>
          </rPr>
          <t>Última movimentação no estoque em 07/2023 quantidade 2.080.</t>
        </r>
      </text>
    </comment>
    <comment ref="R512" authorId="0" shapeId="0" xr:uid="{16F8C13A-99EC-40F6-B4B8-344FF8D8BC63}">
      <text>
        <r>
          <rPr>
            <sz val="10"/>
            <color indexed="81"/>
            <rFont val="Lucida Console"/>
            <family val="3"/>
          </rPr>
          <t>01.01.1901</t>
        </r>
      </text>
    </comment>
    <comment ref="Y512" authorId="0" shapeId="0" xr:uid="{7925AC20-31CD-4428-BF29-BC12BBED8476}">
      <text>
        <r>
          <rPr>
            <sz val="10"/>
            <color indexed="81"/>
            <rFont val="Courier New"/>
            <family val="3"/>
          </rPr>
          <t>_x000D_
    DESCRIÇÃO DO CÁLCULO_x000D_
Código    : 29.964_x000D_
Corte     : 1.108_x000D_
-----------------------------_x000D_
Pendente  : 50_x000D_
22 / 08_2 : 407_x000D_
22 / 09_2 : 416_x000D_
22 / 10_2 : 514_x000D_
22 / 11_2 : 493_x000D_
22 / 12_2 : 425_x000D_
23 / 01_2 : 290_x000D_
23 / 02_2 : 420_x000D_
23 / 03_2 : 1.108 (corte = 1115)_x000D_
23 / 04_2 : 547_x000D_
23 / 05_2 : 835_x000D_
23 / 06_2 : 775_x000D_
23 / 07_2 : 633_x000D_
_x000D_
    TOTAL : ( 6.913 )_x000D_
  DIVISOR : 12_x000D_
    MÉDIA : 576,08_x000D_
-----------------------------_x000D_
   Valores Desconsiderados_x000D_
-----------------------------_x000D_
23 / 03_2 : 7 (1.115)_x000D_
_x000D_
  TOTAL   : ( 7 )</t>
        </r>
      </text>
    </comment>
    <comment ref="AB512" authorId="0" shapeId="0" xr:uid="{E5017006-723E-46E8-A6AE-2413476C419A}">
      <text>
        <r>
          <rPr>
            <sz val="10"/>
            <color indexed="81"/>
            <rFont val="Lucida Console"/>
            <family val="3"/>
          </rPr>
          <t>Última movimentação no estoque em 07/2023 quantidade 633.</t>
        </r>
      </text>
    </comment>
    <comment ref="R513" authorId="0" shapeId="0" xr:uid="{9A35D2D0-0A51-4082-9DAD-E94C00744ECA}">
      <text>
        <r>
          <rPr>
            <sz val="10"/>
            <color indexed="81"/>
            <rFont val="Lucida Console"/>
            <family val="3"/>
          </rPr>
          <t>18.09.2012</t>
        </r>
      </text>
    </comment>
    <comment ref="Y513" authorId="0" shapeId="0" xr:uid="{A554D302-2991-4C50-98BC-95357F7ED236}">
      <text>
        <r>
          <rPr>
            <sz val="10"/>
            <color indexed="81"/>
            <rFont val="Courier New"/>
            <family val="3"/>
          </rPr>
          <t>_x000D_
    DESCRIÇÃO DO CÁLCULO_x000D_
Código    : 124.261_x000D_
Corte     : 1.218_x000D_
-----------------------------_x000D_
Pendente  : 10_x000D_
22 / 08_2 : 479_x000D_
22 / 09_2 : 496_x000D_
22 / 10_2 : 604_x000D_
22 / 11_2 : 633_x000D_
22 / 12_2 : 485_x000D_
23 / 01_2 : 300_x000D_
23 / 02_2 : 455_x000D_
23 / 03_2 : 1.171_x000D_
23 / 04_2 : 642_x000D_
23 / 05_2 : 920_x000D_
23 / 06_2 : 820_x000D_
23 / 07_2 : 716_x000D_
_x000D_
    TOTAL : ( 7.731 )_x000D_
  DIVISOR : 12_x000D_
    MÉDIA : 644,25</t>
        </r>
      </text>
    </comment>
    <comment ref="AB513" authorId="0" shapeId="0" xr:uid="{85109592-29E2-49BA-9244-DACB3F3B7C5C}">
      <text>
        <r>
          <rPr>
            <sz val="10"/>
            <color indexed="81"/>
            <rFont val="Lucida Console"/>
            <family val="3"/>
          </rPr>
          <t>Última movimentação no estoque em 07/2023 quantidade 716.</t>
        </r>
      </text>
    </comment>
    <comment ref="R514" authorId="0" shapeId="0" xr:uid="{3AEB9DEA-9E89-4D8A-9B54-A481169D4DD4}">
      <text>
        <r>
          <rPr>
            <sz val="10"/>
            <color indexed="81"/>
            <rFont val="Lucida Console"/>
            <family val="3"/>
          </rPr>
          <t>01.01.1901</t>
        </r>
      </text>
    </comment>
    <comment ref="Y514" authorId="0" shapeId="0" xr:uid="{066D95FD-5467-46B2-8D51-4447E98DC489}">
      <text>
        <r>
          <rPr>
            <sz val="10"/>
            <color indexed="81"/>
            <rFont val="Courier New"/>
            <family val="3"/>
          </rPr>
          <t>_x000D_
    DESCRIÇÃO DO CÁLCULO_x000D_
Código    : 29.956_x000D_
Corte     : 1.163_x000D_
-----------------------------_x000D_
Pendente  : 10_x000D_
22 / 08_2 : 459_x000D_
22 / 09_2 : 431_x000D_
22 / 10_2 : 554_x000D_
22 / 11_2 : 603_x000D_
22 / 12_2 : 480_x000D_
23 / 01_2 : 240_x000D_
23 / 02_2 : 455_x000D_
23 / 03_2 : 1.120_x000D_
23 / 04_2 : 632_x000D_
23 / 05_2 : 865_x000D_
23 / 06_2 : 810_x000D_
23 / 07_2 : 621_x000D_
_x000D_
    TOTAL : ( 7.280 )_x000D_
  DIVISOR : 12_x000D_
    MÉDIA : 606,67</t>
        </r>
      </text>
    </comment>
    <comment ref="AB514" authorId="0" shapeId="0" xr:uid="{6E2D2937-ED79-4E3C-9220-389EA3B87192}">
      <text>
        <r>
          <rPr>
            <sz val="10"/>
            <color indexed="81"/>
            <rFont val="Lucida Console"/>
            <family val="3"/>
          </rPr>
          <t>Última movimentação no estoque em 07/2023 quantidade 621.</t>
        </r>
      </text>
    </comment>
    <comment ref="R515" authorId="0" shapeId="0" xr:uid="{710ADA68-6173-4C05-BAFE-43CED0AA76D3}">
      <text>
        <r>
          <rPr>
            <sz val="10"/>
            <color indexed="81"/>
            <rFont val="Lucida Console"/>
            <family val="3"/>
          </rPr>
          <t>01.01.1901</t>
        </r>
      </text>
    </comment>
    <comment ref="Y515" authorId="0" shapeId="0" xr:uid="{2558C5BC-8F66-4B03-8C3F-EDCF77C3E806}">
      <text>
        <r>
          <rPr>
            <sz val="10"/>
            <color indexed="81"/>
            <rFont val="Courier New"/>
            <family val="3"/>
          </rPr>
          <t>_x000D_
    DESCRIÇÃO DO CÁLCULO_x000D_
Código    : 29.962_x000D_
Corte     : 1.175_x000D_
-----------------------------_x000D_
Pendente  : 115_x000D_
22 / 08_2 : 456_x000D_
22 / 09_2 : 491_x000D_
22 / 10_2 : 456_x000D_
22 / 11_2 : 588_x000D_
22 / 12_2 : 460_x000D_
23 / 01_2 : _x000D_
23 / 02_2 : 40_x000D_
23 / 03_2 : 1.050_x000D_
23 / 04_2 : 597_x000D_
23 / 05_2 : 855_x000D_
23 / 06_2 : 815_x000D_
23 / 07_2 : 651_x000D_
_x000D_
    TOTAL : ( 6.574 )_x000D_
  DIVISOR : 12_x000D_
    MÉDIA : 547,83</t>
        </r>
      </text>
    </comment>
    <comment ref="AB515" authorId="0" shapeId="0" xr:uid="{3284D612-C547-4DD0-8763-3CAEB403F9A7}">
      <text>
        <r>
          <rPr>
            <sz val="10"/>
            <color indexed="81"/>
            <rFont val="Lucida Console"/>
            <family val="3"/>
          </rPr>
          <t>Última movimentação no estoque em 07/2023 quantidade 651.</t>
        </r>
      </text>
    </comment>
    <comment ref="R516" authorId="0" shapeId="0" xr:uid="{777224B1-2C4C-4770-A006-A74E54E2E93F}">
      <text>
        <r>
          <rPr>
            <sz val="10"/>
            <color indexed="81"/>
            <rFont val="Lucida Console"/>
            <family val="3"/>
          </rPr>
          <t>01.01.1901</t>
        </r>
      </text>
    </comment>
    <comment ref="Y516" authorId="0" shapeId="0" xr:uid="{5F09182B-D540-4D26-84D3-59F2545FC988}">
      <text>
        <r>
          <rPr>
            <sz val="10"/>
            <color indexed="81"/>
            <rFont val="Courier New"/>
            <family val="3"/>
          </rPr>
          <t>_x000D_
    DESCRIÇÃO DO CÁLCULO_x000D_
Código    : 29.959_x000D_
Corte     : 1.214_x000D_
-----------------------------_x000D_
Pendente  : 558_x000D_
22 / 08_2 : 634_x000D_
22 / 09_2 : 561_x000D_
22 / 10_2 : 804_x000D_
22 / 11_2 : 738_x000D_
22 / 12_2 : 575_x000D_
23 / 01_2 : 300_x000D_
23 / 02_2 : 217_x000D_
23 / 03_2 : 365_x000D_
23 / 04_2 : 667_x000D_
23 / 05_2 : 1.120_x000D_
23 / 06_2 : 985_x000D_
23 / 07_2 : 826_x000D_
_x000D_
    TOTAL : ( 8.350 )_x000D_
  DIVISOR : 12_x000D_
    MÉDIA : 695,83</t>
        </r>
      </text>
    </comment>
    <comment ref="AB516" authorId="0" shapeId="0" xr:uid="{0B0F65BF-BA1D-42A4-B57C-EE07E6A61671}">
      <text>
        <r>
          <rPr>
            <sz val="10"/>
            <color indexed="81"/>
            <rFont val="Lucida Console"/>
            <family val="3"/>
          </rPr>
          <t>Última movimentação no estoque em 07/2023 quantidade 826.</t>
        </r>
      </text>
    </comment>
    <comment ref="R517" authorId="0" shapeId="0" xr:uid="{021616A3-58B6-440D-8156-54B5BE84F075}">
      <text>
        <r>
          <rPr>
            <sz val="10"/>
            <color indexed="81"/>
            <rFont val="Lucida Console"/>
            <family val="3"/>
          </rPr>
          <t>01.01.1901</t>
        </r>
      </text>
    </comment>
    <comment ref="Y517" authorId="0" shapeId="0" xr:uid="{3D88511A-3410-48EE-B63B-9B876627E68C}">
      <text>
        <r>
          <rPr>
            <sz val="10"/>
            <color indexed="81"/>
            <rFont val="Courier New"/>
            <family val="3"/>
          </rPr>
          <t>_x000D_
    DESCRIÇÃO DO CÁLCULO_x000D_
Código    : 29.961_x000D_
Corte     : 1.092_x000D_
-----------------------------_x000D_
Pendente  : _x000D_
22 / 08_2 : 489_x000D_
22 / 09_2 : 466_x000D_
22 / 10_2 : 581_x000D_
22 / 11_2 : 706_x000D_
22 / 12_2 : 530_x000D_
23 / 01_2 : 310_x000D_
23 / 02_2 : 493_x000D_
23 / 03_2 : 1.090_x000D_
23 / 04_2 : 657_x000D_
23 / 05_2 : 940_x000D_
23 / 06_2 : 825_x000D_
23 / 07_2 : 721_x000D_
_x000D_
    TOTAL : ( 7.808 )_x000D_
  DIVISOR : 12_x000D_
    MÉDIA : 650,67</t>
        </r>
      </text>
    </comment>
    <comment ref="AB517" authorId="0" shapeId="0" xr:uid="{091B7E98-CE59-4FDE-B3A0-62118039D430}">
      <text>
        <r>
          <rPr>
            <sz val="10"/>
            <color indexed="81"/>
            <rFont val="Lucida Console"/>
            <family val="3"/>
          </rPr>
          <t>Última movimentação no estoque em 07/2023 quantidade 721.</t>
        </r>
      </text>
    </comment>
    <comment ref="R518" authorId="0" shapeId="0" xr:uid="{1FE51697-AA4F-4164-8483-DCC13B7AE9B6}">
      <text>
        <r>
          <rPr>
            <sz val="10"/>
            <color indexed="81"/>
            <rFont val="Lucida Console"/>
            <family val="3"/>
          </rPr>
          <t>06.11.2003</t>
        </r>
      </text>
    </comment>
    <comment ref="Y518" authorId="0" shapeId="0" xr:uid="{D0199CED-9818-4B57-8100-684908591A45}">
      <text>
        <r>
          <rPr>
            <sz val="10"/>
            <color indexed="81"/>
            <rFont val="Courier New"/>
            <family val="3"/>
          </rPr>
          <t>_x000D_
    DESCRIÇÃO DO CÁLCULO_x000D_
Código    : 75.938_x000D_
Corte     : 1.154_x000D_
-----------------------------_x000D_
Pendente  : 160_x000D_
22 / 08_2 : 544_x000D_
22 / 09_2 : 481_x000D_
22 / 10_2 : 624_x000D_
22 / 11_2 : 613_x000D_
22 / 12_2 : 480_x000D_
23 / 01_2 : 270_x000D_
23 / 02_2 : 250_x000D_
23 / 03_2 : 1.055_x000D_
23 / 04_2 : 607_x000D_
23 / 05_2 : 930_x000D_
23 / 06_2 : 810_x000D_
23 / 07_2 : 726_x000D_
_x000D_
    TOTAL : ( 7.550 )_x000D_
  DIVISOR : 12_x000D_
    MÉDIA : 629,17</t>
        </r>
      </text>
    </comment>
    <comment ref="AB518" authorId="0" shapeId="0" xr:uid="{4CAD0849-6305-4301-8B01-43D75B606318}">
      <text>
        <r>
          <rPr>
            <sz val="10"/>
            <color indexed="81"/>
            <rFont val="Lucida Console"/>
            <family val="3"/>
          </rPr>
          <t>Última movimentação no estoque em 07/2023 quantidade 726.</t>
        </r>
      </text>
    </comment>
    <comment ref="R519" authorId="0" shapeId="0" xr:uid="{F7C8E7D2-0BA1-4096-B462-BEB80CD871F7}">
      <text>
        <r>
          <rPr>
            <sz val="10"/>
            <color indexed="81"/>
            <rFont val="Lucida Console"/>
            <family val="3"/>
          </rPr>
          <t>01.01.1901</t>
        </r>
      </text>
    </comment>
    <comment ref="Y519" authorId="0" shapeId="0" xr:uid="{2D672006-F2FD-4F5D-AE48-A00D0E922C62}">
      <text>
        <r>
          <rPr>
            <sz val="10"/>
            <color indexed="81"/>
            <rFont val="Courier New"/>
            <family val="3"/>
          </rPr>
          <t>_x000D_
    DESCRIÇÃO DO CÁLCULO_x000D_
Código    : 23.846_x000D_
Corte     : 2.252_x000D_
-----------------------------_x000D_
Pendente  : 600_x000D_
22 / 08_2 : 1.071_x000D_
22 / 09_2 : 1.104_x000D_
22 / 10_2 : 1.241_x000D_
22 / 11_2 : 1.334_x000D_
22 / 12_2 : 587_x000D_
23 / 01_2 : 453_x000D_
23 / 02_2 : 1.110_x000D_
23 / 03_2 : 2.252 (corte = 2275)_x000D_
23 / 04_2 : 1.350_x000D_
23 / 05_2 : 1.690_x000D_
23 / 06_2 : 1.187_x000D_
23 / 07_2 : 369_x000D_
_x000D_
    TOTAL : ( 14.348 )_x000D_
  DIVISOR : 12_x000D_
    MÉDIA : 1.195,67_x000D_
-----------------------------_x000D_
   Valores Desconsiderados_x000D_
-----------------------------_x000D_
23 / 03_2 : 23 (2.275)_x000D_
_x000D_
  TOTAL   : ( 23 )</t>
        </r>
      </text>
    </comment>
    <comment ref="AB519" authorId="0" shapeId="0" xr:uid="{ADD78D32-DF64-4039-89E4-3DC34AA3658A}">
      <text>
        <r>
          <rPr>
            <sz val="10"/>
            <color indexed="81"/>
            <rFont val="Lucida Console"/>
            <family val="3"/>
          </rPr>
          <t>Última movimentação no estoque em 07/2023 quantidade 369.</t>
        </r>
      </text>
    </comment>
    <comment ref="R520" authorId="0" shapeId="0" xr:uid="{F85897D9-BED7-4A0B-ADE0-50AFA5668F02}">
      <text>
        <r>
          <rPr>
            <sz val="10"/>
            <color indexed="81"/>
            <rFont val="Lucida Console"/>
            <family val="3"/>
          </rPr>
          <t>01.01.1901</t>
        </r>
      </text>
    </comment>
    <comment ref="Y520" authorId="0" shapeId="0" xr:uid="{A2974F8E-8057-4F98-8C00-8418838393A7}">
      <text>
        <r>
          <rPr>
            <sz val="10"/>
            <color indexed="81"/>
            <rFont val="Courier New"/>
            <family val="3"/>
          </rPr>
          <t>_x000D_
    DESCRIÇÃO DO CÁLCULO_x000D_
Código    : 30.165_x000D_
Corte     : 2.537_x000D_
-----------------------------_x000D_
Pendente  : 909_x000D_
22 / 08_2 : 1.222_x000D_
22 / 09_2 : 1.271_x000D_
22 / 10_2 : 1.368_x000D_
22 / 11_2 : 1.388_x000D_
22 / 12_2 : 13_x000D_
23 / 01_2 : 483_x000D_
23 / 02_2 : 1.150_x000D_
23 / 03_2 : 2.435_x000D_
23 / 04_2 : 1.505_x000D_
23 / 05_2 : 1.750_x000D_
23 / 06_2 : 742_x000D_
23 / 07_2 : 19_x000D_
_x000D_
    TOTAL : ( 14.255 )_x000D_
  DIVISOR : 12_x000D_
    MÉDIA : 1.187,92</t>
        </r>
      </text>
    </comment>
    <comment ref="AB520" authorId="0" shapeId="0" xr:uid="{485F5700-8E0D-4D03-AC62-B27657198373}">
      <text>
        <r>
          <rPr>
            <sz val="10"/>
            <color indexed="81"/>
            <rFont val="Lucida Console"/>
            <family val="3"/>
          </rPr>
          <t>Última movimentação no estoque em 07/2023 quantidade 19.</t>
        </r>
      </text>
    </comment>
    <comment ref="R521" authorId="0" shapeId="0" xr:uid="{67C2D787-C169-4AD1-BF53-2639AA393EE7}">
      <text>
        <r>
          <rPr>
            <sz val="10"/>
            <color indexed="81"/>
            <rFont val="Lucida Console"/>
            <family val="3"/>
          </rPr>
          <t>01.01.1901</t>
        </r>
      </text>
    </comment>
    <comment ref="Y521" authorId="0" shapeId="0" xr:uid="{F5196AD8-31B4-480D-A6CA-E71C02B54DD1}">
      <text>
        <r>
          <rPr>
            <sz val="10"/>
            <color indexed="81"/>
            <rFont val="Courier New"/>
            <family val="3"/>
          </rPr>
          <t>_x000D_
    DESCRIÇÃO DO CÁLCULO_x000D_
Código    : 23.875_x000D_
Corte     : 2.270_x000D_
-----------------------------_x000D_
Pendente  : 25_x000D_
22 / 08_2 : 1.054_x000D_
22 / 09_2 : 1.038_x000D_
22 / 10_2 : 1.251_x000D_
22 / 11_2 : 1.254_x000D_
22 / 12_2 : 703_x000D_
23 / 01_2 : 480_x000D_
23 / 02_2 : 1.060_x000D_
23 / 03_2 : 2.175_x000D_
23 / 04_2 : 1.390_x000D_
23 / 05_2 : 1.580_x000D_
23 / 06_2 : 1.405_x000D_
23 / 07_2 : 1.211_x000D_
_x000D_
    TOTAL : ( 14.626 )_x000D_
  DIVISOR : 12_x000D_
    MÉDIA : 1.218,83</t>
        </r>
      </text>
    </comment>
    <comment ref="AB521" authorId="0" shapeId="0" xr:uid="{15434C5E-CC28-4B15-88F0-2A971B3D9713}">
      <text>
        <r>
          <rPr>
            <sz val="10"/>
            <color indexed="81"/>
            <rFont val="Lucida Console"/>
            <family val="3"/>
          </rPr>
          <t>Última movimentação no estoque em 07/2023 quantidade 1.211.</t>
        </r>
      </text>
    </comment>
    <comment ref="R522" authorId="0" shapeId="0" xr:uid="{B89DCAA3-19DE-404C-B887-F1BBDE3E4B2F}">
      <text>
        <r>
          <rPr>
            <sz val="10"/>
            <color indexed="81"/>
            <rFont val="Lucida Console"/>
            <family val="3"/>
          </rPr>
          <t>01.01.1901</t>
        </r>
      </text>
    </comment>
    <comment ref="Y522" authorId="0" shapeId="0" xr:uid="{F95849C1-2BB0-49E9-B811-DF6D561ACFA3}">
      <text>
        <r>
          <rPr>
            <sz val="10"/>
            <color indexed="81"/>
            <rFont val="Courier New"/>
            <family val="3"/>
          </rPr>
          <t>_x000D_
    DESCRIÇÃO DO CÁLCULO_x000D_
Código    : 32.933_x000D_
Corte     : 2.392_x000D_
-----------------------------_x000D_
Pendente  : 452_x000D_
22 / 08_2 : 1.107_x000D_
22 / 09_2 : 1.071_x000D_
22 / 10_2 : 1.216_x000D_
22 / 11_2 : 1.424_x000D_
22 / 12_2 : 762_x000D_
23 / 01_2 : _x000D_
23 / 02_2 : 920_x000D_
23 / 03_2 : 2.250_x000D_
23 / 04_2 : 1.410_x000D_
23 / 05_2 : 1.711_x000D_
23 / 06_2 : 1.485_x000D_
23 / 07_2 : 330_x000D_
_x000D_
    TOTAL : ( 14.138 )_x000D_
  DIVISOR : 12_x000D_
    MÉDIA : 1.178,17</t>
        </r>
      </text>
    </comment>
    <comment ref="AB522" authorId="0" shapeId="0" xr:uid="{E6BC70C1-7878-4411-8F08-293F9AD90209}">
      <text>
        <r>
          <rPr>
            <sz val="10"/>
            <color indexed="81"/>
            <rFont val="Lucida Console"/>
            <family val="3"/>
          </rPr>
          <t>Última movimentação no estoque em 07/2023 quantidade 330.</t>
        </r>
      </text>
    </comment>
    <comment ref="R523" authorId="0" shapeId="0" xr:uid="{2DEAC32B-7712-46D8-B8FE-35D59C5BF90C}">
      <text>
        <r>
          <rPr>
            <sz val="10"/>
            <color indexed="81"/>
            <rFont val="Lucida Console"/>
            <family val="3"/>
          </rPr>
          <t>01.01.1901</t>
        </r>
      </text>
    </comment>
    <comment ref="Y523" authorId="0" shapeId="0" xr:uid="{7BD486A5-89E6-4E7C-9834-71E0C002E0FD}">
      <text>
        <r>
          <rPr>
            <sz val="10"/>
            <color indexed="81"/>
            <rFont val="Courier New"/>
            <family val="3"/>
          </rPr>
          <t>_x000D_
    DESCRIÇÃO DO CÁLCULO_x000D_
Código    : 23.862_x000D_
Corte     : 2.454_x000D_
-----------------------------_x000D_
Pendente  : 95_x000D_
22 / 08_2 : 1.242_x000D_
22 / 09_2 : 1.101_x000D_
22 / 10_2 : 1.241_x000D_
22 / 11_2 : 1.409_x000D_
22 / 12_2 : 748_x000D_
23 / 01_2 : 488_x000D_
23 / 02_2 : 1.110_x000D_
23 / 03_2 : 2.402_x000D_
23 / 04_2 : 1.370_x000D_
23 / 05_2 : 1.770_x000D_
23 / 06_2 : 1.510_x000D_
23 / 07_2 : 1.293_x000D_
_x000D_
    TOTAL : ( 15.779 )_x000D_
  DIVISOR : 12_x000D_
    MÉDIA : 1.314,92</t>
        </r>
      </text>
    </comment>
    <comment ref="AB523" authorId="0" shapeId="0" xr:uid="{12512E31-DD27-4E47-BBDC-877E9ED704C7}">
      <text>
        <r>
          <rPr>
            <sz val="10"/>
            <color indexed="81"/>
            <rFont val="Lucida Console"/>
            <family val="3"/>
          </rPr>
          <t>Última movimentação no estoque em 07/2023 quantidade 1.293.</t>
        </r>
      </text>
    </comment>
    <comment ref="R524" authorId="0" shapeId="0" xr:uid="{96C6DCE5-A838-4BAC-862E-F1876C3B6D8E}">
      <text>
        <r>
          <rPr>
            <sz val="10"/>
            <color indexed="81"/>
            <rFont val="Lucida Console"/>
            <family val="3"/>
          </rPr>
          <t>01.01.1901</t>
        </r>
      </text>
    </comment>
    <comment ref="Y524" authorId="0" shapeId="0" xr:uid="{08046437-8A16-4A11-84FC-49474E340101}">
      <text>
        <r>
          <rPr>
            <sz val="10"/>
            <color indexed="81"/>
            <rFont val="Courier New"/>
            <family val="3"/>
          </rPr>
          <t>_x000D_
    DESCRIÇÃO DO CÁLCULO_x000D_
Código    : 17.362_x000D_
Corte     : 1.359_x000D_
-----------------------------_x000D_
Pendente  : _x000D_
22 / 08_2 : 741_x000D_
22 / 09_2 : 515_x000D_
22 / 10_2 : 615_x000D_
22 / 11_2 : 1.005_x000D_
22 / 12_2 : 623_x000D_
23 / 01_2 : 175_x000D_
23 / 02_2 : 535_x000D_
23 / 03_2 : 1.188_x000D_
23 / 04_2 : 600_x000D_
23 / 05_2 : 1.137_x000D_
23 / 06_2 : 1.102_x000D_
23 / 07_2 : 773_x000D_
_x000D_
    TOTAL : ( 9.009 )_x000D_
  DIVISOR : 12_x000D_
    MÉDIA : 750,75</t>
        </r>
      </text>
    </comment>
    <comment ref="AB524" authorId="0" shapeId="0" xr:uid="{78103B4B-4C9D-40EB-B3C4-326FB915D6D2}">
      <text>
        <r>
          <rPr>
            <sz val="10"/>
            <color indexed="81"/>
            <rFont val="Lucida Console"/>
            <family val="3"/>
          </rPr>
          <t>Última movimentação no estoque em 07/2023 quantidade 773.</t>
        </r>
      </text>
    </comment>
    <comment ref="R525" authorId="0" shapeId="0" xr:uid="{EF32F4CD-6424-440D-92D1-D64DE6DD0F03}">
      <text>
        <r>
          <rPr>
            <sz val="10"/>
            <color indexed="81"/>
            <rFont val="Lucida Console"/>
            <family val="3"/>
          </rPr>
          <t>01.01.1901</t>
        </r>
      </text>
    </comment>
    <comment ref="Y525" authorId="0" shapeId="0" xr:uid="{0E070694-5D2C-4D22-8D48-AED6633D6C6B}">
      <text>
        <r>
          <rPr>
            <sz val="10"/>
            <color indexed="81"/>
            <rFont val="Courier New"/>
            <family val="3"/>
          </rPr>
          <t>_x000D_
    DESCRIÇÃO DO CÁLCULO_x000D_
Código    : 32.927_x000D_
Corte     : 1.440_x000D_
-----------------------------_x000D_
Pendente  : 57_x000D_
22 / 08_2 : 709_x000D_
22 / 09_2 : 455_x000D_
22 / 10_2 : 545_x000D_
22 / 11_2 : 1.035_x000D_
22 / 12_2 : 613_x000D_
23 / 01_2 : 185_x000D_
23 / 02_2 : 240_x000D_
23 / 03_2 : 1.089_x000D_
23 / 04_2 : 580_x000D_
23 / 05_2 : 1.193_x000D_
23 / 06_2 : 1.050_x000D_
23 / 07_2 : 763_x000D_
_x000D_
    TOTAL : ( 8.514 )_x000D_
  DIVISOR : 12_x000D_
    MÉDIA : 709,50</t>
        </r>
      </text>
    </comment>
    <comment ref="AB525" authorId="0" shapeId="0" xr:uid="{B327530E-6AA1-46EB-AEA8-37E280B865D0}">
      <text>
        <r>
          <rPr>
            <sz val="10"/>
            <color indexed="81"/>
            <rFont val="Lucida Console"/>
            <family val="3"/>
          </rPr>
          <t>Última movimentação no estoque em 07/2023 quantidade 763.</t>
        </r>
      </text>
    </comment>
    <comment ref="R526" authorId="0" shapeId="0" xr:uid="{0C899DE3-A146-4E3C-A0BA-6502BB9378CF}">
      <text>
        <r>
          <rPr>
            <sz val="10"/>
            <color indexed="81"/>
            <rFont val="Lucida Console"/>
            <family val="3"/>
          </rPr>
          <t>01.01.1901</t>
        </r>
      </text>
    </comment>
    <comment ref="Y526" authorId="0" shapeId="0" xr:uid="{E143A3D9-CDF4-4FD1-80B6-04456BD1D059}">
      <text>
        <r>
          <rPr>
            <sz val="10"/>
            <color indexed="81"/>
            <rFont val="Courier New"/>
            <family val="3"/>
          </rPr>
          <t>_x000D_
    DESCRIÇÃO DO CÁLCULO_x000D_
Código    : 17.370_x000D_
Corte     : 1.438_x000D_
-----------------------------_x000D_
Pendente  : 56_x000D_
22 / 08_2 : 739_x000D_
22 / 09_2 : 450_x000D_
22 / 10_2 : 565_x000D_
22 / 11_2 : 1.025_x000D_
22 / 12_2 : 613_x000D_
23 / 01_2 : 69_x000D_
23 / 02_2 : 200_x000D_
23 / 03_2 : 1.024_x000D_
23 / 04_2 : 575_x000D_
23 / 05_2 : 1.173_x000D_
23 / 06_2 : 1.042_x000D_
23 / 07_2 : 768_x000D_
_x000D_
    TOTAL : ( 8.299 )_x000D_
  DIVISOR : 12_x000D_
    MÉDIA : 691,58</t>
        </r>
      </text>
    </comment>
    <comment ref="AB526" authorId="0" shapeId="0" xr:uid="{543CA4C3-2FCB-4FC9-AB1F-362EFD6B657E}">
      <text>
        <r>
          <rPr>
            <sz val="10"/>
            <color indexed="81"/>
            <rFont val="Lucida Console"/>
            <family val="3"/>
          </rPr>
          <t>Última movimentação no estoque em 07/2023 quantidade 768.</t>
        </r>
      </text>
    </comment>
    <comment ref="R527" authorId="0" shapeId="0" xr:uid="{ED0DED03-7830-4E68-B542-64EF4C1E80D4}">
      <text>
        <r>
          <rPr>
            <sz val="10"/>
            <color indexed="81"/>
            <rFont val="Lucida Console"/>
            <family val="3"/>
          </rPr>
          <t>01.01.1901</t>
        </r>
      </text>
    </comment>
    <comment ref="Y527" authorId="0" shapeId="0" xr:uid="{405551A9-A805-4072-A440-4A87013C8CA1}">
      <text>
        <r>
          <rPr>
            <sz val="10"/>
            <color indexed="81"/>
            <rFont val="Courier New"/>
            <family val="3"/>
          </rPr>
          <t>_x000D_
    DESCRIÇÃO DO CÁLCULO_x000D_
Código    : 17.371_x000D_
Corte     : 1.424_x000D_
-----------------------------_x000D_
Pendente  : 226_x000D_
22 / 08_2 : 729_x000D_
22 / 09_2 : 473_x000D_
22 / 10_2 : 630_x000D_
22 / 11_2 : 965_x000D_
22 / 12_2 : 387_x000D_
23 / 01_2 : _x000D_
23 / 02_2 : 191_x000D_
23 / 03_2 : 1.044_x000D_
23 / 04_2 : 596_x000D_
23 / 05_2 : 1.173_x000D_
23 / 06_2 : 1.047_x000D_
23 / 07_2 : 793_x000D_
_x000D_
    TOTAL : ( 8.254 )_x000D_
  DIVISOR : 12_x000D_
    MÉDIA : 687,83</t>
        </r>
      </text>
    </comment>
    <comment ref="AB527" authorId="0" shapeId="0" xr:uid="{04A48787-FB6E-4ACE-BBCA-67EBD3F5A640}">
      <text>
        <r>
          <rPr>
            <sz val="10"/>
            <color indexed="81"/>
            <rFont val="Lucida Console"/>
            <family val="3"/>
          </rPr>
          <t>Última movimentação no estoque em 07/2023 quantidade 793.</t>
        </r>
      </text>
    </comment>
    <comment ref="R528" authorId="0" shapeId="0" xr:uid="{3F61890A-6C1E-4F05-8444-7075265CB4E1}">
      <text>
        <r>
          <rPr>
            <sz val="10"/>
            <color indexed="81"/>
            <rFont val="Lucida Console"/>
            <family val="3"/>
          </rPr>
          <t>01.01.1901</t>
        </r>
      </text>
    </comment>
    <comment ref="Y528" authorId="0" shapeId="0" xr:uid="{94A54B72-F536-41BC-875F-9547D4E3C896}">
      <text>
        <r>
          <rPr>
            <sz val="10"/>
            <color indexed="81"/>
            <rFont val="Courier New"/>
            <family val="3"/>
          </rPr>
          <t>_x000D_
    DESCRIÇÃO DO CÁLCULO_x000D_
Código    : 23.986_x000D_
Corte     : 1.286_x000D_
-----------------------------_x000D_
Pendente  : 65_x000D_
22 / 08_2 : 501_x000D_
22 / 09_2 : 450_x000D_
22 / 10_2 : 582_x000D_
22 / 11_2 : 704_x000D_
22 / 12_2 : 542_x000D_
23 / 01_2 : 269_x000D_
23 / 02_2 : 468_x000D_
23 / 03_2 : 1.115_x000D_
23 / 04_2 : 600_x000D_
23 / 05_2 : 1.006_x000D_
23 / 06_2 : 1.070_x000D_
23 / 07_2 : 731_x000D_
_x000D_
    TOTAL : ( 8.103 )_x000D_
  DIVISOR : 12_x000D_
    MÉDIA : 675,25</t>
        </r>
      </text>
    </comment>
    <comment ref="AB528" authorId="0" shapeId="0" xr:uid="{A2663B74-FA30-49EF-83CF-13D4D43CF26D}">
      <text>
        <r>
          <rPr>
            <sz val="10"/>
            <color indexed="81"/>
            <rFont val="Lucida Console"/>
            <family val="3"/>
          </rPr>
          <t>Última movimentação no estoque em 07/2023 quantidade 731.</t>
        </r>
      </text>
    </comment>
    <comment ref="R529" authorId="0" shapeId="0" xr:uid="{8EA78C30-E2C3-43B3-8DA8-252A288F7429}">
      <text>
        <r>
          <rPr>
            <sz val="10"/>
            <color indexed="81"/>
            <rFont val="Lucida Console"/>
            <family val="3"/>
          </rPr>
          <t>01.01.1901</t>
        </r>
      </text>
    </comment>
    <comment ref="Y529" authorId="0" shapeId="0" xr:uid="{A0849D56-A56C-4562-9B71-3A6ABB6CF8A7}">
      <text>
        <r>
          <rPr>
            <sz val="10"/>
            <color indexed="81"/>
            <rFont val="Courier New"/>
            <family val="3"/>
          </rPr>
          <t>_x000D_
    DESCRIÇÃO DO CÁLCULO_x000D_
Código    : 24.476_x000D_
Corte     : 1.287_x000D_
-----------------------------_x000D_
Pendente  : 35_x000D_
22 / 08_2 : 520_x000D_
22 / 09_2 : 424_x000D_
22 / 10_2 : 574_x000D_
22 / 11_2 : 708_x000D_
22 / 12_2 : 530_x000D_
23 / 01_2 : 289_x000D_
23 / 02_2 : 468_x000D_
23 / 03_2 : 1.100_x000D_
23 / 04_2 : 600_x000D_
23 / 05_2 : 1.006_x000D_
23 / 06_2 : 1.047_x000D_
23 / 07_2 : 781_x000D_
_x000D_
    TOTAL : ( 8.082 )_x000D_
  DIVISOR : 12_x000D_
    MÉDIA : 673,50</t>
        </r>
      </text>
    </comment>
    <comment ref="AB529" authorId="0" shapeId="0" xr:uid="{228F2538-D9EA-44BF-B10B-81485777A5F8}">
      <text>
        <r>
          <rPr>
            <sz val="10"/>
            <color indexed="81"/>
            <rFont val="Lucida Console"/>
            <family val="3"/>
          </rPr>
          <t>Última movimentação no estoque em 07/2023 quantidade 781.</t>
        </r>
      </text>
    </comment>
    <comment ref="R530" authorId="0" shapeId="0" xr:uid="{CD5E252B-27B9-4D9F-A437-E4867CCF55AE}">
      <text>
        <r>
          <rPr>
            <sz val="10"/>
            <color indexed="81"/>
            <rFont val="Lucida Console"/>
            <family val="3"/>
          </rPr>
          <t>01.01.1901</t>
        </r>
      </text>
    </comment>
    <comment ref="Y530" authorId="0" shapeId="0" xr:uid="{BACDE5E3-B881-43BA-BC92-2DF53535D093}">
      <text>
        <r>
          <rPr>
            <sz val="10"/>
            <color indexed="81"/>
            <rFont val="Courier New"/>
            <family val="3"/>
          </rPr>
          <t>_x000D_
    DESCRIÇÃO DO CÁLCULO_x000D_
Código    : 23.989_x000D_
Corte     : 1.254_x000D_
-----------------------------_x000D_
Pendente  : 65_x000D_
22 / 08_2 : 445_x000D_
22 / 09_2 : 379_x000D_
22 / 10_2 : 549_x000D_
22 / 11_2 : 542_x000D_
22 / 12_2 : 402_x000D_
23 / 01_2 : 266_x000D_
23 / 02_2 : 488_x000D_
23 / 03_2 : 1.110_x000D_
23 / 04_2 : 575_x000D_
23 / 05_2 : 1.001_x000D_
23 / 06_2 : 1.038_x000D_
23 / 07_2 : 741_x000D_
_x000D_
    TOTAL : ( 7.601 )_x000D_
  DIVISOR : 12_x000D_
    MÉDIA : 633,42</t>
        </r>
      </text>
    </comment>
    <comment ref="AB530" authorId="0" shapeId="0" xr:uid="{7F5FA38E-337F-4C94-8C07-71563C9D62DD}">
      <text>
        <r>
          <rPr>
            <sz val="10"/>
            <color indexed="81"/>
            <rFont val="Lucida Console"/>
            <family val="3"/>
          </rPr>
          <t>Última movimentação no estoque em 07/2023 quantidade 741.</t>
        </r>
      </text>
    </comment>
    <comment ref="R531" authorId="0" shapeId="0" xr:uid="{55CDAA52-0B15-4A12-B334-F432C3B72D32}">
      <text>
        <r>
          <rPr>
            <sz val="10"/>
            <color indexed="81"/>
            <rFont val="Lucida Console"/>
            <family val="3"/>
          </rPr>
          <t>01.01.1901</t>
        </r>
      </text>
    </comment>
    <comment ref="Y531" authorId="0" shapeId="0" xr:uid="{5AF8933A-3930-40F7-9647-2AC42A844CE9}">
      <text>
        <r>
          <rPr>
            <sz val="10"/>
            <color indexed="81"/>
            <rFont val="Courier New"/>
            <family val="3"/>
          </rPr>
          <t>_x000D_
    DESCRIÇÃO DO CÁLCULO_x000D_
Código    : 23.993_x000D_
Corte     : 1.204_x000D_
-----------------------------_x000D_
Pendente  : 15_x000D_
22 / 08_2 : 451_x000D_
22 / 09_2 : 384_x000D_
22 / 10_2 : 514_x000D_
22 / 11_2 : 456_x000D_
22 / 12_2 : 457_x000D_
23 / 01_2 : 241_x000D_
23 / 02_2 : 476_x000D_
23 / 03_2 : 1.070_x000D_
23 / 04_2 : 550_x000D_
23 / 05_2 : 950_x000D_
23 / 06_2 : 973_x000D_
23 / 07_2 : 716_x000D_
_x000D_
    TOTAL : ( 7.253 )_x000D_
  DIVISOR : 12_x000D_
    MÉDIA : 604,42</t>
        </r>
      </text>
    </comment>
    <comment ref="AB531" authorId="0" shapeId="0" xr:uid="{848BC52D-9376-4968-811D-DD79750269F9}">
      <text>
        <r>
          <rPr>
            <sz val="10"/>
            <color indexed="81"/>
            <rFont val="Lucida Console"/>
            <family val="3"/>
          </rPr>
          <t>Última movimentação no estoque em 07/2023 quantidade 716.</t>
        </r>
      </text>
    </comment>
    <comment ref="R532" authorId="0" shapeId="0" xr:uid="{5C3FC6E8-E5F3-4BC2-8F30-8DE33C7C2C93}">
      <text>
        <r>
          <rPr>
            <sz val="10"/>
            <color indexed="81"/>
            <rFont val="Lucida Console"/>
            <family val="3"/>
          </rPr>
          <t>01.01.1901</t>
        </r>
      </text>
    </comment>
    <comment ref="Y532" authorId="0" shapeId="0" xr:uid="{072B0EAC-9881-441D-A9CD-C9EA18F638CE}">
      <text>
        <r>
          <rPr>
            <sz val="10"/>
            <color indexed="81"/>
            <rFont val="Courier New"/>
            <family val="3"/>
          </rPr>
          <t>_x000D_
    DESCRIÇÃO DO CÁLCULO_x000D_
Código    : 24.477_x000D_
Corte     : 1.289_x000D_
-----------------------------_x000D_
Pendente  : 35_x000D_
22 / 08_2 : 515_x000D_
22 / 09_2 : 499_x000D_
22 / 10_2 : 687_x000D_
22 / 11_2 : 679_x000D_
22 / 12_2 : 520_x000D_
23 / 01_2 : 319_x000D_
23 / 02_2 : 491_x000D_
23 / 03_2 : 1.100_x000D_
23 / 04_2 : 630_x000D_
23 / 05_2 : 1.001_x000D_
23 / 06_2 : 1.088_x000D_
23 / 07_2 : 681_x000D_
_x000D_
    TOTAL : ( 8.245 )_x000D_
  DIVISOR : 12_x000D_
    MÉDIA : 687,08</t>
        </r>
      </text>
    </comment>
    <comment ref="AB532" authorId="0" shapeId="0" xr:uid="{ABAC2B58-8DD0-4DDD-A64D-72CB934B8E7D}">
      <text>
        <r>
          <rPr>
            <sz val="10"/>
            <color indexed="81"/>
            <rFont val="Lucida Console"/>
            <family val="3"/>
          </rPr>
          <t>Última movimentação no estoque em 07/2023 quantidade 681.</t>
        </r>
      </text>
    </comment>
    <comment ref="R533" authorId="0" shapeId="0" xr:uid="{7E2FC016-51B2-4D34-863E-7A189574851E}">
      <text>
        <r>
          <rPr>
            <sz val="10"/>
            <color indexed="81"/>
            <rFont val="Lucida Console"/>
            <family val="3"/>
          </rPr>
          <t>01.01.1901</t>
        </r>
      </text>
    </comment>
    <comment ref="Y533" authorId="0" shapeId="0" xr:uid="{3785C00B-DBB3-436C-A6AF-3B10ECF9499E}">
      <text>
        <r>
          <rPr>
            <sz val="10"/>
            <color indexed="81"/>
            <rFont val="Courier New"/>
            <family val="3"/>
          </rPr>
          <t>_x000D_
    DESCRIÇÃO DO CÁLCULO_x000D_
Código    : 23.996_x000D_
Corte     : 1.290_x000D_
-----------------------------_x000D_
Pendente  : 75_x000D_
22 / 08_2 : 495_x000D_
22 / 09_2 : 394_x000D_
22 / 10_2 : 609_x000D_
22 / 11_2 : 527_x000D_
22 / 12_2 : 500_x000D_
23 / 01_2 : 241_x000D_
23 / 02_2 : 473_x000D_
23 / 03_2 : 1.075_x000D_
23 / 04_2 : 610_x000D_
23 / 05_2 : 1.016_x000D_
23 / 06_2 : 1.131_x000D_
23 / 07_2 : 766_x000D_
_x000D_
    TOTAL : ( 7.912 )_x000D_
  DIVISOR : 12_x000D_
    MÉDIA : 659,33</t>
        </r>
      </text>
    </comment>
    <comment ref="AB533" authorId="0" shapeId="0" xr:uid="{E8AA9856-0964-44FA-9BDC-E39F38CC7F07}">
      <text>
        <r>
          <rPr>
            <sz val="10"/>
            <color indexed="81"/>
            <rFont val="Lucida Console"/>
            <family val="3"/>
          </rPr>
          <t>Última movimentação no estoque em 07/2023 quantidade 766.</t>
        </r>
      </text>
    </comment>
    <comment ref="R534" authorId="0" shapeId="0" xr:uid="{C6DD4126-D5AD-4D73-8C7A-50686765883A}">
      <text>
        <r>
          <rPr>
            <sz val="10"/>
            <color indexed="81"/>
            <rFont val="Lucida Console"/>
            <family val="3"/>
          </rPr>
          <t>20.07.2015</t>
        </r>
      </text>
    </comment>
    <comment ref="Y534" authorId="0" shapeId="0" xr:uid="{D38C94B5-2739-440C-8D75-F1E8D58DCAD9}">
      <text>
        <r>
          <rPr>
            <sz val="10"/>
            <color indexed="81"/>
            <rFont val="Courier New"/>
            <family val="3"/>
          </rPr>
          <t>_x000D_
    DESCRIÇÃO DO CÁLCULO_x000D_
Código    : 130.624_x000D_
Corte     : 9.939_x000D_
-----------------------------_x000D_
Pendente  : 30_x000D_
22 / 08_2 : 1.071_x000D_
22 / 09_2 : 1.321_x000D_
22 / 10_2 : 1.262_x000D_
22 / 11_2 : 1.398_x000D_
22 / 12_2 : 998_x000D_
23 / 01_2 : 605_x000D_
23 / 02_2 : 945_x000D_
23 / 03_2 : 9.939 (corte = 14769)_x000D_
23 / 04_2 : 1.105_x000D_
23 / 05_2 : 1.401_x000D_
23 / 06_2 : 1.488_x000D_
23 / 07_2 : 1.216_x000D_
_x000D_
    TOTAL : ( 22.779 )_x000D_
  DIVISOR : 12_x000D_
    MÉDIA : 1.898,25_x000D_
-----------------------------_x000D_
   Valores Desconsiderados_x000D_
-----------------------------_x000D_
23 / 03_2 : 4.830 (14.769)_x000D_
_x000D_
  TOTAL   : ( 4.830 )</t>
        </r>
      </text>
    </comment>
    <comment ref="AB534" authorId="0" shapeId="0" xr:uid="{0F7FD438-B18A-4437-A5E6-28EE4C7EE167}">
      <text>
        <r>
          <rPr>
            <sz val="10"/>
            <color indexed="81"/>
            <rFont val="Lucida Console"/>
            <family val="3"/>
          </rPr>
          <t>Última movimentação no estoque em 07/2023 quantidade 1.216.</t>
        </r>
      </text>
    </comment>
    <comment ref="R535" authorId="0" shapeId="0" xr:uid="{F75D13D1-AFB2-473D-9415-BF6063F78704}">
      <text>
        <r>
          <rPr>
            <sz val="10"/>
            <color indexed="81"/>
            <rFont val="Lucida Console"/>
            <family val="3"/>
          </rPr>
          <t>21.07.2006</t>
        </r>
      </text>
    </comment>
    <comment ref="Y535" authorId="0" shapeId="0" xr:uid="{013CADD6-A1FE-4A86-9BB7-D1F36EC35F70}">
      <text>
        <r>
          <rPr>
            <sz val="10"/>
            <color indexed="81"/>
            <rFont val="Courier New"/>
            <family val="3"/>
          </rPr>
          <t>_x000D_
    DESCRIÇÃO DO CÁLCULO_x000D_
Código    : 93.325_x000D_
Corte     : 1.188_x000D_
-----------------------------_x000D_
Pendente  : 191_x000D_
22 / 08_2 : 531_x000D_
22 / 09_2 : 376_x000D_
22 / 10_2 : 331_x000D_
22 / 11_2 : 501_x000D_
22 / 12_2 : 363_x000D_
23 / 01_2 : 200_x000D_
23 / 02_2 : 340_x000D_
23 / 03_2 : 827_x000D_
23 / 04_2 : 548_x000D_
23 / 05_2 : 1.013_x000D_
23 / 06_2 : 1.188 (corte = 1201)_x000D_
23 / 07_2 : 489_x000D_
_x000D_
    TOTAL : ( 6.898 )_x000D_
  DIVISOR : 12_x000D_
    MÉDIA : 574,83_x000D_
-----------------------------_x000D_
   Valores Desconsiderados_x000D_
-----------------------------_x000D_
23 / 06_2 : 13 (1.201)_x000D_
_x000D_
  TOTAL   : ( 13 )</t>
        </r>
      </text>
    </comment>
    <comment ref="AB535" authorId="0" shapeId="0" xr:uid="{E4D77875-12D0-4315-AD60-342BFDC0E3FF}">
      <text>
        <r>
          <rPr>
            <sz val="10"/>
            <color indexed="81"/>
            <rFont val="Lucida Console"/>
            <family val="3"/>
          </rPr>
          <t>Última movimentação no estoque em 07/2023 quantidade 489.</t>
        </r>
      </text>
    </comment>
    <comment ref="R536" authorId="0" shapeId="0" xr:uid="{0D8E91B3-D38E-4D0F-9AC3-843E193F914F}">
      <text>
        <r>
          <rPr>
            <sz val="10"/>
            <color indexed="81"/>
            <rFont val="Lucida Console"/>
            <family val="3"/>
          </rPr>
          <t>21.07.2006</t>
        </r>
      </text>
    </comment>
    <comment ref="Y536" authorId="0" shapeId="0" xr:uid="{46C4CCF8-B073-4A6F-AB6E-785561657E5B}">
      <text>
        <r>
          <rPr>
            <sz val="10"/>
            <color indexed="81"/>
            <rFont val="Courier New"/>
            <family val="3"/>
          </rPr>
          <t>_x000D_
    DESCRIÇÃO DO CÁLCULO_x000D_
Código    : 93.327_x000D_
Corte     : 1.183_x000D_
-----------------------------_x000D_
Pendente  : 232_x000D_
22 / 08_2 : 526_x000D_
22 / 09_2 : 386_x000D_
22 / 10_2 : 311_x000D_
22 / 11_2 : 471_x000D_
22 / 12_2 : 363_x000D_
23 / 01_2 : 160_x000D_
23 / 02_2 : 331_x000D_
23 / 03_2 : 822_x000D_
23 / 04_2 : 573_x000D_
23 / 05_2 : 998_x000D_
23 / 06_2 : 1.183 (corte = 1207)_x000D_
23 / 07_2 : 403_x000D_
_x000D_
    TOTAL : ( 6.759 )_x000D_
  DIVISOR : 12_x000D_
    MÉDIA : 563,25_x000D_
-----------------------------_x000D_
   Valores Desconsiderados_x000D_
-----------------------------_x000D_
23 / 06_2 : 24 (1.207)_x000D_
_x000D_
  TOTAL   : ( 24 )</t>
        </r>
      </text>
    </comment>
    <comment ref="AB536" authorId="0" shapeId="0" xr:uid="{78DAD2BB-D70A-4A4A-A990-11381145EF90}">
      <text>
        <r>
          <rPr>
            <sz val="10"/>
            <color indexed="81"/>
            <rFont val="Lucida Console"/>
            <family val="3"/>
          </rPr>
          <t>Última movimentação no estoque em 07/2023 quantidade 403.</t>
        </r>
      </text>
    </comment>
    <comment ref="R537" authorId="0" shapeId="0" xr:uid="{2EC028A0-53F0-4904-B7AD-CE255B5C35A2}">
      <text>
        <r>
          <rPr>
            <sz val="10"/>
            <color indexed="81"/>
            <rFont val="Lucida Console"/>
            <family val="3"/>
          </rPr>
          <t>21.07.2006</t>
        </r>
      </text>
    </comment>
    <comment ref="Y537" authorId="0" shapeId="0" xr:uid="{D6E1732F-263B-4CD3-8A4F-0EDEADB323D5}">
      <text>
        <r>
          <rPr>
            <sz val="10"/>
            <color indexed="81"/>
            <rFont val="Courier New"/>
            <family val="3"/>
          </rPr>
          <t>_x000D_
    DESCRIÇÃO DO CÁLCULO_x000D_
Código    : 93.329_x000D_
Corte     : 1.218_x000D_
-----------------------------_x000D_
Pendente  : 40_x000D_
22 / 08_2 : 511_x000D_
22 / 09_2 : 356_x000D_
22 / 10_2 : 326_x000D_
22 / 11_2 : 466_x000D_
22 / 12_2 : 353_x000D_
23 / 01_2 : 175_x000D_
23 / 02_2 : 330_x000D_
23 / 03_2 : 858_x000D_
23 / 04_2 : 538_x000D_
23 / 05_2 : 998_x000D_
23 / 06_2 : 1.200_x000D_
23 / 07_2 : 595_x000D_
_x000D_
    TOTAL : ( 6.746 )_x000D_
  DIVISOR : 12_x000D_
    MÉDIA : 562,17</t>
        </r>
      </text>
    </comment>
    <comment ref="AB537" authorId="0" shapeId="0" xr:uid="{2A3571BD-1590-4653-9FD9-9B53A7E7C155}">
      <text>
        <r>
          <rPr>
            <sz val="10"/>
            <color indexed="81"/>
            <rFont val="Lucida Console"/>
            <family val="3"/>
          </rPr>
          <t>Última movimentação no estoque em 07/2023 quantidade 595.</t>
        </r>
      </text>
    </comment>
    <comment ref="R538" authorId="0" shapeId="0" xr:uid="{8A8E24C4-57CC-4B78-9E35-019F772D44F4}">
      <text>
        <r>
          <rPr>
            <sz val="10"/>
            <color indexed="81"/>
            <rFont val="Lucida Console"/>
            <family val="3"/>
          </rPr>
          <t>21.07.2006</t>
        </r>
      </text>
    </comment>
    <comment ref="Y538" authorId="0" shapeId="0" xr:uid="{04C3772A-1D7E-46D8-B94F-6925827982A2}">
      <text>
        <r>
          <rPr>
            <sz val="10"/>
            <color indexed="81"/>
            <rFont val="Courier New"/>
            <family val="3"/>
          </rPr>
          <t>_x000D_
    DESCRIÇÃO DO CÁLCULO_x000D_
Código    : 93.332_x000D_
Corte     : 1.202_x000D_
-----------------------------_x000D_
Pendente  : 40_x000D_
22 / 08_2 : 503_x000D_
22 / 09_2 : 356_x000D_
22 / 10_2 : 316_x000D_
22 / 11_2 : 461_x000D_
22 / 12_2 : 373_x000D_
23 / 01_2 : 200_x000D_
23 / 02_2 : 341_x000D_
23 / 03_2 : 826_x000D_
23 / 04_2 : 573_x000D_
23 / 05_2 : 968_x000D_
23 / 06_2 : 1.202 (corte = 1207)_x000D_
23 / 07_2 : 580_x000D_
_x000D_
    TOTAL : ( 6.739 )_x000D_
  DIVISOR : 12_x000D_
    MÉDIA : 561,58_x000D_
-----------------------------_x000D_
   Valores Desconsiderados_x000D_
-----------------------------_x000D_
23 / 06_2 : 5 (1.207)_x000D_
_x000D_
  TOTAL   : ( 5 )</t>
        </r>
      </text>
    </comment>
    <comment ref="AB538" authorId="0" shapeId="0" xr:uid="{69075564-486C-48C2-83A7-1EEC828F4537}">
      <text>
        <r>
          <rPr>
            <sz val="10"/>
            <color indexed="81"/>
            <rFont val="Lucida Console"/>
            <family val="3"/>
          </rPr>
          <t>Última movimentação no estoque em 07/2023 quantidade 580.</t>
        </r>
      </text>
    </comment>
    <comment ref="R539" authorId="0" shapeId="0" xr:uid="{E1AA4002-6820-4FA9-9639-B5974920B288}">
      <text>
        <r>
          <rPr>
            <sz val="10"/>
            <color indexed="81"/>
            <rFont val="Lucida Console"/>
            <family val="3"/>
          </rPr>
          <t>21.07.2006</t>
        </r>
      </text>
    </comment>
    <comment ref="Y539" authorId="0" shapeId="0" xr:uid="{61A7968D-CC0B-4146-9231-6CCB9B080668}">
      <text>
        <r>
          <rPr>
            <sz val="10"/>
            <color indexed="81"/>
            <rFont val="Courier New"/>
            <family val="3"/>
          </rPr>
          <t>_x000D_
    DESCRIÇÃO DO CÁLCULO_x000D_
Código    : 93.334_x000D_
Corte     : 1.202_x000D_
-----------------------------_x000D_
Pendente  : 40_x000D_
22 / 08_2 : 521_x000D_
22 / 09_2 : 356_x000D_
22 / 10_2 : 308_x000D_
22 / 11_2 : 486_x000D_
22 / 12_2 : 353_x000D_
23 / 01_2 : 200_x000D_
23 / 02_2 : 340_x000D_
23 / 03_2 : 803_x000D_
23 / 04_2 : 563_x000D_
23 / 05_2 : 978_x000D_
23 / 06_2 : 1.202 (corte = 1205)_x000D_
23 / 07_2 : 590_x000D_
_x000D_
    TOTAL : ( 6.740 )_x000D_
  DIVISOR : 12_x000D_
    MÉDIA : 561,67_x000D_
-----------------------------_x000D_
   Valores Desconsiderados_x000D_
-----------------------------_x000D_
23 / 06_2 : 3 (1.205)_x000D_
_x000D_
  TOTAL   : ( 3 )</t>
        </r>
      </text>
    </comment>
    <comment ref="AB539" authorId="0" shapeId="0" xr:uid="{954BDFF7-2AF4-4B33-84E6-9BD458C765EF}">
      <text>
        <r>
          <rPr>
            <sz val="10"/>
            <color indexed="81"/>
            <rFont val="Lucida Console"/>
            <family val="3"/>
          </rPr>
          <t>Última movimentação no estoque em 07/2023 quantidade 590.</t>
        </r>
      </text>
    </comment>
    <comment ref="R540" authorId="0" shapeId="0" xr:uid="{91803843-375C-403D-A075-49E78C39EE3A}">
      <text>
        <r>
          <rPr>
            <sz val="10"/>
            <color indexed="81"/>
            <rFont val="Lucida Console"/>
            <family val="3"/>
          </rPr>
          <t>21.07.2006</t>
        </r>
      </text>
    </comment>
    <comment ref="Y540" authorId="0" shapeId="0" xr:uid="{F460D5E3-269A-413A-AB90-6EAE9B7DE11F}">
      <text>
        <r>
          <rPr>
            <sz val="10"/>
            <color indexed="81"/>
            <rFont val="Courier New"/>
            <family val="3"/>
          </rPr>
          <t>_x000D_
    DESCRIÇÃO DO CÁLCULO_x000D_
Código    : 93.335_x000D_
Corte     : 1.215_x000D_
-----------------------------_x000D_
Pendente  : 40_x000D_
22 / 08_2 : 516_x000D_
22 / 09_2 : 321_x000D_
22 / 10_2 : 316_x000D_
22 / 11_2 : 451_x000D_
22 / 12_2 : 373_x000D_
23 / 01_2 : 165_x000D_
23 / 02_2 : 331_x000D_
23 / 03_2 : 788_x000D_
23 / 04_2 : 573_x000D_
23 / 05_2 : 983_x000D_
23 / 06_2 : 1.215 (corte = 1217)_x000D_
23 / 07_2 : 645_x000D_
_x000D_
    TOTAL : ( 6.717 )_x000D_
  DIVISOR : 12_x000D_
    MÉDIA : 559,75_x000D_
-----------------------------_x000D_
   Valores Desconsiderados_x000D_
-----------------------------_x000D_
23 / 06_2 : 2 (1.217)_x000D_
_x000D_
  TOTAL   : ( 2 )</t>
        </r>
      </text>
    </comment>
    <comment ref="AB540" authorId="0" shapeId="0" xr:uid="{F7078800-EA03-4FD0-8655-77DFD4619B5F}">
      <text>
        <r>
          <rPr>
            <sz val="10"/>
            <color indexed="81"/>
            <rFont val="Lucida Console"/>
            <family val="3"/>
          </rPr>
          <t>Última movimentação no estoque em 07/2023 quantidade 645.</t>
        </r>
      </text>
    </comment>
    <comment ref="R541" authorId="0" shapeId="0" xr:uid="{451035E5-72EF-4543-8669-7C3331E9F047}">
      <text>
        <r>
          <rPr>
            <sz val="10"/>
            <color indexed="81"/>
            <rFont val="Lucida Console"/>
            <family val="3"/>
          </rPr>
          <t>01.01.1901</t>
        </r>
      </text>
    </comment>
    <comment ref="Y541" authorId="0" shapeId="0" xr:uid="{C5309C7B-BF5D-4102-B30C-E47C1F3E3BE2}">
      <text>
        <r>
          <rPr>
            <sz val="10"/>
            <color indexed="81"/>
            <rFont val="Courier New"/>
            <family val="3"/>
          </rPr>
          <t>_x000D_
    DESCRIÇÃO DO CÁLCULO_x000D_
Código    : 17.454_x000D_
Corte     : 1.117_x000D_
-----------------------------_x000D_
Pendente  : _x000D_
22 / 08_2 : 557_x000D_
22 / 09_2 : 446_x000D_
22 / 10_2 : 378_x000D_
22 / 11_2 : 601_x000D_
22 / 12_2 : 465_x000D_
23 / 01_2 : 250_x000D_
23 / 02_2 : 465_x000D_
23 / 03_2 : 1.117 (corte = 1131)_x000D_
23 / 04_2 : 611_x000D_
23 / 05_2 : 950_x000D_
23 / 06_2 : 810_x000D_
23 / 07_2 : 721_x000D_
_x000D_
    TOTAL : ( 7.371 )_x000D_
  DIVISOR : 12_x000D_
    MÉDIA : 614,25_x000D_
-----------------------------_x000D_
   Valores Desconsiderados_x000D_
-----------------------------_x000D_
23 / 03_2 : 14 (1.131)_x000D_
_x000D_
  TOTAL   : ( 14 )</t>
        </r>
      </text>
    </comment>
    <comment ref="AB541" authorId="0" shapeId="0" xr:uid="{E26B93E6-F761-4872-9048-6059BDAED9B3}">
      <text>
        <r>
          <rPr>
            <sz val="10"/>
            <color indexed="81"/>
            <rFont val="Lucida Console"/>
            <family val="3"/>
          </rPr>
          <t>Última movimentação no estoque em 07/2023 quantidade 721.</t>
        </r>
      </text>
    </comment>
    <comment ref="R542" authorId="0" shapeId="0" xr:uid="{A8C864DB-38EE-46BA-9BB7-74A51962F7A3}">
      <text>
        <r>
          <rPr>
            <sz val="10"/>
            <color indexed="81"/>
            <rFont val="Lucida Console"/>
            <family val="3"/>
          </rPr>
          <t>01.08.2006</t>
        </r>
      </text>
    </comment>
    <comment ref="Y542" authorId="0" shapeId="0" xr:uid="{83B753CE-B72F-4B90-95D3-1DD62CEC967F}">
      <text>
        <r>
          <rPr>
            <sz val="10"/>
            <color indexed="81"/>
            <rFont val="Courier New"/>
            <family val="3"/>
          </rPr>
          <t>_x000D_
    DESCRIÇÃO DO CÁLCULO_x000D_
Código    : 93.453_x000D_
Corte     : 1.209_x000D_
-----------------------------_x000D_
Pendente  : 696_x000D_
22 / 08_2 : 598_x000D_
22 / 09_2 : 441_x000D_
22 / 10_2 : 496_x000D_
22 / 11_2 : 636_x000D_
22 / 12_2 : 535_x000D_
23 / 01_2 : 295_x000D_
23 / 02_2 : 525_x000D_
23 / 03_2 : 1.209 (corte = 1239)_x000D_
23 / 04_2 : 645_x000D_
23 / 05_2 : 1.020_x000D_
23 / 06_2 : 363_x000D_
23 / 07_2 : 162_x000D_
_x000D_
    TOTAL : ( 7.621 )_x000D_
  DIVISOR : 12_x000D_
    MÉDIA : 635,08_x000D_
-----------------------------_x000D_
   Valores Desconsiderados_x000D_
-----------------------------_x000D_
23 / 03_2 : 30 (1.239)_x000D_
_x000D_
  TOTAL   : ( 30 )</t>
        </r>
      </text>
    </comment>
    <comment ref="AB542" authorId="0" shapeId="0" xr:uid="{71B8980E-0F18-49F6-97D5-8793FF03E12B}">
      <text>
        <r>
          <rPr>
            <sz val="10"/>
            <color indexed="81"/>
            <rFont val="Lucida Console"/>
            <family val="3"/>
          </rPr>
          <t>Última movimentação no estoque em 07/2023 quantidade 162.</t>
        </r>
      </text>
    </comment>
    <comment ref="R543" authorId="0" shapeId="0" xr:uid="{8459B19C-7121-4FAC-A19D-50E821D3D7D8}">
      <text>
        <r>
          <rPr>
            <sz val="10"/>
            <color indexed="81"/>
            <rFont val="Lucida Console"/>
            <family val="3"/>
          </rPr>
          <t>01.08.2006</t>
        </r>
      </text>
    </comment>
    <comment ref="Y543" authorId="0" shapeId="0" xr:uid="{190F85D6-EC70-4195-B053-67BC1A9DB818}">
      <text>
        <r>
          <rPr>
            <sz val="10"/>
            <color indexed="81"/>
            <rFont val="Courier New"/>
            <family val="3"/>
          </rPr>
          <t>_x000D_
    DESCRIÇÃO DO CÁLCULO_x000D_
Código    : 93.454_x000D_
Corte     : 1.171_x000D_
-----------------------------_x000D_
Pendente  : 737_x000D_
22 / 08_2 : 568_x000D_
22 / 09_2 : 471_x000D_
22 / 10_2 : 456_x000D_
22 / 11_2 : 611_x000D_
22 / 12_2 : 540_x000D_
23 / 01_2 : 310_x000D_
23 / 02_2 : 545_x000D_
23 / 03_2 : 1.171 (corte = 1265)_x000D_
23 / 04_2 : 654_x000D_
23 / 05_2 : 660_x000D_
23 / 06_2 : 334_x000D_
23 / 07_2 : _x000D_
_x000D_
    TOTAL : ( 7.057 )_x000D_
  DIVISOR : 12_x000D_
    MÉDIA : 588,08_x000D_
-----------------------------_x000D_
   Valores Desconsiderados_x000D_
-----------------------------_x000D_
23 / 03_2 : 94 (1.265)_x000D_
_x000D_
  TOTAL   : ( 94 )</t>
        </r>
      </text>
    </comment>
    <comment ref="AB543" authorId="0" shapeId="0" xr:uid="{78EB2F08-1F5B-4ACE-AA3B-E057F2EBEC51}">
      <text>
        <r>
          <rPr>
            <sz val="10"/>
            <color indexed="81"/>
            <rFont val="Lucida Console"/>
            <family val="3"/>
          </rPr>
          <t>Última movimentação no estoque em 06/2023 quantidade 334.</t>
        </r>
      </text>
    </comment>
    <comment ref="R544" authorId="0" shapeId="0" xr:uid="{2873E750-BA3B-4AF8-B28F-86321790CE37}">
      <text>
        <r>
          <rPr>
            <sz val="10"/>
            <color indexed="81"/>
            <rFont val="Lucida Console"/>
            <family val="3"/>
          </rPr>
          <t>01.08.2006</t>
        </r>
      </text>
    </comment>
    <comment ref="Y544" authorId="0" shapeId="0" xr:uid="{17304117-0583-4854-B788-B8B85745F9A9}">
      <text>
        <r>
          <rPr>
            <sz val="10"/>
            <color indexed="81"/>
            <rFont val="Courier New"/>
            <family val="3"/>
          </rPr>
          <t>_x000D_
    DESCRIÇÃO DO CÁLCULO_x000D_
Código    : 93.456_x000D_
Corte     : 1.224_x000D_
-----------------------------_x000D_
Pendente  : 371_x000D_
22 / 08_2 : 623_x000D_
22 / 09_2 : 456_x000D_
22 / 10_2 : 461_x000D_
22 / 11_2 : 591_x000D_
22 / 12_2 : 545_x000D_
23 / 01_2 : 295_x000D_
23 / 02_2 : 510_x000D_
23 / 03_2 : 1.224 (corte = 1229)_x000D_
23 / 04_2 : 649_x000D_
23 / 05_2 : 1.015_x000D_
23 / 06_2 : 788_x000D_
23 / 07_2 : 117_x000D_
_x000D_
    TOTAL : ( 7.645 )_x000D_
  DIVISOR : 12_x000D_
    MÉDIA : 637,08_x000D_
-----------------------------_x000D_
   Valores Desconsiderados_x000D_
-----------------------------_x000D_
23 / 03_2 : 5 (1.229)_x000D_
_x000D_
  TOTAL   : ( 5 )</t>
        </r>
      </text>
    </comment>
    <comment ref="AB544" authorId="0" shapeId="0" xr:uid="{E2D3163B-E49E-405A-B455-9C3A747C93D5}">
      <text>
        <r>
          <rPr>
            <sz val="10"/>
            <color indexed="81"/>
            <rFont val="Lucida Console"/>
            <family val="3"/>
          </rPr>
          <t>Última movimentação no estoque em 07/2023 quantidade 117.</t>
        </r>
      </text>
    </comment>
    <comment ref="R545" authorId="0" shapeId="0" xr:uid="{B8FF9157-4C06-46A8-8F5E-12EE8E7824D4}">
      <text>
        <r>
          <rPr>
            <sz val="10"/>
            <color indexed="81"/>
            <rFont val="Lucida Console"/>
            <family val="3"/>
          </rPr>
          <t>01.08.2006</t>
        </r>
      </text>
    </comment>
    <comment ref="Y545" authorId="0" shapeId="0" xr:uid="{75FAE621-9A87-4EA9-B034-F502BB54174E}">
      <text>
        <r>
          <rPr>
            <sz val="10"/>
            <color indexed="81"/>
            <rFont val="Courier New"/>
            <family val="3"/>
          </rPr>
          <t>_x000D_
    DESCRIÇÃO DO CÁLCULO_x000D_
Código    : 93.461_x000D_
Corte     : 1.174_x000D_
-----------------------------_x000D_
Pendente  : _x000D_
22 / 08_2 : 613_x000D_
22 / 09_2 : 526_x000D_
22 / 10_2 : 486_x000D_
22 / 11_2 : 576_x000D_
22 / 12_2 : 472_x000D_
23 / 01_2 : 270_x000D_
23 / 02_2 : 510_x000D_
23 / 03_2 : 1.174 (corte = 1229)_x000D_
23 / 04_2 : 649_x000D_
23 / 05_2 : 985_x000D_
23 / 06_2 : 850_x000D_
23 / 07_2 : 718_x000D_
_x000D_
    TOTAL : ( 7.829 )_x000D_
  DIVISOR : 12_x000D_
    MÉDIA : 652,42_x000D_
-----------------------------_x000D_
   Valores Desconsiderados_x000D_
-----------------------------_x000D_
23 / 03_2 : 55 (1.229)_x000D_
_x000D_
  TOTAL   : ( 55 )</t>
        </r>
      </text>
    </comment>
    <comment ref="AB545" authorId="0" shapeId="0" xr:uid="{FE624DEC-697E-4CC4-9AC9-025C07F088D3}">
      <text>
        <r>
          <rPr>
            <sz val="10"/>
            <color indexed="81"/>
            <rFont val="Lucida Console"/>
            <family val="3"/>
          </rPr>
          <t>Última movimentação no estoque em 07/2023 quantidade 718.</t>
        </r>
      </text>
    </comment>
    <comment ref="R546" authorId="0" shapeId="0" xr:uid="{7C3C2F81-BC0A-4D1C-83DE-B612A911A5A6}">
      <text>
        <r>
          <rPr>
            <sz val="10"/>
            <color indexed="81"/>
            <rFont val="Lucida Console"/>
            <family val="3"/>
          </rPr>
          <t>01.08.2006</t>
        </r>
      </text>
    </comment>
    <comment ref="Y546" authorId="0" shapeId="0" xr:uid="{C07FE761-AAAE-4B31-8245-42BCB3683CE8}">
      <text>
        <r>
          <rPr>
            <sz val="10"/>
            <color indexed="81"/>
            <rFont val="Courier New"/>
            <family val="3"/>
          </rPr>
          <t>_x000D_
    DESCRIÇÃO DO CÁLCULO_x000D_
Código    : 93.462_x000D_
Corte     : 1.215_x000D_
-----------------------------_x000D_
Pendente  : 432_x000D_
22 / 08_2 : 613_x000D_
22 / 09_2 : 500_x000D_
22 / 10_2 : 480_x000D_
22 / 11_2 : 601_x000D_
22 / 12_2 : 505_x000D_
23 / 01_2 : 300_x000D_
23 / 02_2 : 500_x000D_
23 / 03_2 : 1.215 (corte = 1233)_x000D_
23 / 04_2 : 686_x000D_
23 / 05_2 : 1.015_x000D_
23 / 06_2 : 343_x000D_
23 / 07_2 : 11_x000D_
_x000D_
    TOTAL : ( 7.201 )_x000D_
  DIVISOR : 12_x000D_
    MÉDIA : 600,08_x000D_
-----------------------------_x000D_
   Valores Desconsiderados_x000D_
-----------------------------_x000D_
23 / 03_2 : 18 (1.233)_x000D_
_x000D_
  TOTAL   : ( 18 )</t>
        </r>
      </text>
    </comment>
    <comment ref="AB546" authorId="0" shapeId="0" xr:uid="{21633B73-CD61-4C90-9540-48667D8D533D}">
      <text>
        <r>
          <rPr>
            <sz val="10"/>
            <color indexed="81"/>
            <rFont val="Lucida Console"/>
            <family val="3"/>
          </rPr>
          <t>Última movimentação no estoque em 07/2023 quantidade 11.</t>
        </r>
      </text>
    </comment>
    <comment ref="R547" authorId="0" shapeId="0" xr:uid="{DAEE7096-870A-427E-BC4F-5A6069530006}">
      <text>
        <r>
          <rPr>
            <sz val="10"/>
            <color indexed="81"/>
            <rFont val="Lucida Console"/>
            <family val="3"/>
          </rPr>
          <t>05.04.2011</t>
        </r>
      </text>
    </comment>
    <comment ref="Y547" authorId="0" shapeId="0" xr:uid="{29111A53-CC90-4EBC-8717-E4F0273C43D2}">
      <text>
        <r>
          <rPr>
            <sz val="10"/>
            <color indexed="81"/>
            <rFont val="Courier New"/>
            <family val="3"/>
          </rPr>
          <t>_x000D_
    DESCRIÇÃO DO CÁLCULO_x000D_
Código    : 119.595_x000D_
Corte     : 10_x000D_
-----------------------------_x000D_
Pendente  : _x000D_
22 / 08_2 : 2_x000D_
22 / 09_2 : 6_x000D_
22 / 10_2 : 1_x000D_
22 / 11_2 : 6_x000D_
22 / 12_2 : _x000D_
23 / 01_2 : 2_x000D_
23 / 02_2 : _x000D_
23 / 03_2 : 10 (corte = 12)_x000D_
23 / 04_2 : 1_x000D_
23 / 05_2 : 6_x000D_
23 / 06_2 : _x000D_
23 / 07_2 : 1_x000D_
_x000D_
    TOTAL : ( 35 )_x000D_
  DIVISOR : 12_x000D_
    MÉDIA : 2,92_x000D_
-----------------------------_x000D_
   Valores Desconsiderados_x000D_
-----------------------------_x000D_
23 / 03_2 : 2 (12)_x000D_
_x000D_
  TOTAL   : ( 2 )</t>
        </r>
      </text>
    </comment>
    <comment ref="AB547" authorId="0" shapeId="0" xr:uid="{508AF7CD-4357-4D27-BA79-1CA02EEA3C3B}">
      <text>
        <r>
          <rPr>
            <sz val="10"/>
            <color indexed="81"/>
            <rFont val="Lucida Console"/>
            <family val="3"/>
          </rPr>
          <t>Última movimentação no estoque em 07/2023 quantidade 1.</t>
        </r>
      </text>
    </comment>
    <comment ref="R548" authorId="0" shapeId="0" xr:uid="{7626DFDE-7660-4496-AA45-09EE728D9E4E}">
      <text>
        <r>
          <rPr>
            <sz val="10"/>
            <color indexed="81"/>
            <rFont val="Lucida Console"/>
            <family val="3"/>
          </rPr>
          <t>14.06.2013</t>
        </r>
      </text>
    </comment>
    <comment ref="Y548" authorId="0" shapeId="0" xr:uid="{41A3979A-8D31-4774-ADE2-A67B802D424A}">
      <text>
        <r>
          <rPr>
            <sz val="10"/>
            <color indexed="81"/>
            <rFont val="Courier New"/>
            <family val="3"/>
          </rPr>
          <t>_x000D_
    DESCRIÇÃO DO CÁLCULO_x000D_
Código    : 125.641_x000D_
Corte     : 4.094_x000D_
-----------------------------_x000D_
Pendente  : _x000D_
22 / 08_2 : 2.960_x000D_
22 / 09_2 : 3.232_x000D_
22 / 10_2 : 2.817_x000D_
22 / 11_2 : 2.906_x000D_
22 / 12_2 : 2.268_x000D_
23 / 01_2 : 534_x000D_
23 / 02_2 : 2.018_x000D_
23 / 03_2 : 3.192_x000D_
23 / 04_2 : 2.124_x000D_
23 / 05_2 : 2.864_x000D_
23 / 06_2 : 2.984_x000D_
23 / 07_2 : 3.009_x000D_
_x000D_
    TOTAL : ( 30.908 )_x000D_
  DIVISOR : 12_x000D_
    MÉDIA : 2.575,67</t>
        </r>
      </text>
    </comment>
    <comment ref="AB548" authorId="0" shapeId="0" xr:uid="{BDB1CE4D-8C57-4D29-990F-BC006997712D}">
      <text>
        <r>
          <rPr>
            <sz val="10"/>
            <color indexed="81"/>
            <rFont val="Lucida Console"/>
            <family val="3"/>
          </rPr>
          <t>Última movimentação no estoque em 07/2023 quantidade 3.009.</t>
        </r>
      </text>
    </comment>
    <comment ref="R549" authorId="0" shapeId="0" xr:uid="{B889E476-CC07-4435-9D66-981BA7AA4735}">
      <text>
        <r>
          <rPr>
            <sz val="10"/>
            <color indexed="81"/>
            <rFont val="Lucida Console"/>
            <family val="3"/>
          </rPr>
          <t>21.05.2019</t>
        </r>
      </text>
    </comment>
    <comment ref="Y549" authorId="0" shapeId="0" xr:uid="{D8BF6447-396B-4F52-BC69-D0ADF1706800}">
      <text>
        <r>
          <rPr>
            <sz val="10"/>
            <color indexed="81"/>
            <rFont val="Courier New"/>
            <family val="3"/>
          </rPr>
          <t>_x000D_
    DESCRIÇÃO DO CÁLCULO_x000D_
Código    : 136.941_x000D_
Corte     : 201_x000D_
-----------------------------_x000D_
Pendente  : 2_x000D_
22 / 08_2 : 89_x000D_
22 / 09_2 : 96_x000D_
22 / 10_2 : 89_x000D_
22 / 11_2 : 98_x000D_
22 / 12_2 : 64_x000D_
23 / 01_2 : 38_x000D_
23 / 02_2 : 64_x000D_
23 / 03_2 : 186_x000D_
23 / 04_2 : 108_x000D_
23 / 05_2 : 136_x000D_
23 / 06_2 : 159_x000D_
23 / 07_2 : 119_x000D_
_x000D_
    TOTAL : ( 1.248 )_x000D_
  DIVISOR : 12_x000D_
    MÉDIA : 104,00</t>
        </r>
      </text>
    </comment>
    <comment ref="AB549" authorId="0" shapeId="0" xr:uid="{A9FE8DEA-6567-42E0-84C9-981E7D362E0C}">
      <text>
        <r>
          <rPr>
            <sz val="10"/>
            <color indexed="81"/>
            <rFont val="Lucida Console"/>
            <family val="3"/>
          </rPr>
          <t>Última movimentação no estoque em 07/2023 quantidade 119.</t>
        </r>
      </text>
    </comment>
    <comment ref="R550" authorId="0" shapeId="0" xr:uid="{B166AC80-BE5D-405F-80A7-8B7391DCB5FC}">
      <text>
        <r>
          <rPr>
            <sz val="10"/>
            <color indexed="81"/>
            <rFont val="Lucida Console"/>
            <family val="3"/>
          </rPr>
          <t>01.01.1901</t>
        </r>
      </text>
    </comment>
    <comment ref="Y550" authorId="0" shapeId="0" xr:uid="{E8208659-E55C-4748-8E21-04BC3A4998E7}">
      <text>
        <r>
          <rPr>
            <sz val="10"/>
            <color indexed="81"/>
            <rFont val="Courier New"/>
            <family val="3"/>
          </rPr>
          <t>_x000D_
    DESCRIÇÃO DO CÁLCULO_x000D_
Código    : 63.591_x000D_
Corte     : 1.318_x000D_
-----------------------------_x000D_
Pendente  : 80_x000D_
22 / 08_2 : 610_x000D_
22 / 09_2 : 491_x000D_
22 / 10_2 : 431_x000D_
22 / 11_2 : 473_x000D_
22 / 12_2 : 410_x000D_
23 / 01_2 : 350_x000D_
23 / 02_2 : 445_x000D_
23 / 03_2 : 1.318 (corte = 1399)_x000D_
23 / 04_2 : 808_x000D_
23 / 05_2 : 851_x000D_
23 / 06_2 : 808_x000D_
23 / 07_2 : 819_x000D_
_x000D_
    TOTAL : ( 7.894 )_x000D_
  DIVISOR : 12_x000D_
    MÉDIA : 657,83_x000D_
-----------------------------_x000D_
   Valores Desconsiderados_x000D_
-----------------------------_x000D_
23 / 03_2 : 81 (1.399)_x000D_
_x000D_
  TOTAL   : ( 81 )</t>
        </r>
      </text>
    </comment>
    <comment ref="AB550" authorId="0" shapeId="0" xr:uid="{A314E2B8-F846-4F58-BEAA-FFB89601BAB8}">
      <text>
        <r>
          <rPr>
            <sz val="10"/>
            <color indexed="81"/>
            <rFont val="Lucida Console"/>
            <family val="3"/>
          </rPr>
          <t>Última movimentação no estoque em 07/2023 quantidade 819.</t>
        </r>
      </text>
    </comment>
    <comment ref="R551" authorId="0" shapeId="0" xr:uid="{BC447CBD-CF2F-4AF7-B1C0-7A20C8DCFE88}">
      <text>
        <r>
          <rPr>
            <sz val="10"/>
            <color indexed="81"/>
            <rFont val="Lucida Console"/>
            <family val="3"/>
          </rPr>
          <t>01.01.1901</t>
        </r>
      </text>
    </comment>
    <comment ref="Y551" authorId="0" shapeId="0" xr:uid="{E3562F0D-05E7-46FE-B869-3F4D590925E7}">
      <text>
        <r>
          <rPr>
            <sz val="10"/>
            <color indexed="81"/>
            <rFont val="Courier New"/>
            <family val="3"/>
          </rPr>
          <t>_x000D_
    DESCRIÇÃO DO CÁLCULO_x000D_
Código    : 27.138_x000D_
Corte     : 816_x000D_
-----------------------------_x000D_
Pendente  : _x000D_
22 / 08_2 : 493_x000D_
22 / 09_2 : 369_x000D_
22 / 10_2 : 421_x000D_
22 / 11_2 : 490_x000D_
22 / 12_2 : 347_x000D_
23 / 01_2 : 205_x000D_
23 / 02_2 : 415_x000D_
23 / 03_2 : 816 (corte = 845)_x000D_
23 / 04_2 : 460_x000D_
23 / 05_2 : 645_x000D_
23 / 06_2 : 625_x000D_
23 / 07_2 : 533_x000D_
_x000D_
    TOTAL : ( 5.819 )_x000D_
  DIVISOR : 12_x000D_
    MÉDIA : 484,92_x000D_
-----------------------------_x000D_
   Valores Desconsiderados_x000D_
-----------------------------_x000D_
23 / 03_2 : 29 (845)_x000D_
_x000D_
  TOTAL   : ( 29 )</t>
        </r>
      </text>
    </comment>
    <comment ref="AB551" authorId="0" shapeId="0" xr:uid="{446F692B-7E4F-4D10-944D-7B943E1E8F91}">
      <text>
        <r>
          <rPr>
            <sz val="10"/>
            <color indexed="81"/>
            <rFont val="Lucida Console"/>
            <family val="3"/>
          </rPr>
          <t>Última movimentação no estoque em 07/2023 quantidade 533.</t>
        </r>
      </text>
    </comment>
    <comment ref="R552" authorId="0" shapeId="0" xr:uid="{508F5B21-AE55-45E9-99E9-517914387C76}">
      <text>
        <r>
          <rPr>
            <sz val="10"/>
            <color indexed="81"/>
            <rFont val="Lucida Console"/>
            <family val="3"/>
          </rPr>
          <t>01.01.1901</t>
        </r>
      </text>
    </comment>
    <comment ref="Y552" authorId="0" shapeId="0" xr:uid="{0D973A92-F84A-4BEE-9932-4DE5EDE587EE}">
      <text>
        <r>
          <rPr>
            <sz val="10"/>
            <color indexed="81"/>
            <rFont val="Courier New"/>
            <family val="3"/>
          </rPr>
          <t>_x000D_
    DESCRIÇÃO DO CÁLCULO_x000D_
Código    : 25.559_x000D_
Corte     : 951_x000D_
-----------------------------_x000D_
Pendente  : _x000D_
22 / 08_2 : 643_x000D_
22 / 09_2 : 494_x000D_
22 / 10_2 : 571_x000D_
22 / 11_2 : 674_x000D_
22 / 12_2 : 393_x000D_
23 / 01_2 : 220_x000D_
23 / 02_2 : 417_x000D_
23 / 03_2 : 951 (corte = 965)_x000D_
23 / 04_2 : 505_x000D_
23 / 05_2 : 720_x000D_
23 / 06_2 : 668_x000D_
23 / 07_2 : 608_x000D_
_x000D_
    TOTAL : ( 6.864 )_x000D_
  DIVISOR : 12_x000D_
    MÉDIA : 572,00_x000D_
-----------------------------_x000D_
   Valores Desconsiderados_x000D_
-----------------------------_x000D_
23 / 03_2 : 14 (965)_x000D_
_x000D_
  TOTAL   : ( 14 )</t>
        </r>
      </text>
    </comment>
    <comment ref="AB552" authorId="0" shapeId="0" xr:uid="{E00DDFD0-2749-4E8A-A79C-0ECC3E60B277}">
      <text>
        <r>
          <rPr>
            <sz val="10"/>
            <color indexed="81"/>
            <rFont val="Lucida Console"/>
            <family val="3"/>
          </rPr>
          <t>Última movimentação no estoque em 07/2023 quantidade 608.</t>
        </r>
      </text>
    </comment>
    <comment ref="R553" authorId="0" shapeId="0" xr:uid="{4B0FE291-9C0F-4748-B416-67A36F344294}">
      <text>
        <r>
          <rPr>
            <sz val="10"/>
            <color indexed="81"/>
            <rFont val="Lucida Console"/>
            <family val="3"/>
          </rPr>
          <t>01.01.1901</t>
        </r>
      </text>
    </comment>
    <comment ref="Y553" authorId="0" shapeId="0" xr:uid="{2B4C7CB6-48F9-4996-99A1-3836CF474A03}">
      <text>
        <r>
          <rPr>
            <sz val="10"/>
            <color indexed="81"/>
            <rFont val="Courier New"/>
            <family val="3"/>
          </rPr>
          <t>_x000D_
    DESCRIÇÃO DO CÁLCULO_x000D_
Código    : 27.140_x000D_
Corte     : 969_x000D_
-----------------------------_x000D_
Pendente  : _x000D_
22 / 08_2 : 736_x000D_
22 / 09_2 : 536_x000D_
22 / 10_2 : 551_x000D_
22 / 11_2 : 690_x000D_
22 / 12_2 : 409_x000D_
23 / 01_2 : 200_x000D_
23 / 02_2 : 447_x000D_
23 / 03_2 : 945_x000D_
23 / 04_2 : 475_x000D_
23 / 05_2 : 735_x000D_
23 / 06_2 : 692_x000D_
23 / 07_2 : 578_x000D_
_x000D_
    TOTAL : ( 6.994 )_x000D_
  DIVISOR : 12_x000D_
    MÉDIA : 582,83</t>
        </r>
      </text>
    </comment>
    <comment ref="AB553" authorId="0" shapeId="0" xr:uid="{9FFF4FF0-152E-4E3E-A800-90269F0CB75A}">
      <text>
        <r>
          <rPr>
            <sz val="10"/>
            <color indexed="81"/>
            <rFont val="Lucida Console"/>
            <family val="3"/>
          </rPr>
          <t>Última movimentação no estoque em 07/2023 quantidade 578.</t>
        </r>
      </text>
    </comment>
    <comment ref="R554" authorId="0" shapeId="0" xr:uid="{C8E9AF50-F369-46E3-9B30-8CE7644BE401}">
      <text>
        <r>
          <rPr>
            <sz val="10"/>
            <color indexed="81"/>
            <rFont val="Lucida Console"/>
            <family val="3"/>
          </rPr>
          <t>01.01.1901</t>
        </r>
      </text>
    </comment>
    <comment ref="Y554" authorId="0" shapeId="0" xr:uid="{43777416-17C3-4CC6-B047-57147E512805}">
      <text>
        <r>
          <rPr>
            <sz val="10"/>
            <color indexed="81"/>
            <rFont val="Courier New"/>
            <family val="3"/>
          </rPr>
          <t>_x000D_
    DESCRIÇÃO DO CÁLCULO_x000D_
Código    : 27.137_x000D_
Corte     : 823_x000D_
-----------------------------_x000D_
Pendente  : _x000D_
22 / 08_2 : 493_x000D_
22 / 09_2 : 381_x000D_
22 / 10_2 : 376_x000D_
22 / 11_2 : 545_x000D_
22 / 12_2 : 351_x000D_
23 / 01_2 : 195_x000D_
23 / 02_2 : 375_x000D_
23 / 03_2 : 823 (corte = 875)_x000D_
23 / 04_2 : 430_x000D_
23 / 05_2 : 595_x000D_
23 / 06_2 : 585_x000D_
23 / 07_2 : 565_x000D_
_x000D_
    TOTAL : ( 5.714 )_x000D_
  DIVISOR : 12_x000D_
    MÉDIA : 476,17_x000D_
-----------------------------_x000D_
   Valores Desconsiderados_x000D_
-----------------------------_x000D_
23 / 03_2 : 52 (875)_x000D_
_x000D_
  TOTAL   : ( 52 )</t>
        </r>
      </text>
    </comment>
    <comment ref="AB554" authorId="0" shapeId="0" xr:uid="{BF61C85E-99FB-4862-B567-C8F0791846C6}">
      <text>
        <r>
          <rPr>
            <sz val="10"/>
            <color indexed="81"/>
            <rFont val="Lucida Console"/>
            <family val="3"/>
          </rPr>
          <t>Última movimentação no estoque em 07/2023 quantidade 565.</t>
        </r>
      </text>
    </comment>
    <comment ref="R555" authorId="0" shapeId="0" xr:uid="{8E750F14-76FC-4D28-88FE-829A5A8DA576}">
      <text>
        <r>
          <rPr>
            <sz val="10"/>
            <color indexed="81"/>
            <rFont val="Lucida Console"/>
            <family val="3"/>
          </rPr>
          <t>01.01.1901</t>
        </r>
      </text>
    </comment>
    <comment ref="Y555" authorId="0" shapeId="0" xr:uid="{A0152331-1ACB-4DEB-B564-234C43CC19C0}">
      <text>
        <r>
          <rPr>
            <sz val="10"/>
            <color indexed="81"/>
            <rFont val="Courier New"/>
            <family val="3"/>
          </rPr>
          <t>_x000D_
    DESCRIÇÃO DO CÁLCULO_x000D_
Código    : 27.139_x000D_
Corte     : 824_x000D_
-----------------------------_x000D_
Pendente  : _x000D_
22 / 08_2 : 514_x000D_
22 / 09_2 : 351_x000D_
22 / 10_2 : 416_x000D_
22 / 11_2 : 570_x000D_
22 / 12_2 : 352_x000D_
23 / 01_2 : 170_x000D_
23 / 02_2 : 385_x000D_
23 / 03_2 : 824 (corte = 840)_x000D_
23 / 04_2 : 420_x000D_
23 / 05_2 : 612_x000D_
23 / 06_2 : 600_x000D_
23 / 07_2 : 558_x000D_
_x000D_
    TOTAL : ( 5.772 )_x000D_
  DIVISOR : 12_x000D_
    MÉDIA : 481,00_x000D_
-----------------------------_x000D_
   Valores Desconsiderados_x000D_
-----------------------------_x000D_
23 / 03_2 : 16 (840)_x000D_
_x000D_
  TOTAL   : ( 16 )</t>
        </r>
      </text>
    </comment>
    <comment ref="AB555" authorId="0" shapeId="0" xr:uid="{C4E0A71E-3B35-400F-85A6-AF45D4AF912D}">
      <text>
        <r>
          <rPr>
            <sz val="10"/>
            <color indexed="81"/>
            <rFont val="Lucida Console"/>
            <family val="3"/>
          </rPr>
          <t>Última movimentação no estoque em 07/2023 quantidade 558.</t>
        </r>
      </text>
    </comment>
    <comment ref="R556" authorId="0" shapeId="0" xr:uid="{11DC314F-3AB4-48C5-9A76-682E3BEB654E}">
      <text>
        <r>
          <rPr>
            <sz val="10"/>
            <color indexed="81"/>
            <rFont val="Lucida Console"/>
            <family val="3"/>
          </rPr>
          <t>01.01.1901</t>
        </r>
      </text>
    </comment>
    <comment ref="Y556" authorId="0" shapeId="0" xr:uid="{39A48C1E-4D59-4130-AF75-B892B7F8959D}">
      <text>
        <r>
          <rPr>
            <sz val="10"/>
            <color indexed="81"/>
            <rFont val="Courier New"/>
            <family val="3"/>
          </rPr>
          <t>_x000D_
    DESCRIÇÃO DO CÁLCULO_x000D_
Código    : 12.616_x000D_
Corte     : 8.455_x000D_
-----------------------------_x000D_
Pendente  : 267_x000D_
22 / 08_2 : 4.201_x000D_
22 / 09_2 : 4.683_x000D_
22 / 10_2 : 4.432_x000D_
22 / 11_2 : 4.546_x000D_
22 / 12_2 : 2.706_x000D_
23 / 01_2 : 1.767_x000D_
23 / 02_2 : 3.874_x000D_
23 / 03_2 : 8.455 (corte = 8557)_x000D_
23 / 04_2 : 5.024_x000D_
23 / 05_2 : 5.199_x000D_
23 / 06_2 : 5.086_x000D_
23 / 07_2 : 4.337_x000D_
_x000D_
    TOTAL : ( 54.577 )_x000D_
  DIVISOR : 12_x000D_
    MÉDIA : 4.548,08_x000D_
-----------------------------_x000D_
   Valores Desconsiderados_x000D_
-----------------------------_x000D_
23 / 03_2 : 102 (8.557)_x000D_
_x000D_
  TOTAL   : ( 102 )</t>
        </r>
      </text>
    </comment>
    <comment ref="AB556" authorId="0" shapeId="0" xr:uid="{D4FD4411-D35C-4B70-AE79-2244B38965AA}">
      <text>
        <r>
          <rPr>
            <sz val="10"/>
            <color indexed="81"/>
            <rFont val="Lucida Console"/>
            <family val="3"/>
          </rPr>
          <t>Última movimentação no estoque em 07/2023 quantidade 4.337.</t>
        </r>
      </text>
    </comment>
    <comment ref="R557" authorId="0" shapeId="0" xr:uid="{097D6F5F-6696-48EF-B32F-D02B18859E57}">
      <text>
        <r>
          <rPr>
            <sz val="10"/>
            <color indexed="81"/>
            <rFont val="Lucida Console"/>
            <family val="3"/>
          </rPr>
          <t>01.01.1901</t>
        </r>
      </text>
    </comment>
    <comment ref="Y557" authorId="0" shapeId="0" xr:uid="{E9A7E54D-7F26-4758-9107-35622AA48B21}">
      <text>
        <r>
          <rPr>
            <sz val="10"/>
            <color indexed="81"/>
            <rFont val="Courier New"/>
            <family val="3"/>
          </rPr>
          <t>_x000D_
    DESCRIÇÃO DO CÁLCULO_x000D_
Código    : 10.302_x000D_
Corte     : 1.239_x000D_
-----------------------------_x000D_
Pendente  : 3_x000D_
22 / 08_2 : 79_x000D_
22 / 09_2 : 153_x000D_
22 / 10_2 : 139_x000D_
22 / 11_2 : 126_x000D_
22 / 12_2 : 93_x000D_
23 / 01_2 : 46_x000D_
23 / 02_2 : 150_x000D_
23 / 03_2 : 1.239 (corte = 1839)_x000D_
23 / 04_2 : 210_x000D_
23 / 05_2 : 232_x000D_
23 / 06_2 : 184_x000D_
23 / 07_2 : 149_x000D_
_x000D_
    TOTAL : ( 2.803 )_x000D_
  DIVISOR : 12_x000D_
    MÉDIA : 233,58_x000D_
-----------------------------_x000D_
   Valores Desconsiderados_x000D_
-----------------------------_x000D_
23 / 03_2 : 600 (1.839)_x000D_
_x000D_
  TOTAL   : ( 600 )</t>
        </r>
      </text>
    </comment>
    <comment ref="AB557" authorId="0" shapeId="0" xr:uid="{B4D464C2-EAD5-42DB-966E-AC31C983F610}">
      <text>
        <r>
          <rPr>
            <sz val="10"/>
            <color indexed="81"/>
            <rFont val="Lucida Console"/>
            <family val="3"/>
          </rPr>
          <t>Última movimentação no estoque em 07/2023 quantidade 149.</t>
        </r>
      </text>
    </comment>
    <comment ref="R558" authorId="0" shapeId="0" xr:uid="{B7A455FC-1D2B-4A66-9224-EB3001C5E0FB}">
      <text>
        <r>
          <rPr>
            <sz val="10"/>
            <color indexed="81"/>
            <rFont val="Lucida Console"/>
            <family val="3"/>
          </rPr>
          <t>11.11.2016</t>
        </r>
      </text>
    </comment>
    <comment ref="Y558" authorId="0" shapeId="0" xr:uid="{4F2F49D0-539C-4061-AC5C-0D25DF5F785B}">
      <text>
        <r>
          <rPr>
            <sz val="10"/>
            <color indexed="81"/>
            <rFont val="Courier New"/>
            <family val="3"/>
          </rPr>
          <t>_x000D_
    DESCRIÇÃO DO CÁLCULO_x000D_
Código    : 132.303_x000D_
Corte     : 6.356_x000D_
-----------------------------_x000D_
Pendente  : 58_x000D_
22 / 08_2 : 1.003_x000D_
22 / 09_2 : 1.186_x000D_
22 / 10_2 : 1.104_x000D_
22 / 11_2 : 1.208_x000D_
22 / 12_2 : 857_x000D_
23 / 01_2 : 400_x000D_
23 / 02_2 : 705_x000D_
23 / 03_2 : 6.356 (corte = 9277)_x000D_
23 / 04_2 : 1.017_x000D_
23 / 05_2 : 1.125_x000D_
23 / 06_2 : 1.039_x000D_
23 / 07_2 : 840_x000D_
_x000D_
    TOTAL : ( 16.898 )_x000D_
  DIVISOR : 12_x000D_
    MÉDIA : 1.408,17_x000D_
-----------------------------_x000D_
   Valores Desconsiderados_x000D_
-----------------------------_x000D_
23 / 03_2 : 2.921 (9.277)_x000D_
_x000D_
  TOTAL   : ( 2.921 )</t>
        </r>
      </text>
    </comment>
    <comment ref="AB558" authorId="0" shapeId="0" xr:uid="{7D9DB84E-550C-4793-99C0-6F38798DCA0C}">
      <text>
        <r>
          <rPr>
            <sz val="10"/>
            <color indexed="81"/>
            <rFont val="Lucida Console"/>
            <family val="3"/>
          </rPr>
          <t>Última movimentação no estoque em 07/2023 quantidade 840.</t>
        </r>
      </text>
    </comment>
    <comment ref="R559" authorId="0" shapeId="0" xr:uid="{CA2A6DF9-422A-4993-B3A5-771586686E7E}">
      <text>
        <r>
          <rPr>
            <sz val="10"/>
            <color indexed="81"/>
            <rFont val="Lucida Console"/>
            <family val="3"/>
          </rPr>
          <t>01.01.1901</t>
        </r>
      </text>
    </comment>
    <comment ref="Y559" authorId="0" shapeId="0" xr:uid="{068E2D30-6E4F-49D3-90A0-17370B5171D4}">
      <text>
        <r>
          <rPr>
            <sz val="10"/>
            <color indexed="81"/>
            <rFont val="Courier New"/>
            <family val="3"/>
          </rPr>
          <t>_x000D_
    DESCRIÇÃO DO CÁLCULO_x000D_
Código    : 63.385_x000D_
Corte     : 11.460_x000D_
-----------------------------_x000D_
Pendente  : 9.011_x000D_
22 / 08_2 : 81_x000D_
22 / 09_2 : _x000D_
22 / 10_2 : _x000D_
22 / 11_2 : _x000D_
22 / 12_2 : _x000D_
23 / 01_2 : 225_x000D_
23 / 02_2 : 6.318_x000D_
23 / 03_2 : 11.460 (corte = 13744)_x000D_
23 / 04_2 : _x000D_
23 / 05_2 : _x000D_
23 / 06_2 : _x000D_
23 / 07_2 : _x000D_
_x000D_
    TOTAL : ( 27.095 )_x000D_
  DIVISOR : 12_x000D_
    MÉDIA : 2.257,92_x000D_
-----------------------------_x000D_
   Valores Desconsiderados_x000D_
-----------------------------_x000D_
23 / 03_2 : 2.284 (13.744)_x000D_
_x000D_
  TOTAL   : ( 2.284 )</t>
        </r>
      </text>
    </comment>
    <comment ref="AB559" authorId="0" shapeId="0" xr:uid="{CA011035-013A-4906-ACE8-D1BF051B2A87}">
      <text>
        <r>
          <rPr>
            <sz val="10"/>
            <color indexed="81"/>
            <rFont val="Lucida Console"/>
            <family val="3"/>
          </rPr>
          <t>Última movimentação no estoque em 03/2023 quantidade 13.744.</t>
        </r>
      </text>
    </comment>
    <comment ref="R560" authorId="0" shapeId="0" xr:uid="{724A9000-7A1F-482C-8CDC-A220A46A8B14}">
      <text>
        <r>
          <rPr>
            <sz val="10"/>
            <color indexed="81"/>
            <rFont val="Lucida Console"/>
            <family val="3"/>
          </rPr>
          <t>06.07.2006</t>
        </r>
      </text>
    </comment>
    <comment ref="Y560" authorId="0" shapeId="0" xr:uid="{89062C47-799F-4832-BE6C-BE4F981E7670}">
      <text>
        <r>
          <rPr>
            <sz val="10"/>
            <color indexed="81"/>
            <rFont val="Courier New"/>
            <family val="3"/>
          </rPr>
          <t>_x000D_
    DESCRIÇÃO DO CÁLCULO_x000D_
Código    : 92.908_x000D_
Corte     : 1.291_x000D_
-----------------------------_x000D_
Pendente  : 2_x000D_
22 / 08_2 : 192_x000D_
22 / 09_2 : 138_x000D_
22 / 10_2 : 159_x000D_
22 / 11_2 : 178_x000D_
22 / 12_2 : 132_x000D_
23 / 01_2 : 81_x000D_
23 / 02_2 : 142_x000D_
23 / 03_2 : 1.291 (corte = 1900)_x000D_
23 / 04_2 : 216_x000D_
23 / 05_2 : 226_x000D_
23 / 06_2 : 237_x000D_
23 / 07_2 : 201_x000D_
_x000D_
    TOTAL : ( 3.195 )_x000D_
  DIVISOR : 12_x000D_
    MÉDIA : 266,25_x000D_
-----------------------------_x000D_
   Valores Desconsiderados_x000D_
-----------------------------_x000D_
23 / 03_2 : 609 (1.900)_x000D_
_x000D_
  TOTAL   : ( 609 )</t>
        </r>
      </text>
    </comment>
    <comment ref="AB560" authorId="0" shapeId="0" xr:uid="{299B6045-5589-4DF2-8685-2CD7C35BDB6B}">
      <text>
        <r>
          <rPr>
            <sz val="10"/>
            <color indexed="81"/>
            <rFont val="Lucida Console"/>
            <family val="3"/>
          </rPr>
          <t>Última movimentação no estoque em 07/2023 quantidade 201.</t>
        </r>
      </text>
    </comment>
    <comment ref="R561" authorId="0" shapeId="0" xr:uid="{8F4AFCE6-418D-458B-8FB6-A23B8D15CB71}">
      <text>
        <r>
          <rPr>
            <sz val="10"/>
            <color indexed="81"/>
            <rFont val="Lucida Console"/>
            <family val="3"/>
          </rPr>
          <t>06.07.2006</t>
        </r>
      </text>
    </comment>
    <comment ref="Y561" authorId="0" shapeId="0" xr:uid="{51EC73A1-186F-42C6-9D6A-8872475AEA4F}">
      <text>
        <r>
          <rPr>
            <sz val="10"/>
            <color indexed="81"/>
            <rFont val="Courier New"/>
            <family val="3"/>
          </rPr>
          <t>_x000D_
    DESCRIÇÃO DO CÁLCULO_x000D_
Código    : 92.907_x000D_
Corte     : 1.268_x000D_
-----------------------------_x000D_
Pendente  : 2_x000D_
22 / 08_2 : 149_x000D_
22 / 09_2 : 130_x000D_
22 / 10_2 : 144_x000D_
22 / 11_2 : 166_x000D_
22 / 12_2 : 144_x000D_
23 / 01_2 : 71_x000D_
23 / 02_2 : 142_x000D_
23 / 03_2 : 1.268 (corte = 1876)_x000D_
23 / 04_2 : 185_x000D_
23 / 05_2 : 211_x000D_
23 / 06_2 : 219_x000D_
23 / 07_2 : 187_x000D_
_x000D_
    TOTAL : ( 3.018 )_x000D_
  DIVISOR : 12_x000D_
    MÉDIA : 251,50_x000D_
-----------------------------_x000D_
   Valores Desconsiderados_x000D_
-----------------------------_x000D_
23 / 03_2 : 608 (1.876)_x000D_
_x000D_
  TOTAL   : ( 608 )</t>
        </r>
      </text>
    </comment>
    <comment ref="AB561" authorId="0" shapeId="0" xr:uid="{2E1FD7C4-49C8-4941-81C9-0D33376B6C27}">
      <text>
        <r>
          <rPr>
            <sz val="10"/>
            <color indexed="81"/>
            <rFont val="Lucida Console"/>
            <family val="3"/>
          </rPr>
          <t>Última movimentação no estoque em 07/2023 quantidade 187.</t>
        </r>
      </text>
    </comment>
    <comment ref="R562" authorId="0" shapeId="0" xr:uid="{6BA9EC89-D976-4EEE-86A5-0AC497BDCB75}">
      <text>
        <r>
          <rPr>
            <sz val="10"/>
            <color indexed="81"/>
            <rFont val="Lucida Console"/>
            <family val="3"/>
          </rPr>
          <t>01.01.1901</t>
        </r>
      </text>
    </comment>
    <comment ref="Y562" authorId="0" shapeId="0" xr:uid="{8D8D5CFA-085D-4E1D-9589-FDA1CEE4AF89}">
      <text>
        <r>
          <rPr>
            <sz val="10"/>
            <color indexed="81"/>
            <rFont val="Courier New"/>
            <family val="3"/>
          </rPr>
          <t>_x000D_
    DESCRIÇÃO DO CÁLCULO_x000D_
Código    : 92.906_x000D_
Corte     : 529_x000D_
-----------------------------_x000D_
Pendente  : 255_x000D_
22 / 08_2 : 179_x000D_
22 / 09_2 : 151_x000D_
22 / 10_2 : 160_x000D_
22 / 11_2 : 179_x000D_
22 / 12_2 : 139_x000D_
23 / 01_2 : 75_x000D_
23 / 02_2 : 142_x000D_
23 / 03_2 : 529 (corte = 691)_x000D_
23 / 04_2 : _x000D_
23 / 05_2 : _x000D_
23 / 06_2 : _x000D_
23 / 07_2 : _x000D_
_x000D_
    TOTAL : ( 1.809 )_x000D_
  DIVISOR : 12_x000D_
    MÉDIA : 150,75_x000D_
-----------------------------_x000D_
   Valores Desconsiderados_x000D_
-----------------------------_x000D_
23 / 03_2 : 162 (691)_x000D_
_x000D_
  TOTAL   : ( 162 )</t>
        </r>
      </text>
    </comment>
    <comment ref="AB562" authorId="0" shapeId="0" xr:uid="{EB47313D-A19B-4BAC-BA98-E380E9C7A760}">
      <text>
        <r>
          <rPr>
            <sz val="10"/>
            <color indexed="81"/>
            <rFont val="Lucida Console"/>
            <family val="3"/>
          </rPr>
          <t>Última movimentação no estoque em 03/2023 quantidade 691.</t>
        </r>
      </text>
    </comment>
    <comment ref="R563" authorId="0" shapeId="0" xr:uid="{865B59DD-ABC5-4C41-B7DD-C6C6C1091FB1}">
      <text>
        <r>
          <rPr>
            <sz val="10"/>
            <color indexed="81"/>
            <rFont val="Lucida Console"/>
            <family val="3"/>
          </rPr>
          <t>01.01.1901</t>
        </r>
      </text>
    </comment>
    <comment ref="Y563" authorId="0" shapeId="0" xr:uid="{5F2CE3EA-0A53-4DA5-86C3-52672B9B6604}">
      <text>
        <r>
          <rPr>
            <sz val="10"/>
            <color indexed="81"/>
            <rFont val="Courier New"/>
            <family val="3"/>
          </rPr>
          <t>_x000D_
    DESCRIÇÃO DO CÁLCULO_x000D_
Código    : 70.379_x000D_
Corte     : 1.175_x000D_
-----------------------------_x000D_
Pendente  : 25_x000D_
22 / 08_2 : 362_x000D_
22 / 09_2 : 140_x000D_
22 / 10_2 : 32_x000D_
22 / 11_2 : 100_x000D_
22 / 12_2 : 57_x000D_
23 / 01_2 : 50_x000D_
23 / 02_2 : 1.099_x000D_
23 / 03_2 : 1.175 (corte = 1285)_x000D_
23 / 04_2 : 49_x000D_
23 / 05_2 : 18_x000D_
23 / 06_2 : 538_x000D_
23 / 07_2 : 48_x000D_
_x000D_
    TOTAL : ( 3.693 )_x000D_
  DIVISOR : 12_x000D_
    MÉDIA : 307,75_x000D_
-----------------------------_x000D_
   Valores Desconsiderados_x000D_
-----------------------------_x000D_
23 / 03_2 : 110 (1.285)_x000D_
_x000D_
  TOTAL   : ( 110 )</t>
        </r>
      </text>
    </comment>
    <comment ref="AB563" authorId="0" shapeId="0" xr:uid="{3FFEA9D1-56C5-4049-B1AA-1F28912F01A8}">
      <text>
        <r>
          <rPr>
            <sz val="10"/>
            <color indexed="81"/>
            <rFont val="Lucida Console"/>
            <family val="3"/>
          </rPr>
          <t>Última movimentação no estoque em 07/2023 quantidade 48.</t>
        </r>
      </text>
    </comment>
    <comment ref="R564" authorId="0" shapeId="0" xr:uid="{70D70D38-9911-4D7E-8A07-DBE83C958739}">
      <text>
        <r>
          <rPr>
            <sz val="10"/>
            <color indexed="81"/>
            <rFont val="Lucida Console"/>
            <family val="3"/>
          </rPr>
          <t>26.01.2006</t>
        </r>
      </text>
    </comment>
    <comment ref="Y564" authorId="0" shapeId="0" xr:uid="{5AD8302C-967D-49CD-A998-4FF5C85C9D60}">
      <text>
        <r>
          <rPr>
            <sz val="10"/>
            <color indexed="81"/>
            <rFont val="Courier New"/>
            <family val="3"/>
          </rPr>
          <t>_x000D_
    DESCRIÇÃO DO CÁLCULO_x000D_
Código    : 89.865_x000D_
Corte     : 28_x000D_
-----------------------------_x000D_
Pendente  : _x000D_
22 / 08_2 : 5_x000D_
22 / 09_2 : 5_x000D_
22 / 10_2 : 2_x000D_
22 / 11_2 : 2_x000D_
22 / 12_2 : 4_x000D_
23 / 01_2 : 3_x000D_
23 / 02_2 : _x000D_
23 / 03_2 : 8_x000D_
23 / 04_2 : 28 (corte = 41)_x000D_
23 / 05_2 : _x000D_
23 / 06_2 : _x000D_
23 / 07_2 : _x000D_
_x000D_
    TOTAL : ( 57 )_x000D_
  DIVISOR : 12_x000D_
    MÉDIA : 4,75_x000D_
-----------------------------_x000D_
   Valores Desconsiderados_x000D_
-----------------------------_x000D_
23 / 04_2 : 13 (41)_x000D_
_x000D_
  TOTAL   : ( 13 )</t>
        </r>
      </text>
    </comment>
    <comment ref="AB564" authorId="0" shapeId="0" xr:uid="{0651B3AA-EB22-4C95-A6C7-872D1B16E260}">
      <text>
        <r>
          <rPr>
            <sz val="10"/>
            <color indexed="81"/>
            <rFont val="Lucida Console"/>
            <family val="3"/>
          </rPr>
          <t>Última movimentação no estoque em 04/2023 quantidade 41.</t>
        </r>
      </text>
    </comment>
    <comment ref="R565" authorId="0" shapeId="0" xr:uid="{D85B39BC-A0AF-436C-8EF8-A8759A7F6C22}">
      <text>
        <r>
          <rPr>
            <sz val="10"/>
            <color indexed="81"/>
            <rFont val="Lucida Console"/>
            <family val="3"/>
          </rPr>
          <t>04.12.2015</t>
        </r>
      </text>
    </comment>
    <comment ref="Y565" authorId="0" shapeId="0" xr:uid="{9D916FDE-A4BD-4D7B-AE66-4013970322C6}">
      <text>
        <r>
          <rPr>
            <sz val="10"/>
            <color indexed="81"/>
            <rFont val="Courier New"/>
            <family val="3"/>
          </rPr>
          <t>_x000D_
    DESCRIÇÃO DO CÁLCULO_x000D_
Código    : 131.138_x000D_
Corte     : 2_x000D_
-----------------------------_x000D_
Pendente  : _x000D_
22 / 08_2 : _x000D_
22 / 09_2 : _x000D_
22 / 10_2 : _x000D_
22 / 11_2 : 1_x000D_
22 / 12_2 : _x000D_
23 / 01_2 : 2 (corte = 3)_x000D_
23 / 02_2 : 1_x000D_
23 / 03_2 : _x000D_
23 / 04_2 : _x000D_
23 / 05_2 : _x000D_
23 / 06_2 : _x000D_
23 / 07_2 : _x000D_
_x000D_
    TOTAL : ( 4 )_x000D_
  DIVISOR : 12_x000D_
    MÉDIA : ,33_x000D_
-----------------------------_x000D_
   Valores Desconsiderados_x000D_
-----------------------------_x000D_
23 / 01_2 : 1 (3)_x000D_
_x000D_
  TOTAL   : ( 1 )</t>
        </r>
      </text>
    </comment>
    <comment ref="AB565" authorId="0" shapeId="0" xr:uid="{77B5A671-11D0-4D7D-B74F-6B56795A9A7D}">
      <text>
        <r>
          <rPr>
            <sz val="10"/>
            <color indexed="81"/>
            <rFont val="Lucida Console"/>
            <family val="3"/>
          </rPr>
          <t>Última movimentação no estoque em 02/2023 quantidade 1.</t>
        </r>
      </text>
    </comment>
    <comment ref="R566" authorId="0" shapeId="0" xr:uid="{AC2F5B18-DC8E-4540-A1B6-1CBB24A35781}">
      <text>
        <r>
          <rPr>
            <sz val="10"/>
            <color indexed="81"/>
            <rFont val="Lucida Console"/>
            <family val="3"/>
          </rPr>
          <t>20.04.2010</t>
        </r>
      </text>
    </comment>
    <comment ref="Y566" authorId="0" shapeId="0" xr:uid="{8461EB3D-A118-4F03-B35F-BE38EEECD6D8}">
      <text>
        <r>
          <rPr>
            <sz val="10"/>
            <color indexed="81"/>
            <rFont val="Courier New"/>
            <family val="3"/>
          </rPr>
          <t>_x000D_
    DESCRIÇÃO DO CÁLCULO_x000D_
Código    : 114.923_x000D_
Corte     : 443_x000D_
-----------------------------_x000D_
Pendente  : _x000D_
22 / 08_2 : _x000D_
22 / 09_2 : 100_x000D_
22 / 10_2 : 88_x000D_
22 / 11_2 : 100_x000D_
22 / 12_2 : 130_x000D_
23 / 01_2 : 60_x000D_
23 / 02_2 : 200_x000D_
23 / 03_2 : 50_x000D_
23 / 04_2 : _x000D_
23 / 05_2 : _x000D_
23 / 06_2 : _x000D_
23 / 07_2 : 443 (corte = 600)_x000D_
_x000D_
    TOTAL : ( 1.171 )_x000D_
  DIVISOR : 12_x000D_
    MÉDIA : 97,58_x000D_
-----------------------------_x000D_
   Valores Desconsiderados_x000D_
-----------------------------_x000D_
23 / 07_2 : 157 (600)_x000D_
_x000D_
  TOTAL   : ( 157 )</t>
        </r>
      </text>
    </comment>
    <comment ref="AB566" authorId="0" shapeId="0" xr:uid="{5BEE40D3-B1E9-4459-A24C-DF0BDBFCC6B6}">
      <text>
        <r>
          <rPr>
            <sz val="10"/>
            <color indexed="81"/>
            <rFont val="Lucida Console"/>
            <family val="3"/>
          </rPr>
          <t>Última movimentação no estoque em 07/2023 quantidade 600.</t>
        </r>
      </text>
    </comment>
    <comment ref="R567" authorId="0" shapeId="0" xr:uid="{BA0B4CA8-6DB2-4B5F-878F-8F999A235D55}">
      <text>
        <r>
          <rPr>
            <sz val="10"/>
            <color indexed="81"/>
            <rFont val="Lucida Console"/>
            <family val="3"/>
          </rPr>
          <t>01.01.1901</t>
        </r>
      </text>
    </comment>
    <comment ref="Y567" authorId="0" shapeId="0" xr:uid="{87738197-BB9D-448E-B447-6BC711247992}">
      <text>
        <r>
          <rPr>
            <sz val="10"/>
            <color indexed="81"/>
            <rFont val="Courier New"/>
            <family val="3"/>
          </rPr>
          <t>_x000D_
    DESCRIÇÃO DO CÁLCULO_x000D_
Código    : 37.528_x000D_
Corte     : 171_x000D_
-----------------------------_x000D_
Pendente  : _x000D_
22 / 08_2 : 99_x000D_
22 / 09_2 : 95_x000D_
22 / 10_2 : 86_x000D_
22 / 11_2 : 36_x000D_
22 / 12_2 : 66_x000D_
23 / 01_2 : 94_x000D_
23 / 02_2 : 92_x000D_
23 / 03_2 : 86_x000D_
23 / 04_2 : 171 (corte = 180)_x000D_
23 / 05_2 : 100_x000D_
23 / 06_2 : _x000D_
23 / 07_2 : 100_x000D_
_x000D_
    TOTAL : ( 1.025 )_x000D_
  DIVISOR : 12_x000D_
    MÉDIA : 85,42_x000D_
-----------------------------_x000D_
   Valores Desconsiderados_x000D_
-----------------------------_x000D_
23 / 04_2 : 9 (180)_x000D_
_x000D_
  TOTAL   : ( 9 )</t>
        </r>
      </text>
    </comment>
    <comment ref="AB567" authorId="0" shapeId="0" xr:uid="{A74690BE-3B56-4FBB-9B4D-391E59588E23}">
      <text>
        <r>
          <rPr>
            <sz val="10"/>
            <color indexed="81"/>
            <rFont val="Lucida Console"/>
            <family val="3"/>
          </rPr>
          <t>Última movimentação no estoque em 07/2023 quantidade 100.</t>
        </r>
      </text>
    </comment>
    <comment ref="R568" authorId="0" shapeId="0" xr:uid="{D8934BAA-C232-44F8-B44C-B16B541D3FB9}">
      <text>
        <r>
          <rPr>
            <sz val="10"/>
            <color indexed="81"/>
            <rFont val="Lucida Console"/>
            <family val="3"/>
          </rPr>
          <t>23.08.2013</t>
        </r>
      </text>
    </comment>
    <comment ref="Y568" authorId="0" shapeId="0" xr:uid="{A8596CF8-596E-4390-8584-CE4CEDD10349}">
      <text>
        <r>
          <rPr>
            <sz val="10"/>
            <color indexed="81"/>
            <rFont val="Courier New"/>
            <family val="3"/>
          </rPr>
          <t>_x000D_
    DESCRIÇÃO DO CÁLCULO_x000D_
Código    : 126.059_x000D_
Corte     : 38_x000D_
-----------------------------_x000D_
Pendente  : 33_x000D_
22 / 08_2 : 1_x000D_
22 / 09_2 : 38 (corte = 47)_x000D_
22 / 10_2 : 7_x000D_
22 / 11_2 : 6_x000D_
22 / 12_2 : 4_x000D_
23 / 01_2 : 8_x000D_
23 / 02_2 : 3_x000D_
23 / 03_2 : 3_x000D_
23 / 04_2 : 10_x000D_
23 / 05_2 : _x000D_
23 / 06_2 : _x000D_
23 / 07_2 : _x000D_
_x000D_
    TOTAL : ( 113 )_x000D_
  DIVISOR : 12_x000D_
    MÉDIA : 9,42_x000D_
-----------------------------_x000D_
   Valores Desconsiderados_x000D_
-----------------------------_x000D_
22 / 09_2 : 9 (47)_x000D_
_x000D_
  TOTAL   : ( 9 )</t>
        </r>
      </text>
    </comment>
    <comment ref="AB568" authorId="0" shapeId="0" xr:uid="{3F910DE5-7996-495A-8108-0D8F5A42D05D}">
      <text>
        <r>
          <rPr>
            <sz val="10"/>
            <color indexed="81"/>
            <rFont val="Lucida Console"/>
            <family val="3"/>
          </rPr>
          <t>Última movimentação no estoque em 04/2023 quantidade 10.</t>
        </r>
      </text>
    </comment>
    <comment ref="R569" authorId="0" shapeId="0" xr:uid="{833F3DAF-5202-4767-A0E4-AB9608BEE152}">
      <text>
        <r>
          <rPr>
            <sz val="10"/>
            <color indexed="81"/>
            <rFont val="Lucida Console"/>
            <family val="3"/>
          </rPr>
          <t>23.08.2013</t>
        </r>
      </text>
    </comment>
    <comment ref="Y569" authorId="0" shapeId="0" xr:uid="{D6EF1F74-91AA-4B35-A2FF-2172D8028C5E}">
      <text>
        <r>
          <rPr>
            <sz val="10"/>
            <color indexed="81"/>
            <rFont val="Courier New"/>
            <family val="3"/>
          </rPr>
          <t>_x000D_
    DESCRIÇÃO DO CÁLCULO_x000D_
Código    : 126.060_x000D_
Corte     : 52_x000D_
-----------------------------_x000D_
Pendente  : _x000D_
22 / 08_2 : 5_x000D_
22 / 09_2 : 35_x000D_
22 / 10_2 : 9_x000D_
22 / 11_2 : 2_x000D_
22 / 12_2 : 21_x000D_
23 / 01_2 : 17_x000D_
23 / 02_2 : 52 (corte = 54)_x000D_
23 / 03_2 : 3_x000D_
23 / 04_2 : 42_x000D_
23 / 05_2 : _x000D_
23 / 06_2 : _x000D_
23 / 07_2 : _x000D_
_x000D_
    TOTAL : ( 186 )_x000D_
  DIVISOR : 12_x000D_
    MÉDIA : 15,50_x000D_
-----------------------------_x000D_
   Valores Desconsiderados_x000D_
-----------------------------_x000D_
23 / 02_2 : 2 (54)_x000D_
_x000D_
  TOTAL   : ( 2 )</t>
        </r>
      </text>
    </comment>
    <comment ref="AB569" authorId="0" shapeId="0" xr:uid="{9BDD19A2-A8E1-4E96-803E-7D299DE67B16}">
      <text>
        <r>
          <rPr>
            <sz val="10"/>
            <color indexed="81"/>
            <rFont val="Lucida Console"/>
            <family val="3"/>
          </rPr>
          <t>Última movimentação no estoque em 04/2023 quantidade 42.</t>
        </r>
      </text>
    </comment>
    <comment ref="R570" authorId="0" shapeId="0" xr:uid="{98C7E7B2-A199-43C2-AA88-8380CB9A9BA9}">
      <text>
        <r>
          <rPr>
            <sz val="10"/>
            <color indexed="81"/>
            <rFont val="Lucida Console"/>
            <family val="3"/>
          </rPr>
          <t>27.08.2004</t>
        </r>
      </text>
    </comment>
    <comment ref="Y570" authorId="0" shapeId="0" xr:uid="{BC9B1515-6E03-489E-80EB-AE291EAC1D9B}">
      <text>
        <r>
          <rPr>
            <sz val="10"/>
            <color indexed="81"/>
            <rFont val="Courier New"/>
            <family val="3"/>
          </rPr>
          <t>_x000D_
    DESCRIÇÃO DO CÁLCULO_x000D_
Código    : 81.514_x000D_
Corte     : 7.569_x000D_
-----------------------------_x000D_
Pendente  : _x000D_
22 / 08_2 : 6.000_x000D_
22 / 09_2 : 2.100_x000D_
22 / 10_2 : 2.000_x000D_
22 / 11_2 : 2.280_x000D_
22 / 12_2 : 1.000_x000D_
23 / 01_2 : 6.650_x000D_
23 / 02_2 : 1.000_x000D_
23 / 03_2 : 4.002_x000D_
23 / 04_2 : 4.101_x000D_
23 / 05_2 : _x000D_
23 / 06_2 : 5.000_x000D_
23 / 07_2 : 5.000_x000D_
_x000D_
    TOTAL : ( 39.133 )_x000D_
  DIVISOR : 12_x000D_
    MÉDIA : 3.261,08</t>
        </r>
      </text>
    </comment>
    <comment ref="AB570" authorId="0" shapeId="0" xr:uid="{E9830C78-6E92-41DD-BC95-B00D47E3CCB0}">
      <text>
        <r>
          <rPr>
            <sz val="10"/>
            <color indexed="81"/>
            <rFont val="Lucida Console"/>
            <family val="3"/>
          </rPr>
          <t>Última movimentação no estoque em 07/2023 quantidade 5.000.</t>
        </r>
      </text>
    </comment>
    <comment ref="R571" authorId="0" shapeId="0" xr:uid="{67DC8D7D-6F8F-41BF-8AC4-7DB6E01E711B}">
      <text>
        <r>
          <rPr>
            <sz val="10"/>
            <color indexed="81"/>
            <rFont val="Lucida Console"/>
            <family val="3"/>
          </rPr>
          <t>15.03.2018</t>
        </r>
      </text>
    </comment>
    <comment ref="Y571" authorId="0" shapeId="0" xr:uid="{7FC256B0-89E5-4E24-B0B1-D999795BFBEA}">
      <text>
        <r>
          <rPr>
            <sz val="10"/>
            <color indexed="81"/>
            <rFont val="Courier New"/>
            <family val="3"/>
          </rPr>
          <t>_x000D_
    DESCRIÇÃO DO CÁLCULO_x000D_
Código    : 134.561_x000D_
Corte     : 18_x000D_
-----------------------------_x000D_
Pendente  : _x000D_
22 / 08_2 : _x000D_
22 / 09_2 : 4_x000D_
22 / 10_2 : _x000D_
22 / 11_2 : 2_x000D_
22 / 12_2 : _x000D_
23 / 01_2 : _x000D_
23 / 02_2 : _x000D_
23 / 03_2 : 4_x000D_
23 / 04_2 : 18 (corte = 22)_x000D_
23 / 05_2 : _x000D_
23 / 06_2 : 15_x000D_
23 / 07_2 : _x000D_
_x000D_
    TOTAL : ( 43 )_x000D_
  DIVISOR : 12_x000D_
    MÉDIA : 3,58_x000D_
-----------------------------_x000D_
   Valores Desconsiderados_x000D_
-----------------------------_x000D_
23 / 04_2 : 4 (22)_x000D_
_x000D_
  TOTAL   : ( 4 )</t>
        </r>
      </text>
    </comment>
    <comment ref="AB571" authorId="0" shapeId="0" xr:uid="{0F9EF052-9857-40B1-B35E-B45DD06B6778}">
      <text>
        <r>
          <rPr>
            <sz val="10"/>
            <color indexed="81"/>
            <rFont val="Lucida Console"/>
            <family val="3"/>
          </rPr>
          <t>Última movimentação no estoque em 06/2023 quantidade 15.</t>
        </r>
      </text>
    </comment>
    <comment ref="R572" authorId="0" shapeId="0" xr:uid="{648B696A-283C-4021-8BA6-576324902C68}">
      <text>
        <r>
          <rPr>
            <sz val="10"/>
            <color indexed="81"/>
            <rFont val="Lucida Console"/>
            <family val="3"/>
          </rPr>
          <t>15.03.2018</t>
        </r>
      </text>
    </comment>
    <comment ref="Y572" authorId="0" shapeId="0" xr:uid="{A00456B8-AC29-4A4A-9AC8-E27BCA295E1D}">
      <text>
        <r>
          <rPr>
            <sz val="10"/>
            <color indexed="81"/>
            <rFont val="Courier New"/>
            <family val="3"/>
          </rPr>
          <t>_x000D_
    DESCRIÇÃO DO CÁLCULO_x000D_
Código    : 134.562_x000D_
Corte     : 33_x000D_
-----------------------------_x000D_
Pendente  : _x000D_
22 / 08_2 : 2_x000D_
22 / 09_2 : _x000D_
22 / 10_2 : 3_x000D_
22 / 11_2 : _x000D_
22 / 12_2 : 3_x000D_
23 / 01_2 : _x000D_
23 / 02_2 : _x000D_
23 / 03_2 : _x000D_
23 / 04_2 : 33 (corte = 50)_x000D_
23 / 05_2 : _x000D_
23 / 06_2 : _x000D_
23 / 07_2 : _x000D_
_x000D_
    TOTAL : ( 41 )_x000D_
  DIVISOR : 12_x000D_
    MÉDIA : 3,42_x000D_
-----------------------------_x000D_
   Valores Desconsiderados_x000D_
-----------------------------_x000D_
23 / 04_2 : 17 (50)_x000D_
_x000D_
  TOTAL   : ( 17 )</t>
        </r>
      </text>
    </comment>
    <comment ref="AB572" authorId="0" shapeId="0" xr:uid="{2E605FF2-26A2-487F-8363-8EE78106F384}">
      <text>
        <r>
          <rPr>
            <sz val="10"/>
            <color indexed="81"/>
            <rFont val="Lucida Console"/>
            <family val="3"/>
          </rPr>
          <t>Última movimentação no estoque em 04/2023 quantidade 50.</t>
        </r>
      </text>
    </comment>
    <comment ref="R573" authorId="0" shapeId="0" xr:uid="{4D639A48-77BC-4B89-B22E-B24A10074FEE}">
      <text>
        <r>
          <rPr>
            <sz val="10"/>
            <color indexed="81"/>
            <rFont val="Lucida Console"/>
            <family val="3"/>
          </rPr>
          <t>15.03.2018</t>
        </r>
      </text>
    </comment>
    <comment ref="Y573" authorId="0" shapeId="0" xr:uid="{A5431695-E28B-4F91-8513-CF593A9CC437}">
      <text>
        <r>
          <rPr>
            <sz val="10"/>
            <color indexed="81"/>
            <rFont val="Courier New"/>
            <family val="3"/>
          </rPr>
          <t>_x000D_
    DESCRIÇÃO DO CÁLCULO_x000D_
Código    : 134.563_x000D_
Corte     : 45_x000D_
-----------------------------_x000D_
Pendente  : _x000D_
22 / 08_2 : 10_x000D_
22 / 09_2 : 22_x000D_
22 / 10_2 : 14_x000D_
22 / 11_2 : 6_x000D_
22 / 12_2 : 3_x000D_
23 / 01_2 : 13_x000D_
23 / 02_2 : 6_x000D_
23 / 03_2 : 11_x000D_
23 / 04_2 : 45 (corte = 60)_x000D_
23 / 05_2 : 1_x000D_
23 / 06_2 : _x000D_
23 / 07_2 : _x000D_
_x000D_
    TOTAL : ( 131 )_x000D_
  DIVISOR : 12_x000D_
    MÉDIA : 10,92_x000D_
-----------------------------_x000D_
   Valores Desconsiderados_x000D_
-----------------------------_x000D_
23 / 04_2 : 15 (60)_x000D_
_x000D_
  TOTAL   : ( 15 )</t>
        </r>
      </text>
    </comment>
    <comment ref="AB573" authorId="0" shapeId="0" xr:uid="{88C341D4-07D2-4ECF-B89B-A719A20FABBC}">
      <text>
        <r>
          <rPr>
            <sz val="10"/>
            <color indexed="81"/>
            <rFont val="Lucida Console"/>
            <family val="3"/>
          </rPr>
          <t>Última movimentação no estoque em 05/2023 quantidade 1.</t>
        </r>
      </text>
    </comment>
    <comment ref="R574" authorId="0" shapeId="0" xr:uid="{0C09F0EA-9F9A-45D1-9371-67BB53EE8778}">
      <text>
        <r>
          <rPr>
            <sz val="10"/>
            <color indexed="81"/>
            <rFont val="Lucida Console"/>
            <family val="3"/>
          </rPr>
          <t>15.03.2018</t>
        </r>
      </text>
    </comment>
    <comment ref="Y574" authorId="0" shapeId="0" xr:uid="{4216A9FE-FEE2-49F8-92FF-2D024AD92BDA}">
      <text>
        <r>
          <rPr>
            <sz val="10"/>
            <color indexed="81"/>
            <rFont val="Courier New"/>
            <family val="3"/>
          </rPr>
          <t>_x000D_
    DESCRIÇÃO DO CÁLCULO_x000D_
Código    : 134.564_x000D_
Corte     : 21_x000D_
-----------------------------_x000D_
Pendente  : _x000D_
22 / 08_2 : 2_x000D_
22 / 09_2 : _x000D_
22 / 10_2 : 3_x000D_
22 / 11_2 : 1_x000D_
22 / 12_2 : _x000D_
23 / 01_2 : 3_x000D_
23 / 02_2 : 2_x000D_
23 / 03_2 : 2_x000D_
23 / 04_2 : 21 (corte = 31)_x000D_
23 / 05_2 : 5_x000D_
23 / 06_2 : _x000D_
23 / 07_2 : _x000D_
_x000D_
    TOTAL : ( 39 )_x000D_
  DIVISOR : 12_x000D_
    MÉDIA : 3,25_x000D_
-----------------------------_x000D_
   Valores Desconsiderados_x000D_
-----------------------------_x000D_
23 / 04_2 : 10 (31)_x000D_
_x000D_
  TOTAL   : ( 10 )</t>
        </r>
      </text>
    </comment>
    <comment ref="AB574" authorId="0" shapeId="0" xr:uid="{46583C89-28EC-4AFE-80C9-A5CC542C1DB8}">
      <text>
        <r>
          <rPr>
            <sz val="10"/>
            <color indexed="81"/>
            <rFont val="Lucida Console"/>
            <family val="3"/>
          </rPr>
          <t>Última movimentação no estoque em 05/2023 quantidade 5.</t>
        </r>
      </text>
    </comment>
    <comment ref="R575" authorId="0" shapeId="0" xr:uid="{6A95584C-3349-4799-89D3-30035FAA4233}">
      <text>
        <r>
          <rPr>
            <sz val="10"/>
            <color indexed="81"/>
            <rFont val="Lucida Console"/>
            <family val="3"/>
          </rPr>
          <t>15.03.2018</t>
        </r>
      </text>
    </comment>
    <comment ref="Y575" authorId="0" shapeId="0" xr:uid="{3F0B8125-9195-409F-B549-1E775D3AA1FF}">
      <text>
        <r>
          <rPr>
            <sz val="10"/>
            <color indexed="81"/>
            <rFont val="Courier New"/>
            <family val="3"/>
          </rPr>
          <t>_x000D_
    DESCRIÇÃO DO CÁLCULO_x000D_
Código    : 134.565_x000D_
Corte     : 21_x000D_
-----------------------------_x000D_
Pendente  : _x000D_
22 / 08_2 : _x000D_
22 / 09_2 : _x000D_
22 / 10_2 : 6_x000D_
22 / 11_2 : 2_x000D_
22 / 12_2 : _x000D_
23 / 01_2 : 1_x000D_
23 / 02_2 : 3_x000D_
23 / 03_2 : 1_x000D_
23 / 04_2 : 21 (corte = 31)_x000D_
23 / 05_2 : 1_x000D_
23 / 06_2 : _x000D_
23 / 07_2 : _x000D_
_x000D_
    TOTAL : ( 35 )_x000D_
  DIVISOR : 12_x000D_
    MÉDIA : 2,92_x000D_
-----------------------------_x000D_
   Valores Desconsiderados_x000D_
-----------------------------_x000D_
23 / 04_2 : 10 (31)_x000D_
_x000D_
  TOTAL   : ( 10 )</t>
        </r>
      </text>
    </comment>
    <comment ref="AB575" authorId="0" shapeId="0" xr:uid="{593AD3A9-6155-46D3-A2A4-49B057306E7E}">
      <text>
        <r>
          <rPr>
            <sz val="10"/>
            <color indexed="81"/>
            <rFont val="Lucida Console"/>
            <family val="3"/>
          </rPr>
          <t>Última movimentação no estoque em 05/2023 quantidade 1.</t>
        </r>
      </text>
    </comment>
    <comment ref="R576" authorId="0" shapeId="0" xr:uid="{3218DEA0-316D-459E-A9BB-91DE3FCECB49}">
      <text>
        <r>
          <rPr>
            <sz val="10"/>
            <color indexed="81"/>
            <rFont val="Lucida Console"/>
            <family val="3"/>
          </rPr>
          <t>24.01.2008</t>
        </r>
      </text>
    </comment>
    <comment ref="Y576" authorId="0" shapeId="0" xr:uid="{EE248597-D050-44BC-8CD4-15D987BD02D6}">
      <text>
        <r>
          <rPr>
            <sz val="10"/>
            <color indexed="81"/>
            <rFont val="Courier New"/>
            <family val="3"/>
          </rPr>
          <t>_x000D_
    DESCRIÇÃO DO CÁLCULO_x000D_
Código    : 104.655_x000D_
Corte     : 1.330_x000D_
-----------------------------_x000D_
Pendente  : _x000D_
22 / 08_2 : _x000D_
22 / 09_2 : _x000D_
22 / 10_2 : _x000D_
22 / 11_2 : 100_x000D_
22 / 12_2 : _x000D_
23 / 01_2 : _x000D_
23 / 02_2 : 100_x000D_
23 / 03_2 : _x000D_
23 / 04_2 : 1.330 (corte = 2000)_x000D_
23 / 05_2 : _x000D_
23 / 06_2 : _x000D_
23 / 07_2 : _x000D_
_x000D_
    TOTAL : ( 1.530 )_x000D_
  DIVISOR : 12_x000D_
    MÉDIA : 127,50_x000D_
-----------------------------_x000D_
   Valores Desconsiderados_x000D_
-----------------------------_x000D_
23 / 04_2 : 670 (2.000)_x000D_
_x000D_
  TOTAL   : ( 670 )</t>
        </r>
      </text>
    </comment>
    <comment ref="AB576" authorId="0" shapeId="0" xr:uid="{C6CC4DD6-19BC-4676-BF5B-956E729AB4CE}">
      <text>
        <r>
          <rPr>
            <sz val="10"/>
            <color indexed="81"/>
            <rFont val="Lucida Console"/>
            <family val="3"/>
          </rPr>
          <t>Última movimentação no estoque em 04/2023 quantidade 2.000.</t>
        </r>
      </text>
    </comment>
    <comment ref="R577" authorId="0" shapeId="0" xr:uid="{F10606FF-3C5C-4CF4-B2C3-374C54923335}">
      <text>
        <r>
          <rPr>
            <sz val="10"/>
            <color indexed="81"/>
            <rFont val="Lucida Console"/>
            <family val="3"/>
          </rPr>
          <t>15.03.2018</t>
        </r>
      </text>
    </comment>
    <comment ref="Y577" authorId="0" shapeId="0" xr:uid="{DD3F664A-BA05-4DB3-B564-63A39B0C6946}">
      <text>
        <r>
          <rPr>
            <sz val="10"/>
            <color indexed="81"/>
            <rFont val="Courier New"/>
            <family val="3"/>
          </rPr>
          <t>_x000D_
    DESCRIÇÃO DO CÁLCULO_x000D_
Código    : 134.566_x000D_
Corte     : 668_x000D_
-----------------------------_x000D_
Pendente  : _x000D_
22 / 08_2 : _x000D_
22 / 09_2 : 50_x000D_
22 / 10_2 : 40_x000D_
22 / 11_2 : _x000D_
22 / 12_2 : 100_x000D_
23 / 01_2 : 100_x000D_
23 / 02_2 : 668 (corte = 950)_x000D_
23 / 03_2 : 252_x000D_
23 / 04_2 : 100_x000D_
23 / 05_2 : 8_x000D_
23 / 06_2 : _x000D_
23 / 07_2 : 60_x000D_
_x000D_
    TOTAL : ( 1.378 )_x000D_
  DIVISOR : 12_x000D_
    MÉDIA : 114,83_x000D_
-----------------------------_x000D_
   Valores Desconsiderados_x000D_
-----------------------------_x000D_
23 / 02_2 : 282 (950)_x000D_
_x000D_
  TOTAL   : ( 282 )</t>
        </r>
      </text>
    </comment>
    <comment ref="AB577" authorId="0" shapeId="0" xr:uid="{8FA67FC5-882C-45C6-AB3E-3E46AE2FC6BA}">
      <text>
        <r>
          <rPr>
            <sz val="10"/>
            <color indexed="81"/>
            <rFont val="Lucida Console"/>
            <family val="3"/>
          </rPr>
          <t>Última movimentação no estoque em 07/2023 quantidade 60.</t>
        </r>
      </text>
    </comment>
    <comment ref="R578" authorId="0" shapeId="0" xr:uid="{3DDE30BE-7EB0-457D-BAB8-A28F10C75221}">
      <text>
        <r>
          <rPr>
            <sz val="10"/>
            <color indexed="81"/>
            <rFont val="Lucida Console"/>
            <family val="3"/>
          </rPr>
          <t>20.04.2004</t>
        </r>
      </text>
    </comment>
    <comment ref="Y578" authorId="0" shapeId="0" xr:uid="{8CB49E16-3791-4B33-B7B8-40365BC3B5B3}">
      <text>
        <r>
          <rPr>
            <sz val="10"/>
            <color indexed="81"/>
            <rFont val="Courier New"/>
            <family val="3"/>
          </rPr>
          <t>_x000D_
    DESCRIÇÃO DO CÁLCULO_x000D_
Código    : 78.416_x000D_
Corte     : 182_x000D_
-----------------------------_x000D_
Pendente  : _x000D_
22 / 08_2 : 4_x000D_
22 / 09_2 : _x000D_
22 / 10_2 : _x000D_
22 / 11_2 : _x000D_
22 / 12_2 : _x000D_
23 / 01_2 : _x000D_
23 / 02_2 : 45_x000D_
23 / 03_2 : _x000D_
23 / 04_2 : _x000D_
23 / 05_2 : 182 (corte = 270)_x000D_
23 / 06_2 : _x000D_
23 / 07_2 : _x000D_
_x000D_
    TOTAL : ( 231 )_x000D_
  DIVISOR : 12_x000D_
    MÉDIA : 19,25_x000D_
-----------------------------_x000D_
   Valores Desconsiderados_x000D_
-----------------------------_x000D_
23 / 05_2 : 88 (270)_x000D_
_x000D_
  TOTAL   : ( 88 )</t>
        </r>
      </text>
    </comment>
    <comment ref="AB578" authorId="0" shapeId="0" xr:uid="{5DACAACB-ED69-4E5E-B7BD-8E4BA4B92AFE}">
      <text>
        <r>
          <rPr>
            <sz val="10"/>
            <color indexed="81"/>
            <rFont val="Lucida Console"/>
            <family val="3"/>
          </rPr>
          <t>Última movimentação no estoque em 05/2023 quantidade 270.</t>
        </r>
      </text>
    </comment>
    <comment ref="R579" authorId="0" shapeId="0" xr:uid="{64A722B8-B742-4749-A17A-2FA66D50B46F}">
      <text>
        <r>
          <rPr>
            <sz val="10"/>
            <color indexed="81"/>
            <rFont val="Lucida Console"/>
            <family val="3"/>
          </rPr>
          <t>01.01.1901</t>
        </r>
      </text>
    </comment>
    <comment ref="Y579" authorId="0" shapeId="0" xr:uid="{C8DE5A76-81A6-4ED4-A3F4-3F987AA06A7E}">
      <text>
        <r>
          <rPr>
            <sz val="10"/>
            <color indexed="81"/>
            <rFont val="Courier New"/>
            <family val="3"/>
          </rPr>
          <t>_x000D_
    DESCRIÇÃO DO CÁLCULO_x000D_
Código    : 13.221_x000D_
Corte     : 961_x000D_
-----------------------------_x000D_
Pendente  : _x000D_
22 / 08_2 : _x000D_
22 / 09_2 : 20_x000D_
22 / 10_2 : 140_x000D_
22 / 11_2 : 390_x000D_
22 / 12_2 : 25_x000D_
23 / 01_2 : 125_x000D_
23 / 02_2 : 160_x000D_
23 / 03_2 : 614_x000D_
23 / 04_2 : 180_x000D_
23 / 05_2 : 250_x000D_
23 / 06_2 : 150_x000D_
23 / 07_2 : 961 (corte = 1220)_x000D_
_x000D_
    TOTAL : ( 3.015 )_x000D_
  DIVISOR : 12_x000D_
    MÉDIA : 251,25_x000D_
-----------------------------_x000D_
   Valores Desconsiderados_x000D_
-----------------------------_x000D_
23 / 07_2 : 259 (1.220)_x000D_
_x000D_
  TOTAL   : ( 259 )</t>
        </r>
      </text>
    </comment>
    <comment ref="AB579" authorId="0" shapeId="0" xr:uid="{1B0C55A7-E38F-4DA1-A21A-19C8400CA0DB}">
      <text>
        <r>
          <rPr>
            <sz val="10"/>
            <color indexed="81"/>
            <rFont val="Lucida Console"/>
            <family val="3"/>
          </rPr>
          <t>Última movimentação no estoque em 07/2023 quantidade 1.220.</t>
        </r>
      </text>
    </comment>
    <comment ref="R580" authorId="0" shapeId="0" xr:uid="{B381E0B1-1AAC-4109-B737-8BF92E00262F}">
      <text>
        <r>
          <rPr>
            <sz val="10"/>
            <color indexed="81"/>
            <rFont val="Lucida Console"/>
            <family val="3"/>
          </rPr>
          <t>01.01.1901</t>
        </r>
      </text>
    </comment>
    <comment ref="Y580" authorId="0" shapeId="0" xr:uid="{F7196160-1DDF-431B-A6B7-E575FA9A1F4A}">
      <text>
        <r>
          <rPr>
            <sz val="10"/>
            <color indexed="81"/>
            <rFont val="Courier New"/>
            <family val="3"/>
          </rPr>
          <t>_x000D_
    DESCRIÇÃO DO CÁLCULO_x000D_
Código    : 13.222_x000D_
Corte     : 37_x000D_
-----------------------------_x000D_
Pendente  : _x000D_
22 / 08_2 : _x000D_
22 / 09_2 : _x000D_
22 / 10_2 : 20_x000D_
22 / 11_2 : _x000D_
22 / 12_2 : 37 (corte = 50)_x000D_
23 / 01_2 : _x000D_
23 / 02_2 : _x000D_
23 / 03_2 : 10_x000D_
23 / 04_2 : 15_x000D_
23 / 05_2 : _x000D_
23 / 06_2 : _x000D_
23 / 07_2 : _x000D_
_x000D_
    TOTAL : ( 82 )_x000D_
  DIVISOR : 12_x000D_
    MÉDIA : 6,83_x000D_
-----------------------------_x000D_
   Valores Desconsiderados_x000D_
-----------------------------_x000D_
22 / 12_2 : 13 (50)_x000D_
_x000D_
  TOTAL   : ( 13 )</t>
        </r>
      </text>
    </comment>
    <comment ref="AB580" authorId="0" shapeId="0" xr:uid="{CB62FA6C-5969-4C5E-B7D2-CFD204B504F9}">
      <text>
        <r>
          <rPr>
            <sz val="10"/>
            <color indexed="81"/>
            <rFont val="Lucida Console"/>
            <family val="3"/>
          </rPr>
          <t>Última movimentação no estoque em 04/2023 quantidade 15.</t>
        </r>
      </text>
    </comment>
    <comment ref="R581" authorId="0" shapeId="0" xr:uid="{D444ACAC-70FA-4891-A48F-5D03D09AA060}">
      <text>
        <r>
          <rPr>
            <sz val="10"/>
            <color indexed="81"/>
            <rFont val="Lucida Console"/>
            <family val="3"/>
          </rPr>
          <t>20.04.2004</t>
        </r>
      </text>
    </comment>
    <comment ref="Y581" authorId="0" shapeId="0" xr:uid="{E2D389B9-3258-4982-A231-537577DB5443}">
      <text>
        <r>
          <rPr>
            <sz val="10"/>
            <color indexed="81"/>
            <rFont val="Courier New"/>
            <family val="3"/>
          </rPr>
          <t>_x000D_
    DESCRIÇÃO DO CÁLCULO_x000D_
Código    : 78.418_x000D_
Corte     : 75_x000D_
-----------------------------_x000D_
Pendente  : _x000D_
22 / 08_2 : 75 (corte = 100)_x000D_
22 / 09_2 : _x000D_
22 / 10_2 : _x000D_
22 / 11_2 : 10_x000D_
22 / 12_2 : _x000D_
23 / 01_2 : _x000D_
23 / 02_2 : _x000D_
23 / 03_2 : 50_x000D_
23 / 04_2 : _x000D_
23 / 05_2 : _x000D_
23 / 06_2 : _x000D_
23 / 07_2 : _x000D_
_x000D_
    TOTAL : ( 135 )_x000D_
  DIVISOR : 12_x000D_
    MÉDIA : 11,25_x000D_
-----------------------------_x000D_
   Valores Desconsiderados_x000D_
-----------------------------_x000D_
22 / 08_2 : 25 (100)_x000D_
_x000D_
  TOTAL   : ( 25 )</t>
        </r>
      </text>
    </comment>
    <comment ref="AB581" authorId="0" shapeId="0" xr:uid="{A6A3B514-1DBF-41A9-B491-9E1198CE6D4B}">
      <text>
        <r>
          <rPr>
            <sz val="10"/>
            <color indexed="81"/>
            <rFont val="Lucida Console"/>
            <family val="3"/>
          </rPr>
          <t>Última movimentação no estoque em 03/2023 quantidade 50.</t>
        </r>
      </text>
    </comment>
    <comment ref="R582" authorId="0" shapeId="0" xr:uid="{AF9D07FF-D2FD-48EA-9630-17D7446C36B5}">
      <text>
        <r>
          <rPr>
            <sz val="10"/>
            <color indexed="81"/>
            <rFont val="Lucida Console"/>
            <family val="3"/>
          </rPr>
          <t>04.02.2013</t>
        </r>
      </text>
    </comment>
    <comment ref="Y582" authorId="0" shapeId="0" xr:uid="{BDAA7381-C6EE-4F8A-9176-D9B2DD7EF150}">
      <text>
        <r>
          <rPr>
            <sz val="10"/>
            <color indexed="81"/>
            <rFont val="Courier New"/>
            <family val="3"/>
          </rPr>
          <t>_x000D_
    DESCRIÇÃO DO CÁLCULO_x000D_
Código    : 124.963_x000D_
Corte     : 91_x000D_
-----------------------------_x000D_
Pendente  : _x000D_
22 / 08_2 : 91 (corte = 126)_x000D_
22 / 09_2 : 23_x000D_
22 / 10_2 : 12_x000D_
22 / 11_2 : 6_x000D_
22 / 12_2 : 4_x000D_
23 / 01_2 : 23_x000D_
23 / 02_2 : 6_x000D_
23 / 03_2 : 6_x000D_
23 / 04_2 : 41_x000D_
23 / 05_2 : 1_x000D_
23 / 06_2 : _x000D_
23 / 07_2 : 10_x000D_
_x000D_
    TOTAL : ( 223 )_x000D_
  DIVISOR : 12_x000D_
    MÉDIA : 18,58_x000D_
-----------------------------_x000D_
   Valores Desconsiderados_x000D_
-----------------------------_x000D_
22 / 08_2 : 35 (126)_x000D_
_x000D_
  TOTAL   : ( 35 )</t>
        </r>
      </text>
    </comment>
    <comment ref="AB582" authorId="0" shapeId="0" xr:uid="{AEB2014D-DF57-4F16-A9F0-0ACA522BCBD3}">
      <text>
        <r>
          <rPr>
            <sz val="10"/>
            <color indexed="81"/>
            <rFont val="Lucida Console"/>
            <family val="3"/>
          </rPr>
          <t>Última movimentação no estoque em 07/2023 quantidade 10.</t>
        </r>
      </text>
    </comment>
    <comment ref="R583" authorId="0" shapeId="0" xr:uid="{B025DBE4-3F32-4AB8-BD8E-46E2332AFA55}">
      <text>
        <r>
          <rPr>
            <sz val="10"/>
            <color indexed="81"/>
            <rFont val="Lucida Console"/>
            <family val="3"/>
          </rPr>
          <t>26.01.2006</t>
        </r>
      </text>
    </comment>
    <comment ref="Y583" authorId="0" shapeId="0" xr:uid="{0FC8756A-9953-4587-8C8D-3A8E584410D9}">
      <text>
        <r>
          <rPr>
            <sz val="10"/>
            <color indexed="81"/>
            <rFont val="Courier New"/>
            <family val="3"/>
          </rPr>
          <t>_x000D_
    DESCRIÇÃO DO CÁLCULO_x000D_
Código    : 89.863_x000D_
Corte     : 35_x000D_
-----------------------------_x000D_
Pendente  : _x000D_
22 / 08_2 : 11_x000D_
22 / 09_2 : 8_x000D_
22 / 10_2 : 9_x000D_
22 / 11_2 : 6_x000D_
22 / 12_2 : 3_x000D_
23 / 01_2 : 15_x000D_
23 / 02_2 : 5_x000D_
23 / 03_2 : 8_x000D_
23 / 04_2 : 30_x000D_
23 / 05_2 : 20_x000D_
23 / 06_2 : 35 (corte = 40)_x000D_
23 / 07_2 : 10_x000D_
_x000D_
    TOTAL : ( 160 )_x000D_
  DIVISOR : 12_x000D_
    MÉDIA : 13,33_x000D_
-----------------------------_x000D_
   Valores Desconsiderados_x000D_
-----------------------------_x000D_
23 / 06_2 : 5 (40)_x000D_
_x000D_
  TOTAL   : ( 5 )</t>
        </r>
      </text>
    </comment>
    <comment ref="AB583" authorId="0" shapeId="0" xr:uid="{53396743-81A7-42E7-98A7-1C5E0C7806E5}">
      <text>
        <r>
          <rPr>
            <sz val="10"/>
            <color indexed="81"/>
            <rFont val="Lucida Console"/>
            <family val="3"/>
          </rPr>
          <t>Última movimentação no estoque em 07/2023 quantidade 10.</t>
        </r>
      </text>
    </comment>
    <comment ref="R584" authorId="0" shapeId="0" xr:uid="{CFC45518-D79D-4D44-878D-CC9E610872EA}">
      <text>
        <r>
          <rPr>
            <sz val="10"/>
            <color indexed="81"/>
            <rFont val="Lucida Console"/>
            <family val="3"/>
          </rPr>
          <t>26.01.2006</t>
        </r>
      </text>
    </comment>
    <comment ref="Y584" authorId="0" shapeId="0" xr:uid="{B02F3593-A1F2-44C3-8D4F-93A61D4E7860}">
      <text>
        <r>
          <rPr>
            <sz val="10"/>
            <color indexed="81"/>
            <rFont val="Courier New"/>
            <family val="3"/>
          </rPr>
          <t>_x000D_
    DESCRIÇÃO DO CÁLCULO_x000D_
Código    : 89.864_x000D_
Corte     : 24_x000D_
-----------------------------_x000D_
Pendente  : _x000D_
22 / 08_2 : _x000D_
22 / 09_2 : 1_x000D_
22 / 10_2 : _x000D_
22 / 11_2 : 2_x000D_
22 / 12_2 : 4_x000D_
23 / 01_2 : 1_x000D_
23 / 02_2 : _x000D_
23 / 03_2 : 2_x000D_
23 / 04_2 : 24 (corte = 36)_x000D_
23 / 05_2 : _x000D_
23 / 06_2 : _x000D_
23 / 07_2 : _x000D_
_x000D_
    TOTAL : ( 34 )_x000D_
  DIVISOR : 12_x000D_
    MÉDIA : 2,83_x000D_
-----------------------------_x000D_
   Valores Desconsiderados_x000D_
-----------------------------_x000D_
23 / 04_2 : 12 (36)_x000D_
_x000D_
  TOTAL   : ( 12 )</t>
        </r>
      </text>
    </comment>
    <comment ref="AB584" authorId="0" shapeId="0" xr:uid="{DC739BFB-DDBD-4C95-8811-6C4195EE63B1}">
      <text>
        <r>
          <rPr>
            <sz val="10"/>
            <color indexed="81"/>
            <rFont val="Lucida Console"/>
            <family val="3"/>
          </rPr>
          <t>Última movimentação no estoque em 04/2023 quantidade 36.</t>
        </r>
      </text>
    </comment>
    <comment ref="R585" authorId="0" shapeId="0" xr:uid="{43466C02-26DA-4845-AC94-2EB66FE8FE43}">
      <text>
        <r>
          <rPr>
            <sz val="10"/>
            <color indexed="81"/>
            <rFont val="Lucida Console"/>
            <family val="3"/>
          </rPr>
          <t>15.03.2013</t>
        </r>
      </text>
    </comment>
    <comment ref="Y585" authorId="0" shapeId="0" xr:uid="{63E2ECA9-5D6E-4F2E-AC77-73279FD6C694}">
      <text>
        <r>
          <rPr>
            <sz val="10"/>
            <color indexed="81"/>
            <rFont val="Courier New"/>
            <family val="3"/>
          </rPr>
          <t>_x000D_
    DESCRIÇÃO DO CÁLCULO_x000D_
Código    : 125.201_x000D_
Corte     : 34_x000D_
-----------------------------_x000D_
Pendente  : _x000D_
22 / 08_2 : 7_x000D_
22 / 09_2 : 7_x000D_
22 / 10_2 : 6_x000D_
22 / 11_2 : 3_x000D_
22 / 12_2 : 1_x000D_
23 / 01_2 : 7_x000D_
23 / 02_2 : 4_x000D_
23 / 03_2 : 24_x000D_
23 / 04_2 : 34 (corte = 44)_x000D_
23 / 05_2 : _x000D_
23 / 06_2 : _x000D_
23 / 07_2 : 11_x000D_
_x000D_
    TOTAL : ( 104 )_x000D_
  DIVISOR : 12_x000D_
    MÉDIA : 8,67_x000D_
-----------------------------_x000D_
   Valores Desconsiderados_x000D_
-----------------------------_x000D_
23 / 04_2 : 10 (44)_x000D_
_x000D_
  TOTAL   : ( 10 )</t>
        </r>
      </text>
    </comment>
    <comment ref="AB585" authorId="0" shapeId="0" xr:uid="{EA6C2A78-DC5A-4FC9-8D2F-A2A445D9144E}">
      <text>
        <r>
          <rPr>
            <sz val="10"/>
            <color indexed="81"/>
            <rFont val="Lucida Console"/>
            <family val="3"/>
          </rPr>
          <t>Última movimentação no estoque em 07/2023 quantidade 11.</t>
        </r>
      </text>
    </comment>
    <comment ref="R586" authorId="0" shapeId="0" xr:uid="{1F08EAE4-C53C-447C-91EF-BBFDD775E79D}">
      <text>
        <r>
          <rPr>
            <sz val="10"/>
            <color indexed="81"/>
            <rFont val="Lucida Console"/>
            <family val="3"/>
          </rPr>
          <t>01.01.1901</t>
        </r>
      </text>
    </comment>
    <comment ref="Y586" authorId="0" shapeId="0" xr:uid="{87E84ABE-8CF4-4B3F-BA34-471374D010C0}">
      <text>
        <r>
          <rPr>
            <sz val="10"/>
            <color indexed="81"/>
            <rFont val="Courier New"/>
            <family val="3"/>
          </rPr>
          <t>_x000D_
    DESCRIÇÃO DO CÁLCULO_x000D_
Código    : 13.655_x000D_
Corte     : 6.575_x000D_
-----------------------------_x000D_
Pendente  : 7_x000D_
22 / 08_2 : 823_x000D_
22 / 09_2 : 541_x000D_
22 / 10_2 : 463_x000D_
22 / 11_2 : 648_x000D_
22 / 12_2 : 1.114_x000D_
23 / 01_2 : 529_x000D_
23 / 02_2 : 775_x000D_
23 / 03_2 : 6.575 (corte = 9807)_x000D_
23 / 04_2 : 788_x000D_
23 / 05_2 : 682_x000D_
23 / 06_2 : 682_x000D_
23 / 07_2 : 837_x000D_
_x000D_
    TOTAL : ( 14.464 )_x000D_
  DIVISOR : 12_x000D_
    MÉDIA : 1.205,33_x000D_
-----------------------------_x000D_
   Valores Desconsiderados_x000D_
-----------------------------_x000D_
23 / 03_2 : 3.232 (9.807)_x000D_
_x000D_
  TOTAL   : ( 3.232 )</t>
        </r>
      </text>
    </comment>
    <comment ref="AB586" authorId="0" shapeId="0" xr:uid="{5A7798B4-FFA3-4D10-8548-3D8016A6B343}">
      <text>
        <r>
          <rPr>
            <sz val="10"/>
            <color indexed="81"/>
            <rFont val="Lucida Console"/>
            <family val="3"/>
          </rPr>
          <t>Última movimentação no estoque em 07/2023 quantidade 837.</t>
        </r>
      </text>
    </comment>
    <comment ref="R587" authorId="0" shapeId="0" xr:uid="{7837F15B-F240-4E9B-B511-A08D368DC476}">
      <text>
        <r>
          <rPr>
            <sz val="10"/>
            <color indexed="81"/>
            <rFont val="Lucida Console"/>
            <family val="3"/>
          </rPr>
          <t>08.08.2016</t>
        </r>
      </text>
    </comment>
    <comment ref="Y587" authorId="0" shapeId="0" xr:uid="{3D98D5C0-F9C9-4134-8F3E-C7C0AEB1FE00}">
      <text>
        <r>
          <rPr>
            <sz val="10"/>
            <color indexed="81"/>
            <rFont val="Courier New"/>
            <family val="3"/>
          </rPr>
          <t>_x000D_
    DESCRIÇÃO DO CÁLCULO_x000D_
Código    : 131.935_x000D_
Corte     : 4.192_x000D_
-----------------------------_x000D_
Pendente  : 113_x000D_
22 / 08_2 : _x000D_
22 / 09_2 : 69_x000D_
22 / 10_2 : 77_x000D_
22 / 11_2 : _x000D_
22 / 12_2 : _x000D_
23 / 01_2 : 124_x000D_
23 / 02_2 : 331_x000D_
23 / 03_2 : 4.192 (corte = 6500)_x000D_
23 / 04_2 : 91_x000D_
23 / 05_2 : 109_x000D_
23 / 06_2 : 102_x000D_
23 / 07_2 : 101_x000D_
_x000D_
    TOTAL : ( 5.309 )_x000D_
  DIVISOR : 12_x000D_
    MÉDIA : 442,42_x000D_
-----------------------------_x000D_
   Valores Desconsiderados_x000D_
-----------------------------_x000D_
23 / 03_2 : 2.308 (6.500)_x000D_
_x000D_
  TOTAL   : ( 2.308 )</t>
        </r>
      </text>
    </comment>
    <comment ref="AB587" authorId="0" shapeId="0" xr:uid="{E61ADB51-A73E-40FF-81EF-158A492D1FA8}">
      <text>
        <r>
          <rPr>
            <sz val="10"/>
            <color indexed="81"/>
            <rFont val="Lucida Console"/>
            <family val="3"/>
          </rPr>
          <t>Última movimentação no estoque em 07/2023 quantidade 101.</t>
        </r>
      </text>
    </comment>
    <comment ref="R588" authorId="0" shapeId="0" xr:uid="{EC05F65E-1096-44F1-B980-2F5B62560661}">
      <text>
        <r>
          <rPr>
            <sz val="10"/>
            <color indexed="81"/>
            <rFont val="Lucida Console"/>
            <family val="3"/>
          </rPr>
          <t>01.01.1901</t>
        </r>
      </text>
    </comment>
    <comment ref="Y588" authorId="0" shapeId="0" xr:uid="{07F9A90C-9C28-4084-9FB7-1685F78061F9}">
      <text>
        <r>
          <rPr>
            <sz val="10"/>
            <color indexed="81"/>
            <rFont val="Courier New"/>
            <family val="3"/>
          </rPr>
          <t>_x000D_
    DESCRIÇÃO DO CÁLCULO_x000D_
Código    : 48.901_x000D_
Corte     : 15_x000D_
-----------------------------_x000D_
Pendente  : 2_x000D_
22 / 08_2 : 13_x000D_
22 / 09_2 : 2_x000D_
22 / 10_2 : 4_x000D_
22 / 11_2 : 2_x000D_
22 / 12_2 : _x000D_
23 / 01_2 : 4_x000D_
23 / 02_2 : 15 (corte = 16)_x000D_
23 / 03_2 : 4_x000D_
23 / 04_2 : 2_x000D_
23 / 05_2 : 1_x000D_
23 / 06_2 : 12_x000D_
23 / 07_2 : 2_x000D_
_x000D_
    TOTAL : ( 63 )_x000D_
  DIVISOR : 12_x000D_
    MÉDIA : 5,25_x000D_
-----------------------------_x000D_
   Valores Desconsiderados_x000D_
-----------------------------_x000D_
23 / 02_2 : 1 (16)_x000D_
_x000D_
  TOTAL   : ( 1 )</t>
        </r>
      </text>
    </comment>
    <comment ref="AB588" authorId="0" shapeId="0" xr:uid="{5C2C52E3-942D-406F-8CD5-28D6960D3F6C}">
      <text>
        <r>
          <rPr>
            <sz val="10"/>
            <color indexed="81"/>
            <rFont val="Lucida Console"/>
            <family val="3"/>
          </rPr>
          <t>Última movimentação no estoque em 07/2023 quantidade 2.</t>
        </r>
      </text>
    </comment>
    <comment ref="R589" authorId="0" shapeId="0" xr:uid="{B08FFD3F-9F25-408F-86D5-07B8DEC25685}">
      <text>
        <r>
          <rPr>
            <sz val="10"/>
            <color indexed="81"/>
            <rFont val="Lucida Console"/>
            <family val="3"/>
          </rPr>
          <t>02.04.2004</t>
        </r>
      </text>
    </comment>
    <comment ref="Y589" authorId="0" shapeId="0" xr:uid="{7254685E-A626-4493-85C2-1AF1917CDD26}">
      <text>
        <r>
          <rPr>
            <sz val="10"/>
            <color indexed="81"/>
            <rFont val="Courier New"/>
            <family val="3"/>
          </rPr>
          <t>_x000D_
    DESCRIÇÃO DO CÁLCULO_x000D_
Código    : 78.181_x000D_
Corte     : 48_x000D_
-----------------------------_x000D_
Pendente  : 65_x000D_
22 / 08_2 : 19_x000D_
22 / 09_2 : 20_x000D_
22 / 10_2 : 19_x000D_
22 / 11_2 : 10_x000D_
22 / 12_2 : 6_x000D_
23 / 01_2 : _x000D_
23 / 02_2 : _x000D_
23 / 03_2 : _x000D_
23 / 04_2 : _x000D_
23 / 05_2 : _x000D_
23 / 06_2 : _x000D_
23 / 07_2 : _x000D_
_x000D_
    TOTAL : ( 139 )_x000D_
  DIVISOR : 12_x000D_
    MÉDIA : 11,58</t>
        </r>
      </text>
    </comment>
    <comment ref="AB589" authorId="0" shapeId="0" xr:uid="{E1944974-2233-4930-AA06-4F96723E6D5D}">
      <text>
        <r>
          <rPr>
            <sz val="10"/>
            <color indexed="81"/>
            <rFont val="Lucida Console"/>
            <family val="3"/>
          </rPr>
          <t>Última movimentação no estoque em 12/2022 quantidade 6.</t>
        </r>
      </text>
    </comment>
    <comment ref="R590" authorId="0" shapeId="0" xr:uid="{AF2285B4-3FC7-4470-9BBF-D525994EC165}">
      <text>
        <r>
          <rPr>
            <sz val="10"/>
            <color indexed="81"/>
            <rFont val="Lucida Console"/>
            <family val="3"/>
          </rPr>
          <t>12.09.2019</t>
        </r>
      </text>
    </comment>
    <comment ref="Y590" authorId="0" shapeId="0" xr:uid="{3EA6E1D4-3249-497B-8D43-D149DF3C5FE6}">
      <text>
        <r>
          <rPr>
            <sz val="10"/>
            <color indexed="81"/>
            <rFont val="Courier New"/>
            <family val="3"/>
          </rPr>
          <t>_x000D_
    DESCRIÇÃO DO CÁLCULO_x000D_
Código    : 138.465_x000D_
Corte     : 772_x000D_
-----------------------------_x000D_
Pendente  : 253_x000D_
22 / 08_2 : 362_x000D_
22 / 09_2 : 407_x000D_
22 / 10_2 : 366_x000D_
22 / 11_2 : 657_x000D_
22 / 12_2 : 208_x000D_
23 / 01_2 : 42_x000D_
23 / 02_2 : _x000D_
23 / 03_2 : 649_x000D_
23 / 04_2 : 424_x000D_
23 / 05_2 : 529_x000D_
23 / 06_2 : 303_x000D_
23 / 07_2 : 276_x000D_
_x000D_
    TOTAL : ( 4.476 )_x000D_
  DIVISOR : 12_x000D_
    MÉDIA : 373,00</t>
        </r>
      </text>
    </comment>
    <comment ref="AB590" authorId="0" shapeId="0" xr:uid="{675B3F8D-D7C3-439B-B647-1429F10D7CF1}">
      <text>
        <r>
          <rPr>
            <sz val="10"/>
            <color indexed="81"/>
            <rFont val="Lucida Console"/>
            <family val="3"/>
          </rPr>
          <t>Última movimentação no estoque em 07/2023 quantidade 276.</t>
        </r>
      </text>
    </comment>
    <comment ref="R591" authorId="0" shapeId="0" xr:uid="{153CC5A0-1B57-4198-959A-81441F351F05}">
      <text>
        <r>
          <rPr>
            <sz val="10"/>
            <color indexed="81"/>
            <rFont val="Lucida Console"/>
            <family val="3"/>
          </rPr>
          <t>08.07.2020</t>
        </r>
      </text>
    </comment>
    <comment ref="Y591" authorId="0" shapeId="0" xr:uid="{19C05160-C1F3-4EA6-B8F3-57F8E5AA5503}">
      <text>
        <r>
          <rPr>
            <sz val="10"/>
            <color indexed="81"/>
            <rFont val="Courier New"/>
            <family val="3"/>
          </rPr>
          <t>_x000D_
    DESCRIÇÃO DO CÁLCULO_x000D_
Código    : 139.767_x000D_
Corte     : 353_x000D_
-----------------------------_x000D_
Pendente  : 8_x000D_
22 / 08_2 : 298_x000D_
22 / 09_2 : 149_x000D_
22 / 10_2 : 223_x000D_
22 / 11_2 : 192_x000D_
22 / 12_2 : 145_x000D_
23 / 01_2 : 217_x000D_
23 / 02_2 : 154_x000D_
23 / 03_2 : 295_x000D_
23 / 04_2 : 161_x000D_
23 / 05_2 : 242_x000D_
23 / 06_2 : 200_x000D_
23 / 07_2 : 134_x000D_
_x000D_
    TOTAL : ( 2.418 )_x000D_
  DIVISOR : 12_x000D_
    MÉDIA : 201,50</t>
        </r>
      </text>
    </comment>
    <comment ref="AB591" authorId="0" shapeId="0" xr:uid="{1542A14A-B081-481A-87D0-48E3D201E0B3}">
      <text>
        <r>
          <rPr>
            <sz val="10"/>
            <color indexed="81"/>
            <rFont val="Lucida Console"/>
            <family val="3"/>
          </rPr>
          <t>Última movimentação no estoque em 07/2023 quantidade 134.</t>
        </r>
      </text>
    </comment>
    <comment ref="R592" authorId="0" shapeId="0" xr:uid="{A56B264E-A213-48C6-BAA7-5D5B36A4049D}">
      <text>
        <r>
          <rPr>
            <sz val="10"/>
            <color indexed="81"/>
            <rFont val="Lucida Console"/>
            <family val="3"/>
          </rPr>
          <t>13.03.2018</t>
        </r>
      </text>
    </comment>
    <comment ref="Y592" authorId="0" shapeId="0" xr:uid="{2896E46F-E935-45F6-87F2-336FE2129508}">
      <text>
        <r>
          <rPr>
            <sz val="10"/>
            <color indexed="81"/>
            <rFont val="Courier New"/>
            <family val="3"/>
          </rPr>
          <t>_x000D_
    DESCRIÇÃO DO CÁLCULO_x000D_
Código    : 134.545_x000D_
Corte     : 20_x000D_
-----------------------------_x000D_
Pendente  : _x000D_
22 / 08_2 : _x000D_
22 / 09_2 : _x000D_
22 / 10_2 : _x000D_
22 / 11_2 : 20 (corte = 22)_x000D_
22 / 12_2 : _x000D_
23 / 01_2 : _x000D_
23 / 02_2 : _x000D_
23 / 03_2 : _x000D_
23 / 04_2 : _x000D_
23 / 05_2 : _x000D_
23 / 06_2 : _x000D_
23 / 07_2 : 20 (corte = 21)_x000D_
_x000D_
    TOTAL : ( 40 )_x000D_
  DIVISOR : 12_x000D_
    MÉDIA : 3,33_x000D_
-----------------------------_x000D_
   Valores Desconsiderados_x000D_
-----------------------------_x000D_
22 / 11_2 : 2 (22)_x000D_
23 / 07_2 : 1 (21)_x000D_
_x000D_
  TOTAL   : ( 3 )</t>
        </r>
      </text>
    </comment>
    <comment ref="AB592" authorId="0" shapeId="0" xr:uid="{33BEC311-4507-4C04-A823-635A62E8F37C}">
      <text>
        <r>
          <rPr>
            <sz val="10"/>
            <color indexed="81"/>
            <rFont val="Lucida Console"/>
            <family val="3"/>
          </rPr>
          <t>Última movimentação no estoque em 07/2023 quantidade 21.</t>
        </r>
      </text>
    </comment>
    <comment ref="R593" authorId="0" shapeId="0" xr:uid="{02C6870D-0A29-4E2F-907C-6B3D630D2D3A}">
      <text>
        <r>
          <rPr>
            <sz val="10"/>
            <color indexed="81"/>
            <rFont val="Lucida Console"/>
            <family val="3"/>
          </rPr>
          <t>13.03.2018</t>
        </r>
      </text>
    </comment>
    <comment ref="Y593" authorId="0" shapeId="0" xr:uid="{B67306E6-409F-4507-B092-47BEE1978E74}">
      <text>
        <r>
          <rPr>
            <sz val="10"/>
            <color indexed="81"/>
            <rFont val="Courier New"/>
            <family val="3"/>
          </rPr>
          <t>_x000D_
    DESCRIÇÃO DO CÁLCULO_x000D_
Código    : 134.546_x000D_
Corte     : 174_x000D_
-----------------------------_x000D_
Pendente  : _x000D_
22 / 08_2 : 50_x000D_
22 / 09_2 : 4_x000D_
22 / 10_2 : 2_x000D_
22 / 11_2 : 4_x000D_
22 / 12_2 : 174 (corte = 211)_x000D_
23 / 01_2 : 146_x000D_
23 / 02_2 : 12_x000D_
23 / 03_2 : _x000D_
23 / 04_2 : _x000D_
23 / 05_2 : _x000D_
23 / 06_2 : _x000D_
23 / 07_2 : 12_x000D_
_x000D_
    TOTAL : ( 404 )_x000D_
  DIVISOR : 12_x000D_
    MÉDIA : 33,67_x000D_
-----------------------------_x000D_
   Valores Desconsiderados_x000D_
-----------------------------_x000D_
22 / 12_2 : 37 (211)_x000D_
_x000D_
  TOTAL   : ( 37 )</t>
        </r>
      </text>
    </comment>
    <comment ref="AB593" authorId="0" shapeId="0" xr:uid="{FC2068E3-E921-4750-8CDB-E2497A4D36F7}">
      <text>
        <r>
          <rPr>
            <sz val="10"/>
            <color indexed="81"/>
            <rFont val="Lucida Console"/>
            <family val="3"/>
          </rPr>
          <t>Última movimentação no estoque em 07/2023 quantidade 12.</t>
        </r>
      </text>
    </comment>
    <comment ref="R594" authorId="0" shapeId="0" xr:uid="{28100337-1148-44E8-99A7-D70BE271F2AF}">
      <text>
        <r>
          <rPr>
            <sz val="10"/>
            <color indexed="81"/>
            <rFont val="Lucida Console"/>
            <family val="3"/>
          </rPr>
          <t>13.03.2018</t>
        </r>
      </text>
    </comment>
    <comment ref="Y594" authorId="0" shapeId="0" xr:uid="{16B610F1-DC74-4DE9-B132-C104D2B26AA9}">
      <text>
        <r>
          <rPr>
            <sz val="10"/>
            <color indexed="81"/>
            <rFont val="Courier New"/>
            <family val="3"/>
          </rPr>
          <t>_x000D_
    DESCRIÇÃO DO CÁLCULO_x000D_
Código    : 134.547_x000D_
Corte     : 138_x000D_
-----------------------------_x000D_
Pendente  : _x000D_
22 / 08_2 : 20_x000D_
22 / 09_2 : 138 (corte = 144)_x000D_
22 / 10_2 : 73_x000D_
22 / 11_2 : 6_x000D_
22 / 12_2 : 124_x000D_
23 / 01_2 : 14_x000D_
23 / 02_2 : 20_x000D_
23 / 03_2 : 2_x000D_
23 / 04_2 : 1_x000D_
23 / 05_2 : _x000D_
23 / 06_2 : 13_x000D_
23 / 07_2 : 52_x000D_
_x000D_
    TOTAL : ( 463 )_x000D_
  DIVISOR : 12_x000D_
    MÉDIA : 38,58_x000D_
-----------------------------_x000D_
   Valores Desconsiderados_x000D_
-----------------------------_x000D_
22 / 09_2 : 6 (144)_x000D_
_x000D_
  TOTAL   : ( 6 )</t>
        </r>
      </text>
    </comment>
    <comment ref="AB594" authorId="0" shapeId="0" xr:uid="{40E0553B-3D6A-4EB3-A18D-A11F9591287B}">
      <text>
        <r>
          <rPr>
            <sz val="10"/>
            <color indexed="81"/>
            <rFont val="Lucida Console"/>
            <family val="3"/>
          </rPr>
          <t>Última movimentação no estoque em 07/2023 quantidade 52.</t>
        </r>
      </text>
    </comment>
    <comment ref="R595" authorId="0" shapeId="0" xr:uid="{4A37CED5-E819-4D41-9572-21A7908AE5DB}">
      <text>
        <r>
          <rPr>
            <sz val="10"/>
            <color indexed="81"/>
            <rFont val="Lucida Console"/>
            <family val="3"/>
          </rPr>
          <t>13.03.2018</t>
        </r>
      </text>
    </comment>
    <comment ref="Y595" authorId="0" shapeId="0" xr:uid="{33D17DDE-2661-4FC2-877A-CFB51E961429}">
      <text>
        <r>
          <rPr>
            <sz val="10"/>
            <color indexed="81"/>
            <rFont val="Courier New"/>
            <family val="3"/>
          </rPr>
          <t>_x000D_
    DESCRIÇÃO DO CÁLCULO_x000D_
Código    : 134.548_x000D_
Corte     : 439_x000D_
-----------------------------_x000D_
Pendente  : _x000D_
22 / 08_2 : 27_x000D_
22 / 09_2 : 86_x000D_
22 / 10_2 : 97_x000D_
22 / 11_2 : 18_x000D_
22 / 12_2 : 290_x000D_
23 / 01_2 : 439 (corte = 576)_x000D_
23 / 02_2 : 3_x000D_
23 / 03_2 : 10_x000D_
23 / 04_2 : 1_x000D_
23 / 05_2 : _x000D_
23 / 06_2 : 5_x000D_
23 / 07_2 : 22_x000D_
_x000D_
    TOTAL : ( 998 )_x000D_
  DIVISOR : 12_x000D_
    MÉDIA : 83,13_x000D_
-----------------------------_x000D_
   Valores Desconsiderados_x000D_
-----------------------------_x000D_
23 / 01_2 : 137 (576)_x000D_
_x000D_
  TOTAL   : ( 137 )</t>
        </r>
      </text>
    </comment>
    <comment ref="AB595" authorId="0" shapeId="0" xr:uid="{2913AA97-5DA4-4850-A562-1E038BA05054}">
      <text>
        <r>
          <rPr>
            <sz val="10"/>
            <color indexed="81"/>
            <rFont val="Lucida Console"/>
            <family val="3"/>
          </rPr>
          <t>Última movimentação no estoque em 07/2023 quantidade 22.</t>
        </r>
      </text>
    </comment>
    <comment ref="R596" authorId="0" shapeId="0" xr:uid="{C4376EBD-D159-4179-A42F-4078DEA28579}">
      <text>
        <r>
          <rPr>
            <sz val="10"/>
            <color indexed="81"/>
            <rFont val="Lucida Console"/>
            <family val="3"/>
          </rPr>
          <t>13.03.2018</t>
        </r>
      </text>
    </comment>
    <comment ref="Y596" authorId="0" shapeId="0" xr:uid="{F2A92A4F-6F10-457F-897F-1163206A710D}">
      <text>
        <r>
          <rPr>
            <sz val="10"/>
            <color indexed="81"/>
            <rFont val="Courier New"/>
            <family val="3"/>
          </rPr>
          <t>_x000D_
    DESCRIÇÃO DO CÁLCULO_x000D_
Código    : 134.549_x000D_
Corte     : 18_x000D_
-----------------------------_x000D_
Pendente  : _x000D_
22 / 08_2 : 14_x000D_
22 / 09_2 : 13_x000D_
22 / 10_2 : 3_x000D_
22 / 11_2 : _x000D_
22 / 12_2 : _x000D_
23 / 01_2 : 6_x000D_
23 / 02_2 : _x000D_
23 / 03_2 : _x000D_
23 / 04_2 : _x000D_
23 / 05_2 : _x000D_
23 / 06_2 : 3_x000D_
23 / 07_2 : 18 (corte = 20)_x000D_
_x000D_
    TOTAL : ( 57 )_x000D_
  DIVISOR : 12_x000D_
    MÉDIA : 4,75_x000D_
-----------------------------_x000D_
   Valores Desconsiderados_x000D_
-----------------------------_x000D_
23 / 07_2 : 2 (20)_x000D_
_x000D_
  TOTAL   : ( 2 )</t>
        </r>
      </text>
    </comment>
    <comment ref="AB596" authorId="0" shapeId="0" xr:uid="{6EA37347-D41A-49AA-A2D5-940489903C32}">
      <text>
        <r>
          <rPr>
            <sz val="10"/>
            <color indexed="81"/>
            <rFont val="Lucida Console"/>
            <family val="3"/>
          </rPr>
          <t>Última movimentação no estoque em 07/2023 quantidade 20.</t>
        </r>
      </text>
    </comment>
    <comment ref="R597" authorId="0" shapeId="0" xr:uid="{B4551DAF-2C73-4E72-9AE6-FB580A8B4DA7}">
      <text>
        <r>
          <rPr>
            <sz val="10"/>
            <color indexed="81"/>
            <rFont val="Lucida Console"/>
            <family val="3"/>
          </rPr>
          <t>16.08.2005</t>
        </r>
      </text>
    </comment>
    <comment ref="Y597" authorId="0" shapeId="0" xr:uid="{EBDBE701-EB5E-4C94-90D5-C8A8B4DFF4AD}">
      <text>
        <r>
          <rPr>
            <sz val="10"/>
            <color indexed="81"/>
            <rFont val="Courier New"/>
            <family val="3"/>
          </rPr>
          <t>_x000D_
    DESCRIÇÃO DO CÁLCULO_x000D_
Código    : 87.157_x000D_
Corte     : 10_x000D_
-----------------------------_x000D_
Pendente  : _x000D_
22 / 08_2 : _x000D_
22 / 09_2 : _x000D_
22 / 10_2 : _x000D_
22 / 11_2 : _x000D_
22 / 12_2 : _x000D_
23 / 01_2 : 6_x000D_
23 / 02_2 : 8_x000D_
23 / 03_2 : _x000D_
23 / 04_2 : _x000D_
23 / 05_2 : _x000D_
23 / 06_2 : _x000D_
23 / 07_2 : 10 (corte = 12)_x000D_
_x000D_
    TOTAL : ( 24 )_x000D_
  DIVISOR : 12_x000D_
    MÉDIA : 2,00_x000D_
-----------------------------_x000D_
   Valores Desconsiderados_x000D_
-----------------------------_x000D_
23 / 07_2 : 2 (12)_x000D_
_x000D_
  TOTAL   : ( 2 )</t>
        </r>
      </text>
    </comment>
    <comment ref="AB597" authorId="0" shapeId="0" xr:uid="{59D63E28-6C7F-4CC5-BF8F-8F63DC437875}">
      <text>
        <r>
          <rPr>
            <sz val="10"/>
            <color indexed="81"/>
            <rFont val="Lucida Console"/>
            <family val="3"/>
          </rPr>
          <t>Última movimentação no estoque em 07/2023 quantidade 12.</t>
        </r>
      </text>
    </comment>
    <comment ref="R598" authorId="0" shapeId="0" xr:uid="{B2FB2BE5-B7F7-4278-86C1-2E43E80515F5}">
      <text>
        <r>
          <rPr>
            <sz val="10"/>
            <color indexed="81"/>
            <rFont val="Lucida Console"/>
            <family val="3"/>
          </rPr>
          <t>18.11.2013</t>
        </r>
      </text>
    </comment>
    <comment ref="Y598" authorId="0" shapeId="0" xr:uid="{C4780A0F-BE1A-4CD0-A693-E813D412276B}">
      <text>
        <r>
          <rPr>
            <sz val="10"/>
            <color indexed="81"/>
            <rFont val="Courier New"/>
            <family val="3"/>
          </rPr>
          <t>_x000D_
    DESCRIÇÃO DO CÁLCULO_x000D_
Código    : 126.837_x000D_
Corte     : 379_x000D_
-----------------------------_x000D_
Pendente  : _x000D_
22 / 08_2 : 300_x000D_
22 / 09_2 : 200_x000D_
22 / 10_2 : 12_x000D_
22 / 11_2 : _x000D_
22 / 12_2 : _x000D_
23 / 01_2 : 200_x000D_
23 / 02_2 : _x000D_
23 / 03_2 : 50_x000D_
23 / 04_2 : 379 (corte = 400)_x000D_
23 / 05_2 : _x000D_
23 / 06_2 : _x000D_
23 / 07_2 : _x000D_
_x000D_
    TOTAL : ( 1.141 )_x000D_
  DIVISOR : 12_x000D_
    MÉDIA : 95,08_x000D_
-----------------------------_x000D_
   Valores Desconsiderados_x000D_
-----------------------------_x000D_
23 / 04_2 : 21 (400)_x000D_
_x000D_
  TOTAL   : ( 21 )</t>
        </r>
      </text>
    </comment>
    <comment ref="AB598" authorId="0" shapeId="0" xr:uid="{07944AEF-98DE-428B-A180-F49EA5E0F260}">
      <text>
        <r>
          <rPr>
            <sz val="10"/>
            <color indexed="81"/>
            <rFont val="Lucida Console"/>
            <family val="3"/>
          </rPr>
          <t>Última movimentação no estoque em 04/2023 quantidade 400.</t>
        </r>
      </text>
    </comment>
    <comment ref="R599" authorId="0" shapeId="0" xr:uid="{D3485AF8-FABD-49CC-9ECE-D2C6970297A9}">
      <text>
        <r>
          <rPr>
            <sz val="10"/>
            <color indexed="81"/>
            <rFont val="Lucida Console"/>
            <family val="3"/>
          </rPr>
          <t>07.02.2018</t>
        </r>
      </text>
    </comment>
    <comment ref="Y599" authorId="0" shapeId="0" xr:uid="{1A9D3D4C-1AF1-46E5-B132-53D787F7D4D3}">
      <text>
        <r>
          <rPr>
            <sz val="10"/>
            <color indexed="81"/>
            <rFont val="Courier New"/>
            <family val="3"/>
          </rPr>
          <t>_x000D_
    DESCRIÇÃO DO CÁLCULO_x000D_
Código    : 134.247_x000D_
Corte     : 83_x000D_
-----------------------------_x000D_
Pendente  : 36_x000D_
22 / 08_2 : 13_x000D_
22 / 09_2 : _x000D_
22 / 10_2 : 29_x000D_
22 / 11_2 : 18_x000D_
22 / 12_2 : 26_x000D_
23 / 01_2 : 9_x000D_
23 / 02_2 : 49_x000D_
23 / 03_2 : 53_x000D_
23 / 04_2 : 47_x000D_
23 / 05_2 : 83 (corte = 91)_x000D_
23 / 06_2 : 42_x000D_
23 / 07_2 : 21_x000D_
_x000D_
    TOTAL : ( 426 )_x000D_
  DIVISOR : 12_x000D_
    MÉDIA : 35,50_x000D_
-----------------------------_x000D_
   Valores Desconsiderados_x000D_
-----------------------------_x000D_
23 / 05_2 : 8 (91)_x000D_
_x000D_
  TOTAL   : ( 8 )</t>
        </r>
      </text>
    </comment>
    <comment ref="AB599" authorId="0" shapeId="0" xr:uid="{467C9712-1DA6-407F-A650-0AA0778DE835}">
      <text>
        <r>
          <rPr>
            <sz val="10"/>
            <color indexed="81"/>
            <rFont val="Lucida Console"/>
            <family val="3"/>
          </rPr>
          <t>Última movimentação no estoque em 07/2023 quantidade 21.</t>
        </r>
      </text>
    </comment>
    <comment ref="R600" authorId="0" shapeId="0" xr:uid="{24835C39-45BA-4012-BA37-C74F0E09FBD7}">
      <text>
        <r>
          <rPr>
            <sz val="10"/>
            <color indexed="81"/>
            <rFont val="Lucida Console"/>
            <family val="3"/>
          </rPr>
          <t>05.08.2010</t>
        </r>
      </text>
    </comment>
    <comment ref="Y600" authorId="0" shapeId="0" xr:uid="{055BEC0A-8AD5-4613-8228-34BB0718526C}">
      <text>
        <r>
          <rPr>
            <sz val="10"/>
            <color indexed="81"/>
            <rFont val="Courier New"/>
            <family val="3"/>
          </rPr>
          <t>_x000D_
    DESCRIÇÃO DO CÁLCULO_x000D_
Código    : 116.754_x000D_
Corte     : 53_x000D_
-----------------------------_x000D_
Pendente  : _x000D_
22 / 08_2 : _x000D_
22 / 09_2 : _x000D_
22 / 10_2 : _x000D_
22 / 11_2 : _x000D_
22 / 12_2 : 53 (corte = 81)_x000D_
23 / 01_2 : _x000D_
23 / 02_2 : _x000D_
23 / 03_2 : _x000D_
23 / 04_2 : _x000D_
23 / 05_2 : _x000D_
23 / 06_2 : _x000D_
23 / 07_2 : _x000D_
_x000D_
    TOTAL : ( 53 )_x000D_
  DIVISOR : 12_x000D_
    MÉDIA : 4,42_x000D_
-----------------------------_x000D_
   Valores Desconsiderados_x000D_
-----------------------------_x000D_
22 / 12_2 : 28 (81)_x000D_
_x000D_
  TOTAL   : ( 28 )</t>
        </r>
      </text>
    </comment>
    <comment ref="AB600" authorId="0" shapeId="0" xr:uid="{F931E2BF-AEE2-4DC9-9F9D-03E10F3377E2}">
      <text>
        <r>
          <rPr>
            <sz val="10"/>
            <color indexed="81"/>
            <rFont val="Lucida Console"/>
            <family val="3"/>
          </rPr>
          <t>Última movimentação no estoque em 12/2022 quantidade 81.</t>
        </r>
      </text>
    </comment>
    <comment ref="R601" authorId="0" shapeId="0" xr:uid="{E06207E2-0107-4578-98E3-CED5ED1236C4}">
      <text>
        <r>
          <rPr>
            <sz val="10"/>
            <color indexed="81"/>
            <rFont val="Lucida Console"/>
            <family val="3"/>
          </rPr>
          <t>11.04.2007</t>
        </r>
      </text>
    </comment>
    <comment ref="Y601" authorId="0" shapeId="0" xr:uid="{2B818B5A-97A9-45AD-8D2E-7B57E0944F6A}">
      <text>
        <r>
          <rPr>
            <sz val="10"/>
            <color indexed="81"/>
            <rFont val="Courier New"/>
            <family val="3"/>
          </rPr>
          <t>_x000D_
    DESCRIÇÃO DO CÁLCULO_x000D_
Código    : 98.703_x000D_
Corte     : 211_x000D_
-----------------------------_x000D_
Pendente  : _x000D_
22 / 08_2 : 92_x000D_
22 / 09_2 : 93_x000D_
22 / 10_2 : 16_x000D_
22 / 11_2 : 41_x000D_
22 / 12_2 : 46_x000D_
23 / 01_2 : 71_x000D_
23 / 02_2 : 5_x000D_
23 / 03_2 : 82_x000D_
23 / 04_2 : 65_x000D_
23 / 05_2 : 211 (corte = 267)_x000D_
23 / 06_2 : _x000D_
23 / 07_2 : 81_x000D_
_x000D_
    TOTAL : ( 803 )_x000D_
  DIVISOR : 12_x000D_
    MÉDIA : 66,92_x000D_
-----------------------------_x000D_
   Valores Desconsiderados_x000D_
-----------------------------_x000D_
23 / 05_2 : 56 (267)_x000D_
_x000D_
  TOTAL   : ( 56 )</t>
        </r>
      </text>
    </comment>
    <comment ref="AB601" authorId="0" shapeId="0" xr:uid="{AD17AA92-B246-4096-AD0B-35593722D93F}">
      <text>
        <r>
          <rPr>
            <sz val="10"/>
            <color indexed="81"/>
            <rFont val="Lucida Console"/>
            <family val="3"/>
          </rPr>
          <t>Última movimentação no estoque em 07/2023 quantidade 81.</t>
        </r>
      </text>
    </comment>
    <comment ref="R602" authorId="0" shapeId="0" xr:uid="{DB04E264-7192-4485-BBFF-15BA26502A20}">
      <text>
        <r>
          <rPr>
            <sz val="10"/>
            <color indexed="81"/>
            <rFont val="Lucida Console"/>
            <family val="3"/>
          </rPr>
          <t>24.05.2012</t>
        </r>
      </text>
    </comment>
    <comment ref="Y602" authorId="0" shapeId="0" xr:uid="{337CDB0D-41E0-4689-91F8-A9D96A5EF66D}">
      <text>
        <r>
          <rPr>
            <sz val="10"/>
            <color indexed="81"/>
            <rFont val="Courier New"/>
            <family val="3"/>
          </rPr>
          <t>_x000D_
    DESCRIÇÃO DO CÁLCULO_x000D_
Código    : 123.133_x000D_
Corte     : 5_x000D_
-----------------------------_x000D_
Pendente  : _x000D_
22 / 08_2 : _x000D_
22 / 09_2 : _x000D_
22 / 10_2 : _x000D_
22 / 11_2 : _x000D_
22 / 12_2 : _x000D_
23 / 01_2 : 5 (corte = 8)_x000D_
23 / 02_2 : _x000D_
23 / 03_2 : _x000D_
23 / 04_2 : _x000D_
23 / 05_2 : _x000D_
23 / 06_2 : _x000D_
23 / 07_2 : _x000D_
_x000D_
    TOTAL : ( 5 )_x000D_
  DIVISOR : 12_x000D_
    MÉDIA : ,42_x000D_
-----------------------------_x000D_
   Valores Desconsiderados_x000D_
-----------------------------_x000D_
23 / 01_2 : 3 (8)_x000D_
_x000D_
  TOTAL   : ( 3 )</t>
        </r>
      </text>
    </comment>
    <comment ref="AB602" authorId="0" shapeId="0" xr:uid="{EB494804-C09B-4D70-8D9E-D3CD5A6B9DA6}">
      <text>
        <r>
          <rPr>
            <sz val="10"/>
            <color indexed="81"/>
            <rFont val="Lucida Console"/>
            <family val="3"/>
          </rPr>
          <t>Última movimentação no estoque em 01/2023 quantidade 8.</t>
        </r>
      </text>
    </comment>
    <comment ref="R603" authorId="0" shapeId="0" xr:uid="{1431EE11-56F4-4DA6-9E93-8CC299C15A11}">
      <text>
        <r>
          <rPr>
            <sz val="10"/>
            <color indexed="81"/>
            <rFont val="Lucida Console"/>
            <family val="3"/>
          </rPr>
          <t>05.08.2010</t>
        </r>
      </text>
    </comment>
    <comment ref="Y603" authorId="0" shapeId="0" xr:uid="{365A88FE-A090-43F1-B9DD-270FF0D42225}">
      <text>
        <r>
          <rPr>
            <sz val="10"/>
            <color indexed="81"/>
            <rFont val="Courier New"/>
            <family val="3"/>
          </rPr>
          <t>_x000D_
    DESCRIÇÃO DO CÁLCULO_x000D_
Código    : 116.751_x000D_
Corte     : 12_x000D_
-----------------------------_x000D_
Pendente  : _x000D_
22 / 08_2 : _x000D_
22 / 09_2 : _x000D_
22 / 10_2 : _x000D_
22 / 11_2 : _x000D_
22 / 12_2 : 12 (corte = 19)_x000D_
23 / 01_2 : _x000D_
23 / 02_2 : _x000D_
23 / 03_2 : _x000D_
23 / 04_2 : _x000D_
23 / 05_2 : _x000D_
23 / 06_2 : _x000D_
23 / 07_2 : _x000D_
_x000D_
    TOTAL : ( 12 )_x000D_
  DIVISOR : 12_x000D_
    MÉDIA : 1,00_x000D_
-----------------------------_x000D_
   Valores Desconsiderados_x000D_
-----------------------------_x000D_
22 / 12_2 : 7 (19)_x000D_
_x000D_
  TOTAL   : ( 7 )</t>
        </r>
      </text>
    </comment>
    <comment ref="AB603" authorId="0" shapeId="0" xr:uid="{9905D847-5BB6-4CED-B3EA-A2A1498FACBA}">
      <text>
        <r>
          <rPr>
            <sz val="10"/>
            <color indexed="81"/>
            <rFont val="Lucida Console"/>
            <family val="3"/>
          </rPr>
          <t>Última movimentação no estoque em 12/2022 quantidade 19.</t>
        </r>
      </text>
    </comment>
    <comment ref="R604" authorId="0" shapeId="0" xr:uid="{50EB7F1C-73C5-44C6-91EA-A5F79A2F32B3}">
      <text>
        <r>
          <rPr>
            <sz val="10"/>
            <color indexed="81"/>
            <rFont val="Lucida Console"/>
            <family val="3"/>
          </rPr>
          <t>11.04.2007</t>
        </r>
      </text>
    </comment>
    <comment ref="Y604" authorId="0" shapeId="0" xr:uid="{37A6F464-680E-45BF-8043-774BCB2614B4}">
      <text>
        <r>
          <rPr>
            <sz val="10"/>
            <color indexed="81"/>
            <rFont val="Courier New"/>
            <family val="3"/>
          </rPr>
          <t>_x000D_
    DESCRIÇÃO DO CÁLCULO_x000D_
Código    : 98.704_x000D_
Corte     : 60_x000D_
-----------------------------_x000D_
Pendente  : _x000D_
22 / 08_2 : 17_x000D_
22 / 09_2 : 50_x000D_
22 / 10_2 : 17_x000D_
22 / 11_2 : 20_x000D_
22 / 12_2 : 4_x000D_
23 / 01_2 : 4_x000D_
23 / 02_2 : 1_x000D_
23 / 03_2 : 6_x000D_
23 / 04_2 : 6_x000D_
23 / 05_2 : 37_x000D_
23 / 06_2 : _x000D_
23 / 07_2 : 60 (corte = 63)_x000D_
_x000D_
    TOTAL : ( 222 )_x000D_
  DIVISOR : 12_x000D_
    MÉDIA : 18,50_x000D_
-----------------------------_x000D_
   Valores Desconsiderados_x000D_
-----------------------------_x000D_
23 / 07_2 : 3 (63)_x000D_
_x000D_
  TOTAL   : ( 3 )</t>
        </r>
      </text>
    </comment>
    <comment ref="AB604" authorId="0" shapeId="0" xr:uid="{6424E92F-168E-460E-A311-80546C127564}">
      <text>
        <r>
          <rPr>
            <sz val="10"/>
            <color indexed="81"/>
            <rFont val="Lucida Console"/>
            <family val="3"/>
          </rPr>
          <t>Última movimentação no estoque em 07/2023 quantidade 63.</t>
        </r>
      </text>
    </comment>
    <comment ref="R605" authorId="0" shapeId="0" xr:uid="{4A388798-6E76-40EB-B54C-98D873292D84}">
      <text>
        <r>
          <rPr>
            <sz val="10"/>
            <color indexed="81"/>
            <rFont val="Lucida Console"/>
            <family val="3"/>
          </rPr>
          <t>28.01.2004</t>
        </r>
      </text>
    </comment>
    <comment ref="Y605" authorId="0" shapeId="0" xr:uid="{00F43DAA-2AF0-4657-8A4A-3CBAD87632BE}">
      <text>
        <r>
          <rPr>
            <sz val="10"/>
            <color indexed="81"/>
            <rFont val="Courier New"/>
            <family val="3"/>
          </rPr>
          <t>_x000D_
    DESCRIÇÃO DO CÁLCULO_x000D_
Código    : 76.806_x000D_
Corte     : 77_x000D_
-----------------------------_x000D_
Pendente  : _x000D_
22 / 08_2 : 10_x000D_
22 / 09_2 : 2_x000D_
22 / 10_2 : 54_x000D_
22 / 11_2 : 30_x000D_
22 / 12_2 : 20_x000D_
23 / 01_2 : 46_x000D_
23 / 02_2 : 77 (corte = 89)_x000D_
23 / 03_2 : 1_x000D_
23 / 04_2 : 11_x000D_
23 / 05_2 : _x000D_
23 / 06_2 : 18_x000D_
23 / 07_2 : 15_x000D_
_x000D_
    TOTAL : ( 284 )_x000D_
  DIVISOR : 12_x000D_
    MÉDIA : 23,67_x000D_
-----------------------------_x000D_
   Valores Desconsiderados_x000D_
-----------------------------_x000D_
23 / 02_2 : 12 (89)_x000D_
_x000D_
  TOTAL   : ( 12 )</t>
        </r>
      </text>
    </comment>
    <comment ref="AB605" authorId="0" shapeId="0" xr:uid="{6AF4DABD-A16E-4635-B794-199BB1B511B9}">
      <text>
        <r>
          <rPr>
            <sz val="10"/>
            <color indexed="81"/>
            <rFont val="Lucida Console"/>
            <family val="3"/>
          </rPr>
          <t>Última movimentação no estoque em 07/2023 quantidade 15.</t>
        </r>
      </text>
    </comment>
    <comment ref="R606" authorId="0" shapeId="0" xr:uid="{80ED0829-99A9-4C82-B779-00FC2D22FD01}">
      <text>
        <r>
          <rPr>
            <sz val="10"/>
            <color indexed="81"/>
            <rFont val="Lucida Console"/>
            <family val="3"/>
          </rPr>
          <t>01.01.1901</t>
        </r>
      </text>
    </comment>
    <comment ref="Y606" authorId="0" shapeId="0" xr:uid="{C75EB15D-5801-4908-9AE4-AA2793C5AA70}">
      <text>
        <r>
          <rPr>
            <sz val="10"/>
            <color indexed="81"/>
            <rFont val="Courier New"/>
            <family val="3"/>
          </rPr>
          <t>_x000D_
    DESCRIÇÃO DO CÁLCULO_x000D_
Código    : 11.264_x000D_
Corte     : 56_x000D_
-----------------------------_x000D_
Pendente  : 25_x000D_
22 / 08_2 : 39_x000D_
22 / 09_2 : 32_x000D_
22 / 10_2 : 32_x000D_
22 / 11_2 : 39_x000D_
22 / 12_2 : 23_x000D_
23 / 01_2 : 14_x000D_
23 / 02_2 : 14_x000D_
23 / 03_2 : 5_x000D_
23 / 04_2 : 32_x000D_
23 / 05_2 : 48_x000D_
23 / 06_2 : 42_x000D_
23 / 07_2 : 34_x000D_
_x000D_
    TOTAL : ( 379 )_x000D_
  DIVISOR : 12_x000D_
    MÉDIA : 31,58</t>
        </r>
      </text>
    </comment>
    <comment ref="AB606" authorId="0" shapeId="0" xr:uid="{CBBE69FB-9624-49E8-8140-68B40F823803}">
      <text>
        <r>
          <rPr>
            <sz val="10"/>
            <color indexed="81"/>
            <rFont val="Lucida Console"/>
            <family val="3"/>
          </rPr>
          <t>Última movimentação no estoque em 07/2023 quantidade 34.</t>
        </r>
      </text>
    </comment>
    <comment ref="R607" authorId="0" shapeId="0" xr:uid="{1AC3B7F4-E618-472F-BBDD-C9F7E183D42B}">
      <text>
        <r>
          <rPr>
            <sz val="10"/>
            <color indexed="81"/>
            <rFont val="Lucida Console"/>
            <family val="3"/>
          </rPr>
          <t>08.04.2004</t>
        </r>
      </text>
    </comment>
    <comment ref="Y607" authorId="0" shapeId="0" xr:uid="{B8EF45B2-1484-497B-843E-8FA322418589}">
      <text>
        <r>
          <rPr>
            <sz val="10"/>
            <color indexed="81"/>
            <rFont val="Courier New"/>
            <family val="3"/>
          </rPr>
          <t>_x000D_
    DESCRIÇÃO DO CÁLCULO_x000D_
Código    : 78.303_x000D_
Corte     : 2_x000D_
-----------------------------_x000D_
Pendente  : _x000D_
22 / 08_2 : _x000D_
22 / 09_2 : _x000D_
22 / 10_2 : _x000D_
22 / 11_2 : _x000D_
22 / 12_2 : 2 (corte = 3)_x000D_
23 / 01_2 : 1_x000D_
23 / 02_2 : 1_x000D_
23 / 03_2 : _x000D_
23 / 04_2 : 1_x000D_
23 / 05_2 : _x000D_
23 / 06_2 : _x000D_
23 / 07_2 : _x000D_
_x000D_
    TOTAL : ( 5 )_x000D_
  DIVISOR : 12_x000D_
    MÉDIA : ,42_x000D_
-----------------------------_x000D_
   Valores Desconsiderados_x000D_
-----------------------------_x000D_
22 / 12_2 : 1 (3)_x000D_
_x000D_
  TOTAL   : ( 1 )</t>
        </r>
      </text>
    </comment>
    <comment ref="AB607" authorId="0" shapeId="0" xr:uid="{654F6223-050D-49C1-AF99-362A64ACEB09}">
      <text>
        <r>
          <rPr>
            <sz val="10"/>
            <color indexed="81"/>
            <rFont val="Lucida Console"/>
            <family val="3"/>
          </rPr>
          <t>Última movimentação no estoque em 04/2023 quantidade 1.</t>
        </r>
      </text>
    </comment>
    <comment ref="R608" authorId="0" shapeId="0" xr:uid="{72BEEDA2-9677-4BD1-AC53-E04D1E79EA65}">
      <text>
        <r>
          <rPr>
            <sz val="10"/>
            <color indexed="81"/>
            <rFont val="Lucida Console"/>
            <family val="3"/>
          </rPr>
          <t>01.01.1901</t>
        </r>
      </text>
    </comment>
    <comment ref="Y608" authorId="0" shapeId="0" xr:uid="{C61970EF-5947-4D29-84F7-8F3C310FD18F}">
      <text>
        <r>
          <rPr>
            <sz val="10"/>
            <color indexed="81"/>
            <rFont val="Courier New"/>
            <family val="3"/>
          </rPr>
          <t>_x000D_
    DESCRIÇÃO DO CÁLCULO_x000D_
Código    : 72.184_x000D_
Corte     : 276_x000D_
-----------------------------_x000D_
Pendente  : 146_x000D_
22 / 08_2 : _x000D_
22 / 09_2 : _x000D_
22 / 10_2 : _x000D_
22 / 11_2 : _x000D_
22 / 12_2 : _x000D_
23 / 01_2 : _x000D_
23 / 02_2 : 100_x000D_
23 / 03_2 : 276 (corte = 290)_x000D_
23 / 04_2 : 196_x000D_
23 / 05_2 : 174_x000D_
23 / 06_2 : 57_x000D_
23 / 07_2 : 36_x000D_
_x000D_
    TOTAL : ( 985 )_x000D_
  DIVISOR : 12_x000D_
    MÉDIA : 82,08_x000D_
-----------------------------_x000D_
   Valores Desconsiderados_x000D_
-----------------------------_x000D_
23 / 03_2 : 14 (290)_x000D_
_x000D_
  TOTAL   : ( 14 )</t>
        </r>
      </text>
    </comment>
    <comment ref="AB608" authorId="0" shapeId="0" xr:uid="{4F77EF7F-F624-414B-ABEF-0BE574C894F0}">
      <text>
        <r>
          <rPr>
            <sz val="10"/>
            <color indexed="81"/>
            <rFont val="Lucida Console"/>
            <family val="3"/>
          </rPr>
          <t>Última movimentação no estoque em 07/2023 quantidade 36.</t>
        </r>
      </text>
    </comment>
    <comment ref="R609" authorId="0" shapeId="0" xr:uid="{E3E5B6D3-4107-4BA0-8E70-14EBE78F7D3C}">
      <text>
        <r>
          <rPr>
            <sz val="10"/>
            <color indexed="81"/>
            <rFont val="Lucida Console"/>
            <family val="3"/>
          </rPr>
          <t>01.01.1901</t>
        </r>
      </text>
    </comment>
    <comment ref="Y609" authorId="0" shapeId="0" xr:uid="{70B8EE05-2C8A-41AD-A48A-958A5555AA44}">
      <text>
        <r>
          <rPr>
            <sz val="10"/>
            <color indexed="81"/>
            <rFont val="Courier New"/>
            <family val="3"/>
          </rPr>
          <t>_x000D_
    DESCRIÇÃO DO CÁLCULO_x000D_
Código    : 11.590_x000D_
Corte     : 1.982_x000D_
-----------------------------_x000D_
Pendente  : 228_x000D_
22 / 08_2 : 239_x000D_
22 / 09_2 : 226_x000D_
22 / 10_2 : 176_x000D_
22 / 11_2 : 228_x000D_
22 / 12_2 : 185_x000D_
23 / 01_2 : 119_x000D_
23 / 02_2 : 211_x000D_
23 / 03_2 : 1.982 (corte = 2991)_x000D_
23 / 04_2 : 49_x000D_
23 / 05_2 : 7_x000D_
23 / 06_2 : 51_x000D_
23 / 07_2 : _x000D_
_x000D_
    TOTAL : ( 3.701 )_x000D_
  DIVISOR : 12_x000D_
    MÉDIA : 308,42_x000D_
-----------------------------_x000D_
   Valores Desconsiderados_x000D_
-----------------------------_x000D_
23 / 03_2 : 1.009 (2.991)_x000D_
_x000D_
  TOTAL   : ( 1.009 )</t>
        </r>
      </text>
    </comment>
    <comment ref="AB609" authorId="0" shapeId="0" xr:uid="{C6F3610E-2532-4418-93BB-5BC319DA5FB9}">
      <text>
        <r>
          <rPr>
            <sz val="10"/>
            <color indexed="81"/>
            <rFont val="Lucida Console"/>
            <family val="3"/>
          </rPr>
          <t>Última movimentação no estoque em 06/2023 quantidade 51.</t>
        </r>
      </text>
    </comment>
    <comment ref="R610" authorId="0" shapeId="0" xr:uid="{E6D22EEA-1CE3-4F4A-9089-68F29EFE1F82}">
      <text>
        <r>
          <rPr>
            <sz val="10"/>
            <color indexed="81"/>
            <rFont val="Lucida Console"/>
            <family val="3"/>
          </rPr>
          <t>17.03.2004</t>
        </r>
      </text>
    </comment>
    <comment ref="Y610" authorId="0" shapeId="0" xr:uid="{63297A04-0B03-4425-9290-E8A24C8CE64E}">
      <text>
        <r>
          <rPr>
            <sz val="10"/>
            <color indexed="81"/>
            <rFont val="Courier New"/>
            <family val="3"/>
          </rPr>
          <t>_x000D_
    DESCRIÇÃO DO CÁLCULO_x000D_
Código    : 77.755_x000D_
Corte     : 2.455_x000D_
-----------------------------_x000D_
Pendente  : 3_x000D_
22 / 08_2 : 247_x000D_
22 / 09_2 : 240_x000D_
22 / 10_2 : 368_x000D_
22 / 11_2 : 224_x000D_
22 / 12_2 : 192_x000D_
23 / 01_2 : 112_x000D_
23 / 02_2 : 239_x000D_
23 / 03_2 : 2.455 (corte = 3685)_x000D_
23 / 04_2 : 216_x000D_
23 / 05_2 : 251_x000D_
23 / 06_2 : 299_x000D_
23 / 07_2 : 220_x000D_
_x000D_
    TOTAL : ( 5.066 )_x000D_
  DIVISOR : 12_x000D_
    MÉDIA : 422,17_x000D_
-----------------------------_x000D_
   Valores Desconsiderados_x000D_
-----------------------------_x000D_
23 / 03_2 : 1.230 (3.685)_x000D_
_x000D_
  TOTAL   : ( 1.230 )</t>
        </r>
      </text>
    </comment>
    <comment ref="AB610" authorId="0" shapeId="0" xr:uid="{6F58C308-AC0C-4A6D-8F9E-8500E41FB59F}">
      <text>
        <r>
          <rPr>
            <sz val="10"/>
            <color indexed="81"/>
            <rFont val="Lucida Console"/>
            <family val="3"/>
          </rPr>
          <t>Última movimentação no estoque em 07/2023 quantidade 220.</t>
        </r>
      </text>
    </comment>
    <comment ref="R611" authorId="0" shapeId="0" xr:uid="{0ED003EB-91E2-4C0B-9A02-FEEB85EF9067}">
      <text>
        <r>
          <rPr>
            <sz val="10"/>
            <color indexed="81"/>
            <rFont val="Lucida Console"/>
            <family val="3"/>
          </rPr>
          <t>08.08.2016</t>
        </r>
      </text>
    </comment>
    <comment ref="Y611" authorId="0" shapeId="0" xr:uid="{032A10D5-0936-439D-A157-83F2B2A55BA3}">
      <text>
        <r>
          <rPr>
            <sz val="10"/>
            <color indexed="81"/>
            <rFont val="Courier New"/>
            <family val="3"/>
          </rPr>
          <t>_x000D_
    DESCRIÇÃO DO CÁLCULO_x000D_
Código    : 131.937_x000D_
Corte     : 2.098_x000D_
-----------------------------_x000D_
Pendente  : 3_x000D_
22 / 08_2 : 151_x000D_
22 / 09_2 : 153_x000D_
22 / 10_2 : 169_x000D_
22 / 11_2 : 134_x000D_
22 / 12_2 : 98_x000D_
23 / 01_2 : 76_x000D_
23 / 02_2 : 105_x000D_
23 / 03_2 : 2.098 (corte = 3200)_x000D_
23 / 04_2 : 143_x000D_
23 / 05_2 : 155_x000D_
23 / 06_2 : 158_x000D_
23 / 07_2 : 122_x000D_
_x000D_
    TOTAL : ( 3.565 )_x000D_
  DIVISOR : 12_x000D_
    MÉDIA : 297,08_x000D_
-----------------------------_x000D_
   Valores Desconsiderados_x000D_
-----------------------------_x000D_
23 / 03_2 : 1.102 (3.200)_x000D_
_x000D_
  TOTAL   : ( 1.102 )</t>
        </r>
      </text>
    </comment>
    <comment ref="AB611" authorId="0" shapeId="0" xr:uid="{E539DC9A-3F02-441B-A68F-63B40E58F05C}">
      <text>
        <r>
          <rPr>
            <sz val="10"/>
            <color indexed="81"/>
            <rFont val="Lucida Console"/>
            <family val="3"/>
          </rPr>
          <t>Última movimentação no estoque em 07/2023 quantidade 122.</t>
        </r>
      </text>
    </comment>
    <comment ref="R612" authorId="0" shapeId="0" xr:uid="{5B6C2CF2-E2BB-48B4-8709-074565789660}">
      <text>
        <r>
          <rPr>
            <sz val="10"/>
            <color indexed="81"/>
            <rFont val="Lucida Console"/>
            <family val="3"/>
          </rPr>
          <t>20.02.2020</t>
        </r>
      </text>
    </comment>
    <comment ref="Y612" authorId="0" shapeId="0" xr:uid="{91BA758F-D723-48CC-9F0F-CEEAF3257E1E}">
      <text>
        <r>
          <rPr>
            <sz val="10"/>
            <color indexed="81"/>
            <rFont val="Courier New"/>
            <family val="3"/>
          </rPr>
          <t>_x000D_
    DESCRIÇÃO DO CÁLCULO_x000D_
Código    : 139.141_x000D_
Corte     : 1.664_x000D_
-----------------------------_x000D_
Pendente  : 102_x000D_
22 / 08_2 : 150_x000D_
22 / 09_2 : 151_x000D_
22 / 10_2 : 164_x000D_
22 / 11_2 : 133_x000D_
22 / 12_2 : 98_x000D_
23 / 01_2 : 73_x000D_
23 / 02_2 : 111_x000D_
23 / 03_2 : 1.664 (corte = 2526)_x000D_
23 / 04_2 : 10_x000D_
23 / 05_2 : 79_x000D_
23 / 06_2 : 157_x000D_
23 / 07_2 : 134_x000D_
_x000D_
    TOTAL : ( 3.026 )_x000D_
  DIVISOR : 12_x000D_
    MÉDIA : 252,17_x000D_
-----------------------------_x000D_
   Valores Desconsiderados_x000D_
-----------------------------_x000D_
23 / 03_2 : 862 (2.526)_x000D_
_x000D_
  TOTAL   : ( 862 )</t>
        </r>
      </text>
    </comment>
    <comment ref="AB612" authorId="0" shapeId="0" xr:uid="{3787E398-CD60-46DB-A833-1F286DB53F3D}">
      <text>
        <r>
          <rPr>
            <sz val="10"/>
            <color indexed="81"/>
            <rFont val="Lucida Console"/>
            <family val="3"/>
          </rPr>
          <t>Última movimentação no estoque em 07/2023 quantidade 134.</t>
        </r>
      </text>
    </comment>
    <comment ref="R613" authorId="0" shapeId="0" xr:uid="{D2715A6F-B574-41D8-B48E-9C90C8A5F941}">
      <text>
        <r>
          <rPr>
            <sz val="10"/>
            <color indexed="81"/>
            <rFont val="Lucida Console"/>
            <family val="3"/>
          </rPr>
          <t>20.02.2020</t>
        </r>
      </text>
    </comment>
    <comment ref="Y613" authorId="0" shapeId="0" xr:uid="{5C03ED6E-8BDA-4553-BC5A-4D06D82D973D}">
      <text>
        <r>
          <rPr>
            <sz val="10"/>
            <color indexed="81"/>
            <rFont val="Courier New"/>
            <family val="3"/>
          </rPr>
          <t>_x000D_
    DESCRIÇÃO DO CÁLCULO_x000D_
Código    : 139.142_x000D_
Corte     : 1.806_x000D_
-----------------------------_x000D_
Pendente  : 65_x000D_
22 / 08_2 : 120_x000D_
22 / 09_2 : 152_x000D_
22 / 10_2 : 165_x000D_
22 / 11_2 : 141_x000D_
22 / 12_2 : 99_x000D_
23 / 01_2 : 113_x000D_
23 / 02_2 : 111_x000D_
23 / 03_2 : 1.806 (corte = 2750)_x000D_
23 / 04_2 : 12_x000D_
23 / 05_2 : 76_x000D_
23 / 06_2 : 153_x000D_
23 / 07_2 : 122_x000D_
_x000D_
    TOTAL : ( 3.135 )_x000D_
  DIVISOR : 12_x000D_
    MÉDIA : 261,25_x000D_
-----------------------------_x000D_
   Valores Desconsiderados_x000D_
-----------------------------_x000D_
23 / 03_2 : 944 (2.750)_x000D_
_x000D_
  TOTAL   : ( 944 )</t>
        </r>
      </text>
    </comment>
    <comment ref="AB613" authorId="0" shapeId="0" xr:uid="{A5CE2835-1D32-45F7-8D44-545F7B6E4314}">
      <text>
        <r>
          <rPr>
            <sz val="10"/>
            <color indexed="81"/>
            <rFont val="Lucida Console"/>
            <family val="3"/>
          </rPr>
          <t>Última movimentação no estoque em 07/2023 quantidade 122.</t>
        </r>
      </text>
    </comment>
    <comment ref="R614" authorId="0" shapeId="0" xr:uid="{0FE02285-83FB-406F-8C28-210CB4216276}">
      <text>
        <r>
          <rPr>
            <sz val="10"/>
            <color indexed="81"/>
            <rFont val="Lucida Console"/>
            <family val="3"/>
          </rPr>
          <t>20.02.2020</t>
        </r>
      </text>
    </comment>
    <comment ref="Y614" authorId="0" shapeId="0" xr:uid="{A53AB6E2-733D-4DDC-8CA7-A2D660132075}">
      <text>
        <r>
          <rPr>
            <sz val="10"/>
            <color indexed="81"/>
            <rFont val="Courier New"/>
            <family val="3"/>
          </rPr>
          <t>_x000D_
    DESCRIÇÃO DO CÁLCULO_x000D_
Código    : 139.143_x000D_
Corte     : 2.649_x000D_
-----------------------------_x000D_
Pendente  : 3_x000D_
22 / 08_2 : 147_x000D_
22 / 09_2 : 148_x000D_
22 / 10_2 : 160_x000D_
22 / 11_2 : 140_x000D_
22 / 12_2 : 99_x000D_
23 / 01_2 : 72_x000D_
23 / 02_2 : 111_x000D_
23 / 03_2 : 2.649 (corte = 4066)_x000D_
23 / 04_2 : 132_x000D_
23 / 05_2 : 154_x000D_
23 / 06_2 : 157_x000D_
23 / 07_2 : 126_x000D_
_x000D_
    TOTAL : ( 4.098 )_x000D_
  DIVISOR : 12_x000D_
    MÉDIA : 341,50_x000D_
-----------------------------_x000D_
   Valores Desconsiderados_x000D_
-----------------------------_x000D_
23 / 03_2 : 1.417 (4.066)_x000D_
_x000D_
  TOTAL   : ( 1.417 )</t>
        </r>
      </text>
    </comment>
    <comment ref="AB614" authorId="0" shapeId="0" xr:uid="{0B5D637D-F73A-466C-93FB-6C96F14FAF20}">
      <text>
        <r>
          <rPr>
            <sz val="10"/>
            <color indexed="81"/>
            <rFont val="Lucida Console"/>
            <family val="3"/>
          </rPr>
          <t>Última movimentação no estoque em 07/2023 quantidade 126.</t>
        </r>
      </text>
    </comment>
    <comment ref="R615" authorId="0" shapeId="0" xr:uid="{806DAA87-9B2D-48E1-AE0B-0EFCB171A5FF}">
      <text>
        <r>
          <rPr>
            <sz val="10"/>
            <color indexed="81"/>
            <rFont val="Lucida Console"/>
            <family val="3"/>
          </rPr>
          <t>20.02.2020</t>
        </r>
      </text>
    </comment>
    <comment ref="Y615" authorId="0" shapeId="0" xr:uid="{D5B66617-6D05-40E5-9A99-D74CD29B7AFE}">
      <text>
        <r>
          <rPr>
            <sz val="10"/>
            <color indexed="81"/>
            <rFont val="Courier New"/>
            <family val="3"/>
          </rPr>
          <t>_x000D_
    DESCRIÇÃO DO CÁLCULO_x000D_
Código    : 139.144_x000D_
Corte     : 3.164_x000D_
-----------------------------_x000D_
Pendente  : _x000D_
22 / 08_2 : _x000D_
22 / 09_2 : 5_x000D_
22 / 10_2 : 25_x000D_
22 / 11_2 : 6_x000D_
22 / 12_2 : _x000D_
23 / 01_2 : _x000D_
23 / 02_2 : _x000D_
23 / 03_2 : 3.164 (corte = 4787)_x000D_
23 / 04_2 : 5_x000D_
23 / 05_2 : _x000D_
23 / 06_2 : 1_x000D_
23 / 07_2 : _x000D_
_x000D_
    TOTAL : ( 3.206 )_x000D_
  DIVISOR : 12_x000D_
    MÉDIA : 267,17_x000D_
-----------------------------_x000D_
   Valores Desconsiderados_x000D_
-----------------------------_x000D_
23 / 03_2 : 1.623 (4.787)_x000D_
_x000D_
  TOTAL   : ( 1.623 )</t>
        </r>
      </text>
    </comment>
    <comment ref="AB615" authorId="0" shapeId="0" xr:uid="{F58CF46F-DA81-40B2-8CF7-9E351985D9E3}">
      <text>
        <r>
          <rPr>
            <sz val="10"/>
            <color indexed="81"/>
            <rFont val="Lucida Console"/>
            <family val="3"/>
          </rPr>
          <t>Última movimentação no estoque em 06/2023 quantidade 1.</t>
        </r>
      </text>
    </comment>
    <comment ref="R616" authorId="0" shapeId="0" xr:uid="{4840AE7F-FFB2-492C-9C53-960D27437D5E}">
      <text>
        <r>
          <rPr>
            <sz val="10"/>
            <color indexed="81"/>
            <rFont val="Lucida Console"/>
            <family val="3"/>
          </rPr>
          <t>01.01.1901</t>
        </r>
      </text>
    </comment>
    <comment ref="Y616" authorId="0" shapeId="0" xr:uid="{D7F09D3C-8C9E-4A45-B6DE-91032DAB7813}">
      <text>
        <r>
          <rPr>
            <sz val="10"/>
            <color indexed="81"/>
            <rFont val="Courier New"/>
            <family val="3"/>
          </rPr>
          <t>_x000D_
    DESCRIÇÃO DO CÁLCULO_x000D_
Código    : 15.085_x000D_
Corte     : 39_x000D_
-----------------------------_x000D_
Pendente  : _x000D_
22 / 08_2 : 25_x000D_
22 / 09_2 : 30_x000D_
22 / 10_2 : _x000D_
22 / 11_2 : 20_x000D_
22 / 12_2 : 5_x000D_
23 / 01_2 : _x000D_
23 / 02_2 : _x000D_
23 / 03_2 : _x000D_
23 / 04_2 : _x000D_
23 / 05_2 : 30_x000D_
23 / 06_2 : 30_x000D_
23 / 07_2 : 1_x000D_
_x000D_
    TOTAL : ( 141 )_x000D_
  DIVISOR : 12_x000D_
    MÉDIA : 11,75</t>
        </r>
      </text>
    </comment>
    <comment ref="AB616" authorId="0" shapeId="0" xr:uid="{17B5507F-5C36-49D4-926D-D0EC1E6D91CB}">
      <text>
        <r>
          <rPr>
            <sz val="10"/>
            <color indexed="81"/>
            <rFont val="Lucida Console"/>
            <family val="3"/>
          </rPr>
          <t>Última movimentação no estoque em 07/2023 quantidade 1.</t>
        </r>
      </text>
    </comment>
    <comment ref="R617" authorId="0" shapeId="0" xr:uid="{7A630CFB-7433-41DB-8E9F-66329CF0DB0F}">
      <text>
        <r>
          <rPr>
            <sz val="10"/>
            <color indexed="81"/>
            <rFont val="Lucida Console"/>
            <family val="3"/>
          </rPr>
          <t>01.01.1901</t>
        </r>
      </text>
    </comment>
    <comment ref="Y617" authorId="0" shapeId="0" xr:uid="{1A88FE9D-B6D9-4977-BA88-E5561114F6AF}">
      <text>
        <r>
          <rPr>
            <sz val="10"/>
            <color indexed="81"/>
            <rFont val="Courier New"/>
            <family val="3"/>
          </rPr>
          <t>_x000D_
    DESCRIÇÃO DO CÁLCULO_x000D_
Código    : 13.563_x000D_
Corte     : 80_x000D_
-----------------------------_x000D_
Pendente  : _x000D_
22 / 08_2 : 30_x000D_
22 / 09_2 : 50_x000D_
22 / 10_2 : 20_x000D_
22 / 11_2 : 40_x000D_
22 / 12_2 : _x000D_
23 / 01_2 : _x000D_
23 / 02_2 : _x000D_
23 / 03_2 : 60_x000D_
23 / 04_2 : _x000D_
23 / 05_2 : 30_x000D_
23 / 06_2 : 80_x000D_
23 / 07_2 : 1_x000D_
_x000D_
    TOTAL : ( 311 )_x000D_
  DIVISOR : 12_x000D_
    MÉDIA : 25,92</t>
        </r>
      </text>
    </comment>
    <comment ref="AB617" authorId="0" shapeId="0" xr:uid="{ABD0C3E2-EAC4-4557-9DB2-E7C359ECF9FC}">
      <text>
        <r>
          <rPr>
            <sz val="10"/>
            <color indexed="81"/>
            <rFont val="Lucida Console"/>
            <family val="3"/>
          </rPr>
          <t>Última movimentação no estoque em 07/2023 quantidade 1.</t>
        </r>
      </text>
    </comment>
    <comment ref="R618" authorId="0" shapeId="0" xr:uid="{7C16F697-FCCE-4DF7-B3EA-465BE931F1E4}">
      <text>
        <r>
          <rPr>
            <sz val="10"/>
            <color indexed="81"/>
            <rFont val="Lucida Console"/>
            <family val="3"/>
          </rPr>
          <t>02.04.2013</t>
        </r>
      </text>
    </comment>
    <comment ref="Y618" authorId="0" shapeId="0" xr:uid="{15D01124-1517-42CC-AA0D-4971AD6F4ED5}">
      <text>
        <r>
          <rPr>
            <sz val="10"/>
            <color indexed="81"/>
            <rFont val="Courier New"/>
            <family val="3"/>
          </rPr>
          <t>_x000D_
    DESCRIÇÃO DO CÁLCULO_x000D_
Código    : 125.262_x000D_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8" authorId="0" shapeId="0" xr:uid="{42EF9C54-DFA1-4F70-B508-98103C44AB6F}">
      <text>
        <r>
          <rPr>
            <sz val="10"/>
            <color indexed="81"/>
            <rFont val="Lucida Console"/>
            <family val="3"/>
          </rPr>
          <t>Última movimentação no estoque em 07/2023 quantidade 30.</t>
        </r>
      </text>
    </comment>
    <comment ref="R619" authorId="0" shapeId="0" xr:uid="{33799FD5-07AC-4696-9928-943811CC9ECE}">
      <text>
        <r>
          <rPr>
            <sz val="10"/>
            <color indexed="81"/>
            <rFont val="Lucida Console"/>
            <family val="3"/>
          </rPr>
          <t>04.04.2012</t>
        </r>
      </text>
    </comment>
    <comment ref="Y619" authorId="0" shapeId="0" xr:uid="{18CF695A-683C-4934-842D-9CB14885FBCD}">
      <text>
        <r>
          <rPr>
            <sz val="10"/>
            <color indexed="81"/>
            <rFont val="Courier New"/>
            <family val="3"/>
          </rPr>
          <t>_x000D_
    DESCRIÇÃO DO CÁLCULO_x000D_
Código    : 122.818_x000D_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9" authorId="0" shapeId="0" xr:uid="{79352EEC-F361-42FC-84DE-B47C62387123}">
      <text>
        <r>
          <rPr>
            <sz val="10"/>
            <color indexed="81"/>
            <rFont val="Lucida Console"/>
            <family val="3"/>
          </rPr>
          <t>Última movimentação no estoque em 07/2023 quantidade 30.</t>
        </r>
      </text>
    </comment>
    <comment ref="R620" authorId="0" shapeId="0" xr:uid="{FFEC957A-4952-4F78-9D34-F9E7F2C59AA5}">
      <text>
        <r>
          <rPr>
            <sz val="10"/>
            <color indexed="81"/>
            <rFont val="Lucida Console"/>
            <family val="3"/>
          </rPr>
          <t>14.09.2007</t>
        </r>
      </text>
    </comment>
    <comment ref="Y620" authorId="0" shapeId="0" xr:uid="{BC9FB556-DF43-4A54-B9EA-AF35C997A1A8}">
      <text>
        <r>
          <rPr>
            <sz val="10"/>
            <color indexed="81"/>
            <rFont val="Courier New"/>
            <family val="3"/>
          </rPr>
          <t>_x000D_
    DESCRIÇÃO DO CÁLCULO_x000D_
Código    : 102.000_x000D_
Corte     : 722_x000D_
-----------------------------_x000D_
Pendente  : _x000D_
22 / 08_2 : 150_x000D_
22 / 09_2 : 612_x000D_
22 / 10_2 : _x000D_
22 / 11_2 : _x000D_
22 / 12_2 : _x000D_
23 / 01_2 : 704_x000D_
23 / 02_2 : _x000D_
23 / 03_2 : 84_x000D_
23 / 04_2 : _x000D_
23 / 05_2 : 516_x000D_
23 / 06_2 : 123_x000D_
23 / 07_2 : 225_x000D_
_x000D_
    TOTAL : ( 2.414 )_x000D_
  DIVISOR : 12_x000D_
    MÉDIA : 201,17</t>
        </r>
      </text>
    </comment>
    <comment ref="AB620" authorId="0" shapeId="0" xr:uid="{0577D771-2664-4B76-8359-7CA0405A4790}">
      <text>
        <r>
          <rPr>
            <sz val="10"/>
            <color indexed="81"/>
            <rFont val="Lucida Console"/>
            <family val="3"/>
          </rPr>
          <t>Última movimentação no estoque em 07/2023 quantidade 225.</t>
        </r>
      </text>
    </comment>
    <comment ref="R621" authorId="0" shapeId="0" xr:uid="{65F3482C-2175-437F-A473-2F896D9D0228}">
      <text>
        <r>
          <rPr>
            <sz val="10"/>
            <color indexed="81"/>
            <rFont val="Lucida Console"/>
            <family val="3"/>
          </rPr>
          <t>16.11.2010</t>
        </r>
      </text>
    </comment>
    <comment ref="Y621" authorId="0" shapeId="0" xr:uid="{C34188DB-5B41-4FA4-BA78-40BDE6C4AD72}">
      <text>
        <r>
          <rPr>
            <sz val="10"/>
            <color indexed="81"/>
            <rFont val="Courier New"/>
            <family val="3"/>
          </rPr>
          <t>_x000D_
    DESCRIÇÃO DO CÁLCULO_x000D_
Código    : 118.515_x000D_
Corte     : 188_x000D_
-----------------------------_x000D_
Pendente  : _x000D_
22 / 08_2 : 1_x000D_
22 / 09_2 : 3_x000D_
22 / 10_2 : 1_x000D_
22 / 11_2 : 2_x000D_
22 / 12_2 : _x000D_
23 / 01_2 : 6_x000D_
23 / 02_2 : 13_x000D_
23 / 03_2 : 8_x000D_
23 / 04_2 : _x000D_
23 / 05_2 : 188 (corte = 284)_x000D_
23 / 06_2 : _x000D_
23 / 07_2 : _x000D_
_x000D_
    TOTAL : ( 222 )_x000D_
  DIVISOR : 12_x000D_
    MÉDIA : 18,50_x000D_
-----------------------------_x000D_
   Valores Desconsiderados_x000D_
-----------------------------_x000D_
23 / 05_2 : 96 (284)_x000D_
_x000D_
  TOTAL   : ( 96 )</t>
        </r>
      </text>
    </comment>
    <comment ref="AB621" authorId="0" shapeId="0" xr:uid="{8616CAB4-BE68-473B-8590-28D49A073CD5}">
      <text>
        <r>
          <rPr>
            <sz val="10"/>
            <color indexed="81"/>
            <rFont val="Lucida Console"/>
            <family val="3"/>
          </rPr>
          <t>Última movimentação no estoque em 05/2023 quantidade 284.</t>
        </r>
      </text>
    </comment>
    <comment ref="R622" authorId="0" shapeId="0" xr:uid="{375608C5-B0FE-473F-B3CD-68F42124AD41}">
      <text>
        <r>
          <rPr>
            <sz val="10"/>
            <color indexed="81"/>
            <rFont val="Lucida Console"/>
            <family val="3"/>
          </rPr>
          <t>19.11.2010</t>
        </r>
      </text>
    </comment>
    <comment ref="Y622" authorId="0" shapeId="0" xr:uid="{95AA0EEF-A23F-4269-B8B3-5D7423461A62}">
      <text>
        <r>
          <rPr>
            <sz val="10"/>
            <color indexed="81"/>
            <rFont val="Courier New"/>
            <family val="3"/>
          </rPr>
          <t>_x000D_
    DESCRIÇÃO DO CÁLCULO_x000D_
Código    : 118.577_x000D_
Corte     : 255_x000D_
-----------------------------_x000D_
Pendente  : 14_x000D_
22 / 08_2 : 16_x000D_
22 / 09_2 : 6_x000D_
22 / 10_2 : 255 (corte = 272)_x000D_
22 / 11_2 : 97_x000D_
22 / 12_2 : 241_x000D_
23 / 01_2 : 117_x000D_
23 / 02_2 : _x000D_
23 / 03_2 : _x000D_
23 / 04_2 : _x000D_
23 / 05_2 : _x000D_
23 / 06_2 : _x000D_
23 / 07_2 : _x000D_
_x000D_
    TOTAL : ( 745 )_x000D_
  DIVISOR : 12_x000D_
    MÉDIA : 62,08_x000D_
-----------------------------_x000D_
   Valores Desconsiderados_x000D_
-----------------------------_x000D_
22 / 10_2 : 17 (272)_x000D_
_x000D_
  TOTAL   : ( 17 )</t>
        </r>
      </text>
    </comment>
    <comment ref="AB622" authorId="0" shapeId="0" xr:uid="{C1AE9A22-0B44-4D56-BE48-0BE43229047D}">
      <text>
        <r>
          <rPr>
            <sz val="10"/>
            <color indexed="81"/>
            <rFont val="Lucida Console"/>
            <family val="3"/>
          </rPr>
          <t>Última movimentação no estoque em 01/2023 quantidade 117.</t>
        </r>
      </text>
    </comment>
    <comment ref="R623" authorId="0" shapeId="0" xr:uid="{9AA6389C-42F8-4304-AF24-99D02E6BAEA3}">
      <text>
        <r>
          <rPr>
            <sz val="10"/>
            <color indexed="81"/>
            <rFont val="Lucida Console"/>
            <family val="3"/>
          </rPr>
          <t>18.06.2010</t>
        </r>
      </text>
    </comment>
    <comment ref="Y623" authorId="0" shapeId="0" xr:uid="{89400AE4-A8F3-45CE-BA0B-CDD9B2F36DDC}">
      <text>
        <r>
          <rPr>
            <sz val="10"/>
            <color indexed="81"/>
            <rFont val="Courier New"/>
            <family val="3"/>
          </rPr>
          <t>_x000D_
    DESCRIÇÃO DO CÁLCULO_x000D_
Código    : 115.765_x000D_
Corte     : 437_x000D_
-----------------------------_x000D_
Pendente  : 12_x000D_
22 / 08_2 : 55_x000D_
22 / 09_2 : 57_x000D_
22 / 10_2 : 46_x000D_
22 / 11_2 : 63_x000D_
22 / 12_2 : 40_x000D_
23 / 01_2 : 26_x000D_
23 / 02_2 : 48_x000D_
23 / 03_2 : 437 (corte = 643)_x000D_
23 / 04_2 : 76_x000D_
23 / 05_2 : 85_x000D_
23 / 06_2 : 80_x000D_
23 / 07_2 : 64_x000D_
_x000D_
    TOTAL : ( 1.089 )_x000D_
  DIVISOR : 12_x000D_
    MÉDIA : 90,75_x000D_
-----------------------------_x000D_
   Valores Desconsiderados_x000D_
-----------------------------_x000D_
23 / 03_2 : 206 (643)_x000D_
_x000D_
  TOTAL   : ( 206 )</t>
        </r>
      </text>
    </comment>
    <comment ref="AB623" authorId="0" shapeId="0" xr:uid="{2257EF4F-6CC8-4EB1-8B6E-63BE9EDB1C8B}">
      <text>
        <r>
          <rPr>
            <sz val="10"/>
            <color indexed="81"/>
            <rFont val="Lucida Console"/>
            <family val="3"/>
          </rPr>
          <t>Última movimentação no estoque em 07/2023 quantidade 64.</t>
        </r>
      </text>
    </comment>
    <comment ref="R624" authorId="0" shapeId="0" xr:uid="{B69E79CB-7958-4A3B-9F2A-B8009D1FD374}">
      <text>
        <r>
          <rPr>
            <sz val="10"/>
            <color indexed="81"/>
            <rFont val="Lucida Console"/>
            <family val="3"/>
          </rPr>
          <t>13.04.2006</t>
        </r>
      </text>
    </comment>
    <comment ref="Y624" authorId="0" shapeId="0" xr:uid="{3A1BC1B2-1111-48EE-BF46-0C89E73EC92B}">
      <text>
        <r>
          <rPr>
            <sz val="10"/>
            <color indexed="81"/>
            <rFont val="Courier New"/>
            <family val="3"/>
          </rPr>
          <t>_x000D_
    DESCRIÇÃO DO CÁLCULO_x000D_
Código    : 91.250_x000D_
Corte     : 36_x000D_
-----------------------------_x000D_
Pendente  : _x000D_
22 / 08_2 : 11_x000D_
22 / 09_2 : 36 (corte = 48)_x000D_
22 / 10_2 : _x000D_
22 / 11_2 : _x000D_
22 / 12_2 : _x000D_
23 / 01_2 : 11_x000D_
23 / 02_2 : _x000D_
23 / 03_2 : _x000D_
23 / 04_2 : 10_x000D_
23 / 05_2 : 20_x000D_
23 / 06_2 : _x000D_
23 / 07_2 : _x000D_
_x000D_
    TOTAL : ( 88 )_x000D_
  DIVISOR : 12_x000D_
    MÉDIA : 7,33_x000D_
-----------------------------_x000D_
   Valores Desconsiderados_x000D_
-----------------------------_x000D_
22 / 09_2 : 12 (48)_x000D_
_x000D_
  TOTAL   : ( 12 )</t>
        </r>
      </text>
    </comment>
    <comment ref="AB624" authorId="0" shapeId="0" xr:uid="{18418884-D9EB-4BBC-8A30-9DBF3B1EDBCC}">
      <text>
        <r>
          <rPr>
            <sz val="10"/>
            <color indexed="81"/>
            <rFont val="Lucida Console"/>
            <family val="3"/>
          </rPr>
          <t>Última movimentação no estoque em 05/2023 quantidade 20.</t>
        </r>
      </text>
    </comment>
    <comment ref="R625" authorId="0" shapeId="0" xr:uid="{4EDE976C-C4D7-4576-B526-FACA3D91EE89}">
      <text>
        <r>
          <rPr>
            <sz val="10"/>
            <color indexed="81"/>
            <rFont val="Lucida Console"/>
            <family val="3"/>
          </rPr>
          <t>01.01.1901</t>
        </r>
      </text>
    </comment>
    <comment ref="Y625" authorId="0" shapeId="0" xr:uid="{CC0EF8E2-46CA-4E1C-91A8-13594847039A}">
      <text>
        <r>
          <rPr>
            <sz val="10"/>
            <color indexed="81"/>
            <rFont val="Courier New"/>
            <family val="3"/>
          </rPr>
          <t>_x000D_
    DESCRIÇÃO DO CÁLCULO_x000D_
Código    : 49.254_x000D_
Corte     : 356_x000D_
-----------------------------_x000D_
Pendente  : 24_x000D_
22 / 08_2 : 100_x000D_
22 / 09_2 : 134_x000D_
22 / 10_2 : 33_x000D_
22 / 11_2 : 80_x000D_
22 / 12_2 : 100_x000D_
23 / 01_2 : 121_x000D_
23 / 02_2 : 90_x000D_
23 / 03_2 : 342_x000D_
23 / 04_2 : 289_x000D_
23 / 05_2 : 40_x000D_
23 / 06_2 : 271_x000D_
23 / 07_2 : 189_x000D_
_x000D_
    TOTAL : ( 1.813 )_x000D_
  DIVISOR : 12_x000D_
    MÉDIA : 151,08</t>
        </r>
      </text>
    </comment>
    <comment ref="AB625" authorId="0" shapeId="0" xr:uid="{B53752E9-53E8-4D48-BDFD-E12FC53B6D4A}">
      <text>
        <r>
          <rPr>
            <sz val="10"/>
            <color indexed="81"/>
            <rFont val="Lucida Console"/>
            <family val="3"/>
          </rPr>
          <t>Última movimentação no estoque em 07/2023 quantidade 189.</t>
        </r>
      </text>
    </comment>
    <comment ref="R626" authorId="0" shapeId="0" xr:uid="{90427828-A8F7-4E1B-9BB0-DBAC011D9973}">
      <text>
        <r>
          <rPr>
            <sz val="10"/>
            <color indexed="81"/>
            <rFont val="Lucida Console"/>
            <family val="3"/>
          </rPr>
          <t>01.01.1901</t>
        </r>
      </text>
    </comment>
    <comment ref="Y626" authorId="0" shapeId="0" xr:uid="{523FD8F1-C1E4-4234-B3FC-D5F49041DEAB}">
      <text>
        <r>
          <rPr>
            <sz val="10"/>
            <color indexed="81"/>
            <rFont val="Courier New"/>
            <family val="3"/>
          </rPr>
          <t>_x000D_
    DESCRIÇÃO DO CÁLCULO_x000D_
Código    : 16.978_x000D_
Corte     : 44_x000D_
-----------------------------_x000D_
Pendente  : _x000D_
22 / 08_2 : 20_x000D_
22 / 09_2 : 44 (corte = 47)_x000D_
22 / 10_2 : _x000D_
22 / 11_2 : _x000D_
22 / 12_2 : _x000D_
23 / 01_2 : 10_x000D_
23 / 02_2 : 10_x000D_
23 / 03_2 : _x000D_
23 / 04_2 : _x000D_
23 / 05_2 : _x000D_
23 / 06_2 : 30_x000D_
23 / 07_2 : 30_x000D_
_x000D_
    TOTAL : ( 144 )_x000D_
  DIVISOR : 12_x000D_
    MÉDIA : 12,00_x000D_
-----------------------------_x000D_
   Valores Desconsiderados_x000D_
-----------------------------_x000D_
22 / 09_2 : 3 (47)_x000D_
_x000D_
  TOTAL   : ( 3 )</t>
        </r>
      </text>
    </comment>
    <comment ref="AB626" authorId="0" shapeId="0" xr:uid="{96309B60-57FE-4AAA-99F2-6D834B205533}">
      <text>
        <r>
          <rPr>
            <sz val="10"/>
            <color indexed="81"/>
            <rFont val="Lucida Console"/>
            <family val="3"/>
          </rPr>
          <t>Última movimentação no estoque em 07/2023 quantidade 30.</t>
        </r>
      </text>
    </comment>
    <comment ref="R627" authorId="0" shapeId="0" xr:uid="{0CB5ABED-66C8-40C6-A972-FB20BDE59C4E}">
      <text>
        <r>
          <rPr>
            <sz val="10"/>
            <color indexed="81"/>
            <rFont val="Lucida Console"/>
            <family val="3"/>
          </rPr>
          <t>01.01.1901</t>
        </r>
      </text>
    </comment>
    <comment ref="Y627" authorId="0" shapeId="0" xr:uid="{0420726E-2AE7-4356-A19F-0AF6A9793DE6}">
      <text>
        <r>
          <rPr>
            <sz val="10"/>
            <color indexed="81"/>
            <rFont val="Courier New"/>
            <family val="3"/>
          </rPr>
          <t>_x000D_
    DESCRIÇÃO DO CÁLCULO_x000D_
Código    : 16.956_x000D_
Corte     : 30_x000D_
-----------------------------_x000D_
Pendente  : _x000D_
22 / 08_2 : _x000D_
22 / 09_2 : 12_x000D_
22 / 10_2 : _x000D_
22 / 11_2 : _x000D_
22 / 12_2 : 10_x000D_
23 / 01_2 : _x000D_
23 / 02_2 : _x000D_
23 / 03_2 : _x000D_
23 / 04_2 : _x000D_
23 / 05_2 : _x000D_
23 / 06_2 : 30_x000D_
23 / 07_2 : 30_x000D_
_x000D_
    TOTAL : ( 82 )_x000D_
  DIVISOR : 12_x000D_
    MÉDIA : 6,83</t>
        </r>
      </text>
    </comment>
    <comment ref="AB627" authorId="0" shapeId="0" xr:uid="{9DE503A5-3F00-4FED-B884-36ED4DD12E64}">
      <text>
        <r>
          <rPr>
            <sz val="10"/>
            <color indexed="81"/>
            <rFont val="Lucida Console"/>
            <family val="3"/>
          </rPr>
          <t>Última movimentação no estoque em 07/2023 quantidade 30.</t>
        </r>
      </text>
    </comment>
    <comment ref="R628" authorId="0" shapeId="0" xr:uid="{4E3F8C45-C6E2-48B8-9D31-74B1396BD757}">
      <text>
        <r>
          <rPr>
            <sz val="10"/>
            <color indexed="81"/>
            <rFont val="Lucida Console"/>
            <family val="3"/>
          </rPr>
          <t>20.08.2009</t>
        </r>
      </text>
    </comment>
    <comment ref="Y628" authorId="0" shapeId="0" xr:uid="{19C5B638-A1A7-4563-88BF-2C7AA1DDDBA7}">
      <text>
        <r>
          <rPr>
            <sz val="10"/>
            <color indexed="81"/>
            <rFont val="Courier New"/>
            <family val="3"/>
          </rPr>
          <t>_x000D_
    DESCRIÇÃO DO CÁLCULO_x000D_
Código    : 112.163_x000D_
Corte     : 175_x000D_
-----------------------------_x000D_
Pendente  : _x000D_
22 / 08_2 : 117_x000D_
22 / 09_2 : 113_x000D_
22 / 10_2 : 27_x000D_
22 / 11_2 : 59_x000D_
22 / 12_2 : 93_x000D_
23 / 01_2 : 85_x000D_
23 / 02_2 : 30_x000D_
23 / 03_2 : 175 (corte = 198)_x000D_
23 / 04_2 : 30_x000D_
23 / 05_2 : 31_x000D_
23 / 06_2 : 42_x000D_
23 / 07_2 : 50_x000D_
_x000D_
    TOTAL : ( 852 )_x000D_
  DIVISOR : 12_x000D_
    MÉDIA : 71,00_x000D_
-----------------------------_x000D_
   Valores Desconsiderados_x000D_
-----------------------------_x000D_
23 / 03_2 : 23 (198)_x000D_
_x000D_
  TOTAL   : ( 23 )</t>
        </r>
      </text>
    </comment>
    <comment ref="AB628" authorId="0" shapeId="0" xr:uid="{E64C141B-5ACC-40AA-9060-FB46F0BAEA0E}">
      <text>
        <r>
          <rPr>
            <sz val="10"/>
            <color indexed="81"/>
            <rFont val="Lucida Console"/>
            <family val="3"/>
          </rPr>
          <t>Última movimentação no estoque em 07/2023 quantidade 50.</t>
        </r>
      </text>
    </comment>
    <comment ref="R629" authorId="0" shapeId="0" xr:uid="{C8DF06FA-7EA9-4487-B488-AB76A32A2A63}">
      <text>
        <r>
          <rPr>
            <sz val="10"/>
            <color indexed="81"/>
            <rFont val="Lucida Console"/>
            <family val="3"/>
          </rPr>
          <t>20.08.2009</t>
        </r>
      </text>
    </comment>
    <comment ref="Y629" authorId="0" shapeId="0" xr:uid="{5BF7CA38-91EE-4253-A2ED-FA06E8E33B11}">
      <text>
        <r>
          <rPr>
            <sz val="10"/>
            <color indexed="81"/>
            <rFont val="Courier New"/>
            <family val="3"/>
          </rPr>
          <t>_x000D_
    DESCRIÇÃO DO CÁLCULO_x000D_
Código    : 112.162_x000D_
Corte     : 44_x000D_
-----------------------------_x000D_
Pendente  : _x000D_
22 / 08_2 : 41_x000D_
22 / 09_2 : 5_x000D_
22 / 10_2 : 10_x000D_
22 / 11_2 : _x000D_
22 / 12_2 : _x000D_
23 / 01_2 : _x000D_
23 / 02_2 : _x000D_
23 / 03_2 : 1_x000D_
23 / 04_2 : _x000D_
23 / 05_2 : 11_x000D_
23 / 06_2 : _x000D_
23 / 07_2 : 44 (corte = 50)_x000D_
_x000D_
    TOTAL : ( 112 )_x000D_
  DIVISOR : 12_x000D_
    MÉDIA : 9,33_x000D_
-----------------------------_x000D_
   Valores Desconsiderados_x000D_
-----------------------------_x000D_
23 / 07_2 : 6 (50)_x000D_
_x000D_
  TOTAL   : ( 6 )</t>
        </r>
      </text>
    </comment>
    <comment ref="AB629" authorId="0" shapeId="0" xr:uid="{53B7CF30-ED8E-45A3-B848-63464B6B0224}">
      <text>
        <r>
          <rPr>
            <sz val="10"/>
            <color indexed="81"/>
            <rFont val="Lucida Console"/>
            <family val="3"/>
          </rPr>
          <t>Última movimentação no estoque em 07/2023 quantidade 50.</t>
        </r>
      </text>
    </comment>
    <comment ref="R630" authorId="0" shapeId="0" xr:uid="{C081F8ED-5178-40BD-B7C3-4472F70CCD8D}">
      <text>
        <r>
          <rPr>
            <sz val="10"/>
            <color indexed="81"/>
            <rFont val="Lucida Console"/>
            <family val="3"/>
          </rPr>
          <t>01.01.1901</t>
        </r>
      </text>
    </comment>
    <comment ref="Y630" authorId="0" shapeId="0" xr:uid="{CB2FC115-B535-406D-B438-AFC94CBA37D6}">
      <text>
        <r>
          <rPr>
            <sz val="10"/>
            <color indexed="81"/>
            <rFont val="Courier New"/>
            <family val="3"/>
          </rPr>
          <t>_x000D_
    DESCRIÇÃO DO CÁLCULO_x000D_
Código    : 58.706_x000D_
Corte     : 94_x000D_
-----------------------------_x000D_
Pendente  : _x000D_
22 / 08_2 : 84_x000D_
22 / 09_2 : 86_x000D_
22 / 10_2 : 56_x000D_
22 / 11_2 : 15_x000D_
22 / 12_2 : 32_x000D_
23 / 01_2 : 18_x000D_
23 / 02_2 : 45_x000D_
23 / 03_2 : 64_x000D_
23 / 04_2 : 54_x000D_
23 / 05_2 : 18_x000D_
23 / 06_2 : 45_x000D_
23 / 07_2 : 32_x000D_
_x000D_
    TOTAL : ( 549 )_x000D_
  DIVISOR : 12_x000D_
    MÉDIA : 45,75</t>
        </r>
      </text>
    </comment>
    <comment ref="AB630" authorId="0" shapeId="0" xr:uid="{2DEB1F4C-79D7-4E12-A656-D3935117DAF8}">
      <text>
        <r>
          <rPr>
            <sz val="10"/>
            <color indexed="81"/>
            <rFont val="Lucida Console"/>
            <family val="3"/>
          </rPr>
          <t>Última movimentação no estoque em 07/2023 quantidade 32.</t>
        </r>
      </text>
    </comment>
    <comment ref="R631" authorId="0" shapeId="0" xr:uid="{0E6DF835-E31F-43DA-B765-AE524CDF8825}">
      <text>
        <r>
          <rPr>
            <sz val="10"/>
            <color indexed="81"/>
            <rFont val="Lucida Console"/>
            <family val="3"/>
          </rPr>
          <t>15.03.2018</t>
        </r>
      </text>
    </comment>
    <comment ref="Y631" authorId="0" shapeId="0" xr:uid="{82DE7C59-4AAE-4412-A146-E0CC473A51AC}">
      <text>
        <r>
          <rPr>
            <sz val="10"/>
            <color indexed="81"/>
            <rFont val="Courier New"/>
            <family val="3"/>
          </rPr>
          <t>_x000D_
    DESCRIÇÃO DO CÁLCULO_x000D_
Código    : 134.570_x000D_
Corte     : 50_x000D_
-----------------------------_x000D_
Pendente  : 34_x000D_
22 / 08_2 : 30_x000D_
22 / 09_2 : 41_x000D_
22 / 10_2 : 10_x000D_
22 / 11_2 : 20_x000D_
22 / 12_2 : 30_x000D_
23 / 01_2 : 40_x000D_
23 / 02_2 : 6_x000D_
23 / 03_2 : _x000D_
23 / 04_2 : _x000D_
23 / 05_2 : _x000D_
23 / 06_2 : _x000D_
23 / 07_2 : _x000D_
_x000D_
    TOTAL : ( 211 )_x000D_
  DIVISOR : 12_x000D_
    MÉDIA : 17,58</t>
        </r>
      </text>
    </comment>
    <comment ref="AB631" authorId="0" shapeId="0" xr:uid="{5FEA4F6A-9E25-493E-9109-FE76A1166595}">
      <text>
        <r>
          <rPr>
            <sz val="10"/>
            <color indexed="81"/>
            <rFont val="Lucida Console"/>
            <family val="3"/>
          </rPr>
          <t>Última movimentação no estoque em 02/2023 quantidade 6.</t>
        </r>
      </text>
    </comment>
    <comment ref="R632" authorId="0" shapeId="0" xr:uid="{848B765D-2E97-4F53-BAD8-DB6896356CDD}">
      <text>
        <r>
          <rPr>
            <sz val="10"/>
            <color indexed="81"/>
            <rFont val="Lucida Console"/>
            <family val="3"/>
          </rPr>
          <t>15.03.2018</t>
        </r>
      </text>
    </comment>
    <comment ref="Y632" authorId="0" shapeId="0" xr:uid="{0F63F4B5-0D36-467C-AB7D-DBC2D11356E6}">
      <text>
        <r>
          <rPr>
            <sz val="10"/>
            <color indexed="81"/>
            <rFont val="Courier New"/>
            <family val="3"/>
          </rPr>
          <t>_x000D_
    DESCRIÇÃO DO CÁLCULO_x000D_
Código    : 134.558_x000D_
Corte     : 132_x000D_
-----------------------------_x000D_
Pendente  : _x000D_
22 / 08_2 : _x000D_
22 / 09_2 : _x000D_
22 / 10_2 : _x000D_
22 / 11_2 : _x000D_
22 / 12_2 : _x000D_
23 / 01_2 : _x000D_
23 / 02_2 : _x000D_
23 / 03_2 : 132 (corte = 200)_x000D_
23 / 04_2 : _x000D_
23 / 05_2 : _x000D_
23 / 06_2 : _x000D_
23 / 07_2 : _x000D_
_x000D_
    TOTAL : ( 132 )_x000D_
  DIVISOR : 12_x000D_
    MÉDIA : 11,00_x000D_
-----------------------------_x000D_
   Valores Desconsiderados_x000D_
-----------------------------_x000D_
23 / 03_2 : 68 (200)_x000D_
_x000D_
  TOTAL   : ( 68 )</t>
        </r>
      </text>
    </comment>
    <comment ref="AB632" authorId="0" shapeId="0" xr:uid="{1D43619E-4E32-4E20-A673-1ECE0D9DD37D}">
      <text>
        <r>
          <rPr>
            <sz val="10"/>
            <color indexed="81"/>
            <rFont val="Lucida Console"/>
            <family val="3"/>
          </rPr>
          <t>Última movimentação no estoque em 03/2023 quantidade 200.</t>
        </r>
      </text>
    </comment>
    <comment ref="R633" authorId="0" shapeId="0" xr:uid="{464CD0B9-DE49-4B52-9229-C0E2F84EF441}">
      <text>
        <r>
          <rPr>
            <sz val="10"/>
            <color indexed="81"/>
            <rFont val="Lucida Console"/>
            <family val="3"/>
          </rPr>
          <t>15.03.2018</t>
        </r>
      </text>
    </comment>
    <comment ref="Y633" authorId="0" shapeId="0" xr:uid="{1E2CAC6A-D47F-4549-B67C-A894FECA6ACA}">
      <text>
        <r>
          <rPr>
            <sz val="10"/>
            <color indexed="81"/>
            <rFont val="Courier New"/>
            <family val="3"/>
          </rPr>
          <t>_x000D_
    DESCRIÇÃO DO CÁLCULO_x000D_
Código    : 134.559_x000D_
Corte     : 758_x000D_
-----------------------------_x000D_
Pendente  : _x000D_
22 / 08_2 : _x000D_
22 / 09_2 : _x000D_
22 / 10_2 : 400_x000D_
22 / 11_2 : _x000D_
22 / 12_2 : 300_x000D_
23 / 01_2 : _x000D_
23 / 02_2 : _x000D_
23 / 03_2 : 200_x000D_
23 / 04_2 : _x000D_
23 / 05_2 : _x000D_
23 / 06_2 : 758 (corte = 1000)_x000D_
23 / 07_2 : _x000D_
_x000D_
    TOTAL : ( 1.658 )_x000D_
  DIVISOR : 12_x000D_
    MÉDIA : 138,17_x000D_
-----------------------------_x000D_
   Valores Desconsiderados_x000D_
-----------------------------_x000D_
23 / 06_2 : 242 (1.000)_x000D_
_x000D_
  TOTAL   : ( 242 )</t>
        </r>
      </text>
    </comment>
    <comment ref="AB633" authorId="0" shapeId="0" xr:uid="{5A8F1A08-A720-4D13-AF64-0882F16084DD}">
      <text>
        <r>
          <rPr>
            <sz val="10"/>
            <color indexed="81"/>
            <rFont val="Lucida Console"/>
            <family val="3"/>
          </rPr>
          <t>Última movimentação no estoque em 06/2023 quantidade 1.000.</t>
        </r>
      </text>
    </comment>
    <comment ref="R634" authorId="0" shapeId="0" xr:uid="{58BF0C7F-4924-46DE-8287-3184247C8649}">
      <text>
        <r>
          <rPr>
            <sz val="10"/>
            <color indexed="81"/>
            <rFont val="Lucida Console"/>
            <family val="3"/>
          </rPr>
          <t>01.01.1901</t>
        </r>
      </text>
    </comment>
    <comment ref="Y634" authorId="0" shapeId="0" xr:uid="{0B93548F-F6A0-4791-AFA6-3FBEC8C10818}">
      <text>
        <r>
          <rPr>
            <sz val="10"/>
            <color indexed="81"/>
            <rFont val="Courier New"/>
            <family val="3"/>
          </rPr>
          <t>_x000D_
    DESCRIÇÃO DO CÁLCULO_x000D_
Código    : 64.462_x000D_
Corte     : 1.056_x000D_
-----------------------------_x000D_
Pendente  : _x000D_
22 / 08_2 : 200_x000D_
22 / 09_2 : 40_x000D_
22 / 10_2 : 824_x000D_
22 / 11_2 : 1.000_x000D_
22 / 12_2 : 560_x000D_
23 / 01_2 : 565_x000D_
23 / 02_2 : 590_x000D_
23 / 03_2 : 100_x000D_
23 / 04_2 : 500_x000D_
23 / 05_2 : 200_x000D_
23 / 06_2 : _x000D_
23 / 07_2 : _x000D_
_x000D_
    TOTAL : ( 4.579 )_x000D_
  DIVISOR : 12_x000D_
    MÉDIA : 381,58</t>
        </r>
      </text>
    </comment>
    <comment ref="AB634" authorId="0" shapeId="0" xr:uid="{73959435-B675-4397-A51F-9377BF84AAAA}">
      <text>
        <r>
          <rPr>
            <sz val="10"/>
            <color indexed="81"/>
            <rFont val="Lucida Console"/>
            <family val="3"/>
          </rPr>
          <t>Última movimentação no estoque em 05/2023 quantidade 200.</t>
        </r>
      </text>
    </comment>
    <comment ref="R635" authorId="0" shapeId="0" xr:uid="{0E548B83-C846-4124-BCA8-4D22C0063D6D}">
      <text>
        <r>
          <rPr>
            <sz val="10"/>
            <color indexed="81"/>
            <rFont val="Lucida Console"/>
            <family val="3"/>
          </rPr>
          <t>01.09.2020</t>
        </r>
      </text>
    </comment>
    <comment ref="Y635" authorId="0" shapeId="0" xr:uid="{0895E439-46B1-47F5-A350-88BA49B04AC2}">
      <text>
        <r>
          <rPr>
            <sz val="10"/>
            <color indexed="81"/>
            <rFont val="Courier New"/>
            <family val="3"/>
          </rPr>
          <t>_x000D_
    DESCRIÇÃO DO CÁLCULO_x000D_
Código    : 139.957_x000D_
Corte     : 834_x000D_
-----------------------------_x000D_
Pendente  : 46_x000D_
22 / 08_2 : 610_x000D_
22 / 09_2 : _x000D_
22 / 10_2 : _x000D_
22 / 11_2 : _x000D_
22 / 12_2 : 834 (corte = 998)_x000D_
23 / 01_2 : 523_x000D_
23 / 02_2 : 2_x000D_
23 / 03_2 : 3_x000D_
23 / 04_2 : 1_x000D_
23 / 05_2 : _x000D_
23 / 06_2 : 9_x000D_
23 / 07_2 : _x000D_
_x000D_
    TOTAL : ( 2.028 )_x000D_
  DIVISOR : 12_x000D_
    MÉDIA : 169,00_x000D_
-----------------------------_x000D_
   Valores Desconsiderados_x000D_
-----------------------------_x000D_
22 / 12_2 : 164 (998)_x000D_
_x000D_
  TOTAL   : ( 164 )</t>
        </r>
      </text>
    </comment>
    <comment ref="AB635" authorId="0" shapeId="0" xr:uid="{3C1E0D4B-0693-4568-A3B1-E456ADE56260}">
      <text>
        <r>
          <rPr>
            <sz val="10"/>
            <color indexed="81"/>
            <rFont val="Lucida Console"/>
            <family val="3"/>
          </rPr>
          <t>Última movimentação no estoque em 06/2023 quantidade 9.</t>
        </r>
      </text>
    </comment>
    <comment ref="R636" authorId="0" shapeId="0" xr:uid="{425FFCED-4FDF-467F-96B9-133065456B59}">
      <text>
        <r>
          <rPr>
            <sz val="10"/>
            <color indexed="81"/>
            <rFont val="Lucida Console"/>
            <family val="3"/>
          </rPr>
          <t>01.09.2020</t>
        </r>
      </text>
    </comment>
    <comment ref="Y636" authorId="0" shapeId="0" xr:uid="{580265B6-5E05-408F-8787-B3793733EB22}">
      <text>
        <r>
          <rPr>
            <sz val="10"/>
            <color indexed="81"/>
            <rFont val="Courier New"/>
            <family val="3"/>
          </rPr>
          <t>_x000D_
    DESCRIÇÃO DO CÁLCULO_x000D_
Código    : 139.958_x000D_
Corte     : 1.687_x000D_
-----------------------------_x000D_
Pendente  : 15_x000D_
22 / 08_2 : 1.405_x000D_
22 / 09_2 : 1.392_x000D_
22 / 10_2 : 1.678_x000D_
22 / 11_2 : _x000D_
22 / 12_2 : 72_x000D_
23 / 01_2 : _x000D_
23 / 02_2 : 5_x000D_
23 / 03_2 : 3_x000D_
23 / 04_2 : _x000D_
23 / 05_2 : _x000D_
23 / 06_2 : _x000D_
23 / 07_2 : _x000D_
_x000D_
    TOTAL : ( 4.570 )_x000D_
  DIVISOR : 12_x000D_
    MÉDIA : 380,83</t>
        </r>
      </text>
    </comment>
    <comment ref="AB636" authorId="0" shapeId="0" xr:uid="{3C0294B5-3CE3-49C1-937F-A43F4252CED6}">
      <text>
        <r>
          <rPr>
            <sz val="10"/>
            <color indexed="81"/>
            <rFont val="Lucida Console"/>
            <family val="3"/>
          </rPr>
          <t>Última movimentação no estoque em 03/2023 quantidade 3.</t>
        </r>
      </text>
    </comment>
    <comment ref="R637" authorId="0" shapeId="0" xr:uid="{E3FF2660-E3D7-4ECC-85C5-4950626FE8C3}">
      <text>
        <r>
          <rPr>
            <sz val="10"/>
            <color indexed="81"/>
            <rFont val="Lucida Console"/>
            <family val="3"/>
          </rPr>
          <t>01.01.1901</t>
        </r>
      </text>
    </comment>
    <comment ref="Y637" authorId="0" shapeId="0" xr:uid="{739DD40C-6430-43C4-8D99-F04D9D3E0349}">
      <text>
        <r>
          <rPr>
            <sz val="10"/>
            <color indexed="81"/>
            <rFont val="Courier New"/>
            <family val="3"/>
          </rPr>
          <t>_x000D_
    DESCRIÇÃO DO CÁLCULO_x000D_
Código    : 14.056_x000D_
Corte     : 2_x000D_
-----------------------------_x000D_
Pendente  : _x000D_
22 / 08_2 : _x000D_
22 / 09_2 : 2_x000D_
22 / 10_2 : 1_x000D_
22 / 11_2 : 1_x000D_
22 / 12_2 : _x000D_
23 / 01_2 : 1_x000D_
23 / 02_2 : 1_x000D_
23 / 03_2 : _x000D_
23 / 04_2 : _x000D_
23 / 05_2 : _x000D_
23 / 06_2 : 2_x000D_
23 / 07_2 : _x000D_
_x000D_
    TOTAL : ( 8 )_x000D_
  DIVISOR : 12_x000D_
    MÉDIA : ,67</t>
        </r>
      </text>
    </comment>
    <comment ref="AB637" authorId="0" shapeId="0" xr:uid="{2438EEB0-D355-4A8B-89A5-D474FCF11A02}">
      <text>
        <r>
          <rPr>
            <sz val="10"/>
            <color indexed="81"/>
            <rFont val="Lucida Console"/>
            <family val="3"/>
          </rPr>
          <t>Última movimentação no estoque em 06/2023 quantidade 2.</t>
        </r>
      </text>
    </comment>
    <comment ref="R638" authorId="0" shapeId="0" xr:uid="{36F63D7A-7BB2-422B-976A-C1B76C4D7F90}">
      <text>
        <r>
          <rPr>
            <sz val="10"/>
            <color indexed="81"/>
            <rFont val="Lucida Console"/>
            <family val="3"/>
          </rPr>
          <t>17.08.2005</t>
        </r>
      </text>
    </comment>
    <comment ref="Y638" authorId="0" shapeId="0" xr:uid="{0CF13C9C-819C-4C43-972B-83378417F1F2}">
      <text>
        <r>
          <rPr>
            <sz val="10"/>
            <color indexed="81"/>
            <rFont val="Courier New"/>
            <family val="3"/>
          </rPr>
          <t>_x000D_
    DESCRIÇÃO DO CÁLCULO_x000D_
Código    : 87.247_x000D_
Corte     : 15_x000D_
-----------------------------_x000D_
Pendente  : _x000D_
22 / 08_2 : _x000D_
22 / 09_2 : _x000D_
22 / 10_2 : _x000D_
22 / 11_2 : 4_x000D_
22 / 12_2 : 10_x000D_
23 / 01_2 : 3_x000D_
23 / 02_2 : _x000D_
23 / 03_2 : 15 (corte = 20)_x000D_
23 / 04_2 : _x000D_
23 / 05_2 : _x000D_
23 / 06_2 : 2_x000D_
23 / 07_2 : _x000D_
_x000D_
    TOTAL : ( 34 )_x000D_
  DIVISOR : 12_x000D_
    MÉDIA : 2,83_x000D_
-----------------------------_x000D_
   Valores Desconsiderados_x000D_
-----------------------------_x000D_
23 / 03_2 : 5 (20)_x000D_
_x000D_
  TOTAL   : ( 5 )</t>
        </r>
      </text>
    </comment>
    <comment ref="AB638" authorId="0" shapeId="0" xr:uid="{477820B9-B0FC-49E7-B117-51706DEB3C00}">
      <text>
        <r>
          <rPr>
            <sz val="10"/>
            <color indexed="81"/>
            <rFont val="Lucida Console"/>
            <family val="3"/>
          </rPr>
          <t>Última movimentação no estoque em 06/2023 quantidade 2.</t>
        </r>
      </text>
    </comment>
    <comment ref="R639" authorId="0" shapeId="0" xr:uid="{23D4ED0F-9A32-4B83-B411-0D42C63C16B6}">
      <text>
        <r>
          <rPr>
            <sz val="10"/>
            <color indexed="81"/>
            <rFont val="Lucida Console"/>
            <family val="3"/>
          </rPr>
          <t>22.10.2007</t>
        </r>
      </text>
    </comment>
    <comment ref="Y639" authorId="0" shapeId="0" xr:uid="{67B257C9-B9A1-4D7D-910D-10FAF80B0D44}">
      <text>
        <r>
          <rPr>
            <sz val="10"/>
            <color indexed="81"/>
            <rFont val="Courier New"/>
            <family val="3"/>
          </rPr>
          <t>_x000D_
    DESCRIÇÃO DO CÁLCULO_x000D_
Código    : 102.832_x000D_
Corte     : 36_x000D_
-----------------------------_x000D_
Pendente  : _x000D_
22 / 08_2 : _x000D_
22 / 09_2 : _x000D_
22 / 10_2 : _x000D_
22 / 11_2 : 10_x000D_
22 / 12_2 : _x000D_
23 / 01_2 : 13_x000D_
23 / 02_2 : 12_x000D_
23 / 03_2 : 5_x000D_
23 / 04_2 : _x000D_
23 / 05_2 : 36 (corte = 50)_x000D_
23 / 06_2 : _x000D_
23 / 07_2 : _x000D_
_x000D_
    TOTAL : ( 76 )_x000D_
  DIVISOR : 12_x000D_
    MÉDIA : 6,33_x000D_
-----------------------------_x000D_
   Valores Desconsiderados_x000D_
-----------------------------_x000D_
23 / 05_2 : 14 (50)_x000D_
_x000D_
  TOTAL   : ( 14 )</t>
        </r>
      </text>
    </comment>
    <comment ref="AB639" authorId="0" shapeId="0" xr:uid="{6494F43F-A1A4-43E6-881C-0559B0A0E229}">
      <text>
        <r>
          <rPr>
            <sz val="10"/>
            <color indexed="81"/>
            <rFont val="Lucida Console"/>
            <family val="3"/>
          </rPr>
          <t>Última movimentação no estoque em 05/2023 quantidade 50.</t>
        </r>
      </text>
    </comment>
    <comment ref="R640" authorId="0" shapeId="0" xr:uid="{0A958197-3858-4C1B-8CD9-87385EEE8584}">
      <text>
        <r>
          <rPr>
            <sz val="10"/>
            <color indexed="81"/>
            <rFont val="Lucida Console"/>
            <family val="3"/>
          </rPr>
          <t>01.01.1901</t>
        </r>
      </text>
    </comment>
    <comment ref="Y640" authorId="0" shapeId="0" xr:uid="{27E0C624-F715-4BAF-A9AE-C2A35AC5A93F}">
      <text>
        <r>
          <rPr>
            <sz val="10"/>
            <color indexed="81"/>
            <rFont val="Courier New"/>
            <family val="3"/>
          </rPr>
          <t>_x000D_
    DESCRIÇÃO DO CÁLCULO_x000D_
Código    : 24.888_x000D_
Corte     : 3_x000D_
-----------------------------_x000D_
Pendente  : _x000D_
22 / 08_2 : _x000D_
22 / 09_2 : 3 (corte = 5)_x000D_
22 / 10_2 : _x000D_
22 / 11_2 : _x000D_
22 / 12_2 : _x000D_
23 / 01_2 : _x000D_
23 / 02_2 : _x000D_
23 / 03_2 : 1_x000D_
23 / 04_2 : _x000D_
23 / 05_2 : _x000D_
23 / 06_2 : _x000D_
23 / 07_2 : _x000D_
_x000D_
    TOTAL : ( 4 )_x000D_
  DIVISOR : 12_x000D_
    MÉDIA : ,33_x000D_
-----------------------------_x000D_
   Valores Desconsiderados_x000D_
-----------------------------_x000D_
22 / 09_2 : 2 (5)_x000D_
_x000D_
  TOTAL   : ( 2 )</t>
        </r>
      </text>
    </comment>
    <comment ref="AB640" authorId="0" shapeId="0" xr:uid="{93AA78F1-B2D3-4D8C-9688-E8E42C5285B6}">
      <text>
        <r>
          <rPr>
            <sz val="10"/>
            <color indexed="81"/>
            <rFont val="Lucida Console"/>
            <family val="3"/>
          </rPr>
          <t>Última movimentação no estoque em 03/2023 quantidade 1.</t>
        </r>
      </text>
    </comment>
    <comment ref="R641" authorId="0" shapeId="0" xr:uid="{5CDB201C-0891-4C8B-971E-AE9291D96883}">
      <text>
        <r>
          <rPr>
            <sz val="10"/>
            <color indexed="81"/>
            <rFont val="Lucida Console"/>
            <family val="3"/>
          </rPr>
          <t>01.01.1901</t>
        </r>
      </text>
    </comment>
    <comment ref="Y641" authorId="0" shapeId="0" xr:uid="{6E7B1760-E183-4004-A4C6-9CBDB6E40351}">
      <text>
        <r>
          <rPr>
            <sz val="10"/>
            <color indexed="81"/>
            <rFont val="Courier New"/>
            <family val="3"/>
          </rPr>
          <t>_x000D_
    DESCRIÇÃO DO CÁLCULO_x000D_
Código    : 18.337_x000D_
Corte     : 3_x000D_
-----------------------------_x000D_
Pendente  : _x000D_
22 / 08_2 : 1_x000D_
22 / 09_2 : 3 (corte = 5)_x000D_
22 / 10_2 : _x000D_
22 / 11_2 : _x000D_
22 / 12_2 : _x000D_
23 / 01_2 : 1_x000D_
23 / 02_2 : _x000D_
23 / 03_2 : _x000D_
23 / 04_2 : _x000D_
23 / 05_2 : _x000D_
23 / 06_2 : _x000D_
23 / 07_2 : _x000D_
_x000D_
    TOTAL : ( 5 )_x000D_
  DIVISOR : 12_x000D_
    MÉDIA : ,42_x000D_
-----------------------------_x000D_
   Valores Desconsiderados_x000D_
-----------------------------_x000D_
22 / 09_2 : 2 (5)_x000D_
_x000D_
  TOTAL   : ( 2 )</t>
        </r>
      </text>
    </comment>
    <comment ref="AB641" authorId="0" shapeId="0" xr:uid="{BE909370-854F-4271-B035-6D5E526A0A4B}">
      <text>
        <r>
          <rPr>
            <sz val="10"/>
            <color indexed="81"/>
            <rFont val="Lucida Console"/>
            <family val="3"/>
          </rPr>
          <t>Última movimentação no estoque em 01/2023 quantidade 1.</t>
        </r>
      </text>
    </comment>
    <comment ref="R642" authorId="0" shapeId="0" xr:uid="{B5956C12-F0F2-4445-9E81-EED6043D7D55}">
      <text>
        <r>
          <rPr>
            <sz val="10"/>
            <color indexed="81"/>
            <rFont val="Lucida Console"/>
            <family val="3"/>
          </rPr>
          <t>01.01.1901</t>
        </r>
      </text>
    </comment>
    <comment ref="Y642" authorId="0" shapeId="0" xr:uid="{F9DC6F9A-5DD7-4194-B3CD-FDC0376EBF4F}">
      <text>
        <r>
          <rPr>
            <sz val="10"/>
            <color indexed="81"/>
            <rFont val="Courier New"/>
            <family val="3"/>
          </rPr>
          <t>_x000D_
    DESCRIÇÃO DO CÁLCULO_x000D_
Código    : 18.346_x000D_
Corte     : 3_x000D_
-----------------------------_x000D_
Pendente  : _x000D_
22 / 08_2 : _x000D_
22 / 09_2 : 2_x000D_
22 / 10_2 : _x000D_
22 / 11_2 : _x000D_
22 / 12_2 : _x000D_
23 / 01_2 : 1_x000D_
23 / 02_2 : 3_x000D_
23 / 03_2 : 3 (corte = 4)_x000D_
23 / 04_2 : _x000D_
23 / 05_2 : _x000D_
23 / 06_2 : _x000D_
23 / 07_2 : _x000D_
_x000D_
    TOTAL : ( 9 )_x000D_
  DIVISOR : 12_x000D_
    MÉDIA : ,75_x000D_
-----------------------------_x000D_
   Valores Desconsiderados_x000D_
-----------------------------_x000D_
23 / 03_2 : 1 (4)_x000D_
_x000D_
  TOTAL   : ( 1 )</t>
        </r>
      </text>
    </comment>
    <comment ref="AB642" authorId="0" shapeId="0" xr:uid="{83E418E4-FAAD-4113-B5D6-FF1138E0EE66}">
      <text>
        <r>
          <rPr>
            <sz val="10"/>
            <color indexed="81"/>
            <rFont val="Lucida Console"/>
            <family val="3"/>
          </rPr>
          <t>Última movimentação no estoque em 03/2023 quantidade 4.</t>
        </r>
      </text>
    </comment>
    <comment ref="R643" authorId="0" shapeId="0" xr:uid="{272B2B8F-7D2B-4BDF-BB12-E1607AD57496}">
      <text>
        <r>
          <rPr>
            <sz val="10"/>
            <color indexed="81"/>
            <rFont val="Lucida Console"/>
            <family val="3"/>
          </rPr>
          <t>01.01.1901</t>
        </r>
      </text>
    </comment>
    <comment ref="Y643" authorId="0" shapeId="0" xr:uid="{2F024044-76BA-460E-9C9E-7EC1FF0147F2}">
      <text>
        <r>
          <rPr>
            <sz val="10"/>
            <color indexed="81"/>
            <rFont val="Courier New"/>
            <family val="3"/>
          </rPr>
          <t>_x000D_
    DESCRIÇÃO DO CÁLCULO_x000D_
Código    : 18.353_x000D_
Corte     : 38_x000D_
-----------------------------_x000D_
Pendente  : 22_x000D_
22 / 08_2 : 28_x000D_
22 / 09_2 : 13_x000D_
22 / 10_2 : _x000D_
22 / 11_2 : _x000D_
22 / 12_2 : _x000D_
23 / 01_2 : 9_x000D_
23 / 02_2 : 7_x000D_
23 / 03_2 : 38 (corte = 39)_x000D_
23 / 04_2 : 22_x000D_
23 / 05_2 : 11_x000D_
23 / 06_2 : 12_x000D_
23 / 07_2 : _x000D_
_x000D_
    TOTAL : ( 162 )_x000D_
  DIVISOR : 12_x000D_
    MÉDIA : 13,50_x000D_
-----------------------------_x000D_
   Valores Desconsiderados_x000D_
-----------------------------_x000D_
23 / 03_2 : 1 (39)_x000D_
_x000D_
  TOTAL   : ( 1 )</t>
        </r>
      </text>
    </comment>
    <comment ref="AB643" authorId="0" shapeId="0" xr:uid="{EEBFE6B5-5E26-49C4-B576-0CF035BF505B}">
      <text>
        <r>
          <rPr>
            <sz val="10"/>
            <color indexed="81"/>
            <rFont val="Lucida Console"/>
            <family val="3"/>
          </rPr>
          <t>Última movimentação no estoque em 06/2023 quantidade 12.</t>
        </r>
      </text>
    </comment>
    <comment ref="R644" authorId="0" shapeId="0" xr:uid="{6DDABC77-051F-4FFF-AC35-BE8798CC90BB}">
      <text>
        <r>
          <rPr>
            <sz val="10"/>
            <color indexed="81"/>
            <rFont val="Lucida Console"/>
            <family val="3"/>
          </rPr>
          <t>01.01.1901</t>
        </r>
      </text>
    </comment>
    <comment ref="Y644" authorId="0" shapeId="0" xr:uid="{CF2AE43E-1E4D-44C9-B8B2-A26BD2B6ED75}">
      <text>
        <r>
          <rPr>
            <sz val="10"/>
            <color indexed="81"/>
            <rFont val="Courier New"/>
            <family val="3"/>
          </rPr>
          <t>_x000D_
    DESCRIÇÃO DO CÁLCULO_x000D_
Código    : 18.357_x000D_
Corte     : 35_x000D_
-----------------------------_x000D_
Pendente  : _x000D_
22 / 08_2 : 18_x000D_
22 / 09_2 : 27_x000D_
22 / 10_2 : 3_x000D_
22 / 11_2 : 6_x000D_
22 / 12_2 : 9_x000D_
23 / 01_2 : 10_x000D_
23 / 02_2 : 7_x000D_
23 / 03_2 : 35 (corte = 36)_x000D_
23 / 04_2 : 22_x000D_
23 / 05_2 : 3_x000D_
23 / 06_2 : 20_x000D_
23 / 07_2 : _x000D_
_x000D_
    TOTAL : ( 160 )_x000D_
  DIVISOR : 12_x000D_
    MÉDIA : 13,33_x000D_
-----------------------------_x000D_
   Valores Desconsiderados_x000D_
-----------------------------_x000D_
23 / 03_2 : 1 (36)_x000D_
_x000D_
  TOTAL   : ( 1 )</t>
        </r>
      </text>
    </comment>
    <comment ref="AB644" authorId="0" shapeId="0" xr:uid="{7B738B80-F247-4D19-B2C2-8A28D58AD388}">
      <text>
        <r>
          <rPr>
            <sz val="10"/>
            <color indexed="81"/>
            <rFont val="Lucida Console"/>
            <family val="3"/>
          </rPr>
          <t>Última movimentação no estoque em 06/2023 quantidade 20.</t>
        </r>
      </text>
    </comment>
    <comment ref="R645" authorId="0" shapeId="0" xr:uid="{F4C1BA06-5934-4F4F-A384-B887E4AA1CDB}">
      <text>
        <r>
          <rPr>
            <sz val="10"/>
            <color indexed="81"/>
            <rFont val="Lucida Console"/>
            <family val="3"/>
          </rPr>
          <t>01.01.1901</t>
        </r>
      </text>
    </comment>
    <comment ref="Y645" authorId="0" shapeId="0" xr:uid="{4E9AA911-2409-4157-AF92-74B0189D2E2C}">
      <text>
        <r>
          <rPr>
            <sz val="10"/>
            <color indexed="81"/>
            <rFont val="Courier New"/>
            <family val="3"/>
          </rPr>
          <t>_x000D_
    DESCRIÇÃO DO CÁLCULO_x000D_
Código    : 18.358_x000D_
Corte     : 27_x000D_
-----------------------------_x000D_
Pendente  : _x000D_
22 / 08_2 : 16_x000D_
22 / 09_2 : 14_x000D_
22 / 10_2 : 9_x000D_
22 / 11_2 : 16_x000D_
22 / 12_2 : 10_x000D_
23 / 01_2 : _x000D_
23 / 02_2 : 7_x000D_
23 / 03_2 : 21_x000D_
23 / 04_2 : 22_x000D_
23 / 05_2 : 18_x000D_
23 / 06_2 : 20_x000D_
23 / 07_2 : _x000D_
_x000D_
    TOTAL : ( 153 )_x000D_
  DIVISOR : 12_x000D_
    MÉDIA : 12,75</t>
        </r>
      </text>
    </comment>
    <comment ref="AB645" authorId="0" shapeId="0" xr:uid="{13FFAD9D-A531-4511-A3A8-ECBADEC63C11}">
      <text>
        <r>
          <rPr>
            <sz val="10"/>
            <color indexed="81"/>
            <rFont val="Lucida Console"/>
            <family val="3"/>
          </rPr>
          <t>Última movimentação no estoque em 06/2023 quantidade 20.</t>
        </r>
      </text>
    </comment>
    <comment ref="R646" authorId="0" shapeId="0" xr:uid="{3D1589AD-FC5B-481F-92FF-03D670FEDC4A}">
      <text>
        <r>
          <rPr>
            <sz val="10"/>
            <color indexed="81"/>
            <rFont val="Lucida Console"/>
            <family val="3"/>
          </rPr>
          <t>01.01.1901</t>
        </r>
      </text>
    </comment>
    <comment ref="Y646" authorId="0" shapeId="0" xr:uid="{36A73742-3672-4014-BE92-1969431B7815}">
      <text>
        <r>
          <rPr>
            <sz val="10"/>
            <color indexed="81"/>
            <rFont val="Courier New"/>
            <family val="3"/>
          </rPr>
          <t>_x000D_
    DESCRIÇÃO DO CÁLCULO_x000D_
Código    : 14.055_x000D_
Corte     : 24_x000D_
-----------------------------_x000D_
Pendente  : _x000D_
22 / 08_2 : 4_x000D_
22 / 09_2 : _x000D_
22 / 10_2 : 3_x000D_
22 / 11_2 : _x000D_
22 / 12_2 : 5_x000D_
23 / 01_2 : _x000D_
23 / 02_2 : _x000D_
23 / 03_2 : 8_x000D_
23 / 04_2 : 24 (corte = 26)_x000D_
23 / 05_2 : 16_x000D_
23 / 06_2 : 20_x000D_
23 / 07_2 : _x000D_
_x000D_
    TOTAL : ( 80 )_x000D_
  DIVISOR : 12_x000D_
    MÉDIA : 6,67_x000D_
-----------------------------_x000D_
   Valores Desconsiderados_x000D_
-----------------------------_x000D_
23 / 04_2 : 2 (26)_x000D_
_x000D_
  TOTAL   : ( 2 )</t>
        </r>
      </text>
    </comment>
    <comment ref="AB646" authorId="0" shapeId="0" xr:uid="{40DD19CC-78D0-4635-B092-8B864565261E}">
      <text>
        <r>
          <rPr>
            <sz val="10"/>
            <color indexed="81"/>
            <rFont val="Lucida Console"/>
            <family val="3"/>
          </rPr>
          <t>Última movimentação no estoque em 06/2023 quantidade 20.</t>
        </r>
      </text>
    </comment>
    <comment ref="R647" authorId="0" shapeId="0" xr:uid="{56F8222C-B1A2-44AE-AAB7-84BCEA15B90C}">
      <text>
        <r>
          <rPr>
            <sz val="10"/>
            <color indexed="81"/>
            <rFont val="Lucida Console"/>
            <family val="3"/>
          </rPr>
          <t>01.01.1901</t>
        </r>
      </text>
    </comment>
    <comment ref="Y647" authorId="0" shapeId="0" xr:uid="{CD471EBE-FBB5-4F76-B0B0-7B39642CDD67}">
      <text>
        <r>
          <rPr>
            <sz val="10"/>
            <color indexed="81"/>
            <rFont val="Courier New"/>
            <family val="3"/>
          </rPr>
          <t>_x000D_
    DESCRIÇÃO DO CÁLCULO_x000D_
Código    : 20.537_x000D_
Corte     : 7_x000D_
-----------------------------_x000D_
Pendente  : _x000D_
22 / 08_2 : _x000D_
22 / 09_2 : _x000D_
22 / 10_2 : _x000D_
22 / 11_2 : _x000D_
22 / 12_2 : _x000D_
23 / 01_2 : _x000D_
23 / 02_2 : _x000D_
23 / 03_2 : 1_x000D_
23 / 04_2 : 4_x000D_
23 / 05_2 : _x000D_
23 / 06_2 : 7 (corte = 10)_x000D_
23 / 07_2 : _x000D_
_x000D_
    TOTAL : ( 12 )_x000D_
  DIVISOR : 12_x000D_
    MÉDIA : 1,00_x000D_
-----------------------------_x000D_
   Valores Desconsiderados_x000D_
-----------------------------_x000D_
23 / 06_2 : 3 (10)_x000D_
_x000D_
  TOTAL   : ( 3 )</t>
        </r>
      </text>
    </comment>
    <comment ref="AB647" authorId="0" shapeId="0" xr:uid="{4C4CA99F-8391-4F61-9E1F-50C1A52B0FF5}">
      <text>
        <r>
          <rPr>
            <sz val="10"/>
            <color indexed="81"/>
            <rFont val="Lucida Console"/>
            <family val="3"/>
          </rPr>
          <t>Última movimentação no estoque em 06/2023 quantidade 10.</t>
        </r>
      </text>
    </comment>
    <comment ref="R648" authorId="0" shapeId="0" xr:uid="{2ABD1412-634F-4C2D-9F1D-54875F612629}">
      <text>
        <r>
          <rPr>
            <sz val="10"/>
            <color indexed="81"/>
            <rFont val="Lucida Console"/>
            <family val="3"/>
          </rPr>
          <t>01.01.1901</t>
        </r>
      </text>
    </comment>
    <comment ref="Y648" authorId="0" shapeId="0" xr:uid="{6DF50F5D-018A-4B63-9D08-12D055612DB5}">
      <text>
        <r>
          <rPr>
            <sz val="10"/>
            <color indexed="81"/>
            <rFont val="Courier New"/>
            <family val="3"/>
          </rPr>
          <t>_x000D_
    DESCRIÇÃO DO CÁLCULO_x000D_
Código    : 49.858_x000D_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648" authorId="0" shapeId="0" xr:uid="{CE6AEF62-26C1-4979-A1F7-6A2FDBBA3834}">
      <text>
        <r>
          <rPr>
            <sz val="10"/>
            <color indexed="81"/>
            <rFont val="Lucida Console"/>
            <family val="3"/>
          </rPr>
          <t>Última movimentação no estoque em 05/2023 quantidade 10.</t>
        </r>
      </text>
    </comment>
    <comment ref="R649" authorId="0" shapeId="0" xr:uid="{A5227BEF-79C8-41EE-A594-1E80F51EC333}">
      <text>
        <r>
          <rPr>
            <sz val="10"/>
            <color indexed="81"/>
            <rFont val="Lucida Console"/>
            <family val="3"/>
          </rPr>
          <t>01.01.1901</t>
        </r>
      </text>
    </comment>
    <comment ref="Y649" authorId="0" shapeId="0" xr:uid="{FEA9E301-9C82-441E-B40A-B1935EB38CFB}">
      <text>
        <r>
          <rPr>
            <sz val="10"/>
            <color indexed="81"/>
            <rFont val="Courier New"/>
            <family val="3"/>
          </rPr>
          <t>_x000D_
    DESCRIÇÃO DO CÁLCULO_x000D_
Código    : 36.031_x000D_
Corte     : 7_x000D_
-----------------------------_x000D_
Pendente  : _x000D_
22 / 08_2 : 3_x000D_
22 / 09_2 : _x000D_
22 / 10_2 : 1_x000D_
22 / 11_2 : 1_x000D_
22 / 12_2 : 2_x000D_
23 / 01_2 : 2_x000D_
23 / 02_2 : 1_x000D_
23 / 03_2 : 2_x000D_
23 / 04_2 : _x000D_
23 / 05_2 : 7 (corte = 11)_x000D_
23 / 06_2 : _x000D_
23 / 07_2 : _x000D_
_x000D_
    TOTAL : ( 19 )_x000D_
  DIVISOR : 12_x000D_
    MÉDIA : 1,58_x000D_
-----------------------------_x000D_
   Valores Desconsiderados_x000D_
-----------------------------_x000D_
23 / 05_2 : 4 (11)_x000D_
_x000D_
  TOTAL   : ( 4 )</t>
        </r>
      </text>
    </comment>
    <comment ref="AB649" authorId="0" shapeId="0" xr:uid="{AE1D8647-6970-42F2-894B-7CABAB1E9006}">
      <text>
        <r>
          <rPr>
            <sz val="10"/>
            <color indexed="81"/>
            <rFont val="Lucida Console"/>
            <family val="3"/>
          </rPr>
          <t>Última movimentação no estoque em 05/2023 quantidade 11.</t>
        </r>
      </text>
    </comment>
    <comment ref="R650" authorId="0" shapeId="0" xr:uid="{739238D4-8633-4754-8EB0-10A4DA09B5BC}">
      <text>
        <r>
          <rPr>
            <sz val="10"/>
            <color indexed="81"/>
            <rFont val="Lucida Console"/>
            <family val="3"/>
          </rPr>
          <t>26.09.2019</t>
        </r>
      </text>
    </comment>
    <comment ref="Y650" authorId="0" shapeId="0" xr:uid="{001A697A-E9B0-4B51-86B5-A357F76CFC8A}">
      <text>
        <r>
          <rPr>
            <sz val="10"/>
            <color indexed="81"/>
            <rFont val="Courier New"/>
            <family val="3"/>
          </rPr>
          <t>_x000D_
    DESCRIÇÃO DO CÁLCULO_x000D_
Código    : 138.551_x000D_
Corte     : 116_x000D_
-----------------------------_x000D_
Pendente  : 52_x000D_
22 / 08_2 : 38_x000D_
22 / 09_2 : 66_x000D_
22 / 10_2 : 9_x000D_
22 / 11_2 : 15_x000D_
22 / 12_2 : 7_x000D_
23 / 01_2 : 8_x000D_
23 / 02_2 : 18_x000D_
23 / 03_2 : 10_x000D_
23 / 04_2 : 103_x000D_
23 / 05_2 : 116 (corte = 120)_x000D_
23 / 06_2 : 8_x000D_
23 / 07_2 : _x000D_
_x000D_
    TOTAL : ( 450 )_x000D_
  DIVISOR : 12_x000D_
    MÉDIA : 37,50_x000D_
-----------------------------_x000D_
   Valores Desconsiderados_x000D_
-----------------------------_x000D_
23 / 05_2 : 4 (120)_x000D_
_x000D_
  TOTAL   : ( 4 )</t>
        </r>
      </text>
    </comment>
    <comment ref="AB650" authorId="0" shapeId="0" xr:uid="{464FD60C-5EB9-417F-95E5-F132DC2145EB}">
      <text>
        <r>
          <rPr>
            <sz val="10"/>
            <color indexed="81"/>
            <rFont val="Lucida Console"/>
            <family val="3"/>
          </rPr>
          <t>Última movimentação no estoque em 06/2023 quantidade 8.</t>
        </r>
      </text>
    </comment>
    <comment ref="R651" authorId="0" shapeId="0" xr:uid="{51821371-4C0B-4D40-889B-9EB703AE18F6}">
      <text>
        <r>
          <rPr>
            <sz val="10"/>
            <color indexed="81"/>
            <rFont val="Lucida Console"/>
            <family val="3"/>
          </rPr>
          <t>10.06.2019</t>
        </r>
      </text>
    </comment>
    <comment ref="Y651" authorId="0" shapeId="0" xr:uid="{DF22753D-FDEE-4F4C-98A6-CC21BED77504}">
      <text>
        <r>
          <rPr>
            <sz val="10"/>
            <color indexed="81"/>
            <rFont val="Courier New"/>
            <family val="3"/>
          </rPr>
          <t>_x000D_
    DESCRIÇÃO DO CÁLCULO_x000D_
Código    : 137.053_x000D_
Corte     : _x000D_
-----------------------------_x000D_
Pendente  : _x000D_
22 / 08_2 : _x000D_
22 / 09_2 : _x000D_
22 / 10_2 : _x000D_
22 / 11_2 : _x000D_
22 / 12_2 : _x000D_
23 / 01_2 : _x000D_
23 / 02_2 : _x000D_
23 / 03_2 : _x000D_
23 / 04_2 : _x000D_
23 / 05_2 :  (corte = 1)_x000D_
23 / 06_2 : _x000D_
23 / 07_2 : _x000D_
_x000D_
    TOTAL : (  )_x000D_
  DIVISOR : 12_x000D_
    MÉDIA : ,00_x000D_
-----------------------------_x000D_
   Valores Desconsiderados_x000D_
-----------------------------_x000D_
23 / 05_2 : 1 (1)_x000D_
_x000D_
  TOTAL   : ( 1 )</t>
        </r>
      </text>
    </comment>
    <comment ref="AB651" authorId="0" shapeId="0" xr:uid="{F6C47812-7F5F-446D-AEFA-50C0FB061E66}">
      <text>
        <r>
          <rPr>
            <sz val="10"/>
            <color indexed="81"/>
            <rFont val="Lucida Console"/>
            <family val="3"/>
          </rPr>
          <t>Última movimentação no estoque em 05/2023 quantidade 1.</t>
        </r>
      </text>
    </comment>
    <comment ref="R652" authorId="0" shapeId="0" xr:uid="{7DD38780-0D26-4396-9A8E-74F94D3C09B8}">
      <text>
        <r>
          <rPr>
            <sz val="10"/>
            <color indexed="81"/>
            <rFont val="Lucida Console"/>
            <family val="3"/>
          </rPr>
          <t>04.06.2019</t>
        </r>
      </text>
    </comment>
    <comment ref="Y652" authorId="0" shapeId="0" xr:uid="{7DC97676-CFAD-40A7-9126-086D3B08D09A}">
      <text>
        <r>
          <rPr>
            <sz val="10"/>
            <color indexed="81"/>
            <rFont val="Courier New"/>
            <family val="3"/>
          </rPr>
          <t>_x000D_
    DESCRIÇÃO DO CÁLCULO_x000D_
Código    : 137.019_x000D_
Corte     : 14_x000D_
-----------------------------_x000D_
Pendente  : 20_x000D_
22 / 08_2 : _x000D_
22 / 09_2 : 10_x000D_
22 / 10_2 : _x000D_
22 / 11_2 : _x000D_
22 / 12_2 : _x000D_
23 / 01_2 : _x000D_
23 / 02_2 : _x000D_
23 / 03_2 : _x000D_
23 / 04_2 : _x000D_
23 / 05_2 : _x000D_
23 / 06_2 : _x000D_
23 / 07_2 : 3_x000D_
_x000D_
    TOTAL : ( 33 )_x000D_
  DIVISOR : 12_x000D_
    MÉDIA : 2,75</t>
        </r>
      </text>
    </comment>
    <comment ref="AB652" authorId="0" shapeId="0" xr:uid="{2671968E-8E9D-402C-A5F6-3DF7234D3E19}">
      <text>
        <r>
          <rPr>
            <sz val="10"/>
            <color indexed="81"/>
            <rFont val="Lucida Console"/>
            <family val="3"/>
          </rPr>
          <t>Última movimentação no estoque em 07/2023 quantidade 3.</t>
        </r>
      </text>
    </comment>
    <comment ref="R653" authorId="0" shapeId="0" xr:uid="{D0AAA27E-5BB7-437E-853B-9A9CE871D61A}">
      <text>
        <r>
          <rPr>
            <sz val="10"/>
            <color indexed="81"/>
            <rFont val="Lucida Console"/>
            <family val="3"/>
          </rPr>
          <t>01.01.1901</t>
        </r>
      </text>
    </comment>
    <comment ref="Y653" authorId="0" shapeId="0" xr:uid="{D6A22F09-90FB-4BC7-99E6-AF849F4EA0EA}">
      <text>
        <r>
          <rPr>
            <sz val="10"/>
            <color indexed="81"/>
            <rFont val="Courier New"/>
            <family val="3"/>
          </rPr>
          <t>_x000D_
    DESCRIÇÃO DO CÁLCULO_x000D_
Código    : 19.842_x000D_
Corte     : 2.329_x000D_
-----------------------------_x000D_
Pendente  : 460_x000D_
22 / 08_2 : 460_x000D_
22 / 09_2 : 523_x000D_
22 / 10_2 : 303_x000D_
22 / 11_2 : 860_x000D_
22 / 12_2 : 279_x000D_
23 / 01_2 : 206_x000D_
23 / 02_2 : 776_x000D_
23 / 03_2 : 2.195_x000D_
23 / 04_2 : 1.362_x000D_
23 / 05_2 : 1.926_x000D_
23 / 06_2 : 1.636_x000D_
23 / 07_2 : 32_x000D_
_x000D_
    TOTAL : ( 11.018 )_x000D_
  DIVISOR : 12_x000D_
    MÉDIA : 918,17</t>
        </r>
      </text>
    </comment>
    <comment ref="AB653" authorId="0" shapeId="0" xr:uid="{62B3AD77-E24A-4BB0-80E8-70BBE6ED8C28}">
      <text>
        <r>
          <rPr>
            <sz val="10"/>
            <color indexed="81"/>
            <rFont val="Lucida Console"/>
            <family val="3"/>
          </rPr>
          <t>Última movimentação no estoque em 07/2023 quantidade 32.</t>
        </r>
      </text>
    </comment>
    <comment ref="R654" authorId="0" shapeId="0" xr:uid="{7CDB3C8A-45FD-4A5C-B0F3-F1EDF2C2E148}">
      <text>
        <r>
          <rPr>
            <sz val="10"/>
            <color indexed="81"/>
            <rFont val="Lucida Console"/>
            <family val="3"/>
          </rPr>
          <t>12.03.2010</t>
        </r>
      </text>
    </comment>
    <comment ref="Y654" authorId="0" shapeId="0" xr:uid="{7A3A9303-D4A7-47CA-8D3F-29205F3D9068}">
      <text>
        <r>
          <rPr>
            <sz val="10"/>
            <color indexed="81"/>
            <rFont val="Courier New"/>
            <family val="3"/>
          </rPr>
          <t>_x000D_
    DESCRIÇÃO DO CÁLCULO_x000D_
Código    : 114.430_x000D_
Corte     : 66_x000D_
-----------------------------_x000D_
Pendente  : _x000D_
22 / 08_2 : 16_x000D_
22 / 09_2 : 14_x000D_
22 / 10_2 : 23_x000D_
22 / 11_2 : 26_x000D_
22 / 12_2 : 13_x000D_
23 / 01_2 : 22_x000D_
23 / 02_2 : 44_x000D_
23 / 03_2 : 66 (corte = 76)_x000D_
23 / 04_2 : 37_x000D_
23 / 05_2 : 34_x000D_
23 / 06_2 : 42_x000D_
23 / 07_2 : 21_x000D_
_x000D_
    TOTAL : ( 358 )_x000D_
  DIVISOR : 12_x000D_
    MÉDIA : 29,83_x000D_
-----------------------------_x000D_
   Valores Desconsiderados_x000D_
-----------------------------_x000D_
23 / 03_2 : 10 (76)_x000D_
_x000D_
  TOTAL   : ( 10 )</t>
        </r>
      </text>
    </comment>
    <comment ref="AB654" authorId="0" shapeId="0" xr:uid="{350187ED-B873-4B37-85FA-CB64F6FE651A}">
      <text>
        <r>
          <rPr>
            <sz val="10"/>
            <color indexed="81"/>
            <rFont val="Lucida Console"/>
            <family val="3"/>
          </rPr>
          <t>Última movimentação no estoque em 07/2023 quantidade 21.</t>
        </r>
      </text>
    </comment>
    <comment ref="R655" authorId="0" shapeId="0" xr:uid="{39B6B680-0FCD-4F6D-B3A3-91086FD15DE2}">
      <text>
        <r>
          <rPr>
            <sz val="10"/>
            <color indexed="81"/>
            <rFont val="Lucida Console"/>
            <family val="3"/>
          </rPr>
          <t>28.02.2008</t>
        </r>
      </text>
    </comment>
    <comment ref="Y655" authorId="0" shapeId="0" xr:uid="{CDA5FF19-4ABD-4303-A295-04985B5158CF}">
      <text>
        <r>
          <rPr>
            <sz val="10"/>
            <color indexed="81"/>
            <rFont val="Courier New"/>
            <family val="3"/>
          </rPr>
          <t>_x000D_
    DESCRIÇÃO DO CÁLCULO_x000D_
Código    : 105.293_x000D_
Corte     : 273_x000D_
-----------------------------_x000D_
Pendente  : 200_x000D_
22 / 08_2 : 100_x000D_
22 / 09_2 : 230_x000D_
22 / 10_2 : 40_x000D_
22 / 11_2 : 120_x000D_
22 / 12_2 : 110_x000D_
23 / 01_2 : 110_x000D_
23 / 02_2 : 20_x000D_
23 / 03_2 : 230_x000D_
23 / 04_2 : 107_x000D_
23 / 05_2 : _x000D_
23 / 06_2 : _x000D_
23 / 07_2 : 2_x000D_
_x000D_
    TOTAL : ( 1.269 )_x000D_
  DIVISOR : 12_x000D_
    MÉDIA : 105,75</t>
        </r>
      </text>
    </comment>
    <comment ref="AB655" authorId="0" shapeId="0" xr:uid="{9E0AD035-47CE-4C08-9C1B-D5161200B490}">
      <text>
        <r>
          <rPr>
            <sz val="10"/>
            <color indexed="81"/>
            <rFont val="Lucida Console"/>
            <family val="3"/>
          </rPr>
          <t>Última movimentação no estoque em 07/2023 quantidade 2.</t>
        </r>
      </text>
    </comment>
    <comment ref="R656" authorId="0" shapeId="0" xr:uid="{5EFDFA8D-3F4B-46DE-A9E5-BB81C29A966B}">
      <text>
        <r>
          <rPr>
            <sz val="10"/>
            <color indexed="81"/>
            <rFont val="Lucida Console"/>
            <family val="3"/>
          </rPr>
          <t>18.01.2019</t>
        </r>
      </text>
    </comment>
    <comment ref="Y656" authorId="0" shapeId="0" xr:uid="{75696DFF-A626-45DD-9B66-57217F52820A}">
      <text>
        <r>
          <rPr>
            <sz val="10"/>
            <color indexed="81"/>
            <rFont val="Courier New"/>
            <family val="3"/>
          </rPr>
          <t>_x000D_
    DESCRIÇÃO DO CÁLCULO_x000D_
Código    : 136.273_x000D_
Corte     : 312_x000D_
-----------------------------_x000D_
Pendente  : _x000D_
22 / 08_2 : 30_x000D_
22 / 09_2 : 120_x000D_
22 / 10_2 : 150_x000D_
22 / 11_2 : 110_x000D_
22 / 12_2 : 50_x000D_
23 / 01_2 : _x000D_
23 / 02_2 : _x000D_
23 / 03_2 : 20_x000D_
23 / 04_2 : 300_x000D_
23 / 05_2 : _x000D_
23 / 06_2 : _x000D_
23 / 07_2 : 300_x000D_
_x000D_
    TOTAL : ( 1.080 )_x000D_
  DIVISOR : 12_x000D_
    MÉDIA : 90,00</t>
        </r>
      </text>
    </comment>
    <comment ref="AB656" authorId="0" shapeId="0" xr:uid="{3AFE7F23-E0FD-4A48-A5DD-DB6F5CAF7BA9}">
      <text>
        <r>
          <rPr>
            <sz val="10"/>
            <color indexed="81"/>
            <rFont val="Lucida Console"/>
            <family val="3"/>
          </rPr>
          <t>Última movimentação no estoque em 07/2023 quantidade 300.</t>
        </r>
      </text>
    </comment>
    <comment ref="R657" authorId="0" shapeId="0" xr:uid="{5C0CBF54-4232-4AE9-B7E3-946DB6C237BD}">
      <text>
        <r>
          <rPr>
            <sz val="10"/>
            <color indexed="81"/>
            <rFont val="Lucida Console"/>
            <family val="3"/>
          </rPr>
          <t>16.10.2008</t>
        </r>
      </text>
    </comment>
    <comment ref="Y657" authorId="0" shapeId="0" xr:uid="{E5A4652B-B95D-401C-90DE-02D861C20360}">
      <text>
        <r>
          <rPr>
            <sz val="10"/>
            <color indexed="81"/>
            <rFont val="Courier New"/>
            <family val="3"/>
          </rPr>
          <t>_x000D_
    DESCRIÇÃO DO CÁLCULO_x000D_
Código    : 108.398_x000D_
Corte     : 1_x000D_
-----------------------------_x000D_
Pendente  : _x000D_
22 / 08_2 : _x000D_
22 / 09_2 : 1_x000D_
22 / 10_2 : 1_x000D_
22 / 11_2 : _x000D_
22 / 12_2 : _x000D_
23 / 01_2 : 1_x000D_
23 / 02_2 : _x000D_
23 / 03_2 : _x000D_
23 / 04_2 : _x000D_
23 / 05_2 : _x000D_
23 / 06_2 : 1 (corte = 2)_x000D_
23 / 07_2 : _x000D_
_x000D_
    TOTAL : ( 4 )_x000D_
  DIVISOR : 12_x000D_
    MÉDIA : ,33_x000D_
-----------------------------_x000D_
   Valores Desconsiderados_x000D_
-----------------------------_x000D_
23 / 06_2 : 1 (2)_x000D_
_x000D_
  TOTAL   : ( 1 )</t>
        </r>
      </text>
    </comment>
    <comment ref="AB657" authorId="0" shapeId="0" xr:uid="{F98FECA7-C2CD-454B-974D-DAF989308BE0}">
      <text>
        <r>
          <rPr>
            <sz val="10"/>
            <color indexed="81"/>
            <rFont val="Lucida Console"/>
            <family val="3"/>
          </rPr>
          <t>Última movimentação no estoque em 06/2023 quantidade 2.</t>
        </r>
      </text>
    </comment>
    <comment ref="R658" authorId="0" shapeId="0" xr:uid="{39D23C86-EA61-4786-A01E-B5747F932B1E}">
      <text>
        <r>
          <rPr>
            <sz val="10"/>
            <color indexed="81"/>
            <rFont val="Lucida Console"/>
            <family val="3"/>
          </rPr>
          <t>21.07.2009</t>
        </r>
      </text>
    </comment>
    <comment ref="Y658" authorId="0" shapeId="0" xr:uid="{8B146B9F-5D09-4344-AB7E-94CF3D98E6C5}">
      <text>
        <r>
          <rPr>
            <sz val="10"/>
            <color indexed="81"/>
            <rFont val="Courier New"/>
            <family val="3"/>
          </rPr>
          <t>_x000D_
    DESCRIÇÃO DO CÁLCULO_x000D_
Código    : 111.841_x000D_
Corte     : 2_x000D_
-----------------------------_x000D_
Pendente  : _x000D_
22 / 08_2 : 2_x000D_
22 / 09_2 : 1_x000D_
22 / 10_2 : _x000D_
22 / 11_2 : 1_x000D_
22 / 12_2 : _x000D_
23 / 01_2 : 2_x000D_
23 / 02_2 : _x000D_
23 / 03_2 : _x000D_
23 / 04_2 : _x000D_
23 / 05_2 : 1_x000D_
23 / 06_2 : 1_x000D_
23 / 07_2 : 1_x000D_
_x000D_
    TOTAL : ( 9 )_x000D_
  DIVISOR : 12_x000D_
    MÉDIA : ,75</t>
        </r>
      </text>
    </comment>
    <comment ref="AB658" authorId="0" shapeId="0" xr:uid="{00D77891-C942-4619-9F8D-4AE7100DEA9F}">
      <text>
        <r>
          <rPr>
            <sz val="10"/>
            <color indexed="81"/>
            <rFont val="Lucida Console"/>
            <family val="3"/>
          </rPr>
          <t>Última movimentação no estoque em 07/2023 quantidade 1.</t>
        </r>
      </text>
    </comment>
    <comment ref="R659" authorId="0" shapeId="0" xr:uid="{C31E6B2E-F398-4193-B437-ECB3049FD384}">
      <text>
        <r>
          <rPr>
            <sz val="10"/>
            <color indexed="81"/>
            <rFont val="Lucida Console"/>
            <family val="3"/>
          </rPr>
          <t>07.04.2010</t>
        </r>
      </text>
    </comment>
    <comment ref="Y659" authorId="0" shapeId="0" xr:uid="{4757C229-F217-4DBA-8C52-E393B8D59EE5}">
      <text>
        <r>
          <rPr>
            <sz val="10"/>
            <color indexed="81"/>
            <rFont val="Courier New"/>
            <family val="3"/>
          </rPr>
          <t>_x000D_
    DESCRIÇÃO DO CÁLCULO_x000D_
Código    : 114.773_x000D_
Corte     : 2_x000D_
-----------------------------_x000D_
Pendente  : _x000D_
22 / 08_2 : _x000D_
22 / 09_2 : _x000D_
22 / 10_2 : 1_x000D_
22 / 11_2 : 2_x000D_
22 / 12_2 : _x000D_
23 / 01_2 : 2_x000D_
23 / 02_2 : _x000D_
23 / 03_2 : _x000D_
23 / 04_2 : _x000D_
23 / 05_2 : _x000D_
23 / 06_2 : 2_x000D_
23 / 07_2 : _x000D_
_x000D_
    TOTAL : ( 7 )_x000D_
  DIVISOR : 12_x000D_
    MÉDIA : ,58</t>
        </r>
      </text>
    </comment>
    <comment ref="AB659" authorId="0" shapeId="0" xr:uid="{C2BC8F0C-2101-4D4D-89C0-72684176AA20}">
      <text>
        <r>
          <rPr>
            <sz val="10"/>
            <color indexed="81"/>
            <rFont val="Lucida Console"/>
            <family val="3"/>
          </rPr>
          <t>Última movimentação no estoque em 06/2023 quantidade 2.</t>
        </r>
      </text>
    </comment>
    <comment ref="R660" authorId="0" shapeId="0" xr:uid="{0CCCA277-F6EA-4824-90B6-6ACB8B8ABB95}">
      <text>
        <r>
          <rPr>
            <sz val="10"/>
            <color indexed="81"/>
            <rFont val="Lucida Console"/>
            <family val="3"/>
          </rPr>
          <t>01.01.1901</t>
        </r>
      </text>
    </comment>
    <comment ref="Y660" authorId="0" shapeId="0" xr:uid="{A9EF7871-88CC-4AD3-9246-87030DDE3777}">
      <text>
        <r>
          <rPr>
            <sz val="10"/>
            <color indexed="81"/>
            <rFont val="Courier New"/>
            <family val="3"/>
          </rPr>
          <t>_x000D_
    DESCRIÇÃO DO CÁLCULO_x000D_
Código    : 60.110_x000D_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660" authorId="0" shapeId="0" xr:uid="{1D2E7287-A687-430B-89C5-E896BCE5C080}">
      <text>
        <r>
          <rPr>
            <sz val="10"/>
            <color indexed="81"/>
            <rFont val="Lucida Console"/>
            <family val="3"/>
          </rPr>
          <t>Última movimentação no estoque em 11/2022 quantidade 4.</t>
        </r>
      </text>
    </comment>
    <comment ref="R661" authorId="0" shapeId="0" xr:uid="{EDCDCDAE-98E1-4093-8B91-C9C4C9A81076}">
      <text>
        <r>
          <rPr>
            <sz val="10"/>
            <color indexed="81"/>
            <rFont val="Lucida Console"/>
            <family val="3"/>
          </rPr>
          <t>01.01.1901</t>
        </r>
      </text>
    </comment>
    <comment ref="Y661" authorId="0" shapeId="0" xr:uid="{2E1D27E8-2C10-4564-87F8-C0C4C9E853CC}">
      <text>
        <r>
          <rPr>
            <sz val="10"/>
            <color indexed="81"/>
            <rFont val="Courier New"/>
            <family val="3"/>
          </rPr>
          <t>_x000D_
    DESCRIÇÃO DO CÁLCULO_x000D_
Código    : 15.051_x000D_
Corte     : 2_x000D_
-----------------------------_x000D_
Pendente  : _x000D_
22 / 08_2 : 2 (corte = 4)_x000D_
22 / 09_2 : 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2 (4)_x000D_
_x000D_
  TOTAL   : ( 2 )</t>
        </r>
      </text>
    </comment>
    <comment ref="AB661" authorId="0" shapeId="0" xr:uid="{4B4F3ABC-AB58-4C37-87CE-43C17A8A6BD6}">
      <text>
        <r>
          <rPr>
            <sz val="10"/>
            <color indexed="81"/>
            <rFont val="Lucida Console"/>
            <family val="3"/>
          </rPr>
          <t>Última movimentação no estoque em 08/2022 quantidade 4.</t>
        </r>
      </text>
    </comment>
    <comment ref="R662" authorId="0" shapeId="0" xr:uid="{36EEF2F9-6BA2-48F5-9603-AB036F370F82}">
      <text>
        <r>
          <rPr>
            <sz val="10"/>
            <color indexed="81"/>
            <rFont val="Lucida Console"/>
            <family val="3"/>
          </rPr>
          <t>01.01.1901</t>
        </r>
      </text>
    </comment>
    <comment ref="Y662" authorId="0" shapeId="0" xr:uid="{66511CFD-4D34-4DEA-AAE4-274376214171}">
      <text>
        <r>
          <rPr>
            <sz val="10"/>
            <color indexed="81"/>
            <rFont val="Courier New"/>
            <family val="3"/>
          </rPr>
          <t>_x000D_
    DESCRIÇÃO DO CÁLCULO_x000D_
Código    : 20.554_x000D_
Corte     : 1.885_x000D_
-----------------------------_x000D_
Pendente  : 50_x000D_
22 / 08_2 : 400_x000D_
22 / 09_2 : 850_x000D_
22 / 10_2 : 700_x000D_
22 / 11_2 : 1.110_x000D_
22 / 12_2 : 1.000_x000D_
23 / 01_2 : 1.000_x000D_
23 / 02_2 : 800_x000D_
23 / 03_2 : 650_x000D_
23 / 04_2 : 1.885 (corte = 2100)_x000D_
23 / 05_2 : _x000D_
23 / 06_2 : 500_x000D_
23 / 07_2 : 130_x000D_
_x000D_
    TOTAL : ( 9.075 )_x000D_
  DIVISOR : 12_x000D_
    MÉDIA : 756,25_x000D_
-----------------------------_x000D_
   Valores Desconsiderados_x000D_
-----------------------------_x000D_
23 / 04_2 : 215 (2.100)_x000D_
_x000D_
  TOTAL   : ( 215 )</t>
        </r>
      </text>
    </comment>
    <comment ref="AB662" authorId="0" shapeId="0" xr:uid="{9B9B7FDF-4DF4-44C2-9BBF-81AB38FF3889}">
      <text>
        <r>
          <rPr>
            <sz val="10"/>
            <color indexed="81"/>
            <rFont val="Lucida Console"/>
            <family val="3"/>
          </rPr>
          <t>Última movimentação no estoque em 07/2023 quantidade 130.</t>
        </r>
      </text>
    </comment>
    <comment ref="R663" authorId="0" shapeId="0" xr:uid="{2D9525D6-BE75-4492-9B64-00EC0796D42D}">
      <text>
        <r>
          <rPr>
            <sz val="10"/>
            <color indexed="81"/>
            <rFont val="Lucida Console"/>
            <family val="3"/>
          </rPr>
          <t>01.01.1901</t>
        </r>
      </text>
    </comment>
    <comment ref="Y663" authorId="0" shapeId="0" xr:uid="{2E2704B4-AD9D-4F0B-8D35-65C9080B595F}">
      <text>
        <r>
          <rPr>
            <sz val="10"/>
            <color indexed="81"/>
            <rFont val="Courier New"/>
            <family val="3"/>
          </rPr>
          <t>_x000D_
    DESCRIÇÃO DO CÁLCULO_x000D_
Código    : 20.558_x000D_
Corte     : 2.266_x000D_
-----------------------------_x000D_
Pendente  : 1.355_x000D_
22 / 08_2 : 900_x000D_
22 / 09_2 : 1.100_x000D_
22 / 10_2 : 1.100_x000D_
22 / 11_2 : 710_x000D_
22 / 12_2 : 400_x000D_
23 / 01_2 : 2.266 (corte = 2400)_x000D_
23 / 02_2 : 1.000_x000D_
23 / 03_2 : 950_x000D_
23 / 04_2 : 1.245_x000D_
23 / 05_2 : _x000D_
23 / 06_2 : _x000D_
23 / 07_2 : _x000D_
_x000D_
    TOTAL : ( 11.026 )_x000D_
  DIVISOR : 12_x000D_
    MÉDIA : 918,83_x000D_
-----------------------------_x000D_
   Valores Desconsiderados_x000D_
-----------------------------_x000D_
23 / 01_2 : 134 (2.400)_x000D_
_x000D_
  TOTAL   : ( 134 )</t>
        </r>
      </text>
    </comment>
    <comment ref="AB663" authorId="0" shapeId="0" xr:uid="{37CAABF6-72A4-4F7D-B346-A970BD68781C}">
      <text>
        <r>
          <rPr>
            <sz val="10"/>
            <color indexed="81"/>
            <rFont val="Lucida Console"/>
            <family val="3"/>
          </rPr>
          <t>Última movimentação no estoque em 04/2023 quantidade 1.245.</t>
        </r>
      </text>
    </comment>
    <comment ref="R664" authorId="0" shapeId="0" xr:uid="{98BA9D01-2A07-465D-A091-C66EA2B7856E}">
      <text>
        <r>
          <rPr>
            <sz val="10"/>
            <color indexed="81"/>
            <rFont val="Lucida Console"/>
            <family val="3"/>
          </rPr>
          <t>01.01.1901</t>
        </r>
      </text>
    </comment>
    <comment ref="Y664" authorId="0" shapeId="0" xr:uid="{E7197DC6-2DC3-4D1B-927A-9D3F461A8918}">
      <text>
        <r>
          <rPr>
            <sz val="10"/>
            <color indexed="81"/>
            <rFont val="Courier New"/>
            <family val="3"/>
          </rPr>
          <t>_x000D_
    DESCRIÇÃO DO CÁLCULO_x000D_
Código    : 20.576_x000D_
Corte     : 1.934_x000D_
-----------------------------_x000D_
Pendente  : _x000D_
22 / 08_2 : 400_x000D_
22 / 09_2 : 200_x000D_
22 / 10_2 : 300_x000D_
22 / 11_2 : 900_x000D_
22 / 12_2 : _x000D_
23 / 01_2 : 100_x000D_
23 / 02_2 : 350_x000D_
23 / 03_2 : 500_x000D_
23 / 04_2 : 1.934 (corte = 2650)_x000D_
23 / 05_2 : 100_x000D_
23 / 06_2 : _x000D_
23 / 07_2 : _x000D_
_x000D_
    TOTAL : ( 4.784 )_x000D_
  DIVISOR : 12_x000D_
    MÉDIA : 398,67_x000D_
-----------------------------_x000D_
   Valores Desconsiderados_x000D_
-----------------------------_x000D_
23 / 04_2 : 716 (2.650)_x000D_
_x000D_
  TOTAL   : ( 716 )</t>
        </r>
      </text>
    </comment>
    <comment ref="AB664" authorId="0" shapeId="0" xr:uid="{0E72761D-0E21-40EF-AC0A-3EA99446E8A0}">
      <text>
        <r>
          <rPr>
            <sz val="10"/>
            <color indexed="81"/>
            <rFont val="Lucida Console"/>
            <family val="3"/>
          </rPr>
          <t>Última movimentação no estoque em 05/2023 quantidade 100.</t>
        </r>
      </text>
    </comment>
    <comment ref="R665" authorId="0" shapeId="0" xr:uid="{F8E792A6-498C-4404-94C1-5B70F45AC289}">
      <text>
        <r>
          <rPr>
            <sz val="10"/>
            <color indexed="81"/>
            <rFont val="Lucida Console"/>
            <family val="3"/>
          </rPr>
          <t>01.01.1901</t>
        </r>
      </text>
    </comment>
    <comment ref="Y665" authorId="0" shapeId="0" xr:uid="{B4544F65-2D0E-44AD-9B83-E2689C8CC23D}">
      <text>
        <r>
          <rPr>
            <sz val="10"/>
            <color indexed="81"/>
            <rFont val="Courier New"/>
            <family val="3"/>
          </rPr>
          <t>_x000D_
    DESCRIÇÃO DO CÁLCULO_x000D_
Código    : 20.583_x000D_
Corte     : 1.446_x000D_
-----------------------------_x000D_
Pendente  : 50_x000D_
22 / 08_2 : 400_x000D_
22 / 09_2 : _x000D_
22 / 10_2 : 100_x000D_
22 / 11_2 : 600_x000D_
22 / 12_2 : 50_x000D_
23 / 01_2 : 50_x000D_
23 / 02_2 : 50_x000D_
23 / 03_2 : _x000D_
23 / 04_2 : 1.446 (corte = 2100)_x000D_
23 / 05_2 : _x000D_
23 / 06_2 : _x000D_
23 / 07_2 : _x000D_
_x000D_
    TOTAL : ( 2.746 )_x000D_
  DIVISOR : 12_x000D_
    MÉDIA : 228,83_x000D_
-----------------------------_x000D_
   Valores Desconsiderados_x000D_
-----------------------------_x000D_
23 / 04_2 : 654 (2.100)_x000D_
_x000D_
  TOTAL   : ( 654 )</t>
        </r>
      </text>
    </comment>
    <comment ref="AB665" authorId="0" shapeId="0" xr:uid="{50C90E21-1D03-422B-8E36-F851C2CE68FB}">
      <text>
        <r>
          <rPr>
            <sz val="10"/>
            <color indexed="81"/>
            <rFont val="Lucida Console"/>
            <family val="3"/>
          </rPr>
          <t>Última movimentação no estoque em 04/2023 quantidade 2.100.</t>
        </r>
      </text>
    </comment>
    <comment ref="R666" authorId="0" shapeId="0" xr:uid="{1D2FBAC9-341D-4968-885A-74E792A57137}">
      <text>
        <r>
          <rPr>
            <sz val="10"/>
            <color indexed="81"/>
            <rFont val="Lucida Console"/>
            <family val="3"/>
          </rPr>
          <t>01.01.1901</t>
        </r>
      </text>
    </comment>
    <comment ref="Y666" authorId="0" shapeId="0" xr:uid="{BB1DB13B-8B36-414B-BDAD-A75F59BD7E24}">
      <text>
        <r>
          <rPr>
            <sz val="10"/>
            <color indexed="81"/>
            <rFont val="Courier New"/>
            <family val="3"/>
          </rPr>
          <t>_x000D_
    DESCRIÇÃO DO CÁLCULO_x000D_
Código    : 20.584_x000D_
Corte     : 738_x000D_
-----------------------------_x000D_
Pendente  : 50_x000D_
22 / 08_2 : _x000D_
22 / 09_2 : 30_x000D_
22 / 10_2 : _x000D_
22 / 11_2 : 50_x000D_
22 / 12_2 : 100_x000D_
23 / 01_2 : _x000D_
23 / 02_2 : 100_x000D_
23 / 03_2 : 100_x000D_
23 / 04_2 : 738 (corte = 1000)_x000D_
23 / 05_2 : _x000D_
23 / 06_2 : 500_x000D_
23 / 07_2 : _x000D_
_x000D_
    TOTAL : ( 1.668 )_x000D_
  DIVISOR : 12_x000D_
    MÉDIA : 139,00_x000D_
-----------------------------_x000D_
   Valores Desconsiderados_x000D_
-----------------------------_x000D_
23 / 04_2 : 262 (1.000)_x000D_
_x000D_
  TOTAL   : ( 262 )</t>
        </r>
      </text>
    </comment>
    <comment ref="AB666" authorId="0" shapeId="0" xr:uid="{C78F2F62-D89F-4FC0-9A20-24DB6E53F77C}">
      <text>
        <r>
          <rPr>
            <sz val="10"/>
            <color indexed="81"/>
            <rFont val="Lucida Console"/>
            <family val="3"/>
          </rPr>
          <t>Última movimentação no estoque em 06/2023 quantidade 500.</t>
        </r>
      </text>
    </comment>
    <comment ref="R667" authorId="0" shapeId="0" xr:uid="{B71ADA8E-948C-4807-972F-F9882C35BEBC}">
      <text>
        <r>
          <rPr>
            <sz val="10"/>
            <color indexed="81"/>
            <rFont val="Lucida Console"/>
            <family val="3"/>
          </rPr>
          <t>16.09.2005</t>
        </r>
      </text>
    </comment>
    <comment ref="Y667" authorId="0" shapeId="0" xr:uid="{96BD4847-7B49-40FF-AF9A-67AB25F23672}">
      <text>
        <r>
          <rPr>
            <sz val="10"/>
            <color indexed="81"/>
            <rFont val="Courier New"/>
            <family val="3"/>
          </rPr>
          <t>_x000D_
    DESCRIÇÃO DO CÁLCULO_x000D_
Código    : 87.699_x000D_
Corte     : _x000D_
-----------------------------_x000D_
Pendente  : _x000D_
22 / 08_2 : _x000D_
22 / 09_2 : _x000D_
22 / 10_2 : _x000D_
22 / 11_2 : _x000D_
22 / 12_2 : _x000D_
23 / 01_2 :  (corte = 1)_x000D_
23 / 02_2 : _x000D_
23 / 03_2 : _x000D_
23 / 04_2 : _x000D_
23 / 05_2 : _x000D_
23 / 06_2 :  (corte = 1)_x000D_
23 / 07_2 : _x000D_
_x000D_
    TOTAL : (  )_x000D_
  DIVISOR : 12_x000D_
    MÉDIA : ,00_x000D_
-----------------------------_x000D_
   Valores Desconsiderados_x000D_
-----------------------------_x000D_
23 / 01_2 : 1 (1)_x000D_
23 / 06_2 : 1 (1)_x000D_
_x000D_
  TOTAL   : ( 2 )</t>
        </r>
      </text>
    </comment>
    <comment ref="AB667" authorId="0" shapeId="0" xr:uid="{04B6C079-59D2-4216-8D60-9044B4F687F8}">
      <text>
        <r>
          <rPr>
            <sz val="10"/>
            <color indexed="81"/>
            <rFont val="Lucida Console"/>
            <family val="3"/>
          </rPr>
          <t>Última movimentação no estoque em 06/2023 quantidade 1.</t>
        </r>
      </text>
    </comment>
    <comment ref="R668" authorId="0" shapeId="0" xr:uid="{0E012A7B-0F6B-46CE-850D-A8AF08AAC14D}">
      <text>
        <r>
          <rPr>
            <sz val="10"/>
            <color indexed="81"/>
            <rFont val="Lucida Console"/>
            <family val="3"/>
          </rPr>
          <t>16.09.2005</t>
        </r>
      </text>
    </comment>
    <comment ref="Y668" authorId="0" shapeId="0" xr:uid="{B7B74008-3674-450B-8042-E41CAB165F1D}">
      <text>
        <r>
          <rPr>
            <sz val="10"/>
            <color indexed="81"/>
            <rFont val="Courier New"/>
            <family val="3"/>
          </rPr>
          <t>_x000D_
    DESCRIÇÃO DO CÁLCULO_x000D_
Código    : 87.698_x000D_
Corte     : 4_x000D_
-----------------------------_x000D_
Pendente  : 3_x000D_
22 / 08_2 : _x000D_
22 / 09_2 : 3_x000D_
22 / 10_2 : 1_x000D_
22 / 11_2 : _x000D_
22 / 12_2 : 1_x000D_
23 / 01_2 : 2_x000D_
23 / 02_2 : _x000D_
23 / 03_2 : _x000D_
23 / 04_2 : _x000D_
23 / 05_2 : _x000D_
23 / 06_2 : 4_x000D_
23 / 07_2 : 2_x000D_
_x000D_
    TOTAL : ( 16 )_x000D_
  DIVISOR : 12_x000D_
    MÉDIA : 1,33</t>
        </r>
      </text>
    </comment>
    <comment ref="AB668" authorId="0" shapeId="0" xr:uid="{263F67F9-D6BE-4F8E-9B05-C5C94BF73BD3}">
      <text>
        <r>
          <rPr>
            <sz val="10"/>
            <color indexed="81"/>
            <rFont val="Lucida Console"/>
            <family val="3"/>
          </rPr>
          <t>Última movimentação no estoque em 07/2023 quantidade 2.</t>
        </r>
      </text>
    </comment>
    <comment ref="R669" authorId="0" shapeId="0" xr:uid="{E290BD47-E300-4424-8C0D-C09B831ED343}">
      <text>
        <r>
          <rPr>
            <sz val="10"/>
            <color indexed="81"/>
            <rFont val="Lucida Console"/>
            <family val="3"/>
          </rPr>
          <t>01.01.1901</t>
        </r>
      </text>
    </comment>
    <comment ref="Y669" authorId="0" shapeId="0" xr:uid="{A223CB3A-2B43-4324-A8D6-F031801C007E}">
      <text>
        <r>
          <rPr>
            <sz val="10"/>
            <color indexed="81"/>
            <rFont val="Courier New"/>
            <family val="3"/>
          </rPr>
          <t>_x000D_
    DESCRIÇÃO DO CÁLCULO_x000D_
Código    : 35.224_x000D_
Corte     : 5_x000D_
-----------------------------_x000D_
Pendente  : _x000D_
22 / 08_2 : 1_x000D_
22 / 09_2 : 2_x000D_
22 / 10_2 : 1_x000D_
22 / 11_2 : 2_x000D_
22 / 12_2 : 3_x000D_
23 / 01_2 : 4_x000D_
23 / 02_2 : _x000D_
23 / 03_2 : 2_x000D_
23 / 04_2 : 5 (corte = 6)_x000D_
23 / 05_2 : 1_x000D_
23 / 06_2 : _x000D_
23 / 07_2 : _x000D_
_x000D_
    TOTAL : ( 21 )_x000D_
  DIVISOR : 12_x000D_
    MÉDIA : 1,75_x000D_
-----------------------------_x000D_
   Valores Desconsiderados_x000D_
-----------------------------_x000D_
23 / 04_2 : 1 (6)_x000D_
_x000D_
  TOTAL   : ( 1 )</t>
        </r>
      </text>
    </comment>
    <comment ref="AB669" authorId="0" shapeId="0" xr:uid="{C5B36130-4EDE-48D0-8A0A-2AAA1D69A464}">
      <text>
        <r>
          <rPr>
            <sz val="10"/>
            <color indexed="81"/>
            <rFont val="Lucida Console"/>
            <family val="3"/>
          </rPr>
          <t>Última movimentação no estoque em 05/2023 quantidade 1.</t>
        </r>
      </text>
    </comment>
    <comment ref="R670" authorId="0" shapeId="0" xr:uid="{19D47E17-8AC8-4607-82E7-9978AB5A2267}">
      <text>
        <r>
          <rPr>
            <sz val="10"/>
            <color indexed="81"/>
            <rFont val="Lucida Console"/>
            <family val="3"/>
          </rPr>
          <t>01.01.1901</t>
        </r>
      </text>
    </comment>
    <comment ref="Y670" authorId="0" shapeId="0" xr:uid="{F24CAD9D-897A-4178-879E-4AF743BE5850}">
      <text>
        <r>
          <rPr>
            <sz val="10"/>
            <color indexed="81"/>
            <rFont val="Courier New"/>
            <family val="3"/>
          </rPr>
          <t>_x000D_
    DESCRIÇÃO DO CÁLCULO_x000D_
Código    : 25.756_x000D_
Corte     : 18_x000D_
-----------------------------_x000D_
Pendente  : _x000D_
22 / 08_2 : 4_x000D_
22 / 09_2 : 9_x000D_
22 / 10_2 : 2_x000D_
22 / 11_2 : 5_x000D_
22 / 12_2 : _x000D_
23 / 01_2 : 4_x000D_
23 / 02_2 : 5_x000D_
23 / 03_2 : 6_x000D_
23 / 04_2 : 10_x000D_
23 / 05_2 : 18 (corte = 23)_x000D_
23 / 06_2 : _x000D_
23 / 07_2 : _x000D_
_x000D_
    TOTAL : ( 63 )_x000D_
  DIVISOR : 12_x000D_
    MÉDIA : 5,25_x000D_
-----------------------------_x000D_
   Valores Desconsiderados_x000D_
-----------------------------_x000D_
23 / 05_2 : 5 (23)_x000D_
_x000D_
  TOTAL   : ( 5 )</t>
        </r>
      </text>
    </comment>
    <comment ref="AB670" authorId="0" shapeId="0" xr:uid="{EB5FB4E9-CFD5-4325-98F2-9E3832BBCF3D}">
      <text>
        <r>
          <rPr>
            <sz val="10"/>
            <color indexed="81"/>
            <rFont val="Lucida Console"/>
            <family val="3"/>
          </rPr>
          <t>Última movimentação no estoque em 05/2023 quantidade 23.</t>
        </r>
      </text>
    </comment>
    <comment ref="R671" authorId="0" shapeId="0" xr:uid="{3A81970A-0B10-4088-9251-6030E528C869}">
      <text>
        <r>
          <rPr>
            <sz val="10"/>
            <color indexed="81"/>
            <rFont val="Lucida Console"/>
            <family val="3"/>
          </rPr>
          <t>01.01.1901</t>
        </r>
      </text>
    </comment>
    <comment ref="Y671" authorId="0" shapeId="0" xr:uid="{099DB744-7DB4-4479-B000-116986787A19}">
      <text>
        <r>
          <rPr>
            <sz val="10"/>
            <color indexed="81"/>
            <rFont val="Courier New"/>
            <family val="3"/>
          </rPr>
          <t>_x000D_
    DESCRIÇÃO DO CÁLCULO_x000D_
Código    : 27.760_x000D_
Corte     : 15_x000D_
-----------------------------_x000D_
Pendente  : _x000D_
22 / 08_2 : 5_x000D_
22 / 09_2 : 1_x000D_
22 / 10_2 : 3_x000D_
22 / 11_2 : 3_x000D_
22 / 12_2 : 6_x000D_
23 / 01_2 : _x000D_
23 / 02_2 : _x000D_
23 / 03_2 : 1_x000D_
23 / 04_2 : 7_x000D_
23 / 05_2 : 1_x000D_
23 / 06_2 : 15 (corte = 20)_x000D_
23 / 07_2 : _x000D_
_x000D_
    TOTAL : ( 42 )_x000D_
  DIVISOR : 12_x000D_
    MÉDIA : 3,50_x000D_
-----------------------------_x000D_
   Valores Desconsiderados_x000D_
-----------------------------_x000D_
23 / 06_2 : 5 (20)_x000D_
_x000D_
  TOTAL   : ( 5 )</t>
        </r>
      </text>
    </comment>
    <comment ref="AB671" authorId="0" shapeId="0" xr:uid="{362D61E3-3600-4F3F-B629-B5A1DED49DED}">
      <text>
        <r>
          <rPr>
            <sz val="10"/>
            <color indexed="81"/>
            <rFont val="Lucida Console"/>
            <family val="3"/>
          </rPr>
          <t>Última movimentação no estoque em 06/2023 quantidade 20.</t>
        </r>
      </text>
    </comment>
    <comment ref="R672" authorId="0" shapeId="0" xr:uid="{60F91F33-D661-4FAF-BEFF-750CF26B1015}">
      <text>
        <r>
          <rPr>
            <sz val="10"/>
            <color indexed="81"/>
            <rFont val="Lucida Console"/>
            <family val="3"/>
          </rPr>
          <t>01.01.1901</t>
        </r>
      </text>
    </comment>
    <comment ref="Y672" authorId="0" shapeId="0" xr:uid="{48896BA0-BC8F-4FEF-BA7D-71032768D732}">
      <text>
        <r>
          <rPr>
            <sz val="10"/>
            <color indexed="81"/>
            <rFont val="Courier New"/>
            <family val="3"/>
          </rPr>
          <t>_x000D_
    DESCRIÇÃO DO CÁLCULO_x000D_
Código    : 25.630_x000D_
Corte     : 15_x000D_
-----------------------------_x000D_
Pendente  : _x000D_
22 / 08_2 : 6_x000D_
22 / 09_2 : 5_x000D_
22 / 10_2 : 2_x000D_
22 / 11_2 : 9_x000D_
22 / 12_2 : 5_x000D_
23 / 01_2 : 6_x000D_
23 / 02_2 : 4_x000D_
23 / 03_2 : 3_x000D_
23 / 04_2 : 15 (corte = 18)_x000D_
23 / 05_2 : 10_x000D_
23 / 06_2 : _x000D_
23 / 07_2 : _x000D_
_x000D_
    TOTAL : ( 65 )_x000D_
  DIVISOR : 12_x000D_
    MÉDIA : 5,42_x000D_
-----------------------------_x000D_
   Valores Desconsiderados_x000D_
-----------------------------_x000D_
23 / 04_2 : 3 (18)_x000D_
_x000D_
  TOTAL   : ( 3 )</t>
        </r>
      </text>
    </comment>
    <comment ref="AB672" authorId="0" shapeId="0" xr:uid="{84EB19F1-1DC4-4A89-9B4A-F25BABD10064}">
      <text>
        <r>
          <rPr>
            <sz val="10"/>
            <color indexed="81"/>
            <rFont val="Lucida Console"/>
            <family val="3"/>
          </rPr>
          <t>Última movimentação no estoque em 05/2023 quantidade 10.</t>
        </r>
      </text>
    </comment>
    <comment ref="R673" authorId="0" shapeId="0" xr:uid="{686494E3-867C-44D4-B32E-E7462FD16518}">
      <text>
        <r>
          <rPr>
            <sz val="10"/>
            <color indexed="81"/>
            <rFont val="Lucida Console"/>
            <family val="3"/>
          </rPr>
          <t>01.01.1901</t>
        </r>
      </text>
    </comment>
    <comment ref="Y673" authorId="0" shapeId="0" xr:uid="{93DAF318-0126-47F8-B2E2-41D2944AE12C}">
      <text>
        <r>
          <rPr>
            <sz val="10"/>
            <color indexed="81"/>
            <rFont val="Courier New"/>
            <family val="3"/>
          </rPr>
          <t>_x000D_
    DESCRIÇÃO DO CÁLCULO_x000D_
Código    : 13.120_x000D_
Corte     : 9_x000D_
-----------------------------_x000D_
Pendente  : _x000D_
22 / 08_2 : 2_x000D_
22 / 09_2 : 1_x000D_
22 / 10_2 : _x000D_
22 / 11_2 : 1_x000D_
22 / 12_2 : 4_x000D_
23 / 01_2 : 1_x000D_
23 / 02_2 : _x000D_
23 / 03_2 : _x000D_
23 / 04_2 : 8_x000D_
23 / 05_2 : 9 (corte = 10)_x000D_
23 / 06_2 : _x000D_
23 / 07_2 : _x000D_
_x000D_
    TOTAL : ( 26 )_x000D_
  DIVISOR : 12_x000D_
    MÉDIA : 2,17_x000D_
-----------------------------_x000D_
   Valores Desconsiderados_x000D_
-----------------------------_x000D_
23 / 05_2 : 1 (10)_x000D_
_x000D_
  TOTAL   : ( 1 )</t>
        </r>
      </text>
    </comment>
    <comment ref="AB673" authorId="0" shapeId="0" xr:uid="{9433FDAF-ACF4-4088-921A-37C3F380885A}">
      <text>
        <r>
          <rPr>
            <sz val="10"/>
            <color indexed="81"/>
            <rFont val="Lucida Console"/>
            <family val="3"/>
          </rPr>
          <t>Última movimentação no estoque em 05/2023 quantidade 10.</t>
        </r>
      </text>
    </comment>
    <comment ref="R674" authorId="0" shapeId="0" xr:uid="{FE71D7F7-F7CB-4DE8-BD27-40FA12938F5C}">
      <text>
        <r>
          <rPr>
            <sz val="10"/>
            <color indexed="81"/>
            <rFont val="Lucida Console"/>
            <family val="3"/>
          </rPr>
          <t>01.01.1901</t>
        </r>
      </text>
    </comment>
    <comment ref="Y674" authorId="0" shapeId="0" xr:uid="{37E3D662-0F8C-4219-B2CB-6D39B21F0AE0}">
      <text>
        <r>
          <rPr>
            <sz val="10"/>
            <color indexed="81"/>
            <rFont val="Courier New"/>
            <family val="3"/>
          </rPr>
          <t>_x000D_
    DESCRIÇÃO DO CÁLCULO_x000D_
Código    : 13.117_x000D_
Corte     : 15_x000D_
-----------------------------_x000D_
Pendente  : _x000D_
22 / 08_2 : _x000D_
22 / 09_2 : 15_x000D_
22 / 10_2 : 1_x000D_
22 / 11_2 : 1_x000D_
22 / 12_2 : _x000D_
23 / 01_2 : 2_x000D_
23 / 02_2 : _x000D_
23 / 03_2 : 1_x000D_
23 / 04_2 : 1_x000D_
23 / 05_2 : 15 (corte = 17)_x000D_
23 / 06_2 : _x000D_
23 / 07_2 : _x000D_
_x000D_
    TOTAL : ( 36 )_x000D_
  DIVISOR : 12_x000D_
    MÉDIA : 3,00_x000D_
-----------------------------_x000D_
   Valores Desconsiderados_x000D_
-----------------------------_x000D_
23 / 05_2 : 2 (17)_x000D_
_x000D_
  TOTAL   : ( 2 )</t>
        </r>
      </text>
    </comment>
    <comment ref="AB674" authorId="0" shapeId="0" xr:uid="{8B54D1C3-5B38-4292-85AB-4DE0BB7815B5}">
      <text>
        <r>
          <rPr>
            <sz val="10"/>
            <color indexed="81"/>
            <rFont val="Lucida Console"/>
            <family val="3"/>
          </rPr>
          <t>Última movimentação no estoque em 05/2023 quantidade 17.</t>
        </r>
      </text>
    </comment>
    <comment ref="R675" authorId="0" shapeId="0" xr:uid="{C7530AD1-1255-4C09-8F15-36D82EFD2676}">
      <text>
        <r>
          <rPr>
            <sz val="10"/>
            <color indexed="81"/>
            <rFont val="Lucida Console"/>
            <family val="3"/>
          </rPr>
          <t>01.01.1901</t>
        </r>
      </text>
    </comment>
    <comment ref="Y675" authorId="0" shapeId="0" xr:uid="{55A1AC87-4210-4B57-8B5C-AFABCBE46974}">
      <text>
        <r>
          <rPr>
            <sz val="10"/>
            <color indexed="81"/>
            <rFont val="Courier New"/>
            <family val="3"/>
          </rPr>
          <t>_x000D_
    DESCRIÇÃO DO CÁLCULO_x000D_
Código    : 13.116_x000D_
Corte     : 13_x000D_
-----------------------------_x000D_
Pendente  : _x000D_
22 / 08_2 : _x000D_
22 / 09_2 : 1_x000D_
22 / 10_2 : 1_x000D_
22 / 11_2 : 1_x000D_
22 / 12_2 : _x000D_
23 / 01_2 : _x000D_
23 / 02_2 : _x000D_
23 / 03_2 : _x000D_
23 / 04_2 : 6_x000D_
23 / 05_2 : _x000D_
23 / 06_2 : 13 (corte = 20)_x000D_
23 / 07_2 : _x000D_
_x000D_
    TOTAL : ( 22 )_x000D_
  DIVISOR : 12_x000D_
    MÉDIA : 1,83_x000D_
-----------------------------_x000D_
   Valores Desconsiderados_x000D_
-----------------------------_x000D_
23 / 06_2 : 7 (20)_x000D_
_x000D_
  TOTAL   : ( 7 )</t>
        </r>
      </text>
    </comment>
    <comment ref="AB675" authorId="0" shapeId="0" xr:uid="{7E3150B3-DB4D-473A-873A-348BF001CA67}">
      <text>
        <r>
          <rPr>
            <sz val="10"/>
            <color indexed="81"/>
            <rFont val="Lucida Console"/>
            <family val="3"/>
          </rPr>
          <t>Última movimentação no estoque em 06/2023 quantidade 20.</t>
        </r>
      </text>
    </comment>
    <comment ref="R676" authorId="0" shapeId="0" xr:uid="{AEDAACA8-9850-438A-8A73-F6E2274D9B71}">
      <text>
        <r>
          <rPr>
            <sz val="10"/>
            <color indexed="81"/>
            <rFont val="Lucida Console"/>
            <family val="3"/>
          </rPr>
          <t>26.11.2009</t>
        </r>
      </text>
    </comment>
    <comment ref="Y676" authorId="0" shapeId="0" xr:uid="{CF7025FF-F220-4D75-891C-9CC50A2997AD}">
      <text>
        <r>
          <rPr>
            <sz val="10"/>
            <color indexed="81"/>
            <rFont val="Courier New"/>
            <family val="3"/>
          </rPr>
          <t>_x000D_
    DESCRIÇÃO DO CÁLCULO_x000D_
Código    : 113.581_x000D_
Corte     : 83_x000D_
-----------------------------_x000D_
Pendente  : _x000D_
22 / 08_2 : 83 (corte = 88)_x000D_
22 / 09_2 : 18_x000D_
22 / 10_2 : 48_x000D_
22 / 11_2 : 21_x000D_
22 / 12_2 : 36_x000D_
23 / 01_2 : 24_x000D_
23 / 02_2 : 39_x000D_
23 / 03_2 : 72_x000D_
23 / 04_2 : 31_x000D_
23 / 05_2 : _x000D_
23 / 06_2 : 20_x000D_
23 / 07_2 : 20_x000D_
_x000D_
    TOTAL : ( 412 )_x000D_
  DIVISOR : 12_x000D_
    MÉDIA : 34,33_x000D_
-----------------------------_x000D_
   Valores Desconsiderados_x000D_
-----------------------------_x000D_
22 / 08_2 : 5 (88)_x000D_
_x000D_
  TOTAL   : ( 5 )</t>
        </r>
      </text>
    </comment>
    <comment ref="AB676" authorId="0" shapeId="0" xr:uid="{1E04E456-F426-4861-8112-3EF3C9A5F624}">
      <text>
        <r>
          <rPr>
            <sz val="10"/>
            <color indexed="81"/>
            <rFont val="Lucida Console"/>
            <family val="3"/>
          </rPr>
          <t>Última movimentação no estoque em 07/2023 quantidade 20.</t>
        </r>
      </text>
    </comment>
    <comment ref="R677" authorId="0" shapeId="0" xr:uid="{500467F8-899E-4174-9601-A76C25EE9C8C}">
      <text>
        <r>
          <rPr>
            <sz val="10"/>
            <color indexed="81"/>
            <rFont val="Lucida Console"/>
            <family val="3"/>
          </rPr>
          <t>21.08.2018</t>
        </r>
      </text>
    </comment>
    <comment ref="Y677" authorId="0" shapeId="0" xr:uid="{B59B0C45-C4AB-4900-B49C-0447BDFF45E7}">
      <text>
        <r>
          <rPr>
            <sz val="10"/>
            <color indexed="81"/>
            <rFont val="Courier New"/>
            <family val="3"/>
          </rPr>
          <t>_x000D_
    DESCRIÇÃO DO CÁLCULO_x000D_
Código    : 135.703_x000D_
Corte     : 3.290_x000D_
-----------------------------_x000D_
Pendente  : _x000D_
22 / 08_2 : 563_x000D_
22 / 09_2 : 389_x000D_
22 / 10_2 : 459_x000D_
22 / 11_2 : 572_x000D_
22 / 12_2 : 523_x000D_
23 / 01_2 : 274_x000D_
23 / 02_2 : 600_x000D_
23 / 03_2 : 3.290 (corte = 4720)_x000D_
23 / 04_2 : 579_x000D_
23 / 05_2 : 486_x000D_
23 / 06_2 : 401_x000D_
23 / 07_2 : 483_x000D_
_x000D_
    TOTAL : ( 8.619 )_x000D_
  DIVISOR : 12_x000D_
    MÉDIA : 718,25_x000D_
-----------------------------_x000D_
   Valores Desconsiderados_x000D_
-----------------------------_x000D_
23 / 03_2 : 1.430 (4.720)_x000D_
_x000D_
  TOTAL   : ( 1.430 )</t>
        </r>
      </text>
    </comment>
    <comment ref="AB677" authorId="0" shapeId="0" xr:uid="{15EB81F5-FD08-479E-9F68-6783462C85AE}">
      <text>
        <r>
          <rPr>
            <sz val="10"/>
            <color indexed="81"/>
            <rFont val="Lucida Console"/>
            <family val="3"/>
          </rPr>
          <t>Última movimentação no estoque em 07/2023 quantidade 483.</t>
        </r>
      </text>
    </comment>
    <comment ref="R678" authorId="0" shapeId="0" xr:uid="{C91FEC18-CEE0-43FE-A61B-6D3848437FF7}">
      <text>
        <r>
          <rPr>
            <sz val="10"/>
            <color indexed="81"/>
            <rFont val="Lucida Console"/>
            <family val="3"/>
          </rPr>
          <t>20.01.2010</t>
        </r>
      </text>
    </comment>
    <comment ref="Y678" authorId="0" shapeId="0" xr:uid="{009964DE-BB11-4436-A2FD-2332C4E67072}">
      <text>
        <r>
          <rPr>
            <sz val="10"/>
            <color indexed="81"/>
            <rFont val="Courier New"/>
            <family val="3"/>
          </rPr>
          <t>_x000D_
    DESCRIÇÃO DO CÁLCULO_x000D_
Código    : 113.846_x000D_
Corte     : 217_x000D_
-----------------------------_x000D_
Pendente  : _x000D_
22 / 08_2 : 33_x000D_
22 / 09_2 : 132_x000D_
22 / 10_2 : 217 (corte = 225)_x000D_
22 / 11_2 : 40_x000D_
22 / 12_2 : 137_x000D_
23 / 01_2 : 155_x000D_
23 / 02_2 : 5_x000D_
23 / 03_2 : 16_x000D_
23 / 04_2 : 10_x000D_
23 / 05_2 : _x000D_
23 / 06_2 : _x000D_
23 / 07_2 : 40_x000D_
_x000D_
    TOTAL : ( 785 )_x000D_
  DIVISOR : 12_x000D_
    MÉDIA : 65,42_x000D_
-----------------------------_x000D_
   Valores Desconsiderados_x000D_
-----------------------------_x000D_
22 / 10_2 : 8 (225)_x000D_
_x000D_
  TOTAL   : ( 8 )</t>
        </r>
      </text>
    </comment>
    <comment ref="AB678" authorId="0" shapeId="0" xr:uid="{4E6106FB-128B-456E-8B23-C4AAF08F3129}">
      <text>
        <r>
          <rPr>
            <sz val="10"/>
            <color indexed="81"/>
            <rFont val="Lucida Console"/>
            <family val="3"/>
          </rPr>
          <t>Última movimentação no estoque em 07/2023 quantidade 40.</t>
        </r>
      </text>
    </comment>
    <comment ref="R679" authorId="0" shapeId="0" xr:uid="{77128363-9C6D-4BBE-8FC2-913893EC062F}">
      <text>
        <r>
          <rPr>
            <sz val="10"/>
            <color indexed="81"/>
            <rFont val="Lucida Console"/>
            <family val="3"/>
          </rPr>
          <t>01.01.1901</t>
        </r>
      </text>
    </comment>
    <comment ref="Y679" authorId="0" shapeId="0" xr:uid="{445FD202-C45E-4F84-9041-D14A3E733693}">
      <text>
        <r>
          <rPr>
            <sz val="10"/>
            <color indexed="81"/>
            <rFont val="Courier New"/>
            <family val="3"/>
          </rPr>
          <t>_x000D_
    DESCRIÇÃO DO CÁLCULO_x000D_
Código    : 53.446_x000D_
Corte     : 410_x000D_
-----------------------------_x000D_
Pendente  : _x000D_
22 / 08_2 : 231_x000D_
22 / 09_2 : 153_x000D_
22 / 10_2 : 100_x000D_
22 / 11_2 : 44_x000D_
22 / 12_2 : 283_x000D_
23 / 01_2 : 410 (corte = 482)_x000D_
23 / 02_2 : 50_x000D_
23 / 03_2 : 50_x000D_
23 / 04_2 : 13_x000D_
23 / 05_2 : _x000D_
23 / 06_2 : 30_x000D_
23 / 07_2 : 40_x000D_
_x000D_
    TOTAL : ( 1.404 )_x000D_
  DIVISOR : 12_x000D_
    MÉDIA : 117,00_x000D_
-----------------------------_x000D_
   Valores Desconsiderados_x000D_
-----------------------------_x000D_
23 / 01_2 : 72 (482)_x000D_
_x000D_
  TOTAL   : ( 72 )</t>
        </r>
      </text>
    </comment>
    <comment ref="AB679" authorId="0" shapeId="0" xr:uid="{D16C4DE0-53F5-48C3-B4F7-D8F79CD18319}">
      <text>
        <r>
          <rPr>
            <sz val="10"/>
            <color indexed="81"/>
            <rFont val="Lucida Console"/>
            <family val="3"/>
          </rPr>
          <t>Última movimentação no estoque em 07/2023 quantidade 40.</t>
        </r>
      </text>
    </comment>
    <comment ref="R680" authorId="0" shapeId="0" xr:uid="{F8711ED6-749A-47F7-95E1-66D985D9CBA3}">
      <text>
        <r>
          <rPr>
            <sz val="10"/>
            <color indexed="81"/>
            <rFont val="Lucida Console"/>
            <family val="3"/>
          </rPr>
          <t>01.01.1901</t>
        </r>
      </text>
    </comment>
    <comment ref="Y680" authorId="0" shapeId="0" xr:uid="{7EC79AA4-31BD-4BA0-817A-3811AD5D4917}">
      <text>
        <r>
          <rPr>
            <sz val="10"/>
            <color indexed="81"/>
            <rFont val="Courier New"/>
            <family val="3"/>
          </rPr>
          <t>_x000D_
    DESCRIÇÃO DO CÁLCULO_x000D_
Código    : 57.598_x000D_
Corte     : 283_x000D_
-----------------------------_x000D_
Pendente  : _x000D_
22 / 08_2 : 180_x000D_
22 / 09_2 : 278_x000D_
22 / 10_2 : 220_x000D_
22 / 11_2 : 90_x000D_
22 / 12_2 : 111_x000D_
23 / 01_2 : 160_x000D_
23 / 02_2 : _x000D_
23 / 03_2 : 83_x000D_
23 / 04_2 : 10_x000D_
23 / 05_2 : 40_x000D_
23 / 06_2 : _x000D_
23 / 07_2 : 40_x000D_
_x000D_
    TOTAL : ( 1.212 )_x000D_
  DIVISOR : 12_x000D_
    MÉDIA : 101,00</t>
        </r>
      </text>
    </comment>
    <comment ref="AB680" authorId="0" shapeId="0" xr:uid="{15C82335-DD0B-48FA-81F2-5E47F6BDC91A}">
      <text>
        <r>
          <rPr>
            <sz val="10"/>
            <color indexed="81"/>
            <rFont val="Lucida Console"/>
            <family val="3"/>
          </rPr>
          <t>Última movimentação no estoque em 07/2023 quantidade 40.</t>
        </r>
      </text>
    </comment>
    <comment ref="R681" authorId="0" shapeId="0" xr:uid="{7A2ABD09-EED5-4FA6-8246-A07ACBF0DCCA}">
      <text>
        <r>
          <rPr>
            <sz val="10"/>
            <color indexed="81"/>
            <rFont val="Lucida Console"/>
            <family val="3"/>
          </rPr>
          <t>19.08.2008</t>
        </r>
      </text>
    </comment>
    <comment ref="Y681" authorId="0" shapeId="0" xr:uid="{EFAEF3FF-6204-4284-BCD3-EA325CAE1FA6}">
      <text>
        <r>
          <rPr>
            <sz val="10"/>
            <color indexed="81"/>
            <rFont val="Courier New"/>
            <family val="3"/>
          </rPr>
          <t>_x000D_
    DESCRIÇÃO DO CÁLCULO_x000D_
Código    : 107.483_x000D_
Corte     : 69_x000D_
-----------------------------_x000D_
Pendente  : _x000D_
22 / 08_2 : 5_x000D_
22 / 09_2 : 27_x000D_
22 / 10_2 : 19_x000D_
22 / 11_2 : 11_x000D_
22 / 12_2 : 18_x000D_
23 / 01_2 : 2_x000D_
23 / 02_2 : _x000D_
23 / 03_2 : 26_x000D_
23 / 04_2 : 20_x000D_
23 / 05_2 : 20_x000D_
23 / 06_2 : 10_x000D_
23 / 07_2 : 69 (corte = 92)_x000D_
_x000D_
    TOTAL : ( 227 )_x000D_
  DIVISOR : 12_x000D_
    MÉDIA : 18,92_x000D_
-----------------------------_x000D_
   Valores Desconsiderados_x000D_
-----------------------------_x000D_
23 / 07_2 : 23 (92)_x000D_
_x000D_
  TOTAL   : ( 23 )</t>
        </r>
      </text>
    </comment>
    <comment ref="AB681" authorId="0" shapeId="0" xr:uid="{B84A1425-A043-4E06-BA59-F2FFB71E0AFA}">
      <text>
        <r>
          <rPr>
            <sz val="10"/>
            <color indexed="81"/>
            <rFont val="Lucida Console"/>
            <family val="3"/>
          </rPr>
          <t>Última movimentação no estoque em 07/2023 quantidade 92.</t>
        </r>
      </text>
    </comment>
    <comment ref="R682" authorId="0" shapeId="0" xr:uid="{04DFD3BE-64CA-41EE-A148-4E8D15570FB1}">
      <text>
        <r>
          <rPr>
            <sz val="10"/>
            <color indexed="81"/>
            <rFont val="Lucida Console"/>
            <family val="3"/>
          </rPr>
          <t>24.04.2008</t>
        </r>
      </text>
    </comment>
    <comment ref="Y682" authorId="0" shapeId="0" xr:uid="{E29F33C7-E985-4621-8136-8B3CF2ECA86A}">
      <text>
        <r>
          <rPr>
            <sz val="10"/>
            <color indexed="81"/>
            <rFont val="Courier New"/>
            <family val="3"/>
          </rPr>
          <t>_x000D_
    DESCRIÇÃO DO CÁLCULO_x000D_
Código    : 106.131_x000D_
Corte     : 5_x000D_
-----------------------------_x000D_
Pendente  : _x000D_
22 / 08_2 : 2_x000D_
22 / 09_2 : _x000D_
22 / 10_2 : _x000D_
22 / 11_2 : 3_x000D_
22 / 12_2 : _x000D_
23 / 01_2 : 2_x000D_
23 / 02_2 : 3_x000D_
23 / 03_2 : 1_x000D_
23 / 04_2 : 5 (corte = 6)_x000D_
23 / 05_2 : _x000D_
23 / 06_2 : _x000D_
23 / 07_2 : _x000D_
_x000D_
    TOTAL : ( 16 )_x000D_
  DIVISOR : 12_x000D_
    MÉDIA : 1,33_x000D_
-----------------------------_x000D_
   Valores Desconsiderados_x000D_
-----------------------------_x000D_
23 / 04_2 : 1 (6)_x000D_
_x000D_
  TOTAL   : ( 1 )</t>
        </r>
      </text>
    </comment>
    <comment ref="AB682" authorId="0" shapeId="0" xr:uid="{7925FFAC-5F5D-47B4-BC0C-42CBF693AC4B}">
      <text>
        <r>
          <rPr>
            <sz val="10"/>
            <color indexed="81"/>
            <rFont val="Lucida Console"/>
            <family val="3"/>
          </rPr>
          <t>Última movimentação no estoque em 04/2023 quantidade 6.</t>
        </r>
      </text>
    </comment>
    <comment ref="R683" authorId="0" shapeId="0" xr:uid="{41B101F1-CC70-4DA9-8B28-72521206CDE9}">
      <text>
        <r>
          <rPr>
            <sz val="10"/>
            <color indexed="81"/>
            <rFont val="Lucida Console"/>
            <family val="3"/>
          </rPr>
          <t>24.04.2008</t>
        </r>
      </text>
    </comment>
    <comment ref="Y683" authorId="0" shapeId="0" xr:uid="{F0BC339C-EC3A-429E-8FF5-674DD3CE8571}">
      <text>
        <r>
          <rPr>
            <sz val="10"/>
            <color indexed="81"/>
            <rFont val="Courier New"/>
            <family val="3"/>
          </rPr>
          <t>_x000D_
    DESCRIÇÃO DO CÁLCULO_x000D_
Código    : 106.129_x000D_
Corte     : 5_x000D_
-----------------------------_x000D_
Pendente  : _x000D_
22 / 08_2 : _x000D_
22 / 09_2 : _x000D_
22 / 10_2 : _x000D_
22 / 11_2 : 5_x000D_
22 / 12_2 : 4_x000D_
23 / 01_2 : _x000D_
23 / 02_2 : _x000D_
23 / 03_2 : _x000D_
23 / 04_2 : 5 (corte = 6)_x000D_
23 / 05_2 : _x000D_
23 / 06_2 : _x000D_
23 / 07_2 : _x000D_
_x000D_
    TOTAL : ( 14 )_x000D_
  DIVISOR : 12_x000D_
    MÉDIA : 1,17_x000D_
-----------------------------_x000D_
   Valores Desconsiderados_x000D_
-----------------------------_x000D_
23 / 04_2 : 1 (6)_x000D_
_x000D_
  TOTAL   : ( 1 )</t>
        </r>
      </text>
    </comment>
    <comment ref="AB683" authorId="0" shapeId="0" xr:uid="{1FE3A674-6377-4323-8251-7E8D642AB8DD}">
      <text>
        <r>
          <rPr>
            <sz val="10"/>
            <color indexed="81"/>
            <rFont val="Lucida Console"/>
            <family val="3"/>
          </rPr>
          <t>Última movimentação no estoque em 04/2023 quantidade 6.</t>
        </r>
      </text>
    </comment>
    <comment ref="R684" authorId="0" shapeId="0" xr:uid="{B2F10A78-2483-4B48-B142-B12CA9D2D2A8}">
      <text>
        <r>
          <rPr>
            <sz val="10"/>
            <color indexed="81"/>
            <rFont val="Lucida Console"/>
            <family val="3"/>
          </rPr>
          <t>24.04.2008</t>
        </r>
      </text>
    </comment>
    <comment ref="Y684" authorId="0" shapeId="0" xr:uid="{81E828CB-6C3F-4921-8974-533B24626A66}">
      <text>
        <r>
          <rPr>
            <sz val="10"/>
            <color indexed="81"/>
            <rFont val="Courier New"/>
            <family val="3"/>
          </rPr>
          <t>_x000D_
    DESCRIÇÃO DO CÁLCULO_x000D_
Código    : 106.130_x000D_
Corte     : 4_x000D_
-----------------------------_x000D_
Pendente  : _x000D_
22 / 08_2 : _x000D_
22 / 09_2 : _x000D_
22 / 10_2 : _x000D_
22 / 11_2 : 3_x000D_
22 / 12_2 : _x000D_
23 / 01_2 : 3_x000D_
23 / 02_2 : _x000D_
23 / 03_2 : _x000D_
23 / 04_2 : 4 (corte = 6)_x000D_
23 / 05_2 : _x000D_
23 / 06_2 : _x000D_
23 / 07_2 : _x000D_
_x000D_
    TOTAL : ( 10 )_x000D_
  DIVISOR : 12_x000D_
    MÉDIA : ,83_x000D_
-----------------------------_x000D_
   Valores Desconsiderados_x000D_
-----------------------------_x000D_
23 / 04_2 : 2 (6)_x000D_
_x000D_
  TOTAL   : ( 2 )</t>
        </r>
      </text>
    </comment>
    <comment ref="AB684" authorId="0" shapeId="0" xr:uid="{592A1C7F-B895-4AF8-9E65-FBFCE419F8DB}">
      <text>
        <r>
          <rPr>
            <sz val="10"/>
            <color indexed="81"/>
            <rFont val="Lucida Console"/>
            <family val="3"/>
          </rPr>
          <t>Última movimentação no estoque em 04/2023 quantidade 6.</t>
        </r>
      </text>
    </comment>
    <comment ref="R685" authorId="0" shapeId="0" xr:uid="{990193A2-33F5-4925-AC1B-946F47C2272E}">
      <text>
        <r>
          <rPr>
            <sz val="10"/>
            <color indexed="81"/>
            <rFont val="Lucida Console"/>
            <family val="3"/>
          </rPr>
          <t>01.01.1901</t>
        </r>
      </text>
    </comment>
    <comment ref="Y685" authorId="0" shapeId="0" xr:uid="{44AE0C84-515F-42E8-AED0-350023CFE2C5}">
      <text>
        <r>
          <rPr>
            <sz val="10"/>
            <color indexed="81"/>
            <rFont val="Courier New"/>
            <family val="3"/>
          </rPr>
          <t>_x000D_
    DESCRIÇÃO DO CÁLCULO_x000D_
Código    : 65.173_x000D_
Corte     : 25_x000D_
-----------------------------_x000D_
Pendente  : _x000D_
22 / 08_2 : 6_x000D_
22 / 09_2 : 6_x000D_
22 / 10_2 : 5_x000D_
22 / 11_2 : 4_x000D_
22 / 12_2 : 1_x000D_
23 / 01_2 : 6_x000D_
23 / 02_2 : 2_x000D_
23 / 03_2 : 11_x000D_
23 / 04_2 : 19_x000D_
23 / 05_2 : 25 (corte = 30)_x000D_
23 / 06_2 : _x000D_
23 / 07_2 : _x000D_
_x000D_
    TOTAL : ( 85 )_x000D_
  DIVISOR : 12_x000D_
    MÉDIA : 7,08_x000D_
-----------------------------_x000D_
   Valores Desconsiderados_x000D_
-----------------------------_x000D_
23 / 05_2 : 5 (30)_x000D_
_x000D_
  TOTAL   : ( 5 )</t>
        </r>
      </text>
    </comment>
    <comment ref="AB685" authorId="0" shapeId="0" xr:uid="{71AB6E45-DE0B-4B1B-8FF9-E4FE9AC62D51}">
      <text>
        <r>
          <rPr>
            <sz val="10"/>
            <color indexed="81"/>
            <rFont val="Lucida Console"/>
            <family val="3"/>
          </rPr>
          <t>Última movimentação no estoque em 05/2023 quantidade 30.</t>
        </r>
      </text>
    </comment>
    <comment ref="R686" authorId="0" shapeId="0" xr:uid="{D5EF77B6-44F5-4030-90C4-0996C4F8378B}">
      <text>
        <r>
          <rPr>
            <sz val="10"/>
            <color indexed="81"/>
            <rFont val="Lucida Console"/>
            <family val="3"/>
          </rPr>
          <t>01.01.1901</t>
        </r>
      </text>
    </comment>
    <comment ref="Y686" authorId="0" shapeId="0" xr:uid="{10811C81-BC17-468D-9D7F-67635355109D}">
      <text>
        <r>
          <rPr>
            <sz val="10"/>
            <color indexed="81"/>
            <rFont val="Courier New"/>
            <family val="3"/>
          </rPr>
          <t>_x000D_
    DESCRIÇÃO DO CÁLCULO_x000D_
Código    : 15.066_x000D_
Corte     : 39_x000D_
-----------------------------_x000D_
Pendente  : _x000D_
22 / 08_2 : 20_x000D_
22 / 09_2 : 28_x000D_
22 / 10_2 : _x000D_
22 / 11_2 : _x000D_
22 / 12_2 : _x000D_
23 / 01_2 : _x000D_
23 / 02_2 : 30_x000D_
23 / 03_2 : 20_x000D_
23 / 04_2 : 10_x000D_
23 / 05_2 : 35_x000D_
23 / 06_2 : _x000D_
23 / 07_2 : _x000D_
_x000D_
    TOTAL : ( 143 )_x000D_
  DIVISOR : 12_x000D_
    MÉDIA : 11,92</t>
        </r>
      </text>
    </comment>
    <comment ref="AB686" authorId="0" shapeId="0" xr:uid="{CEB2D753-0747-4E4D-814A-DABDEAA51C37}">
      <text>
        <r>
          <rPr>
            <sz val="10"/>
            <color indexed="81"/>
            <rFont val="Lucida Console"/>
            <family val="3"/>
          </rPr>
          <t>Última movimentação no estoque em 05/2023 quantidade 35.</t>
        </r>
      </text>
    </comment>
    <comment ref="R687" authorId="0" shapeId="0" xr:uid="{C94ED2F5-092F-4122-914C-C860E00C6A3A}">
      <text>
        <r>
          <rPr>
            <sz val="10"/>
            <color indexed="81"/>
            <rFont val="Lucida Console"/>
            <family val="3"/>
          </rPr>
          <t>01.01.1901</t>
        </r>
      </text>
    </comment>
    <comment ref="Y687" authorId="0" shapeId="0" xr:uid="{A9F57928-0934-4443-8CBA-FB3D9880999F}">
      <text>
        <r>
          <rPr>
            <sz val="10"/>
            <color indexed="81"/>
            <rFont val="Courier New"/>
            <family val="3"/>
          </rPr>
          <t>_x000D_
    DESCRIÇÃO DO CÁLCULO_x000D_
Código    : 53.849_x000D_
Corte     : 15_x000D_
-----------------------------_x000D_
Pendente  : _x000D_
22 / 08_2 : 8_x000D_
22 / 09_2 : 2_x000D_
22 / 10_2 : _x000D_
22 / 11_2 : 5_x000D_
22 / 12_2 : 5_x000D_
23 / 01_2 : _x000D_
23 / 02_2 : 4_x000D_
23 / 03_2 : 15 (corte = 18)_x000D_
23 / 04_2 : 10_x000D_
23 / 05_2 : _x000D_
23 / 06_2 : _x000D_
23 / 07_2 : _x000D_
_x000D_
    TOTAL : ( 49 )_x000D_
  DIVISOR : 12_x000D_
    MÉDIA : 4,08_x000D_
-----------------------------_x000D_
   Valores Desconsiderados_x000D_
-----------------------------_x000D_
23 / 03_2 : 3 (18)_x000D_
_x000D_
  TOTAL   : ( 3 )</t>
        </r>
      </text>
    </comment>
    <comment ref="AB687" authorId="0" shapeId="0" xr:uid="{779D9C28-580B-4F93-956A-E96B08AE136F}">
      <text>
        <r>
          <rPr>
            <sz val="10"/>
            <color indexed="81"/>
            <rFont val="Lucida Console"/>
            <family val="3"/>
          </rPr>
          <t>Última movimentação no estoque em 04/2023 quantidade 10.</t>
        </r>
      </text>
    </comment>
    <comment ref="R688" authorId="0" shapeId="0" xr:uid="{76106096-0ABD-489D-A36F-E007E120518E}">
      <text>
        <r>
          <rPr>
            <sz val="10"/>
            <color indexed="81"/>
            <rFont val="Lucida Console"/>
            <family val="3"/>
          </rPr>
          <t>23.06.2010</t>
        </r>
      </text>
    </comment>
    <comment ref="Y688" authorId="0" shapeId="0" xr:uid="{BF1F7A3A-E632-4F88-9C3F-B1074B109877}">
      <text>
        <r>
          <rPr>
            <sz val="10"/>
            <color indexed="81"/>
            <rFont val="Courier New"/>
            <family val="3"/>
          </rPr>
          <t>_x000D_
    DESCRIÇÃO DO CÁLCULO_x000D_
Código    : 115.805_x000D_
Corte     : 65_x000D_
-----------------------------_x000D_
Pendente  : _x000D_
22 / 08_2 : 42_x000D_
22 / 09_2 : 55_x000D_
22 / 10_2 : 1_x000D_
22 / 11_2 : 10_x000D_
22 / 12_2 : _x000D_
23 / 01_2 : 14_x000D_
23 / 02_2 : 35_x000D_
23 / 03_2 : 29_x000D_
23 / 04_2 : 21_x000D_
23 / 05_2 : 60_x000D_
23 / 06_2 : _x000D_
23 / 07_2 : 24_x000D_
_x000D_
    TOTAL : ( 291 )_x000D_
  DIVISOR : 12_x000D_
    MÉDIA : 24,25</t>
        </r>
      </text>
    </comment>
    <comment ref="AB688" authorId="0" shapeId="0" xr:uid="{A58F0DAB-A444-4CBC-90BE-234B3634DAFD}">
      <text>
        <r>
          <rPr>
            <sz val="10"/>
            <color indexed="81"/>
            <rFont val="Lucida Console"/>
            <family val="3"/>
          </rPr>
          <t>Última movimentação no estoque em 07/2023 quantidade 24.</t>
        </r>
      </text>
    </comment>
    <comment ref="R689" authorId="0" shapeId="0" xr:uid="{9E3ED0EA-DA54-457C-B056-7E02A321F7D5}">
      <text>
        <r>
          <rPr>
            <sz val="10"/>
            <color indexed="81"/>
            <rFont val="Lucida Console"/>
            <family val="3"/>
          </rPr>
          <t>16.09.2004</t>
        </r>
      </text>
    </comment>
    <comment ref="Y689" authorId="0" shapeId="0" xr:uid="{F044E278-BDBF-4C7D-BB06-DBA5613FDF99}">
      <text>
        <r>
          <rPr>
            <sz val="10"/>
            <color indexed="81"/>
            <rFont val="Courier New"/>
            <family val="3"/>
          </rPr>
          <t>_x000D_
    DESCRIÇÃO DO CÁLCULO_x000D_
Código    : 81.807_x000D_
Corte     : 5_x000D_
-----------------------------_x000D_
Pendente  : _x000D_
22 / 08_2 : 5_x000D_
22 / 09_2 : _x000D_
22 / 10_2 : _x000D_
22 / 11_2 : _x000D_
22 / 12_2 : _x000D_
23 / 01_2 : _x000D_
23 / 02_2 : _x000D_
23 / 03_2 : 5 (corte = 6)_x000D_
23 / 04_2 : _x000D_
23 / 05_2 : _x000D_
23 / 06_2 : _x000D_
23 / 07_2 : _x000D_
_x000D_
    TOTAL : ( 10 )_x000D_
  DIVISOR : 12_x000D_
    MÉDIA : ,83_x000D_
-----------------------------_x000D_
   Valores Desconsiderados_x000D_
-----------------------------_x000D_
23 / 03_2 : 1 (6)_x000D_
_x000D_
  TOTAL   : ( 1 )</t>
        </r>
      </text>
    </comment>
    <comment ref="AB689" authorId="0" shapeId="0" xr:uid="{4BAB7997-2A6E-40FF-9C67-FEBDD5F0E64C}">
      <text>
        <r>
          <rPr>
            <sz val="10"/>
            <color indexed="81"/>
            <rFont val="Lucida Console"/>
            <family val="3"/>
          </rPr>
          <t>Última movimentação no estoque em 03/2023 quantidade 6.</t>
        </r>
      </text>
    </comment>
    <comment ref="R690" authorId="0" shapeId="0" xr:uid="{F7BA04C7-86D0-413B-9D38-6FDBDB2D55BF}">
      <text>
        <r>
          <rPr>
            <sz val="10"/>
            <color indexed="81"/>
            <rFont val="Lucida Console"/>
            <family val="3"/>
          </rPr>
          <t>17.04.2019</t>
        </r>
      </text>
    </comment>
    <comment ref="Y690" authorId="0" shapeId="0" xr:uid="{41367F3F-F849-44EF-80F3-370EF025F496}">
      <text>
        <r>
          <rPr>
            <sz val="10"/>
            <color indexed="81"/>
            <rFont val="Courier New"/>
            <family val="3"/>
          </rPr>
          <t>_x000D_
    DESCRIÇÃO DO CÁLCULO_x000D_
Código    : 136.818_x000D_
Corte     : 13_x000D_
-----------------------------_x000D_
Pendente  : _x000D_
22 / 08_2 : _x000D_
22 / 09_2 : _x000D_
22 / 10_2 : _x000D_
22 / 11_2 : _x000D_
22 / 12_2 : _x000D_
23 / 01_2 : _x000D_
23 / 02_2 : _x000D_
23 / 03_2 : 13 (corte = 21)_x000D_
23 / 04_2 : _x000D_
23 / 05_2 : _x000D_
23 / 06_2 : _x000D_
23 / 07_2 : _x000D_
_x000D_
    TOTAL : ( 13 )_x000D_
  DIVISOR : 12_x000D_
    MÉDIA : 1,08_x000D_
-----------------------------_x000D_
   Valores Desconsiderados_x000D_
-----------------------------_x000D_
23 / 03_2 : 8 (21)_x000D_
_x000D_
  TOTAL   : ( 8 )</t>
        </r>
      </text>
    </comment>
    <comment ref="AB690" authorId="0" shapeId="0" xr:uid="{1753E928-6DC1-441B-8F73-7573FA93885A}">
      <text>
        <r>
          <rPr>
            <sz val="10"/>
            <color indexed="81"/>
            <rFont val="Lucida Console"/>
            <family val="3"/>
          </rPr>
          <t>Última movimentação no estoque em 03/2023 quantidade 21.</t>
        </r>
      </text>
    </comment>
    <comment ref="R691" authorId="0" shapeId="0" xr:uid="{F134AE26-12C5-4EEB-A404-6134AD83A6A2}">
      <text>
        <r>
          <rPr>
            <sz val="10"/>
            <color indexed="81"/>
            <rFont val="Lucida Console"/>
            <family val="3"/>
          </rPr>
          <t>13.03.2018</t>
        </r>
      </text>
    </comment>
    <comment ref="Y691" authorId="0" shapeId="0" xr:uid="{0A6C4ADA-8D44-45A8-AD3B-3997B5C0DC5F}">
      <text>
        <r>
          <rPr>
            <sz val="10"/>
            <color indexed="81"/>
            <rFont val="Courier New"/>
            <family val="3"/>
          </rPr>
          <t>_x000D_
    DESCRIÇÃO DO CÁLCULO_x000D_
Código    : 134.544_x000D_
Corte     : 328_x000D_
-----------------------------_x000D_
Pendente  : _x000D_
22 / 08_2 : 316_x000D_
22 / 09_2 : 227_x000D_
22 / 10_2 : 109_x000D_
22 / 11_2 : 217_x000D_
22 / 12_2 : 217_x000D_
23 / 01_2 : 93_x000D_
23 / 02_2 : 4_x000D_
23 / 03_2 : 31_x000D_
23 / 04_2 : 2_x000D_
23 / 05_2 : 20_x000D_
23 / 06_2 : _x000D_
23 / 07_2 : 10_x000D_
_x000D_
    TOTAL : ( 1.246 )_x000D_
  DIVISOR : 12_x000D_
    MÉDIA : 103,83</t>
        </r>
      </text>
    </comment>
    <comment ref="AB691" authorId="0" shapeId="0" xr:uid="{708BADBC-3158-40A6-92CC-678E0778F045}">
      <text>
        <r>
          <rPr>
            <sz val="10"/>
            <color indexed="81"/>
            <rFont val="Lucida Console"/>
            <family val="3"/>
          </rPr>
          <t>Última movimentação no estoque em 07/2023 quantidade 10.</t>
        </r>
      </text>
    </comment>
    <comment ref="R692" authorId="0" shapeId="0" xr:uid="{A609DC06-47F5-4C20-8A82-F87BDA3CFF06}">
      <text>
        <r>
          <rPr>
            <sz val="10"/>
            <color indexed="81"/>
            <rFont val="Lucida Console"/>
            <family val="3"/>
          </rPr>
          <t>18.03.2004</t>
        </r>
      </text>
    </comment>
    <comment ref="Y692" authorId="0" shapeId="0" xr:uid="{310EA29D-91A4-4DCF-B270-F3CEBF62206E}">
      <text>
        <r>
          <rPr>
            <sz val="10"/>
            <color indexed="81"/>
            <rFont val="Courier New"/>
            <family val="3"/>
          </rPr>
          <t>_x000D_
    DESCRIÇÃO DO CÁLCULO_x000D_
Código    : 77.788_x000D_
Corte     : 16_x000D_
-----------------------------_x000D_
Pendente  : _x000D_
22 / 08_2 : _x000D_
22 / 09_2 : _x000D_
22 / 10_2 : 15_x000D_
22 / 11_2 : _x000D_
22 / 12_2 : _x000D_
23 / 01_2 : 4_x000D_
23 / 02_2 : 8_x000D_
23 / 03_2 : _x000D_
23 / 04_2 : _x000D_
23 / 05_2 : 4_x000D_
23 / 06_2 : 16 (corte = 18)_x000D_
23 / 07_2 : _x000D_
_x000D_
    TOTAL : ( 47 )_x000D_
  DIVISOR : 12_x000D_
    MÉDIA : 3,92_x000D_
-----------------------------_x000D_
   Valores Desconsiderados_x000D_
-----------------------------_x000D_
23 / 06_2 : 2 (18)_x000D_
_x000D_
  TOTAL   : ( 2 )</t>
        </r>
      </text>
    </comment>
    <comment ref="AB692" authorId="0" shapeId="0" xr:uid="{D96DBEB4-FFD6-4F12-9795-5DF9F236821A}">
      <text>
        <r>
          <rPr>
            <sz val="10"/>
            <color indexed="81"/>
            <rFont val="Lucida Console"/>
            <family val="3"/>
          </rPr>
          <t>Última movimentação no estoque em 06/2023 quantidade 18.</t>
        </r>
      </text>
    </comment>
    <comment ref="R693" authorId="0" shapeId="0" xr:uid="{5868DDFD-D824-4114-8E1F-E3BA3CDECA51}">
      <text>
        <r>
          <rPr>
            <sz val="10"/>
            <color indexed="81"/>
            <rFont val="Lucida Console"/>
            <family val="3"/>
          </rPr>
          <t>01.01.1901</t>
        </r>
      </text>
    </comment>
    <comment ref="Y693" authorId="0" shapeId="0" xr:uid="{F6F96628-38CC-43EE-A2F8-8A33460EF1EC}">
      <text>
        <r>
          <rPr>
            <sz val="10"/>
            <color indexed="81"/>
            <rFont val="Courier New"/>
            <family val="3"/>
          </rPr>
          <t>_x000D_
    DESCRIÇÃO DO CÁLCULO_x000D_
Código    : 77.822_x000D_
Corte     : 1_x000D_
-----------------------------_x000D_
Pendente  : _x000D_
22 / 08_2 : 1 (corte = 2)_x000D_
22 / 09_2 : 1_x000D_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1 (2)_x000D_
_x000D_
  TOTAL   : ( 1 )</t>
        </r>
      </text>
    </comment>
    <comment ref="AB693" authorId="0" shapeId="0" xr:uid="{E348AB34-0E1A-4536-BD5E-1105BEED36ED}">
      <text>
        <r>
          <rPr>
            <sz val="10"/>
            <color indexed="81"/>
            <rFont val="Lucida Console"/>
            <family val="3"/>
          </rPr>
          <t>Última movimentação no estoque em 09/2022 quantidade 1.</t>
        </r>
      </text>
    </comment>
    <comment ref="R694" authorId="0" shapeId="0" xr:uid="{08CCF9AF-6979-4BC5-BFA0-66E20DE456FE}">
      <text>
        <r>
          <rPr>
            <sz val="10"/>
            <color indexed="81"/>
            <rFont val="Lucida Console"/>
            <family val="3"/>
          </rPr>
          <t>19.03.2004</t>
        </r>
      </text>
    </comment>
    <comment ref="Y694" authorId="0" shapeId="0" xr:uid="{581138FD-4611-4043-AE75-1172118DE430}">
      <text>
        <r>
          <rPr>
            <sz val="10"/>
            <color indexed="81"/>
            <rFont val="Courier New"/>
            <family val="3"/>
          </rPr>
          <t>_x000D_
    DESCRIÇÃO DO CÁLCULO_x000D_
Código    : 77.823_x000D_
Corte     : 9_x000D_
-----------------------------_x000D_
Pendente  : _x000D_
22 / 08_2 : 2_x000D_
22 / 09_2 : _x000D_
22 / 10_2 : 4_x000D_
22 / 11_2 : _x000D_
22 / 12_2 : 9 (corte = 13)_x000D_
23 / 01_2 : 3_x000D_
23 / 02_2 : _x000D_
23 / 03_2 : 1_x000D_
23 / 04_2 : _x000D_
23 / 05_2 : _x000D_
23 / 06_2 : _x000D_
23 / 07_2 : _x000D_
_x000D_
    TOTAL : ( 19 )_x000D_
  DIVISOR : 12_x000D_
    MÉDIA : 1,58_x000D_
-----------------------------_x000D_
   Valores Desconsiderados_x000D_
-----------------------------_x000D_
22 / 12_2 : 4 (13)_x000D_
_x000D_
  TOTAL   : ( 4 )</t>
        </r>
      </text>
    </comment>
    <comment ref="AB694" authorId="0" shapeId="0" xr:uid="{0090C627-1AB1-4D58-9DE4-F7C47D7C65DB}">
      <text>
        <r>
          <rPr>
            <sz val="10"/>
            <color indexed="81"/>
            <rFont val="Lucida Console"/>
            <family val="3"/>
          </rPr>
          <t>Última movimentação no estoque em 03/2023 quantidade 1.</t>
        </r>
      </text>
    </comment>
    <comment ref="R695" authorId="0" shapeId="0" xr:uid="{0E1842E4-56D1-45FC-8FC8-53FEDBEBFE0C}">
      <text>
        <r>
          <rPr>
            <sz val="10"/>
            <color indexed="81"/>
            <rFont val="Lucida Console"/>
            <family val="3"/>
          </rPr>
          <t>01.01.1901</t>
        </r>
      </text>
    </comment>
    <comment ref="Y695" authorId="0" shapeId="0" xr:uid="{8866DD88-8E52-47CA-B3BA-60C5D91877A6}">
      <text>
        <r>
          <rPr>
            <sz val="10"/>
            <color indexed="81"/>
            <rFont val="Courier New"/>
            <family val="3"/>
          </rPr>
          <t>_x000D_
    DESCRIÇÃO DO CÁLCULO_x000D_
Código    : 71.874_x000D_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5" authorId="0" shapeId="0" xr:uid="{F6937B7F-C29C-4AC1-A4F8-3B1729E9E391}">
      <text>
        <r>
          <rPr>
            <sz val="10"/>
            <color indexed="81"/>
            <rFont val="Lucida Console"/>
            <family val="3"/>
          </rPr>
          <t>Última movimentação no estoque em 05/2023 quantidade 5.</t>
        </r>
      </text>
    </comment>
    <comment ref="R696" authorId="0" shapeId="0" xr:uid="{E9834637-30B3-4FCE-8240-45C0A18CE638}">
      <text>
        <r>
          <rPr>
            <sz val="10"/>
            <color indexed="81"/>
            <rFont val="Lucida Console"/>
            <family val="3"/>
          </rPr>
          <t>01.01.1901</t>
        </r>
      </text>
    </comment>
    <comment ref="Y696" authorId="0" shapeId="0" xr:uid="{D139AA80-8EEF-4B31-9B33-7BAA020EA976}">
      <text>
        <r>
          <rPr>
            <sz val="10"/>
            <color indexed="81"/>
            <rFont val="Courier New"/>
            <family val="3"/>
          </rPr>
          <t>_x000D_
    DESCRIÇÃO DO CÁLCULO_x000D_
Código    : 36.399_x000D_
Corte     : 18_x000D_
-----------------------------_x000D_
Pendente  : _x000D_
22 / 08_2 : _x000D_
22 / 09_2 : _x000D_
22 / 10_2 : _x000D_
22 / 11_2 : _x000D_
22 / 12_2 : _x000D_
23 / 01_2 : _x000D_
23 / 02_2 : 18 (corte = 20)_x000D_
23 / 03_2 : _x000D_
23 / 04_2 : _x000D_
23 / 05_2 : 18 (corte = 20)_x000D_
23 / 06_2 : _x000D_
23 / 07_2 : _x000D_
_x000D_
    TOTAL : ( 36 )_x000D_
  DIVISOR : 12_x000D_
    MÉDIA : 3,00_x000D_
-----------------------------_x000D_
   Valores Desconsiderados_x000D_
-----------------------------_x000D_
23 / 02_2 : 2 (20)_x000D_
23 / 05_2 : 2 (20)_x000D_
_x000D_
  TOTAL   : ( 4 )</t>
        </r>
      </text>
    </comment>
    <comment ref="AB696" authorId="0" shapeId="0" xr:uid="{6EC2398F-36D5-4008-85E4-6C66532F03C4}">
      <text>
        <r>
          <rPr>
            <sz val="10"/>
            <color indexed="81"/>
            <rFont val="Lucida Console"/>
            <family val="3"/>
          </rPr>
          <t>Última movimentação no estoque em 05/2023 quantidade 20.</t>
        </r>
      </text>
    </comment>
    <comment ref="R697" authorId="0" shapeId="0" xr:uid="{B4684F72-8FB6-4E19-8883-A38F0184D142}">
      <text>
        <r>
          <rPr>
            <sz val="10"/>
            <color indexed="81"/>
            <rFont val="Lucida Console"/>
            <family val="3"/>
          </rPr>
          <t>15.10.2010</t>
        </r>
      </text>
    </comment>
    <comment ref="Y697" authorId="0" shapeId="0" xr:uid="{A51421C9-7101-447A-8719-0166153115F1}">
      <text>
        <r>
          <rPr>
            <sz val="10"/>
            <color indexed="81"/>
            <rFont val="Courier New"/>
            <family val="3"/>
          </rPr>
          <t>_x000D_
    DESCRIÇÃO DO CÁLCULO_x000D_
Código    : 118.246_x000D_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7" authorId="0" shapeId="0" xr:uid="{8C73A473-EA73-4527-B110-81B72B787244}">
      <text>
        <r>
          <rPr>
            <sz val="10"/>
            <color indexed="81"/>
            <rFont val="Lucida Console"/>
            <family val="3"/>
          </rPr>
          <t>Última movimentação no estoque em 05/2023 quantidade 5.</t>
        </r>
      </text>
    </comment>
    <comment ref="R698" authorId="0" shapeId="0" xr:uid="{6C8F56D3-BAB4-4F97-BDF8-1EDC9ECE8CCB}">
      <text>
        <r>
          <rPr>
            <sz val="10"/>
            <color indexed="81"/>
            <rFont val="Lucida Console"/>
            <family val="3"/>
          </rPr>
          <t>15.10.2010</t>
        </r>
      </text>
    </comment>
    <comment ref="Y698" authorId="0" shapeId="0" xr:uid="{B39BBC66-A8C5-4372-BE28-7248D1B4344A}">
      <text>
        <r>
          <rPr>
            <sz val="10"/>
            <color indexed="81"/>
            <rFont val="Courier New"/>
            <family val="3"/>
          </rPr>
          <t>_x000D_
    DESCRIÇÃO DO CÁLCULO_x000D_
Código    : 118.244_x000D_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8" authorId="0" shapeId="0" xr:uid="{191889D4-87BC-4B98-A31E-C82BC5F98A5E}">
      <text>
        <r>
          <rPr>
            <sz val="10"/>
            <color indexed="81"/>
            <rFont val="Lucida Console"/>
            <family val="3"/>
          </rPr>
          <t>Última movimentação no estoque em 05/2023 quantidade 5.</t>
        </r>
      </text>
    </comment>
    <comment ref="R699" authorId="0" shapeId="0" xr:uid="{864D7B67-6C7D-4391-9052-32B70CDDC26E}">
      <text>
        <r>
          <rPr>
            <sz val="10"/>
            <color indexed="81"/>
            <rFont val="Lucida Console"/>
            <family val="3"/>
          </rPr>
          <t>15.10.2010</t>
        </r>
      </text>
    </comment>
    <comment ref="Y699" authorId="0" shapeId="0" xr:uid="{BAFAC43C-8F18-43A9-BC42-0C2A8F2BC8CA}">
      <text>
        <r>
          <rPr>
            <sz val="10"/>
            <color indexed="81"/>
            <rFont val="Courier New"/>
            <family val="3"/>
          </rPr>
          <t>_x000D_
    DESCRIÇÃO DO CÁLCULO_x000D_
Código    : 118.245_x000D_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9" authorId="0" shapeId="0" xr:uid="{1F0FC11C-5299-4871-A4AC-332F2357A352}">
      <text>
        <r>
          <rPr>
            <sz val="10"/>
            <color indexed="81"/>
            <rFont val="Lucida Console"/>
            <family val="3"/>
          </rPr>
          <t>Última movimentação no estoque em 05/2023 quantidade 5.</t>
        </r>
      </text>
    </comment>
    <comment ref="R700" authorId="0" shapeId="0" xr:uid="{96642F7D-3F16-46A9-B655-4D1D1CE27EC7}">
      <text>
        <r>
          <rPr>
            <sz val="10"/>
            <color indexed="81"/>
            <rFont val="Lucida Console"/>
            <family val="3"/>
          </rPr>
          <t>01.01.1901</t>
        </r>
      </text>
    </comment>
    <comment ref="Y700" authorId="0" shapeId="0" xr:uid="{0A0B5A3F-6DC1-4567-808E-78B28C7B70E5}">
      <text>
        <r>
          <rPr>
            <sz val="10"/>
            <color indexed="81"/>
            <rFont val="Courier New"/>
            <family val="3"/>
          </rPr>
          <t>_x000D_
    DESCRIÇÃO DO CÁLCULO_x000D_
Código    : 58.436_x000D_
Corte     : 9_x000D_
-----------------------------_x000D_
Pendente  : _x000D_
22 / 08_2 : _x000D_
22 / 09_2 : _x000D_
22 / 10_2 : _x000D_
22 / 11_2 : _x000D_
22 / 12_2 : _x000D_
23 / 01_2 : 1_x000D_
23 / 02_2 : _x000D_
23 / 03_2 : 9 (corte = 14)_x000D_
23 / 04_2 : _x000D_
23 / 05_2 : _x000D_
23 / 06_2 : _x000D_
23 / 07_2 : _x000D_
_x000D_
    TOTAL : ( 10 )_x000D_
  DIVISOR : 12_x000D_
    MÉDIA : ,83_x000D_
-----------------------------_x000D_
   Valores Desconsiderados_x000D_
-----------------------------_x000D_
23 / 03_2 : 5 (14)_x000D_
_x000D_
  TOTAL   : ( 5 )</t>
        </r>
      </text>
    </comment>
    <comment ref="AB700" authorId="0" shapeId="0" xr:uid="{3051BA57-98D5-4DF5-8C63-A25E50CDE164}">
      <text>
        <r>
          <rPr>
            <sz val="10"/>
            <color indexed="81"/>
            <rFont val="Lucida Console"/>
            <family val="3"/>
          </rPr>
          <t>Última movimentação no estoque em 03/2023 quantidade 14.</t>
        </r>
      </text>
    </comment>
    <comment ref="R701" authorId="0" shapeId="0" xr:uid="{C4B873BB-FE40-4B68-A10D-DEE69DF8988F}">
      <text>
        <r>
          <rPr>
            <sz val="10"/>
            <color indexed="81"/>
            <rFont val="Lucida Console"/>
            <family val="3"/>
          </rPr>
          <t>01.01.1901</t>
        </r>
      </text>
    </comment>
    <comment ref="Y701" authorId="0" shapeId="0" xr:uid="{FFF655CB-2B66-4C80-8DEE-D84235358D6C}">
      <text>
        <r>
          <rPr>
            <sz val="10"/>
            <color indexed="81"/>
            <rFont val="Courier New"/>
            <family val="3"/>
          </rPr>
          <t>_x000D_
    DESCRIÇÃO DO CÁLCULO_x000D_
Código    : 12.847_x000D_
Corte     : 2.636_x000D_
-----------------------------_x000D_
Pendente  : _x000D_
22 / 08_2 : 91_x000D_
22 / 09_2 : 98_x000D_
22 / 10_2 : 121_x000D_
22 / 11_2 : 95_x000D_
22 / 12_2 : 61_x000D_
23 / 01_2 : 33_x000D_
23 / 02_2 : 71_x000D_
23 / 03_2 : 2.636 (corte = 3950)_x000D_
23 / 04_2 : 35_x000D_
23 / 05_2 : 89_x000D_
23 / 06_2 : 83_x000D_
23 / 07_2 : 67_x000D_
_x000D_
    TOTAL : ( 3.480 )_x000D_
  DIVISOR : 12_x000D_
    MÉDIA : 290,00_x000D_
-----------------------------_x000D_
   Valores Desconsiderados_x000D_
-----------------------------_x000D_
23 / 03_2 : 1.314 (3.950)_x000D_
_x000D_
  TOTAL   : ( 1.314 )</t>
        </r>
      </text>
    </comment>
    <comment ref="AB701" authorId="0" shapeId="0" xr:uid="{EE54FBBE-5077-4D8D-8D03-D6CAEDB89723}">
      <text>
        <r>
          <rPr>
            <sz val="10"/>
            <color indexed="81"/>
            <rFont val="Lucida Console"/>
            <family val="3"/>
          </rPr>
          <t>Última movimentação no estoque em 07/2023 quantidade 67.</t>
        </r>
      </text>
    </comment>
    <comment ref="R702" authorId="0" shapeId="0" xr:uid="{D329BC8F-17AC-4282-8C23-7BAF253191C7}">
      <text>
        <r>
          <rPr>
            <sz val="10"/>
            <color indexed="81"/>
            <rFont val="Lucida Console"/>
            <family val="3"/>
          </rPr>
          <t>01.01.1901</t>
        </r>
      </text>
    </comment>
    <comment ref="Y702" authorId="0" shapeId="0" xr:uid="{143E1C1D-F7E4-48F4-B73C-0571F5223781}">
      <text>
        <r>
          <rPr>
            <sz val="10"/>
            <color indexed="81"/>
            <rFont val="Courier New"/>
            <family val="3"/>
          </rPr>
          <t>_x000D_
    DESCRIÇÃO DO CÁLCULO_x000D_
Código    : 24.204_x000D_
Corte     : 98_x000D_
-----------------------------_x000D_
Pendente  : _x000D_
22 / 08_2 : 59_x000D_
22 / 09_2 : 73_x000D_
22 / 10_2 : 49_x000D_
22 / 11_2 : 71_x000D_
22 / 12_2 : 51_x000D_
23 / 01_2 : 72_x000D_
23 / 02_2 : 53_x000D_
23 / 03_2 : 88_x000D_
23 / 04_2 : 98 (corte = 100)_x000D_
23 / 05_2 : 70_x000D_
23 / 06_2 : 70_x000D_
23 / 07_2 : 51_x000D_
_x000D_
    TOTAL : ( 805 )_x000D_
  DIVISOR : 12_x000D_
    MÉDIA : 67,08_x000D_
-----------------------------_x000D_
   Valores Desconsiderados_x000D_
-----------------------------_x000D_
23 / 04_2 : 2 (100)_x000D_
_x000D_
  TOTAL   : ( 2 )</t>
        </r>
      </text>
    </comment>
    <comment ref="AB702" authorId="0" shapeId="0" xr:uid="{4F69A692-BFBB-4F58-9581-198B7C1ABC2A}">
      <text>
        <r>
          <rPr>
            <sz val="10"/>
            <color indexed="81"/>
            <rFont val="Lucida Console"/>
            <family val="3"/>
          </rPr>
          <t>Última movimentação no estoque em 07/2023 quantidade 51.</t>
        </r>
      </text>
    </comment>
    <comment ref="R703" authorId="0" shapeId="0" xr:uid="{99402453-6F5A-4950-8BC3-B0B05CDEC39B}">
      <text>
        <r>
          <rPr>
            <sz val="10"/>
            <color indexed="81"/>
            <rFont val="Lucida Console"/>
            <family val="3"/>
          </rPr>
          <t>15.06.2021</t>
        </r>
      </text>
    </comment>
    <comment ref="Y703" authorId="0" shapeId="0" xr:uid="{B682ADB6-A3C3-4C88-8CE5-38A490236229}">
      <text>
        <r>
          <rPr>
            <sz val="10"/>
            <color indexed="81"/>
            <rFont val="Courier New"/>
            <family val="3"/>
          </rPr>
          <t>_x000D_
    DESCRIÇÃO DO CÁLCULO_x000D_
Código    : 141.418_x000D_
Corte     : 91_x000D_
-----------------------------_x000D_
Pendente  : _x000D_
22 / 08_2 : 78_x000D_
22 / 09_2 : 60_x000D_
22 / 10_2 : 74_x000D_
22 / 11_2 : 37_x000D_
22 / 12_2 : 17_x000D_
23 / 01_2 : 64_x000D_
23 / 02_2 : 45_x000D_
23 / 03_2 : 78_x000D_
23 / 04_2 : 43_x000D_
23 / 05_2 : 48_x000D_
23 / 06_2 : 50_x000D_
23 / 07_2 : 62_x000D_
_x000D_
    TOTAL : ( 656 )_x000D_
  DIVISOR : 12_x000D_
    MÉDIA : 54,67</t>
        </r>
      </text>
    </comment>
    <comment ref="AB703" authorId="0" shapeId="0" xr:uid="{66507327-F550-4299-9B1F-F5E95ABA49E8}">
      <text>
        <r>
          <rPr>
            <sz val="10"/>
            <color indexed="81"/>
            <rFont val="Lucida Console"/>
            <family val="3"/>
          </rPr>
          <t>Última movimentação no estoque em 07/2023 quantidade 62.</t>
        </r>
      </text>
    </comment>
    <comment ref="R704" authorId="0" shapeId="0" xr:uid="{1E963779-2BF7-4023-8F88-05226196EC52}">
      <text>
        <r>
          <rPr>
            <sz val="10"/>
            <color indexed="81"/>
            <rFont val="Lucida Console"/>
            <family val="3"/>
          </rPr>
          <t>19.08.2019</t>
        </r>
      </text>
    </comment>
    <comment ref="Y704" authorId="0" shapeId="0" xr:uid="{B948A258-5217-41DA-81BD-6CB3E585B652}">
      <text>
        <r>
          <rPr>
            <sz val="10"/>
            <color indexed="81"/>
            <rFont val="Courier New"/>
            <family val="3"/>
          </rPr>
          <t>_x000D_
    DESCRIÇÃO DO CÁLCULO_x000D_
Código    : 138.352_x000D_
Corte     : 19_x000D_
-----------------------------_x000D_
Pendente  : _x000D_
22 / 08_2 : 12_x000D_
22 / 09_2 : 13_x000D_
22 / 10_2 : 7_x000D_
22 / 11_2 : 11_x000D_
22 / 12_2 : 10_x000D_
23 / 01_2 : 14_x000D_
23 / 02_2 : 13_x000D_
23 / 03_2 : 17_x000D_
23 / 04_2 : 2_x000D_
23 / 05_2 : 11_x000D_
23 / 06_2 : 14_x000D_
23 / 07_2 : 2_x000D_
_x000D_
    TOTAL : ( 126 )_x000D_
  DIVISOR : 12_x000D_
    MÉDIA : 10,50</t>
        </r>
      </text>
    </comment>
    <comment ref="AB704" authorId="0" shapeId="0" xr:uid="{0785103D-3B03-4B3B-9AA5-D0F1EC4F995C}">
      <text>
        <r>
          <rPr>
            <sz val="10"/>
            <color indexed="81"/>
            <rFont val="Lucida Console"/>
            <family val="3"/>
          </rPr>
          <t>Última movimentação no estoque em 07/2023 quantidade 2.</t>
        </r>
      </text>
    </comment>
    <comment ref="R705" authorId="0" shapeId="0" xr:uid="{B417A49D-0CB8-491A-89D5-0655ED9B1CD3}">
      <text>
        <r>
          <rPr>
            <sz val="10"/>
            <color indexed="81"/>
            <rFont val="Lucida Console"/>
            <family val="3"/>
          </rPr>
          <t>10.05.2006</t>
        </r>
      </text>
    </comment>
    <comment ref="Y705" authorId="0" shapeId="0" xr:uid="{6EB430A3-A7F6-4CB8-A222-3FF02F66AB7C}">
      <text>
        <r>
          <rPr>
            <sz val="10"/>
            <color indexed="81"/>
            <rFont val="Courier New"/>
            <family val="3"/>
          </rPr>
          <t>_x000D_
    DESCRIÇÃO DO CÁLCULO_x000D_
Código    : 91.669_x000D_
Corte     : 1.074_x000D_
-----------------------------_x000D_
Pendente  : _x000D_
22 / 08_2 : 499_x000D_
22 / 09_2 : 503_x000D_
22 / 10_2 : 488_x000D_
22 / 11_2 : 560_x000D_
22 / 12_2 : 328_x000D_
23 / 01_2 : 80_x000D_
23 / 02_2 : 411_x000D_
23 / 03_2 : 1.074 (corte = 1256)_x000D_
23 / 04_2 : 514_x000D_
23 / 05_2 : 626_x000D_
23 / 06_2 : 605_x000D_
23 / 07_2 : 538_x000D_
_x000D_
    TOTAL : ( 6.226 )_x000D_
  DIVISOR : 12_x000D_
    MÉDIA : 518,83_x000D_
-----------------------------_x000D_
   Valores Desconsiderados_x000D_
-----------------------------_x000D_
23 / 03_2 : 182 (1.256)_x000D_
_x000D_
  TOTAL   : ( 182 )</t>
        </r>
      </text>
    </comment>
    <comment ref="AB705" authorId="0" shapeId="0" xr:uid="{DB905AA7-02F1-4EE5-9B19-8451AA8DCAD9}">
      <text>
        <r>
          <rPr>
            <sz val="10"/>
            <color indexed="81"/>
            <rFont val="Lucida Console"/>
            <family val="3"/>
          </rPr>
          <t>Última movimentação no estoque em 07/2023 quantidade 538.</t>
        </r>
      </text>
    </comment>
    <comment ref="R706" authorId="0" shapeId="0" xr:uid="{2AAE939B-AB92-4572-A03C-5EA1F3F45F07}">
      <text>
        <r>
          <rPr>
            <sz val="10"/>
            <color indexed="81"/>
            <rFont val="Lucida Console"/>
            <family val="3"/>
          </rPr>
          <t>13.04.2009</t>
        </r>
      </text>
    </comment>
    <comment ref="Y706" authorId="0" shapeId="0" xr:uid="{2B5BD721-EA8D-4FCA-A288-3DA311A06F3C}">
      <text>
        <r>
          <rPr>
            <sz val="10"/>
            <color indexed="81"/>
            <rFont val="Courier New"/>
            <family val="3"/>
          </rPr>
          <t>_x000D_
    DESCRIÇÃO DO CÁLCULO_x000D_
Código    : 110.578_x000D_
Corte     : 29_x000D_
-----------------------------_x000D_
Pendente  : _x000D_
22 / 08_2 : 12_x000D_
22 / 09_2 : 16_x000D_
22 / 10_2 : 14_x000D_
22 / 11_2 : 17_x000D_
22 / 12_2 : 25_x000D_
23 / 01_2 : 29 (corte = 30)_x000D_
23 / 02_2 : 18_x000D_
23 / 03_2 : 20_x000D_
23 / 04_2 : 24_x000D_
23 / 05_2 : 14_x000D_
23 / 06_2 : 16_x000D_
23 / 07_2 : 18_x000D_
_x000D_
    TOTAL : ( 223 )_x000D_
  DIVISOR : 12_x000D_
    MÉDIA : 18,58_x000D_
-----------------------------_x000D_
   Valores Desconsiderados_x000D_
-----------------------------_x000D_
23 / 01_2 : 1 (30)_x000D_
_x000D_
  TOTAL   : ( 1 )</t>
        </r>
      </text>
    </comment>
    <comment ref="AB706" authorId="0" shapeId="0" xr:uid="{825D1470-8CFB-44FA-9424-127960C8D040}">
      <text>
        <r>
          <rPr>
            <sz val="10"/>
            <color indexed="81"/>
            <rFont val="Lucida Console"/>
            <family val="3"/>
          </rPr>
          <t>Última movimentação no estoque em 07/2023 quantidade 18.</t>
        </r>
      </text>
    </comment>
    <comment ref="R707" authorId="0" shapeId="0" xr:uid="{5F6248FA-AC5A-4AB3-893E-62D94C92943B}">
      <text>
        <r>
          <rPr>
            <sz val="10"/>
            <color indexed="81"/>
            <rFont val="Lucida Console"/>
            <family val="3"/>
          </rPr>
          <t>17.01.2005</t>
        </r>
      </text>
    </comment>
    <comment ref="Y707" authorId="0" shapeId="0" xr:uid="{4F0027C4-D3AC-412B-BBD6-A5CA82351091}">
      <text>
        <r>
          <rPr>
            <sz val="10"/>
            <color indexed="81"/>
            <rFont val="Courier New"/>
            <family val="3"/>
          </rPr>
          <t>_x000D_
    DESCRIÇÃO DO CÁLCULO_x000D_
Código    : 83.627_x000D_
Corte     : 14.956_x000D_
-----------------------------_x000D_
Pendente  : 400_x000D_
22 / 08_2 : 9.250_x000D_
22 / 09_2 : 9.171_x000D_
22 / 10_2 : 10.044_x000D_
22 / 11_2 : 9.430_x000D_
22 / 12_2 : 6.880_x000D_
23 / 01_2 : 6.400_x000D_
23 / 02_2 : 10.742_x000D_
23 / 03_2 : 12.121_x000D_
23 / 04_2 : 10.265_x000D_
23 / 05_2 : 9.276_x000D_
23 / 06_2 : 8.680_x000D_
23 / 07_2 : 7.779_x000D_
_x000D_
    TOTAL : ( 110.438 )_x000D_
  DIVISOR : 12_x000D_
    MÉDIA : 9.203,17</t>
        </r>
      </text>
    </comment>
    <comment ref="AB707" authorId="0" shapeId="0" xr:uid="{E5D83985-E080-4B8F-A19A-822531A4BCC5}">
      <text>
        <r>
          <rPr>
            <sz val="10"/>
            <color indexed="81"/>
            <rFont val="Lucida Console"/>
            <family val="3"/>
          </rPr>
          <t>Última movimentação no estoque em 07/2023 quantidade 7.779.</t>
        </r>
      </text>
    </comment>
    <comment ref="R708" authorId="0" shapeId="0" xr:uid="{6876F39D-BEA2-4D9F-9DE7-746FC381B916}">
      <text>
        <r>
          <rPr>
            <sz val="10"/>
            <color indexed="81"/>
            <rFont val="Lucida Console"/>
            <family val="3"/>
          </rPr>
          <t>01.01.1901</t>
        </r>
      </text>
    </comment>
    <comment ref="Y708" authorId="0" shapeId="0" xr:uid="{0B0DB2B6-E990-4959-9149-CB4C4ED9D9EC}">
      <text>
        <r>
          <rPr>
            <sz val="10"/>
            <color indexed="81"/>
            <rFont val="Courier New"/>
            <family val="3"/>
          </rPr>
          <t>_x000D_
    DESCRIÇÃO DO CÁLCULO_x000D_
Código    : 9.413_x000D_
Corte     : 2.626_x000D_
-----------------------------_x000D_
Pendente  : _x000D_
22 / 08_2 : 1.566_x000D_
22 / 09_2 : 1.907_x000D_
22 / 10_2 : 1.100_x000D_
22 / 11_2 : 2.442_x000D_
22 / 12_2 : 1.362_x000D_
23 / 01_2 : 1.741_x000D_
23 / 02_2 : 2.205_x000D_
23 / 03_2 : 1.720_x000D_
23 / 04_2 : 2.223_x000D_
23 / 05_2 : 1.735_x000D_
23 / 06_2 : 1.879_x000D_
23 / 07_2 : 963_x000D_
_x000D_
    TOTAL : ( 20.843 )_x000D_
  DIVISOR : 12_x000D_
    MÉDIA : 1.736,92</t>
        </r>
      </text>
    </comment>
    <comment ref="AB708" authorId="0" shapeId="0" xr:uid="{D4537894-ACBE-4C9F-9B30-DA14D92224F9}">
      <text>
        <r>
          <rPr>
            <sz val="10"/>
            <color indexed="81"/>
            <rFont val="Lucida Console"/>
            <family val="3"/>
          </rPr>
          <t>Última movimentação no estoque em 07/2023 quantidade 963.</t>
        </r>
      </text>
    </comment>
    <comment ref="R709" authorId="0" shapeId="0" xr:uid="{9032649F-B30A-437C-9927-8D15595AC1DB}">
      <text>
        <r>
          <rPr>
            <sz val="10"/>
            <color indexed="81"/>
            <rFont val="Lucida Console"/>
            <family val="3"/>
          </rPr>
          <t>21.08.2017</t>
        </r>
      </text>
    </comment>
    <comment ref="Y709" authorId="0" shapeId="0" xr:uid="{FF696BDC-7D3D-4091-B2D5-B64F70E481E0}">
      <text>
        <r>
          <rPr>
            <sz val="10"/>
            <color indexed="81"/>
            <rFont val="Courier New"/>
            <family val="3"/>
          </rPr>
          <t>_x000D_
    DESCRIÇÃO DO CÁLCULO_x000D_
Código    : 133.191_x000D_
Corte     : 171.665_x000D_
-----------------------------_x000D_
Pendente  : _x000D_
22 / 08_2 : 3.090_x000D_
22 / 09_2 : 2.930_x000D_
22 / 10_2 : 73.035_x000D_
22 / 11_2 : 3.862_x000D_
22 / 12_2 : 171.665 (corte = 246270)_x000D_
23 / 01_2 : 720_x000D_
23 / 02_2 : 1.910_x000D_
23 / 03_2 : 4.440_x000D_
23 / 04_2 : 2.500_x000D_
23 / 05_2 : 3.180_x000D_
23 / 06_2 : 2.780_x000D_
23 / 07_2 : 2.470_x000D_
_x000D_
    TOTAL : ( 272.582 )_x000D_
  DIVISOR : 12_x000D_
    MÉDIA : 22.715,17_x000D_
-----------------------------_x000D_
   Valores Desconsiderados_x000D_
-----------------------------_x000D_
22 / 12_2 : 74.605 (246.270)_x000D_
_x000D_
  TOTAL   : ( 74.605 )</t>
        </r>
      </text>
    </comment>
    <comment ref="AB709" authorId="0" shapeId="0" xr:uid="{7B9E87B2-B8EC-48F8-B71C-212E3E777512}">
      <text>
        <r>
          <rPr>
            <sz val="10"/>
            <color indexed="81"/>
            <rFont val="Lucida Console"/>
            <family val="3"/>
          </rPr>
          <t>Última movimentação no estoque em 07/2023 quantidade 2.470.</t>
        </r>
      </text>
    </comment>
    <comment ref="R710" authorId="0" shapeId="0" xr:uid="{91E0D084-F7DC-4168-8C7D-790D1D6D8858}">
      <text>
        <r>
          <rPr>
            <sz val="10"/>
            <color indexed="81"/>
            <rFont val="Lucida Console"/>
            <family val="3"/>
          </rPr>
          <t>01.01.1901</t>
        </r>
      </text>
    </comment>
    <comment ref="Y710" authorId="0" shapeId="0" xr:uid="{5312CF71-92EA-48D5-AB4B-7F36A0D12FB6}">
      <text>
        <r>
          <rPr>
            <sz val="10"/>
            <color indexed="81"/>
            <rFont val="Courier New"/>
            <family val="3"/>
          </rPr>
          <t>_x000D_
    DESCRIÇÃO DO CÁLCULO_x000D_
Código    : 14.121_x000D_
Corte     : 953_x000D_
-----------------------------_x000D_
Pendente  : _x000D_
22 / 08_2 : 330_x000D_
22 / 09_2 : 510_x000D_
22 / 10_2 : 180_x000D_
22 / 11_2 : 590_x000D_
22 / 12_2 : 480_x000D_
23 / 01_2 : 681_x000D_
23 / 02_2 : 760_x000D_
23 / 03_2 : 520_x000D_
23 / 04_2 : 691_x000D_
23 / 05_2 : 531_x000D_
23 / 06_2 : 762_x000D_
23 / 07_2 : 50_x000D_
_x000D_
    TOTAL : ( 6.085 )_x000D_
  DIVISOR : 12_x000D_
    MÉDIA : 507,08</t>
        </r>
      </text>
    </comment>
    <comment ref="AB710" authorId="0" shapeId="0" xr:uid="{7A83E675-4F40-484D-B50E-09815F0CFC9D}">
      <text>
        <r>
          <rPr>
            <sz val="10"/>
            <color indexed="81"/>
            <rFont val="Lucida Console"/>
            <family val="3"/>
          </rPr>
          <t>Última movimentação no estoque em 07/2023 quantidade 50.</t>
        </r>
      </text>
    </comment>
    <comment ref="R711" authorId="0" shapeId="0" xr:uid="{86874999-E216-4C7D-8AF6-76181CC12856}">
      <text>
        <r>
          <rPr>
            <sz val="10"/>
            <color indexed="81"/>
            <rFont val="Lucida Console"/>
            <family val="3"/>
          </rPr>
          <t>19.01.2009</t>
        </r>
      </text>
    </comment>
    <comment ref="Y711" authorId="0" shapeId="0" xr:uid="{738EE047-CA19-472B-9D7A-F47DD149D28C}">
      <text>
        <r>
          <rPr>
            <sz val="10"/>
            <color indexed="81"/>
            <rFont val="Courier New"/>
            <family val="3"/>
          </rPr>
          <t>_x000D_
    DESCRIÇÃO DO CÁLCULO_x000D_
Código    : 109.251_x000D_
Corte     : 1_x000D_
-----------------------------_x000D_
Pendente  : _x000D_
22 / 08_2 : 1 (corte = 3)_x000D_
22 / 09_2 : _x000D_
22 / 10_2 : 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08_2 : 2 (3)_x000D_
_x000D_
  TOTAL   : ( 2 )</t>
        </r>
      </text>
    </comment>
    <comment ref="AB711" authorId="0" shapeId="0" xr:uid="{1A1C6F9C-7A08-4450-BC2E-CF46B3E8F2D9}">
      <text>
        <r>
          <rPr>
            <sz val="10"/>
            <color indexed="81"/>
            <rFont val="Lucida Console"/>
            <family val="3"/>
          </rPr>
          <t>Última movimentação no estoque em 08/2022 quantidade 3.</t>
        </r>
      </text>
    </comment>
    <comment ref="R712" authorId="0" shapeId="0" xr:uid="{CB36A244-9B23-4462-BEDE-3D2A31ACEAC1}">
      <text>
        <r>
          <rPr>
            <sz val="10"/>
            <color indexed="81"/>
            <rFont val="Lucida Console"/>
            <family val="3"/>
          </rPr>
          <t>09.08.2004</t>
        </r>
      </text>
    </comment>
    <comment ref="Y712" authorId="0" shapeId="0" xr:uid="{00C900B3-ACB8-4201-96B2-A38A113F83D2}">
      <text>
        <r>
          <rPr>
            <sz val="10"/>
            <color indexed="81"/>
            <rFont val="Courier New"/>
            <family val="3"/>
          </rPr>
          <t>_x000D_
    DESCRIÇÃO DO CÁLCULO_x000D_
Código    : 81.152_x000D_
Corte     : 3_x000D_
-----------------------------_x000D_
Pendente  : _x000D_
22 / 08_2 : 1_x000D_
22 / 09_2 : 1_x000D_
22 / 10_2 : _x000D_
22 / 11_2 : 1_x000D_
22 / 12_2 : 3 (corte = 4)_x000D_
23 / 01_2 : 3_x000D_
23 / 02_2 : _x000D_
23 / 03_2 : 1_x000D_
23 / 04_2 : 1_x000D_
23 / 05_2 : 1_x000D_
23 / 06_2 : 1_x000D_
23 / 07_2 : 1_x000D_
_x000D_
    TOTAL : ( 14 )_x000D_
  DIVISOR : 12_x000D_
    MÉDIA : 1,17_x000D_
-----------------------------_x000D_
   Valores Desconsiderados_x000D_
-----------------------------_x000D_
22 / 12_2 : 1 (4)_x000D_
_x000D_
  TOTAL   : ( 1 )</t>
        </r>
      </text>
    </comment>
    <comment ref="AB712" authorId="0" shapeId="0" xr:uid="{34BA5B9C-5B0D-4217-A7F9-4ADBCB5B8C48}">
      <text>
        <r>
          <rPr>
            <sz val="10"/>
            <color indexed="81"/>
            <rFont val="Lucida Console"/>
            <family val="3"/>
          </rPr>
          <t>Última movimentação no estoque em 07/2023 quantidade 1.</t>
        </r>
      </text>
    </comment>
    <comment ref="R713" authorId="0" shapeId="0" xr:uid="{7F48B9C9-9D78-4073-A331-96653A739C52}">
      <text>
        <r>
          <rPr>
            <sz val="10"/>
            <color indexed="81"/>
            <rFont val="Lucida Console"/>
            <family val="3"/>
          </rPr>
          <t>18.07.2007</t>
        </r>
      </text>
    </comment>
    <comment ref="Y713" authorId="0" shapeId="0" xr:uid="{DBC013AF-74D4-4201-8F48-00A4A3C67BAA}">
      <text>
        <r>
          <rPr>
            <sz val="10"/>
            <color indexed="81"/>
            <rFont val="Courier New"/>
            <family val="3"/>
          </rPr>
          <t>_x000D_
    DESCRIÇÃO DO CÁLCULO_x000D_
Código    : 100.907_x000D_
Corte     : 22_x000D_
-----------------------------_x000D_
Pendente  : _x000D_
22 / 08_2 : 10_x000D_
22 / 09_2 : 10_x000D_
22 / 10_2 : _x000D_
22 / 11_2 : 20_x000D_
22 / 12_2 : 7_x000D_
23 / 01_2 : 13_x000D_
23 / 02_2 : 19_x000D_
23 / 03_2 : 11_x000D_
23 / 04_2 : 16_x000D_
23 / 05_2 : 13_x000D_
23 / 06_2 : 7_x000D_
23 / 07_2 : 7_x000D_
_x000D_
    TOTAL : ( 133 )_x000D_
  DIVISOR : 12_x000D_
    MÉDIA : 11,08</t>
        </r>
      </text>
    </comment>
    <comment ref="AB713" authorId="0" shapeId="0" xr:uid="{254D6526-7407-4AA2-95B0-75978131DFE1}">
      <text>
        <r>
          <rPr>
            <sz val="10"/>
            <color indexed="81"/>
            <rFont val="Lucida Console"/>
            <family val="3"/>
          </rPr>
          <t>Última movimentação no estoque em 07/2023 quantidade 7.</t>
        </r>
      </text>
    </comment>
    <comment ref="R714" authorId="0" shapeId="0" xr:uid="{98234FEF-A872-4975-8B16-948643E3E55A}">
      <text>
        <r>
          <rPr>
            <sz val="10"/>
            <color indexed="81"/>
            <rFont val="Lucida Console"/>
            <family val="3"/>
          </rPr>
          <t>01.01.1901</t>
        </r>
      </text>
    </comment>
    <comment ref="Y714" authorId="0" shapeId="0" xr:uid="{B148169E-5439-409D-8FA0-12B8D65679FB}">
      <text>
        <r>
          <rPr>
            <sz val="10"/>
            <color indexed="81"/>
            <rFont val="Courier New"/>
            <family val="3"/>
          </rPr>
          <t>_x000D_
    DESCRIÇÃO DO CÁLCULO_x000D_
Código    : 54.019_x000D_
Corte     : 104_x000D_
-----------------------------_x000D_
Pendente  : _x000D_
22 / 08_2 : _x000D_
22 / 09_2 : 24_x000D_
22 / 10_2 : 40_x000D_
22 / 11_2 : 90_x000D_
22 / 12_2 : 20_x000D_
23 / 01_2 : 104 (corte = 105)_x000D_
23 / 02_2 : 64_x000D_
23 / 03_2 : 4_x000D_
23 / 04_2 : 35_x000D_
23 / 05_2 : _x000D_
23 / 06_2 : 10_x000D_
23 / 07_2 : _x000D_
_x000D_
    TOTAL : ( 391 )_x000D_
  DIVISOR : 12_x000D_
    MÉDIA : 32,58_x000D_
-----------------------------_x000D_
   Valores Desconsiderados_x000D_
-----------------------------_x000D_
23 / 01_2 : 1 (105)_x000D_
_x000D_
  TOTAL   : ( 1 )</t>
        </r>
      </text>
    </comment>
    <comment ref="AB714" authorId="0" shapeId="0" xr:uid="{6BF97C1B-2E69-4199-815B-B561AAEE446D}">
      <text>
        <r>
          <rPr>
            <sz val="10"/>
            <color indexed="81"/>
            <rFont val="Lucida Console"/>
            <family val="3"/>
          </rPr>
          <t>Última movimentação no estoque em 06/2023 quantidade 10.</t>
        </r>
      </text>
    </comment>
    <comment ref="R715" authorId="0" shapeId="0" xr:uid="{BF17D19F-D1AF-4450-8DBE-9D204A7BA3A6}">
      <text>
        <r>
          <rPr>
            <sz val="10"/>
            <color indexed="81"/>
            <rFont val="Lucida Console"/>
            <family val="3"/>
          </rPr>
          <t>19.09.2008</t>
        </r>
      </text>
    </comment>
    <comment ref="Y715" authorId="0" shapeId="0" xr:uid="{F0582F79-9C03-4907-B333-50CB0FFFD0A0}">
      <text>
        <r>
          <rPr>
            <sz val="10"/>
            <color indexed="81"/>
            <rFont val="Courier New"/>
            <family val="3"/>
          </rPr>
          <t>_x000D_
    DESCRIÇÃO DO CÁLCULO_x000D_
Código    : 107.926_x000D_
Corte     : 1.467_x000D_
-----------------------------_x000D_
Pendente  : _x000D_
22 / 08_2 : 200_x000D_
22 / 09_2 : 200_x000D_
22 / 10_2 : 500_x000D_
22 / 11_2 : 1.467 (corte = 2060)_x000D_
22 / 12_2 : _x000D_
23 / 01_2 : _x000D_
23 / 02_2 : _x000D_
23 / 03_2 : _x000D_
23 / 04_2 : 500_x000D_
23 / 05_2 : _x000D_
23 / 06_2 : 16_x000D_
23 / 07_2 : _x000D_
_x000D_
    TOTAL : ( 2.883 )_x000D_
  DIVISOR : 12_x000D_
    MÉDIA : 240,25_x000D_
-----------------------------_x000D_
   Valores Desconsiderados_x000D_
-----------------------------_x000D_
22 / 11_2 : 593 (2.060)_x000D_
_x000D_
  TOTAL   : ( 593 )</t>
        </r>
      </text>
    </comment>
    <comment ref="AB715" authorId="0" shapeId="0" xr:uid="{EBF4EE5B-6AF5-4CEA-BF3E-2B8DA010C128}">
      <text>
        <r>
          <rPr>
            <sz val="10"/>
            <color indexed="81"/>
            <rFont val="Lucida Console"/>
            <family val="3"/>
          </rPr>
          <t>Última movimentação no estoque em 06/2023 quantidade 16.</t>
        </r>
      </text>
    </comment>
    <comment ref="R716" authorId="0" shapeId="0" xr:uid="{44E1A941-E646-4632-8883-95957906E2D3}">
      <text>
        <r>
          <rPr>
            <sz val="10"/>
            <color indexed="81"/>
            <rFont val="Lucida Console"/>
            <family val="3"/>
          </rPr>
          <t>01.01.1901</t>
        </r>
      </text>
    </comment>
    <comment ref="Y716" authorId="0" shapeId="0" xr:uid="{DD9EB4AC-4235-4D78-85CB-61D2EFA509DF}">
      <text>
        <r>
          <rPr>
            <sz val="10"/>
            <color indexed="81"/>
            <rFont val="Courier New"/>
            <family val="3"/>
          </rPr>
          <t>_x000D_
    DESCRIÇÃO DO CÁLCULO_x000D_
Código    : 64.646_x000D_
Corte     : 344_x000D_
-----------------------------_x000D_
Pendente  : _x000D_
22 / 08_2 : _x000D_
22 / 09_2 : _x000D_
22 / 10_2 : _x000D_
22 / 11_2 : _x000D_
22 / 12_2 : 40_x000D_
23 / 01_2 : 120_x000D_
23 / 02_2 : _x000D_
23 / 03_2 : _x000D_
23 / 04_2 : 344 (corte = 500)_x000D_
23 / 05_2 : _x000D_
23 / 06_2 : _x000D_
23 / 07_2 : _x000D_
_x000D_
    TOTAL : ( 504 )_x000D_
  DIVISOR : 12_x000D_
    MÉDIA : 42,00_x000D_
-----------------------------_x000D_
   Valores Desconsiderados_x000D_
-----------------------------_x000D_
23 / 04_2 : 156 (500)_x000D_
_x000D_
  TOTAL   : ( 156 )</t>
        </r>
      </text>
    </comment>
    <comment ref="AB716" authorId="0" shapeId="0" xr:uid="{EEE5591C-5831-4186-A09A-9C70215D5094}">
      <text>
        <r>
          <rPr>
            <sz val="10"/>
            <color indexed="81"/>
            <rFont val="Lucida Console"/>
            <family val="3"/>
          </rPr>
          <t>Última movimentação no estoque em 04/2023 quantidade 500.</t>
        </r>
      </text>
    </comment>
    <comment ref="R717" authorId="0" shapeId="0" xr:uid="{D55A272F-7E67-47B3-BD7B-970AEAE72839}">
      <text>
        <r>
          <rPr>
            <sz val="10"/>
            <color indexed="81"/>
            <rFont val="Lucida Console"/>
            <family val="3"/>
          </rPr>
          <t>28.09.2011</t>
        </r>
      </text>
    </comment>
    <comment ref="Y717" authorId="0" shapeId="0" xr:uid="{5A9AB563-FF91-496C-92AF-F26E302D56FA}">
      <text>
        <r>
          <rPr>
            <sz val="10"/>
            <color indexed="81"/>
            <rFont val="Courier New"/>
            <family val="3"/>
          </rPr>
          <t>_x000D_
    DESCRIÇÃO DO CÁLCULO_x000D_
Código    : 121.126_x000D_
Corte     : 20.969_x000D_
-----------------------------_x000D_
Pendente  : 14.776_x000D_
22 / 08_2 : 16.000_x000D_
22 / 09_2 : 13.400_x000D_
22 / 10_2 : 14.950_x000D_
22 / 11_2 : 14.151_x000D_
22 / 12_2 : 4.599_x000D_
23 / 01_2 : 800_x000D_
23 / 02_2 : 8_x000D_
23 / 03_2 : _x000D_
23 / 04_2 : _x000D_
23 / 05_2 : _x000D_
23 / 06_2 : _x000D_
23 / 07_2 : _x000D_
_x000D_
    TOTAL : ( 78.684 )_x000D_
  DIVISOR : 12_x000D_
    MÉDIA : 6.557,00</t>
        </r>
      </text>
    </comment>
    <comment ref="AB717" authorId="0" shapeId="0" xr:uid="{4FE0591F-02DF-4CD8-A5A5-6B366BB3F0A2}">
      <text>
        <r>
          <rPr>
            <sz val="10"/>
            <color indexed="81"/>
            <rFont val="Lucida Console"/>
            <family val="3"/>
          </rPr>
          <t>Última movimentação no estoque em 02/2023 quantidade 8.</t>
        </r>
      </text>
    </comment>
    <comment ref="R718" authorId="0" shapeId="0" xr:uid="{8E35FDA0-B34D-47BE-90C0-A2F5041481AA}">
      <text>
        <r>
          <rPr>
            <sz val="10"/>
            <color indexed="81"/>
            <rFont val="Lucida Console"/>
            <family val="3"/>
          </rPr>
          <t>10.03.2004</t>
        </r>
      </text>
    </comment>
    <comment ref="Y718" authorId="0" shapeId="0" xr:uid="{73F2D044-566E-4FD4-9F5A-A9B676B2E412}">
      <text>
        <r>
          <rPr>
            <sz val="10"/>
            <color indexed="81"/>
            <rFont val="Courier New"/>
            <family val="3"/>
          </rPr>
          <t>_x000D_
    DESCRIÇÃO DO CÁLCULO_x000D_
Código    : 77.562_x000D_
Corte     : 1.043_x000D_
-----------------------------_x000D_
Pendente  : 183_x000D_
22 / 08_2 : 564_x000D_
22 / 09_2 : 985_x000D_
22 / 10_2 : 499_x000D_
22 / 11_2 : 481_x000D_
22 / 12_2 : 281_x000D_
23 / 01_2 : 633_x000D_
23 / 02_2 : 100_x000D_
23 / 03_2 : 559_x000D_
23 / 04_2 : 220_x000D_
23 / 05_2 : 865_x000D_
23 / 06_2 : 90_x000D_
23 / 07_2 : 370_x000D_
_x000D_
    TOTAL : ( 5.830 )_x000D_
  DIVISOR : 12_x000D_
    MÉDIA : 485,83</t>
        </r>
      </text>
    </comment>
    <comment ref="AB718" authorId="0" shapeId="0" xr:uid="{168711C4-04DE-455E-BF52-433712884768}">
      <text>
        <r>
          <rPr>
            <sz val="10"/>
            <color indexed="81"/>
            <rFont val="Lucida Console"/>
            <family val="3"/>
          </rPr>
          <t>Última movimentação no estoque em 07/2023 quantidade 370.</t>
        </r>
      </text>
    </comment>
    <comment ref="R719" authorId="0" shapeId="0" xr:uid="{60DB72DE-34AF-4791-A5D3-F39F2786AF52}">
      <text>
        <r>
          <rPr>
            <sz val="10"/>
            <color indexed="81"/>
            <rFont val="Lucida Console"/>
            <family val="3"/>
          </rPr>
          <t>07.11.2005</t>
        </r>
      </text>
    </comment>
    <comment ref="Y719" authorId="0" shapeId="0" xr:uid="{38BF887F-8A44-4DD8-AAF4-3F19F92FA899}">
      <text>
        <r>
          <rPr>
            <sz val="10"/>
            <color indexed="81"/>
            <rFont val="Courier New"/>
            <family val="3"/>
          </rPr>
          <t>_x000D_
    DESCRIÇÃO DO CÁLCULO_x000D_
Código    : 88.839_x000D_
Corte     : 13_x000D_
-----------------------------_x000D_
Pendente  : _x000D_
22 / 08_2 : 13_x000D_
22 / 09_2 : 6_x000D_
22 / 10_2 : 10_x000D_
22 / 11_2 : 1_x000D_
22 / 12_2 : 5_x000D_
23 / 01_2 : 6_x000D_
23 / 02_2 : _x000D_
23 / 03_2 : 10_x000D_
23 / 04_2 : 2_x000D_
23 / 05_2 : 2_x000D_
23 / 06_2 : 1_x000D_
23 / 07_2 : _x000D_
_x000D_
    TOTAL : ( 56 )_x000D_
  DIVISOR : 12_x000D_
    MÉDIA : 4,67</t>
        </r>
      </text>
    </comment>
    <comment ref="AB719" authorId="0" shapeId="0" xr:uid="{0DD17306-8781-4AD7-8A26-826C2A5EBB2E}">
      <text>
        <r>
          <rPr>
            <sz val="10"/>
            <color indexed="81"/>
            <rFont val="Lucida Console"/>
            <family val="3"/>
          </rPr>
          <t>Última movimentação no estoque em 06/2023 quantidade 1.</t>
        </r>
      </text>
    </comment>
    <comment ref="R720" authorId="0" shapeId="0" xr:uid="{0076DC7D-9FAF-4F3A-A449-4FB5228ADFD3}">
      <text>
        <r>
          <rPr>
            <sz val="10"/>
            <color indexed="81"/>
            <rFont val="Lucida Console"/>
            <family val="3"/>
          </rPr>
          <t>10.07.2014</t>
        </r>
      </text>
    </comment>
    <comment ref="Y720" authorId="0" shapeId="0" xr:uid="{46ED2718-3833-4154-AE8A-51E278850AAA}">
      <text>
        <r>
          <rPr>
            <sz val="10"/>
            <color indexed="81"/>
            <rFont val="Courier New"/>
            <family val="3"/>
          </rPr>
          <t>_x000D_
    DESCRIÇÃO DO CÁLCULO_x000D_
Código    : 128.288_x000D_
Corte     : 7_x000D_
-----------------------------_x000D_
Pendente  : 2_x000D_
22 / 08_2 : 3_x000D_
22 / 09_2 : 1_x000D_
22 / 10_2 : 1_x000D_
22 / 11_2 : 1_x000D_
22 / 12_2 : 3_x000D_
23 / 01_2 : _x000D_
23 / 02_2 : 7 (corte = 10)_x000D_
23 / 03_2 : _x000D_
23 / 04_2 : _x000D_
23 / 05_2 : _x000D_
23 / 06_2 : _x000D_
23 / 07_2 : _x000D_
_x000D_
    TOTAL : ( 18 )_x000D_
  DIVISOR : 12_x000D_
    MÉDIA : 1,50_x000D_
-----------------------------_x000D_
   Valores Desconsiderados_x000D_
-----------------------------_x000D_
23 / 02_2 : 3 (10)_x000D_
_x000D_
  TOTAL   : ( 3 )</t>
        </r>
      </text>
    </comment>
    <comment ref="AB720" authorId="0" shapeId="0" xr:uid="{B6744136-9856-4824-AFEB-96652C184DE1}">
      <text>
        <r>
          <rPr>
            <sz val="10"/>
            <color indexed="81"/>
            <rFont val="Lucida Console"/>
            <family val="3"/>
          </rPr>
          <t>Última movimentação no estoque em 02/2023 quantidade 10.</t>
        </r>
      </text>
    </comment>
    <comment ref="R721" authorId="0" shapeId="0" xr:uid="{9AEEA67F-7ED6-46A3-BCDB-6612EC33AE96}">
      <text>
        <r>
          <rPr>
            <sz val="10"/>
            <color indexed="81"/>
            <rFont val="Lucida Console"/>
            <family val="3"/>
          </rPr>
          <t>01.01.1901</t>
        </r>
      </text>
    </comment>
    <comment ref="Y721" authorId="0" shapeId="0" xr:uid="{793D28AC-1023-4240-8430-978D7B0ED327}">
      <text>
        <r>
          <rPr>
            <sz val="10"/>
            <color indexed="81"/>
            <rFont val="Courier New"/>
            <family val="3"/>
          </rPr>
          <t>_x000D_
    DESCRIÇÃO DO CÁLCULO_x000D_
Código    : 63.031_x000D_
Corte     : 169_x000D_
-----------------------------_x000D_
Pendente  : _x000D_
22 / 08_2 : 87_x000D_
22 / 09_2 : 116_x000D_
22 / 10_2 : 83_x000D_
22 / 11_2 : 68_x000D_
22 / 12_2 : 12_x000D_
23 / 01_2 : 51_x000D_
23 / 02_2 : 86_x000D_
23 / 03_2 : 123_x000D_
23 / 04_2 : 104_x000D_
23 / 05_2 : 104_x000D_
23 / 06_2 : 150_x000D_
23 / 07_2 : _x000D_
_x000D_
    TOTAL : ( 984 )_x000D_
  DIVISOR : 12_x000D_
    MÉDIA : 82,00</t>
        </r>
      </text>
    </comment>
    <comment ref="AB721" authorId="0" shapeId="0" xr:uid="{278CD900-DEB3-47C0-A3B3-08916618D3AC}">
      <text>
        <r>
          <rPr>
            <sz val="10"/>
            <color indexed="81"/>
            <rFont val="Lucida Console"/>
            <family val="3"/>
          </rPr>
          <t>Última movimentação no estoque em 06/2023 quantidade 150.</t>
        </r>
      </text>
    </comment>
    <comment ref="R722" authorId="0" shapeId="0" xr:uid="{29F051B5-F82F-476A-A661-0E610E0FC93A}">
      <text>
        <r>
          <rPr>
            <sz val="10"/>
            <color indexed="81"/>
            <rFont val="Lucida Console"/>
            <family val="3"/>
          </rPr>
          <t>12.07.2007</t>
        </r>
      </text>
    </comment>
    <comment ref="Y722" authorId="0" shapeId="0" xr:uid="{D9FEEE9D-3932-48C5-9322-79CD04EA1F05}">
      <text>
        <r>
          <rPr>
            <sz val="10"/>
            <color indexed="81"/>
            <rFont val="Courier New"/>
            <family val="3"/>
          </rPr>
          <t>_x000D_
    DESCRIÇÃO DO CÁLCULO_x000D_
Código    : 100.802_x000D_
Corte     : 222_x000D_
-----------------------------_x000D_
Pendente  : 7_x000D_
22 / 08_2 : 68_x000D_
22 / 09_2 : 55_x000D_
22 / 10_2 : 173_x000D_
22 / 11_2 : 84_x000D_
22 / 12_2 : 174_x000D_
23 / 01_2 : 215_x000D_
23 / 02_2 : _x000D_
23 / 03_2 : _x000D_
23 / 04_2 : _x000D_
23 / 05_2 : _x000D_
23 / 06_2 : _x000D_
23 / 07_2 : _x000D_
_x000D_
    TOTAL : ( 776 )_x000D_
  DIVISOR : 12_x000D_
    MÉDIA : 64,67</t>
        </r>
      </text>
    </comment>
    <comment ref="AB722" authorId="0" shapeId="0" xr:uid="{7109E779-C859-4BFC-8154-C0E65A68ACEC}">
      <text>
        <r>
          <rPr>
            <sz val="10"/>
            <color indexed="81"/>
            <rFont val="Lucida Console"/>
            <family val="3"/>
          </rPr>
          <t>Última movimentação no estoque em 01/2023 quantidade 215.</t>
        </r>
      </text>
    </comment>
    <comment ref="R723" authorId="0" shapeId="0" xr:uid="{77196697-A04A-4801-B402-2FB0C2DF939A}">
      <text>
        <r>
          <rPr>
            <sz val="10"/>
            <color indexed="81"/>
            <rFont val="Lucida Console"/>
            <family val="3"/>
          </rPr>
          <t>01.01.1901</t>
        </r>
      </text>
    </comment>
    <comment ref="Y723" authorId="0" shapeId="0" xr:uid="{9381AC25-A8E8-4E0E-A8F1-E97FEB5987C6}">
      <text>
        <r>
          <rPr>
            <sz val="10"/>
            <color indexed="81"/>
            <rFont val="Courier New"/>
            <family val="3"/>
          </rPr>
          <t>_x000D_
    DESCRIÇÃO DO CÁLCULO_x000D_
Código    : 23.778_x000D_
Corte     : 20_x000D_
-----------------------------_x000D_
Pendente  : _x000D_
22 / 08_2 : 11_x000D_
22 / 09_2 : 11_x000D_
22 / 10_2 : 14_x000D_
22 / 11_2 : 9_x000D_
22 / 12_2 : 5_x000D_
23 / 01_2 : 8_x000D_
23 / 02_2 : 8_x000D_
23 / 03_2 : 11_x000D_
23 / 04_2 : 10_x000D_
23 / 05_2 : 15_x000D_
23 / 06_2 : 16_x000D_
23 / 07_2 : 20 (corte = 22)_x000D_
_x000D_
    TOTAL : ( 138 )_x000D_
  DIVISOR : 12_x000D_
    MÉDIA : 11,50_x000D_
-----------------------------_x000D_
   Valores Desconsiderados_x000D_
-----------------------------_x000D_
23 / 07_2 : 2 (22)_x000D_
_x000D_
  TOTAL   : ( 2 )</t>
        </r>
      </text>
    </comment>
    <comment ref="AB723" authorId="0" shapeId="0" xr:uid="{D45E0BA4-E7C0-45B5-9E48-DC338CF92F33}">
      <text>
        <r>
          <rPr>
            <sz val="10"/>
            <color indexed="81"/>
            <rFont val="Lucida Console"/>
            <family val="3"/>
          </rPr>
          <t>Última movimentação no estoque em 07/2023 quantidade 22.</t>
        </r>
      </text>
    </comment>
    <comment ref="R724" authorId="0" shapeId="0" xr:uid="{BCB12230-9359-40E8-B236-EC9D26BF7429}">
      <text>
        <r>
          <rPr>
            <sz val="10"/>
            <color indexed="81"/>
            <rFont val="Lucida Console"/>
            <family val="3"/>
          </rPr>
          <t>01.01.1901</t>
        </r>
      </text>
    </comment>
    <comment ref="Y724" authorId="0" shapeId="0" xr:uid="{1920AE47-24E2-4CAA-BD1A-291136522331}">
      <text>
        <r>
          <rPr>
            <sz val="10"/>
            <color indexed="81"/>
            <rFont val="Courier New"/>
            <family val="3"/>
          </rPr>
          <t>_x000D_
    DESCRIÇÃO DO CÁLCULO_x000D_
Código    : 14.831_x000D_
Corte     : 82_x000D_
-----------------------------_x000D_
Pendente  : _x000D_
22 / 08_2 : _x000D_
22 / 09_2 : 20_x000D_
22 / 10_2 : 33_x000D_
22 / 11_2 : 15_x000D_
22 / 12_2 : 19_x000D_
23 / 01_2 : 82 (corte = 109)_x000D_
23 / 02_2 : _x000D_
23 / 03_2 : 5_x000D_
23 / 04_2 : 40_x000D_
23 / 05_2 : _x000D_
23 / 06_2 : 15_x000D_
23 / 07_2 : _x000D_
_x000D_
    TOTAL : ( 229 )_x000D_
  DIVISOR : 12_x000D_
    MÉDIA : 19,08_x000D_
-----------------------------_x000D_
   Valores Desconsiderados_x000D_
-----------------------------_x000D_
23 / 01_2 : 27 (109)_x000D_
_x000D_
  TOTAL   : ( 27 )</t>
        </r>
      </text>
    </comment>
    <comment ref="AB724" authorId="0" shapeId="0" xr:uid="{D119A5E8-EFF9-4073-9ECB-25A96E0B5AD8}">
      <text>
        <r>
          <rPr>
            <sz val="10"/>
            <color indexed="81"/>
            <rFont val="Lucida Console"/>
            <family val="3"/>
          </rPr>
          <t>Última movimentação no estoque em 06/2023 quantidade 15.</t>
        </r>
      </text>
    </comment>
    <comment ref="R725" authorId="0" shapeId="0" xr:uid="{73EF12E7-7AB5-46E7-A6C6-7B55951A8BA5}">
      <text>
        <r>
          <rPr>
            <sz val="10"/>
            <color indexed="81"/>
            <rFont val="Lucida Console"/>
            <family val="3"/>
          </rPr>
          <t>31.08.2017</t>
        </r>
      </text>
    </comment>
    <comment ref="Y725" authorId="0" shapeId="0" xr:uid="{8C924A0B-6737-468D-98A2-7CDDC3C09CF0}">
      <text>
        <r>
          <rPr>
            <sz val="10"/>
            <color indexed="81"/>
            <rFont val="Courier New"/>
            <family val="3"/>
          </rPr>
          <t>_x000D_
    DESCRIÇÃO DO CÁLCULO_x000D_
Código    : 133.301_x000D_
Corte     : 1.252_x000D_
-----------------------------_x000D_
Pendente  : 1.478_x000D_
22 / 08_2 : 400_x000D_
22 / 09_2 : 520_x000D_
22 / 10_2 : 630_x000D_
22 / 11_2 : 280_x000D_
22 / 12_2 : 650_x000D_
23 / 01_2 : 612_x000D_
23 / 02_2 : _x000D_
23 / 03_2 : _x000D_
23 / 04_2 : _x000D_
23 / 05_2 : _x000D_
23 / 06_2 : _x000D_
23 / 07_2 : _x000D_
_x000D_
    TOTAL : ( 4.570 )_x000D_
  DIVISOR : 12_x000D_
    MÉDIA : 380,83</t>
        </r>
      </text>
    </comment>
    <comment ref="AB725" authorId="0" shapeId="0" xr:uid="{4DE669F0-FD18-4CF4-ADD1-85F08D33860E}">
      <text>
        <r>
          <rPr>
            <sz val="10"/>
            <color indexed="81"/>
            <rFont val="Lucida Console"/>
            <family val="3"/>
          </rPr>
          <t>Última movimentação no estoque em 01/2023 quantidade 612.</t>
        </r>
      </text>
    </comment>
    <comment ref="R726" authorId="0" shapeId="0" xr:uid="{D4308985-3505-4ADD-9C78-973D35A5AFDA}">
      <text>
        <r>
          <rPr>
            <sz val="10"/>
            <color indexed="81"/>
            <rFont val="Lucida Console"/>
            <family val="3"/>
          </rPr>
          <t>26.03.2004</t>
        </r>
      </text>
    </comment>
    <comment ref="Y726" authorId="0" shapeId="0" xr:uid="{B3985EB9-BFE0-4E5C-B882-310EC9A93050}">
      <text>
        <r>
          <rPr>
            <sz val="10"/>
            <color indexed="81"/>
            <rFont val="Courier New"/>
            <family val="3"/>
          </rPr>
          <t>_x000D_
    DESCRIÇÃO DO CÁLCULO_x000D_
Código    : 78.057_x000D_
Corte     : 498_x000D_
-----------------------------_x000D_
Pendente  : 715_x000D_
22 / 08_2 : _x000D_
22 / 09_2 : 3_x000D_
22 / 10_2 : _x000D_
22 / 11_2 : 3_x000D_
22 / 12_2 : _x000D_
23 / 01_2 : _x000D_
23 / 02_2 : 5_x000D_
23 / 03_2 : _x000D_
23 / 04_2 : 1_x000D_
23 / 05_2 : 285_x000D_
23 / 06_2 : _x000D_
23 / 07_2 : _x000D_
_x000D_
    TOTAL : ( 1.012 )_x000D_
  DIVISOR : 12_x000D_
    MÉDIA : 84,33</t>
        </r>
      </text>
    </comment>
    <comment ref="AB726" authorId="0" shapeId="0" xr:uid="{7540E3E5-EB05-4659-8949-9C035DE376FC}">
      <text>
        <r>
          <rPr>
            <sz val="10"/>
            <color indexed="81"/>
            <rFont val="Lucida Console"/>
            <family val="3"/>
          </rPr>
          <t>Última movimentação no estoque em 05/2023 quantidade 285.</t>
        </r>
      </text>
    </comment>
    <comment ref="R727" authorId="0" shapeId="0" xr:uid="{2215AB91-F74C-4DED-941F-85257CF52F4E}">
      <text>
        <r>
          <rPr>
            <sz val="10"/>
            <color indexed="81"/>
            <rFont val="Lucida Console"/>
            <family val="3"/>
          </rPr>
          <t>08.11.2010</t>
        </r>
      </text>
    </comment>
    <comment ref="Y727" authorId="0" shapeId="0" xr:uid="{21E96C73-13CC-484C-9373-21FBE7D4C289}">
      <text>
        <r>
          <rPr>
            <sz val="10"/>
            <color indexed="81"/>
            <rFont val="Courier New"/>
            <family val="3"/>
          </rPr>
          <t>_x000D_
    DESCRIÇÃO DO CÁLCULO_x000D_
Código    : 118.427_x000D_
Corte     : 1.461_x000D_
-----------------------------_x000D_
Pendente  : _x000D_
22 / 08_2 : 1.259_x000D_
22 / 09_2 : 89_x000D_
22 / 10_2 : 311_x000D_
22 / 11_2 : 1.252_x000D_
22 / 12_2 : 1.250_x000D_
23 / 01_2 : 496_x000D_
23 / 02_2 : 347_x000D_
23 / 03_2 : 540_x000D_
23 / 04_2 : 285_x000D_
23 / 05_2 : 230_x000D_
23 / 06_2 : 75_x000D_
23 / 07_2 : _x000D_
_x000D_
    TOTAL : ( 6.134 )_x000D_
  DIVISOR : 12_x000D_
    MÉDIA : 511,17</t>
        </r>
      </text>
    </comment>
    <comment ref="AB727" authorId="0" shapeId="0" xr:uid="{76AC4F07-16CB-46A5-AB97-3359428633D4}">
      <text>
        <r>
          <rPr>
            <sz val="10"/>
            <color indexed="81"/>
            <rFont val="Lucida Console"/>
            <family val="3"/>
          </rPr>
          <t>Última movimentação no estoque em 06/2023 quantidade 75.</t>
        </r>
      </text>
    </comment>
    <comment ref="R728" authorId="0" shapeId="0" xr:uid="{56A6C818-8384-4442-96D2-0A677ED2B0C6}">
      <text>
        <r>
          <rPr>
            <sz val="10"/>
            <color indexed="81"/>
            <rFont val="Lucida Console"/>
            <family val="3"/>
          </rPr>
          <t>17.07.2009</t>
        </r>
      </text>
    </comment>
    <comment ref="Y728" authorId="0" shapeId="0" xr:uid="{AFDA313D-7A2F-4B1A-9CDC-1633809880CE}">
      <text>
        <r>
          <rPr>
            <sz val="10"/>
            <color indexed="81"/>
            <rFont val="Courier New"/>
            <family val="3"/>
          </rPr>
          <t>_x000D_
    DESCRIÇÃO DO CÁLCULO_x000D_
Código    : 111.806_x000D_
Corte     : 537_x000D_
-----------------------------_x000D_
Pendente  : 399_x000D_
22 / 08_2 : 321_x000D_
22 / 09_2 : 135_x000D_
22 / 10_2 : 226_x000D_
22 / 11_2 : 60_x000D_
22 / 12_2 : 385_x000D_
23 / 01_2 : 493_x000D_
23 / 02_2 : 42_x000D_
23 / 03_2 : _x000D_
23 / 04_2 : _x000D_
23 / 05_2 : _x000D_
23 / 06_2 : 9_x000D_
23 / 07_2 : _x000D_
_x000D_
    TOTAL : ( 2.070 )_x000D_
  DIVISOR : 12_x000D_
    MÉDIA : 172,50</t>
        </r>
      </text>
    </comment>
    <comment ref="AB728" authorId="0" shapeId="0" xr:uid="{97A0E386-5285-403B-9453-17815DD01BC2}">
      <text>
        <r>
          <rPr>
            <sz val="10"/>
            <color indexed="81"/>
            <rFont val="Lucida Console"/>
            <family val="3"/>
          </rPr>
          <t>Última movimentação no estoque em 06/2023 quantidade 9.</t>
        </r>
      </text>
    </comment>
    <comment ref="R729" authorId="0" shapeId="0" xr:uid="{86A28EEF-02BA-40C7-854C-1EF10DC07D0C}">
      <text>
        <r>
          <rPr>
            <sz val="10"/>
            <color indexed="81"/>
            <rFont val="Lucida Console"/>
            <family val="3"/>
          </rPr>
          <t>14.10.2014</t>
        </r>
      </text>
    </comment>
    <comment ref="Y729" authorId="0" shapeId="0" xr:uid="{8E3BFD6A-4A2D-4405-993B-5299510C5C9C}">
      <text>
        <r>
          <rPr>
            <sz val="10"/>
            <color indexed="81"/>
            <rFont val="Courier New"/>
            <family val="3"/>
          </rPr>
          <t>_x000D_
    DESCRIÇÃO DO CÁLCULO_x000D_
Código    : 128.816_x000D_
Corte     : 122_x000D_
-----------------------------_x000D_
Pendente  : _x000D_
22 / 08_2 : _x000D_
22 / 09_2 : _x000D_
22 / 10_2 : _x000D_
22 / 11_2 : _x000D_
22 / 12_2 : _x000D_
23 / 01_2 : 122 (corte = 185)_x000D_
23 / 02_2 : _x000D_
23 / 03_2 : _x000D_
23 / 04_2 : _x000D_
23 / 05_2 : _x000D_
23 / 06_2 : _x000D_
23 / 07_2 : _x000D_
_x000D_
    TOTAL : ( 122 )_x000D_
  DIVISOR : 12_x000D_
    MÉDIA : 10,17_x000D_
-----------------------------_x000D_
   Valores Desconsiderados_x000D_
-----------------------------_x000D_
23 / 01_2 : 63 (185)_x000D_
_x000D_
  TOTAL   : ( 63 )</t>
        </r>
      </text>
    </comment>
    <comment ref="AB729" authorId="0" shapeId="0" xr:uid="{8B74BEE7-7660-4B65-98AE-BC2DB168EC7B}">
      <text>
        <r>
          <rPr>
            <sz val="10"/>
            <color indexed="81"/>
            <rFont val="Lucida Console"/>
            <family val="3"/>
          </rPr>
          <t>Última movimentação no estoque em 01/2023 quantidade 185.</t>
        </r>
      </text>
    </comment>
    <comment ref="R730" authorId="0" shapeId="0" xr:uid="{5A136F86-1F19-423C-BC4F-0396F3194F76}">
      <text>
        <r>
          <rPr>
            <sz val="10"/>
            <color indexed="81"/>
            <rFont val="Lucida Console"/>
            <family val="3"/>
          </rPr>
          <t>14.10.2014</t>
        </r>
      </text>
    </comment>
    <comment ref="Y730" authorId="0" shapeId="0" xr:uid="{097AA8EF-A661-4C3F-AD49-214D60B115DA}">
      <text>
        <r>
          <rPr>
            <sz val="10"/>
            <color indexed="81"/>
            <rFont val="Courier New"/>
            <family val="3"/>
          </rPr>
          <t>_x000D_
    DESCRIÇÃO DO CÁLCULO_x000D_
Código    : 128.815_x000D_
Corte     : 812_x000D_
-----------------------------_x000D_
Pendente  : _x000D_
22 / 08_2 : 200_x000D_
22 / 09_2 : 210_x000D_
22 / 10_2 : 450_x000D_
22 / 11_2 : 210_x000D_
22 / 12_2 : 730_x000D_
23 / 01_2 : 784_x000D_
23 / 02_2 : 220_x000D_
23 / 03_2 : 220_x000D_
23 / 04_2 : 470_x000D_
23 / 05_2 : 150_x000D_
23 / 06_2 : _x000D_
23 / 07_2 : _x000D_
_x000D_
    TOTAL : ( 3.644 )_x000D_
  DIVISOR : 12_x000D_
    MÉDIA : 303,67</t>
        </r>
      </text>
    </comment>
    <comment ref="AB730" authorId="0" shapeId="0" xr:uid="{27AF549F-D0F9-4F40-A157-8DF34EE7D2FE}">
      <text>
        <r>
          <rPr>
            <sz val="10"/>
            <color indexed="81"/>
            <rFont val="Lucida Console"/>
            <family val="3"/>
          </rPr>
          <t>Última movimentação no estoque em 05/2023 quantidade 150.</t>
        </r>
      </text>
    </comment>
    <comment ref="R731" authorId="0" shapeId="0" xr:uid="{42195040-8E1A-425D-B60C-8A9049905748}">
      <text>
        <r>
          <rPr>
            <sz val="10"/>
            <color indexed="81"/>
            <rFont val="Lucida Console"/>
            <family val="3"/>
          </rPr>
          <t>01.01.1901</t>
        </r>
      </text>
    </comment>
    <comment ref="Y731" authorId="0" shapeId="0" xr:uid="{315B85EE-9E99-41AE-9EAC-EBC3E8533AD8}">
      <text>
        <r>
          <rPr>
            <sz val="10"/>
            <color indexed="81"/>
            <rFont val="Courier New"/>
            <family val="3"/>
          </rPr>
          <t>_x000D_
    DESCRIÇÃO DO CÁLCULO_x000D_
Código    : 14.977_x000D_
Corte     : 19_x000D_
-----------------------------_x000D_
Pendente  : _x000D_
22 / 08_2 : 6_x000D_
22 / 09_2 : 13_x000D_
22 / 10_2 : 12_x000D_
22 / 11_2 : 5_x000D_
22 / 12_2 : 4_x000D_
23 / 01_2 : 12_x000D_
23 / 02_2 : 13_x000D_
23 / 03_2 : 14_x000D_
23 / 04_2 : 15_x000D_
23 / 05_2 : _x000D_
23 / 06_2 : _x000D_
23 / 07_2 : _x000D_
_x000D_
    TOTAL : ( 94 )_x000D_
  DIVISOR : 12_x000D_
    MÉDIA : 7,83</t>
        </r>
      </text>
    </comment>
    <comment ref="AB731" authorId="0" shapeId="0" xr:uid="{2137E0E0-B3A4-4977-8E9E-4547798C85AE}">
      <text>
        <r>
          <rPr>
            <sz val="10"/>
            <color indexed="81"/>
            <rFont val="Lucida Console"/>
            <family val="3"/>
          </rPr>
          <t>Última movimentação no estoque em 04/2023 quantidade 15.</t>
        </r>
      </text>
    </comment>
    <comment ref="R732" authorId="0" shapeId="0" xr:uid="{A12DEE1A-FEA5-404E-8107-A87E396DFA89}">
      <text>
        <r>
          <rPr>
            <sz val="10"/>
            <color indexed="81"/>
            <rFont val="Lucida Console"/>
            <family val="3"/>
          </rPr>
          <t>05.10.2007</t>
        </r>
      </text>
    </comment>
    <comment ref="Y732" authorId="0" shapeId="0" xr:uid="{83F6ED49-784A-4F20-8BB9-932CF4A5E3B1}">
      <text>
        <r>
          <rPr>
            <sz val="10"/>
            <color indexed="81"/>
            <rFont val="Courier New"/>
            <family val="3"/>
          </rPr>
          <t>_x000D_
    DESCRIÇÃO DO CÁLCULO_x000D_
Código    : 102.443_x000D_
Corte     : 1_x000D_
-----------------------------_x000D_
Pendente  : _x000D_
22 / 08_2 : _x000D_
22 / 09_2 : _x000D_
22 / 10_2 : _x000D_
22 / 11_2 : _x000D_
22 / 12_2 : 1 (corte = 3)_x000D_
23 / 01_2 : _x000D_
23 / 02_2 : _x000D_
23 / 03_2 : _x000D_
23 / 04_2 : _x000D_
23 / 05_2 : _x000D_
23 / 06_2 : _x000D_
23 / 07_2 : _x000D_
_x000D_
    TOTAL : ( 1 )_x000D_
  DIVISOR : 12_x000D_
    MÉDIA : ,08_x000D_
-----------------------------_x000D_
   Valores Desconsiderados_x000D_
-----------------------------_x000D_
22 / 12_2 : 2 (3)_x000D_
_x000D_
  TOTAL   : ( 2 )</t>
        </r>
      </text>
    </comment>
    <comment ref="AB732" authorId="0" shapeId="0" xr:uid="{0F0A5154-939F-4E70-AF34-D9F2D7658D02}">
      <text>
        <r>
          <rPr>
            <sz val="10"/>
            <color indexed="81"/>
            <rFont val="Lucida Console"/>
            <family val="3"/>
          </rPr>
          <t>Última movimentação no estoque em 12/2022 quantidade 3.</t>
        </r>
      </text>
    </comment>
    <comment ref="R733" authorId="0" shapeId="0" xr:uid="{DFE71154-CF1D-4CFE-A955-92143AFBB4C7}">
      <text>
        <r>
          <rPr>
            <sz val="10"/>
            <color indexed="81"/>
            <rFont val="Lucida Console"/>
            <family val="3"/>
          </rPr>
          <t>23.04.2004</t>
        </r>
      </text>
    </comment>
    <comment ref="Y733" authorId="0" shapeId="0" xr:uid="{2B9F1311-240B-435F-9B45-CBCA9DAAFD1D}">
      <text>
        <r>
          <rPr>
            <sz val="10"/>
            <color indexed="81"/>
            <rFont val="Courier New"/>
            <family val="3"/>
          </rPr>
          <t>_x000D_
    DESCRIÇÃO DO CÁLCULO_x000D_
Código    : 78.509_x000D_
Corte     : 3_x000D_
-----------------------------_x000D_
Pendente  : 1_x000D_
22 / 08_2 : 2_x000D_
22 / 09_2 : 2_x000D_
22 / 10_2 : 2_x000D_
22 / 11_2 : 2_x000D_
22 / 12_2 : 1_x000D_
23 / 01_2 : 3_x000D_
23 / 02_2 : 3_x000D_
23 / 03_2 : _x000D_
23 / 04_2 : 1_x000D_
23 / 05_2 : _x000D_
23 / 06_2 : _x000D_
23 / 07_2 : _x000D_
_x000D_
    TOTAL : ( 17 )_x000D_
  DIVISOR : 12_x000D_
    MÉDIA : 1,42</t>
        </r>
      </text>
    </comment>
    <comment ref="AB733" authorId="0" shapeId="0" xr:uid="{82F1704A-CBC6-4457-9DE6-2D0415AEE1F3}">
      <text>
        <r>
          <rPr>
            <sz val="10"/>
            <color indexed="81"/>
            <rFont val="Lucida Console"/>
            <family val="3"/>
          </rPr>
          <t>Última movimentação no estoque em 04/2023 quantidade 1.</t>
        </r>
      </text>
    </comment>
    <comment ref="R734" authorId="0" shapeId="0" xr:uid="{C496C7ED-1C2A-49F9-9A7F-E4838C356097}">
      <text>
        <r>
          <rPr>
            <sz val="10"/>
            <color indexed="81"/>
            <rFont val="Lucida Console"/>
            <family val="3"/>
          </rPr>
          <t>01.01.1901</t>
        </r>
      </text>
    </comment>
    <comment ref="Y734" authorId="0" shapeId="0" xr:uid="{8EEB05E4-D444-48E4-B628-33B162C8DEFF}">
      <text>
        <r>
          <rPr>
            <sz val="10"/>
            <color indexed="81"/>
            <rFont val="Courier New"/>
            <family val="3"/>
          </rPr>
          <t>_x000D_
    DESCRIÇÃO DO CÁLCULO_x000D_
Código    : 23.607_x000D_
Corte     : 33_x000D_
-----------------------------_x000D_
Pendente  : _x000D_
22 / 08_2 : _x000D_
22 / 09_2 : _x000D_
22 / 10_2 : _x000D_
22 / 11_2 : _x000D_
22 / 12_2 : _x000D_
23 / 01_2 : _x000D_
23 / 02_2 : _x000D_
23 / 03_2 : _x000D_
23 / 04_2 : _x000D_
23 / 05_2 : _x000D_
23 / 06_2 : _x000D_
23 / 07_2 : 33 (corte = 50)_x000D_
_x000D_
    TOTAL : ( 33 )_x000D_
  DIVISOR : 12_x000D_
    MÉDIA : 2,75_x000D_
-----------------------------_x000D_
   Valores Desconsiderados_x000D_
-----------------------------_x000D_
23 / 07_2 : 17 (50)_x000D_
_x000D_
  TOTAL   : ( 17 )</t>
        </r>
      </text>
    </comment>
    <comment ref="AB734" authorId="0" shapeId="0" xr:uid="{BB4A98CA-2A47-4F2E-8BA0-B2DABA05939F}">
      <text>
        <r>
          <rPr>
            <sz val="10"/>
            <color indexed="81"/>
            <rFont val="Lucida Console"/>
            <family val="3"/>
          </rPr>
          <t>Última movimentação no estoque em 07/2023 quantidade 50.</t>
        </r>
      </text>
    </comment>
    <comment ref="R735" authorId="0" shapeId="0" xr:uid="{BFAA6E0D-B45A-41D9-9254-B1695225B687}">
      <text>
        <r>
          <rPr>
            <sz val="10"/>
            <color indexed="81"/>
            <rFont val="Lucida Console"/>
            <family val="3"/>
          </rPr>
          <t>01.01.1901</t>
        </r>
      </text>
    </comment>
    <comment ref="Y735" authorId="0" shapeId="0" xr:uid="{AF6FB203-383C-4CBE-A9B8-09B0AD272733}">
      <text>
        <r>
          <rPr>
            <sz val="10"/>
            <color indexed="81"/>
            <rFont val="Courier New"/>
            <family val="3"/>
          </rPr>
          <t>_x000D_
    DESCRIÇÃO DO CÁLCULO_x000D_
Código    : 13.094_x000D_
Corte     : 197_x000D_
-----------------------------_x000D_
Pendente  : _x000D_
22 / 08_2 : 20_x000D_
22 / 09_2 : 60_x000D_
22 / 10_2 : 15_x000D_
22 / 11_2 : _x000D_
22 / 12_2 : 30_x000D_
23 / 01_2 : 95_x000D_
23 / 02_2 : 197 (corte = 253)_x000D_
23 / 03_2 : 50_x000D_
23 / 04_2 : 50_x000D_
23 / 05_2 : _x000D_
23 / 06_2 : 100_x000D_
23 / 07_2 : 50_x000D_
_x000D_
    TOTAL : ( 667 )_x000D_
  DIVISOR : 12_x000D_
    MÉDIA : 55,58_x000D_
-----------------------------_x000D_
   Valores Desconsiderados_x000D_
-----------------------------_x000D_
23 / 02_2 : 56 (253)_x000D_
_x000D_
  TOTAL   : ( 56 )</t>
        </r>
      </text>
    </comment>
    <comment ref="AB735" authorId="0" shapeId="0" xr:uid="{88859608-82D0-438C-8488-E69886166F11}">
      <text>
        <r>
          <rPr>
            <sz val="10"/>
            <color indexed="81"/>
            <rFont val="Lucida Console"/>
            <family val="3"/>
          </rPr>
          <t>Última movimentação no estoque em 07/2023 quantidade 50.</t>
        </r>
      </text>
    </comment>
    <comment ref="R736" authorId="0" shapeId="0" xr:uid="{F451A1FB-5ACC-477D-BFBD-A01572C75C82}">
      <text>
        <r>
          <rPr>
            <sz val="10"/>
            <color indexed="81"/>
            <rFont val="Lucida Console"/>
            <family val="3"/>
          </rPr>
          <t>01.01.1901</t>
        </r>
      </text>
    </comment>
    <comment ref="Y736" authorId="0" shapeId="0" xr:uid="{AD593306-E2C2-42E7-85FD-1A2DEA6374A4}">
      <text>
        <r>
          <rPr>
            <sz val="10"/>
            <color indexed="81"/>
            <rFont val="Courier New"/>
            <family val="3"/>
          </rPr>
          <t>_x000D_
    DESCRIÇÃO DO CÁLCULO_x000D_
Código    : 13.517_x000D_
Corte     : 12_x000D_
-----------------------------_x000D_
Pendente  : _x000D_
22 / 08_2 : 4_x000D_
22 / 09_2 : _x000D_
22 / 10_2 : 8_x000D_
22 / 11_2 : 6_x000D_
22 / 12_2 : 7_x000D_
23 / 01_2 : 1_x000D_
23 / 02_2 : _x000D_
23 / 03_2 : _x000D_
23 / 04_2 : 11_x000D_
23 / 05_2 : _x000D_
23 / 06_2 : _x000D_
23 / 07_2 : 10_x000D_
_x000D_
    TOTAL : ( 47 )_x000D_
  DIVISOR : 12_x000D_
    MÉDIA : 3,92</t>
        </r>
      </text>
    </comment>
    <comment ref="AB736" authorId="0" shapeId="0" xr:uid="{C572897A-EC29-4103-89FD-9DD1DDE5A8F5}">
      <text>
        <r>
          <rPr>
            <sz val="10"/>
            <color indexed="81"/>
            <rFont val="Lucida Console"/>
            <family val="3"/>
          </rPr>
          <t>Última movimentação no estoque em 07/2023 quantidade 10.</t>
        </r>
      </text>
    </comment>
    <comment ref="R737" authorId="0" shapeId="0" xr:uid="{1949B091-9CB9-44A2-BD49-51EBD07A04A6}">
      <text>
        <r>
          <rPr>
            <sz val="10"/>
            <color indexed="81"/>
            <rFont val="Lucida Console"/>
            <family val="3"/>
          </rPr>
          <t>01.01.1901</t>
        </r>
      </text>
    </comment>
    <comment ref="Y737" authorId="0" shapeId="0" xr:uid="{B4199266-FBB9-4A81-BEF3-BAAD0FE01631}">
      <text>
        <r>
          <rPr>
            <sz val="10"/>
            <color indexed="81"/>
            <rFont val="Courier New"/>
            <family val="3"/>
          </rPr>
          <t>_x000D_
    DESCRIÇÃO DO CÁLCULO_x000D_
Código    : 13.518_x000D_
Corte     : 13_x000D_
-----------------------------_x000D_
Pendente  : _x000D_
22 / 08_2 : 3_x000D_
22 / 09_2 : 4_x000D_
22 / 10_2 : _x000D_
22 / 11_2 : 8_x000D_
22 / 12_2 : 9_x000D_
23 / 01_2 : 2_x000D_
23 / 02_2 : _x000D_
23 / 03_2 : 5_x000D_
23 / 04_2 : 13 (corte = 15)_x000D_
23 / 05_2 : _x000D_
23 / 06_2 : _x000D_
23 / 07_2 : _x000D_
_x000D_
    TOTAL : ( 44 )_x000D_
  DIVISOR : 12_x000D_
    MÉDIA : 3,67_x000D_
-----------------------------_x000D_
   Valores Desconsiderados_x000D_
-----------------------------_x000D_
23 / 04_2 : 2 (15)_x000D_
_x000D_
  TOTAL   : ( 2 )</t>
        </r>
      </text>
    </comment>
    <comment ref="AB737" authorId="0" shapeId="0" xr:uid="{22774A60-91DC-4119-B247-534C703E063E}">
      <text>
        <r>
          <rPr>
            <sz val="10"/>
            <color indexed="81"/>
            <rFont val="Lucida Console"/>
            <family val="3"/>
          </rPr>
          <t>Última movimentação no estoque em 04/2023 quantidade 15.</t>
        </r>
      </text>
    </comment>
    <comment ref="R738" authorId="0" shapeId="0" xr:uid="{D13ACFC8-FBE7-4EA4-BA79-C29E1A3B281D}">
      <text>
        <r>
          <rPr>
            <sz val="10"/>
            <color indexed="81"/>
            <rFont val="Lucida Console"/>
            <family val="3"/>
          </rPr>
          <t>01.01.1901</t>
        </r>
      </text>
    </comment>
    <comment ref="Y738" authorId="0" shapeId="0" xr:uid="{548E6AB2-51A7-40A1-B5F6-CAF886722950}">
      <text>
        <r>
          <rPr>
            <sz val="10"/>
            <color indexed="81"/>
            <rFont val="Courier New"/>
            <family val="3"/>
          </rPr>
          <t>_x000D_
    DESCRIÇÃO DO CÁLCULO_x000D_
Código    : 13.095_x000D_
Corte     : 23_x000D_
-----------------------------_x000D_
Pendente  : _x000D_
22 / 08_2 : 16_x000D_
22 / 09_2 : 14_x000D_
22 / 10_2 : 11_x000D_
22 / 11_2 : 21_x000D_
22 / 12_2 : 8_x000D_
23 / 01_2 : 4_x000D_
23 / 02_2 : 2_x000D_
23 / 03_2 : 9_x000D_
23 / 04_2 : 19_x000D_
23 / 05_2 : _x000D_
23 / 06_2 : _x000D_
23 / 07_2 : _x000D_
_x000D_
    TOTAL : ( 104 )_x000D_
  DIVISOR : 12_x000D_
    MÉDIA : 8,67</t>
        </r>
      </text>
    </comment>
    <comment ref="AB738" authorId="0" shapeId="0" xr:uid="{66E32DCC-EA71-4971-9BD6-A7325FAFD15E}">
      <text>
        <r>
          <rPr>
            <sz val="10"/>
            <color indexed="81"/>
            <rFont val="Lucida Console"/>
            <family val="3"/>
          </rPr>
          <t>Última movimentação no estoque em 04/2023 quantidade 19.</t>
        </r>
      </text>
    </comment>
    <comment ref="R739" authorId="0" shapeId="0" xr:uid="{A20DD8DF-B836-497E-AFC6-59AF0D847423}">
      <text>
        <r>
          <rPr>
            <sz val="10"/>
            <color indexed="81"/>
            <rFont val="Lucida Console"/>
            <family val="3"/>
          </rPr>
          <t>01.01.1901</t>
        </r>
      </text>
    </comment>
    <comment ref="Y739" authorId="0" shapeId="0" xr:uid="{67BEDC4F-7960-4C95-AF5C-A0C07C8AD721}">
      <text>
        <r>
          <rPr>
            <sz val="10"/>
            <color indexed="81"/>
            <rFont val="Courier New"/>
            <family val="3"/>
          </rPr>
          <t>_x000D_
    DESCRIÇÃO DO CÁLCULO_x000D_
Código    : 13.102_x000D_
Corte     : 12_x000D_
-----------------------------_x000D_
Pendente  : 2_x000D_
22 / 08_2 : _x000D_
22 / 09_2 : _x000D_
22 / 10_2 : _x000D_
22 / 11_2 : 3_x000D_
22 / 12_2 : _x000D_
23 / 01_2 : 4_x000D_
23 / 02_2 : _x000D_
23 / 03_2 : 1_x000D_
23 / 04_2 : 12 (corte = 18)_x000D_
23 / 05_2 : _x000D_
23 / 06_2 : _x000D_
23 / 07_2 : _x000D_
_x000D_
    TOTAL : ( 22 )_x000D_
  DIVISOR : 12_x000D_
    MÉDIA : 1,83_x000D_
-----------------------------_x000D_
   Valores Desconsiderados_x000D_
-----------------------------_x000D_
23 / 04_2 : 6 (18)_x000D_
_x000D_
  TOTAL   : ( 6 )</t>
        </r>
      </text>
    </comment>
    <comment ref="AB739" authorId="0" shapeId="0" xr:uid="{DD88F15D-A047-4A33-AE46-035256AC452F}">
      <text>
        <r>
          <rPr>
            <sz val="10"/>
            <color indexed="81"/>
            <rFont val="Lucida Console"/>
            <family val="3"/>
          </rPr>
          <t>Última movimentação no estoque em 04/2023 quantidade 18.</t>
        </r>
      </text>
    </comment>
    <comment ref="R740" authorId="0" shapeId="0" xr:uid="{106761BB-0B62-4B37-8964-6FF7836A56E0}">
      <text>
        <r>
          <rPr>
            <sz val="10"/>
            <color indexed="81"/>
            <rFont val="Lucida Console"/>
            <family val="3"/>
          </rPr>
          <t>01.01.1901</t>
        </r>
      </text>
    </comment>
    <comment ref="Y740" authorId="0" shapeId="0" xr:uid="{4786F4DE-15EF-403D-A0E3-9F2A300F5FE4}">
      <text>
        <r>
          <rPr>
            <sz val="10"/>
            <color indexed="81"/>
            <rFont val="Courier New"/>
            <family val="3"/>
          </rPr>
          <t>_x000D_
    DESCRIÇÃO DO CÁLCULO_x000D_
Código    : 59.069_x000D_
Corte     : 19_x000D_
-----------------------------_x000D_
Pendente  : _x000D_
22 / 08_2 : 16_x000D_
22 / 09_2 : 4_x000D_
22 / 10_2 : _x000D_
22 / 11_2 : 19_x000D_
22 / 12_2 : _x000D_
23 / 01_2 : 3_x000D_
23 / 02_2 : 6_x000D_
23 / 03_2 : 5_x000D_
23 / 04_2 : 15_x000D_
23 / 05_2 : _x000D_
23 / 06_2 : _x000D_
23 / 07_2 : _x000D_
_x000D_
    TOTAL : ( 68 )_x000D_
  DIVISOR : 12_x000D_
    MÉDIA : 5,67</t>
        </r>
      </text>
    </comment>
    <comment ref="AB740" authorId="0" shapeId="0" xr:uid="{76D1BB7F-0842-4C3E-BD24-08692A2F968B}">
      <text>
        <r>
          <rPr>
            <sz val="10"/>
            <color indexed="81"/>
            <rFont val="Lucida Console"/>
            <family val="3"/>
          </rPr>
          <t>Última movimentação no estoque em 04/2023 quantidade 15.</t>
        </r>
      </text>
    </comment>
    <comment ref="R741" authorId="0" shapeId="0" xr:uid="{AD024AD1-FCE6-48B2-99A8-257C5F7E3013}">
      <text>
        <r>
          <rPr>
            <sz val="10"/>
            <color indexed="81"/>
            <rFont val="Lucida Console"/>
            <family val="3"/>
          </rPr>
          <t>01.01.1901</t>
        </r>
      </text>
    </comment>
    <comment ref="Y741" authorId="0" shapeId="0" xr:uid="{A8494FBA-E0BF-4D5F-BDD6-5AD6676C0E7B}">
      <text>
        <r>
          <rPr>
            <sz val="10"/>
            <color indexed="81"/>
            <rFont val="Courier New"/>
            <family val="3"/>
          </rPr>
          <t>_x000D_
    DESCRIÇÃO DO CÁLCULO_x000D_
Código    : 13.068_x000D_
Corte     : 14_x000D_
-----------------------------_x000D_
Pendente  : _x000D_
22 / 08_2 : 3_x000D_
22 / 09_2 : 2_x000D_
22 / 10_2 : 6_x000D_
22 / 11_2 : 1_x000D_
22 / 12_2 : 7_x000D_
23 / 01_2 : _x000D_
23 / 02_2 : _x000D_
23 / 03_2 : 2_x000D_
23 / 04_2 : 14 (corte = 20)_x000D_
23 / 05_2 : _x000D_
23 / 06_2 : _x000D_
23 / 07_2 : _x000D_
_x000D_
    TOTAL : ( 35 )_x000D_
  DIVISOR : 12_x000D_
    MÉDIA : 2,92_x000D_
-----------------------------_x000D_
   Valores Desconsiderados_x000D_
-----------------------------_x000D_
23 / 04_2 : 6 (20)_x000D_
_x000D_
  TOTAL   : ( 6 )</t>
        </r>
      </text>
    </comment>
    <comment ref="AB741" authorId="0" shapeId="0" xr:uid="{EABAE8C0-2332-483A-A49F-A5DB073595BE}">
      <text>
        <r>
          <rPr>
            <sz val="10"/>
            <color indexed="81"/>
            <rFont val="Lucida Console"/>
            <family val="3"/>
          </rPr>
          <t>Última movimentação no estoque em 04/2023 quantidade 20.</t>
        </r>
      </text>
    </comment>
    <comment ref="R742" authorId="0" shapeId="0" xr:uid="{3DE43F6A-9B94-4AFA-8A41-04034C489DF3}">
      <text>
        <r>
          <rPr>
            <sz val="10"/>
            <color indexed="81"/>
            <rFont val="Lucida Console"/>
            <family val="3"/>
          </rPr>
          <t>01.01.1901</t>
        </r>
      </text>
    </comment>
    <comment ref="Y742" authorId="0" shapeId="0" xr:uid="{74AF0126-745F-456E-BE9A-742D4E43053A}">
      <text>
        <r>
          <rPr>
            <sz val="10"/>
            <color indexed="81"/>
            <rFont val="Courier New"/>
            <family val="3"/>
          </rPr>
          <t>_x000D_
    DESCRIÇÃO DO CÁLCULO_x000D_
Código    : 64.648_x000D_
Corte     : 1_x000D_
-----------------------------_x000D_
Pendente  : _x000D_
22 / 08_2 : _x000D_
22 / 09_2 : _x000D_
22 / 10_2 : _x000D_
22 / 11_2 : _x000D_
22 / 12_2 : 1_x000D_
23 / 01_2 : _x000D_
23 / 02_2 : 1_x000D_
23 / 03_2 : 1_x000D_
23 / 04_2 : _x000D_
23 / 05_2 : _x000D_
23 / 06_2 : _x000D_
23 / 07_2 : _x000D_
_x000D_
    TOTAL : ( 3 )_x000D_
  DIVISOR : 12_x000D_
    MÉDIA : ,25</t>
        </r>
      </text>
    </comment>
    <comment ref="AB742" authorId="0" shapeId="0" xr:uid="{AC19F08C-62C2-40EE-A176-FC73DF396A80}">
      <text>
        <r>
          <rPr>
            <sz val="10"/>
            <color indexed="81"/>
            <rFont val="Lucida Console"/>
            <family val="3"/>
          </rPr>
          <t>Última movimentação no estoque em 03/2023 quantidade 1.</t>
        </r>
      </text>
    </comment>
    <comment ref="R743" authorId="0" shapeId="0" xr:uid="{A028D777-F2C0-44D6-B7EB-E49D317C4CAB}">
      <text>
        <r>
          <rPr>
            <sz val="10"/>
            <color indexed="81"/>
            <rFont val="Lucida Console"/>
            <family val="3"/>
          </rPr>
          <t>01.01.1901</t>
        </r>
      </text>
    </comment>
    <comment ref="Y743" authorId="0" shapeId="0" xr:uid="{32058194-34FC-46E9-AB2B-A99DF58A1E53}">
      <text>
        <r>
          <rPr>
            <sz val="10"/>
            <color indexed="81"/>
            <rFont val="Courier New"/>
            <family val="3"/>
          </rPr>
          <t>_x000D_
    DESCRIÇÃO DO CÁLCULO_x000D_
Código    : 13.072_x000D_
Corte     : 77_x000D_
-----------------------------_x000D_
Pendente  : _x000D_
22 / 08_2 : 77 (corte = 87)_x000D_
22 / 09_2 : 21_x000D_
22 / 10_2 : 32_x000D_
22 / 11_2 : 25_x000D_
22 / 12_2 : 45_x000D_
23 / 01_2 : 10_x000D_
23 / 02_2 : 42_x000D_
23 / 03_2 : 43_x000D_
23 / 04_2 : 35_x000D_
23 / 05_2 : _x000D_
23 / 06_2 : _x000D_
23 / 07_2 : 20_x000D_
_x000D_
    TOTAL : ( 350 )_x000D_
  DIVISOR : 12_x000D_
    MÉDIA : 29,17_x000D_
-----------------------------_x000D_
   Valores Desconsiderados_x000D_
-----------------------------_x000D_
22 / 08_2 : 10 (87)_x000D_
_x000D_
  TOTAL   : ( 10 )</t>
        </r>
      </text>
    </comment>
    <comment ref="AB743" authorId="0" shapeId="0" xr:uid="{88FD29BA-5FE7-4ACD-B060-9E58CBAF9C8F}">
      <text>
        <r>
          <rPr>
            <sz val="10"/>
            <color indexed="81"/>
            <rFont val="Lucida Console"/>
            <family val="3"/>
          </rPr>
          <t>Última movimentação no estoque em 07/2023 quantidade 20.</t>
        </r>
      </text>
    </comment>
    <comment ref="R744" authorId="0" shapeId="0" xr:uid="{C9BAF031-8D71-4875-AE50-02D36A3F8C81}">
      <text>
        <r>
          <rPr>
            <sz val="10"/>
            <color indexed="81"/>
            <rFont val="Lucida Console"/>
            <family val="3"/>
          </rPr>
          <t>01.01.1901</t>
        </r>
      </text>
    </comment>
    <comment ref="Y744" authorId="0" shapeId="0" xr:uid="{AAE33C21-C1D6-4240-8FCB-1E7BAA234D40}">
      <text>
        <r>
          <rPr>
            <sz val="10"/>
            <color indexed="81"/>
            <rFont val="Courier New"/>
            <family val="3"/>
          </rPr>
          <t>_x000D_
    DESCRIÇÃO DO CÁLCULO_x000D_
Código    : 61.200_x000D_
Corte     : 15_x000D_
-----------------------------_x000D_
Pendente  : _x000D_
22 / 08_2 : 6_x000D_
22 / 09_2 : 6_x000D_
22 / 10_2 : _x000D_
22 / 11_2 : 13_x000D_
22 / 12_2 : 8_x000D_
23 / 01_2 : _x000D_
23 / 02_2 : 8_x000D_
23 / 03_2 : 6_x000D_
23 / 04_2 : 15_x000D_
23 / 05_2 : _x000D_
23 / 06_2 : _x000D_
23 / 07_2 : _x000D_
_x000D_
    TOTAL : ( 62 )_x000D_
  DIVISOR : 12_x000D_
    MÉDIA : 5,17</t>
        </r>
      </text>
    </comment>
    <comment ref="AB744" authorId="0" shapeId="0" xr:uid="{7DD3B153-89A0-41E6-A72B-D149AF9A0309}">
      <text>
        <r>
          <rPr>
            <sz val="10"/>
            <color indexed="81"/>
            <rFont val="Lucida Console"/>
            <family val="3"/>
          </rPr>
          <t>Última movimentação no estoque em 04/2023 quantidade 15.</t>
        </r>
      </text>
    </comment>
    <comment ref="R745" authorId="0" shapeId="0" xr:uid="{B331C92C-F98A-4A31-A26B-F5894691EF22}">
      <text>
        <r>
          <rPr>
            <sz val="10"/>
            <color indexed="81"/>
            <rFont val="Lucida Console"/>
            <family val="3"/>
          </rPr>
          <t>01.01.1901</t>
        </r>
      </text>
    </comment>
    <comment ref="Y745" authorId="0" shapeId="0" xr:uid="{3F0A8040-8174-42AF-BB29-92B39A30E35F}">
      <text>
        <r>
          <rPr>
            <sz val="10"/>
            <color indexed="81"/>
            <rFont val="Courier New"/>
            <family val="3"/>
          </rPr>
          <t>_x000D_
    DESCRIÇÃO DO CÁLCULO_x000D_
Código    : 64.044_x000D_
Corte     : 98_x000D_
-----------------------------_x000D_
Pendente  : _x000D_
22 / 08_2 : 40_x000D_
22 / 09_2 : _x000D_
22 / 10_2 : 98 (corte = 140)_x000D_
22 / 11_2 : _x000D_
22 / 12_2 : _x000D_
23 / 01_2 : _x000D_
23 / 02_2 : 10_x000D_
23 / 03_2 : _x000D_
23 / 04_2 : _x000D_
23 / 05_2 : _x000D_
23 / 06_2 : 20_x000D_
23 / 07_2 : _x000D_
_x000D_
    TOTAL : ( 168 )_x000D_
  DIVISOR : 12_x000D_
    MÉDIA : 14,00_x000D_
-----------------------------_x000D_
   Valores Desconsiderados_x000D_
-----------------------------_x000D_
22 / 10_2 : 42 (140)_x000D_
_x000D_
  TOTAL   : ( 42 )</t>
        </r>
      </text>
    </comment>
    <comment ref="AB745" authorId="0" shapeId="0" xr:uid="{11F221DA-EC94-4565-B827-46F91F2FCB1D}">
      <text>
        <r>
          <rPr>
            <sz val="10"/>
            <color indexed="81"/>
            <rFont val="Lucida Console"/>
            <family val="3"/>
          </rPr>
          <t>Última movimentação no estoque em 06/2023 quantidade 20.</t>
        </r>
      </text>
    </comment>
    <comment ref="R746" authorId="0" shapeId="0" xr:uid="{E0837DD1-0E85-4844-9F1C-F543B1B05EE2}">
      <text>
        <r>
          <rPr>
            <sz val="10"/>
            <color indexed="81"/>
            <rFont val="Lucida Console"/>
            <family val="3"/>
          </rPr>
          <t>01.01.1901</t>
        </r>
      </text>
    </comment>
    <comment ref="Y746" authorId="0" shapeId="0" xr:uid="{15389B5B-91AB-4AFB-8A2B-E8B9479737F2}">
      <text>
        <r>
          <rPr>
            <sz val="10"/>
            <color indexed="81"/>
            <rFont val="Courier New"/>
            <family val="3"/>
          </rPr>
          <t>_x000D_
    DESCRIÇÃO DO CÁLCULO_x000D_
Código    : 54.680_x000D_
Corte     : 60_x000D_
-----------------------------_x000D_
Pendente  : _x000D_
22 / 08_2 : _x000D_
22 / 09_2 : _x000D_
22 / 10_2 : _x000D_
22 / 11_2 : _x000D_
22 / 12_2 : _x000D_
23 / 01_2 : 41_x000D_
23 / 02_2 : _x000D_
23 / 03_2 : 60 (corte = 70)_x000D_
23 / 04_2 : _x000D_
23 / 05_2 : _x000D_
23 / 06_2 : 40_x000D_
23 / 07_2 : _x000D_
_x000D_
    TOTAL : ( 141 )_x000D_
  DIVISOR : 12_x000D_
    MÉDIA : 11,75_x000D_
-----------------------------_x000D_
   Valores Desconsiderados_x000D_
-----------------------------_x000D_
23 / 03_2 : 10 (70)_x000D_
_x000D_
  TOTAL   : ( 10 )</t>
        </r>
      </text>
    </comment>
    <comment ref="AB746" authorId="0" shapeId="0" xr:uid="{28CABC6D-069C-48DC-A6FB-8CEDC03E6361}">
      <text>
        <r>
          <rPr>
            <sz val="10"/>
            <color indexed="81"/>
            <rFont val="Lucida Console"/>
            <family val="3"/>
          </rPr>
          <t>Última movimentação no estoque em 06/2023 quantidade 40.</t>
        </r>
      </text>
    </comment>
    <comment ref="R747" authorId="0" shapeId="0" xr:uid="{2C85A5C0-D93D-4F7A-990B-42407B6F0CA6}">
      <text>
        <r>
          <rPr>
            <sz val="10"/>
            <color indexed="81"/>
            <rFont val="Lucida Console"/>
            <family val="3"/>
          </rPr>
          <t>18.09.2017</t>
        </r>
      </text>
    </comment>
    <comment ref="Y747" authorId="0" shapeId="0" xr:uid="{653C34FC-635F-4EAC-82B3-9AF40E32D56E}">
      <text>
        <r>
          <rPr>
            <sz val="10"/>
            <color indexed="81"/>
            <rFont val="Courier New"/>
            <family val="3"/>
          </rPr>
          <t>_x000D_
    DESCRIÇÃO DO CÁLCULO_x000D_
Código    : 133.433_x000D_
Corte     : 4_x000D_
-----------------------------_x000D_
Pendente  : _x000D_
22 / 08_2 : _x000D_
22 / 09_2 : 1_x000D_
22 / 10_2 : _x000D_
22 / 11_2 : _x000D_
22 / 12_2 : 1_x000D_
23 / 01_2 : _x000D_
23 / 02_2 : _x000D_
23 / 03_2 : 4 (corte = 6)_x000D_
23 / 04_2 : _x000D_
23 / 05_2 : _x000D_
23 / 06_2 : _x000D_
23 / 07_2 : 4_x000D_
_x000D_
    TOTAL : ( 10 )_x000D_
  DIVISOR : 12_x000D_
    MÉDIA : ,83_x000D_
-----------------------------_x000D_
   Valores Desconsiderados_x000D_
-----------------------------_x000D_
23 / 03_2 : 2 (6)_x000D_
_x000D_
  TOTAL   : ( 2 )</t>
        </r>
      </text>
    </comment>
    <comment ref="AB747" authorId="0" shapeId="0" xr:uid="{5CDC63D9-AC86-4937-B4DA-3CE284C17763}">
      <text>
        <r>
          <rPr>
            <sz val="10"/>
            <color indexed="81"/>
            <rFont val="Lucida Console"/>
            <family val="3"/>
          </rPr>
          <t>Última movimentação no estoque em 07/2023 quantidade 4.</t>
        </r>
      </text>
    </comment>
    <comment ref="R748" authorId="0" shapeId="0" xr:uid="{D7C8DA8A-DF2E-4F21-8D2C-F74ED5CAB87B}">
      <text>
        <r>
          <rPr>
            <sz val="10"/>
            <color indexed="81"/>
            <rFont val="Lucida Console"/>
            <family val="3"/>
          </rPr>
          <t>28.06.2004</t>
        </r>
      </text>
    </comment>
    <comment ref="Y748" authorId="0" shapeId="0" xr:uid="{8D787D2D-E7BE-4530-9322-B8514DD38579}">
      <text>
        <r>
          <rPr>
            <sz val="10"/>
            <color indexed="81"/>
            <rFont val="Courier New"/>
            <family val="3"/>
          </rPr>
          <t>_x000D_
    DESCRIÇÃO DO CÁLCULO_x000D_
Código    : 80.298_x000D_
Corte     : 2_x000D_
-----------------------------_x000D_
Pendente  : _x000D_
22 / 08_2 : 1_x000D_
22 / 09_2 : _x000D_
22 / 10_2 : 2_x000D_
22 / 11_2 : _x000D_
22 / 12_2 : 2_x000D_
23 / 01_2 : _x000D_
23 / 02_2 : 2_x000D_
23 / 03_2 : _x000D_
23 / 04_2 : _x000D_
23 / 05_2 : _x000D_
23 / 06_2 : 2_x000D_
23 / 07_2 : _x000D_
_x000D_
    TOTAL : ( 9 )_x000D_
  DIVISOR : 12_x000D_
    MÉDIA : ,75</t>
        </r>
      </text>
    </comment>
    <comment ref="AB748" authorId="0" shapeId="0" xr:uid="{0C3931D9-C1FA-40D8-839F-B9C89C34F98F}">
      <text>
        <r>
          <rPr>
            <sz val="10"/>
            <color indexed="81"/>
            <rFont val="Lucida Console"/>
            <family val="3"/>
          </rPr>
          <t>Última movimentação no estoque em 06/2023 quantidade 2.</t>
        </r>
      </text>
    </comment>
    <comment ref="R749" authorId="0" shapeId="0" xr:uid="{8AA32B0A-4246-4495-B885-DEEE1D15009C}">
      <text>
        <r>
          <rPr>
            <sz val="10"/>
            <color indexed="81"/>
            <rFont val="Lucida Console"/>
            <family val="3"/>
          </rPr>
          <t>01.01.1901</t>
        </r>
      </text>
    </comment>
    <comment ref="Y749" authorId="0" shapeId="0" xr:uid="{53442932-FC98-4E2D-9C0E-5F75D7BA9050}">
      <text>
        <r>
          <rPr>
            <sz val="10"/>
            <color indexed="81"/>
            <rFont val="Courier New"/>
            <family val="3"/>
          </rPr>
          <t>_x000D_
    DESCRIÇÃO DO CÁLCULO_x000D_
Código    : 50.476_x000D_
Corte     : 7_x000D_
-----------------------------_x000D_
Pendente  : _x000D_
22 / 08_2 : _x000D_
22 / 09_2 : _x000D_
22 / 10_2 : _x000D_
22 / 11_2 : _x000D_
22 / 12_2 : 7 (corte = 11)_x000D_
23 / 01_2 : _x000D_
23 / 02_2 : _x000D_
23 / 03_2 : _x000D_
23 / 04_2 : _x000D_
23 / 05_2 : _x000D_
23 / 06_2 : _x000D_
23 / 07_2 : _x000D_
_x000D_
    TOTAL : ( 7 )_x000D_
  DIVISOR : 12_x000D_
    MÉDIA : ,58_x000D_
-----------------------------_x000D_
   Valores Desconsiderados_x000D_
-----------------------------_x000D_
22 / 12_2 : 4 (11)_x000D_
_x000D_
  TOTAL   : ( 4 )</t>
        </r>
      </text>
    </comment>
    <comment ref="AB749" authorId="0" shapeId="0" xr:uid="{CC26636D-5677-4EFC-A63C-6D756B9B4A87}">
      <text>
        <r>
          <rPr>
            <sz val="10"/>
            <color indexed="81"/>
            <rFont val="Lucida Console"/>
            <family val="3"/>
          </rPr>
          <t>Última movimentação no estoque em 12/2022 quantidade 11.</t>
        </r>
      </text>
    </comment>
    <comment ref="R750" authorId="0" shapeId="0" xr:uid="{640CBF17-921B-4B1E-9D71-C65A27D1F416}">
      <text>
        <r>
          <rPr>
            <sz val="10"/>
            <color indexed="81"/>
            <rFont val="Lucida Console"/>
            <family val="3"/>
          </rPr>
          <t>01.01.1901</t>
        </r>
      </text>
    </comment>
    <comment ref="Y750" authorId="0" shapeId="0" xr:uid="{DC7422B1-E06C-4567-88A0-8F2FBA7A0C5A}">
      <text>
        <r>
          <rPr>
            <sz val="10"/>
            <color indexed="81"/>
            <rFont val="Courier New"/>
            <family val="3"/>
          </rPr>
          <t>_x000D_
    DESCRIÇÃO DO CÁLCULO_x000D_
Código    : 40.086_x000D_
Corte     : 15_x000D_
-----------------------------_x000D_
Pendente  : _x000D_
22 / 08_2 : _x000D_
22 / 09_2 : _x000D_
22 / 10_2 : _x000D_
22 / 11_2 : _x000D_
22 / 12_2 : 15 (corte = 24)_x000D_
23 / 01_2 : _x000D_
23 / 02_2 : _x000D_
23 / 03_2 : _x000D_
23 / 04_2 : _x000D_
23 / 05_2 : _x000D_
23 / 06_2 : _x000D_
23 / 07_2 : _x000D_
_x000D_
    TOTAL : ( 15 )_x000D_
  DIVISOR : 12_x000D_
    MÉDIA : 1,25_x000D_
-----------------------------_x000D_
   Valores Desconsiderados_x000D_
-----------------------------_x000D_
22 / 12_2 : 9 (24)_x000D_
_x000D_
  TOTAL   : ( 9 )</t>
        </r>
      </text>
    </comment>
    <comment ref="AB750" authorId="0" shapeId="0" xr:uid="{862EE310-EB64-4834-A9BF-F1D14467A4EC}">
      <text>
        <r>
          <rPr>
            <sz val="10"/>
            <color indexed="81"/>
            <rFont val="Lucida Console"/>
            <family val="3"/>
          </rPr>
          <t>Última movimentação no estoque em 12/2022 quantidade 24.</t>
        </r>
      </text>
    </comment>
    <comment ref="R751" authorId="0" shapeId="0" xr:uid="{77B0EBFC-1654-4874-8ACB-C2D188B2B7ED}">
      <text>
        <r>
          <rPr>
            <sz val="10"/>
            <color indexed="81"/>
            <rFont val="Lucida Console"/>
            <family val="3"/>
          </rPr>
          <t>03.03.2010</t>
        </r>
      </text>
    </comment>
    <comment ref="Y751" authorId="0" shapeId="0" xr:uid="{701323F8-C34F-49E0-ADD1-C7A36D0574E9}">
      <text>
        <r>
          <rPr>
            <sz val="10"/>
            <color indexed="81"/>
            <rFont val="Courier New"/>
            <family val="3"/>
          </rPr>
          <t>_x000D_
    DESCRIÇÃO DO CÁLCULO_x000D_
Código    : 114.297_x000D_
Corte     : 22_x000D_
-----------------------------_x000D_
Pendente  : _x000D_
22 / 08_2 : _x000D_
22 / 09_2 : _x000D_
22 / 10_2 : _x000D_
22 / 11_2 : 15_x000D_
22 / 12_2 : 22 (corte = 28)_x000D_
23 / 01_2 : _x000D_
23 / 02_2 : 10_x000D_
23 / 03_2 : _x000D_
23 / 04_2 : _x000D_
23 / 05_2 : _x000D_
23 / 06_2 : _x000D_
23 / 07_2 : _x000D_
_x000D_
    TOTAL : ( 47 )_x000D_
  DIVISOR : 12_x000D_
    MÉDIA : 3,92_x000D_
-----------------------------_x000D_
   Valores Desconsiderados_x000D_
-----------------------------_x000D_
22 / 12_2 : 6 (28)_x000D_
_x000D_
  TOTAL   : ( 6 )</t>
        </r>
      </text>
    </comment>
    <comment ref="AB751" authorId="0" shapeId="0" xr:uid="{B672EF82-373C-4974-B12F-C741D37DF45C}">
      <text>
        <r>
          <rPr>
            <sz val="10"/>
            <color indexed="81"/>
            <rFont val="Lucida Console"/>
            <family val="3"/>
          </rPr>
          <t>Última movimentação no estoque em 02/2023 quantidade 10.</t>
        </r>
      </text>
    </comment>
    <comment ref="R752" authorId="0" shapeId="0" xr:uid="{9ED595FD-76F1-4537-B638-D5BFA8626378}">
      <text>
        <r>
          <rPr>
            <sz val="10"/>
            <color indexed="81"/>
            <rFont val="Lucida Console"/>
            <family val="3"/>
          </rPr>
          <t>01.12.2003</t>
        </r>
      </text>
    </comment>
    <comment ref="Y752" authorId="0" shapeId="0" xr:uid="{53051299-8DD7-425B-B806-A2E24136E43B}">
      <text>
        <r>
          <rPr>
            <sz val="10"/>
            <color indexed="81"/>
            <rFont val="Courier New"/>
            <family val="3"/>
          </rPr>
          <t>_x000D_
    DESCRIÇÃO DO CÁLCULO_x000D_
Código    : 76.218_x000D_
Corte     : 3_x000D_
-----------------------------_x000D_
Pendente  : _x000D_
22 / 08_2 : 2_x000D_
22 / 09_2 : 1_x000D_
22 / 10_2 : _x000D_
22 / 11_2 : _x000D_
22 / 12_2 : _x000D_
23 / 01_2 : _x000D_
23 / 02_2 : _x000D_
23 / 03_2 : _x000D_
23 / 04_2 : 3 (corte = 4)_x000D_
23 / 05_2 : _x000D_
23 / 06_2 : _x000D_
23 / 07_2 : _x000D_
_x000D_
    TOTAL : ( 6 )_x000D_
  DIVISOR : 12_x000D_
    MÉDIA : ,50_x000D_
-----------------------------_x000D_
   Valores Desconsiderados_x000D_
-----------------------------_x000D_
23 / 04_2 : 1 (4)_x000D_
_x000D_
  TOTAL   : ( 1 )</t>
        </r>
      </text>
    </comment>
    <comment ref="AB752" authorId="0" shapeId="0" xr:uid="{E3695A9D-226A-48F1-9535-B220EC73CC08}">
      <text>
        <r>
          <rPr>
            <sz val="10"/>
            <color indexed="81"/>
            <rFont val="Lucida Console"/>
            <family val="3"/>
          </rPr>
          <t>Última movimentação no estoque em 04/2023 quantidade 4.</t>
        </r>
      </text>
    </comment>
    <comment ref="R753" authorId="0" shapeId="0" xr:uid="{01C03B0E-5F03-4A87-B0AE-5F5BF57CB105}">
      <text>
        <r>
          <rPr>
            <sz val="10"/>
            <color indexed="81"/>
            <rFont val="Lucida Console"/>
            <family val="3"/>
          </rPr>
          <t>12.05.2008</t>
        </r>
      </text>
    </comment>
    <comment ref="Y753" authorId="0" shapeId="0" xr:uid="{C87CF3A0-2C46-45B6-85FA-D22DBEA04542}">
      <text>
        <r>
          <rPr>
            <sz val="10"/>
            <color indexed="81"/>
            <rFont val="Courier New"/>
            <family val="3"/>
          </rPr>
          <t>_x000D_
    DESCRIÇÃO DO CÁLCULO_x000D_
Código    : 106.375_x000D_
Corte     : 174_x000D_
-----------------------------_x000D_
Pendente  : 41_x000D_
22 / 08_2 : _x000D_
22 / 09_2 : 54_x000D_
22 / 10_2 : 23_x000D_
22 / 11_2 : 91_x000D_
22 / 12_2 : 20_x000D_
23 / 01_2 : 33_x000D_
23 / 02_2 : 68_x000D_
23 / 03_2 : 174 (corte = 232)_x000D_
23 / 04_2 : 24_x000D_
23 / 05_2 : 9_x000D_
23 / 06_2 : _x000D_
23 / 07_2 : _x000D_
_x000D_
    TOTAL : ( 537 )_x000D_
  DIVISOR : 12_x000D_
    MÉDIA : 44,75_x000D_
-----------------------------_x000D_
   Valores Desconsiderados_x000D_
-----------------------------_x000D_
23 / 03_2 : 58 (232)_x000D_
_x000D_
  TOTAL   : ( 58 )</t>
        </r>
      </text>
    </comment>
    <comment ref="AB753" authorId="0" shapeId="0" xr:uid="{979681A8-CAEC-48A9-A500-738A2E33E3BE}">
      <text>
        <r>
          <rPr>
            <sz val="10"/>
            <color indexed="81"/>
            <rFont val="Lucida Console"/>
            <family val="3"/>
          </rPr>
          <t>Última movimentação no estoque em 05/2023 quantidade 9.</t>
        </r>
      </text>
    </comment>
    <comment ref="R754" authorId="0" shapeId="0" xr:uid="{E6E88393-E128-48F1-A3CE-003B5C19D7B1}">
      <text>
        <r>
          <rPr>
            <sz val="10"/>
            <color indexed="81"/>
            <rFont val="Lucida Console"/>
            <family val="3"/>
          </rPr>
          <t>12.05.2008</t>
        </r>
      </text>
    </comment>
    <comment ref="Y754" authorId="0" shapeId="0" xr:uid="{264A4AD5-66F3-427E-91B3-F1C674441161}">
      <text>
        <r>
          <rPr>
            <sz val="10"/>
            <color indexed="81"/>
            <rFont val="Courier New"/>
            <family val="3"/>
          </rPr>
          <t>_x000D_
    DESCRIÇÃO DO CÁLCULO_x000D_
Código    : 106.376_x000D_
Corte     : 326_x000D_
-----------------------------_x000D_
Pendente  : _x000D_
22 / 08_2 : 8_x000D_
22 / 09_2 : 8_x000D_
22 / 10_2 : 47_x000D_
22 / 11_2 : 126_x000D_
22 / 12_2 : 167_x000D_
23 / 01_2 : 66_x000D_
23 / 02_2 : 22_x000D_
23 / 03_2 : 131_x000D_
23 / 04_2 : 222_x000D_
23 / 05_2 : 323_x000D_
23 / 06_2 : 90_x000D_
23 / 07_2 : 252_x000D_
_x000D_
    TOTAL : ( 1.462 )_x000D_
  DIVISOR : 12_x000D_
    MÉDIA : 121,83</t>
        </r>
      </text>
    </comment>
    <comment ref="AB754" authorId="0" shapeId="0" xr:uid="{CB63467C-6F87-4B82-8EEA-CFDB2D6B2047}">
      <text>
        <r>
          <rPr>
            <sz val="10"/>
            <color indexed="81"/>
            <rFont val="Lucida Console"/>
            <family val="3"/>
          </rPr>
          <t>Última movimentação no estoque em 07/2023 quantidade 252.</t>
        </r>
      </text>
    </comment>
    <comment ref="R755" authorId="0" shapeId="0" xr:uid="{C27568C7-A9E6-479A-9494-B6C6C44261BB}">
      <text>
        <r>
          <rPr>
            <sz val="10"/>
            <color indexed="81"/>
            <rFont val="Lucida Console"/>
            <family val="3"/>
          </rPr>
          <t>08.09.2009</t>
        </r>
      </text>
    </comment>
    <comment ref="Y755" authorId="0" shapeId="0" xr:uid="{283270F4-B66B-415C-9BEE-391BB0B67CFA}">
      <text>
        <r>
          <rPr>
            <sz val="10"/>
            <color indexed="81"/>
            <rFont val="Courier New"/>
            <family val="3"/>
          </rPr>
          <t>_x000D_
    DESCRIÇÃO DO CÁLCULO_x000D_
Código    : 112.494_x000D_
Corte     : 23_x000D_
-----------------------------_x000D_
Pendente  : _x000D_
22 / 08_2 : _x000D_
22 / 09_2 : 5_x000D_
22 / 10_2 : _x000D_
22 / 11_2 : 9_x000D_
22 / 12_2 : _x000D_
23 / 01_2 : 23 (corte = 28)_x000D_
23 / 02_2 : _x000D_
23 / 03_2 : _x000D_
23 / 04_2 : _x000D_
23 / 05_2 : _x000D_
23 / 06_2 : 20_x000D_
23 / 07_2 : _x000D_
_x000D_
    TOTAL : ( 57 )_x000D_
  DIVISOR : 12_x000D_
    MÉDIA : 4,75_x000D_
-----------------------------_x000D_
   Valores Desconsiderados_x000D_
-----------------------------_x000D_
23 / 01_2 : 5 (28)_x000D_
_x000D_
  TOTAL   : ( 5 )</t>
        </r>
      </text>
    </comment>
    <comment ref="AB755" authorId="0" shapeId="0" xr:uid="{D95B92E3-FA2C-4DF3-92BE-5A4258C9E37B}">
      <text>
        <r>
          <rPr>
            <sz val="10"/>
            <color indexed="81"/>
            <rFont val="Lucida Console"/>
            <family val="3"/>
          </rPr>
          <t>Última movimentação no estoque em 06/2023 quantidade 20.</t>
        </r>
      </text>
    </comment>
    <comment ref="R756" authorId="0" shapeId="0" xr:uid="{7E2A4E91-EC9F-4090-AE42-3EDDC41C0C03}">
      <text>
        <r>
          <rPr>
            <sz val="10"/>
            <color indexed="81"/>
            <rFont val="Lucida Console"/>
            <family val="3"/>
          </rPr>
          <t>27.10.2009</t>
        </r>
      </text>
    </comment>
    <comment ref="Y756" authorId="0" shapeId="0" xr:uid="{F5C4EEED-02C0-45EA-A17F-A5557F8C1CD3}">
      <text>
        <r>
          <rPr>
            <sz val="10"/>
            <color indexed="81"/>
            <rFont val="Courier New"/>
            <family val="3"/>
          </rPr>
          <t>_x000D_
    DESCRIÇÃO DO CÁLCULO_x000D_
Código    : 113.242_x000D_
Corte     : 26_x000D_
-----------------------------_x000D_
Pendente  : _x000D_
22 / 08_2 : 8_x000D_
22 / 09_2 : _x000D_
22 / 10_2 : _x000D_
22 / 11_2 : 6_x000D_
22 / 12_2 : _x000D_
23 / 01_2 : 21_x000D_
23 / 02_2 : _x000D_
23 / 03_2 : _x000D_
23 / 04_2 : _x000D_
23 / 05_2 : _x000D_
23 / 06_2 : 26 (corte = 32)_x000D_
23 / 07_2 : _x000D_
_x000D_
    TOTAL : ( 61 )_x000D_
  DIVISOR : 12_x000D_
    MÉDIA : 5,08_x000D_
-----------------------------_x000D_
   Valores Desconsiderados_x000D_
-----------------------------_x000D_
23 / 06_2 : 6 (32)_x000D_
_x000D_
  TOTAL   : ( 6 )</t>
        </r>
      </text>
    </comment>
    <comment ref="AB756" authorId="0" shapeId="0" xr:uid="{8850C87C-466B-46E8-BD71-337DF1440FCA}">
      <text>
        <r>
          <rPr>
            <sz val="10"/>
            <color indexed="81"/>
            <rFont val="Lucida Console"/>
            <family val="3"/>
          </rPr>
          <t>Última movimentação no estoque em 06/2023 quantidade 32.</t>
        </r>
      </text>
    </comment>
    <comment ref="R757" authorId="0" shapeId="0" xr:uid="{8C8B60D1-C23B-4E94-95CB-8170DFF85AF5}">
      <text>
        <r>
          <rPr>
            <sz val="10"/>
            <color indexed="81"/>
            <rFont val="Lucida Console"/>
            <family val="3"/>
          </rPr>
          <t>11.05.2009</t>
        </r>
      </text>
    </comment>
    <comment ref="Y757" authorId="0" shapeId="0" xr:uid="{049995D3-B8DD-4409-8C65-59D758B09BB9}">
      <text>
        <r>
          <rPr>
            <sz val="10"/>
            <color indexed="81"/>
            <rFont val="Courier New"/>
            <family val="3"/>
          </rPr>
          <t>_x000D_
    DESCRIÇÃO DO CÁLCULO_x000D_
Código    : 110.892_x000D_
Corte     : 14_x000D_
-----------------------------_x000D_
Pendente  : _x000D_
22 / 08_2 : _x000D_
22 / 09_2 : _x000D_
22 / 10_2 : _x000D_
22 / 11_2 : 6_x000D_
22 / 12_2 : _x000D_
23 / 01_2 : 14 (corte = 19)_x000D_
23 / 02_2 : _x000D_
23 / 03_2 : _x000D_
23 / 04_2 : _x000D_
23 / 05_2 : _x000D_
23 / 06_2 : 10_x000D_
23 / 07_2 : _x000D_
_x000D_
    TOTAL : ( 30 )_x000D_
  DIVISOR : 12_x000D_
    MÉDIA : 2,50_x000D_
-----------------------------_x000D_
   Valores Desconsiderados_x000D_
-----------------------------_x000D_
23 / 01_2 : 5 (19)_x000D_
_x000D_
  TOTAL   : ( 5 )</t>
        </r>
      </text>
    </comment>
    <comment ref="AB757" authorId="0" shapeId="0" xr:uid="{F02B8897-A91D-42A9-8835-E78DEBA1739C}">
      <text>
        <r>
          <rPr>
            <sz val="10"/>
            <color indexed="81"/>
            <rFont val="Lucida Console"/>
            <family val="3"/>
          </rPr>
          <t>Última movimentação no estoque em 06/2023 quantidade 10.</t>
        </r>
      </text>
    </comment>
    <comment ref="R758" authorId="0" shapeId="0" xr:uid="{E63B9937-2BDD-428E-8CC5-F17AD972696B}">
      <text>
        <r>
          <rPr>
            <sz val="10"/>
            <color indexed="81"/>
            <rFont val="Lucida Console"/>
            <family val="3"/>
          </rPr>
          <t>11.05.2009</t>
        </r>
      </text>
    </comment>
    <comment ref="Y758" authorId="0" shapeId="0" xr:uid="{7E242E25-2A67-43C7-8EE1-0F8A25CB68B5}">
      <text>
        <r>
          <rPr>
            <sz val="10"/>
            <color indexed="81"/>
            <rFont val="Courier New"/>
            <family val="3"/>
          </rPr>
          <t>_x000D_
    DESCRIÇÃO DO CÁLCULO_x000D_
Código    : 110.893_x000D_
Corte     : 16_x000D_
-----------------------------_x000D_
Pendente  : _x000D_
22 / 08_2 : 8_x000D_
22 / 09_2 : _x000D_
22 / 10_2 : _x000D_
22 / 11_2 : _x000D_
22 / 12_2 : 10_x000D_
23 / 01_2 : 5_x000D_
23 / 02_2 : _x000D_
23 / 03_2 : _x000D_
23 / 04_2 : _x000D_
23 / 05_2 : _x000D_
23 / 06_2 : 16 (corte = 20)_x000D_
23 / 07_2 : _x000D_
_x000D_
    TOTAL : ( 39 )_x000D_
  DIVISOR : 12_x000D_
    MÉDIA : 3,25_x000D_
-----------------------------_x000D_
   Valores Desconsiderados_x000D_
-----------------------------_x000D_
23 / 06_2 : 4 (20)_x000D_
_x000D_
  TOTAL   : ( 4 )</t>
        </r>
      </text>
    </comment>
    <comment ref="AB758" authorId="0" shapeId="0" xr:uid="{EC18FB15-B80B-48EE-9BD9-A44FD1532D75}">
      <text>
        <r>
          <rPr>
            <sz val="10"/>
            <color indexed="81"/>
            <rFont val="Lucida Console"/>
            <family val="3"/>
          </rPr>
          <t>Última movimentação no estoque em 06/2023 quantidade 20.</t>
        </r>
      </text>
    </comment>
    <comment ref="R759" authorId="0" shapeId="0" xr:uid="{0F20A9B3-5C8D-4D5B-89F0-84B1CC60D22B}">
      <text>
        <r>
          <rPr>
            <sz val="10"/>
            <color indexed="81"/>
            <rFont val="Lucida Console"/>
            <family val="3"/>
          </rPr>
          <t>14.11.2007</t>
        </r>
      </text>
    </comment>
    <comment ref="Y759" authorId="0" shapeId="0" xr:uid="{25F16E94-F2EB-45EC-B854-FCEB24C47993}">
      <text>
        <r>
          <rPr>
            <sz val="10"/>
            <color indexed="81"/>
            <rFont val="Courier New"/>
            <family val="3"/>
          </rPr>
          <t>_x000D_
    DESCRIÇÃO DO CÁLCULO_x000D_
Código    : 103.344_x000D_
Corte     : 10_x000D_
-----------------------------_x000D_
Pendente  : _x000D_
22 / 08_2 : _x000D_
22 / 09_2 : 8_x000D_
22 / 10_2 : _x000D_
22 / 11_2 : _x000D_
22 / 12_2 : _x000D_
23 / 01_2 : 10_x000D_
23 / 02_2 : _x000D_
23 / 03_2 : _x000D_
23 / 04_2 : _x000D_
23 / 05_2 : _x000D_
23 / 06_2 : _x000D_
23 / 07_2 : 10_x000D_
_x000D_
    TOTAL : ( 28 )_x000D_
  DIVISOR : 12_x000D_
    MÉDIA : 2,33</t>
        </r>
      </text>
    </comment>
    <comment ref="AB759" authorId="0" shapeId="0" xr:uid="{8684C138-1310-44D1-BBB9-FAF2EAA051C9}">
      <text>
        <r>
          <rPr>
            <sz val="10"/>
            <color indexed="81"/>
            <rFont val="Lucida Console"/>
            <family val="3"/>
          </rPr>
          <t>Última movimentação no estoque em 07/2023 quantidade 10.</t>
        </r>
      </text>
    </comment>
    <comment ref="R760" authorId="0" shapeId="0" xr:uid="{1FA1947A-5A62-4FF0-8680-9101C2A95B11}">
      <text>
        <r>
          <rPr>
            <sz val="10"/>
            <color indexed="81"/>
            <rFont val="Lucida Console"/>
            <family val="3"/>
          </rPr>
          <t>01.01.1901</t>
        </r>
      </text>
    </comment>
    <comment ref="Y760" authorId="0" shapeId="0" xr:uid="{C99038D7-9EF1-4456-8398-6098F6813C9E}">
      <text>
        <r>
          <rPr>
            <sz val="10"/>
            <color indexed="81"/>
            <rFont val="Courier New"/>
            <family val="3"/>
          </rPr>
          <t>_x000D_
    DESCRIÇÃO DO CÁLCULO_x000D_
Código    : 15.648_x000D_
Corte     : 10_x000D_
-----------------------------_x000D_
Pendente  : _x000D_
22 / 08_2 : _x000D_
22 / 09_2 : _x000D_
22 / 10_2 : _x000D_
22 / 11_2 : _x000D_
22 / 12_2 : 10 (corte = 12)_x000D_
23 / 01_2 : 10_x000D_
23 / 02_2 : _x000D_
23 / 03_2 : _x000D_
23 / 04_2 : _x000D_
23 / 05_2 : _x000D_
23 / 06_2 : _x000D_
23 / 07_2 : _x000D_
_x000D_
    TOTAL : ( 20 )_x000D_
  DIVISOR : 12_x000D_
    MÉDIA : 1,67_x000D_
-----------------------------_x000D_
   Valores Desconsiderados_x000D_
-----------------------------_x000D_
22 / 12_2 : 2 (12)_x000D_
_x000D_
  TOTAL   : ( 2 )</t>
        </r>
      </text>
    </comment>
    <comment ref="AB760" authorId="0" shapeId="0" xr:uid="{5B4D7430-2FCE-4E5E-82C8-7F1C6BA998B0}">
      <text>
        <r>
          <rPr>
            <sz val="10"/>
            <color indexed="81"/>
            <rFont val="Lucida Console"/>
            <family val="3"/>
          </rPr>
          <t>Última movimentação no estoque em 01/2023 quantidade 10.</t>
        </r>
      </text>
    </comment>
    <comment ref="R761" authorId="0" shapeId="0" xr:uid="{68D3339E-145C-4A93-A6A9-A23CAC3CCA00}">
      <text>
        <r>
          <rPr>
            <sz val="10"/>
            <color indexed="81"/>
            <rFont val="Lucida Console"/>
            <family val="3"/>
          </rPr>
          <t>01.01.1901</t>
        </r>
      </text>
    </comment>
    <comment ref="Y761" authorId="0" shapeId="0" xr:uid="{64F1EF54-60C1-40BE-B74C-20FE603BA57E}">
      <text>
        <r>
          <rPr>
            <sz val="10"/>
            <color indexed="81"/>
            <rFont val="Courier New"/>
            <family val="3"/>
          </rPr>
          <t>_x000D_
    DESCRIÇÃO DO CÁLCULO_x000D_
Código    : 15.656_x000D_
Corte     : 7_x000D_
-----------------------------_x000D_
Pendente  : _x000D_
22 / 08_2 : _x000D_
22 / 09_2 : _x000D_
22 / 10_2 : _x000D_
22 / 11_2 : _x000D_
22 / 12_2 : _x000D_
23 / 01_2 : 5_x000D_
23 / 02_2 : _x000D_
23 / 03_2 : _x000D_
23 / 04_2 : _x000D_
23 / 05_2 : _x000D_
23 / 06_2 : 7 (corte = 10)_x000D_
23 / 07_2 : _x000D_
_x000D_
    TOTAL : ( 12 )_x000D_
  DIVISOR : 12_x000D_
    MÉDIA : 1,00_x000D_
-----------------------------_x000D_
   Valores Desconsiderados_x000D_
-----------------------------_x000D_
23 / 06_2 : 3 (10)_x000D_
_x000D_
  TOTAL   : ( 3 )</t>
        </r>
      </text>
    </comment>
    <comment ref="AB761" authorId="0" shapeId="0" xr:uid="{3EAE29F4-C64F-4625-8E21-1FC16032EC71}">
      <text>
        <r>
          <rPr>
            <sz val="10"/>
            <color indexed="81"/>
            <rFont val="Lucida Console"/>
            <family val="3"/>
          </rPr>
          <t>Última movimentação no estoque em 06/2023 quantidade 10.</t>
        </r>
      </text>
    </comment>
    <comment ref="R762" authorId="0" shapeId="0" xr:uid="{0D371C11-4635-4B6E-BF24-BBA9E2D4F26C}">
      <text>
        <r>
          <rPr>
            <sz val="10"/>
            <color indexed="81"/>
            <rFont val="Lucida Console"/>
            <family val="3"/>
          </rPr>
          <t>01.01.1901</t>
        </r>
      </text>
    </comment>
    <comment ref="Y762" authorId="0" shapeId="0" xr:uid="{FD7B24DA-EB97-4690-8827-98832F49DA62}">
      <text>
        <r>
          <rPr>
            <sz val="10"/>
            <color indexed="81"/>
            <rFont val="Courier New"/>
            <family val="3"/>
          </rPr>
          <t>_x000D_
    DESCRIÇÃO DO CÁLCULO_x000D_
Código    : 15.673_x000D_
Corte     : 20_x000D_
-----------------------------_x000D_
Pendente  : _x000D_
22 / 08_2 : _x000D_
22 / 09_2 : 5_x000D_
22 / 10_2 : _x000D_
22 / 11_2 : 6_x000D_
22 / 12_2 : 12_x000D_
23 / 01_2 : 20_x000D_
23 / 02_2 : _x000D_
23 / 03_2 : _x000D_
23 / 04_2 : _x000D_
23 / 05_2 : _x000D_
23 / 06_2 : 20_x000D_
23 / 07_2 : _x000D_
_x000D_
    TOTAL : ( 63 )_x000D_
  DIVISOR : 12_x000D_
    MÉDIA : 5,25</t>
        </r>
      </text>
    </comment>
    <comment ref="AB762" authorId="0" shapeId="0" xr:uid="{ECF0EA75-FA4C-4630-8EE5-EF9CB61AFCF2}">
      <text>
        <r>
          <rPr>
            <sz val="10"/>
            <color indexed="81"/>
            <rFont val="Lucida Console"/>
            <family val="3"/>
          </rPr>
          <t>Última movimentação no estoque em 06/2023 quantidade 20.</t>
        </r>
      </text>
    </comment>
    <comment ref="R763" authorId="0" shapeId="0" xr:uid="{65494117-C6A7-46A3-8846-FD06EEC846F3}">
      <text>
        <r>
          <rPr>
            <sz val="10"/>
            <color indexed="81"/>
            <rFont val="Lucida Console"/>
            <family val="3"/>
          </rPr>
          <t>01.01.1901</t>
        </r>
      </text>
    </comment>
    <comment ref="Y763" authorId="0" shapeId="0" xr:uid="{CD320AEB-6340-4C93-A4A0-D4E22643449C}">
      <text>
        <r>
          <rPr>
            <sz val="10"/>
            <color indexed="81"/>
            <rFont val="Courier New"/>
            <family val="3"/>
          </rPr>
          <t>_x000D_
    DESCRIÇÃO DO CÁLCULO_x000D_
Código    : 15.664_x000D_
Corte     : 5_x000D_
-----------------------------_x000D_
Pendente  : _x000D_
22 / 08_2 : _x000D_
22 / 09_2 : _x000D_
22 / 10_2 : _x000D_
22 / 11_2 : 5 (corte = 9)_x000D_
22 / 12_2 : _x000D_
23 / 01_2 : _x000D_
23 / 02_2 : _x000D_
23 / 03_2 : _x000D_
23 / 04_2 : _x000D_
23 / 05_2 : _x000D_
23 / 06_2 : _x000D_
23 / 07_2 : _x000D_
_x000D_
    TOTAL : ( 5 )_x000D_
  DIVISOR : 12_x000D_
    MÉDIA : ,42_x000D_
-----------------------------_x000D_
   Valores Desconsiderados_x000D_
-----------------------------_x000D_
22 / 11_2 : 4 (9)_x000D_
_x000D_
  TOTAL   : ( 4 )</t>
        </r>
      </text>
    </comment>
    <comment ref="AB763" authorId="0" shapeId="0" xr:uid="{A09A36C3-6529-49FF-A118-C26578A94BD5}">
      <text>
        <r>
          <rPr>
            <sz val="10"/>
            <color indexed="81"/>
            <rFont val="Lucida Console"/>
            <family val="3"/>
          </rPr>
          <t>Última movimentação no estoque em 11/2022 quantidade 9.</t>
        </r>
      </text>
    </comment>
    <comment ref="R764" authorId="0" shapeId="0" xr:uid="{BB760566-7549-4208-A091-E1AF7AFFBE38}">
      <text>
        <r>
          <rPr>
            <sz val="10"/>
            <color indexed="81"/>
            <rFont val="Lucida Console"/>
            <family val="3"/>
          </rPr>
          <t>01.01.1901</t>
        </r>
      </text>
    </comment>
    <comment ref="Y764" authorId="0" shapeId="0" xr:uid="{FD0AA17E-4A4A-4495-B066-D2148DCE03A6}">
      <text>
        <r>
          <rPr>
            <sz val="10"/>
            <color indexed="81"/>
            <rFont val="Courier New"/>
            <family val="3"/>
          </rPr>
          <t>_x000D_
    DESCRIÇÃO DO CÁLCULO_x000D_
Código    : 15.668_x000D_
Corte     : 9_x000D_
-----------------------------_x000D_
Pendente  : _x000D_
22 / 08_2 : 9 (corte = 10)_x000D_
22 / 09_2 : _x000D_
22 / 10_2 : _x000D_
22 / 11_2 : _x000D_
22 / 12_2 : 9 (corte = 10)_x000D_
23 / 01_2 : _x000D_
23 / 02_2 : _x000D_
23 / 03_2 : _x000D_
23 / 04_2 : _x000D_
23 / 05_2 : _x000D_
23 / 06_2 : _x000D_
23 / 07_2 : _x000D_
_x000D_
    TOTAL : ( 18 )_x000D_
  DIVISOR : 12_x000D_
    MÉDIA : 1,50_x000D_
-----------------------------_x000D_
   Valores Desconsiderados_x000D_
-----------------------------_x000D_
22 / 08_2 : 1 (10)_x000D_
22 / 12_2 : 1 (10)_x000D_
_x000D_
  TOTAL   : ( 2 )</t>
        </r>
      </text>
    </comment>
    <comment ref="AB764" authorId="0" shapeId="0" xr:uid="{BF95B87F-4CB7-4BEE-A5FB-B5E8F3F666DE}">
      <text>
        <r>
          <rPr>
            <sz val="10"/>
            <color indexed="81"/>
            <rFont val="Lucida Console"/>
            <family val="3"/>
          </rPr>
          <t>Última movimentação no estoque em 12/2022 quantidade 10.</t>
        </r>
      </text>
    </comment>
    <comment ref="R765" authorId="0" shapeId="0" xr:uid="{859B275D-2703-4265-AE37-526FC134CF7F}">
      <text>
        <r>
          <rPr>
            <sz val="10"/>
            <color indexed="81"/>
            <rFont val="Lucida Console"/>
            <family val="3"/>
          </rPr>
          <t>01.01.1901</t>
        </r>
      </text>
    </comment>
    <comment ref="Y765" authorId="0" shapeId="0" xr:uid="{DCF50B19-A387-4B83-A970-6B1CAE31420B}">
      <text>
        <r>
          <rPr>
            <sz val="10"/>
            <color indexed="81"/>
            <rFont val="Courier New"/>
            <family val="3"/>
          </rPr>
          <t>_x000D_
    DESCRIÇÃO DO CÁLCULO_x000D_
Código    : 15.672_x000D_
Corte     : 25_x000D_
-----------------------------_x000D_
Pendente  : 26_x000D_
22 / 08_2 : 8_x000D_
22 / 09_2 : _x000D_
22 / 10_2 : _x000D_
22 / 11_2 : _x000D_
22 / 12_2 : 10_x000D_
23 / 01_2 : 25 (corte = 26)_x000D_
23 / 02_2 : _x000D_
23 / 03_2 : _x000D_
23 / 04_2 : _x000D_
23 / 05_2 : _x000D_
23 / 06_2 : _x000D_
23 / 07_2 : _x000D_
_x000D_
    TOTAL : ( 69 )_x000D_
  DIVISOR : 12_x000D_
    MÉDIA : 5,75_x000D_
-----------------------------_x000D_
   Valores Desconsiderados_x000D_
-----------------------------_x000D_
23 / 01_2 : 1 (26)_x000D_
_x000D_
  TOTAL   : ( 1 )</t>
        </r>
      </text>
    </comment>
    <comment ref="AB765" authorId="0" shapeId="0" xr:uid="{CAFA1A2E-BFFC-4A5F-A91E-2BBE818C44A0}">
      <text>
        <r>
          <rPr>
            <sz val="10"/>
            <color indexed="81"/>
            <rFont val="Lucida Console"/>
            <family val="3"/>
          </rPr>
          <t>Última movimentação no estoque em 01/2023 quantidade 26.</t>
        </r>
      </text>
    </comment>
    <comment ref="R766" authorId="0" shapeId="0" xr:uid="{B8C8B58F-4201-4C44-9F01-5F2FF974DFEC}">
      <text>
        <r>
          <rPr>
            <sz val="10"/>
            <color indexed="81"/>
            <rFont val="Lucida Console"/>
            <family val="3"/>
          </rPr>
          <t>01.01.1901</t>
        </r>
      </text>
    </comment>
    <comment ref="Y766" authorId="0" shapeId="0" xr:uid="{A9062A97-35B4-495D-B029-EA1775B044D3}">
      <text>
        <r>
          <rPr>
            <sz val="10"/>
            <color indexed="81"/>
            <rFont val="Courier New"/>
            <family val="3"/>
          </rPr>
          <t>_x000D_
    DESCRIÇÃO DO CÁLCULO_x000D_
Código    : 15.680_x000D_
Corte     : 22_x000D_
-----------------------------_x000D_
Pendente  : _x000D_
22 / 08_2 : 12_x000D_
22 / 09_2 : _x000D_
22 / 10_2 : _x000D_
22 / 11_2 : 6_x000D_
22 / 12_2 : 10_x000D_
23 / 01_2 : _x000D_
23 / 02_2 : _x000D_
23 / 03_2 : _x000D_
23 / 04_2 : _x000D_
23 / 05_2 : _x000D_
23 / 06_2 : 22 (corte = 30)_x000D_
23 / 07_2 : _x000D_
_x000D_
    TOTAL : ( 50 )_x000D_
  DIVISOR : 12_x000D_
    MÉDIA : 4,17_x000D_
-----------------------------_x000D_
   Valores Desconsiderados_x000D_
-----------------------------_x000D_
23 / 06_2 : 8 (30)_x000D_
_x000D_
  TOTAL   : ( 8 )</t>
        </r>
      </text>
    </comment>
    <comment ref="AB766" authorId="0" shapeId="0" xr:uid="{E67CBA04-3104-48AC-9BB1-999296742AA7}">
      <text>
        <r>
          <rPr>
            <sz val="10"/>
            <color indexed="81"/>
            <rFont val="Lucida Console"/>
            <family val="3"/>
          </rPr>
          <t>Última movimentação no estoque em 06/2023 quantidade 30.</t>
        </r>
      </text>
    </comment>
    <comment ref="R767" authorId="0" shapeId="0" xr:uid="{60F1FC29-ADE4-4C41-9F1E-E29E01AAFB71}">
      <text>
        <r>
          <rPr>
            <sz val="10"/>
            <color indexed="81"/>
            <rFont val="Lucida Console"/>
            <family val="3"/>
          </rPr>
          <t>01.01.1901</t>
        </r>
      </text>
    </comment>
    <comment ref="Y767" authorId="0" shapeId="0" xr:uid="{85576BE2-5E08-4541-B21F-576F90F1E206}">
      <text>
        <r>
          <rPr>
            <sz val="10"/>
            <color indexed="81"/>
            <rFont val="Courier New"/>
            <family val="3"/>
          </rPr>
          <t>_x000D_
    DESCRIÇÃO DO CÁLCULO_x000D_
Código    : 29.952_x000D_
Corte     : 1.344_x000D_
-----------------------------_x000D_
Pendente  : 234_x000D_
22 / 08_2 : 232_x000D_
22 / 09_2 : 284_x000D_
22 / 10_2 : 251_x000D_
22 / 11_2 : 276_x000D_
22 / 12_2 : 444_x000D_
23 / 01_2 : 136_x000D_
23 / 02_2 : 242_x000D_
23 / 03_2 : 1.344 (corte = 1902)_x000D_
23 / 04_2 : 77_x000D_
23 / 05_2 : 327_x000D_
23 / 06_2 : 294_x000D_
23 / 07_2 : 285_x000D_
_x000D_
    TOTAL : ( 4.426 )_x000D_
  DIVISOR : 12_x000D_
    MÉDIA : 368,83_x000D_
-----------------------------_x000D_
   Valores Desconsiderados_x000D_
-----------------------------_x000D_
23 / 03_2 : 558 (1.902)_x000D_
_x000D_
  TOTAL   : ( 558 )</t>
        </r>
      </text>
    </comment>
    <comment ref="AB767" authorId="0" shapeId="0" xr:uid="{BC5F76D4-0AF8-4E44-A0AB-7B2401542A96}">
      <text>
        <r>
          <rPr>
            <sz val="10"/>
            <color indexed="81"/>
            <rFont val="Lucida Console"/>
            <family val="3"/>
          </rPr>
          <t>Última movimentação no estoque em 07/2023 quantidade 285.</t>
        </r>
      </text>
    </comment>
    <comment ref="R768" authorId="0" shapeId="0" xr:uid="{F7D3D2D0-3D66-4489-B232-E5FE82440CC0}">
      <text>
        <r>
          <rPr>
            <sz val="10"/>
            <color indexed="81"/>
            <rFont val="Lucida Console"/>
            <family val="3"/>
          </rPr>
          <t>12.09.2019</t>
        </r>
      </text>
    </comment>
    <comment ref="Y768" authorId="0" shapeId="0" xr:uid="{57E34889-5E73-43FD-A08E-4017409CEE20}">
      <text>
        <r>
          <rPr>
            <sz val="10"/>
            <color indexed="81"/>
            <rFont val="Courier New"/>
            <family val="3"/>
          </rPr>
          <t>_x000D_
    DESCRIÇÃO DO CÁLCULO_x000D_
Código    : 138.471_x000D_
Corte     : 3.353_x000D_
-----------------------------_x000D_
Pendente  : 124_x000D_
22 / 08_2 : 668_x000D_
22 / 09_2 : 690_x000D_
22 / 10_2 : 735_x000D_
22 / 11_2 : 714_x000D_
22 / 12_2 : 188_x000D_
23 / 01_2 : 173_x000D_
23 / 02_2 : 454_x000D_
23 / 03_2 : 3.353 (corte = 4848)_x000D_
23 / 04_2 : 570_x000D_
23 / 05_2 : 491_x000D_
23 / 06_2 : 606_x000D_
23 / 07_2 : 613_x000D_
_x000D_
    TOTAL : ( 9.379 )_x000D_
  DIVISOR : 12_x000D_
    MÉDIA : 781,58_x000D_
-----------------------------_x000D_
   Valores Desconsiderados_x000D_
-----------------------------_x000D_
23 / 03_2 : 1.495 (4.848)_x000D_
_x000D_
  TOTAL   : ( 1.495 )</t>
        </r>
      </text>
    </comment>
    <comment ref="AB768" authorId="0" shapeId="0" xr:uid="{69788177-0586-4706-AA7B-7E8F7B12DAE5}">
      <text>
        <r>
          <rPr>
            <sz val="10"/>
            <color indexed="81"/>
            <rFont val="Lucida Console"/>
            <family val="3"/>
          </rPr>
          <t>Última movimentação no estoque em 07/2023 quantidade 613.</t>
        </r>
      </text>
    </comment>
    <comment ref="R769" authorId="0" shapeId="0" xr:uid="{6526D0A8-36B9-4C88-93CD-1B1DDD48A823}">
      <text>
        <r>
          <rPr>
            <sz val="10"/>
            <color indexed="81"/>
            <rFont val="Lucida Console"/>
            <family val="3"/>
          </rPr>
          <t>13.02.2009</t>
        </r>
      </text>
    </comment>
    <comment ref="Y769" authorId="0" shapeId="0" xr:uid="{8CE34829-F840-4AFA-AA3C-FDD8413E83F5}">
      <text>
        <r>
          <rPr>
            <sz val="10"/>
            <color indexed="81"/>
            <rFont val="Courier New"/>
            <family val="3"/>
          </rPr>
          <t>_x000D_
    DESCRIÇÃO DO CÁLCULO_x000D_
Código    : 109.848_x000D_
Corte     : 28_x000D_
-----------------------------_x000D_
Pendente  : _x000D_
22 / 08_2 : _x000D_
22 / 09_2 : 27_x000D_
22 / 10_2 : 13_x000D_
22 / 11_2 : 25_x000D_
22 / 12_2 : 18_x000D_
23 / 01_2 : _x000D_
23 / 02_2 : 2_x000D_
23 / 03_2 : 5_x000D_
23 / 04_2 : _x000D_
23 / 05_2 : _x000D_
23 / 06_2 : _x000D_
23 / 07_2 : _x000D_
_x000D_
    TOTAL : ( 90 )_x000D_
  DIVISOR : 12_x000D_
    MÉDIA : 7,50</t>
        </r>
      </text>
    </comment>
    <comment ref="AB769" authorId="0" shapeId="0" xr:uid="{8EDD4B4E-FBB1-4FF1-BAD6-9E46D2173CA3}">
      <text>
        <r>
          <rPr>
            <sz val="10"/>
            <color indexed="81"/>
            <rFont val="Lucida Console"/>
            <family val="3"/>
          </rPr>
          <t>Última movimentação no estoque em 03/2023 quantidade 5.</t>
        </r>
      </text>
    </comment>
    <comment ref="R770" authorId="0" shapeId="0" xr:uid="{346F2C97-9B7E-42B3-85B0-C4908DF50D85}">
      <text>
        <r>
          <rPr>
            <sz val="10"/>
            <color indexed="81"/>
            <rFont val="Lucida Console"/>
            <family val="3"/>
          </rPr>
          <t>08.07.2014</t>
        </r>
      </text>
    </comment>
    <comment ref="Y770" authorId="0" shapeId="0" xr:uid="{265BABF7-543E-4E9F-8C1D-330D5582B47F}">
      <text>
        <r>
          <rPr>
            <sz val="10"/>
            <color indexed="81"/>
            <rFont val="Courier New"/>
            <family val="3"/>
          </rPr>
          <t>_x000D_
    DESCRIÇÃO DO CÁLCULO_x000D_
Código    : 128.287_x000D_
Corte     : 85_x000D_
-----------------------------_x000D_
Pendente  : 24_x000D_
22 / 08_2 : 54_x000D_
22 / 09_2 : 40_x000D_
22 / 10_2 : 74_x000D_
22 / 11_2 : 50_x000D_
22 / 12_2 : 42_x000D_
23 / 01_2 : 68_x000D_
23 / 02_2 : 26_x000D_
23 / 03_2 : 23_x000D_
23 / 04_2 : _x000D_
23 / 05_2 : _x000D_
23 / 06_2 : _x000D_
23 / 07_2 : _x000D_
_x000D_
    TOTAL : ( 401 )_x000D_
  DIVISOR : 12_x000D_
    MÉDIA : 33,42</t>
        </r>
      </text>
    </comment>
    <comment ref="AB770" authorId="0" shapeId="0" xr:uid="{442AE25A-6E18-4945-B989-F5219124879A}">
      <text>
        <r>
          <rPr>
            <sz val="10"/>
            <color indexed="81"/>
            <rFont val="Lucida Console"/>
            <family val="3"/>
          </rPr>
          <t>Última movimentação no estoque em 03/2023 quantidade 23.</t>
        </r>
      </text>
    </comment>
    <comment ref="R771" authorId="0" shapeId="0" xr:uid="{131BC04D-8D9A-4727-BB1D-B90BCB8E05F9}">
      <text>
        <r>
          <rPr>
            <sz val="10"/>
            <color indexed="81"/>
            <rFont val="Lucida Console"/>
            <family val="3"/>
          </rPr>
          <t>01.01.1901</t>
        </r>
      </text>
    </comment>
    <comment ref="Y771" authorId="0" shapeId="0" xr:uid="{D97BA24C-CBD1-46A4-A9BE-E755800B72DE}">
      <text>
        <r>
          <rPr>
            <sz val="10"/>
            <color indexed="81"/>
            <rFont val="Courier New"/>
            <family val="3"/>
          </rPr>
          <t>_x000D_
    DESCRIÇÃO DO CÁLCULO_x000D_
Código    : 15.813_x000D_
Corte     : 1.592_x000D_
-----------------------------_x000D_
Pendente  : _x000D_
22 / 08_2 : 700_x000D_
22 / 09_2 : 430_x000D_
22 / 10_2 : 1.592 (corte = 1635)_x000D_
22 / 11_2 : 50_x000D_
22 / 12_2 : 520_x000D_
23 / 01_2 : 615_x000D_
23 / 02_2 : 565_x000D_
23 / 03_2 : 515_x000D_
23 / 04_2 : 85_x000D_
23 / 05_2 : 950_x000D_
23 / 06_2 : 1.350_x000D_
23 / 07_2 : 200_x000D_
_x000D_
    TOTAL : ( 7.572 )_x000D_
  DIVISOR : 12_x000D_
    MÉDIA : 631,00_x000D_
-----------------------------_x000D_
   Valores Desconsiderados_x000D_
-----------------------------_x000D_
22 / 10_2 : 43 (1.635)_x000D_
_x000D_
  TOTAL   : ( 43 )</t>
        </r>
      </text>
    </comment>
    <comment ref="AB771" authorId="0" shapeId="0" xr:uid="{FF7D6AF9-443F-4A37-A369-5AE0E7A6EA7E}">
      <text>
        <r>
          <rPr>
            <sz val="10"/>
            <color indexed="81"/>
            <rFont val="Lucida Console"/>
            <family val="3"/>
          </rPr>
          <t>Última movimentação no estoque em 07/2023 quantidade 200.</t>
        </r>
      </text>
    </comment>
    <comment ref="R772" authorId="0" shapeId="0" xr:uid="{3262F060-4D06-47A9-B856-FDDE920FDCD3}">
      <text>
        <r>
          <rPr>
            <sz val="10"/>
            <color indexed="81"/>
            <rFont val="Lucida Console"/>
            <family val="3"/>
          </rPr>
          <t>24.02.2011</t>
        </r>
      </text>
    </comment>
    <comment ref="Y772" authorId="0" shapeId="0" xr:uid="{5F5DA05F-7785-40BF-BA17-71180560886C}">
      <text>
        <r>
          <rPr>
            <sz val="10"/>
            <color indexed="81"/>
            <rFont val="Courier New"/>
            <family val="3"/>
          </rPr>
          <t>_x000D_
    DESCRIÇÃO DO CÁLCULO_x000D_
Código    : 119.318_x000D_
Corte     : 34_x000D_
-----------------------------_x000D_
Pendente  : 2_x000D_
22 / 08_2 : 9_x000D_
22 / 09_2 : 18_x000D_
22 / 10_2 : 9_x000D_
22 / 11_2 : 16_x000D_
22 / 12_2 : 4_x000D_
23 / 01_2 : 8_x000D_
23 / 02_2 : 10_x000D_
23 / 03_2 : 31_x000D_
23 / 04_2 : 25_x000D_
23 / 05_2 : 26_x000D_
23 / 06_2 : 22_x000D_
23 / 07_2 : 17_x000D_
_x000D_
    TOTAL : ( 197 )_x000D_
  DIVISOR : 12_x000D_
    MÉDIA : 16,42</t>
        </r>
      </text>
    </comment>
    <comment ref="AB772" authorId="0" shapeId="0" xr:uid="{CB5EE099-CD37-45D4-B60E-506BEDE0F4E9}">
      <text>
        <r>
          <rPr>
            <sz val="10"/>
            <color indexed="81"/>
            <rFont val="Lucida Console"/>
            <family val="3"/>
          </rPr>
          <t>Última movimentação no estoque em 07/2023 quantidade 17.</t>
        </r>
      </text>
    </comment>
    <comment ref="R773" authorId="0" shapeId="0" xr:uid="{B6CA1819-C2DE-4CBF-8C18-40F1C46030A3}">
      <text>
        <r>
          <rPr>
            <sz val="10"/>
            <color indexed="81"/>
            <rFont val="Lucida Console"/>
            <family val="3"/>
          </rPr>
          <t>01.01.1901</t>
        </r>
      </text>
    </comment>
    <comment ref="Y773" authorId="0" shapeId="0" xr:uid="{AF604243-9734-4034-97E0-E0FA8960E0E2}">
      <text>
        <r>
          <rPr>
            <sz val="10"/>
            <color indexed="81"/>
            <rFont val="Courier New"/>
            <family val="3"/>
          </rPr>
          <t>_x000D_
    DESCRIÇÃO DO CÁLCULO_x000D_
Código    : 14.737_x000D_
Corte     : 3_x000D_
-----------------------------_x000D_
Pendente  : _x000D_
22 / 08_2 : 1_x000D_
22 / 09_2 : 2_x000D_
22 / 10_2 : 3_x000D_
22 / 11_2 : _x000D_
22 / 12_2 : _x000D_
23 / 01_2 : 2_x000D_
23 / 02_2 : 2_x000D_
23 / 03_2 : 3_x000D_
23 / 04_2 : _x000D_
23 / 05_2 : _x000D_
23 / 06_2 : _x000D_
23 / 07_2 : _x000D_
_x000D_
    TOTAL : ( 13 )_x000D_
  DIVISOR : 12_x000D_
    MÉDIA : 1,08</t>
        </r>
      </text>
    </comment>
    <comment ref="AB773" authorId="0" shapeId="0" xr:uid="{8A9C0835-1A29-4BC4-8E33-E0763B806772}">
      <text>
        <r>
          <rPr>
            <sz val="10"/>
            <color indexed="81"/>
            <rFont val="Lucida Console"/>
            <family val="3"/>
          </rPr>
          <t>Última movimentação no estoque em 03/2023 quantidade 3.</t>
        </r>
      </text>
    </comment>
    <comment ref="R774" authorId="0" shapeId="0" xr:uid="{C47AD472-97EB-4FE0-9982-3D33E4EEA3E6}">
      <text>
        <r>
          <rPr>
            <sz val="10"/>
            <color indexed="81"/>
            <rFont val="Lucida Console"/>
            <family val="3"/>
          </rPr>
          <t>08.09.2005</t>
        </r>
      </text>
    </comment>
    <comment ref="Y774" authorId="0" shapeId="0" xr:uid="{B43B745F-8844-4980-A147-935E2888C77B}">
      <text>
        <r>
          <rPr>
            <sz val="10"/>
            <color indexed="81"/>
            <rFont val="Courier New"/>
            <family val="3"/>
          </rPr>
          <t>_x000D_
    DESCRIÇÃO DO CÁLCULO_x000D_
Código    : 87.586_x000D_
Corte     : 12_x000D_
-----------------------------_x000D_
Pendente  : _x000D_
22 / 08_2 : _x000D_
22 / 09_2 : 12 (corte = 15)_x000D_
22 / 10_2 : 11_x000D_
22 / 11_2 : _x000D_
22 / 12_2 : _x000D_
23 / 01_2 : _x000D_
23 / 02_2 : _x000D_
23 / 03_2 : _x000D_
23 / 04_2 : _x000D_
23 / 05_2 : _x000D_
23 / 06_2 : _x000D_
23 / 07_2 : _x000D_
_x000D_
    TOTAL : ( 23 )_x000D_
  DIVISOR : 12_x000D_
    MÉDIA : 1,92_x000D_
-----------------------------_x000D_
   Valores Desconsiderados_x000D_
-----------------------------_x000D_
22 / 09_2 : 3 (15)_x000D_
_x000D_
  TOTAL   : ( 3 )</t>
        </r>
      </text>
    </comment>
    <comment ref="AB774" authorId="0" shapeId="0" xr:uid="{90853F04-DA7C-4D58-966D-6DB77C94E552}">
      <text>
        <r>
          <rPr>
            <sz val="10"/>
            <color indexed="81"/>
            <rFont val="Lucida Console"/>
            <family val="3"/>
          </rPr>
          <t>Última movimentação no estoque em 10/2022 quantidade 11.</t>
        </r>
      </text>
    </comment>
    <comment ref="R775" authorId="0" shapeId="0" xr:uid="{7A2F963C-0706-4C3E-9F7C-FB46AEA8584E}">
      <text>
        <r>
          <rPr>
            <sz val="10"/>
            <color indexed="81"/>
            <rFont val="Lucida Console"/>
            <family val="3"/>
          </rPr>
          <t>01.01.1901</t>
        </r>
      </text>
    </comment>
    <comment ref="Y775" authorId="0" shapeId="0" xr:uid="{6ACD373D-46FD-4EE8-B87F-C3D9FECF4688}">
      <text>
        <r>
          <rPr>
            <sz val="10"/>
            <color indexed="81"/>
            <rFont val="Courier New"/>
            <family val="3"/>
          </rPr>
          <t>_x000D_
    DESCRIÇÃO DO CÁLCULO_x000D_
Código    : 69.229_x000D_
Corte     : 20_x000D_
-----------------------------_x000D_
Pendente  : _x000D_
22 / 08_2 : 7_x000D_
22 / 09_2 : 12_x000D_
22 / 10_2 : 9_x000D_
22 / 11_2 : 20 (corte = 25)_x000D_
22 / 12_2 : _x000D_
23 / 01_2 : _x000D_
23 / 02_2 : 3_x000D_
23 / 03_2 : _x000D_
23 / 04_2 : _x000D_
23 / 05_2 : _x000D_
23 / 06_2 : 1_x000D_
23 / 07_2 : 8_x000D_
_x000D_
    TOTAL : ( 60 )_x000D_
  DIVISOR : 12_x000D_
    MÉDIA : 5,00_x000D_
-----------------------------_x000D_
   Valores Desconsiderados_x000D_
-----------------------------_x000D_
22 / 11_2 : 5 (25)_x000D_
_x000D_
  TOTAL   : ( 5 )</t>
        </r>
      </text>
    </comment>
    <comment ref="AB775" authorId="0" shapeId="0" xr:uid="{82239B48-F295-4F7B-80F1-4FA71EA46D95}">
      <text>
        <r>
          <rPr>
            <sz val="10"/>
            <color indexed="81"/>
            <rFont val="Lucida Console"/>
            <family val="3"/>
          </rPr>
          <t>Última movimentação no estoque em 07/2023 quantidade 8.</t>
        </r>
      </text>
    </comment>
    <comment ref="R776" authorId="0" shapeId="0" xr:uid="{736668EE-B936-4911-9FDE-32820C5CCDC0}">
      <text>
        <r>
          <rPr>
            <sz val="10"/>
            <color indexed="81"/>
            <rFont val="Lucida Console"/>
            <family val="3"/>
          </rPr>
          <t>01.01.1901</t>
        </r>
      </text>
    </comment>
    <comment ref="Y776" authorId="0" shapeId="0" xr:uid="{809DB0EA-1251-48B9-92B2-B2CF3EC97982}">
      <text>
        <r>
          <rPr>
            <sz val="10"/>
            <color indexed="81"/>
            <rFont val="Courier New"/>
            <family val="3"/>
          </rPr>
          <t>_x000D_
    DESCRIÇÃO DO CÁLCULO_x000D_
Código    : 20.760_x000D_
Corte     : 23_x000D_
-----------------------------_x000D_
Pendente  : 1_x000D_
22 / 08_2 : 4_x000D_
22 / 09_2 : 3_x000D_
22 / 10_2 : 12_x000D_
22 / 11_2 : _x000D_
22 / 12_2 : 7_x000D_
23 / 01_2 : 23 (corte = 25)_x000D_
23 / 02_2 : 16_x000D_
23 / 03_2 : 15_x000D_
23 / 04_2 : 9_x000D_
23 / 05_2 : _x000D_
23 / 06_2 : 5_x000D_
23 / 07_2 : 8_x000D_
_x000D_
    TOTAL : ( 103 )_x000D_
  DIVISOR : 12_x000D_
    MÉDIA : 8,58_x000D_
-----------------------------_x000D_
   Valores Desconsiderados_x000D_
-----------------------------_x000D_
23 / 01_2 : 2 (25)_x000D_
_x000D_
  TOTAL   : ( 2 )</t>
        </r>
      </text>
    </comment>
    <comment ref="AB776" authorId="0" shapeId="0" xr:uid="{78D9566C-6802-4BD7-95E9-D624BA3D7C1F}">
      <text>
        <r>
          <rPr>
            <sz val="10"/>
            <color indexed="81"/>
            <rFont val="Lucida Console"/>
            <family val="3"/>
          </rPr>
          <t>Última movimentação no estoque em 07/2023 quantidade 8.</t>
        </r>
      </text>
    </comment>
    <comment ref="R777" authorId="0" shapeId="0" xr:uid="{CA817CAB-0780-455B-9B75-C739480CD642}">
      <text>
        <r>
          <rPr>
            <sz val="10"/>
            <color indexed="81"/>
            <rFont val="Lucida Console"/>
            <family val="3"/>
          </rPr>
          <t>01.01.1901</t>
        </r>
      </text>
    </comment>
    <comment ref="Y777" authorId="0" shapeId="0" xr:uid="{9517EC3B-333F-4564-BB75-41CE459E34D1}">
      <text>
        <r>
          <rPr>
            <sz val="10"/>
            <color indexed="81"/>
            <rFont val="Courier New"/>
            <family val="3"/>
          </rPr>
          <t>_x000D_
    DESCRIÇÃO DO CÁLCULO_x000D_
Código    : 20.763_x000D_
Corte     : 9_x000D_
-----------------------------_x000D_
Pendente  : _x000D_
22 / 08_2 : 9_x000D_
22 / 09_2 : 5_x000D_
22 / 10_2 : _x000D_
22 / 11_2 : 8_x000D_
22 / 12_2 : _x000D_
23 / 01_2 : _x000D_
23 / 02_2 : 1_x000D_
23 / 03_2 : 2_x000D_
23 / 04_2 : 1_x000D_
23 / 05_2 : _x000D_
23 / 06_2 : 6_x000D_
23 / 07_2 : 2_x000D_
_x000D_
    TOTAL : ( 34 )_x000D_
  DIVISOR : 12_x000D_
    MÉDIA : 2,83</t>
        </r>
      </text>
    </comment>
    <comment ref="AB777" authorId="0" shapeId="0" xr:uid="{8151E8C9-01BC-44BD-B435-6142927F2C35}">
      <text>
        <r>
          <rPr>
            <sz val="10"/>
            <color indexed="81"/>
            <rFont val="Lucida Console"/>
            <family val="3"/>
          </rPr>
          <t>Última movimentação no estoque em 07/2023 quantidade 2.</t>
        </r>
      </text>
    </comment>
    <comment ref="R778" authorId="0" shapeId="0" xr:uid="{C990E024-9C80-4C67-88FD-0BBFB300DBDE}">
      <text>
        <r>
          <rPr>
            <sz val="10"/>
            <color indexed="81"/>
            <rFont val="Lucida Console"/>
            <family val="3"/>
          </rPr>
          <t>24.06.2021</t>
        </r>
      </text>
    </comment>
    <comment ref="Y778" authorId="0" shapeId="0" xr:uid="{6220C304-99B5-4060-A997-D2F0CB442577}">
      <text>
        <r>
          <rPr>
            <sz val="10"/>
            <color indexed="81"/>
            <rFont val="Courier New"/>
            <family val="3"/>
          </rPr>
          <t>_x000D_
    DESCRIÇÃO DO CÁLCULO_x000D_
Código    : 141.608_x000D_
Corte     : 3_x000D_
-----------------------------_x000D_
Pendente  : _x000D_
22 / 08_2 : _x000D_
22 / 09_2 : _x000D_
22 / 10_2 : _x000D_
22 / 11_2 : _x000D_
22 / 12_2 : _x000D_
23 / 01_2 : 3 (corte = 4)_x000D_
23 / 02_2 : _x000D_
23 / 03_2 : 1_x000D_
23 / 04_2 : _x000D_
23 / 05_2 : 3_x000D_
23 / 06_2 : _x000D_
23 / 07_2 : _x000D_
_x000D_
    TOTAL : ( 7 )_x000D_
  DIVISOR : 12_x000D_
    MÉDIA : ,58_x000D_
-----------------------------_x000D_
   Valores Desconsiderados_x000D_
-----------------------------_x000D_
23 / 01_2 : 1 (4)_x000D_
_x000D_
  TOTAL   : ( 1 )</t>
        </r>
      </text>
    </comment>
    <comment ref="AB778" authorId="0" shapeId="0" xr:uid="{69746E45-5701-4A3B-874D-9512AF2F97FC}">
      <text>
        <r>
          <rPr>
            <sz val="10"/>
            <color indexed="81"/>
            <rFont val="Lucida Console"/>
            <family val="3"/>
          </rPr>
          <t>Última movimentação no estoque em 05/2023 quantidade 3.</t>
        </r>
      </text>
    </comment>
    <comment ref="R779" authorId="0" shapeId="0" xr:uid="{345B26A1-405F-499C-9BBA-C082C0FDB122}">
      <text>
        <r>
          <rPr>
            <sz val="10"/>
            <color indexed="81"/>
            <rFont val="Lucida Console"/>
            <family val="3"/>
          </rPr>
          <t>01.01.1901</t>
        </r>
      </text>
    </comment>
    <comment ref="Y779" authorId="0" shapeId="0" xr:uid="{94FA9E52-7741-4E00-9F2D-39E8AE9E1EA0}">
      <text>
        <r>
          <rPr>
            <sz val="10"/>
            <color indexed="81"/>
            <rFont val="Courier New"/>
            <family val="3"/>
          </rPr>
          <t>_x000D_
    DESCRIÇÃO DO CÁLCULO_x000D_
Código    : 57.900_x000D_
Corte     : 8_x000D_
-----------------------------_x000D_
Pendente  : 3_x000D_
22 / 08_2 : _x000D_
22 / 09_2 : _x000D_
22 / 10_2 : 3_x000D_
22 / 11_2 : 1_x000D_
22 / 12_2 : 8 (corte = 10)_x000D_
23 / 01_2 : 5_x000D_
23 / 02_2 : 5_x000D_
23 / 03_2 : 1_x000D_
23 / 04_2 : 3_x000D_
23 / 05_2 : _x000D_
23 / 06_2 : _x000D_
23 / 07_2 : _x000D_
_x000D_
    TOTAL : ( 29 )_x000D_
  DIVISOR : 12_x000D_
    MÉDIA : 2,42_x000D_
-----------------------------_x000D_
   Valores Desconsiderados_x000D_
-----------------------------_x000D_
22 / 12_2 : 2 (10)_x000D_
_x000D_
  TOTAL   : ( 2 )</t>
        </r>
      </text>
    </comment>
    <comment ref="AB779" authorId="0" shapeId="0" xr:uid="{8557D776-6B00-4D0C-AFEA-1E2223DEE06C}">
      <text>
        <r>
          <rPr>
            <sz val="10"/>
            <color indexed="81"/>
            <rFont val="Lucida Console"/>
            <family val="3"/>
          </rPr>
          <t>Última movimentação no estoque em 04/2023 quantidade 3.</t>
        </r>
      </text>
    </comment>
    <comment ref="R780" authorId="0" shapeId="0" xr:uid="{F9CC2B24-2874-4CED-9732-5133D7C4C00E}">
      <text>
        <r>
          <rPr>
            <sz val="10"/>
            <color indexed="81"/>
            <rFont val="Lucida Console"/>
            <family val="3"/>
          </rPr>
          <t>28.06.2021</t>
        </r>
      </text>
    </comment>
    <comment ref="Y780" authorId="0" shapeId="0" xr:uid="{8B614E67-0ED7-492E-8D4C-6FC625E43C60}">
      <text>
        <r>
          <rPr>
            <sz val="10"/>
            <color indexed="81"/>
            <rFont val="Courier New"/>
            <family val="3"/>
          </rPr>
          <t>_x000D_
    DESCRIÇÃO DO CÁLCULO_x000D_
Código    : 141.679_x000D_
Corte     : 20_x000D_
-----------------------------_x000D_
Pendente  : _x000D_
22 / 08_2 : 20 (corte = 25)_x000D_
22 / 09_2 : 2_x000D_
22 / 10_2 : _x000D_
22 / 11_2 : _x000D_
22 / 12_2 : 3_x000D_
23 / 01_2 : 8_x000D_
23 / 02_2 : _x000D_
23 / 03_2 : 14_x000D_
23 / 04_2 : 7_x000D_
23 / 05_2 : 3_x000D_
23 / 06_2 : 7_x000D_
23 / 07_2 : 3_x000D_
_x000D_
    TOTAL : ( 67 )_x000D_
  DIVISOR : 12_x000D_
    MÉDIA : 5,58_x000D_
-----------------------------_x000D_
   Valores Desconsiderados_x000D_
-----------------------------_x000D_
22 / 08_2 : 5 (25)_x000D_
_x000D_
  TOTAL   : ( 5 )</t>
        </r>
      </text>
    </comment>
    <comment ref="AB780" authorId="0" shapeId="0" xr:uid="{5004E74A-6389-4090-AB3E-6D335AE1161C}">
      <text>
        <r>
          <rPr>
            <sz val="10"/>
            <color indexed="81"/>
            <rFont val="Lucida Console"/>
            <family val="3"/>
          </rPr>
          <t>Última movimentação no estoque em 07/2023 quantidade 3.</t>
        </r>
      </text>
    </comment>
    <comment ref="R781" authorId="0" shapeId="0" xr:uid="{2CF8AA48-6323-4470-B1F8-D1FC00A7F11B}">
      <text>
        <r>
          <rPr>
            <sz val="10"/>
            <color indexed="81"/>
            <rFont val="Lucida Console"/>
            <family val="3"/>
          </rPr>
          <t>28.06.2021</t>
        </r>
      </text>
    </comment>
    <comment ref="Y781" authorId="0" shapeId="0" xr:uid="{33437790-1A3B-4E00-B6DA-57EEA97E676A}">
      <text>
        <r>
          <rPr>
            <sz val="10"/>
            <color indexed="81"/>
            <rFont val="Courier New"/>
            <family val="3"/>
          </rPr>
          <t>_x000D_
    DESCRIÇÃO DO CÁLCULO_x000D_
Código    : 141.680_x000D_
Corte     : 128_x000D_
-----------------------------_x000D_
Pendente  : _x000D_
22 / 08_2 : 85_x000D_
22 / 09_2 : 47_x000D_
22 / 10_2 : 71_x000D_
22 / 11_2 : 14_x000D_
22 / 12_2 : 4_x000D_
23 / 01_2 : 83_x000D_
23 / 02_2 : 42_x000D_
23 / 03_2 : 22_x000D_
23 / 04_2 : 31_x000D_
23 / 05_2 : 105_x000D_
23 / 06_2 : 72_x000D_
23 / 07_2 : 111_x000D_
_x000D_
    TOTAL : ( 687 )_x000D_
  DIVISOR : 12_x000D_
    MÉDIA : 57,25</t>
        </r>
      </text>
    </comment>
    <comment ref="AB781" authorId="0" shapeId="0" xr:uid="{CAA431DE-0703-4940-9D5B-4F4CA34DDDFE}">
      <text>
        <r>
          <rPr>
            <sz val="10"/>
            <color indexed="81"/>
            <rFont val="Lucida Console"/>
            <family val="3"/>
          </rPr>
          <t>Última movimentação no estoque em 07/2023 quantidade 111.</t>
        </r>
      </text>
    </comment>
    <comment ref="R782" authorId="0" shapeId="0" xr:uid="{975F9D5E-243F-495B-8532-4733E8514820}">
      <text>
        <r>
          <rPr>
            <sz val="10"/>
            <color indexed="81"/>
            <rFont val="Lucida Console"/>
            <family val="3"/>
          </rPr>
          <t>08.06.2021</t>
        </r>
      </text>
    </comment>
    <comment ref="Y782" authorId="0" shapeId="0" xr:uid="{D4ACF482-4B07-4013-8E04-F58087CD8D96}">
      <text>
        <r>
          <rPr>
            <sz val="10"/>
            <color indexed="81"/>
            <rFont val="Courier New"/>
            <family val="3"/>
          </rPr>
          <t>_x000D_
    DESCRIÇÃO DO CÁLCULO_x000D_
Código    : 141.268_x000D_
Corte     : 147_x000D_
-----------------------------_x000D_
Pendente  : _x000D_
22 / 08_2 : 64_x000D_
22 / 09_2 : 34_x000D_
22 / 10_2 : 111_x000D_
22 / 11_2 : 77_x000D_
22 / 12_2 : 81_x000D_
23 / 01_2 : 147 (corte = 168)_x000D_
23 / 02_2 : 58_x000D_
23 / 03_2 : 60_x000D_
23 / 04_2 : 27_x000D_
23 / 05_2 : 44_x000D_
23 / 06_2 : 54_x000D_
23 / 07_2 : 82_x000D_
_x000D_
    TOTAL : ( 839 )_x000D_
  DIVISOR : 12_x000D_
    MÉDIA : 69,92_x000D_
-----------------------------_x000D_
   Valores Desconsiderados_x000D_
-----------------------------_x000D_
23 / 01_2 : 21 (168)_x000D_
_x000D_
  TOTAL   : ( 21 )</t>
        </r>
      </text>
    </comment>
    <comment ref="AB782" authorId="0" shapeId="0" xr:uid="{E281D38A-556F-4B38-8D64-BDBC1ADFD1E2}">
      <text>
        <r>
          <rPr>
            <sz val="10"/>
            <color indexed="81"/>
            <rFont val="Lucida Console"/>
            <family val="3"/>
          </rPr>
          <t>Última movimentação no estoque em 07/2023 quantidade 82.</t>
        </r>
      </text>
    </comment>
    <comment ref="R783" authorId="0" shapeId="0" xr:uid="{693B532F-7F55-4C55-9574-2AD564EC6C4C}">
      <text>
        <r>
          <rPr>
            <sz val="10"/>
            <color indexed="81"/>
            <rFont val="Lucida Console"/>
            <family val="3"/>
          </rPr>
          <t>28.06.2021</t>
        </r>
      </text>
    </comment>
    <comment ref="Y783" authorId="0" shapeId="0" xr:uid="{937B9490-FA82-48F3-8C7F-B0DDD3A42FB5}">
      <text>
        <r>
          <rPr>
            <sz val="10"/>
            <color indexed="81"/>
            <rFont val="Courier New"/>
            <family val="3"/>
          </rPr>
          <t>_x000D_
    DESCRIÇÃO DO CÁLCULO_x000D_
Código    : 141.681_x000D_
Corte     : 8_x000D_
-----------------------------_x000D_
Pendente  : _x000D_
22 / 08_2 : 7_x000D_
22 / 09_2 : 2_x000D_
22 / 10_2 : 1_x000D_
22 / 11_2 : _x000D_
22 / 12_2 : _x000D_
23 / 01_2 : 1_x000D_
23 / 02_2 : _x000D_
23 / 03_2 : 5_x000D_
23 / 04_2 : 4_x000D_
23 / 05_2 : _x000D_
23 / 06_2 : 8_x000D_
23 / 07_2 : 1_x000D_
_x000D_
    TOTAL : ( 29 )_x000D_
  DIVISOR : 12_x000D_
    MÉDIA : 2,42</t>
        </r>
      </text>
    </comment>
    <comment ref="AB783" authorId="0" shapeId="0" xr:uid="{A87F5255-AC27-4777-977A-FC554252515E}">
      <text>
        <r>
          <rPr>
            <sz val="10"/>
            <color indexed="81"/>
            <rFont val="Lucida Console"/>
            <family val="3"/>
          </rPr>
          <t>Última movimentação no estoque em 07/2023 quantidade 1.</t>
        </r>
      </text>
    </comment>
    <comment ref="R784" authorId="0" shapeId="0" xr:uid="{B62E2CF4-D2F4-4549-BC2B-813E46CF8D73}">
      <text>
        <r>
          <rPr>
            <sz val="10"/>
            <color indexed="81"/>
            <rFont val="Lucida Console"/>
            <family val="3"/>
          </rPr>
          <t>08.06.2021</t>
        </r>
      </text>
    </comment>
    <comment ref="Y784" authorId="0" shapeId="0" xr:uid="{7CBCEBCF-04CD-4B38-B209-4F839982F41A}">
      <text>
        <r>
          <rPr>
            <sz val="10"/>
            <color indexed="81"/>
            <rFont val="Courier New"/>
            <family val="3"/>
          </rPr>
          <t>_x000D_
    DESCRIÇÃO DO CÁLCULO_x000D_
Código    : 141.265_x000D_
Corte     : 21_x000D_
-----------------------------_x000D_
Pendente  : _x000D_
22 / 08_2 : 9_x000D_
22 / 09_2 : 6_x000D_
22 / 10_2 : 11_x000D_
22 / 11_2 : _x000D_
22 / 12_2 : _x000D_
23 / 01_2 : 5_x000D_
23 / 02_2 : 12_x000D_
23 / 03_2 : 11_x000D_
23 / 04_2 : 5_x000D_
23 / 05_2 : 18_x000D_
23 / 06_2 : 20_x000D_
23 / 07_2 : 9_x000D_
_x000D_
    TOTAL : ( 106 )_x000D_
  DIVISOR : 12_x000D_
    MÉDIA : 8,83</t>
        </r>
      </text>
    </comment>
    <comment ref="AB784" authorId="0" shapeId="0" xr:uid="{8667B3EF-9598-4CB9-9399-294AF837E57D}">
      <text>
        <r>
          <rPr>
            <sz val="10"/>
            <color indexed="81"/>
            <rFont val="Lucida Console"/>
            <family val="3"/>
          </rPr>
          <t>Última movimentação no estoque em 07/2023 quantidade 9.</t>
        </r>
      </text>
    </comment>
    <comment ref="R785" authorId="0" shapeId="0" xr:uid="{B167142C-F20D-47BC-9A18-49053780E139}">
      <text>
        <r>
          <rPr>
            <sz val="10"/>
            <color indexed="81"/>
            <rFont val="Lucida Console"/>
            <family val="3"/>
          </rPr>
          <t>08.06.2021</t>
        </r>
      </text>
    </comment>
    <comment ref="Y785" authorId="0" shapeId="0" xr:uid="{535084EE-D2BA-495E-8F12-9B9C0AE30C5D}">
      <text>
        <r>
          <rPr>
            <sz val="10"/>
            <color indexed="81"/>
            <rFont val="Courier New"/>
            <family val="3"/>
          </rPr>
          <t>_x000D_
    DESCRIÇÃO DO CÁLCULO_x000D_
Código    : 141.266_x000D_
Corte     : 17_x000D_
-----------------------------_x000D_
Pendente  : _x000D_
22 / 08_2 : 10_x000D_
22 / 09_2 : 1_x000D_
22 / 10_2 : 2_x000D_
22 / 11_2 : 1_x000D_
22 / 12_2 : _x000D_
23 / 01_2 : _x000D_
23 / 02_2 : _x000D_
23 / 03_2 : 17 (corte = 22)_x000D_
23 / 04_2 : 6_x000D_
23 / 05_2 : 3_x000D_
23 / 06_2 : 8_x000D_
23 / 07_2 : 3_x000D_
_x000D_
    TOTAL : ( 51 )_x000D_
  DIVISOR : 12_x000D_
    MÉDIA : 4,25_x000D_
-----------------------------_x000D_
   Valores Desconsiderados_x000D_
-----------------------------_x000D_
23 / 03_2 : 5 (22)_x000D_
_x000D_
  TOTAL   : ( 5 )</t>
        </r>
      </text>
    </comment>
    <comment ref="AB785" authorId="0" shapeId="0" xr:uid="{DA902CD5-518B-4625-904B-B84DB83F4CD2}">
      <text>
        <r>
          <rPr>
            <sz val="10"/>
            <color indexed="81"/>
            <rFont val="Lucida Console"/>
            <family val="3"/>
          </rPr>
          <t>Última movimentação no estoque em 07/2023 quantidade 3.</t>
        </r>
      </text>
    </comment>
    <comment ref="R786" authorId="0" shapeId="0" xr:uid="{A8C48970-F157-478A-8CD8-E347DD5A5EA5}">
      <text>
        <r>
          <rPr>
            <sz val="10"/>
            <color indexed="81"/>
            <rFont val="Lucida Console"/>
            <family val="3"/>
          </rPr>
          <t>30.05.2008</t>
        </r>
      </text>
    </comment>
    <comment ref="Y786" authorId="0" shapeId="0" xr:uid="{5C11821A-2500-4F85-9F95-F488D8361739}">
      <text>
        <r>
          <rPr>
            <sz val="10"/>
            <color indexed="81"/>
            <rFont val="Courier New"/>
            <family val="3"/>
          </rPr>
          <t>_x000D_
    DESCRIÇÃO DO CÁLCULO_x000D_
Código    : 106.697_x000D_
Corte     : 1.136_x000D_
-----------------------------_x000D_
Pendente  : 2_x000D_
22 / 08_2 : 402_x000D_
22 / 09_2 : 451_x000D_
22 / 10_2 : 477_x000D_
22 / 11_2 : 395_x000D_
22 / 12_2 : 320_x000D_
23 / 01_2 : 88_x000D_
23 / 02_2 : 327_x000D_
23 / 03_2 : 1.136 (corte = 1483)_x000D_
23 / 04_2 : 263_x000D_
23 / 05_2 : 337_x000D_
23 / 06_2 : 348_x000D_
23 / 07_2 : 310_x000D_
_x000D_
    TOTAL : ( 4.856 )_x000D_
  DIVISOR : 12_x000D_
    MÉDIA : 404,67_x000D_
-----------------------------_x000D_
   Valores Desconsiderados_x000D_
-----------------------------_x000D_
23 / 03_2 : 347 (1.483)_x000D_
_x000D_
  TOTAL   : ( 347 )</t>
        </r>
      </text>
    </comment>
    <comment ref="AB786" authorId="0" shapeId="0" xr:uid="{46AFA10B-9DF5-45DE-BF5C-6FF50413F0F2}">
      <text>
        <r>
          <rPr>
            <sz val="10"/>
            <color indexed="81"/>
            <rFont val="Lucida Console"/>
            <family val="3"/>
          </rPr>
          <t>Última movimentação no estoque em 07/2023 quantidade 310.</t>
        </r>
      </text>
    </comment>
    <comment ref="R787" authorId="0" shapeId="0" xr:uid="{2563E07F-0F59-400A-8BCA-74387F6F50AE}">
      <text>
        <r>
          <rPr>
            <sz val="10"/>
            <color indexed="81"/>
            <rFont val="Lucida Console"/>
            <family val="3"/>
          </rPr>
          <t>27.04.2004</t>
        </r>
      </text>
    </comment>
    <comment ref="Y787" authorId="0" shapeId="0" xr:uid="{C0D6405C-0FCF-47A9-A4D1-E657215AB9B5}">
      <text>
        <r>
          <rPr>
            <sz val="10"/>
            <color indexed="81"/>
            <rFont val="Courier New"/>
            <family val="3"/>
          </rPr>
          <t>_x000D_
    DESCRIÇÃO DO CÁLCULO_x000D_
Código    : 78.641_x000D_
Corte     : 1.072_x000D_
-----------------------------_x000D_
Pendente  : 2_x000D_
22 / 08_2 : 334_x000D_
22 / 09_2 : 338_x000D_
22 / 10_2 : 429_x000D_
22 / 11_2 : 360_x000D_
22 / 12_2 : 331_x000D_
23 / 01_2 : 88_x000D_
23 / 02_2 : 262_x000D_
23 / 03_2 : 1.072 (corte = 1431)_x000D_
23 / 04_2 : 242_x000D_
23 / 05_2 : 334_x000D_
23 / 06_2 : 292_x000D_
23 / 07_2 : 230_x000D_
_x000D_
    TOTAL : ( 4.314 )_x000D_
  DIVISOR : 12_x000D_
    MÉDIA : 359,50_x000D_
-----------------------------_x000D_
   Valores Desconsiderados_x000D_
-----------------------------_x000D_
23 / 03_2 : 359 (1.431)_x000D_
_x000D_
  TOTAL   : ( 359 )</t>
        </r>
      </text>
    </comment>
    <comment ref="AB787" authorId="0" shapeId="0" xr:uid="{1F9FF51B-07CC-499F-9C53-13FAAF476F7B}">
      <text>
        <r>
          <rPr>
            <sz val="10"/>
            <color indexed="81"/>
            <rFont val="Lucida Console"/>
            <family val="3"/>
          </rPr>
          <t>Última movimentação no estoque em 07/2023 quantidade 230.</t>
        </r>
      </text>
    </comment>
    <comment ref="R788" authorId="0" shapeId="0" xr:uid="{F0FF45A7-373B-454D-BF7A-420F35C3424D}">
      <text>
        <r>
          <rPr>
            <sz val="10"/>
            <color indexed="81"/>
            <rFont val="Lucida Console"/>
            <family val="3"/>
          </rPr>
          <t>27.04.2004</t>
        </r>
      </text>
    </comment>
    <comment ref="Y788" authorId="0" shapeId="0" xr:uid="{B496290F-EC8B-4B45-AEFD-503286C6DD85}">
      <text>
        <r>
          <rPr>
            <sz val="10"/>
            <color indexed="81"/>
            <rFont val="Courier New"/>
            <family val="3"/>
          </rPr>
          <t>_x000D_
    DESCRIÇÃO DO CÁLCULO_x000D_
Código    : 78.642_x000D_
Corte     : 1.039_x000D_
-----------------------------_x000D_
Pendente  : 2_x000D_
22 / 08_2 : 303_x000D_
22 / 09_2 : 368_x000D_
22 / 10_2 : 383_x000D_
22 / 11_2 : 294_x000D_
22 / 12_2 : 272_x000D_
23 / 01_2 : 99_x000D_
23 / 02_2 : 262_x000D_
23 / 03_2 : 1.039 (corte = 1401)_x000D_
23 / 04_2 : 250_x000D_
23 / 05_2 : 293_x000D_
23 / 06_2 : 309_x000D_
23 / 07_2 : 218_x000D_
_x000D_
    TOTAL : ( 4.092 )_x000D_
  DIVISOR : 12_x000D_
    MÉDIA : 341,00_x000D_
-----------------------------_x000D_
   Valores Desconsiderados_x000D_
-----------------------------_x000D_
23 / 03_2 : 362 (1.401)_x000D_
_x000D_
  TOTAL   : ( 362 )</t>
        </r>
      </text>
    </comment>
    <comment ref="AB788" authorId="0" shapeId="0" xr:uid="{7FF7D0A8-9C5B-49F4-9224-23599123642F}">
      <text>
        <r>
          <rPr>
            <sz val="10"/>
            <color indexed="81"/>
            <rFont val="Lucida Console"/>
            <family val="3"/>
          </rPr>
          <t>Última movimentação no estoque em 07/2023 quantidade 218.</t>
        </r>
      </text>
    </comment>
    <comment ref="R789" authorId="0" shapeId="0" xr:uid="{00352593-4DBB-4535-8C0B-940FBEF555AB}">
      <text>
        <r>
          <rPr>
            <sz val="10"/>
            <color indexed="81"/>
            <rFont val="Lucida Console"/>
            <family val="3"/>
          </rPr>
          <t>27.04.2004</t>
        </r>
      </text>
    </comment>
    <comment ref="Y789" authorId="0" shapeId="0" xr:uid="{F5D7C21A-A506-4A8E-AE22-29C4D0734548}">
      <text>
        <r>
          <rPr>
            <sz val="10"/>
            <color indexed="81"/>
            <rFont val="Courier New"/>
            <family val="3"/>
          </rPr>
          <t>_x000D_
    DESCRIÇÃO DO CÁLCULO_x000D_
Código    : 78.643_x000D_
Corte     : 1.135_x000D_
-----------------------------_x000D_
Pendente  : 2_x000D_
22 / 08_2 : 405_x000D_
22 / 09_2 : 430_x000D_
22 / 10_2 : 487_x000D_
22 / 11_2 : 385_x000D_
22 / 12_2 : 311_x000D_
23 / 01_2 : 93_x000D_
23 / 02_2 : 322_x000D_
23 / 03_2 : 1.135 (corte = 1486)_x000D_
23 / 04_2 : 289_x000D_
23 / 05_2 : 306_x000D_
23 / 06_2 : 348_x000D_
23 / 07_2 : 307_x000D_
_x000D_
    TOTAL : ( 4.820 )_x000D_
  DIVISOR : 12_x000D_
    MÉDIA : 401,67_x000D_
-----------------------------_x000D_
   Valores Desconsiderados_x000D_
-----------------------------_x000D_
23 / 03_2 : 351 (1.486)_x000D_
_x000D_
  TOTAL   : ( 351 )</t>
        </r>
      </text>
    </comment>
    <comment ref="AB789" authorId="0" shapeId="0" xr:uid="{C045D288-E005-4B84-A5CA-6A07A0DC1B20}">
      <text>
        <r>
          <rPr>
            <sz val="10"/>
            <color indexed="81"/>
            <rFont val="Lucida Console"/>
            <family val="3"/>
          </rPr>
          <t>Última movimentação no estoque em 07/2023 quantidade 307.</t>
        </r>
      </text>
    </comment>
    <comment ref="R790" authorId="0" shapeId="0" xr:uid="{A7A0E245-CD8E-49C2-B14E-ABFDEA0BF274}">
      <text>
        <r>
          <rPr>
            <sz val="10"/>
            <color indexed="81"/>
            <rFont val="Lucida Console"/>
            <family val="3"/>
          </rPr>
          <t>27.04.2004</t>
        </r>
      </text>
    </comment>
    <comment ref="Y790" authorId="0" shapeId="0" xr:uid="{CE125550-77ED-4D56-9BDF-2A4DA5AE241A}">
      <text>
        <r>
          <rPr>
            <sz val="10"/>
            <color indexed="81"/>
            <rFont val="Courier New"/>
            <family val="3"/>
          </rPr>
          <t>_x000D_
    DESCRIÇÃO DO CÁLCULO_x000D_
Código    : 78.646_x000D_
Corte     : 1.174_x000D_
-----------------------------_x000D_
Pendente  : 2_x000D_
22 / 08_2 : 474_x000D_
22 / 09_2 : 446_x000D_
22 / 10_2 : 501_x000D_
22 / 11_2 : 488_x000D_
22 / 12_2 : 363_x000D_
23 / 01_2 : 97_x000D_
23 / 02_2 : 313_x000D_
23 / 03_2 : 1.174 (corte = 1514)_x000D_
23 / 04_2 : 275_x000D_
23 / 05_2 : 322_x000D_
23 / 06_2 : 358_x000D_
23 / 07_2 : 315_x000D_
_x000D_
    TOTAL : ( 5.128 )_x000D_
  DIVISOR : 12_x000D_
    MÉDIA : 427,33_x000D_
-----------------------------_x000D_
   Valores Desconsiderados_x000D_
-----------------------------_x000D_
23 / 03_2 : 340 (1.514)_x000D_
_x000D_
  TOTAL   : ( 340 )</t>
        </r>
      </text>
    </comment>
    <comment ref="AB790" authorId="0" shapeId="0" xr:uid="{65934396-BD16-4782-9C7F-EF3F37AC8181}">
      <text>
        <r>
          <rPr>
            <sz val="10"/>
            <color indexed="81"/>
            <rFont val="Lucida Console"/>
            <family val="3"/>
          </rPr>
          <t>Última movimentação no estoque em 07/2023 quantidade 315.</t>
        </r>
      </text>
    </comment>
    <comment ref="R791" authorId="0" shapeId="0" xr:uid="{3371482B-02B2-4115-A247-DFCDE50CC73F}">
      <text>
        <r>
          <rPr>
            <sz val="10"/>
            <color indexed="81"/>
            <rFont val="Lucida Console"/>
            <family val="3"/>
          </rPr>
          <t>28.07.2004</t>
        </r>
      </text>
    </comment>
    <comment ref="Y791" authorId="0" shapeId="0" xr:uid="{AE65EE3A-521C-4348-8114-B3193554E926}">
      <text>
        <r>
          <rPr>
            <sz val="10"/>
            <color indexed="81"/>
            <rFont val="Courier New"/>
            <family val="3"/>
          </rPr>
          <t>_x000D_
    DESCRIÇÃO DO CÁLCULO_x000D_
Código    : 80.874_x000D_
Corte     : 1.166_x000D_
-----------------------------_x000D_
Pendente  : 2_x000D_
22 / 08_2 : 409_x000D_
22 / 09_2 : 471_x000D_
22 / 10_2 : 492_x000D_
22 / 11_2 : 414_x000D_
22 / 12_2 : 363_x000D_
23 / 01_2 : 95_x000D_
23 / 02_2 : 343_x000D_
23 / 03_2 : 1.166 (corte = 1513)_x000D_
23 / 04_2 : 304_x000D_
23 / 05_2 : 355_x000D_
23 / 06_2 : 363_x000D_
23 / 07_2 : 336_x000D_
_x000D_
    TOTAL : ( 5.113 )_x000D_
  DIVISOR : 12_x000D_
    MÉDIA : 426,08_x000D_
-----------------------------_x000D_
   Valores Desconsiderados_x000D_
-----------------------------_x000D_
23 / 03_2 : 347 (1.513)_x000D_
_x000D_
  TOTAL   : ( 347 )</t>
        </r>
      </text>
    </comment>
    <comment ref="AB791" authorId="0" shapeId="0" xr:uid="{A6FDA927-80DB-4EF7-888E-19499B1EBE23}">
      <text>
        <r>
          <rPr>
            <sz val="10"/>
            <color indexed="81"/>
            <rFont val="Lucida Console"/>
            <family val="3"/>
          </rPr>
          <t>Última movimentação no estoque em 07/2023 quantidade 336.</t>
        </r>
      </text>
    </comment>
    <comment ref="R792" authorId="0" shapeId="0" xr:uid="{6AE0B9EB-92EC-4C42-87C5-4B0EA84A5B84}">
      <text>
        <r>
          <rPr>
            <sz val="10"/>
            <color indexed="81"/>
            <rFont val="Lucida Console"/>
            <family val="3"/>
          </rPr>
          <t>28.07.2004</t>
        </r>
      </text>
    </comment>
    <comment ref="Y792" authorId="0" shapeId="0" xr:uid="{380772EB-FCF6-463E-8C1C-211A5A29D627}">
      <text>
        <r>
          <rPr>
            <sz val="10"/>
            <color indexed="81"/>
            <rFont val="Courier New"/>
            <family val="3"/>
          </rPr>
          <t>_x000D_
    DESCRIÇÃO DO CÁLCULO_x000D_
Código    : 80.872_x000D_
Corte     : 1.112_x000D_
-----------------------------_x000D_
Pendente  : 184_x000D_
22 / 08_2 : 397_x000D_
22 / 09_2 : 397_x000D_
22 / 10_2 : 420_x000D_
22 / 11_2 : 369_x000D_
22 / 12_2 : 314_x000D_
23 / 01_2 : 76_x000D_
23 / 02_2 : 334_x000D_
23 / 03_2 : 1.112 (corte = 1474)_x000D_
23 / 04_2 : 284_x000D_
23 / 05_2 : 328_x000D_
23 / 06_2 : 295_x000D_
23 / 07_2 : 11_x000D_
_x000D_
    TOTAL : ( 4.521 )_x000D_
  DIVISOR : 12_x000D_
    MÉDIA : 376,75_x000D_
-----------------------------_x000D_
   Valores Desconsiderados_x000D_
-----------------------------_x000D_
23 / 03_2 : 362 (1.474)_x000D_
_x000D_
  TOTAL   : ( 362 )</t>
        </r>
      </text>
    </comment>
    <comment ref="AB792" authorId="0" shapeId="0" xr:uid="{449D39F8-DE3C-479C-BF19-8527E10897AF}">
      <text>
        <r>
          <rPr>
            <sz val="10"/>
            <color indexed="81"/>
            <rFont val="Lucida Console"/>
            <family val="3"/>
          </rPr>
          <t>Última movimentação no estoque em 07/2023 quantidade 11.</t>
        </r>
      </text>
    </comment>
    <comment ref="R793" authorId="0" shapeId="0" xr:uid="{6CFFDBCF-6085-4254-B698-702952BBA1A7}">
      <text>
        <r>
          <rPr>
            <sz val="10"/>
            <color indexed="81"/>
            <rFont val="Lucida Console"/>
            <family val="3"/>
          </rPr>
          <t>28.06.2021</t>
        </r>
      </text>
    </comment>
    <comment ref="Y793" authorId="0" shapeId="0" xr:uid="{0F46E2FC-4D22-4943-AEAA-B0478E517AE6}">
      <text>
        <r>
          <rPr>
            <sz val="10"/>
            <color indexed="81"/>
            <rFont val="Courier New"/>
            <family val="3"/>
          </rPr>
          <t>_x000D_
    DESCRIÇÃO DO CÁLCULO_x000D_
Código    : 141.786_x000D_
Corte     : 8_x000D_
-----------------------------_x000D_
Pendente  : _x000D_
22 / 08_2 : 2_x000D_
22 / 09_2 : 8_x000D_
22 / 10_2 : 1_x000D_
22 / 11_2 : 8_x000D_
22 / 12_2 : 2_x000D_
23 / 01_2 : 4_x000D_
23 / 02_2 : 4_x000D_
23 / 03_2 : 4_x000D_
23 / 04_2 : _x000D_
23 / 05_2 : 2_x000D_
23 / 06_2 : _x000D_
23 / 07_2 : 2_x000D_
_x000D_
    TOTAL : ( 37 )_x000D_
  DIVISOR : 12_x000D_
    MÉDIA : 3,08</t>
        </r>
      </text>
    </comment>
    <comment ref="AB793" authorId="0" shapeId="0" xr:uid="{2A114B5A-099E-47BE-91C6-8C9237B55B5C}">
      <text>
        <r>
          <rPr>
            <sz val="10"/>
            <color indexed="81"/>
            <rFont val="Lucida Console"/>
            <family val="3"/>
          </rPr>
          <t>Última movimentação no estoque em 07/2023 quantidade 2.</t>
        </r>
      </text>
    </comment>
    <comment ref="R794" authorId="0" shapeId="0" xr:uid="{75139380-2053-47F0-B834-5C60CC2B8020}">
      <text>
        <r>
          <rPr>
            <sz val="10"/>
            <color indexed="81"/>
            <rFont val="Lucida Console"/>
            <family val="3"/>
          </rPr>
          <t>28.06.2021</t>
        </r>
      </text>
    </comment>
    <comment ref="Y794" authorId="0" shapeId="0" xr:uid="{2F97CD1D-65C2-40B1-A20F-B4E7EFD1048E}">
      <text>
        <r>
          <rPr>
            <sz val="10"/>
            <color indexed="81"/>
            <rFont val="Courier New"/>
            <family val="3"/>
          </rPr>
          <t>_x000D_
    DESCRIÇÃO DO CÁLCULO_x000D_
Código    : 141.787_x000D_
Corte     : 66_x000D_
-----------------------------_x000D_
Pendente  : _x000D_
22 / 08_2 : 45_x000D_
22 / 09_2 : 40_x000D_
22 / 10_2 : 11_x000D_
22 / 11_2 : 16_x000D_
22 / 12_2 : 1_x000D_
23 / 01_2 : 39_x000D_
23 / 02_2 : 66 (corte = 72)_x000D_
23 / 03_2 : 29_x000D_
23 / 04_2 : 22_x000D_
23 / 05_2 : 28_x000D_
23 / 06_2 : 32_x000D_
23 / 07_2 : 28_x000D_
_x000D_
    TOTAL : ( 357 )_x000D_
  DIVISOR : 12_x000D_
    MÉDIA : 29,75_x000D_
-----------------------------_x000D_
   Valores Desconsiderados_x000D_
-----------------------------_x000D_
23 / 02_2 : 6 (72)_x000D_
_x000D_
  TOTAL   : ( 6 )</t>
        </r>
      </text>
    </comment>
    <comment ref="AB794" authorId="0" shapeId="0" xr:uid="{EF875A29-EE3E-4E39-A21A-2D7C9B30CB8F}">
      <text>
        <r>
          <rPr>
            <sz val="10"/>
            <color indexed="81"/>
            <rFont val="Lucida Console"/>
            <family val="3"/>
          </rPr>
          <t>Última movimentação no estoque em 07/2023 quantidade 28.</t>
        </r>
      </text>
    </comment>
    <comment ref="R795" authorId="0" shapeId="0" xr:uid="{82D709CC-914C-42D4-8B7E-445FBAA561C2}">
      <text>
        <r>
          <rPr>
            <sz val="10"/>
            <color indexed="81"/>
            <rFont val="Lucida Console"/>
            <family val="3"/>
          </rPr>
          <t>24.06.2021</t>
        </r>
      </text>
    </comment>
    <comment ref="Y795" authorId="0" shapeId="0" xr:uid="{B0BD9DFA-5201-4F56-91F0-D0E508928D2C}">
      <text>
        <r>
          <rPr>
            <sz val="10"/>
            <color indexed="81"/>
            <rFont val="Courier New"/>
            <family val="3"/>
          </rPr>
          <t>_x000D_
    DESCRIÇÃO DO CÁLCULO_x000D_
Código    : 141.615_x000D_
Corte     : 8_x000D_
-----------------------------_x000D_
Pendente  : _x000D_
22 / 08_2 : 2_x000D_
22 / 09_2 : 1_x000D_
22 / 10_2 : 3_x000D_
22 / 11_2 : 2_x000D_
22 / 12_2 : 2_x000D_
23 / 01_2 : 8 (corte = 12)_x000D_
23 / 02_2 : 2_x000D_
23 / 03_2 : 4_x000D_
23 / 04_2 : 1_x000D_
23 / 05_2 : 1_x000D_
23 / 06_2 : 2_x000D_
23 / 07_2 : _x000D_
_x000D_
    TOTAL : ( 28 )_x000D_
  DIVISOR : 12_x000D_
    MÉDIA : 2,33_x000D_
-----------------------------_x000D_
   Valores Desconsiderados_x000D_
-----------------------------_x000D_
23 / 01_2 : 4 (12)_x000D_
_x000D_
  TOTAL   : ( 4 )</t>
        </r>
      </text>
    </comment>
    <comment ref="AB795" authorId="0" shapeId="0" xr:uid="{9C54E1CE-0754-4189-8926-776867EAFE3A}">
      <text>
        <r>
          <rPr>
            <sz val="10"/>
            <color indexed="81"/>
            <rFont val="Lucida Console"/>
            <family val="3"/>
          </rPr>
          <t>Última movimentação no estoque em 06/2023 quantidade 2.</t>
        </r>
      </text>
    </comment>
    <comment ref="R796" authorId="0" shapeId="0" xr:uid="{986ED667-C1F8-472F-AE87-64D1C60852FF}">
      <text>
        <r>
          <rPr>
            <sz val="10"/>
            <color indexed="81"/>
            <rFont val="Lucida Console"/>
            <family val="3"/>
          </rPr>
          <t>01.01.1901</t>
        </r>
      </text>
    </comment>
    <comment ref="Y796" authorId="0" shapeId="0" xr:uid="{C2EC24DA-8318-4BF6-8492-3EA35FB2E7F5}">
      <text>
        <r>
          <rPr>
            <sz val="10"/>
            <color indexed="81"/>
            <rFont val="Courier New"/>
            <family val="3"/>
          </rPr>
          <t>_x000D_
    DESCRIÇÃO DO CÁLCULO_x000D_
Código    : 12.877_x000D_
Corte     : 75_x000D_
-----------------------------_x000D_
Pendente  : _x000D_
22 / 08_2 : 39_x000D_
22 / 09_2 : 21_x000D_
22 / 10_2 : 64_x000D_
22 / 11_2 : 53_x000D_
22 / 12_2 : 51_x000D_
23 / 01_2 : 53_x000D_
23 / 02_2 : 8_x000D_
23 / 03_2 : 56_x000D_
23 / 04_2 : 14_x000D_
23 / 05_2 : 20_x000D_
23 / 06_2 : 49_x000D_
23 / 07_2 : 26_x000D_
_x000D_
    TOTAL : ( 454 )_x000D_
  DIVISOR : 12_x000D_
    MÉDIA : 37,83</t>
        </r>
      </text>
    </comment>
    <comment ref="AB796" authorId="0" shapeId="0" xr:uid="{0762D653-8C24-4EFD-A564-825C3BC71E1C}">
      <text>
        <r>
          <rPr>
            <sz val="10"/>
            <color indexed="81"/>
            <rFont val="Lucida Console"/>
            <family val="3"/>
          </rPr>
          <t>Última movimentação no estoque em 07/2023 quantidade 26.</t>
        </r>
      </text>
    </comment>
    <comment ref="R797" authorId="0" shapeId="0" xr:uid="{D05B20A3-DB50-498A-A6A5-EC62D9670DAB}">
      <text>
        <r>
          <rPr>
            <sz val="10"/>
            <color indexed="81"/>
            <rFont val="Lucida Console"/>
            <family val="3"/>
          </rPr>
          <t>01.01.1901</t>
        </r>
      </text>
    </comment>
    <comment ref="Y797" authorId="0" shapeId="0" xr:uid="{BE7FC6A9-F807-4B76-B979-AC36A2E1FB48}">
      <text>
        <r>
          <rPr>
            <sz val="10"/>
            <color indexed="81"/>
            <rFont val="Courier New"/>
            <family val="3"/>
          </rPr>
          <t>_x000D_
    DESCRIÇÃO DO CÁLCULO_x000D_
Código    : 64.821_x000D_
Corte     : 3_x000D_
-----------------------------_x000D_
Pendente  : _x000D_
22 / 08_2 : 3 (corte = 4)_x000D_
22 / 09_2 : _x000D_
22 / 10_2 : _x000D_
22 / 11_2 : _x000D_
22 / 12_2 : _x000D_
23 / 01_2 : _x000D_
23 / 02_2 : _x000D_
23 / 03_2 : 1_x000D_
23 / 04_2 : _x000D_
23 / 05_2 : _x000D_
23 / 06_2 : 2_x000D_
23 / 07_2 : _x000D_
_x000D_
    TOTAL : ( 6 )_x000D_
  DIVISOR : 12_x000D_
    MÉDIA : ,50_x000D_
-----------------------------_x000D_
   Valores Desconsiderados_x000D_
-----------------------------_x000D_
22 / 08_2 : 1 (4)_x000D_
_x000D_
  TOTAL   : ( 1 )</t>
        </r>
      </text>
    </comment>
    <comment ref="AB797" authorId="0" shapeId="0" xr:uid="{7BA7FDCB-1597-4808-A22F-D2CACEA1BCD9}">
      <text>
        <r>
          <rPr>
            <sz val="10"/>
            <color indexed="81"/>
            <rFont val="Lucida Console"/>
            <family val="3"/>
          </rPr>
          <t>Última movimentação no estoque em 06/2023 quantidade 2.</t>
        </r>
      </text>
    </comment>
    <comment ref="R798" authorId="0" shapeId="0" xr:uid="{21DE0E67-22A1-4A94-AF20-EC26836C9FD8}">
      <text>
        <r>
          <rPr>
            <sz val="10"/>
            <color indexed="81"/>
            <rFont val="Lucida Console"/>
            <family val="3"/>
          </rPr>
          <t>14.08.2015</t>
        </r>
      </text>
    </comment>
    <comment ref="Y798" authorId="0" shapeId="0" xr:uid="{70CC536C-D17F-4470-BC9D-FB5F408C80A8}">
      <text>
        <r>
          <rPr>
            <sz val="10"/>
            <color indexed="81"/>
            <rFont val="Courier New"/>
            <family val="3"/>
          </rPr>
          <t>_x000D_
    DESCRIÇÃO DO CÁLCULO_x000D_
Código    : 130.695_x000D_
Corte     : 954_x000D_
-----------------------------_x000D_
Pendente  : 29_x000D_
22 / 08_2 : 308_x000D_
22 / 09_2 : 311_x000D_
22 / 10_2 : 289_x000D_
22 / 11_2 : 321_x000D_
22 / 12_2 : 954 (corte = 1244)_x000D_
23 / 01_2 : 127_x000D_
23 / 02_2 : 274_x000D_
23 / 03_2 : 420_x000D_
23 / 04_2 : 335_x000D_
23 / 05_2 : 353_x000D_
23 / 06_2 : 334_x000D_
23 / 07_2 : 255_x000D_
_x000D_
    TOTAL : ( 4.310 )_x000D_
  DIVISOR : 12_x000D_
    MÉDIA : 359,17_x000D_
-----------------------------_x000D_
   Valores Desconsiderados_x000D_
-----------------------------_x000D_
22 / 12_2 : 290 (1.244)_x000D_
_x000D_
  TOTAL   : ( 290 )</t>
        </r>
      </text>
    </comment>
    <comment ref="AB798" authorId="0" shapeId="0" xr:uid="{9E29D470-FC8D-4246-826E-4435903E1E8E}">
      <text>
        <r>
          <rPr>
            <sz val="10"/>
            <color indexed="81"/>
            <rFont val="Lucida Console"/>
            <family val="3"/>
          </rPr>
          <t>Última movimentação no estoque em 07/2023 quantidade 255.</t>
        </r>
      </text>
    </comment>
    <comment ref="R799" authorId="0" shapeId="0" xr:uid="{2CFBB15C-0552-4D6E-915A-9B5B33DC6F4C}">
      <text>
        <r>
          <rPr>
            <sz val="10"/>
            <color indexed="81"/>
            <rFont val="Lucida Console"/>
            <family val="3"/>
          </rPr>
          <t>20.08.2009</t>
        </r>
      </text>
    </comment>
    <comment ref="Y799" authorId="0" shapeId="0" xr:uid="{2113C7BA-5516-4932-8F83-0F2C11C3EF48}">
      <text>
        <r>
          <rPr>
            <sz val="10"/>
            <color indexed="81"/>
            <rFont val="Courier New"/>
            <family val="3"/>
          </rPr>
          <t>_x000D_
    DESCRIÇÃO DO CÁLCULO_x000D_
Código    : 112.155_x000D_
Corte     : 82_x000D_
-----------------------------_x000D_
Pendente  : _x000D_
22 / 08_2 : 8_x000D_
22 / 09_2 : _x000D_
22 / 10_2 : _x000D_
22 / 11_2 : _x000D_
22 / 12_2 : 23_x000D_
23 / 01_2 : 15_x000D_
23 / 02_2 : _x000D_
23 / 03_2 : 30_x000D_
23 / 04_2 : 62_x000D_
23 / 05_2 : _x000D_
23 / 06_2 : 82 (corte = 100)_x000D_
23 / 07_2 : _x000D_
_x000D_
    TOTAL : ( 220 )_x000D_
  DIVISOR : 12_x000D_
    MÉDIA : 18,33_x000D_
-----------------------------_x000D_
   Valores Desconsiderados_x000D_
-----------------------------_x000D_
23 / 06_2 : 18 (100)_x000D_
_x000D_
  TOTAL   : ( 18 )</t>
        </r>
      </text>
    </comment>
    <comment ref="AB799" authorId="0" shapeId="0" xr:uid="{2D58A57E-93C6-4137-B7C9-D95BDA70C7A9}">
      <text>
        <r>
          <rPr>
            <sz val="10"/>
            <color indexed="81"/>
            <rFont val="Lucida Console"/>
            <family val="3"/>
          </rPr>
          <t>Última movimentação no estoque em 06/2023 quantidade 100.</t>
        </r>
      </text>
    </comment>
    <comment ref="R800" authorId="0" shapeId="0" xr:uid="{87BEA011-F9B2-4C2D-8500-02C8E6FA6554}">
      <text>
        <r>
          <rPr>
            <sz val="10"/>
            <color indexed="81"/>
            <rFont val="Lucida Console"/>
            <family val="3"/>
          </rPr>
          <t>07.02.2011</t>
        </r>
      </text>
    </comment>
    <comment ref="Y800" authorId="0" shapeId="0" xr:uid="{6C8EDE3D-A730-4E05-92CA-D123F5CF00E1}">
      <text>
        <r>
          <rPr>
            <sz val="10"/>
            <color indexed="81"/>
            <rFont val="Courier New"/>
            <family val="3"/>
          </rPr>
          <t>_x000D_
    DESCRIÇÃO DO CÁLCULO_x000D_
Código    : 119.181_x000D_
Corte     : 125_x000D_
-----------------------------_x000D_
Pendente  : _x000D_
22 / 08_2 : 35_x000D_
22 / 09_2 : 37_x000D_
22 / 10_2 : 17_x000D_
22 / 11_2 : 55_x000D_
22 / 12_2 : 25_x000D_
23 / 01_2 : 44_x000D_
23 / 02_2 : 20_x000D_
23 / 03_2 : 125 (corte = 166)_x000D_
23 / 04_2 : 30_x000D_
23 / 05_2 : 30_x000D_
23 / 06_2 : _x000D_
23 / 07_2 : 50_x000D_
_x000D_
    TOTAL : ( 468 )_x000D_
  DIVISOR : 12_x000D_
    MÉDIA : 39,00_x000D_
-----------------------------_x000D_
   Valores Desconsiderados_x000D_
-----------------------------_x000D_
23 / 03_2 : 41 (166)_x000D_
_x000D_
  TOTAL   : ( 41 )</t>
        </r>
      </text>
    </comment>
    <comment ref="AB800" authorId="0" shapeId="0" xr:uid="{87583525-DDC3-4D45-930B-F6E084A0E53C}">
      <text>
        <r>
          <rPr>
            <sz val="10"/>
            <color indexed="81"/>
            <rFont val="Lucida Console"/>
            <family val="3"/>
          </rPr>
          <t>Última movimentação no estoque em 07/2023 quantidade 50.</t>
        </r>
      </text>
    </comment>
    <comment ref="R801" authorId="0" shapeId="0" xr:uid="{E2D164E0-5756-4F0A-BBBC-60BFB5B37E56}">
      <text>
        <r>
          <rPr>
            <sz val="10"/>
            <color indexed="81"/>
            <rFont val="Lucida Console"/>
            <family val="3"/>
          </rPr>
          <t>20.08.2009</t>
        </r>
      </text>
    </comment>
    <comment ref="Y801" authorId="0" shapeId="0" xr:uid="{C795F755-033D-4C8B-B4AB-691A9E9B68B3}">
      <text>
        <r>
          <rPr>
            <sz val="10"/>
            <color indexed="81"/>
            <rFont val="Courier New"/>
            <family val="3"/>
          </rPr>
          <t>_x000D_
    DESCRIÇÃO DO CÁLCULO_x000D_
Código    : 112.156_x000D_
Corte     : 184_x000D_
-----------------------------_x000D_
Pendente  : _x000D_
22 / 08_2 : 105_x000D_
22 / 09_2 : 35_x000D_
22 / 10_2 : 10_x000D_
22 / 11_2 : 45_x000D_
22 / 12_2 : 15_x000D_
23 / 01_2 : 10_x000D_
23 / 02_2 : 40_x000D_
23 / 03_2 : 184 (corte = 245)_x000D_
23 / 04_2 : 20_x000D_
23 / 05_2 : 30_x000D_
23 / 06_2 : 2_x000D_
23 / 07_2 : 50_x000D_
_x000D_
    TOTAL : ( 546 )_x000D_
  DIVISOR : 12_x000D_
    MÉDIA : 45,50_x000D_
-----------------------------_x000D_
   Valores Desconsiderados_x000D_
-----------------------------_x000D_
23 / 03_2 : 61 (245)_x000D_
_x000D_
  TOTAL   : ( 61 )</t>
        </r>
      </text>
    </comment>
    <comment ref="AB801" authorId="0" shapeId="0" xr:uid="{7B220438-54B3-4BBB-AF1B-B1DDA39B1E89}">
      <text>
        <r>
          <rPr>
            <sz val="10"/>
            <color indexed="81"/>
            <rFont val="Lucida Console"/>
            <family val="3"/>
          </rPr>
          <t>Última movimentação no estoque em 07/2023 quantidade 50.</t>
        </r>
      </text>
    </comment>
    <comment ref="R802" authorId="0" shapeId="0" xr:uid="{C712504E-F166-4BBD-852C-A41594DEF6F1}">
      <text>
        <r>
          <rPr>
            <sz val="10"/>
            <color indexed="81"/>
            <rFont val="Lucida Console"/>
            <family val="3"/>
          </rPr>
          <t>12.12.2018</t>
        </r>
      </text>
    </comment>
    <comment ref="Y802" authorId="0" shapeId="0" xr:uid="{2505BF22-68DA-4F69-A3C9-9F8F32F47A8B}">
      <text>
        <r>
          <rPr>
            <sz val="10"/>
            <color indexed="81"/>
            <rFont val="Courier New"/>
            <family val="3"/>
          </rPr>
          <t>_x000D_
    DESCRIÇÃO DO CÁLCULO_x000D_
Código    : 136.082_x000D_
Corte     : 216_x000D_
-----------------------------_x000D_
Pendente  : 290_x000D_
22 / 08_2 : 90_x000D_
22 / 09_2 : 20_x000D_
22 / 10_2 : 100_x000D_
22 / 11_2 : 14_x000D_
22 / 12_2 : 62_x000D_
23 / 01_2 : 67_x000D_
23 / 02_2 : 26_x000D_
23 / 03_2 : _x000D_
23 / 04_2 : _x000D_
23 / 05_2 : _x000D_
23 / 06_2 : 12_x000D_
23 / 07_2 : _x000D_
_x000D_
    TOTAL : ( 681 )_x000D_
  DIVISOR : 12_x000D_
    MÉDIA : 56,75</t>
        </r>
      </text>
    </comment>
    <comment ref="AB802" authorId="0" shapeId="0" xr:uid="{A2367A78-E17A-4965-88E1-A1A3C39359C6}">
      <text>
        <r>
          <rPr>
            <sz val="10"/>
            <color indexed="81"/>
            <rFont val="Lucida Console"/>
            <family val="3"/>
          </rPr>
          <t>Última movimentação no estoque em 06/2023 quantidade 12.</t>
        </r>
      </text>
    </comment>
    <comment ref="R803" authorId="0" shapeId="0" xr:uid="{CAB07D37-16FF-4007-AD4D-F42C84AFA636}">
      <text>
        <r>
          <rPr>
            <sz val="10"/>
            <color indexed="81"/>
            <rFont val="Lucida Console"/>
            <family val="3"/>
          </rPr>
          <t>12.12.2018</t>
        </r>
      </text>
    </comment>
    <comment ref="Y803" authorId="0" shapeId="0" xr:uid="{FFF8C6FB-1DEF-41E1-B365-8F44FEB6FD68}">
      <text>
        <r>
          <rPr>
            <sz val="10"/>
            <color indexed="81"/>
            <rFont val="Courier New"/>
            <family val="3"/>
          </rPr>
          <t>_x000D_
    DESCRIÇÃO DO CÁLCULO_x000D_
Código    : 136.083_x000D_
Corte     : 59_x000D_
-----------------------------_x000D_
Pendente  : _x000D_
22 / 08_2 : 11_x000D_
22 / 09_2 : 57_x000D_
22 / 10_2 : _x000D_
22 / 11_2 : 4_x000D_
22 / 12_2 : _x000D_
23 / 01_2 : 20_x000D_
23 / 02_2 : 20_x000D_
23 / 03_2 : 4_x000D_
23 / 04_2 : _x000D_
23 / 05_2 : _x000D_
23 / 06_2 : 59 (corte = 62)_x000D_
23 / 07_2 : _x000D_
_x000D_
    TOTAL : ( 175 )_x000D_
  DIVISOR : 12_x000D_
    MÉDIA : 14,58_x000D_
-----------------------------_x000D_
   Valores Desconsiderados_x000D_
-----------------------------_x000D_
23 / 06_2 : 3 (62)_x000D_
_x000D_
  TOTAL   : ( 3 )</t>
        </r>
      </text>
    </comment>
    <comment ref="AB803" authorId="0" shapeId="0" xr:uid="{681EDCD8-F957-43FB-BBF1-A795DD669C60}">
      <text>
        <r>
          <rPr>
            <sz val="10"/>
            <color indexed="81"/>
            <rFont val="Lucida Console"/>
            <family val="3"/>
          </rPr>
          <t>Última movimentação no estoque em 06/2023 quantidade 62.</t>
        </r>
      </text>
    </comment>
    <comment ref="R804" authorId="0" shapeId="0" xr:uid="{6B55A029-7AA3-4E2F-8E84-693DCC563498}">
      <text>
        <r>
          <rPr>
            <sz val="10"/>
            <color indexed="81"/>
            <rFont val="Lucida Console"/>
            <family val="3"/>
          </rPr>
          <t>01.02.2011</t>
        </r>
      </text>
    </comment>
    <comment ref="Y804" authorId="0" shapeId="0" xr:uid="{24CEC36B-D44D-4394-8646-9CA6844EC50A}">
      <text>
        <r>
          <rPr>
            <sz val="10"/>
            <color indexed="81"/>
            <rFont val="Courier New"/>
            <family val="3"/>
          </rPr>
          <t>_x000D_
    DESCRIÇÃO DO CÁLCULO_x000D_
Código    : 119.087_x000D_
Corte     : 19_x000D_
-----------------------------_x000D_
Pendente  : _x000D_
22 / 08_2 : _x000D_
22 / 09_2 : _x000D_
22 / 10_2 : _x000D_
22 / 11_2 : _x000D_
22 / 12_2 : _x000D_
23 / 01_2 : _x000D_
23 / 02_2 : _x000D_
23 / 03_2 : _x000D_
23 / 04_2 : _x000D_
23 / 05_2 : 19 (corte = 30)_x000D_
23 / 06_2 : _x000D_
23 / 07_2 : _x000D_
_x000D_
    TOTAL : ( 19 )_x000D_
  DIVISOR : 12_x000D_
    MÉDIA : 1,58_x000D_
-----------------------------_x000D_
   Valores Desconsiderados_x000D_
-----------------------------_x000D_
23 / 05_2 : 11 (30)_x000D_
_x000D_
  TOTAL   : ( 11 )</t>
        </r>
      </text>
    </comment>
    <comment ref="AB804" authorId="0" shapeId="0" xr:uid="{70847F04-0B15-4228-A732-40735438AD7D}">
      <text>
        <r>
          <rPr>
            <sz val="10"/>
            <color indexed="81"/>
            <rFont val="Lucida Console"/>
            <family val="3"/>
          </rPr>
          <t>Última movimentação no estoque em 05/2023 quantidade 30.</t>
        </r>
      </text>
    </comment>
    <comment ref="R805" authorId="0" shapeId="0" xr:uid="{B072931D-BBD1-4E1D-954C-86DD5AD67CC3}">
      <text>
        <r>
          <rPr>
            <sz val="10"/>
            <color indexed="81"/>
            <rFont val="Lucida Console"/>
            <family val="3"/>
          </rPr>
          <t>16.08.2010</t>
        </r>
      </text>
    </comment>
    <comment ref="Y805" authorId="0" shapeId="0" xr:uid="{7C9BA5C1-83CF-496C-B276-1B7064B0F171}">
      <text>
        <r>
          <rPr>
            <sz val="10"/>
            <color indexed="81"/>
            <rFont val="Courier New"/>
            <family val="3"/>
          </rPr>
          <t>_x000D_
    DESCRIÇÃO DO CÁLCULO_x000D_
Código    : 116.874_x000D_
Corte     : 405_x000D_
-----------------------------_x000D_
Pendente  : _x000D_
22 / 08_2 : 351_x000D_
22 / 09_2 : 285_x000D_
22 / 10_2 : 87_x000D_
22 / 11_2 : 80_x000D_
22 / 12_2 : 95_x000D_
23 / 01_2 : 373_x000D_
23 / 02_2 : 128_x000D_
23 / 03_2 : 98_x000D_
23 / 04_2 : 140_x000D_
23 / 05_2 : 100_x000D_
23 / 06_2 : 170_x000D_
23 / 07_2 : 300_x000D_
_x000D_
    TOTAL : ( 2.207 )_x000D_
  DIVISOR : 12_x000D_
    MÉDIA : 183,92</t>
        </r>
      </text>
    </comment>
    <comment ref="AB805" authorId="0" shapeId="0" xr:uid="{39592926-E978-413C-8A37-5776BC060ACC}">
      <text>
        <r>
          <rPr>
            <sz val="10"/>
            <color indexed="81"/>
            <rFont val="Lucida Console"/>
            <family val="3"/>
          </rPr>
          <t>Última movimentação no estoque em 07/2023 quantidade 300.</t>
        </r>
      </text>
    </comment>
    <comment ref="R806" authorId="0" shapeId="0" xr:uid="{85AC048B-8F5C-4905-883C-424A13AE0D76}">
      <text>
        <r>
          <rPr>
            <sz val="10"/>
            <color indexed="81"/>
            <rFont val="Lucida Console"/>
            <family val="3"/>
          </rPr>
          <t>20.08.2009</t>
        </r>
      </text>
    </comment>
    <comment ref="Y806" authorId="0" shapeId="0" xr:uid="{828FAB4D-3D73-4A24-A262-0FE86934A991}">
      <text>
        <r>
          <rPr>
            <sz val="10"/>
            <color indexed="81"/>
            <rFont val="Courier New"/>
            <family val="3"/>
          </rPr>
          <t>_x000D_
    DESCRIÇÃO DO CÁLCULO_x000D_
Código    : 112.154_x000D_
Corte     : 128_x000D_
-----------------------------_x000D_
Pendente  : _x000D_
22 / 08_2 : 123_x000D_
22 / 09_2 : 30_x000D_
22 / 10_2 : 15_x000D_
22 / 11_2 : 20_x000D_
22 / 12_2 : 60_x000D_
23 / 01_2 : 80_x000D_
23 / 02_2 : 30_x000D_
23 / 03_2 : 30_x000D_
23 / 04_2 : 114_x000D_
23 / 05_2 : _x000D_
23 / 06_2 : _x000D_
23 / 07_2 : _x000D_
_x000D_
    TOTAL : ( 502 )_x000D_
  DIVISOR : 12_x000D_
    MÉDIA : 41,83</t>
        </r>
      </text>
    </comment>
    <comment ref="AB806" authorId="0" shapeId="0" xr:uid="{B8059BE6-2E82-4B4D-BED7-E5E248B9DF62}">
      <text>
        <r>
          <rPr>
            <sz val="10"/>
            <color indexed="81"/>
            <rFont val="Lucida Console"/>
            <family val="3"/>
          </rPr>
          <t>Última movimentação no estoque em 04/2023 quantidade 114.</t>
        </r>
      </text>
    </comment>
    <comment ref="R807" authorId="0" shapeId="0" xr:uid="{877BC4D7-5AF7-4E4B-8E8A-00BE83254F7B}">
      <text>
        <r>
          <rPr>
            <sz val="10"/>
            <color indexed="81"/>
            <rFont val="Lucida Console"/>
            <family val="3"/>
          </rPr>
          <t>20.08.2009</t>
        </r>
      </text>
    </comment>
    <comment ref="Y807" authorId="0" shapeId="0" xr:uid="{EB5B0D27-ED4D-45AF-AA81-CDF45F0CE9E0}">
      <text>
        <r>
          <rPr>
            <sz val="10"/>
            <color indexed="81"/>
            <rFont val="Courier New"/>
            <family val="3"/>
          </rPr>
          <t>_x000D_
    DESCRIÇÃO DO CÁLCULO_x000D_
Código    : 112.157_x000D_
Corte     : 14_x000D_
-----------------------------_x000D_
Pendente  : _x000D_
22 / 08_2 : 7_x000D_
22 / 09_2 : _x000D_
22 / 10_2 : _x000D_
22 / 11_2 : _x000D_
22 / 12_2 : _x000D_
23 / 01_2 : _x000D_
23 / 02_2 : _x000D_
23 / 03_2 : 2_x000D_
23 / 04_2 : _x000D_
23 / 05_2 : 2_x000D_
23 / 06_2 : 14 (corte = 20)_x000D_
23 / 07_2 : _x000D_
_x000D_
    TOTAL : ( 25 )_x000D_
  DIVISOR : 12_x000D_
    MÉDIA : 2,08_x000D_
-----------------------------_x000D_
   Valores Desconsiderados_x000D_
-----------------------------_x000D_
23 / 06_2 : 6 (20)_x000D_
_x000D_
  TOTAL   : ( 6 )</t>
        </r>
      </text>
    </comment>
    <comment ref="AB807" authorId="0" shapeId="0" xr:uid="{3300446B-14B2-43C2-8F50-A62736F99425}">
      <text>
        <r>
          <rPr>
            <sz val="10"/>
            <color indexed="81"/>
            <rFont val="Lucida Console"/>
            <family val="3"/>
          </rPr>
          <t>Última movimentação no estoque em 06/2023 quantidade 20.</t>
        </r>
      </text>
    </comment>
    <comment ref="R808" authorId="0" shapeId="0" xr:uid="{59E13831-D8E9-4955-BD8B-F58C1F38B5DD}">
      <text>
        <r>
          <rPr>
            <sz val="10"/>
            <color indexed="81"/>
            <rFont val="Lucida Console"/>
            <family val="3"/>
          </rPr>
          <t>15.03.2018</t>
        </r>
      </text>
    </comment>
    <comment ref="Y808" authorId="0" shapeId="0" xr:uid="{8BA89B35-FADB-4A49-98E1-D3B0B217C00C}">
      <text>
        <r>
          <rPr>
            <sz val="10"/>
            <color indexed="81"/>
            <rFont val="Courier New"/>
            <family val="3"/>
          </rPr>
          <t>_x000D_
    DESCRIÇÃO DO CÁLCULO_x000D_
Código    : 134.581_x000D_
Corte     : 19_x000D_
-----------------------------_x000D_
Pendente  : 11_x000D_
22 / 08_2 : 3_x000D_
22 / 09_2 : 11_x000D_
22 / 10_2 : 7_x000D_
22 / 11_2 : 1_x000D_
22 / 12_2 : 4_x000D_
23 / 01_2 : 2_x000D_
23 / 02_2 : 4_x000D_
23 / 03_2 : 12_x000D_
23 / 04_2 : 19 (corte = 22)_x000D_
23 / 05_2 : _x000D_
23 / 06_2 : _x000D_
23 / 07_2 : _x000D_
_x000D_
    TOTAL : ( 74 )_x000D_
  DIVISOR : 12_x000D_
    MÉDIA : 6,17_x000D_
-----------------------------_x000D_
   Valores Desconsiderados_x000D_
-----------------------------_x000D_
23 / 04_2 : 3 (22)_x000D_
_x000D_
  TOTAL   : ( 3 )</t>
        </r>
      </text>
    </comment>
    <comment ref="AB808" authorId="0" shapeId="0" xr:uid="{E7EE9521-5490-447A-A59D-60D77793F368}">
      <text>
        <r>
          <rPr>
            <sz val="10"/>
            <color indexed="81"/>
            <rFont val="Lucida Console"/>
            <family val="3"/>
          </rPr>
          <t>Última movimentação no estoque em 04/2023 quantidade 22.</t>
        </r>
      </text>
    </comment>
    <comment ref="R809" authorId="0" shapeId="0" xr:uid="{05CAD539-82D4-4968-BD32-10B54E8016FB}">
      <text>
        <r>
          <rPr>
            <sz val="10"/>
            <color indexed="81"/>
            <rFont val="Lucida Console"/>
            <family val="3"/>
          </rPr>
          <t>15.03.2018</t>
        </r>
      </text>
    </comment>
    <comment ref="Y809" authorId="0" shapeId="0" xr:uid="{B3A9559A-3D1C-43E4-A4FC-A576135FBF37}">
      <text>
        <r>
          <rPr>
            <sz val="10"/>
            <color indexed="81"/>
            <rFont val="Courier New"/>
            <family val="3"/>
          </rPr>
          <t>_x000D_
    DESCRIÇÃO DO CÁLCULO_x000D_
Código    : 134.582_x000D_
Corte     : 17_x000D_
-----------------------------_x000D_
Pendente  : _x000D_
22 / 08_2 : 3_x000D_
22 / 09_2 : 9_x000D_
22 / 10_2 : 7_x000D_
22 / 11_2 : 3_x000D_
22 / 12_2 : 4_x000D_
23 / 01_2 : 9_x000D_
23 / 02_2 : 9_x000D_
23 / 03_2 : 7_x000D_
23 / 04_2 : 17 (corte = 21)_x000D_
23 / 05_2 : _x000D_
23 / 06_2 : 10_x000D_
23 / 07_2 : 6_x000D_
_x000D_
    TOTAL : ( 84 )_x000D_
  DIVISOR : 12_x000D_
    MÉDIA : 7,00_x000D_
-----------------------------_x000D_
   Valores Desconsiderados_x000D_
-----------------------------_x000D_
23 / 04_2 : 4 (21)_x000D_
_x000D_
  TOTAL   : ( 4 )</t>
        </r>
      </text>
    </comment>
    <comment ref="AB809" authorId="0" shapeId="0" xr:uid="{4B22BA42-CCFF-491B-8E23-BC4DCE120A41}">
      <text>
        <r>
          <rPr>
            <sz val="10"/>
            <color indexed="81"/>
            <rFont val="Lucida Console"/>
            <family val="3"/>
          </rPr>
          <t>Última movimentação no estoque em 07/2023 quantidade 6.</t>
        </r>
      </text>
    </comment>
    <comment ref="R810" authorId="0" shapeId="0" xr:uid="{FD54DCF6-779F-4B7F-8E23-ABB23BBE7D35}">
      <text>
        <r>
          <rPr>
            <sz val="10"/>
            <color indexed="81"/>
            <rFont val="Lucida Console"/>
            <family val="3"/>
          </rPr>
          <t>13.07.2018</t>
        </r>
      </text>
    </comment>
    <comment ref="Y810" authorId="0" shapeId="0" xr:uid="{81E957ED-AAFF-4E3D-BF20-912B088BEA13}">
      <text>
        <r>
          <rPr>
            <sz val="10"/>
            <color indexed="81"/>
            <rFont val="Courier New"/>
            <family val="3"/>
          </rPr>
          <t>_x000D_
    DESCRIÇÃO DO CÁLCULO_x000D_
Código    : 135.414_x000D_
Corte     : 73_x000D_
-----------------------------_x000D_
Pendente  : 71_x000D_
22 / 08_2 : 44_x000D_
22 / 09_2 : 44_x000D_
22 / 10_2 : 32_x000D_
22 / 11_2 : 17_x000D_
22 / 12_2 : _x000D_
23 / 01_2 : _x000D_
23 / 02_2 : _x000D_
23 / 03_2 : _x000D_
23 / 04_2 : _x000D_
23 / 05_2 : 25_x000D_
23 / 06_2 : 53_x000D_
23 / 07_2 : _x000D_
_x000D_
    TOTAL : ( 286 )_x000D_
  DIVISOR : 12_x000D_
    MÉDIA : 23,83</t>
        </r>
      </text>
    </comment>
    <comment ref="AB810" authorId="0" shapeId="0" xr:uid="{CF65D357-E385-4225-A94B-0F2DDB893F7B}">
      <text>
        <r>
          <rPr>
            <sz val="10"/>
            <color indexed="81"/>
            <rFont val="Lucida Console"/>
            <family val="3"/>
          </rPr>
          <t>Última movimentação no estoque em 06/2023 quantidade 53.</t>
        </r>
      </text>
    </comment>
    <comment ref="R811" authorId="0" shapeId="0" xr:uid="{9FA399C5-8E23-41F3-9A9B-696799483E8A}">
      <text>
        <r>
          <rPr>
            <sz val="10"/>
            <color indexed="81"/>
            <rFont val="Lucida Console"/>
            <family val="3"/>
          </rPr>
          <t>01.01.1901</t>
        </r>
      </text>
    </comment>
    <comment ref="Y811" authorId="0" shapeId="0" xr:uid="{1FDF00E2-EC85-45F1-9537-B563729FF41F}">
      <text>
        <r>
          <rPr>
            <sz val="10"/>
            <color indexed="81"/>
            <rFont val="Courier New"/>
            <family val="3"/>
          </rPr>
          <t>_x000D_
    DESCRIÇÃO DO CÁLCULO_x000D_
Código    : 13.161_x000D_
Corte     : 59_x000D_
-----------------------------_x000D_
Pendente  : _x000D_
22 / 08_2 : 8_x000D_
22 / 09_2 : 44_x000D_
22 / 10_2 : 11_x000D_
22 / 11_2 : 4_x000D_
22 / 12_2 : 10_x000D_
23 / 01_2 : 18_x000D_
23 / 02_2 : 41_x000D_
23 / 03_2 : 46_x000D_
23 / 04_2 : 47_x000D_
23 / 05_2 : 30_x000D_
23 / 06_2 : 30_x000D_
23 / 07_2 : _x000D_
_x000D_
    TOTAL : ( 289 )_x000D_
  DIVISOR : 12_x000D_
    MÉDIA : 24,08</t>
        </r>
      </text>
    </comment>
    <comment ref="AB811" authorId="0" shapeId="0" xr:uid="{89BF233D-1AB2-400D-8731-39928D3BD00A}">
      <text>
        <r>
          <rPr>
            <sz val="10"/>
            <color indexed="81"/>
            <rFont val="Lucida Console"/>
            <family val="3"/>
          </rPr>
          <t>Última movimentação no estoque em 06/2023 quantidade 30.</t>
        </r>
      </text>
    </comment>
    <comment ref="R812" authorId="0" shapeId="0" xr:uid="{E5DDE882-0DE0-4789-A7DB-DD15C604F90F}">
      <text>
        <r>
          <rPr>
            <sz val="10"/>
            <color indexed="81"/>
            <rFont val="Lucida Console"/>
            <family val="3"/>
          </rPr>
          <t>01.01.1901</t>
        </r>
      </text>
    </comment>
    <comment ref="Y812" authorId="0" shapeId="0" xr:uid="{50B193D1-A8EB-4606-AAB1-FA8E50D4B18A}">
      <text>
        <r>
          <rPr>
            <sz val="10"/>
            <color indexed="81"/>
            <rFont val="Courier New"/>
            <family val="3"/>
          </rPr>
          <t>_x000D_
    DESCRIÇÃO DO CÁLCULO_x000D_
Código    : 13.165_x000D_
Corte     : 87_x000D_
-----------------------------_x000D_
Pendente  : 10_x000D_
22 / 08_2 : 50_x000D_
22 / 09_2 : 71_x000D_
22 / 10_2 : 29_x000D_
22 / 11_2 : 35_x000D_
22 / 12_2 : 20_x000D_
23 / 01_2 : 33_x000D_
23 / 02_2 : 40_x000D_
23 / 03_2 : 80_x000D_
23 / 04_2 : 65_x000D_
23 / 05_2 : 40_x000D_
23 / 06_2 : 50_x000D_
23 / 07_2 : 20_x000D_
_x000D_
    TOTAL : ( 543 )_x000D_
  DIVISOR : 12_x000D_
    MÉDIA : 45,25</t>
        </r>
      </text>
    </comment>
    <comment ref="AB812" authorId="0" shapeId="0" xr:uid="{C61BACF8-550E-4E14-92F7-C69B60558416}">
      <text>
        <r>
          <rPr>
            <sz val="10"/>
            <color indexed="81"/>
            <rFont val="Lucida Console"/>
            <family val="3"/>
          </rPr>
          <t>Última movimentação no estoque em 07/2023 quantidade 20.</t>
        </r>
      </text>
    </comment>
    <comment ref="R813" authorId="0" shapeId="0" xr:uid="{0EECF6CF-3DCA-4E40-BB1B-8C58ECA8CC53}">
      <text>
        <r>
          <rPr>
            <sz val="10"/>
            <color indexed="81"/>
            <rFont val="Lucida Console"/>
            <family val="3"/>
          </rPr>
          <t>15.06.2021</t>
        </r>
      </text>
    </comment>
    <comment ref="Y813" authorId="0" shapeId="0" xr:uid="{DCBE8624-CA4F-46BE-935D-17B1652BBB86}">
      <text>
        <r>
          <rPr>
            <sz val="10"/>
            <color indexed="81"/>
            <rFont val="Courier New"/>
            <family val="3"/>
          </rPr>
          <t>_x000D_
    DESCRIÇÃO DO CÁLCULO_x000D_
Código    : 141.429_x000D_
Corte     : 66_x000D_
-----------------------------_x000D_
Pendente  : _x000D_
22 / 08_2 : 13_x000D_
22 / 09_2 : 24_x000D_
22 / 10_2 : 28_x000D_
22 / 11_2 : 23_x000D_
22 / 12_2 : 7_x000D_
23 / 01_2 : 33_x000D_
23 / 02_2 : 24_x000D_
23 / 03_2 : 25_x000D_
23 / 04_2 : 48_x000D_
23 / 05_2 : 25_x000D_
23 / 06_2 : 66 (corte = 76)_x000D_
23 / 07_2 : _x000D_
_x000D_
    TOTAL : ( 316 )_x000D_
  DIVISOR : 12_x000D_
    MÉDIA : 26,33_x000D_
-----------------------------_x000D_
   Valores Desconsiderados_x000D_
-----------------------------_x000D_
23 / 06_2 : 10 (76)_x000D_
_x000D_
  TOTAL   : ( 10 )</t>
        </r>
      </text>
    </comment>
    <comment ref="AB813" authorId="0" shapeId="0" xr:uid="{B4585E9F-2F83-4A74-8434-91516E3C6318}">
      <text>
        <r>
          <rPr>
            <sz val="10"/>
            <color indexed="81"/>
            <rFont val="Lucida Console"/>
            <family val="3"/>
          </rPr>
          <t>Última movimentação no estoque em 06/2023 quantidade 76.</t>
        </r>
      </text>
    </comment>
    <comment ref="R814" authorId="0" shapeId="0" xr:uid="{DD5E7A12-B3CF-4BFF-A930-B4F2F8E35827}">
      <text>
        <r>
          <rPr>
            <sz val="10"/>
            <color indexed="81"/>
            <rFont val="Lucida Console"/>
            <family val="3"/>
          </rPr>
          <t>24.06.2009</t>
        </r>
      </text>
    </comment>
    <comment ref="Y814" authorId="0" shapeId="0" xr:uid="{5FFDE7DD-7782-4F9B-81EF-9B508265F7EB}">
      <text>
        <r>
          <rPr>
            <sz val="10"/>
            <color indexed="81"/>
            <rFont val="Courier New"/>
            <family val="3"/>
          </rPr>
          <t>_x000D_
    DESCRIÇÃO DO CÁLCULO_x000D_
Código    : 111.524_x000D_
Corte     : 58_x000D_
-----------------------------_x000D_
Pendente  : _x000D_
22 / 08_2 : 18_x000D_
22 / 09_2 : 34_x000D_
22 / 10_2 : 14_x000D_
22 / 11_2 : 23_x000D_
22 / 12_2 : 22_x000D_
23 / 01_2 : 17_x000D_
23 / 02_2 : 25_x000D_
23 / 03_2 : 45_x000D_
23 / 04_2 : 32_x000D_
23 / 05_2 : 58 (corte = 60)_x000D_
23 / 06_2 : _x000D_
23 / 07_2 : _x000D_
_x000D_
    TOTAL : ( 288 )_x000D_
  DIVISOR : 12_x000D_
    MÉDIA : 24,00_x000D_
-----------------------------_x000D_
   Valores Desconsiderados_x000D_
-----------------------------_x000D_
23 / 05_2 : 2 (60)_x000D_
_x000D_
  TOTAL   : ( 2 )</t>
        </r>
      </text>
    </comment>
    <comment ref="AB814" authorId="0" shapeId="0" xr:uid="{9085273C-7763-42CA-A91C-1569761B376E}">
      <text>
        <r>
          <rPr>
            <sz val="10"/>
            <color indexed="81"/>
            <rFont val="Lucida Console"/>
            <family val="3"/>
          </rPr>
          <t>Última movimentação no estoque em 05/2023 quantidade 60.</t>
        </r>
      </text>
    </comment>
    <comment ref="R815" authorId="0" shapeId="0" xr:uid="{7437A6F1-74FD-433F-A9C0-FC90F4DA83E4}">
      <text>
        <r>
          <rPr>
            <sz val="10"/>
            <color indexed="81"/>
            <rFont val="Lucida Console"/>
            <family val="3"/>
          </rPr>
          <t>01.01.1901</t>
        </r>
      </text>
    </comment>
    <comment ref="Y815" authorId="0" shapeId="0" xr:uid="{04D9BC56-30C5-41EE-B01E-FE442B3D4263}">
      <text>
        <r>
          <rPr>
            <sz val="10"/>
            <color indexed="81"/>
            <rFont val="Courier New"/>
            <family val="3"/>
          </rPr>
          <t>_x000D_
    DESCRIÇÃO DO CÁLCULO_x000D_
Código    : 27.136_x000D_
Corte     : 43.084_x000D_
-----------------------------_x000D_
Pendente  : 18.899_x000D_
22 / 08_2 : 30.030_x000D_
22 / 09_2 : 29.564_x000D_
22 / 10_2 : 26.306_x000D_
22 / 11_2 : _x000D_
22 / 12_2 : _x000D_
23 / 01_2 : 32_x000D_
23 / 02_2 : _x000D_
23 / 03_2 : _x000D_
23 / 04_2 : _x000D_
23 / 05_2 : _x000D_
23 / 06_2 : 15.000_x000D_
23 / 07_2 : 39.614_x000D_
_x000D_
    TOTAL : ( 159.445 )_x000D_
  DIVISOR : 12_x000D_
    MÉDIA : 13.287,08</t>
        </r>
      </text>
    </comment>
    <comment ref="AB815" authorId="0" shapeId="0" xr:uid="{B4576AB7-52F8-4B1D-9CC0-47BE7E5EDE6D}">
      <text>
        <r>
          <rPr>
            <sz val="10"/>
            <color indexed="81"/>
            <rFont val="Lucida Console"/>
            <family val="3"/>
          </rPr>
          <t>Última movimentação no estoque em 07/2023 quantidade 39.614.</t>
        </r>
      </text>
    </comment>
    <comment ref="R816" authorId="0" shapeId="0" xr:uid="{FF16DED9-8414-4952-BC92-2AF8355FF982}">
      <text>
        <r>
          <rPr>
            <sz val="10"/>
            <color indexed="81"/>
            <rFont val="Lucida Console"/>
            <family val="3"/>
          </rPr>
          <t>30.10.2017</t>
        </r>
      </text>
    </comment>
    <comment ref="Y816" authorId="0" shapeId="0" xr:uid="{C640677E-F2BF-4CE5-9F0D-8E40366EC101}">
      <text>
        <r>
          <rPr>
            <sz val="10"/>
            <color indexed="81"/>
            <rFont val="Courier New"/>
            <family val="3"/>
          </rPr>
          <t>_x000D_
    DESCRIÇÃO DO CÁLCULO_x000D_
Código    : 133.791_x000D_
Corte     : 151_x000D_
-----------------------------_x000D_
Pendente  : _x000D_
22 / 08_2 : 26_x000D_
22 / 09_2 : 36_x000D_
22 / 10_2 : 17_x000D_
22 / 11_2 : 34_x000D_
22 / 12_2 : 59_x000D_
23 / 01_2 : 12_x000D_
23 / 02_2 : 35_x000D_
23 / 03_2 : 151 (corte = 162)_x000D_
23 / 04_2 : 135_x000D_
23 / 05_2 : 75_x000D_
23 / 06_2 : 69_x000D_
23 / 07_2 : 50_x000D_
_x000D_
    TOTAL : ( 699 )_x000D_
  DIVISOR : 12_x000D_
    MÉDIA : 58,25_x000D_
-----------------------------_x000D_
   Valores Desconsiderados_x000D_
-----------------------------_x000D_
23 / 03_2 : 11 (162)_x000D_
_x000D_
  TOTAL   : ( 11 )</t>
        </r>
      </text>
    </comment>
    <comment ref="AB816" authorId="0" shapeId="0" xr:uid="{17F3491E-8A18-4E82-A054-F9DD33DE00C8}">
      <text>
        <r>
          <rPr>
            <sz val="10"/>
            <color indexed="81"/>
            <rFont val="Lucida Console"/>
            <family val="3"/>
          </rPr>
          <t>Última movimentação no estoque em 07/2023 quantidade 50.</t>
        </r>
      </text>
    </comment>
    <comment ref="R817" authorId="0" shapeId="0" xr:uid="{0B5F67FB-1491-4EC7-BEF8-214A8EFCFDCD}">
      <text>
        <r>
          <rPr>
            <sz val="10"/>
            <color indexed="81"/>
            <rFont val="Lucida Console"/>
            <family val="3"/>
          </rPr>
          <t>01.01.1901</t>
        </r>
      </text>
    </comment>
    <comment ref="Y817" authorId="0" shapeId="0" xr:uid="{93043E6A-2497-4686-BA2A-4C930C4EF48D}">
      <text>
        <r>
          <rPr>
            <sz val="10"/>
            <color indexed="81"/>
            <rFont val="Courier New"/>
            <family val="3"/>
          </rPr>
          <t>_x000D_
    DESCRIÇÃO DO CÁLCULO_x000D_
Código    : 28.093_x000D_
Corte     : 1_x000D_
-----------------------------_x000D_
Pendente  : _x000D_
22 / 08_2 : _x000D_
22 / 09_2 : _x000D_
22 / 10_2 : 1 (corte = 3)_x000D_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2 (3)_x000D_
_x000D_
  TOTAL   : ( 2 )</t>
        </r>
      </text>
    </comment>
    <comment ref="AB817" authorId="0" shapeId="0" xr:uid="{F8AF6361-0A3F-4756-8507-D7BCE3584550}">
      <text>
        <r>
          <rPr>
            <sz val="10"/>
            <color indexed="81"/>
            <rFont val="Lucida Console"/>
            <family val="3"/>
          </rPr>
          <t>Última movimentação no estoque em 10/2022 quantidade 3.</t>
        </r>
      </text>
    </comment>
    <comment ref="R818" authorId="0" shapeId="0" xr:uid="{9EC718AF-F0B1-42ED-9F56-1BA2BCE919EB}">
      <text>
        <r>
          <rPr>
            <sz val="10"/>
            <color indexed="81"/>
            <rFont val="Lucida Console"/>
            <family val="3"/>
          </rPr>
          <t>19.10.2007</t>
        </r>
      </text>
    </comment>
    <comment ref="Y818" authorId="0" shapeId="0" xr:uid="{AE622964-15E4-4DD1-989F-342850106553}">
      <text>
        <r>
          <rPr>
            <sz val="10"/>
            <color indexed="81"/>
            <rFont val="Courier New"/>
            <family val="3"/>
          </rPr>
          <t>_x000D_
    DESCRIÇÃO DO CÁLCULO_x000D_
Código    : 102.822_x000D_
Corte     : 2_x000D_
-----------------------------_x000D_
Pendente  : _x000D_
22 / 08_2 : _x000D_
22 / 09_2 : _x000D_
22 / 10_2 : 1_x000D_
22 / 11_2 : _x000D_
22 / 12_2 : 2 (corte = 3)_x000D_
23 / 01_2 : 2_x000D_
23 / 02_2 : 1_x000D_
23 / 03_2 : _x000D_
23 / 04_2 : _x000D_
23 / 05_2 : _x000D_
23 / 06_2 : _x000D_
23 / 07_2 : _x000D_
_x000D_
    TOTAL : ( 6 )_x000D_
  DIVISOR : 12_x000D_
    MÉDIA : ,50_x000D_
-----------------------------_x000D_
   Valores Desconsiderados_x000D_
-----------------------------_x000D_
22 / 12_2 : 1 (3)_x000D_
_x000D_
  TOTAL   : ( 1 )</t>
        </r>
      </text>
    </comment>
    <comment ref="AB818" authorId="0" shapeId="0" xr:uid="{CF3AE174-EC0A-4E92-A300-27FA506F26BB}">
      <text>
        <r>
          <rPr>
            <sz val="10"/>
            <color indexed="81"/>
            <rFont val="Lucida Console"/>
            <family val="3"/>
          </rPr>
          <t>Última movimentação no estoque em 02/2023 quantidade 1.</t>
        </r>
      </text>
    </comment>
    <comment ref="R819" authorId="0" shapeId="0" xr:uid="{2CCBDE17-99A6-4081-90B8-33E3D5EF0F77}">
      <text>
        <r>
          <rPr>
            <sz val="10"/>
            <color indexed="81"/>
            <rFont val="Lucida Console"/>
            <family val="3"/>
          </rPr>
          <t>01.01.1901</t>
        </r>
      </text>
    </comment>
    <comment ref="Y819" authorId="0" shapeId="0" xr:uid="{83660CEB-E109-48A9-8F7D-0F1259AEFCDF}">
      <text>
        <r>
          <rPr>
            <sz val="10"/>
            <color indexed="81"/>
            <rFont val="Courier New"/>
            <family val="3"/>
          </rPr>
          <t>_x000D_
    DESCRIÇÃO DO CÁLCULO_x000D_
Código    : 12.853_x000D_
Corte     : 14_x000D_
-----------------------------_x000D_
Pendente  : 5_x000D_
22 / 08_2 : 14 (corte = 22)_x000D_
22 / 09_2 : _x000D_
22 / 10_2 : _x000D_
22 / 11_2 : _x000D_
22 / 12_2 : _x000D_
23 / 01_2 : _x000D_
23 / 02_2 : _x000D_
23 / 03_2 : _x000D_
23 / 04_2 : _x000D_
23 / 05_2 : _x000D_
23 / 06_2 : _x000D_
23 / 07_2 : _x000D_
_x000D_
    TOTAL : ( 19 )_x000D_
  DIVISOR : 12_x000D_
    MÉDIA : 1,58_x000D_
-----------------------------_x000D_
   Valores Desconsiderados_x000D_
-----------------------------_x000D_
22 / 08_2 : 8 (22)_x000D_
_x000D_
  TOTAL   : ( 8 )</t>
        </r>
      </text>
    </comment>
    <comment ref="AB819" authorId="0" shapeId="0" xr:uid="{05D64D97-C8BE-4EEF-943E-4508B3795616}">
      <text>
        <r>
          <rPr>
            <sz val="10"/>
            <color indexed="81"/>
            <rFont val="Lucida Console"/>
            <family val="3"/>
          </rPr>
          <t>Última movimentação no estoque em 08/2022 quantidade 22.</t>
        </r>
      </text>
    </comment>
    <comment ref="R820" authorId="0" shapeId="0" xr:uid="{8FB05F0B-A8BE-4420-B77A-D4F0150D5787}">
      <text>
        <r>
          <rPr>
            <sz val="10"/>
            <color indexed="81"/>
            <rFont val="Lucida Console"/>
            <family val="3"/>
          </rPr>
          <t>01.01.1901</t>
        </r>
      </text>
    </comment>
    <comment ref="Y820" authorId="0" shapeId="0" xr:uid="{829A7FCA-0A97-4875-BD3F-D2B41C6512E7}">
      <text>
        <r>
          <rPr>
            <sz val="10"/>
            <color indexed="81"/>
            <rFont val="Courier New"/>
            <family val="3"/>
          </rPr>
          <t>_x000D_
    DESCRIÇÃO DO CÁLCULO_x000D_
Código    : 12.856_x000D_
Corte     : 1.179_x000D_
-----------------------------_x000D_
Pendente  : _x000D_
22 / 08_2 : 155_x000D_
22 / 09_2 : 130_x000D_
22 / 10_2 : 153_x000D_
22 / 11_2 : 146_x000D_
22 / 12_2 : 119_x000D_
23 / 01_2 : 93_x000D_
23 / 02_2 : 145_x000D_
23 / 03_2 : 1.179 (corte = 1716)_x000D_
23 / 04_2 : 125_x000D_
23 / 05_2 : 77_x000D_
23 / 06_2 : 141_x000D_
23 / 07_2 : 146_x000D_
_x000D_
    TOTAL : ( 2.609 )_x000D_
  DIVISOR : 12_x000D_
    MÉDIA : 217,42_x000D_
-----------------------------_x000D_
   Valores Desconsiderados_x000D_
-----------------------------_x000D_
23 / 03_2 : 537 (1.716)_x000D_
_x000D_
  TOTAL   : ( 537 )</t>
        </r>
      </text>
    </comment>
    <comment ref="AB820" authorId="0" shapeId="0" xr:uid="{65E5607F-4CD6-4092-887A-4F77F60730F5}">
      <text>
        <r>
          <rPr>
            <sz val="10"/>
            <color indexed="81"/>
            <rFont val="Lucida Console"/>
            <family val="3"/>
          </rPr>
          <t>Última movimentação no estoque em 07/2023 quantidade 146.</t>
        </r>
      </text>
    </comment>
    <comment ref="R821" authorId="0" shapeId="0" xr:uid="{1E44CAB9-8A94-44CC-B08F-6338F50F1300}">
      <text>
        <r>
          <rPr>
            <sz val="10"/>
            <color indexed="81"/>
            <rFont val="Lucida Console"/>
            <family val="3"/>
          </rPr>
          <t>27.09.2007</t>
        </r>
      </text>
    </comment>
    <comment ref="Y821" authorId="0" shapeId="0" xr:uid="{F0CE6479-AB62-49C9-9BEB-5332ED409D47}">
      <text>
        <r>
          <rPr>
            <sz val="10"/>
            <color indexed="81"/>
            <rFont val="Courier New"/>
            <family val="3"/>
          </rPr>
          <t>_x000D_
    DESCRIÇÃO DO CÁLCULO_x000D_
Código    : 102.276_x000D_
Corte     : 19_x000D_
-----------------------------_x000D_
Pendente  : _x000D_
22 / 08_2 : 15_x000D_
22 / 09_2 : _x000D_
22 / 10_2 : 19 (corte = 25)_x000D_
22 / 11_2 : _x000D_
22 / 12_2 : _x000D_
23 / 01_2 : _x000D_
23 / 02_2 : _x000D_
23 / 03_2 : _x000D_
23 / 04_2 : _x000D_
23 / 05_2 : _x000D_
23 / 06_2 : _x000D_
23 / 07_2 : 2_x000D_
_x000D_
    TOTAL : ( 36 )_x000D_
  DIVISOR : 12_x000D_
    MÉDIA : 3,00_x000D_
-----------------------------_x000D_
   Valores Desconsiderados_x000D_
-----------------------------_x000D_
22 / 10_2 : 6 (25)_x000D_
_x000D_
  TOTAL   : ( 6 )</t>
        </r>
      </text>
    </comment>
    <comment ref="AB821" authorId="0" shapeId="0" xr:uid="{2799EA2D-0CC9-41DD-AA66-565A141D1494}">
      <text>
        <r>
          <rPr>
            <sz val="10"/>
            <color indexed="81"/>
            <rFont val="Lucida Console"/>
            <family val="3"/>
          </rPr>
          <t>Última movimentação no estoque em 07/2023 quantidade 2.</t>
        </r>
      </text>
    </comment>
    <comment ref="R822" authorId="0" shapeId="0" xr:uid="{A8BFB710-57FC-46B5-A59F-C35DD3B71C57}">
      <text>
        <r>
          <rPr>
            <sz val="10"/>
            <color indexed="81"/>
            <rFont val="Lucida Console"/>
            <family val="3"/>
          </rPr>
          <t>27.09.2007</t>
        </r>
      </text>
    </comment>
    <comment ref="Y822" authorId="0" shapeId="0" xr:uid="{B1C17F36-15C9-4699-8E75-2E6A1A98C6AF}">
      <text>
        <r>
          <rPr>
            <sz val="10"/>
            <color indexed="81"/>
            <rFont val="Courier New"/>
            <family val="3"/>
          </rPr>
          <t>_x000D_
    DESCRIÇÃO DO CÁLCULO_x000D_
Código    : 102.279_x000D_
Corte     : 19_x000D_
-----------------------------_x000D_
Pendente  : 20_x000D_
22 / 08_2 : 15_x000D_
22 / 09_2 : 10_x000D_
22 / 10_2 : 5_x000D_
22 / 11_2 : _x000D_
22 / 12_2 : _x000D_
23 / 01_2 : _x000D_
23 / 02_2 : _x000D_
23 / 03_2 : 10_x000D_
23 / 04_2 : _x000D_
23 / 05_2 : 10_x000D_
23 / 06_2 : _x000D_
23 / 07_2 : _x000D_
_x000D_
    TOTAL : ( 70 )_x000D_
  DIVISOR : 12_x000D_
    MÉDIA : 5,83</t>
        </r>
      </text>
    </comment>
    <comment ref="AB822" authorId="0" shapeId="0" xr:uid="{8FA9B8B5-51C4-41AB-9E9C-42C63B3EE43A}">
      <text>
        <r>
          <rPr>
            <sz val="10"/>
            <color indexed="81"/>
            <rFont val="Lucida Console"/>
            <family val="3"/>
          </rPr>
          <t>Última movimentação no estoque em 05/2023 quantidade 10.</t>
        </r>
      </text>
    </comment>
    <comment ref="R823" authorId="0" shapeId="0" xr:uid="{8694B6BA-4E13-48DD-9F8F-0CC0BF5D189C}">
      <text>
        <r>
          <rPr>
            <sz val="10"/>
            <color indexed="81"/>
            <rFont val="Lucida Console"/>
            <family val="3"/>
          </rPr>
          <t>27.09.2007</t>
        </r>
      </text>
    </comment>
    <comment ref="Y823" authorId="0" shapeId="0" xr:uid="{B665D0C5-664D-4984-BDDE-6E683F1E0CC0}">
      <text>
        <r>
          <rPr>
            <sz val="10"/>
            <color indexed="81"/>
            <rFont val="Courier New"/>
            <family val="3"/>
          </rPr>
          <t>_x000D_
    DESCRIÇÃO DO CÁLCULO_x000D_
Código    : 102.278_x000D_
Corte     : 3_x000D_
-----------------------------_x000D_
Pendente  : _x000D_
22 / 08_2 : 3 (corte = 5)_x000D_
22 / 09_2 : 3_x000D_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2 (5)_x000D_
_x000D_
  TOTAL   : ( 2 )</t>
        </r>
      </text>
    </comment>
    <comment ref="AB823" authorId="0" shapeId="0" xr:uid="{CE00FD6A-C0E7-4AFC-AAC5-B49A9B725225}">
      <text>
        <r>
          <rPr>
            <sz val="10"/>
            <color indexed="81"/>
            <rFont val="Lucida Console"/>
            <family val="3"/>
          </rPr>
          <t>Última movimentação no estoque em 09/2022 quantidade 3.</t>
        </r>
      </text>
    </comment>
    <comment ref="R824" authorId="0" shapeId="0" xr:uid="{FBE7AD1B-2003-41E9-92C6-15CC92DB507D}">
      <text>
        <r>
          <rPr>
            <sz val="10"/>
            <color indexed="81"/>
            <rFont val="Lucida Console"/>
            <family val="3"/>
          </rPr>
          <t>03.09.2007</t>
        </r>
      </text>
    </comment>
    <comment ref="Y824" authorId="0" shapeId="0" xr:uid="{1B3407EC-A3BD-4C9A-8756-D70F396939F5}">
      <text>
        <r>
          <rPr>
            <sz val="10"/>
            <color indexed="81"/>
            <rFont val="Courier New"/>
            <family val="3"/>
          </rPr>
          <t>_x000D_
    DESCRIÇÃO DO CÁLCULO_x000D_
Código    : 101.867_x000D_
Corte     : 14_x000D_
-----------------------------_x000D_
Pendente  : _x000D_
22 / 08_2 : 9_x000D_
22 / 09_2 : _x000D_
22 / 10_2 : _x000D_
22 / 11_2 : _x000D_
22 / 12_2 : _x000D_
23 / 01_2 : _x000D_
23 / 02_2 : 1_x000D_
23 / 03_2 : 14 (corte = 20)_x000D_
23 / 04_2 : _x000D_
23 / 05_2 : _x000D_
23 / 06_2 : _x000D_
23 / 07_2 : _x000D_
_x000D_
    TOTAL : ( 24 )_x000D_
  DIVISOR : 12_x000D_
    MÉDIA : 2,00_x000D_
-----------------------------_x000D_
   Valores Desconsiderados_x000D_
-----------------------------_x000D_
23 / 03_2 : 6 (20)_x000D_
_x000D_
  TOTAL   : ( 6 )</t>
        </r>
      </text>
    </comment>
    <comment ref="AB824" authorId="0" shapeId="0" xr:uid="{76B48FF5-16D1-40D4-8510-E66AB5F92B4C}">
      <text>
        <r>
          <rPr>
            <sz val="10"/>
            <color indexed="81"/>
            <rFont val="Lucida Console"/>
            <family val="3"/>
          </rPr>
          <t>Última movimentação no estoque em 03/2023 quantidade 20.</t>
        </r>
      </text>
    </comment>
    <comment ref="R825" authorId="0" shapeId="0" xr:uid="{F009A945-01BE-420F-B3A9-CA7C3BD3D339}">
      <text>
        <r>
          <rPr>
            <sz val="10"/>
            <color indexed="81"/>
            <rFont val="Lucida Console"/>
            <family val="3"/>
          </rPr>
          <t>19.09.2011</t>
        </r>
      </text>
    </comment>
    <comment ref="Y825" authorId="0" shapeId="0" xr:uid="{94B3A6F6-D97D-4A2D-8619-3FBC264ABF68}">
      <text>
        <r>
          <rPr>
            <sz val="10"/>
            <color indexed="81"/>
            <rFont val="Courier New"/>
            <family val="3"/>
          </rPr>
          <t>_x000D_
    DESCRIÇÃO DO CÁLCULO_x000D_
Código    : 121.054_x000D_
Corte     : _x000D_
-----------------------------_x000D_
Pendente  : _x000D_
22 / 08_2 :  (corte = 1)_x000D_
22 / 09_2 : _x000D_
22 / 10_2 : _x000D_
22 / 11_2 : _x000D_
22 / 12_2 : _x000D_
23 / 01_2 : _x000D_
23 / 02_2 : _x000D_
23 / 03_2 : _x000D_
23 / 04_2 : _x000D_
23 / 05_2 : _x000D_
23 / 06_2 : _x000D_
23 / 07_2 :  (corte = 1)_x000D_
_x000D_
    TOTAL : (  )_x000D_
  DIVISOR : 12_x000D_
    MÉDIA : ,00_x000D_
-----------------------------_x000D_
   Valores Desconsiderados_x000D_
-----------------------------_x000D_
22 / 08_2 : 1 (1)_x000D_
23 / 07_2 : 1 (1)_x000D_
_x000D_
  TOTAL   : ( 2 )</t>
        </r>
      </text>
    </comment>
    <comment ref="AB825" authorId="0" shapeId="0" xr:uid="{B2D71229-5828-4554-BA68-28B4E0B7DC91}">
      <text>
        <r>
          <rPr>
            <sz val="10"/>
            <color indexed="81"/>
            <rFont val="Lucida Console"/>
            <family val="3"/>
          </rPr>
          <t>Última movimentação no estoque em 07/2023 quantidade 1.</t>
        </r>
      </text>
    </comment>
    <comment ref="R826" authorId="0" shapeId="0" xr:uid="{1CEF64F4-B1E8-4A43-B630-3A5F9DFB66DD}">
      <text>
        <r>
          <rPr>
            <sz val="10"/>
            <color indexed="81"/>
            <rFont val="Lucida Console"/>
            <family val="3"/>
          </rPr>
          <t>03.09.2007</t>
        </r>
      </text>
    </comment>
    <comment ref="Y826" authorId="0" shapeId="0" xr:uid="{E4F7A010-DBA6-4ADA-A894-46AD755311E8}">
      <text>
        <r>
          <rPr>
            <sz val="10"/>
            <color indexed="81"/>
            <rFont val="Courier New"/>
            <family val="3"/>
          </rPr>
          <t>_x000D_
    DESCRIÇÃO DO CÁLCULO_x000D_
Código    : 101.868_x000D_
Corte     : 23_x000D_
-----------------------------_x000D_
Pendente  : _x000D_
22 / 08_2 : 23 (corte = 30)_x000D_
22 / 09_2 : _x000D_
22 / 10_2 : 8_x000D_
22 / 11_2 : _x000D_
22 / 12_2 : 1_x000D_
23 / 01_2 : _x000D_
23 / 02_2 : 3_x000D_
23 / 03_2 : 6_x000D_
23 / 04_2 : _x000D_
23 / 05_2 : _x000D_
23 / 06_2 : 15_x000D_
23 / 07_2 : _x000D_
_x000D_
    TOTAL : ( 56 )_x000D_
  DIVISOR : 12_x000D_
    MÉDIA : 4,67_x000D_
-----------------------------_x000D_
   Valores Desconsiderados_x000D_
-----------------------------_x000D_
22 / 08_2 : 7 (30)_x000D_
_x000D_
  TOTAL   : ( 7 )</t>
        </r>
      </text>
    </comment>
    <comment ref="AB826" authorId="0" shapeId="0" xr:uid="{4BDCDF19-9F39-4B31-B9B8-941BA4DFC1D4}">
      <text>
        <r>
          <rPr>
            <sz val="10"/>
            <color indexed="81"/>
            <rFont val="Lucida Console"/>
            <family val="3"/>
          </rPr>
          <t>Última movimentação no estoque em 06/2023 quantidade 15.</t>
        </r>
      </text>
    </comment>
    <comment ref="R827" authorId="0" shapeId="0" xr:uid="{6C8A6E30-7ACD-4DCF-90EE-761108CF2B72}">
      <text>
        <r>
          <rPr>
            <sz val="10"/>
            <color indexed="81"/>
            <rFont val="Lucida Console"/>
            <family val="3"/>
          </rPr>
          <t>01.01.1901</t>
        </r>
      </text>
    </comment>
    <comment ref="Y827" authorId="0" shapeId="0" xr:uid="{F598D4BC-678C-48E3-B34D-9B9AADFDF120}">
      <text>
        <r>
          <rPr>
            <sz val="10"/>
            <color indexed="81"/>
            <rFont val="Courier New"/>
            <family val="3"/>
          </rPr>
          <t>_x000D_
    DESCRIÇÃO DO CÁLCULO_x000D_
Código    : 54.550_x000D_
Corte     : 132_x000D_
-----------------------------_x000D_
Pendente  : _x000D_
22 / 08_2 : 66_x000D_
22 / 09_2 : 95_x000D_
22 / 10_2 : 11_x000D_
22 / 11_2 : 40_x000D_
22 / 12_2 : 112_x000D_
23 / 01_2 : 70_x000D_
23 / 02_2 : 6_x000D_
23 / 03_2 : _x000D_
23 / 04_2 : 60_x000D_
23 / 05_2 : _x000D_
23 / 06_2 : 100_x000D_
23 / 07_2 : _x000D_
_x000D_
    TOTAL : ( 560 )_x000D_
  DIVISOR : 12_x000D_
    MÉDIA : 46,67</t>
        </r>
      </text>
    </comment>
    <comment ref="AB827" authorId="0" shapeId="0" xr:uid="{AD27131B-573A-4188-9F22-D7D1C5722BC9}">
      <text>
        <r>
          <rPr>
            <sz val="10"/>
            <color indexed="81"/>
            <rFont val="Lucida Console"/>
            <family val="3"/>
          </rPr>
          <t>Última movimentação no estoque em 06/2023 quantidade 100.</t>
        </r>
      </text>
    </comment>
    <comment ref="R828" authorId="0" shapeId="0" xr:uid="{E06A81D3-DD38-404A-A2C0-D361A019EA51}">
      <text>
        <r>
          <rPr>
            <sz val="10"/>
            <color indexed="81"/>
            <rFont val="Lucida Console"/>
            <family val="3"/>
          </rPr>
          <t>01.01.1901</t>
        </r>
      </text>
    </comment>
    <comment ref="Y828" authorId="0" shapeId="0" xr:uid="{9E243303-FB00-45DD-9A98-D711CD686D24}">
      <text>
        <r>
          <rPr>
            <sz val="10"/>
            <color indexed="81"/>
            <rFont val="Courier New"/>
            <family val="3"/>
          </rPr>
          <t>_x000D_
    DESCRIÇÃO DO CÁLCULO_x000D_
Código    : 54.552_x000D_
Corte     : 128_x000D_
-----------------------------_x000D_
Pendente  : 26_x000D_
22 / 08_2 : 100_x000D_
22 / 09_2 : _x000D_
22 / 10_2 : _x000D_
22 / 11_2 : _x000D_
22 / 12_2 : 128 (corte = 144)_x000D_
23 / 01_2 : 40_x000D_
23 / 02_2 : 5_x000D_
23 / 03_2 : _x000D_
23 / 04_2 : 80_x000D_
23 / 05_2 : _x000D_
23 / 06_2 : _x000D_
23 / 07_2 : _x000D_
_x000D_
    TOTAL : ( 379 )_x000D_
  DIVISOR : 12_x000D_
    MÉDIA : 31,58_x000D_
-----------------------------_x000D_
   Valores Desconsiderados_x000D_
-----------------------------_x000D_
22 / 12_2 : 16 (144)_x000D_
_x000D_
  TOTAL   : ( 16 )</t>
        </r>
      </text>
    </comment>
    <comment ref="AB828" authorId="0" shapeId="0" xr:uid="{6223EDEA-B346-4983-BB2F-1EE97A185FDF}">
      <text>
        <r>
          <rPr>
            <sz val="10"/>
            <color indexed="81"/>
            <rFont val="Lucida Console"/>
            <family val="3"/>
          </rPr>
          <t>Última movimentação no estoque em 04/2023 quantidade 80.</t>
        </r>
      </text>
    </comment>
    <comment ref="R829" authorId="0" shapeId="0" xr:uid="{8336F52B-2081-44D1-A704-20A6C693B656}">
      <text>
        <r>
          <rPr>
            <sz val="10"/>
            <color indexed="81"/>
            <rFont val="Lucida Console"/>
            <family val="3"/>
          </rPr>
          <t>01.01.1901</t>
        </r>
      </text>
    </comment>
    <comment ref="Y829" authorId="0" shapeId="0" xr:uid="{FADB35A2-3A06-4C7D-B6C5-EF5720703DA1}">
      <text>
        <r>
          <rPr>
            <sz val="10"/>
            <color indexed="81"/>
            <rFont val="Courier New"/>
            <family val="3"/>
          </rPr>
          <t>_x000D_
    DESCRIÇÃO DO CÁLCULO_x000D_
Código    : 44.398_x000D_
Corte     : 207_x000D_
-----------------------------_x000D_
Pendente  : _x000D_
22 / 08_2 : 124_x000D_
22 / 09_2 : _x000D_
22 / 10_2 : _x000D_
22 / 11_2 : _x000D_
22 / 12_2 : _x000D_
23 / 01_2 : _x000D_
23 / 02_2 : _x000D_
23 / 03_2 : _x000D_
23 / 04_2 : _x000D_
23 / 05_2 : 190_x000D_
23 / 06_2 : 207 (corte = 212)_x000D_
23 / 07_2 : _x000D_
_x000D_
    TOTAL : ( 521 )_x000D_
  DIVISOR : 12_x000D_
    MÉDIA : 43,42_x000D_
-----------------------------_x000D_
   Valores Desconsiderados_x000D_
-----------------------------_x000D_
23 / 06_2 : 5 (212)_x000D_
_x000D_
  TOTAL   : ( 5 )</t>
        </r>
      </text>
    </comment>
    <comment ref="AB829" authorId="0" shapeId="0" xr:uid="{10D27C50-118E-4A5F-AACA-EFFA6D445D6E}">
      <text>
        <r>
          <rPr>
            <sz val="10"/>
            <color indexed="81"/>
            <rFont val="Lucida Console"/>
            <family val="3"/>
          </rPr>
          <t>Última movimentação no estoque em 06/2023 quantidade 212.</t>
        </r>
      </text>
    </comment>
    <comment ref="R830" authorId="0" shapeId="0" xr:uid="{24F4CC5D-056B-453A-9BD2-BBAF257354E0}">
      <text>
        <r>
          <rPr>
            <sz val="10"/>
            <color indexed="81"/>
            <rFont val="Lucida Console"/>
            <family val="3"/>
          </rPr>
          <t>01.01.1901</t>
        </r>
      </text>
    </comment>
    <comment ref="Y830" authorId="0" shapeId="0" xr:uid="{A2A8F423-4072-460D-BB97-BF9D050DF1E8}">
      <text>
        <r>
          <rPr>
            <sz val="10"/>
            <color indexed="81"/>
            <rFont val="Courier New"/>
            <family val="3"/>
          </rPr>
          <t>_x000D_
    DESCRIÇÃO DO CÁLCULO_x000D_
Código    : 28.512_x000D_
Corte     : 33_x000D_
-----------------------------_x000D_
Pendente  : _x000D_
22 / 08_2 : 33 (corte = 50)_x000D_
22 / 09_2 : _x000D_
22 / 10_2 : _x000D_
22 / 11_2 : _x000D_
22 / 12_2 : _x000D_
23 / 01_2 : _x000D_
23 / 02_2 : _x000D_
23 / 03_2 : _x000D_
23 / 04_2 : _x000D_
23 / 05_2 : _x000D_
23 / 06_2 : _x000D_
23 / 07_2 : _x000D_
_x000D_
    TOTAL : ( 33 )_x000D_
  DIVISOR : 12_x000D_
    MÉDIA : 2,75_x000D_
-----------------------------_x000D_
   Valores Desconsiderados_x000D_
-----------------------------_x000D_
22 / 08_2 : 17 (50)_x000D_
_x000D_
  TOTAL   : ( 17 )</t>
        </r>
      </text>
    </comment>
    <comment ref="AB830" authorId="0" shapeId="0" xr:uid="{8681D249-527B-4557-AA79-47A88C9648B7}">
      <text>
        <r>
          <rPr>
            <sz val="10"/>
            <color indexed="81"/>
            <rFont val="Lucida Console"/>
            <family val="3"/>
          </rPr>
          <t>Última movimentação no estoque em 08/2022 quantidade 50.</t>
        </r>
      </text>
    </comment>
    <comment ref="R831" authorId="0" shapeId="0" xr:uid="{5F9E02B9-5413-423A-802A-9331170FAA50}">
      <text>
        <r>
          <rPr>
            <sz val="10"/>
            <color indexed="81"/>
            <rFont val="Lucida Console"/>
            <family val="3"/>
          </rPr>
          <t>01.01.1901</t>
        </r>
      </text>
    </comment>
    <comment ref="Y831" authorId="0" shapeId="0" xr:uid="{2A416F9E-FCDB-49EA-AAA4-385ADCD29440}">
      <text>
        <r>
          <rPr>
            <sz val="10"/>
            <color indexed="81"/>
            <rFont val="Courier New"/>
            <family val="3"/>
          </rPr>
          <t>_x000D_
    DESCRIÇÃO DO CÁLCULO_x000D_
Código    : 59.097_x000D_
Corte     : 20_x000D_
-----------------------------_x000D_
Pendente  : 5_x000D_
22 / 08_2 : 7_x000D_
22 / 09_2 : _x000D_
22 / 10_2 : 7_x000D_
22 / 11_2 : 20 (corte = 24)_x000D_
22 / 12_2 : 2_x000D_
23 / 01_2 : 16_x000D_
23 / 02_2 : 6_x000D_
23 / 03_2 : 6_x000D_
23 / 04_2 : _x000D_
23 / 05_2 : 2_x000D_
23 / 06_2 : _x000D_
23 / 07_2 : _x000D_
_x000D_
    TOTAL : ( 71 )_x000D_
  DIVISOR : 12_x000D_
    MÉDIA : 5,92_x000D_
-----------------------------_x000D_
   Valores Desconsiderados_x000D_
-----------------------------_x000D_
22 / 11_2 : 4 (24)_x000D_
_x000D_
  TOTAL   : ( 4 )</t>
        </r>
      </text>
    </comment>
    <comment ref="AB831" authorId="0" shapeId="0" xr:uid="{CE906E97-CA9C-4C92-B752-D500A8D011E1}">
      <text>
        <r>
          <rPr>
            <sz val="10"/>
            <color indexed="81"/>
            <rFont val="Lucida Console"/>
            <family val="3"/>
          </rPr>
          <t>Última movimentação no estoque em 05/2023 quantidade 2.</t>
        </r>
      </text>
    </comment>
    <comment ref="R832" authorId="0" shapeId="0" xr:uid="{ECDE4892-1783-4D5F-AE92-831B4E2AB7A4}">
      <text>
        <r>
          <rPr>
            <sz val="10"/>
            <color indexed="81"/>
            <rFont val="Lucida Console"/>
            <family val="3"/>
          </rPr>
          <t>01.01.1901</t>
        </r>
      </text>
    </comment>
    <comment ref="Y832" authorId="0" shapeId="0" xr:uid="{323D0A32-C18C-43FB-9CD9-1F8E8F77B89A}">
      <text>
        <r>
          <rPr>
            <sz val="10"/>
            <color indexed="81"/>
            <rFont val="Courier New"/>
            <family val="3"/>
          </rPr>
          <t>_x000D_
    DESCRIÇÃO DO CÁLCULO_x000D_
Código    : 27.761_x000D_
Corte     : 1_x000D_
-----------------------------_x000D_
Pendente  : _x000D_
22 / 08_2 : 1_x000D_
22 / 09_2 : _x000D_
22 / 10_2 : _x000D_
22 / 11_2 : _x000D_
22 / 12_2 : _x000D_
23 / 01_2 : 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832" authorId="0" shapeId="0" xr:uid="{4CF2AC67-9BB2-4759-909C-6D654B83F939}">
      <text>
        <r>
          <rPr>
            <sz val="10"/>
            <color indexed="81"/>
            <rFont val="Lucida Console"/>
            <family val="3"/>
          </rPr>
          <t>Última movimentação no estoque em 06/2023 quantidade 2.</t>
        </r>
      </text>
    </comment>
    <comment ref="R833" authorId="0" shapeId="0" xr:uid="{A6C8A0F1-B516-4D66-A1E2-ECE18BB4D198}">
      <text>
        <r>
          <rPr>
            <sz val="10"/>
            <color indexed="81"/>
            <rFont val="Lucida Console"/>
            <family val="3"/>
          </rPr>
          <t>01.01.1901</t>
        </r>
      </text>
    </comment>
    <comment ref="Y833" authorId="0" shapeId="0" xr:uid="{57EDFADB-51A1-444E-B457-3FE4CD74CD4A}">
      <text>
        <r>
          <rPr>
            <sz val="10"/>
            <color indexed="81"/>
            <rFont val="Courier New"/>
            <family val="3"/>
          </rPr>
          <t>_x000D_
    DESCRIÇÃO DO CÁLCULO_x000D_
Código    : 13.559_x000D_
Corte     : 48_x000D_
-----------------------------_x000D_
Pendente  : 29_x000D_
22 / 08_2 : 11_x000D_
22 / 09_2 : 26_x000D_
22 / 10_2 : 27_x000D_
22 / 11_2 : 18_x000D_
22 / 12_2 : 12_x000D_
23 / 01_2 : 15_x000D_
23 / 02_2 : 17_x000D_
23 / 03_2 : 48 (corte = 54)_x000D_
23 / 04_2 : 9_x000D_
23 / 05_2 : _x000D_
23 / 06_2 : _x000D_
23 / 07_2 : _x000D_
_x000D_
    TOTAL : ( 212 )_x000D_
  DIVISOR : 12_x000D_
    MÉDIA : 17,67_x000D_
-----------------------------_x000D_
   Valores Desconsiderados_x000D_
-----------------------------_x000D_
23 / 03_2 : 6 (54)_x000D_
_x000D_
  TOTAL   : ( 6 )</t>
        </r>
      </text>
    </comment>
    <comment ref="AB833" authorId="0" shapeId="0" xr:uid="{02143CB7-D3CA-4174-82A1-1D8398E05663}">
      <text>
        <r>
          <rPr>
            <sz val="10"/>
            <color indexed="81"/>
            <rFont val="Lucida Console"/>
            <family val="3"/>
          </rPr>
          <t>Última movimentação no estoque em 04/2023 quantidade 9.</t>
        </r>
      </text>
    </comment>
    <comment ref="R834" authorId="0" shapeId="0" xr:uid="{9E4307E7-49CC-4EA8-90AE-B9AD33E03B3E}">
      <text>
        <r>
          <rPr>
            <sz val="10"/>
            <color indexed="81"/>
            <rFont val="Lucida Console"/>
            <family val="3"/>
          </rPr>
          <t>01.01.1901</t>
        </r>
      </text>
    </comment>
    <comment ref="Y834" authorId="0" shapeId="0" xr:uid="{613D47AB-F494-4B6B-8C08-6B125DD14178}">
      <text>
        <r>
          <rPr>
            <sz val="10"/>
            <color indexed="81"/>
            <rFont val="Courier New"/>
            <family val="3"/>
          </rPr>
          <t>_x000D_
    DESCRIÇÃO DO CÁLCULO_x000D_
Código    : 13.562_x000D_
Corte     : 74_x000D_
-----------------------------_x000D_
Pendente  : _x000D_
22 / 08_2 : 70_x000D_
22 / 09_2 : 16_x000D_
22 / 10_2 : 22_x000D_
22 / 11_2 : 30_x000D_
22 / 12_2 : 53_x000D_
23 / 01_2 : 25_x000D_
23 / 02_2 : 42_x000D_
23 / 03_2 : 59_x000D_
23 / 04_2 : 61_x000D_
23 / 05_2 : 30_x000D_
23 / 06_2 : 25_x000D_
23 / 07_2 : 22_x000D_
_x000D_
    TOTAL : ( 455 )_x000D_
  DIVISOR : 12_x000D_
    MÉDIA : 37,92</t>
        </r>
      </text>
    </comment>
    <comment ref="AB834" authorId="0" shapeId="0" xr:uid="{88ECF004-B4EB-4BBA-B81F-EA927926A446}">
      <text>
        <r>
          <rPr>
            <sz val="10"/>
            <color indexed="81"/>
            <rFont val="Lucida Console"/>
            <family val="3"/>
          </rPr>
          <t>Última movimentação no estoque em 07/2023 quantidade 22.</t>
        </r>
      </text>
    </comment>
    <comment ref="R835" authorId="0" shapeId="0" xr:uid="{C28E3D69-C4EC-48E5-A0DF-24564D7CA035}">
      <text>
        <r>
          <rPr>
            <sz val="10"/>
            <color indexed="81"/>
            <rFont val="Lucida Console"/>
            <family val="3"/>
          </rPr>
          <t>01.01.1901</t>
        </r>
      </text>
    </comment>
    <comment ref="Y835" authorId="0" shapeId="0" xr:uid="{F124D88F-1536-4412-A7A5-5E133565CF52}">
      <text>
        <r>
          <rPr>
            <sz val="10"/>
            <color indexed="81"/>
            <rFont val="Courier New"/>
            <family val="3"/>
          </rPr>
          <t>_x000D_
    DESCRIÇÃO DO CÁLCULO_x000D_
Código    : 13.560_x000D_
Corte     : 10_x000D_
-----------------------------_x000D_
Pendente  : _x000D_
22 / 08_2 : 10 (corte = 13)_x000D_
22 / 09_2 : _x000D_
22 / 10_2 : 4_x000D_
22 / 11_2 : _x000D_
22 / 12_2 : 2_x000D_
23 / 01_2 : 4_x000D_
23 / 02_2 : 2_x000D_
23 / 03_2 : 2_x000D_
23 / 04_2 : 6_x000D_
23 / 05_2 : _x000D_
23 / 06_2 : _x000D_
23 / 07_2 : _x000D_
_x000D_
    TOTAL : ( 30 )_x000D_
  DIVISOR : 12_x000D_
    MÉDIA : 2,50_x000D_
-----------------------------_x000D_
   Valores Desconsiderados_x000D_
-----------------------------_x000D_
22 / 08_2 : 3 (13)_x000D_
_x000D_
  TOTAL   : ( 3 )</t>
        </r>
      </text>
    </comment>
    <comment ref="AB835" authorId="0" shapeId="0" xr:uid="{C27B9C4F-E89F-4A67-8D69-684336B71424}">
      <text>
        <r>
          <rPr>
            <sz val="10"/>
            <color indexed="81"/>
            <rFont val="Lucida Console"/>
            <family val="3"/>
          </rPr>
          <t>Última movimentação no estoque em 04/2023 quantidade 6.</t>
        </r>
      </text>
    </comment>
    <comment ref="R836" authorId="0" shapeId="0" xr:uid="{C4D5901D-597D-4B07-A8C0-157C91E37274}">
      <text>
        <r>
          <rPr>
            <sz val="10"/>
            <color indexed="81"/>
            <rFont val="Lucida Console"/>
            <family val="3"/>
          </rPr>
          <t>01.01.1901</t>
        </r>
      </text>
    </comment>
    <comment ref="Y836" authorId="0" shapeId="0" xr:uid="{0B2771E5-3256-4A5C-ABE5-BFE642C46241}">
      <text>
        <r>
          <rPr>
            <sz val="10"/>
            <color indexed="81"/>
            <rFont val="Courier New"/>
            <family val="3"/>
          </rPr>
          <t>_x000D_
    DESCRIÇÃO DO CÁLCULO_x000D_
Código    : 13.561_x000D_
Corte     : 36_x000D_
-----------------------------_x000D_
Pendente  : 4_x000D_
22 / 08_2 : 35_x000D_
22 / 09_2 : 35_x000D_
22 / 10_2 : 12_x000D_
22 / 11_2 : 17_x000D_
22 / 12_2 : 14_x000D_
23 / 01_2 : 2_x000D_
23 / 02_2 : 3_x000D_
23 / 03_2 : 16_x000D_
23 / 04_2 : 9_x000D_
23 / 05_2 : 10_x000D_
23 / 06_2 : _x000D_
23 / 07_2 : _x000D_
_x000D_
    TOTAL : ( 157 )_x000D_
  DIVISOR : 12_x000D_
    MÉDIA : 13,08</t>
        </r>
      </text>
    </comment>
    <comment ref="AB836" authorId="0" shapeId="0" xr:uid="{1109D179-BA02-4142-93AB-31A5D553BBC6}">
      <text>
        <r>
          <rPr>
            <sz val="10"/>
            <color indexed="81"/>
            <rFont val="Lucida Console"/>
            <family val="3"/>
          </rPr>
          <t>Última movimentação no estoque em 05/2023 quantidade 10.</t>
        </r>
      </text>
    </comment>
    <comment ref="R837" authorId="0" shapeId="0" xr:uid="{7581FCF2-4885-494A-9743-8AF1670FBC82}">
      <text>
        <r>
          <rPr>
            <sz val="10"/>
            <color indexed="81"/>
            <rFont val="Lucida Console"/>
            <family val="3"/>
          </rPr>
          <t>01.01.1901</t>
        </r>
      </text>
    </comment>
    <comment ref="Y837" authorId="0" shapeId="0" xr:uid="{14B92615-C0DD-4734-A4F1-890DFC54F243}">
      <text>
        <r>
          <rPr>
            <sz val="10"/>
            <color indexed="81"/>
            <rFont val="Courier New"/>
            <family val="3"/>
          </rPr>
          <t>_x000D_
    DESCRIÇÃO DO CÁLCULO_x000D_
Código    : 13.558_x000D_
Corte     : 15_x000D_
-----------------------------_x000D_
Pendente  : _x000D_
22 / 08_2 : 12_x000D_
22 / 09_2 : 7_x000D_
22 / 10_2 : 2_x000D_
22 / 11_2 : 2_x000D_
22 / 12_2 : 6_x000D_
23 / 01_2 : 3_x000D_
23 / 02_2 : _x000D_
23 / 03_2 : 15_x000D_
23 / 04_2 : 6_x000D_
23 / 05_2 : 12_x000D_
23 / 06_2 : _x000D_
23 / 07_2 : 3_x000D_
_x000D_
    TOTAL : ( 68 )_x000D_
  DIVISOR : 12_x000D_
    MÉDIA : 5,67</t>
        </r>
      </text>
    </comment>
    <comment ref="AB837" authorId="0" shapeId="0" xr:uid="{7E01C2DB-B5A0-4CD1-8D82-D9BDF198E2D4}">
      <text>
        <r>
          <rPr>
            <sz val="10"/>
            <color indexed="81"/>
            <rFont val="Lucida Console"/>
            <family val="3"/>
          </rPr>
          <t>Última movimentação no estoque em 07/2023 quantidade 3.</t>
        </r>
      </text>
    </comment>
    <comment ref="R838" authorId="0" shapeId="0" xr:uid="{BF78419A-6F84-4D1F-AFA8-DB433CBB03F8}">
      <text>
        <r>
          <rPr>
            <sz val="10"/>
            <color indexed="81"/>
            <rFont val="Lucida Console"/>
            <family val="3"/>
          </rPr>
          <t>09.04.2010</t>
        </r>
      </text>
    </comment>
    <comment ref="Y838" authorId="0" shapeId="0" xr:uid="{3E60A7C3-3C5C-475E-ABEB-B6EF22F90F8A}">
      <text>
        <r>
          <rPr>
            <sz val="10"/>
            <color indexed="81"/>
            <rFont val="Courier New"/>
            <family val="3"/>
          </rPr>
          <t>_x000D_
    DESCRIÇÃO DO CÁLCULO_x000D_
Código    : 114.822_x000D_
Corte     : 8_x000D_
-----------------------------_x000D_
Pendente  : _x000D_
22 / 08_2 : _x000D_
22 / 09_2 : _x000D_
22 / 10_2 : 3_x000D_
22 / 11_2 : _x000D_
22 / 12_2 : _x000D_
23 / 01_2 : _x000D_
23 / 02_2 : _x000D_
23 / 03_2 : 8 (corte = 10)_x000D_
23 / 04_2 : 8_x000D_
23 / 05_2 : _x000D_
23 / 06_2 : _x000D_
23 / 07_2 : _x000D_
_x000D_
    TOTAL : ( 19 )_x000D_
  DIVISOR : 12_x000D_
    MÉDIA : 1,58_x000D_
-----------------------------_x000D_
   Valores Desconsiderados_x000D_
-----------------------------_x000D_
23 / 03_2 : 2 (10)_x000D_
_x000D_
  TOTAL   : ( 2 )</t>
        </r>
      </text>
    </comment>
    <comment ref="AB838" authorId="0" shapeId="0" xr:uid="{3DC6B91A-E0B6-4E2C-94E2-8224E395CB2F}">
      <text>
        <r>
          <rPr>
            <sz val="10"/>
            <color indexed="81"/>
            <rFont val="Lucida Console"/>
            <family val="3"/>
          </rPr>
          <t>Última movimentação no estoque em 04/2023 quantidade 8.</t>
        </r>
      </text>
    </comment>
    <comment ref="R839" authorId="0" shapeId="0" xr:uid="{DFF52ED5-1B31-4640-9E21-2C0AB176E7AD}">
      <text>
        <r>
          <rPr>
            <sz val="10"/>
            <color indexed="81"/>
            <rFont val="Lucida Console"/>
            <family val="3"/>
          </rPr>
          <t>01.01.1901</t>
        </r>
      </text>
    </comment>
    <comment ref="Y839" authorId="0" shapeId="0" xr:uid="{1CAE0D91-B29C-4B1F-91D9-38B84466373A}">
      <text>
        <r>
          <rPr>
            <sz val="10"/>
            <color indexed="81"/>
            <rFont val="Courier New"/>
            <family val="3"/>
          </rPr>
          <t>_x000D_
    DESCRIÇÃO DO CÁLCULO_x000D_
Código    : 60.116_x000D_
Corte     : 16_x000D_
-----------------------------_x000D_
Pendente  : _x000D_
22 / 08_2 : 2_x000D_
22 / 09_2 : 2_x000D_
22 / 10_2 : 7_x000D_
22 / 11_2 : 2_x000D_
22 / 12_2 : 12_x000D_
23 / 01_2 : 9_x000D_
23 / 02_2 : 4_x000D_
23 / 03_2 : 14_x000D_
23 / 04_2 : 12_x000D_
23 / 05_2 : _x000D_
23 / 06_2 : 10_x000D_
23 / 07_2 : 10_x000D_
_x000D_
    TOTAL : ( 84 )_x000D_
  DIVISOR : 12_x000D_
    MÉDIA : 7,00</t>
        </r>
      </text>
    </comment>
    <comment ref="AB839" authorId="0" shapeId="0" xr:uid="{627E4624-AE90-48F2-9C5E-359892A655EE}">
      <text>
        <r>
          <rPr>
            <sz val="10"/>
            <color indexed="81"/>
            <rFont val="Lucida Console"/>
            <family val="3"/>
          </rPr>
          <t>Última movimentação no estoque em 07/2023 quantidade 10.</t>
        </r>
      </text>
    </comment>
    <comment ref="R840" authorId="0" shapeId="0" xr:uid="{D6429305-DDCC-4B52-864B-7867DC66A4E4}">
      <text>
        <r>
          <rPr>
            <sz val="10"/>
            <color indexed="81"/>
            <rFont val="Lucida Console"/>
            <family val="3"/>
          </rPr>
          <t>01.01.1901</t>
        </r>
      </text>
    </comment>
    <comment ref="Y840" authorId="0" shapeId="0" xr:uid="{85CF71A3-84ED-4E25-B818-E983819197BC}">
      <text>
        <r>
          <rPr>
            <sz val="10"/>
            <color indexed="81"/>
            <rFont val="Courier New"/>
            <family val="3"/>
          </rPr>
          <t>_x000D_
    DESCRIÇÃO DO CÁLCULO_x000D_
Código    : 64.253_x000D_
Corte     : 326_x000D_
-----------------------------_x000D_
Pendente  : _x000D_
22 / 08_2 : _x000D_
22 / 09_2 : 180_x000D_
22 / 10_2 : 94_x000D_
22 / 11_2 : _x000D_
22 / 12_2 : _x000D_
23 / 01_2 : _x000D_
23 / 02_2 : _x000D_
23 / 03_2 : 326 (corte = 352)_x000D_
23 / 04_2 : 176_x000D_
23 / 05_2 : 176_x000D_
23 / 06_2 : 170_x000D_
23 / 07_2 : _x000D_
_x000D_
    TOTAL : ( 1.122 )_x000D_
  DIVISOR : 12_x000D_
    MÉDIA : 93,50_x000D_
-----------------------------_x000D_
   Valores Desconsiderados_x000D_
-----------------------------_x000D_
23 / 03_2 : 26 (352)_x000D_
_x000D_
  TOTAL   : ( 26 )</t>
        </r>
      </text>
    </comment>
    <comment ref="AB840" authorId="0" shapeId="0" xr:uid="{671CADC2-0891-4F06-BF0F-2C346B19A05D}">
      <text>
        <r>
          <rPr>
            <sz val="10"/>
            <color indexed="81"/>
            <rFont val="Lucida Console"/>
            <family val="3"/>
          </rPr>
          <t>Última movimentação no estoque em 06/2023 quantidade 170.</t>
        </r>
      </text>
    </comment>
    <comment ref="R841" authorId="0" shapeId="0" xr:uid="{77B9ABC2-4CA6-447A-9609-A65AB2689430}">
      <text>
        <r>
          <rPr>
            <sz val="10"/>
            <color indexed="81"/>
            <rFont val="Lucida Console"/>
            <family val="3"/>
          </rPr>
          <t>17.06.2009</t>
        </r>
      </text>
    </comment>
    <comment ref="Y841" authorId="0" shapeId="0" xr:uid="{91076479-D031-4245-92BB-454148D1AF74}">
      <text>
        <r>
          <rPr>
            <sz val="10"/>
            <color indexed="81"/>
            <rFont val="Courier New"/>
            <family val="3"/>
          </rPr>
          <t>_x000D_
    DESCRIÇÃO DO CÁLCULO_x000D_
Código    : 111.336_x000D_
Corte     : 138_x000D_
-----------------------------_x000D_
Pendente  : _x000D_
22 / 08_2 : 100_x000D_
22 / 09_2 : _x000D_
22 / 10_2 : 6_x000D_
22 / 11_2 : 80_x000D_
22 / 12_2 : 15_x000D_
23 / 01_2 : _x000D_
23 / 02_2 : 35_x000D_
23 / 03_2 : 30_x000D_
23 / 04_2 : 120_x000D_
23 / 05_2 : 90_x000D_
23 / 06_2 : 91_x000D_
23 / 07_2 : _x000D_
_x000D_
    TOTAL : ( 567 )_x000D_
  DIVISOR : 12_x000D_
    MÉDIA : 47,25</t>
        </r>
      </text>
    </comment>
    <comment ref="AB841" authorId="0" shapeId="0" xr:uid="{D2C713AF-B9CD-4F13-B15D-650EF133CA51}">
      <text>
        <r>
          <rPr>
            <sz val="10"/>
            <color indexed="81"/>
            <rFont val="Lucida Console"/>
            <family val="3"/>
          </rPr>
          <t>Última movimentação no estoque em 06/2023 quantidade 91.</t>
        </r>
      </text>
    </comment>
    <comment ref="R842" authorId="0" shapeId="0" xr:uid="{28CEB386-C196-469E-863B-36AB9066D53E}">
      <text>
        <r>
          <rPr>
            <sz val="10"/>
            <color indexed="81"/>
            <rFont val="Lucida Console"/>
            <family val="3"/>
          </rPr>
          <t>01.01.1901</t>
        </r>
      </text>
    </comment>
    <comment ref="Y842" authorId="0" shapeId="0" xr:uid="{F6830E54-3414-43C2-AE65-D57E33B14AEC}">
      <text>
        <r>
          <rPr>
            <sz val="10"/>
            <color indexed="81"/>
            <rFont val="Courier New"/>
            <family val="3"/>
          </rPr>
          <t>_x000D_
    DESCRIÇÃO DO CÁLCULO_x000D_
Código    : 66.168_x000D_
Corte     : 229_x000D_
-----------------------------_x000D_
Pendente  : _x000D_
22 / 08_2 : _x000D_
22 / 09_2 : 207_x000D_
22 / 10_2 : 20_x000D_
22 / 11_2 : 189_x000D_
22 / 12_2 : _x000D_
23 / 01_2 : 15_x000D_
23 / 02_2 : 10_x000D_
23 / 03_2 : _x000D_
23 / 04_2 : _x000D_
23 / 05_2 : 200_x000D_
23 / 06_2 : _x000D_
23 / 07_2 : _x000D_
_x000D_
    TOTAL : ( 641 )_x000D_
  DIVISOR : 12_x000D_
    MÉDIA : 53,42</t>
        </r>
      </text>
    </comment>
    <comment ref="AB842" authorId="0" shapeId="0" xr:uid="{E4F78761-2B38-4AE3-A073-CB97057551FF}">
      <text>
        <r>
          <rPr>
            <sz val="10"/>
            <color indexed="81"/>
            <rFont val="Lucida Console"/>
            <family val="3"/>
          </rPr>
          <t>Última movimentação no estoque em 05/2023 quantidade 200.</t>
        </r>
      </text>
    </comment>
    <comment ref="R843" authorId="0" shapeId="0" xr:uid="{A75A9A75-DFE8-48C9-AB53-F1F8E811AD19}">
      <text>
        <r>
          <rPr>
            <sz val="10"/>
            <color indexed="81"/>
            <rFont val="Lucida Console"/>
            <family val="3"/>
          </rPr>
          <t>01.01.1901</t>
        </r>
      </text>
    </comment>
    <comment ref="Y843" authorId="0" shapeId="0" xr:uid="{8C581075-0750-4B53-BF54-FD45720D7906}">
      <text>
        <r>
          <rPr>
            <sz val="10"/>
            <color indexed="81"/>
            <rFont val="Courier New"/>
            <family val="3"/>
          </rPr>
          <t>_x000D_
    DESCRIÇÃO DO CÁLCULO_x000D_
Código    : 45.607_x000D_
Corte     : 94_x000D_
-----------------------------_x000D_
Pendente  : _x000D_
22 / 08_2 : 85_x000D_
22 / 09_2 : 18_x000D_
22 / 10_2 : 56_x000D_
22 / 11_2 : 30_x000D_
22 / 12_2 : 44_x000D_
23 / 01_2 : 33_x000D_
23 / 02_2 : 43_x000D_
23 / 03_2 : 89_x000D_
23 / 04_2 : 30_x000D_
23 / 05_2 : _x000D_
23 / 06_2 : _x000D_
23 / 07_2 : 20_x000D_
_x000D_
    TOTAL : ( 448 )_x000D_
  DIVISOR : 12_x000D_
    MÉDIA : 37,33</t>
        </r>
      </text>
    </comment>
    <comment ref="AB843" authorId="0" shapeId="0" xr:uid="{FCAB11BA-FAC0-48D8-807A-DD6971FF25F0}">
      <text>
        <r>
          <rPr>
            <sz val="10"/>
            <color indexed="81"/>
            <rFont val="Lucida Console"/>
            <family val="3"/>
          </rPr>
          <t>Última movimentação no estoque em 07/2023 quantidade 20.</t>
        </r>
      </text>
    </comment>
    <comment ref="R844" authorId="0" shapeId="0" xr:uid="{B8603731-1A89-4505-BB3A-1C47D5DE86AE}">
      <text>
        <r>
          <rPr>
            <sz val="10"/>
            <color indexed="81"/>
            <rFont val="Lucida Console"/>
            <family val="3"/>
          </rPr>
          <t>01.01.1901</t>
        </r>
      </text>
    </comment>
    <comment ref="Y844" authorId="0" shapeId="0" xr:uid="{11C4DC23-61B0-4235-AFCA-5BB20CA53AEB}">
      <text>
        <r>
          <rPr>
            <sz val="10"/>
            <color indexed="81"/>
            <rFont val="Courier New"/>
            <family val="3"/>
          </rPr>
          <t>_x000D_
    DESCRIÇÃO DO CÁLCULO_x000D_
Código    : 60.830_x000D_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844" authorId="0" shapeId="0" xr:uid="{D8CEB16F-46DB-484F-8676-8E946D2EFB8D}">
      <text>
        <r>
          <rPr>
            <sz val="10"/>
            <color indexed="81"/>
            <rFont val="Lucida Console"/>
            <family val="3"/>
          </rPr>
          <t>Última movimentação no estoque em 08/2022 quantidade 10.</t>
        </r>
      </text>
    </comment>
    <comment ref="R845" authorId="0" shapeId="0" xr:uid="{FDFD19BC-D682-4EF1-B2CA-84E2AD782996}">
      <text>
        <r>
          <rPr>
            <sz val="10"/>
            <color indexed="81"/>
            <rFont val="Lucida Console"/>
            <family val="3"/>
          </rPr>
          <t>01.01.1901</t>
        </r>
      </text>
    </comment>
    <comment ref="Y845" authorId="0" shapeId="0" xr:uid="{37611D8F-499D-403A-A7AC-CB8E882BF5D0}">
      <text>
        <r>
          <rPr>
            <sz val="10"/>
            <color indexed="81"/>
            <rFont val="Courier New"/>
            <family val="3"/>
          </rPr>
          <t>_x000D_
    DESCRIÇÃO DO CÁLCULO_x000D_
Código    : 28.308_x000D_
Corte     : 24_x000D_
-----------------------------_x000D_
Pendente  : _x000D_
22 / 08_2 : _x000D_
22 / 09_2 : 2_x000D_
22 / 10_2 : 2_x000D_
22 / 11_2 : _x000D_
22 / 12_2 : 9_x000D_
23 / 01_2 : _x000D_
23 / 02_2 : 4_x000D_
23 / 03_2 : 10_x000D_
23 / 04_2 : 24 (corte = 34)_x000D_
23 / 05_2 : _x000D_
23 / 06_2 : _x000D_
23 / 07_2 : _x000D_
_x000D_
    TOTAL : ( 51 )_x000D_
  DIVISOR : 12_x000D_
    MÉDIA : 4,25_x000D_
-----------------------------_x000D_
   Valores Desconsiderados_x000D_
-----------------------------_x000D_
23 / 04_2 : 10 (34)_x000D_
_x000D_
  TOTAL   : ( 10 )</t>
        </r>
      </text>
    </comment>
    <comment ref="AB845" authorId="0" shapeId="0" xr:uid="{60B4C623-1328-4CA9-A85A-063701185E88}">
      <text>
        <r>
          <rPr>
            <sz val="10"/>
            <color indexed="81"/>
            <rFont val="Lucida Console"/>
            <family val="3"/>
          </rPr>
          <t>Última movimentação no estoque em 04/2023 quantidade 34.</t>
        </r>
      </text>
    </comment>
    <comment ref="R846" authorId="0" shapeId="0" xr:uid="{B3B25F08-47F4-41D1-9C78-7D7B23337F3E}">
      <text>
        <r>
          <rPr>
            <sz val="10"/>
            <color indexed="81"/>
            <rFont val="Lucida Console"/>
            <family val="3"/>
          </rPr>
          <t>01.01.1901</t>
        </r>
      </text>
    </comment>
    <comment ref="Y846" authorId="0" shapeId="0" xr:uid="{4AED4BE7-AED9-4525-8656-A34C6506D4EA}">
      <text>
        <r>
          <rPr>
            <sz val="10"/>
            <color indexed="81"/>
            <rFont val="Courier New"/>
            <family val="3"/>
          </rPr>
          <t>_x000D_
    DESCRIÇÃO DO CÁLCULO_x000D_
Código    : 28.306_x000D_
Corte     : 6_x000D_
-----------------------------_x000D_
Pendente  : _x000D_
22 / 08_2 : _x000D_
22 / 09_2 : 3_x000D_
22 / 10_2 : 4_x000D_
22 / 11_2 : _x000D_
22 / 12_2 : 5_x000D_
23 / 01_2 : 4_x000D_
23 / 02_2 : _x000D_
23 / 03_2 : 2_x000D_
23 / 04_2 : 5_x000D_
23 / 05_2 : _x000D_
23 / 06_2 : _x000D_
23 / 07_2 : _x000D_
_x000D_
    TOTAL : ( 23 )_x000D_
  DIVISOR : 12_x000D_
    MÉDIA : 1,92</t>
        </r>
      </text>
    </comment>
    <comment ref="AB846" authorId="0" shapeId="0" xr:uid="{3D3CCA5D-AD1D-47E6-A1F8-8B859E012E11}">
      <text>
        <r>
          <rPr>
            <sz val="10"/>
            <color indexed="81"/>
            <rFont val="Lucida Console"/>
            <family val="3"/>
          </rPr>
          <t>Última movimentação no estoque em 04/2023 quantidade 5.</t>
        </r>
      </text>
    </comment>
    <comment ref="R847" authorId="0" shapeId="0" xr:uid="{6C8E8AAC-2EF9-4EE9-ABCC-0DA4A8369BB6}">
      <text>
        <r>
          <rPr>
            <sz val="10"/>
            <color indexed="81"/>
            <rFont val="Lucida Console"/>
            <family val="3"/>
          </rPr>
          <t>01.01.1901</t>
        </r>
      </text>
    </comment>
    <comment ref="Y847" authorId="0" shapeId="0" xr:uid="{0F4FAF55-0602-40C4-B18A-65167FD90714}">
      <text>
        <r>
          <rPr>
            <sz val="10"/>
            <color indexed="81"/>
            <rFont val="Courier New"/>
            <family val="3"/>
          </rPr>
          <t>_x000D_
    DESCRIÇÃO DO CÁLCULO_x000D_
Código    : 28.307_x000D_
Corte     : 5_x000D_
-----------------------------_x000D_
Pendente  : _x000D_
22 / 08_2 : _x000D_
22 / 09_2 : _x000D_
22 / 10_2 : _x000D_
22 / 11_2 : _x000D_
22 / 12_2 : _x000D_
23 / 01_2 : _x000D_
23 / 02_2 : _x000D_
23 / 03_2 : _x000D_
23 / 04_2 : 5 (corte = 8)_x000D_
23 / 05_2 : _x000D_
23 / 06_2 : _x000D_
23 / 07_2 : _x000D_
_x000D_
    TOTAL : ( 5 )_x000D_
  DIVISOR : 12_x000D_
    MÉDIA : ,42_x000D_
-----------------------------_x000D_
   Valores Desconsiderados_x000D_
-----------------------------_x000D_
23 / 04_2 : 3 (8)_x000D_
_x000D_
  TOTAL   : ( 3 )</t>
        </r>
      </text>
    </comment>
    <comment ref="AB847" authorId="0" shapeId="0" xr:uid="{D015C2E7-0B78-45AB-B758-DCBCFFFB386A}">
      <text>
        <r>
          <rPr>
            <sz val="10"/>
            <color indexed="81"/>
            <rFont val="Lucida Console"/>
            <family val="3"/>
          </rPr>
          <t>Última movimentação no estoque em 04/2023 quantidade 8.</t>
        </r>
      </text>
    </comment>
    <comment ref="R848" authorId="0" shapeId="0" xr:uid="{3BF428DF-FD12-4F10-B16F-4E2FB27F5E02}">
      <text>
        <r>
          <rPr>
            <sz val="10"/>
            <color indexed="81"/>
            <rFont val="Lucida Console"/>
            <family val="3"/>
          </rPr>
          <t>01.07.2004</t>
        </r>
      </text>
    </comment>
    <comment ref="Y848" authorId="0" shapeId="0" xr:uid="{07C7C5DF-E3E3-4559-BB38-6F8882FA007D}">
      <text>
        <r>
          <rPr>
            <sz val="10"/>
            <color indexed="81"/>
            <rFont val="Courier New"/>
            <family val="3"/>
          </rPr>
          <t>_x000D_
    DESCRIÇÃO DO CÁLCULO_x000D_
Código    : 80.390_x000D_
Corte     : 38_x000D_
-----------------------------_x000D_
Pendente  : _x000D_
22 / 08_2 : 5_x000D_
22 / 09_2 : 22_x000D_
22 / 10_2 : _x000D_
22 / 11_2 : 3_x000D_
22 / 12_2 : 7_x000D_
23 / 01_2 : _x000D_
23 / 02_2 : 10_x000D_
23 / 03_2 : 9_x000D_
23 / 04_2 : 11_x000D_
23 / 05_2 : 38 (corte = 50)_x000D_
23 / 06_2 : _x000D_
23 / 07_2 : _x000D_
_x000D_
    TOTAL : ( 105 )_x000D_
  DIVISOR : 12_x000D_
    MÉDIA : 8,75_x000D_
-----------------------------_x000D_
   Valores Desconsiderados_x000D_
-----------------------------_x000D_
23 / 05_2 : 12 (50)_x000D_
_x000D_
  TOTAL   : ( 12 )</t>
        </r>
      </text>
    </comment>
    <comment ref="AB848" authorId="0" shapeId="0" xr:uid="{3C9C5BE1-C06C-40EA-9E05-2B75F125DD75}">
      <text>
        <r>
          <rPr>
            <sz val="10"/>
            <color indexed="81"/>
            <rFont val="Lucida Console"/>
            <family val="3"/>
          </rPr>
          <t>Última movimentação no estoque em 05/2023 quantidade 50.</t>
        </r>
      </text>
    </comment>
    <comment ref="R849" authorId="0" shapeId="0" xr:uid="{D9B6B14D-AD59-4903-8C09-4688E546100C}">
      <text>
        <r>
          <rPr>
            <sz val="10"/>
            <color indexed="81"/>
            <rFont val="Lucida Console"/>
            <family val="3"/>
          </rPr>
          <t>25.01.2008</t>
        </r>
      </text>
    </comment>
    <comment ref="Y849" authorId="0" shapeId="0" xr:uid="{73048731-AE63-4B48-B4A0-0575E8E0171C}">
      <text>
        <r>
          <rPr>
            <sz val="10"/>
            <color indexed="81"/>
            <rFont val="Courier New"/>
            <family val="3"/>
          </rPr>
          <t>_x000D_
    DESCRIÇÃO DO CÁLCULO_x000D_
Código    : 104.667_x000D_
Corte     : 20_x000D_
-----------------------------_x000D_
Pendente  : _x000D_
22 / 08_2 : _x000D_
22 / 09_2 : _x000D_
22 / 10_2 : 5_x000D_
22 / 11_2 : 11_x000D_
22 / 12_2 : 2_x000D_
23 / 01_2 : 3_x000D_
23 / 02_2 : 3_x000D_
23 / 03_2 : 8_x000D_
23 / 04_2 : 8_x000D_
23 / 05_2 : 9_x000D_
23 / 06_2 : 20 (corte = 25)_x000D_
23 / 07_2 : _x000D_
_x000D_
    TOTAL : ( 69 )_x000D_
  DIVISOR : 12_x000D_
    MÉDIA : 5,75_x000D_
-----------------------------_x000D_
   Valores Desconsiderados_x000D_
-----------------------------_x000D_
23 / 06_2 : 5 (25)_x000D_
_x000D_
  TOTAL   : ( 5 )</t>
        </r>
      </text>
    </comment>
    <comment ref="AB849" authorId="0" shapeId="0" xr:uid="{D779B8F6-9F39-45ED-9EEF-CE41E24E48A8}">
      <text>
        <r>
          <rPr>
            <sz val="10"/>
            <color indexed="81"/>
            <rFont val="Lucida Console"/>
            <family val="3"/>
          </rPr>
          <t>Última movimentação no estoque em 06/2023 quantidade 25.</t>
        </r>
      </text>
    </comment>
    <comment ref="R850" authorId="0" shapeId="0" xr:uid="{C7F4E563-0351-4E2B-80D2-A281DBA2B01C}">
      <text>
        <r>
          <rPr>
            <sz val="10"/>
            <color indexed="81"/>
            <rFont val="Lucida Console"/>
            <family val="3"/>
          </rPr>
          <t>17.10.2006</t>
        </r>
      </text>
    </comment>
    <comment ref="Y850" authorId="0" shapeId="0" xr:uid="{F9896B80-0FDE-46E7-8348-2A93A6E031A9}">
      <text>
        <r>
          <rPr>
            <sz val="10"/>
            <color indexed="81"/>
            <rFont val="Courier New"/>
            <family val="3"/>
          </rPr>
          <t>_x000D_
    DESCRIÇÃO DO CÁLCULO_x000D_
Código    : 95.209_x000D_
Corte     : 70_x000D_
-----------------------------_x000D_
Pendente  : 41_x000D_
22 / 08_2 : 40_x000D_
22 / 09_2 : 28_x000D_
22 / 10_2 : 10_x000D_
22 / 11_2 : 37_x000D_
22 / 12_2 : 19_x000D_
23 / 01_2 : 8_x000D_
23 / 02_2 : 21_x000D_
23 / 03_2 : 46_x000D_
23 / 04_2 : 70 (corte = 73)_x000D_
23 / 05_2 : 9_x000D_
23 / 06_2 : _x000D_
23 / 07_2 : _x000D_
_x000D_
    TOTAL : ( 329 )_x000D_
  DIVISOR : 12_x000D_
    MÉDIA : 27,42_x000D_
-----------------------------_x000D_
   Valores Desconsiderados_x000D_
-----------------------------_x000D_
23 / 04_2 : 3 (73)_x000D_
_x000D_
  TOTAL   : ( 3 )</t>
        </r>
      </text>
    </comment>
    <comment ref="AB850" authorId="0" shapeId="0" xr:uid="{919D4AB4-4B7E-49AC-A40D-DF3266FD0545}">
      <text>
        <r>
          <rPr>
            <sz val="10"/>
            <color indexed="81"/>
            <rFont val="Lucida Console"/>
            <family val="3"/>
          </rPr>
          <t>Última movimentação no estoque em 05/2023 quantidade 9.</t>
        </r>
      </text>
    </comment>
    <comment ref="R851" authorId="0" shapeId="0" xr:uid="{4F55CE0F-3B35-4B17-894A-330E54676B93}">
      <text>
        <r>
          <rPr>
            <sz val="10"/>
            <color indexed="81"/>
            <rFont val="Lucida Console"/>
            <family val="3"/>
          </rPr>
          <t>25.04.2017</t>
        </r>
      </text>
    </comment>
    <comment ref="Y851" authorId="0" shapeId="0" xr:uid="{19D0E9D2-1610-4843-A778-29C92D438EEB}">
      <text>
        <r>
          <rPr>
            <sz val="10"/>
            <color indexed="81"/>
            <rFont val="Courier New"/>
            <family val="3"/>
          </rPr>
          <t>_x000D_
    DESCRIÇÃO DO CÁLCULO_x000D_
Código    : 132.623_x000D_
Corte     : 4_x000D_
-----------------------------_x000D_
Pendente  : _x000D_
22 / 08_2 : 1_x000D_
22 / 09_2 : 1_x000D_
22 / 10_2 : 1_x000D_
22 / 11_2 : 1_x000D_
22 / 12_2 : 1_x000D_
23 / 01_2 : 4 (corte = 6)_x000D_
23 / 02_2 : _x000D_
23 / 03_2 : 1_x000D_
23 / 04_2 : 3_x000D_
23 / 05_2 : _x000D_
23 / 06_2 : _x000D_
23 / 07_2 : _x000D_
_x000D_
    TOTAL : ( 13 )_x000D_
  DIVISOR : 12_x000D_
    MÉDIA : 1,08_x000D_
-----------------------------_x000D_
   Valores Desconsiderados_x000D_
-----------------------------_x000D_
23 / 01_2 : 2 (6)_x000D_
_x000D_
  TOTAL   : ( 2 )</t>
        </r>
      </text>
    </comment>
    <comment ref="AB851" authorId="0" shapeId="0" xr:uid="{9F81A59C-939A-4108-AB2C-BBE98CF810D4}">
      <text>
        <r>
          <rPr>
            <sz val="10"/>
            <color indexed="81"/>
            <rFont val="Lucida Console"/>
            <family val="3"/>
          </rPr>
          <t>Última movimentação no estoque em 04/2023 quantidade 3.</t>
        </r>
      </text>
    </comment>
    <comment ref="R852" authorId="0" shapeId="0" xr:uid="{3BD077C0-CBD4-4D2F-9C48-30FED5E7ED2D}">
      <text>
        <r>
          <rPr>
            <sz val="10"/>
            <color indexed="81"/>
            <rFont val="Lucida Console"/>
            <family val="3"/>
          </rPr>
          <t>01.01.1901</t>
        </r>
      </text>
    </comment>
    <comment ref="Y852" authorId="0" shapeId="0" xr:uid="{F1DF167E-D22A-441A-805A-E170E2FE69B4}">
      <text>
        <r>
          <rPr>
            <sz val="10"/>
            <color indexed="81"/>
            <rFont val="Courier New"/>
            <family val="3"/>
          </rPr>
          <t>_x000D_
    DESCRIÇÃO DO CÁLCULO_x000D_
Código    : 13.192_x000D_
Corte     : 18_x000D_
-----------------------------_x000D_
Pendente  : 5_x000D_
22 / 08_2 : 9_x000D_
22 / 09_2 : 4_x000D_
22 / 10_2 : 3_x000D_
22 / 11_2 : 2_x000D_
22 / 12_2 : 18 (corte = 24)_x000D_
23 / 01_2 : 7_x000D_
23 / 02_2 : 5_x000D_
23 / 03_2 : 1_x000D_
23 / 04_2 : _x000D_
23 / 05_2 : _x000D_
23 / 06_2 : _x000D_
23 / 07_2 : _x000D_
_x000D_
    TOTAL : ( 54 )_x000D_
  DIVISOR : 12_x000D_
    MÉDIA : 4,50_x000D_
-----------------------------_x000D_
   Valores Desconsiderados_x000D_
-----------------------------_x000D_
22 / 12_2 : 6 (24)_x000D_
_x000D_
  TOTAL   : ( 6 )</t>
        </r>
      </text>
    </comment>
    <comment ref="AB852" authorId="0" shapeId="0" xr:uid="{06440C0E-648E-4114-B578-7B170AE7523D}">
      <text>
        <r>
          <rPr>
            <sz val="10"/>
            <color indexed="81"/>
            <rFont val="Lucida Console"/>
            <family val="3"/>
          </rPr>
          <t>Última movimentação no estoque em 03/2023 quantidade 1.</t>
        </r>
      </text>
    </comment>
    <comment ref="R853" authorId="0" shapeId="0" xr:uid="{A57732B8-4CE7-44D6-AE6C-B3849315B446}">
      <text>
        <r>
          <rPr>
            <sz val="10"/>
            <color indexed="81"/>
            <rFont val="Lucida Console"/>
            <family val="3"/>
          </rPr>
          <t>01.01.1901</t>
        </r>
      </text>
    </comment>
    <comment ref="Y853" authorId="0" shapeId="0" xr:uid="{1AEC7A5D-7E6B-4544-BE56-A804FB112B77}">
      <text>
        <r>
          <rPr>
            <sz val="10"/>
            <color indexed="81"/>
            <rFont val="Courier New"/>
            <family val="3"/>
          </rPr>
          <t>_x000D_
    DESCRIÇÃO DO CÁLCULO_x000D_
Código    : 12.673_x000D_
Corte     : 16_x000D_
-----------------------------_x000D_
Pendente  : 25_x000D_
22 / 08_2 : 8_x000D_
22 / 09_2 : _x000D_
22 / 10_2 : _x000D_
22 / 11_2 : _x000D_
22 / 12_2 : _x000D_
23 / 01_2 : _x000D_
23 / 02_2 : _x000D_
23 / 03_2 : _x000D_
23 / 04_2 : _x000D_
23 / 05_2 : _x000D_
23 / 06_2 : _x000D_
23 / 07_2 : _x000D_
_x000D_
    TOTAL : ( 33 )_x000D_
  DIVISOR : 12_x000D_
    MÉDIA : 2,75</t>
        </r>
      </text>
    </comment>
    <comment ref="AB853" authorId="0" shapeId="0" xr:uid="{942D067C-3CD7-4D96-B098-C22C69ED1D78}">
      <text>
        <r>
          <rPr>
            <sz val="10"/>
            <color indexed="81"/>
            <rFont val="Lucida Console"/>
            <family val="3"/>
          </rPr>
          <t>Última movimentação no estoque em 08/2022 quantidade 8.</t>
        </r>
      </text>
    </comment>
    <comment ref="R854" authorId="0" shapeId="0" xr:uid="{6046096A-A9A3-466D-8289-9AA1FB81B397}">
      <text>
        <r>
          <rPr>
            <sz val="10"/>
            <color indexed="81"/>
            <rFont val="Lucida Console"/>
            <family val="3"/>
          </rPr>
          <t>01.01.1901</t>
        </r>
      </text>
    </comment>
    <comment ref="Y854" authorId="0" shapeId="0" xr:uid="{426B6A0D-D7BA-4439-A6FE-088DB5B1E789}">
      <text>
        <r>
          <rPr>
            <sz val="10"/>
            <color indexed="81"/>
            <rFont val="Courier New"/>
            <family val="3"/>
          </rPr>
          <t>_x000D_
    DESCRIÇÃO DO CÁLCULO_x000D_
Código    : 91.868_x000D_
Corte     : 2_x000D_
-----------------------------_x000D_
Pendente  : 4_x000D_
22 / 08_2 : _x000D_
22 / 09_2 : _x000D_
22 / 10_2 : _x000D_
22 / 11_2 : _x000D_
22 / 12_2 : _x000D_
23 / 01_2 : _x000D_
23 / 02_2 : _x000D_
23 / 03_2 : _x000D_
23 / 04_2 : _x000D_
23 / 05_2 : _x000D_
23 / 06_2 : _x000D_
23 / 07_2 : _x000D_
_x000D_
    TOTAL : ( 4 )_x000D_
  DIVISOR : 12_x000D_
    MÉDIA : ,33</t>
        </r>
      </text>
    </comment>
    <comment ref="AB854" authorId="0" shapeId="0" xr:uid="{2B87BD9B-B516-45D1-9881-0A2736BF35E5}">
      <text>
        <r>
          <rPr>
            <sz val="10"/>
            <color indexed="81"/>
            <rFont val="Lucida Console"/>
            <family val="3"/>
          </rPr>
          <t>Última movimentação no estoque em 08/2022 quantidade 8.</t>
        </r>
      </text>
    </comment>
    <comment ref="R855" authorId="0" shapeId="0" xr:uid="{AD428371-9011-4FA3-A62D-3662BCBCEC15}">
      <text>
        <r>
          <rPr>
            <sz val="10"/>
            <color indexed="81"/>
            <rFont val="Lucida Console"/>
            <family val="3"/>
          </rPr>
          <t>01.01.1901</t>
        </r>
      </text>
    </comment>
    <comment ref="Y855" authorId="0" shapeId="0" xr:uid="{092A9B63-309D-4AD9-B424-4E521885E905}">
      <text>
        <r>
          <rPr>
            <sz val="10"/>
            <color indexed="81"/>
            <rFont val="Courier New"/>
            <family val="3"/>
          </rPr>
          <t>_x000D_
    DESCRIÇÃO DO CÁLCULO_x000D_
Código    : 42.854_x000D_
Corte     : 159_x000D_
-----------------------------_x000D_
Pendente  : _x000D_
22 / 08_2 : 106_x000D_
22 / 09_2 : 142_x000D_
22 / 10_2 : 81_x000D_
22 / 11_2 : 76_x000D_
22 / 12_2 : 60_x000D_
23 / 01_2 : 95_x000D_
23 / 02_2 : 115_x000D_
23 / 03_2 : 106_x000D_
23 / 04_2 : 76_x000D_
23 / 05_2 : 101_x000D_
23 / 06_2 : 110_x000D_
23 / 07_2 : _x000D_
_x000D_
    TOTAL : ( 1.068 )_x000D_
  DIVISOR : 12_x000D_
    MÉDIA : 89,00</t>
        </r>
      </text>
    </comment>
    <comment ref="AB855" authorId="0" shapeId="0" xr:uid="{C7D9C620-11DA-4C0B-A238-51592D06F362}">
      <text>
        <r>
          <rPr>
            <sz val="10"/>
            <color indexed="81"/>
            <rFont val="Lucida Console"/>
            <family val="3"/>
          </rPr>
          <t>Última movimentação no estoque em 06/2023 quantidade 110.</t>
        </r>
      </text>
    </comment>
    <comment ref="R856" authorId="0" shapeId="0" xr:uid="{CA648F8F-A473-4B27-AFA8-2AC3C12362AE}">
      <text>
        <r>
          <rPr>
            <sz val="10"/>
            <color indexed="81"/>
            <rFont val="Lucida Console"/>
            <family val="3"/>
          </rPr>
          <t>01.01.1901</t>
        </r>
      </text>
    </comment>
    <comment ref="Y856" authorId="0" shapeId="0" xr:uid="{E0C0A45F-07CD-4241-8B1D-B27E7CE7E777}">
      <text>
        <r>
          <rPr>
            <sz val="10"/>
            <color indexed="81"/>
            <rFont val="Courier New"/>
            <family val="3"/>
          </rPr>
          <t>_x000D_
    DESCRIÇÃO DO CÁLCULO_x000D_
Código    : 54.026_x000D_
Corte     : 14_x000D_
-----------------------------_x000D_
Pendente  : _x000D_
22 / 08_2 : _x000D_
22 / 09_2 : 1_x000D_
22 / 10_2 : 12_x000D_
22 / 11_2 : _x000D_
22 / 12_2 : 9_x000D_
23 / 01_2 : 10_x000D_
23 / 02_2 : 6_x000D_
23 / 03_2 : 3_x000D_
23 / 04_2 : 8_x000D_
23 / 05_2 : 10_x000D_
23 / 06_2 : _x000D_
23 / 07_2 : _x000D_
_x000D_
    TOTAL : ( 59 )_x000D_
  DIVISOR : 12_x000D_
    MÉDIA : 4,92</t>
        </r>
      </text>
    </comment>
    <comment ref="AB856" authorId="0" shapeId="0" xr:uid="{B3D9D26E-0552-48B9-8B9C-5F7E96B948FB}">
      <text>
        <r>
          <rPr>
            <sz val="10"/>
            <color indexed="81"/>
            <rFont val="Lucida Console"/>
            <family val="3"/>
          </rPr>
          <t>Última movimentação no estoque em 05/2023 quantidade 10.</t>
        </r>
      </text>
    </comment>
    <comment ref="R857" authorId="0" shapeId="0" xr:uid="{031839E4-2C88-4B05-B322-DFFED25D4318}">
      <text>
        <r>
          <rPr>
            <sz val="10"/>
            <color indexed="81"/>
            <rFont val="Lucida Console"/>
            <family val="3"/>
          </rPr>
          <t>08.06.2021</t>
        </r>
      </text>
    </comment>
    <comment ref="Y857" authorId="0" shapeId="0" xr:uid="{3BE2D100-54D3-4AEA-8D65-10208DBCB5AB}">
      <text>
        <r>
          <rPr>
            <sz val="10"/>
            <color indexed="81"/>
            <rFont val="Courier New"/>
            <family val="3"/>
          </rPr>
          <t>_x000D_
    DESCRIÇÃO DO CÁLCULO_x000D_
Código    : 141.270_x000D_
Corte     : 25_x000D_
-----------------------------_x000D_
Pendente  : _x000D_
22 / 08_2 : _x000D_
22 / 09_2 : _x000D_
22 / 10_2 : 2_x000D_
22 / 11_2 : _x000D_
22 / 12_2 : _x000D_
23 / 01_2 : _x000D_
23 / 02_2 : 25 (corte = 38)_x000D_
23 / 03_2 : _x000D_
23 / 04_2 : _x000D_
23 / 05_2 : _x000D_
23 / 06_2 : _x000D_
23 / 07_2 : _x000D_
_x000D_
    TOTAL : ( 27 )_x000D_
  DIVISOR : 12_x000D_
    MÉDIA : 2,25_x000D_
-----------------------------_x000D_
   Valores Desconsiderados_x000D_
-----------------------------_x000D_
23 / 02_2 : 13 (38)_x000D_
_x000D_
  TOTAL   : ( 13 )</t>
        </r>
      </text>
    </comment>
    <comment ref="AB857" authorId="0" shapeId="0" xr:uid="{19272322-E56C-4D35-BF18-3F6FFDA4D078}">
      <text>
        <r>
          <rPr>
            <sz val="10"/>
            <color indexed="81"/>
            <rFont val="Lucida Console"/>
            <family val="3"/>
          </rPr>
          <t>Última movimentação no estoque em 02/2023 quantidade 38.</t>
        </r>
      </text>
    </comment>
    <comment ref="R858" authorId="0" shapeId="0" xr:uid="{430FCD74-52AE-4F63-9E9F-11ECB5CBB4D2}">
      <text>
        <r>
          <rPr>
            <sz val="10"/>
            <color indexed="81"/>
            <rFont val="Lucida Console"/>
            <family val="3"/>
          </rPr>
          <t>12.08.2003</t>
        </r>
      </text>
    </comment>
    <comment ref="Y858" authorId="0" shapeId="0" xr:uid="{BD219176-459D-4CA7-8FBE-ACD6A3943A01}">
      <text>
        <r>
          <rPr>
            <sz val="10"/>
            <color indexed="81"/>
            <rFont val="Courier New"/>
            <family val="3"/>
          </rPr>
          <t>_x000D_
    DESCRIÇÃO DO CÁLCULO_x000D_
Código    : 74.908_x000D_
Corte     : 24_x000D_
-----------------------------_x000D_
Pendente  : _x000D_
22 / 08_2 : 6_x000D_
22 / 09_2 : 1_x000D_
22 / 10_2 : _x000D_
22 / 11_2 : 1_x000D_
22 / 12_2 : _x000D_
23 / 01_2 : 12_x000D_
23 / 02_2 : _x000D_
23 / 03_2 : _x000D_
23 / 04_2 : _x000D_
23 / 05_2 : 6_x000D_
23 / 06_2 : 24 (corte = 34)_x000D_
23 / 07_2 : _x000D_
_x000D_
    TOTAL : ( 50 )_x000D_
  DIVISOR : 12_x000D_
    MÉDIA : 4,17_x000D_
-----------------------------_x000D_
   Valores Desconsiderados_x000D_
-----------------------------_x000D_
23 / 06_2 : 10 (34)_x000D_
_x000D_
  TOTAL   : ( 10 )</t>
        </r>
      </text>
    </comment>
    <comment ref="AB858" authorId="0" shapeId="0" xr:uid="{637FF8B6-0AE2-4889-A5C5-8AEDF6A02F23}">
      <text>
        <r>
          <rPr>
            <sz val="10"/>
            <color indexed="81"/>
            <rFont val="Lucida Console"/>
            <family val="3"/>
          </rPr>
          <t>Última movimentação no estoque em 06/2023 quantidade 34.</t>
        </r>
      </text>
    </comment>
    <comment ref="R859" authorId="0" shapeId="0" xr:uid="{4228457D-7DB9-4055-BEFA-6B6BE91A1B05}">
      <text>
        <r>
          <rPr>
            <sz val="10"/>
            <color indexed="81"/>
            <rFont val="Lucida Console"/>
            <family val="3"/>
          </rPr>
          <t>10.03.2004</t>
        </r>
      </text>
    </comment>
    <comment ref="Y859" authorId="0" shapeId="0" xr:uid="{653A95CF-837D-4B28-90BF-A668E2BDFE49}">
      <text>
        <r>
          <rPr>
            <sz val="10"/>
            <color indexed="81"/>
            <rFont val="Courier New"/>
            <family val="3"/>
          </rPr>
          <t>_x000D_
    DESCRIÇÃO DO CÁLCULO_x000D_
Código    : 77.556_x000D_
Corte     : 34_x000D_
-----------------------------_x000D_
Pendente  : _x000D_
22 / 08_2 : _x000D_
22 / 09_2 : _x000D_
22 / 10_2 : _x000D_
22 / 11_2 : _x000D_
22 / 12_2 : _x000D_
23 / 01_2 : _x000D_
23 / 02_2 : _x000D_
23 / 03_2 : _x000D_
23 / 04_2 : 34 (corte = 50)_x000D_
23 / 05_2 : _x000D_
23 / 06_2 : 15_x000D_
23 / 07_2 : _x000D_
_x000D_
    TOTAL : ( 49 )_x000D_
  DIVISOR : 12_x000D_
    MÉDIA : 4,08_x000D_
-----------------------------_x000D_
   Valores Desconsiderados_x000D_
-----------------------------_x000D_
23 / 04_2 : 16 (50)_x000D_
_x000D_
  TOTAL   : ( 16 )</t>
        </r>
      </text>
    </comment>
    <comment ref="AB859" authorId="0" shapeId="0" xr:uid="{C26C942B-3C20-4F93-A676-AF14CAA7B88D}">
      <text>
        <r>
          <rPr>
            <sz val="10"/>
            <color indexed="81"/>
            <rFont val="Lucida Console"/>
            <family val="3"/>
          </rPr>
          <t>Última movimentação no estoque em 06/2023 quantidade 15.</t>
        </r>
      </text>
    </comment>
    <comment ref="R860" authorId="0" shapeId="0" xr:uid="{56FB7043-DAC2-4253-B179-62966B988F77}">
      <text>
        <r>
          <rPr>
            <sz val="10"/>
            <color indexed="81"/>
            <rFont val="Lucida Console"/>
            <family val="3"/>
          </rPr>
          <t>12.08.2003</t>
        </r>
      </text>
    </comment>
    <comment ref="Y860" authorId="0" shapeId="0" xr:uid="{8F31BFD6-9866-4AAF-87CD-4EEB83E94224}">
      <text>
        <r>
          <rPr>
            <sz val="10"/>
            <color indexed="81"/>
            <rFont val="Courier New"/>
            <family val="3"/>
          </rPr>
          <t>_x000D_
    DESCRIÇÃO DO CÁLCULO_x000D_
Código    : 74.907_x000D_
Corte     : 37_x000D_
-----------------------------_x000D_
Pendente  : _x000D_
22 / 08_2 : _x000D_
22 / 09_2 : _x000D_
22 / 10_2 : _x000D_
22 / 11_2 : _x000D_
22 / 12_2 : 23_x000D_
23 / 01_2 : _x000D_
23 / 02_2 : _x000D_
23 / 03_2 : _x000D_
23 / 04_2 : _x000D_
23 / 05_2 : 37 (corte = 50)_x000D_
23 / 06_2 : 10_x000D_
23 / 07_2 : 4_x000D_
_x000D_
    TOTAL : ( 74 )_x000D_
  DIVISOR : 12_x000D_
    MÉDIA : 6,17_x000D_
-----------------------------_x000D_
   Valores Desconsiderados_x000D_
-----------------------------_x000D_
23 / 05_2 : 13 (50)_x000D_
_x000D_
  TOTAL   : ( 13 )</t>
        </r>
      </text>
    </comment>
    <comment ref="AB860" authorId="0" shapeId="0" xr:uid="{2038C815-7BD9-4720-B1BD-47242E969FC0}">
      <text>
        <r>
          <rPr>
            <sz val="10"/>
            <color indexed="81"/>
            <rFont val="Lucida Console"/>
            <family val="3"/>
          </rPr>
          <t>Última movimentação no estoque em 07/2023 quantidade 4.</t>
        </r>
      </text>
    </comment>
    <comment ref="R861" authorId="0" shapeId="0" xr:uid="{B5D51AB5-E1B8-4A35-BB66-4AD431647950}">
      <text>
        <r>
          <rPr>
            <sz val="10"/>
            <color indexed="81"/>
            <rFont val="Lucida Console"/>
            <family val="3"/>
          </rPr>
          <t>10.03.2004</t>
        </r>
      </text>
    </comment>
    <comment ref="Y861" authorId="0" shapeId="0" xr:uid="{1CE7B242-49D0-4ED9-91ED-896F7E371742}">
      <text>
        <r>
          <rPr>
            <sz val="10"/>
            <color indexed="81"/>
            <rFont val="Courier New"/>
            <family val="3"/>
          </rPr>
          <t>_x000D_
    DESCRIÇÃO DO CÁLCULO_x000D_
Código    : 77.557_x000D_
Corte     : 23_x000D_
-----------------------------_x000D_
Pendente  : _x000D_
22 / 08_2 : _x000D_
22 / 09_2 : _x000D_
22 / 10_2 : _x000D_
22 / 11_2 : _x000D_
22 / 12_2 : 6_x000D_
23 / 01_2 : _x000D_
23 / 02_2 : _x000D_
23 / 03_2 : _x000D_
23 / 04_2 : _x000D_
23 / 05_2 : 3_x000D_
23 / 06_2 : 23 (corte = 34)_x000D_
23 / 07_2 : _x000D_
_x000D_
    TOTAL : ( 32 )_x000D_
  DIVISOR : 12_x000D_
    MÉDIA : 2,67_x000D_
-----------------------------_x000D_
   Valores Desconsiderados_x000D_
-----------------------------_x000D_
23 / 06_2 : 11 (34)_x000D_
_x000D_
  TOTAL   : ( 11 )</t>
        </r>
      </text>
    </comment>
    <comment ref="AB861" authorId="0" shapeId="0" xr:uid="{6EEB02E0-6D16-4373-AC76-B737A0093280}">
      <text>
        <r>
          <rPr>
            <sz val="10"/>
            <color indexed="81"/>
            <rFont val="Lucida Console"/>
            <family val="3"/>
          </rPr>
          <t>Última movimentação no estoque em 06/2023 quantidade 34.</t>
        </r>
      </text>
    </comment>
    <comment ref="R862" authorId="0" shapeId="0" xr:uid="{2F13135F-6B02-4E39-BE67-C69E1BB2FCAF}">
      <text>
        <r>
          <rPr>
            <sz val="10"/>
            <color indexed="81"/>
            <rFont val="Lucida Console"/>
            <family val="3"/>
          </rPr>
          <t>12.08.2003</t>
        </r>
      </text>
    </comment>
    <comment ref="Y862" authorId="0" shapeId="0" xr:uid="{C98155AE-9581-45A1-B44A-5826CCF9C6EF}">
      <text>
        <r>
          <rPr>
            <sz val="10"/>
            <color indexed="81"/>
            <rFont val="Courier New"/>
            <family val="3"/>
          </rPr>
          <t>_x000D_
    DESCRIÇÃO DO CÁLCULO_x000D_
Código    : 74.909_x000D_
Corte     : 57_x000D_
-----------------------------_x000D_
Pendente  : 23_x000D_
22 / 08_2 : _x000D_
22 / 09_2 : 2_x000D_
22 / 10_2 : 7_x000D_
22 / 11_2 : 57 (corte = 70)_x000D_
22 / 12_2 : 47_x000D_
23 / 01_2 : _x000D_
23 / 02_2 : _x000D_
23 / 03_2 : _x000D_
23 / 04_2 : _x000D_
23 / 05_2 : _x000D_
23 / 06_2 : _x000D_
23 / 07_2 : _x000D_
_x000D_
    TOTAL : ( 136 )_x000D_
  DIVISOR : 12_x000D_
    MÉDIA : 11,33_x000D_
-----------------------------_x000D_
   Valores Desconsiderados_x000D_
-----------------------------_x000D_
22 / 11_2 : 13 (70)_x000D_
_x000D_
  TOTAL   : ( 13 )</t>
        </r>
      </text>
    </comment>
    <comment ref="AB862" authorId="0" shapeId="0" xr:uid="{62922F1B-7EF4-42DE-91B5-9816CAA39654}">
      <text>
        <r>
          <rPr>
            <sz val="10"/>
            <color indexed="81"/>
            <rFont val="Lucida Console"/>
            <family val="3"/>
          </rPr>
          <t>Última movimentação no estoque em 12/2022 quantidade 47.</t>
        </r>
      </text>
    </comment>
    <comment ref="R863" authorId="0" shapeId="0" xr:uid="{08FEE41F-FC94-4A2F-A27F-5BC0A3FE3A86}">
      <text>
        <r>
          <rPr>
            <sz val="10"/>
            <color indexed="81"/>
            <rFont val="Lucida Console"/>
            <family val="3"/>
          </rPr>
          <t>10.03.2004</t>
        </r>
      </text>
    </comment>
    <comment ref="Y863" authorId="0" shapeId="0" xr:uid="{22465BE2-8C40-43BD-846F-CA275B4A3255}">
      <text>
        <r>
          <rPr>
            <sz val="10"/>
            <color indexed="81"/>
            <rFont val="Courier New"/>
            <family val="3"/>
          </rPr>
          <t>_x000D_
    DESCRIÇÃO DO CÁLCULO_x000D_
Código    : 77.554_x000D_
Corte     : 60_x000D_
-----------------------------_x000D_
Pendente  : _x000D_
22 / 08_2 : _x000D_
22 / 09_2 : _x000D_
22 / 10_2 : 24_x000D_
22 / 11_2 : 60 (corte = 70)_x000D_
22 / 12_2 : _x000D_
23 / 01_2 : _x000D_
23 / 02_2 : _x000D_
23 / 03_2 : 50_x000D_
23 / 04_2 : 6_x000D_
23 / 05_2 : 20_x000D_
23 / 06_2 : 5_x000D_
23 / 07_2 : _x000D_
_x000D_
    TOTAL : ( 165 )_x000D_
  DIVISOR : 12_x000D_
    MÉDIA : 13,75_x000D_
-----------------------------_x000D_
   Valores Desconsiderados_x000D_
-----------------------------_x000D_
22 / 11_2 : 10 (70)_x000D_
_x000D_
  TOTAL   : ( 10 )</t>
        </r>
      </text>
    </comment>
    <comment ref="AB863" authorId="0" shapeId="0" xr:uid="{358DE5EB-CCDB-43B0-997B-0D6B70DE044D}">
      <text>
        <r>
          <rPr>
            <sz val="10"/>
            <color indexed="81"/>
            <rFont val="Lucida Console"/>
            <family val="3"/>
          </rPr>
          <t>Última movimentação no estoque em 06/2023 quantidade 5.</t>
        </r>
      </text>
    </comment>
    <comment ref="R864" authorId="0" shapeId="0" xr:uid="{CFDFC871-85E7-4BF7-B10B-A919E43D1111}">
      <text>
        <r>
          <rPr>
            <sz val="10"/>
            <color indexed="81"/>
            <rFont val="Lucida Console"/>
            <family val="3"/>
          </rPr>
          <t>12.08.2003</t>
        </r>
      </text>
    </comment>
    <comment ref="Y864" authorId="0" shapeId="0" xr:uid="{E40A0EB8-9F85-4C09-B6F3-DB03D1A9A7A2}">
      <text>
        <r>
          <rPr>
            <sz val="10"/>
            <color indexed="81"/>
            <rFont val="Courier New"/>
            <family val="3"/>
          </rPr>
          <t>_x000D_
    DESCRIÇÃO DO CÁLCULO_x000D_
Código    : 74.911_x000D_
Corte     : 54_x000D_
-----------------------------_x000D_
Pendente  : _x000D_
22 / 08_2 : _x000D_
22 / 09_2 : _x000D_
22 / 10_2 : _x000D_
22 / 11_2 : _x000D_
22 / 12_2 : _x000D_
23 / 01_2 : _x000D_
23 / 02_2 : _x000D_
23 / 03_2 : 50_x000D_
23 / 04_2 : 54 (corte = 65)_x000D_
23 / 05_2 : _x000D_
23 / 06_2 : _x000D_
23 / 07_2 : _x000D_
_x000D_
    TOTAL : ( 104 )_x000D_
  DIVISOR : 12_x000D_
    MÉDIA : 8,67_x000D_
-----------------------------_x000D_
   Valores Desconsiderados_x000D_
-----------------------------_x000D_
23 / 04_2 : 11 (65)_x000D_
_x000D_
  TOTAL   : ( 11 )</t>
        </r>
      </text>
    </comment>
    <comment ref="AB864" authorId="0" shapeId="0" xr:uid="{A0495A28-4579-4533-8B97-20FF54F4E61C}">
      <text>
        <r>
          <rPr>
            <sz val="10"/>
            <color indexed="81"/>
            <rFont val="Lucida Console"/>
            <family val="3"/>
          </rPr>
          <t>Última movimentação no estoque em 04/2023 quantidade 65.</t>
        </r>
      </text>
    </comment>
    <comment ref="R865" authorId="0" shapeId="0" xr:uid="{6144D45C-9DE4-42BE-9AA2-676B2D8753C8}">
      <text>
        <r>
          <rPr>
            <sz val="10"/>
            <color indexed="81"/>
            <rFont val="Lucida Console"/>
            <family val="3"/>
          </rPr>
          <t>13.10.2004</t>
        </r>
      </text>
    </comment>
    <comment ref="Y865" authorId="0" shapeId="0" xr:uid="{CB38B629-D84A-4FC5-9A36-61F2174CEF14}">
      <text>
        <r>
          <rPr>
            <sz val="10"/>
            <color indexed="81"/>
            <rFont val="Courier New"/>
            <family val="3"/>
          </rPr>
          <t>_x000D_
    DESCRIÇÃO DO CÁLCULO_x000D_
Código    : 82.185_x000D_
Corte     : 33_x000D_
-----------------------------_x000D_
Pendente  : _x000D_
22 / 08_2 : 30_x000D_
22 / 09_2 : 8_x000D_
22 / 10_2 : _x000D_
22 / 11_2 : _x000D_
22 / 12_2 : _x000D_
23 / 01_2 : _x000D_
23 / 02_2 : _x000D_
23 / 03_2 : _x000D_
23 / 04_2 : 10_x000D_
23 / 05_2 : 32_x000D_
23 / 06_2 : 17_x000D_
23 / 07_2 : 15_x000D_
_x000D_
    TOTAL : ( 112 )_x000D_
  DIVISOR : 12_x000D_
    MÉDIA : 9,33</t>
        </r>
      </text>
    </comment>
    <comment ref="AB865" authorId="0" shapeId="0" xr:uid="{FFB5CC9D-C8A1-4C44-8681-1BE1461E208C}">
      <text>
        <r>
          <rPr>
            <sz val="10"/>
            <color indexed="81"/>
            <rFont val="Lucida Console"/>
            <family val="3"/>
          </rPr>
          <t>Última movimentação no estoque em 07/2023 quantidade 15.</t>
        </r>
      </text>
    </comment>
    <comment ref="R866" authorId="0" shapeId="0" xr:uid="{4FA9C88D-69DE-407B-9EAF-C208876DDD34}">
      <text>
        <r>
          <rPr>
            <sz val="10"/>
            <color indexed="81"/>
            <rFont val="Lucida Console"/>
            <family val="3"/>
          </rPr>
          <t>12.04.2010</t>
        </r>
      </text>
    </comment>
    <comment ref="Y866" authorId="0" shapeId="0" xr:uid="{B74DF136-02B7-495D-8F11-DF15E5FAD8FD}">
      <text>
        <r>
          <rPr>
            <sz val="10"/>
            <color indexed="81"/>
            <rFont val="Courier New"/>
            <family val="3"/>
          </rPr>
          <t>_x000D_
    DESCRIÇÃO DO CÁLCULO_x000D_
Código    : 114.852_x000D_
Corte     : 27_x000D_
-----------------------------_x000D_
Pendente  : _x000D_
22 / 08_2 : _x000D_
22 / 09_2 : _x000D_
22 / 10_2 : _x000D_
22 / 11_2 : 25_x000D_
22 / 12_2 : _x000D_
23 / 01_2 : _x000D_
23 / 02_2 : _x000D_
23 / 03_2 : _x000D_
23 / 04_2 : _x000D_
23 / 05_2 : 27 (corte = 30)_x000D_
23 / 06_2 : 14_x000D_
23 / 07_2 : _x000D_
_x000D_
    TOTAL : ( 66 )_x000D_
  DIVISOR : 12_x000D_
    MÉDIA : 5,50_x000D_
-----------------------------_x000D_
   Valores Desconsiderados_x000D_
-----------------------------_x000D_
23 / 05_2 : 3 (30)_x000D_
_x000D_
  TOTAL   : ( 3 )</t>
        </r>
      </text>
    </comment>
    <comment ref="AB866" authorId="0" shapeId="0" xr:uid="{15F8E285-79FB-4F38-B34E-3B949E88B918}">
      <text>
        <r>
          <rPr>
            <sz val="10"/>
            <color indexed="81"/>
            <rFont val="Lucida Console"/>
            <family val="3"/>
          </rPr>
          <t>Última movimentação no estoque em 06/2023 quantidade 14.</t>
        </r>
      </text>
    </comment>
    <comment ref="R867" authorId="0" shapeId="0" xr:uid="{DC435B60-ABB3-442E-9477-C72FD0332C3A}">
      <text>
        <r>
          <rPr>
            <sz val="10"/>
            <color indexed="81"/>
            <rFont val="Lucida Console"/>
            <family val="3"/>
          </rPr>
          <t>12.04.2010</t>
        </r>
      </text>
    </comment>
    <comment ref="Y867" authorId="0" shapeId="0" xr:uid="{1F86662F-97F6-4E18-8855-C4366857B50F}">
      <text>
        <r>
          <rPr>
            <sz val="10"/>
            <color indexed="81"/>
            <rFont val="Courier New"/>
            <family val="3"/>
          </rPr>
          <t>_x000D_
    DESCRIÇÃO DO CÁLCULO_x000D_
Código    : 114.853_x000D_
Corte     : 30_x000D_
-----------------------------_x000D_
Pendente  : _x000D_
22 / 08_2 : _x000D_
22 / 09_2 : 30 (corte = 40)_x000D_
22 / 10_2 : 1_x000D_
22 / 11_2 : _x000D_
22 / 12_2 : 7_x000D_
23 / 01_2 : _x000D_
23 / 02_2 : _x000D_
23 / 03_2 : 6_x000D_
23 / 04_2 : _x000D_
23 / 05_2 : 16_x000D_
23 / 06_2 : 15_x000D_
23 / 07_2 : 2_x000D_
_x000D_
    TOTAL : ( 77 )_x000D_
  DIVISOR : 12_x000D_
    MÉDIA : 6,42_x000D_
-----------------------------_x000D_
   Valores Desconsiderados_x000D_
-----------------------------_x000D_
22 / 09_2 : 10 (40)_x000D_
_x000D_
  TOTAL   : ( 10 )</t>
        </r>
      </text>
    </comment>
    <comment ref="AB867" authorId="0" shapeId="0" xr:uid="{A8AD8022-8769-4F87-881C-0AEEAC0C7690}">
      <text>
        <r>
          <rPr>
            <sz val="10"/>
            <color indexed="81"/>
            <rFont val="Lucida Console"/>
            <family val="3"/>
          </rPr>
          <t>Última movimentação no estoque em 07/2023 quantidade 2.</t>
        </r>
      </text>
    </comment>
    <comment ref="R868" authorId="0" shapeId="0" xr:uid="{89CFFFEC-6500-4E03-8385-792E0E0EA210}">
      <text>
        <r>
          <rPr>
            <sz val="10"/>
            <color indexed="81"/>
            <rFont val="Lucida Console"/>
            <family val="3"/>
          </rPr>
          <t>28.06.2010</t>
        </r>
      </text>
    </comment>
    <comment ref="Y868" authorId="0" shapeId="0" xr:uid="{92EEB3C9-F746-4905-A99E-16F27B733371}">
      <text>
        <r>
          <rPr>
            <sz val="10"/>
            <color indexed="81"/>
            <rFont val="Courier New"/>
            <family val="3"/>
          </rPr>
          <t>_x000D_
    DESCRIÇÃO DO CÁLCULO_x000D_
Código    : 115.840_x000D_
Corte     : 4_x000D_
-----------------------------_x000D_
Pendente  : _x000D_
22 / 08_2 : _x000D_
22 / 09_2 : _x000D_
22 / 10_2 : _x000D_
22 / 11_2 : _x000D_
22 / 12_2 : _x000D_
23 / 01_2 : _x000D_
23 / 02_2 : _x000D_
23 / 03_2 : _x000D_
23 / 04_2 : _x000D_
23 / 05_2 : _x000D_
23 / 06_2 : 4 (corte = 6)_x000D_
23 / 07_2 : 1_x000D_
_x000D_
    TOTAL : ( 5 )_x000D_
  DIVISOR : 12_x000D_
    MÉDIA : ,42_x000D_
-----------------------------_x000D_
   Valores Desconsiderados_x000D_
-----------------------------_x000D_
23 / 06_2 : 2 (6)_x000D_
_x000D_
  TOTAL   : ( 2 )</t>
        </r>
      </text>
    </comment>
    <comment ref="AB868" authorId="0" shapeId="0" xr:uid="{1F8F39C0-351F-48D6-9AC1-AEF600907C31}">
      <text>
        <r>
          <rPr>
            <sz val="10"/>
            <color indexed="81"/>
            <rFont val="Lucida Console"/>
            <family val="3"/>
          </rPr>
          <t>Última movimentação no estoque em 07/2023 quantidade 1.</t>
        </r>
      </text>
    </comment>
    <comment ref="R869" authorId="0" shapeId="0" xr:uid="{DEBA46F9-4093-41B8-AB90-98A2C1524B71}">
      <text>
        <r>
          <rPr>
            <sz val="10"/>
            <color indexed="81"/>
            <rFont val="Lucida Console"/>
            <family val="3"/>
          </rPr>
          <t>01.01.1901</t>
        </r>
      </text>
    </comment>
    <comment ref="Y869" authorId="0" shapeId="0" xr:uid="{CA00DF37-57F6-406A-8D3C-D60B899C9B98}">
      <text>
        <r>
          <rPr>
            <sz val="10"/>
            <color indexed="81"/>
            <rFont val="Courier New"/>
            <family val="3"/>
          </rPr>
          <t>_x000D_
    DESCRIÇÃO DO CÁLCULO_x000D_
Código    : 17.946_x000D_
Corte     : 13_x000D_
-----------------------------_x000D_
Pendente  : _x000D_
22 / 08_2 : _x000D_
22 / 09_2 : _x000D_
22 / 10_2 : _x000D_
22 / 11_2 : _x000D_
22 / 12_2 : _x000D_
23 / 01_2 : _x000D_
23 / 02_2 : _x000D_
23 / 03_2 : _x000D_
23 / 04_2 : _x000D_
23 / 05_2 : 13 (corte = 20)_x000D_
23 / 06_2 : _x000D_
23 / 07_2 : _x000D_
_x000D_
    TOTAL : ( 13 )_x000D_
  DIVISOR : 12_x000D_
    MÉDIA : 1,08_x000D_
-----------------------------_x000D_
   Valores Desconsiderados_x000D_
-----------------------------_x000D_
23 / 05_2 : 7 (20)_x000D_
_x000D_
  TOTAL   : ( 7 )</t>
        </r>
      </text>
    </comment>
    <comment ref="AB869" authorId="0" shapeId="0" xr:uid="{44B96263-3D92-4990-9389-2A824D5644B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Marcos</author>
  </authors>
  <commentList>
    <comment ref="A3" authorId="0" shapeId="0" xr:uid="{8DEB3DF0-4D3D-4B17-85B5-CA8F816F2D29}">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<sst xmlns="http://schemas.openxmlformats.org/spreadsheetml/2006/main" count="24881" uniqueCount="2234">
  <si>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</si>
  <si>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</si>
  <si>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</si>
  <si>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</si>
  <si>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</si>
  <si>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</si>
  <si>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</si>
  <si>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</si>
  <si>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</si>
  <si>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</si>
  <si>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</si>
  <si>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</si>
  <si>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</si>
  <si>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</si>
  <si>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</si>
  <si>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</si>
  <si>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</si>
  <si>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</si>
  <si>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</si>
  <si>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</si>
  <si>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</si>
  <si>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</si>
  <si>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</si>
  <si>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</si>
  <si>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</si>
  <si>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</si>
  <si>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</si>
  <si>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</si>
  <si>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</si>
  <si>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</si>
  <si>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</si>
  <si>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</si>
  <si>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</si>
  <si>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</si>
  <si>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</si>
  <si>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</si>
  <si>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</si>
  <si>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</si>
  <si>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</si>
  <si>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</si>
  <si>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</si>
  <si>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</si>
  <si>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</si>
  <si>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</si>
  <si>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</si>
  <si>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</si>
  <si>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</si>
  <si>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</si>
  <si>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</si>
  <si>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</si>
  <si>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</si>
  <si>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</si>
  <si>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</si>
  <si>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</si>
  <si>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</si>
  <si>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</si>
  <si>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</si>
  <si>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</si>
  <si>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</si>
  <si>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</si>
  <si>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</si>
  <si>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</si>
  <si>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</si>
  <si>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</si>
  <si>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</si>
  <si>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</si>
  <si>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</si>
  <si>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</si>
  <si>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</si>
  <si>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</si>
  <si>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</si>
  <si>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</si>
  <si>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</si>
  <si>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</si>
  <si>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</si>
  <si>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</si>
  <si>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</si>
  <si>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</si>
  <si>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</si>
  <si>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</si>
  <si>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</si>
  <si>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</si>
  <si>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</si>
  <si>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</si>
  <si>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</si>
  <si>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</si>
  <si>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</si>
  <si>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</si>
  <si>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</si>
  <si>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</si>
  <si>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</si>
  <si>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</si>
  <si>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</si>
  <si>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</si>
  <si>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</si>
  <si>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</si>
  <si>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</si>
  <si>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</si>
  <si>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</si>
  <si>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</si>
  <si>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</si>
  <si>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</si>
  <si>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</si>
  <si>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</si>
  <si>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</si>
  <si>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</si>
  <si>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</si>
  <si>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</si>
  <si>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</si>
  <si>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</si>
  <si>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</si>
  <si>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</si>
  <si>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</si>
  <si>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</si>
  <si>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</si>
  <si>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</si>
  <si>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</si>
  <si>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</si>
  <si>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</si>
  <si>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</si>
  <si>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</si>
  <si>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</si>
  <si>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</si>
  <si>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</si>
  <si>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</si>
  <si>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</si>
  <si>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</si>
  <si>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</si>
  <si>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</si>
  <si>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</si>
  <si>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</si>
  <si>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</si>
  <si>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</si>
  <si>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</si>
  <si>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</si>
  <si>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</si>
  <si>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</si>
  <si>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</si>
  <si>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</si>
  <si>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</si>
  <si>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</si>
  <si>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</si>
  <si>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</si>
  <si>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</si>
  <si>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</si>
  <si>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</si>
  <si>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</si>
  <si>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</si>
  <si>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</si>
  <si>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</si>
  <si>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</si>
  <si>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</si>
  <si>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</si>
  <si>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</si>
  <si>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</si>
  <si>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</si>
  <si>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</si>
  <si>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</si>
  <si>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</si>
  <si>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</si>
  <si>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</si>
  <si>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</si>
  <si>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</si>
  <si>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</si>
  <si>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</si>
  <si>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</si>
  <si>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</si>
  <si>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</si>
  <si>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</si>
  <si>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</si>
  <si>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</si>
  <si>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</si>
  <si>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</si>
  <si>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</si>
  <si>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</si>
  <si>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</si>
  <si>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</si>
  <si>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</si>
  <si>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</si>
  <si>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</si>
  <si>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</si>
  <si>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</si>
  <si>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</si>
  <si>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</si>
  <si>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</si>
  <si>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</si>
  <si>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</si>
  <si>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</si>
  <si>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</si>
  <si>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</si>
  <si>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</si>
  <si>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</si>
  <si>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</si>
  <si>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</si>
  <si>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</si>
  <si>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</si>
  <si>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</si>
  <si>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</si>
  <si>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</si>
  <si>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</si>
  <si>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</si>
  <si>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</si>
  <si>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</si>
  <si>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</si>
  <si>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</si>
  <si>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</si>
  <si>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</si>
  <si>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</si>
  <si>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</si>
  <si>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</si>
  <si>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</si>
  <si>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</si>
  <si>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</si>
  <si>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</si>
  <si>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</si>
  <si>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</si>
  <si>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</si>
  <si>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</si>
  <si>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</si>
  <si>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</si>
  <si>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</si>
  <si>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</si>
  <si>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</si>
  <si>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</si>
  <si>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</si>
  <si>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</si>
  <si>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</si>
  <si>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</si>
  <si>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</si>
  <si>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</si>
  <si>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</si>
  <si>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</si>
  <si>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</si>
  <si>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</si>
  <si>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</si>
  <si>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</si>
  <si>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</si>
  <si>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</si>
  <si>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</si>
  <si>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</si>
  <si>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</si>
  <si>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</si>
  <si>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</si>
  <si>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</si>
  <si>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</si>
  <si>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</si>
  <si>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</si>
  <si>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</si>
  <si>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</si>
  <si>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</si>
  <si>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</si>
  <si>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</si>
  <si>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</si>
  <si>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</si>
  <si>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02.08.2023 - 14:02:24</t>
  </si>
  <si>
    <t>ABRACADEIRA GALVANIZADA TIPO "D" 1 1/4"</t>
  </si>
  <si>
    <t>PC</t>
  </si>
  <si>
    <t>marcos.pereira</t>
  </si>
  <si>
    <t>6/11/2019  2:46:24 PM</t>
  </si>
  <si>
    <t>ABRACADEIRA GALVANIZADA TIPO D DE 1/2"</t>
  </si>
  <si>
    <t>ABRACADEIRA GALVANIZADA TIPO U DE 1"</t>
  </si>
  <si>
    <t>ABRACADEIRA GALVANIZADA TIPO U DE 1/2"</t>
  </si>
  <si>
    <t>ABRACADEIRA REGULAVEL ROSCA SEM FIM DE 1"</t>
  </si>
  <si>
    <t>ABRACADEIRA REGULAVEL ROSCA SEM FIM DE 1/2"</t>
  </si>
  <si>
    <t>ABRACADEIRA REGULAVEL ROSCA SEM FIM DE 3/4"</t>
  </si>
  <si>
    <t>6/11/2019  2:47:16 PM</t>
  </si>
  <si>
    <t>ABRACADEIRA TIPO "D" - 1"</t>
  </si>
  <si>
    <t>ACUCAR REFINADO AMORFO/MICROCRISTALINO - 5 KG</t>
  </si>
  <si>
    <t>PT</t>
  </si>
  <si>
    <t>ADESIVO SELANTE PARA VEDACAO/CALAFETACAO  DE CALHAS RUFOS E AFINS,  A BASE DE POLIURETANO - TUBO DE 350 A 400 GRAMAS</t>
  </si>
  <si>
    <t>TB</t>
  </si>
  <si>
    <t>priscila.miranda</t>
  </si>
  <si>
    <t>AGUARRAZ MINERAL/VEGETAL - 900 ML</t>
  </si>
  <si>
    <t>LT</t>
  </si>
  <si>
    <t>ALCOOL ETILICO HIDRATADO EM GEL 70° INPM - PARA USO DOMESTICO- FRASCO COM NO MINIMO 480 GR</t>
  </si>
  <si>
    <t>FR</t>
  </si>
  <si>
    <t>ALGODAO HIDROFILO EM FLOCOS - PT COM 100 GRAMAS</t>
  </si>
  <si>
    <t>ANEL DE VEDACAO EM BORRACHA PARA BACIA SANITARIA - MEDIDA 100MM</t>
  </si>
  <si>
    <t>APONTADOR PARA LAPIS Nº 02, COM DEPOSITO.</t>
  </si>
  <si>
    <t>APONTADOR PARA LÁPIS Nº 2</t>
  </si>
  <si>
    <t>ARAME FARPADO DE ACO GALVANIZADO A FOGO CORDOALHA 1,60 MM</t>
  </si>
  <si>
    <t>RL</t>
  </si>
  <si>
    <t>ARRUELA GALVANIZADA DE 1/2</t>
  </si>
  <si>
    <t>ASSADEIRA DE ALUMINIO - MED. APROX. 41 X 29 X 5 CM</t>
  </si>
  <si>
    <t>ASSENTO EM MADEIRA  REVESTIDO C/ LAMINADO MELAMINICO 10MM</t>
  </si>
  <si>
    <t>AVENTAL - TIPO JALECO, EM TECIDO MISTO DE POLIESTER E ALGODAO , C/MANGA CURTA - COR: AZUL CLARO - TAM: G</t>
  </si>
  <si>
    <t>6/12/2019  11:52:18 AM</t>
  </si>
  <si>
    <t>AVENTAL - TIPO JALECO, EM TECIDO MISTO DE POLIESTER E ALGODAO , C/MANGA CURTA - COR: AZUL CLARO - TAM: GG</t>
  </si>
  <si>
    <t>AVENTAL - TIPO JALECO, EM TECIDO MISTO DE POLIESTER E ALGODAO , C/MANGA CURTA - COR: AZUL CLARO - TAM: M</t>
  </si>
  <si>
    <t>AVENTAL - TIPO JALECO, EM TECIDO MISTO DE POLIESTER E ALGODAO , C/MANGA CURTA - COR: AZUL CLARO - TAM: P</t>
  </si>
  <si>
    <t xml:space="preserve">AVENTAL DE RASPA,  EM COURO. </t>
  </si>
  <si>
    <t>BACIA DE PLASTICO - CAPACIDADE P/ 32 LITROS</t>
  </si>
  <si>
    <t>BALDE PLASTICO - 20 L.</t>
  </si>
  <si>
    <t>BARRA/FIO REDONDO PARA CONSTRUCAO, DE ACO CA50 - 5/8" - BARRA COM 12 METROS</t>
  </si>
  <si>
    <t>BR</t>
  </si>
  <si>
    <t>BATENTE DE GARAPEIRA 0,62 X 2,10 M</t>
  </si>
  <si>
    <t>BATENTE DE GARAPEIRA 0,72 X 2,10 M</t>
  </si>
  <si>
    <t>JG</t>
  </si>
  <si>
    <t>BOLSA EM POLIETILENO FLEXIVEL DIAM. 1.1/2" P/ BACIA SANITAR</t>
  </si>
  <si>
    <t>BORRACHA BRANCA COMUM (SEM CINTA), MEDIDA: 40MM X 30MM X 10MM.</t>
  </si>
  <si>
    <t>BOTA DE PVC N° 38 - CANO CURTO</t>
  </si>
  <si>
    <t>PR</t>
  </si>
  <si>
    <t>BOTA DE PVC N° 40 - CANO CURTO</t>
  </si>
  <si>
    <t>BOTA DE PVC N° 41 - CANO CURTO</t>
  </si>
  <si>
    <t>BOTA DE PVC N° 42 - CANO CURTO</t>
  </si>
  <si>
    <t xml:space="preserve">BOTA DE PVC, CANO LONGO - N° 38 </t>
  </si>
  <si>
    <t>BOTA DE PVC, CANO LONGO - N° 39</t>
  </si>
  <si>
    <t xml:space="preserve">BOTA DE PVC, CANO LONGO - N° 40 </t>
  </si>
  <si>
    <t>BOTA DE PVC, CANO LONGO - N° 41</t>
  </si>
  <si>
    <t xml:space="preserve">BOTA DE PVC, CANO LONGO - N° 42  </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</si>
  <si>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</si>
  <si>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</si>
  <si>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</si>
  <si>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</si>
  <si>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</si>
  <si>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</si>
  <si>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</si>
  <si>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BOTAO ALARME PANICO BLOQUEADOR</t>
  </si>
  <si>
    <t xml:space="preserve">BOTINA DE COURO N° 38, C/BICO DE ACO, SOLADO PU  </t>
  </si>
  <si>
    <t>BOTINA DE COURO N° 41, C/BICO DE ACO, SOLADO PU</t>
  </si>
  <si>
    <t>BOTINA DE COURO N° 42, C/BICO DE ACO, SOLADO PU</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</si>
  <si>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</si>
  <si>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</si>
  <si>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</si>
  <si>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BROCA DE WIDIA 1/8"</t>
  </si>
  <si>
    <t>BROCA DE WIDIA 3/16"</t>
  </si>
  <si>
    <t>BROCA DE WIDIA 5/32"</t>
  </si>
  <si>
    <t>BUCHA DE FIBRA DE COCO - MEDIA - N° 03</t>
  </si>
  <si>
    <t>BUCHA DE FIXACAO N° 12 - DE NYLON</t>
  </si>
  <si>
    <t>BULE DE ALUMINIO - 3 LITROS</t>
  </si>
  <si>
    <t>CABO DE ACO GALVANIZADO DE 1/4"</t>
  </si>
  <si>
    <t>M</t>
  </si>
  <si>
    <t>CABO DE ACO POLIDO COM ALMA DE ACO DE 5/16"</t>
  </si>
  <si>
    <t>CABO DE COBRE FLEXIVEL BITOLA  95 MM²,  750 V ISOLACAO DE PVC 70° C, COR VERDE - ANTI-CHAMA.</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</si>
  <si>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</si>
  <si>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</si>
  <si>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</si>
  <si>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25 MM², 0,6/1 KV ISOLACAO DE PVC 70° C, ANTICHAMA, COR AZUL-CLARO   ** NAO UTILIZAR - VIDE COD. 140242 **</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</si>
  <si>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</si>
  <si>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</si>
  <si>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</si>
  <si>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</si>
  <si>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 xml:space="preserve">CABO DE COBRE FLEXIVEL BITOLA 95 MM2 , ISOLACAO 0,6/1 KV, COR PRETA - ANTICHAMA </t>
  </si>
  <si>
    <t>CABO DE COBRE FLEXIVEL, BITOLA 10,0 MM2, 1KV, ISOLACAO DE PVC 70º, COR AZUL CLARO</t>
  </si>
  <si>
    <t>CABO DE COBRE FLEXIVEL, BITOLA 10,0MM2, 1KV,  ISOLACAO DE PVC 70ºC, COR PRETA</t>
  </si>
  <si>
    <t>CABO DE COBRE FLEXIVEL, BITOLA 35,0MM2, 1KV,  ISOLACAO DE PVC 70ºC, COR AZUL CLARO- ANTI-CHAMA</t>
  </si>
  <si>
    <t>CABO DE COBRE FLEXIVEL, BITOLA 35,0MM2, 1KV,  ISOLACAO DE PVC 70ºC, COR VERDE</t>
  </si>
  <si>
    <t>CABO DE COBRE FLEXIVEL, BITOLA 50MM2, 750 V, ISOLACAO DE PVC 70° C, COR VERDE - ANTI-CHAMA</t>
  </si>
  <si>
    <t>CABO DE COBRE ISOLACAO PVS 750V C/ COBERTURA DE PVC 2 X2,5 MM2</t>
  </si>
  <si>
    <t>CABO DE COBRE, ISOLACAO PVS 750V COM COBERTURA DE PVC - 2 X 1,5 MM</t>
  </si>
  <si>
    <t>CABO DE COBRE, ISOLACAO PVS 750V COM COBERTURA DE PVC - 3 X 2,5 MM</t>
  </si>
  <si>
    <t>CABO FLEXIVEL - 1,5MM - PRETO</t>
  </si>
  <si>
    <t>CABO FLEXIVEL - 2,5 MM2 - PRETO</t>
  </si>
  <si>
    <t>CABO FLEXIVEL - 2,5 MM2 - VERDE</t>
  </si>
  <si>
    <t>CABO FLEXIVEL - 6 MM2 - PRETO</t>
  </si>
  <si>
    <t>CABO FLEXIVEL - 6 MM2 - VERDE</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</si>
  <si>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</si>
  <si>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</si>
  <si>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</si>
  <si>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</si>
  <si>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PRETA</t>
  </si>
  <si>
    <t>CABO FLEXIVEL BITOLA 4,0 MM2, 750 VOLTS, ISOLACAO DE PVC 70° C, COR VERDE</t>
  </si>
  <si>
    <t>CABO FLEXIVEL BITOLA 50 MM², ISOLACAO DE PVC 70° C, 1KV, 750V, ANTICHAMA, COR PRETA</t>
  </si>
  <si>
    <t>CABO PARA ALARME (4 VIAS AWG24) - METROS DE CABO COM QUATRO VIAS DE CORES COM NO MINIMO 4X0,50 MM DE DIAMETRO POR FIO (AWG24) SOLIDO.</t>
  </si>
  <si>
    <t>6/24/2019  9:41:50 AM</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</si>
  <si>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</si>
  <si>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</si>
  <si>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CABO UTP 24 AWG X 4 PARES CATEGORIA 6, CM</t>
  </si>
  <si>
    <t>6/3/2019  3:12:16 PM</t>
  </si>
  <si>
    <t>CACAROLA DE ALUMINIO C/ ALCAS LATERAIS E C/ TAMPA - CAPACID</t>
  </si>
  <si>
    <t>CACAROLA DE ALUMINIO FUNDIDO(BATIDO) - C/ DUAS ALCAS E TAMP</t>
  </si>
  <si>
    <t>CADERNO BROCHURA, 96 FOLHAS, CAPA DURA.</t>
  </si>
  <si>
    <t>CADERNO DE DESENHO ESPIRAL, 96 FOLHAS, CAPA DURA.</t>
  </si>
  <si>
    <t>CADERNO ESPIRAL CAPA DURA 1/4 96 FLS, CAPA DURA.</t>
  </si>
  <si>
    <t>CADERNO ESPIRAL UNIVERSITARIO, 200 FOLHAS, CAPA DURA.</t>
  </si>
  <si>
    <t>CADERNO ESPIRAL UNIVERSITARIO, 96 FOLHAS, CAPA DURA.</t>
  </si>
  <si>
    <t>CAIXA PARA TELEFONIA TIPO TPF-10 COM TAMPA, PARA USO EXTERNO EM POSTE, COM BLOCO BER 10 PARES, PADRAO ANATEL.</t>
  </si>
  <si>
    <t>CAIXILHO DE FERRO PERFILADO BASCULANTE - MEDIDAS: 0,80 X 0,</t>
  </si>
  <si>
    <t>CAIXILHO DE FERRO PERFILADO BASCULANTE - MEDIDAS: 1,00 X 1,</t>
  </si>
  <si>
    <t>CALCADO DE SEGURANCA, N° 45 SEM COMPONENTES METALICOS</t>
  </si>
  <si>
    <t>CALCADO DE SEGURANCA, TIPO BOTINA - Nº 38</t>
  </si>
  <si>
    <t>CALCADO DE SEGURANCA, TIPO BOTINA - Nº 42</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</si>
  <si>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</si>
  <si>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</si>
  <si>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</si>
  <si>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</si>
  <si>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</si>
  <si>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</si>
  <si>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CAMARA DE AR PARA PNEU 3,25 X 8 - PARA CARRINHO DE MAO, TIPO PERUZ</t>
  </si>
  <si>
    <t>CAMISA DE BRIM N° 5, CONFECCIONADA EM TECIDO 100% ALGODAO, NA COR AZUL MARINHO, MANGAS LONGAS.</t>
  </si>
  <si>
    <t>CAMISA DE BRIM, N° 4, CONFECCIONADA EM TECIDO 100% ALGODAO, NA COR AZUL MARINHO</t>
  </si>
  <si>
    <t>CANECA PLASTICA (POLIPROPILENO), CAPACIDADE P/ 330 ML</t>
  </si>
  <si>
    <t>CANETA ESFEROGRAFICA AZUL, CORPO SEXTAVADO.</t>
  </si>
  <si>
    <t>CANETA ESFEROGRAFICA VERMELHA, CORPO SEXTAVADO.</t>
  </si>
  <si>
    <t>CANETA HIDROGRAFICA PONTA FINA/MEDIA, CONJUNTO COM 12  CORES</t>
  </si>
  <si>
    <t>CJ</t>
  </si>
  <si>
    <t>CANTONEIRA DE FERRO - BARRA COM 6 M - 1/4" X 1"</t>
  </si>
  <si>
    <t>CAPA DE CHUVA NA COR AMARELA, CONFECCIONADA EM PVC LAMINADO COM FORRO DE POLIESTER - TAM. G</t>
  </si>
  <si>
    <t>CHALEIRA DE ALUMINIO - 3 LITROS</t>
  </si>
  <si>
    <t>CHAPA DE ACO INOXIDAVEL 304 - A 240 - MED. 0,40 MM X 1240 MM X 3500 MM</t>
  </si>
  <si>
    <t>KG</t>
  </si>
  <si>
    <t>CHAPA DE LAMINADO MELAMINICO C/ 3,08 X 1,25 M, ESPESSURA 0,8 MM</t>
  </si>
  <si>
    <t>CHAPA DE MADEIRA CHAPADUR - MED:2,75 X 1,22 M - ESPESSURA:3,2 MM (PODENDO VARIAR +/- 0,2 MM)</t>
  </si>
  <si>
    <t>CHAPA DE MADEIRA COMPENSADA DE VIROLA - MEDIDAS: 2,20 M X 1,60 M X 6 MM</t>
  </si>
  <si>
    <t>CHAPA DE MADEIRA ISOLANTE C/ 12 MM DE ESPESS - MED: 1,22 X 2,44 M</t>
  </si>
  <si>
    <t>CHAPA DE POLICARBONATO COMPACTO CRISTAL, ESPESSURA DE 5 MM, TAMANHO: 2000 X 1000 MM - VARIACAO DE +/- 20 MM</t>
  </si>
  <si>
    <t>CH</t>
  </si>
  <si>
    <t>CHAPA EM MDF, BRANCO, 02 FACES 2,75 X 1,83 X 25 MM</t>
  </si>
  <si>
    <t>COADOR DE PANO P/ CAFE - DIAM. 16 CM</t>
  </si>
  <si>
    <t>COLA BRANCA 90G</t>
  </si>
  <si>
    <t>COLA HOTMELT, BRANCA, GRANULADA - PARA COLADEIRA DE FITA DE BORDO AM 753B - SACO COM 25 KG</t>
  </si>
  <si>
    <t>SO</t>
  </si>
  <si>
    <t>COLCHETE LATONADO N° 08 - CAIXA C/ 72 UNIDADES</t>
  </si>
  <si>
    <t>CX</t>
  </si>
  <si>
    <t>COLHER DE INOX P/ SOBREMESA</t>
  </si>
  <si>
    <t>COLHER DE INOX P/ SOPA</t>
  </si>
  <si>
    <t>COLHER EM ACO INOX P/ ARROZ- GRANDE</t>
  </si>
  <si>
    <t>COLHER EM POLIETILENO, MEDINDO ENTRE 60 E 65 CM DE COMPRIMENTO</t>
  </si>
  <si>
    <t>CONCHA DE ALUMINIO - DIAMETRO 10 CM</t>
  </si>
  <si>
    <t>CONDULETE "LL" 2</t>
  </si>
  <si>
    <t>CONDULETE DE ALUMINIO TIPO E 11/2´´ SEM ROSCA</t>
  </si>
  <si>
    <t>CONDULETE EM LIGA DE ALUMINIO FUNDIDO TIPO "E"  - 1</t>
  </si>
  <si>
    <t>CONDULETE EM LIGA DE ALUMINIO FUNDIDO TIPO "LL" -  3/4</t>
  </si>
  <si>
    <t>CONDULETE EM LIGA DE ALUMINIO FUNDIDO TIPO "LL" - DIAMETRO 1 1/2" - S/VEDACAO</t>
  </si>
  <si>
    <t>CONDULETE EM LIGA DE ALUMINIO FUNDIDO TIPO "LR"  - 3/4</t>
  </si>
  <si>
    <t>CONDULETE EM LIGA DE ALUMINIO FUNDIDO TIPO "T"  - 1</t>
  </si>
  <si>
    <t>CONDULETE EM LIGA DE ALUMINIO FUNDIDO TIPO "X"  - 3/4</t>
  </si>
  <si>
    <t>CONDULETE EM LIGA DE ALUMINIO FUNDIDO, TIPO "C",  Ø2", S/VEDACAO</t>
  </si>
  <si>
    <t>CONECTOR CABO-HASTE 5/8"</t>
  </si>
  <si>
    <t>6/11/2019  3:11:36 PM</t>
  </si>
  <si>
    <t>COPO DE VIDRO AMERICANO - 200 ML</t>
  </si>
  <si>
    <t>CORANTE PARA COLORIR TINTA LATEX - AMARELO - 50 ML</t>
  </si>
  <si>
    <t>CORANTE PARA COLORIR TINTA LATEX - AZUL ESCURO - 50 ML</t>
  </si>
  <si>
    <t>CORANTE PARA COLORIR TINTA LATEX - OCRE - 50 ML</t>
  </si>
  <si>
    <t>6/6/2019  4:40:08 PM</t>
  </si>
  <si>
    <t>CORANTE PARA COLORIR TINTA LATEX - PRETO - 50 ML</t>
  </si>
  <si>
    <t>CORANTE PARA COLORIR TINTA LATEX - VERDE - 50 ML</t>
  </si>
  <si>
    <t>CORANTE PARA COLORIR TINTA LATEX - VERMELHO - 50 ML</t>
  </si>
  <si>
    <t>CORANTE PARA COLORIR TINTA LATEX - VIOLETA - 50 ML</t>
  </si>
  <si>
    <t>CORDAO DE COBRE PARALELO ISOLACAO 300 V - 2 X 1,5 MM2  - ROLO COM 100 METROS</t>
  </si>
  <si>
    <t>CORDAO PARALELO - 2 X 4 MM2</t>
  </si>
  <si>
    <t>CORREDICA BASE PARA GAVETA 350 MM</t>
  </si>
  <si>
    <t>CORREDICA BASE PARA GAVETA 450 MM</t>
  </si>
  <si>
    <t>CORREDICA BASE PARA GAVETA DE 30 CM</t>
  </si>
  <si>
    <t>COTOVELO 90 GRAUS EM PVC RIGIDO SOLDAVEL DE 20 MM (1/2")</t>
  </si>
  <si>
    <t>COTOVELO DE REDUCAO EM PVC RIGIDO SOLDAVEL DE 3/4" X 1/2"</t>
  </si>
  <si>
    <t>COTOVELO DE REDUCAO EM PVC SOLDAVEL DE 1" X 3/4"</t>
  </si>
  <si>
    <t>COTOVELO GALVANIZADO DE 1, 1/2" X 90°, DE ACO ZINCADO A FOGO - NBR 6323</t>
  </si>
  <si>
    <t>COTOVELO RETO PERFURADO, GALVANIZADO, P/ELETROCALHA - 200 X 50MM</t>
  </si>
  <si>
    <t>CRUZETA 90º, PERFURADA, GALVANIZADA, P/ELETROCALHA - 200 X 50MM</t>
  </si>
  <si>
    <t>CRUZETA E ACO GALVANIZADO AO FOGO</t>
  </si>
  <si>
    <t>CUMEEIRA ARTICULADA FIBRA SINTETICA CRFS, 1,10 X 06 MM - INFERIOR</t>
  </si>
  <si>
    <t>CUMEEIRA ARTICULADA FIBRA SINTETICA CRFS, 1,10 X 06 MM - SUPERIOR</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</si>
  <si>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</si>
  <si>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</si>
  <si>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</si>
  <si>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</si>
  <si>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</si>
  <si>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</si>
  <si>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6/11/2019  3:22:46 PM</t>
  </si>
  <si>
    <t>DESEMPENADEIRA DE MADEIRA - 12 X 20CM</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</si>
  <si>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</si>
  <si>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</si>
  <si>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</si>
  <si>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</si>
  <si>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DESVIO A ESQUERDA, PERFURADO, GALVANIZADO P/ELETROCALHA - LARGURA 200MM X ALTURA 50MM</t>
  </si>
  <si>
    <t>DISCO DE CORTE - 12" X 1/8" X 5/8" (300 X 3,2 X 15,9 MM DIA</t>
  </si>
  <si>
    <t>DISCO DE CORTE 10" X 1/8" X 5/8" (254 X 3,2 X 15,8 MM - DIA</t>
  </si>
  <si>
    <t>DISCO DE DESBASTE DE  FERRO - 4 1/2" X 3/16" X 7/8" - PARA USO EM LIXADEIRA E FABRICADO CONFORME NORMAS ABNT</t>
  </si>
  <si>
    <t>DISCO DE DESBASTE DE 4 ¹/2  X 1/4 X 7/8 - CONFORME NORMAS DA ABNT</t>
  </si>
  <si>
    <t>5/29/2019  4:52:30 PM</t>
  </si>
  <si>
    <t>DISCO DE LIXA N. 50 - 7" E FURO 7/8" - PARA LIXADEIRA MANUA</t>
  </si>
  <si>
    <t>DISCO DE LIXA N° 60 - 7" E FURO 7/8"</t>
  </si>
  <si>
    <t>DISJUNTOR NORMA DIN CURVA B PADRAO, BIPOLAR, 10 AMPERES</t>
  </si>
  <si>
    <t>DISJUNTOR NORMA DIN CURVA B PADRAO, BIPOLAR, 20 AMPERES</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</si>
  <si>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</si>
  <si>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</si>
  <si>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</si>
  <si>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</si>
  <si>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FERRO POLIDO 3.1/2</t>
  </si>
  <si>
    <t>DOBRADICA DE PRESSAO EM ACO, CURVA, COMPLETA, PARA ARMARIOS</t>
  </si>
  <si>
    <t>6/14/2019  1:24:39 PM</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</si>
  <si>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</si>
  <si>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xml:space="preserve">ELETRODO P/ SOLDA 2,5 MM E 6013  </t>
  </si>
  <si>
    <t>6/5/2019  10:16:37 AM</t>
  </si>
  <si>
    <t>ELETRODUTO FLEXIVEL CORRUGADO DE 1/2" - COR AMARELA</t>
  </si>
  <si>
    <t>ENCOSTO EM MADEIRA COMPENSADA MULTILAMINADA, C/ FRENTE E</t>
  </si>
  <si>
    <t>ENGATE DE PVC BRANCO FLEXIVEL DE 1/2"- COMP. 40 CM P/LAVATORIO</t>
  </si>
  <si>
    <t>ENVELOPE BRANCO - CARTA - 114 X 162 MM- GRAMATURA MINIMA 56 G/M²</t>
  </si>
  <si>
    <t>ENVELOPE PARDO - TIPO SACO 200 X 280MM- GRAMATURA MINIMA 80 G/M²</t>
  </si>
  <si>
    <t>6/10/2019  2:10:29 PM</t>
  </si>
  <si>
    <t>ESCORREDOR DE PRATO EM INOX</t>
  </si>
  <si>
    <t>ESCORREDOR P/ ARROZ (LAVA ARROZ) EM ALUMINIO - 35 CM DIAME</t>
  </si>
  <si>
    <t>ESCUMADEIRA DE ALUMINIO - GRANDE - N.14</t>
  </si>
  <si>
    <t>ESCUMADEIRA DE ALUMINIO, MEDIA, NR. 12</t>
  </si>
  <si>
    <t>ESPATULA DE ACO CARBONO COM CABO - N° 08</t>
  </si>
  <si>
    <t>5/27/2019  3:31:16 PM</t>
  </si>
  <si>
    <t>ESTICADOR EM FERRO GALVANIZADO PARA CABO DE ACO DE ATE 5/16"</t>
  </si>
  <si>
    <t>FACA DE CORTE DE LEGUMES COM CABO DE POLIETILENO OU POLIPROPILENO BRANCO -</t>
  </si>
  <si>
    <t>FACA P/ CARNE E COZINHA - TAMANHO 8"</t>
  </si>
  <si>
    <t>FACA P/ DESOSSAR</t>
  </si>
  <si>
    <t>FACA P/ MESA - INOX - 20 CM</t>
  </si>
  <si>
    <t>FECHADURA DE EMBUTIR S/ TAMBOR - INTERNA</t>
  </si>
  <si>
    <t>FECHADURA DE SOBREPOR PARA GAVETA, 22MM</t>
  </si>
  <si>
    <t>FECHADURA DE SOBREPOR PARA GAVETA, COM CILINDRO, 31 MM</t>
  </si>
  <si>
    <t>6/14/2019  1:32:45 PM</t>
  </si>
  <si>
    <t>FILTRO DE LUZ REDONDO P/ MASCARA DE PROTECAO - ESPESS 2MM,</t>
  </si>
  <si>
    <t>FILTRO DE LUZ RETANGULAR P/ MASCARA DE PROTECAO, TONALIDADE</t>
  </si>
  <si>
    <t xml:space="preserve">FILTRO QUIMICO PARA  VAPORES ORGANICOS </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</si>
  <si>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</si>
  <si>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</si>
  <si>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</si>
  <si>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</si>
  <si>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</si>
  <si>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</si>
  <si>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</si>
  <si>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MESA INOX</t>
  </si>
  <si>
    <t>GARFO P/ SOBREMESA INOX</t>
  </si>
  <si>
    <t>GARRAFA TERMICA - 5 LITROS</t>
  </si>
  <si>
    <t>GARRAFAO TERMICO C/ TORNEIRA - CAPACIDADE P/ 09 LITROS</t>
  </si>
  <si>
    <t>GIZ DE CERA JUMBO, COM NO MINIMO 12 CORES, ATOXICO.</t>
  </si>
  <si>
    <t>GIZAO DE CERA REDONDO, ATOXICO, COM 6 CORES</t>
  </si>
  <si>
    <t>GOTEJADOR GALVANIZADO P/ELETROCALHA - LARGURA 200MM X ALTURA 50MM</t>
  </si>
  <si>
    <t>GOTEJADOR GALVANIZADO P/ELETROCALHA - LARGURA 300MM X ALTURA 50MM</t>
  </si>
  <si>
    <t>GRAMPO DE ACO DE 1/4" P/ CABO DE ACO</t>
  </si>
  <si>
    <t>GRAMPO ROSEIRA Nº 10</t>
  </si>
  <si>
    <t>GRELHA COM PORTA GRELHA, REDONDA EM ALUMINIO 4"</t>
  </si>
  <si>
    <t>GUARNICAO ADESIVA, EM EPDM PRETA, MEDIDA: 11 X 6,4 MM (VARIACAO: +/- 1 MM)</t>
  </si>
  <si>
    <t>6/11/2019  2:49:51 PM</t>
  </si>
  <si>
    <t xml:space="preserve">GUIA DE CONCRETO PRE MOLDADA FINA, PADRAO PMRJ. MEDIDAS: 10CM (ESPESSURA TOPO) X 12CM (ESPESSURA BASE) X 30CM (ALTURA) X 1M (COMPRIMENTO). </t>
  </si>
  <si>
    <t>HASTE GALVANIZADA - 1/4" X 300 MM - P/ FIXACAO DE TELHAS DE</t>
  </si>
  <si>
    <t>HASTE GALVANIZADA - 5/16" X 150 MM - P/ FIXACAO DE TELHAS DE FIBROCIMENTO - C/ PORCA, ARRUELA DE ALUMINIO E PLASTICA</t>
  </si>
  <si>
    <t xml:space="preserve">HOLOFOTE RETANGULAR COM BASE E-40 EM ALUMINIO </t>
  </si>
  <si>
    <t>HOLOFOTE RETANGULAR, COM BASE 27 EM ALUMINIO ESTAMPADO MEDINDO 280 X 300 X 160 MM COM GRADE PROTETORA</t>
  </si>
  <si>
    <t>INTERRUPTOR MODULAR BIPOLAR 10A/250V COM SUPORTE E PLACA 4X2", COMPATIVEL COM A MARCA ILUS.</t>
  </si>
  <si>
    <t>INTERRUPTOR MODULAR PARALELO BIPOLAR 10 A/250V COM SUPORTE E PLACA 4X2" DE UM POSTO.</t>
  </si>
  <si>
    <t>INTERRUPTOR MODULAR PARALELO MONOPOLAR 10 A/250V COM SUPORTE E PLACA 4X2" DE UM POSTO.</t>
  </si>
  <si>
    <t>INTERRUPTOR MODULAR SIMPLES 10 A/250V COM SUPORTE E PLACA 4X2" DE UM POSTO.</t>
  </si>
  <si>
    <t>LAMINA DE SERRA EM ACO RAPIDO 1/2" X 12" 24 DENTES</t>
  </si>
  <si>
    <t>LAMPADA  DE VAPOR METALICO OVOIDE 400W</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</si>
  <si>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</si>
  <si>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</si>
  <si>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</si>
  <si>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FLUORESCENTE - 32W / 220V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</si>
  <si>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</si>
  <si>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FLUORESCENTE LUZ DO DIA 20W - BASE G13 - 230V</t>
  </si>
  <si>
    <t>LAMPADA HALOGENA 300W, 220 VOLTS</t>
  </si>
  <si>
    <t>LAMPADA LED BULBO 10W - LAMPADA LED BULBO, BASE E27, POTENCIA 10W, TENSAO 100-240V</t>
  </si>
  <si>
    <t>6/6/2019  11:17:37 AM</t>
  </si>
  <si>
    <t>LAMPADA LED BULBO 20W - LAMPADA LED BULBO, BASE E27, POTENCIA 20W, TENSAO 100-240V</t>
  </si>
  <si>
    <t>6/6/2019  11:18:20 AM</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</si>
  <si>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</si>
  <si>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</si>
  <si>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LAMPADA LUZ MISTA 250W X 230V- BASE E27</t>
  </si>
  <si>
    <t>LAMPADA LUZ MISTA 250W X 230V- BASE E40</t>
  </si>
  <si>
    <t>LAMPADA VAPOR METALICO, PADRAO HQI, 70 W - 220 V</t>
  </si>
  <si>
    <t>LAPIS DE COR, SEXTAVADO, COM 24 CORES</t>
  </si>
  <si>
    <t>LAPIS GRAFITE Nº 2, SEXTAVADO, CORPO FEITO EM MADEIRA.</t>
  </si>
  <si>
    <t>LAVATINA DE NYLON P/ VASO SANITARIO (VASSOURINHA)</t>
  </si>
  <si>
    <t>LAVATORIO DE LOUCA C/ COLUNA - 52 X 42 CM</t>
  </si>
  <si>
    <t>LAVATORIO LOUCA SIMPLES S/ COLUNA PADRAO POPULAR NA COR</t>
  </si>
  <si>
    <t>LEITEIRA DE ALUMINIO 3 L  - C/ TAMPA</t>
  </si>
  <si>
    <t>LEITEIRA DE ALUMINIO 5 L - C/ TAMPA</t>
  </si>
  <si>
    <t>LIXA CINTA DE PANO P/ MADEIRA - 6,00 M X 15 CM - GRAO 60</t>
  </si>
  <si>
    <t>LIXA CINTA DE PANO P/MADEIRA - 6,90M X 15CM - GRAM. 60</t>
  </si>
  <si>
    <t>LIXA CINTA DE PANO P/MADEIRA - 610 X 100MM - GRAM. 80</t>
  </si>
  <si>
    <t>LIXA CINTA DE PANO, PARA MADEIRA, GRAU 60 - MED. 1,5 M X 15CM</t>
  </si>
  <si>
    <t>LIXA CINTA DE PANO, PARA MADEIRA, GRAU 80 - MED. 1,5 M X 15</t>
  </si>
  <si>
    <t>LIXA D'AGUA EM FOLHA 225 X 275 MM GRAO 180</t>
  </si>
  <si>
    <t>FL</t>
  </si>
  <si>
    <t>LIXA PARA LIXADEIRA DE CINTA</t>
  </si>
  <si>
    <t>LIXA PARA PAREDE Nº 80</t>
  </si>
  <si>
    <t>LIXEIRA BASCULANTE, COM TAMPA E ALCA, 59 LITROS</t>
  </si>
  <si>
    <t>5/21/2019  11:24:44 AM</t>
  </si>
  <si>
    <t>LIXEIRA COM PEDAL E TAMPA - CAPACIDADE PARA 100 LITROS</t>
  </si>
  <si>
    <t>LIXEIRA COM TAMPA E PEDAL - CAPACIDADE DE 60 LITROS</t>
  </si>
  <si>
    <t>LIXEIRA DE PLASTICO C/ TAMPA E PEDAL  - 30 LITROS</t>
  </si>
  <si>
    <t>LIXEIRA DE PLASTICO COM TAMPA E PEDAL - CAPACIDADE PARA 10 LITROS</t>
  </si>
  <si>
    <t xml:space="preserve">LUMINARIA AUTONOMA DE EMERGENCIA COM LEDS, ALIMENTACAO 110/220V </t>
  </si>
  <si>
    <t>LUMINARIA DE SOBREPOR ALETADA, 2 LAMPADAS TUBULARES DE 32W</t>
  </si>
  <si>
    <t>LUMINARIA DE SOBREPOR HERMETICA, 2 LAMPADAS TUBULARES DE 32W</t>
  </si>
  <si>
    <t>LUMINARIA FECHADA TIPO CALHA - P/ LAMPADA FLUORESCENTE - 1</t>
  </si>
  <si>
    <t>LUMINARIA FECHADA TIPO CALHA P/ LAMPADA FLUORESCENTE 1 X 40</t>
  </si>
  <si>
    <t>LUMINARIA HERMETICA PARA 2 LAMPADAS LED/FLUORESCENTES TUBULARES, SOQUETES T5 E T8 - DIMENSOES (A X L X C): 84 X 106 X 1250 MM (VARIACAO: +/- 10 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</si>
  <si>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</si>
  <si>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LUVA DE LATEX PARA PROCEDIMENTOS TAM "G"</t>
  </si>
  <si>
    <t>LUVA DE LATEX PARA PROCEDIMENTOS TAM "M"</t>
  </si>
  <si>
    <t>LUVA DE PROTECAO,  CONFECCIONADA EM RASPA DE COURO,  DORSO EM LONA, PUNHO IGUAL A 7 CM.</t>
  </si>
  <si>
    <t>LUVA DE PVC RIGIDO SOLDAVEL DE 1/2"</t>
  </si>
  <si>
    <t>LUVA DE RASPA  - CANO MEDIO</t>
  </si>
  <si>
    <t>LUVA DE RASPA DE COURO, CANO LONGO</t>
  </si>
  <si>
    <t>5/20/2019  1:23:50 PM</t>
  </si>
  <si>
    <t>LUVA DE REDUCAO EM PVC RIGIDO SOLDAVEL DE 3/4" X 1/2"</t>
  </si>
  <si>
    <t>LUVA DE VAQUETA - COMPRIMENTO DE 28 CM</t>
  </si>
  <si>
    <t xml:space="preserve">MANGOTE DE RASPA </t>
  </si>
  <si>
    <t>MASSA CORRIDA A OLEO PARA NIVELAR MADEIRA - GALAO COM 3.600 ML</t>
  </si>
  <si>
    <t>GL</t>
  </si>
  <si>
    <t>MINIDICIONÁRIO</t>
  </si>
  <si>
    <t>MISTURA PARA O PREPARO DE BOLO FORMIGUEIRO</t>
  </si>
  <si>
    <t>MODULO DE EXPANSAO DE 8 ZONAS COM FIO + 2 SAIDAS DE RELES PROGRAMAVEIS DISPONIVEIS PARA CONTROLE DE LUZES, PORTAS, FECHADURAS E PORTOES (COMPATIVEIS COM CENTRAIS ADEMCO VISTA 48 LA.MODELO: 4229)</t>
  </si>
  <si>
    <t>MOURAO DE CONCRETO ARMADO CURVO - 2,45 X 0,45 M PARA ALAMBRADO</t>
  </si>
  <si>
    <t>NIPLE DUPLO DE REDUCAO ROSQUEAVEL 3/4 X 1/2 EM METAL</t>
  </si>
  <si>
    <t>NIPLE DUPLO EM PVC RIGIDO ROSQUEAVEL DE 1"</t>
  </si>
  <si>
    <t>NIPLE DUPLO EM PVC RIGIDO ROSQUEAVEL DE 1/2"</t>
  </si>
  <si>
    <t>NIPLE DUPLO EM PVC RIGIDO ROSQUEAVEL DE 3/4 (25 MM)</t>
  </si>
  <si>
    <t>OCULOS CONTRA IMPACTOS DE SOBREPOSICAO</t>
  </si>
  <si>
    <t>OCULOS DE PROTECAO CONTRA IMPACTOS</t>
  </si>
  <si>
    <t>PA DE CALDEIRAO EM POLIETILENO, SEM FUROS - MED. 1,5 CM X 9 CM X 75 CM</t>
  </si>
  <si>
    <t>PANELA DE PRESSAO 07 LITROS</t>
  </si>
  <si>
    <t>PANELA DE PRESSAO 12 LITROS</t>
  </si>
  <si>
    <t>PANELA DE PRESSAO 20 LITROS</t>
  </si>
  <si>
    <t>PAPEL CAMURCA - 60 X 40 CM - ABOBORA</t>
  </si>
  <si>
    <t>PAPEL CREPOM - RL C/ 48 X 200 CM - PRETO</t>
  </si>
  <si>
    <t>PAPEL DE SEDA - 48 X 60 CM - VERDE CLARO</t>
  </si>
  <si>
    <t>PAPEL DE SEDA BRANCO CALANDRADO 14 X 14 CM (GUARDANAPO TIPO TV), 100% FIBRAS CELULOSICAS, EM PACOTES COM 500 UNIDADES</t>
  </si>
  <si>
    <t xml:space="preserve">PAPEL KRAFT (PAPEL PARDO) EM BOBINA - 60 CM X 150 M </t>
  </si>
  <si>
    <t>BB</t>
  </si>
  <si>
    <t>5/22/2019  8:03:23 AM</t>
  </si>
  <si>
    <t>PAPEL MANILHA EM BOBINA, COR ROSA - 60 CM X 250 M (VARIACAO: DE +/- 5 CM NA LARGURA E 10 M NO COMPRIMENTO), 55G/M2 (+/- 05G) - BOBINA COM PESO MINIMO DE 8 KG</t>
  </si>
  <si>
    <t>PAPEL SULFITE A4, 210 X 297, 75G, NA COR VERDE - PACOTE COM 500 FOLHAS</t>
  </si>
  <si>
    <t>PAPEL TERMICO P/ FAX  30M X 216MM</t>
  </si>
  <si>
    <t>PARAFUSO FRANCES - 1.1/2" X 5/16" - C/ PORCA E ARRUELA</t>
  </si>
  <si>
    <t>PARAFUSO FRANCES - 2" X 5/16" - C/ PORCA E ARRUELA</t>
  </si>
  <si>
    <t>PARAFUSO ZINCO AMARELO, CABECA CHATA - PH 2,5 X 16 -  CAIXA COM 1.000 UNIDADES</t>
  </si>
  <si>
    <t>PASTA PARA LIMPEZA - 1 KG</t>
  </si>
  <si>
    <t>PO</t>
  </si>
  <si>
    <t>PASTA PLASTICA COM ELASTICO, SEM LOMBADA, MEDINDO 235MM X 350MM</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</si>
  <si>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</si>
  <si>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PASTILHA CERAMICA 10 X 10 CM TELADO COR VERMELHA</t>
  </si>
  <si>
    <t>M2</t>
  </si>
  <si>
    <t>PASTILHA CERAMICA 10 X 10 CM TELADO, COR BOUDOUX</t>
  </si>
  <si>
    <t>PASTILHA CERAMICA MEDINDO 10 X 10 CM - COR CATANO MEDIO</t>
  </si>
  <si>
    <t>PASTILHA CERAMICA TELADA, 10 X 10 CM, COR VERDE</t>
  </si>
  <si>
    <t>PASTILHA CERAMICA TELADO MEDINDO 10 X 10 CM - COR AZUL CEU</t>
  </si>
  <si>
    <t>PASTILHA CERAMICA TELADO MEDINDO 10 X 10 CM - COR CATANO CLARO</t>
  </si>
  <si>
    <t>PASTILHA CERAMICA TELADO MEDINDO 10 X 10 CM - COR CREMA</t>
  </si>
  <si>
    <t>PASTILHA CERAMICA TELADO MEDINDO 10 X 10 CM - COR LARANJA</t>
  </si>
  <si>
    <t>PEDRA MINEIRA 30 X30 CM</t>
  </si>
  <si>
    <t>PEGADOR DE MACARRAO EM ACO INOX, COMPRIMENTO APROXIMADO DE 20 CM</t>
  </si>
  <si>
    <t>PENEIRA DE ARAME - MALHA MEDIA, ARO DE MADEIRA - 55 CM</t>
  </si>
  <si>
    <t>PENEIRA MALHA FINA ARO DE MADEIRA - 70CM</t>
  </si>
  <si>
    <t>PERFIL CADEIRA DE FERRO, COM 30 CM DE LARGURA X 2,5 DE ALTURA - BARRA COM 3 METROS</t>
  </si>
  <si>
    <t>PERNEIRA DE PROTECAO</t>
  </si>
  <si>
    <t>PERNEIRA DE PROTECAO CONFECCIONADA EM RASPA DE COURO VACUM, FECHAMENTO EM VELCRO, COR E ESPESSURA UNIFORME, SEM FIAPOS DE COURO</t>
  </si>
  <si>
    <t>PIA DE ACO INOX COM 01 CUBA, MEDINDO 1,20 M DE COMP. E LARGURA MINIMA DE 53 CM</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</si>
  <si>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</si>
  <si>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</si>
  <si>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</si>
  <si>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</si>
  <si>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</si>
  <si>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</si>
  <si>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</si>
  <si>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</si>
  <si>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</si>
  <si>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</si>
  <si>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</si>
  <si>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T-50 - P/PINADEIRA</t>
  </si>
  <si>
    <t>PINO TRIFASICO DE SEGURANCA 2 P + T - 30 A X 250 W</t>
  </si>
  <si>
    <t>PISO CARRARA. COR: BRANCO. MEDINDO: A: 44,4 X 44,4CM. SERIE MAMORE CARRARA. PORCELLANATO ESMALTADO.</t>
  </si>
  <si>
    <t xml:space="preserve">PISO CERAMICO ANTI-DERRAPANTE PEI-5 MEDINDO 52 X 52CM - COR: </t>
  </si>
  <si>
    <t>PISO CERAMICO ANTI-DERRAPANTE, PEI 5, TRAFEGO ALTO, MEDIDA APROX. 354 X 354 MM</t>
  </si>
  <si>
    <t>PISO DE BORRACHA MODELO S, COR : TERRACOTA NA MEDIDA: 270 X 180 X 60 MM.</t>
  </si>
  <si>
    <t>PISO DE BORRACHA MODELO S, ISENTO DE SUBSTANCIAS TOXICAS COM ABSORCAO DE IMPACTOS ANTI DERRAPANTES, NA MEDIDA 270X180X60MM</t>
  </si>
  <si>
    <t>PISO HIDRAULICO, ANTIDERRAPANTE, COR PRETO</t>
  </si>
  <si>
    <t>PISO HIDRAULICO, ANTIDERRAPANTE, COR VERMELHO</t>
  </si>
  <si>
    <t xml:space="preserve">PLACA CENTRAL PARA ALARMES ADEMCO VISTA 48 PLACA DE MONITORAMENTO LOCAL DO TIPO MICRO-PROCESSADA, COM NO MINIMO 08 PERIMETROS, CARREGADOR DE BATERIA, FORMATO DE COMUNICACAO CONTACT ID. </t>
  </si>
  <si>
    <t>PLASTICO CRISTAL TRANSPARENTE DE 0,40 MICRONS X 1,40 M LARGURA  X 30 M DE COMPRIMENTO</t>
  </si>
  <si>
    <t>PLUG MOVEL 2P 90° PADRAO NBR 14136 DE 20A/250V GIGANTE</t>
  </si>
  <si>
    <t>PNEU 165/70 R 13, RADIAL PARA EIXO DIRECIONAL E LIVRE, INDICE DE CARGA 78 (CARGA POR PNEU 425 KG), INDICE DE VELOCIDADE T (ATE 190 KM/H), PROFUNDIDADE DOS SULCOS 8,0 MM.</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</si>
  <si>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</si>
  <si>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</si>
  <si>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</si>
  <si>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</si>
  <si>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</si>
  <si>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</si>
  <si>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PNEU 275/80R22,5 - 16 LONAS, RADIAL PARA EIXO TRATIVO, PISO MISTO (ASFALTO/TERRA),CAPACIDADE DE CARGA SIMPLES/DUPLO (KG) 3250/3000, CODIGO DE VELOCIDADE "K", PROFUNDIDADE DOS SULCOS MINIMO 26,0 MM</t>
  </si>
  <si>
    <t xml:space="preserve">PNEU 28 X 9 - 15 (7,0) MACICO PARA EMPILHADEIRA </t>
  </si>
  <si>
    <t>PNEU 700/12, 14 LONAS, PNEUMATICO - PARA EMPILHADEIRA</t>
  </si>
  <si>
    <t>PONTEIRA REDONDA DE BORRACHA,  EXTERNA DE 5/8"</t>
  </si>
  <si>
    <t>PORCA SEXTAVADA DE ACO DE 1/2"</t>
  </si>
  <si>
    <t>PORCA SEXTAVADA DE ACO DE 3/8"</t>
  </si>
  <si>
    <t>PORCA SEXTAVADA DE ACO DE 5/16"</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</si>
  <si>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</si>
  <si>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</si>
  <si>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PORTA CADEADO DE FERRO ZINCADO DE 1 1/2"</t>
  </si>
  <si>
    <t>PORTA PAPEL HIGIENICO - ROLO INDUSTRIAL</t>
  </si>
  <si>
    <t>PRATO DE POLIPROPILENO AZUL ESCURO,C/BORDA,3 CM ALT X 22CM</t>
  </si>
  <si>
    <t>PRATO RASO</t>
  </si>
  <si>
    <t>PREGO COMUM DE CABECA CHATA - 08 X 08</t>
  </si>
  <si>
    <t>PREGO COMUM DE CABECA CHATA - 13 X 15</t>
  </si>
  <si>
    <t>PREGO COMUM DE CABECA CHATA - 16 X 21</t>
  </si>
  <si>
    <t>PREGO COMUM DE CABECA CHATA - 6 X 6</t>
  </si>
  <si>
    <t>PREGO COMUM S/ CABECA - 10 X 10</t>
  </si>
  <si>
    <t>PREGO COMUM S/ CABECA - 12 X 12</t>
  </si>
  <si>
    <t>PREGO COMUM S/ CABECA - 13 X 15</t>
  </si>
  <si>
    <t>PREGO COMUM S/ CABECA - 13 X 18</t>
  </si>
  <si>
    <t>PREGO COMUM S/ CABECA - 14 X 21</t>
  </si>
  <si>
    <t>PREGO COMUM S/ CABECA - 15 X 21</t>
  </si>
  <si>
    <t>PREGO COMUM S/ CABECA - 16 X 21</t>
  </si>
  <si>
    <t>PREGO COMUM S/ CABECA - 17 X 21</t>
  </si>
  <si>
    <t>PREGO COMUM S/ CABECA - 8 X 8</t>
  </si>
  <si>
    <t>PREGO COMUM S/ CABECA 15 X 15</t>
  </si>
  <si>
    <t>PREGO GALV. C/ CABECA P/ FIXACAO DE TELHA DE CIMENTO AMIANT</t>
  </si>
  <si>
    <t>PRIMER ANTICORROSIVO, SECAGEM RAPIDA, COR CINZA, GL C/ 3,6ML</t>
  </si>
  <si>
    <t>PROTETOR DE LINHA TELEFONICA</t>
  </si>
  <si>
    <t>6/12/2019  2:41:30 PM</t>
  </si>
  <si>
    <t>PROTETOR DE LINHA, PARA ALARME, TIPO LD</t>
  </si>
  <si>
    <t>PROTETOR REDE ELETRICA - PROTECAO CONTRA DESCARGAS ELETRICAS, COMPOSICAO VARISTORES E CENTELHADOR DE GAS, BORNE PARA CONEXAO FIO TERRA, BIVOLT, MONOFASICO 110V OU 220V.</t>
  </si>
  <si>
    <t>PUXADOR EXTERNO PARA ARMARIO</t>
  </si>
  <si>
    <t>PUXADOR PARA PORTA - TIPO CONCHA CROMADO</t>
  </si>
  <si>
    <t>QUEROSENE - GARRAFA PLASTICA COM MINIMO DE 900 ML</t>
  </si>
  <si>
    <t>GF</t>
  </si>
  <si>
    <t>RALADOR DE LEGUMES EM INOX</t>
  </si>
  <si>
    <t>RASTELO DE ACO 12 DENTES</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</si>
  <si>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</si>
  <si>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</si>
  <si>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</si>
  <si>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ELETROMAGNETICO DE ALTA PRESSAO PARA LAMPADA A VAPOR DE SODIO E METALICA, 400W, 220V/60HZ</t>
  </si>
  <si>
    <t>REATOR ELETRONICO 2 X 32 P/ LAMPADA FLUORESCENTE 32W / 220V</t>
  </si>
  <si>
    <t>REATOR ELETRONICO SERIE 2 X 40 W - 127V / 220 V - ALTO FATO</t>
  </si>
  <si>
    <t>REATOR INTERNO A VAPOR METALICO - 70W, 220 V</t>
  </si>
  <si>
    <t>REATOR PARA LAMPADA DE VAPOR METALICO</t>
  </si>
  <si>
    <t>REBITE DE REPUCHO EM ALUMINIO C/ MANDRIL DE ACO 6 X 35 MM</t>
  </si>
  <si>
    <t>REGISTRO DE GAVETA DE 2.1/2" - S/ CANOPLA</t>
  </si>
  <si>
    <t>REGISTRO DE GAVETA EM LIGA DE COBRE DE 1.1/4 -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</si>
  <si>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</si>
  <si>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</si>
  <si>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</si>
  <si>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</si>
  <si>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RESPIRADOR PURIFICADOR DE AR TIPO PECA SEMIFACIAL FILTRANTE PARA PARTICULAS - PFF2, FORMATO TIPO CONCHA</t>
  </si>
  <si>
    <t>RESPIRADOR SEMI-FACIAL, COM ENCAIXE TIPO ROSCA PARA 02 CARTUCHOS DE FILTROS</t>
  </si>
  <si>
    <t>RESPIRO P/ ENTRADA DE AR - P/ USO EM ARMARIO</t>
  </si>
  <si>
    <t>REVESTIMENTO CERAMICO - MEDIDA: A 32,5 X 57 CM - COR: SPECTRO LAVANDA</t>
  </si>
  <si>
    <t>REVESTIMENTO CERAMICO - MEDIDA: A 32,5 X 57 CM - COR: SPECTRO OLIVA</t>
  </si>
  <si>
    <t>REVESTIMENTO CERAMICO PARA PISOS - 41 X 41 CM - PEI 4 - COR PALHA</t>
  </si>
  <si>
    <t>REVESTIMENTO CERAMICO PARA PISOS - 45 X 45 CM, NA COR MARFIM.</t>
  </si>
  <si>
    <t>REVESTIMENTO CERAMICO PARA PISOS - 45 X 45 CM, NA COR PALHA.</t>
  </si>
  <si>
    <t>REVESTIMENTO CERAMICO PARA PISOS - 45 X 45 CM, PODENDO VARIAR +/- 2 CM,  4 MM DE ESPESSURA, PODENDO VARIAR +/- 1 MM,  DE PEI 4 - NA COR BRANCA.</t>
  </si>
  <si>
    <t xml:space="preserve">RODIZIO GIRATORIO DE 1" 1/2 PARA CARRINHO </t>
  </si>
  <si>
    <t>ROLAMENTO - 6203 - ZZ</t>
  </si>
  <si>
    <t>ROLAMENTO 32216, FABRICACAO NACIONAL, PARA USO EM PLAY GROUND</t>
  </si>
  <si>
    <t xml:space="preserve">ROLAMENTO 6300 - ZZ </t>
  </si>
  <si>
    <t>ROLO DE ESPUMA P/ PINTURA - 09 CM C/ CABO</t>
  </si>
  <si>
    <t>ROLO DE ESPUMA P/ PINTURA - 15 CM C/ CABO</t>
  </si>
  <si>
    <t>ROLO DE ESPUMA P/ PINTURA - 23 CM C/ CABO</t>
  </si>
  <si>
    <t>ROLO DE LA DE CARNEIRO P/ PINTURA - 23 CM C/ CABO</t>
  </si>
  <si>
    <t>ROLO PARA PINTURA 23 CM, CONFECCIONADO EM LA DE CARNEIRO 100% NATURAL COM ALTURA MINIMA DE 30 MM, CABO TIPO GARFO-GAIOLA PRODUZIDO EM ACO ZINCADO COM PUNHO E BUCHA DE POLIETILENO OU SIMILAR</t>
  </si>
  <si>
    <t>SABAO DE COCO, PEDACO C/ 200 GR</t>
  </si>
  <si>
    <t>PD</t>
  </si>
  <si>
    <t>SABAO EM PEDRA C/ 200 GR - COMUM, A BASE DE GLICERINA,SAIS</t>
  </si>
  <si>
    <t>SABONETE COMUM 90 G</t>
  </si>
  <si>
    <t>SABONETE LIQUIDO PEROLADO - BOMBONA C/ 05 LITROS</t>
  </si>
  <si>
    <t>BN</t>
  </si>
  <si>
    <t>SABONETEIRA EM ABS NA COR BRANCA</t>
  </si>
  <si>
    <t>SAPATO DE COURO N° 38, MOD. FEMININO.</t>
  </si>
  <si>
    <t>SAPATO DE COURO N° 42, SOLADO DE POLIURETANO BIDENSIDADE,  SEM COMPONENTES METALICOS</t>
  </si>
  <si>
    <t>SAPATO DE SEGURANCA N° 37,  MOD. FEMININO.</t>
  </si>
  <si>
    <t xml:space="preserve">SAPONACEO EM PO, 300G </t>
  </si>
  <si>
    <t>SENSOR DE MICROONDAS DE ALARME PARA AREA SEMI ABERTA</t>
  </si>
  <si>
    <t>6/24/2019  9:40:53 AM</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</si>
  <si>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</si>
  <si>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</si>
  <si>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</si>
  <si>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DE LUXO (COPO) EM PVC 1" X 1.1/2"- COMPLETO C/ VALVULA P/ LAVATORIO</t>
  </si>
  <si>
    <t>6/27/2019  2:54:12 PM</t>
  </si>
  <si>
    <t>SIFAO SANFONADO (CORRUGADO) DUPLO - UNIVERSAL</t>
  </si>
  <si>
    <t>SIRENE- POTENCIA SONORA DE 120 DB, ALIMENTACAO 12V, SUPORTE PARA FIXACAO.</t>
  </si>
  <si>
    <t>SOQUETE DE BAQUELITE EXTERNO C/ RABICHO E PROTETOR DE BOR</t>
  </si>
  <si>
    <t>SUPORTE ANGULAR, GALVANIZADO, P/ELETROCALHA -  210 X 50MM</t>
  </si>
  <si>
    <t>SUPORTE EM ACRILICO E TAMPA EM INOX, PARA AFIXAR NA PAREDE, PARA ARMAZENAR COPOS CAFE 50ML</t>
  </si>
  <si>
    <t>SUPORTE EM ACRILICO E TAMPA EM INOX, PARA FIXAR NA PAREDE, PARA ARMAZENAR COPOS AGUA 200ML</t>
  </si>
  <si>
    <t>SUPORTE PARA CONDULETE</t>
  </si>
  <si>
    <t>SUSPENSOR P/CABO DE ACO (P/PERFILADO)</t>
  </si>
  <si>
    <t>T HORIZONTAL 90° P/ELETROCALHA 200X50</t>
  </si>
  <si>
    <t>T VERTICAL DESCIDA LATERAL, PERFURADA, GALVANIZADO, PARA ELETROCALHA - 200 X 50MM</t>
  </si>
  <si>
    <t>TABUA DE GARAPEIRA BRUTA - MEDIDAS: 2,5 CM X 30 CM X 5,00 M</t>
  </si>
  <si>
    <t>TABUA PARA CARNE, EM POLIPROPILENO, INQUEBRAVEL, DE FACIL HIGIENIZACAO E QUE NAO PERMITA A PROLIFERACAO DE FUNGOS, BACTERIAS E ODORES - ESPESSURA 1,5 CM - MEDIDAS: 25 X 37CM (PODERA TER VARIACAO DE +/- 5 CM)</t>
  </si>
  <si>
    <t>TALHADEIRA DE ACO 200 X 19 MM DE 3/4 X 8"</t>
  </si>
  <si>
    <t>TAMPA CEGA DE ALUMINIO PARA CONDULETE DE 1.1/2"</t>
  </si>
  <si>
    <t>TAMPA PARA CONDULETE 3/4" PARA 1 CONDUTOR RJ</t>
  </si>
  <si>
    <t>TAMPO EM COMPENSADO DE 18MM REVESTIDO EM LAMINADO MELAMINICO, ACABAMENTO EM PERFIL DE PVC - 0,73 X 0,42 X 0,40M ()VARIACAO DE +/- 5CM)</t>
  </si>
  <si>
    <t>TAMPO PARA CARTEIRA - VERDE CLARO - 400MM X 600MM X 18MM</t>
  </si>
  <si>
    <t>TAMPO REDONDO, PARA MESA, C/ 1,10 M DE DIAMETRO, EM COMPENSADO DE 18 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</si>
  <si>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</si>
  <si>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</si>
  <si>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</si>
  <si>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</si>
  <si>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</si>
  <si>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DE ARAME GALVANIZADO - FIO 10 - MALHA 2.1/2" X 2 METROS DE ALTURA</t>
  </si>
  <si>
    <t>TELA DE ARAME GALVANIZADO, FIO 10, MALHA C/ 2 1/2", COM 04</t>
  </si>
  <si>
    <t>TELA ONDULADA FIO 14, MALHA 3/4 - MED. 10 X 1,74 M</t>
  </si>
  <si>
    <t>TELHA DE BARRO COZIDO - TIPO FRANCESA</t>
  </si>
  <si>
    <t>TELHA DE BARRO COZIDO - TIPO PAULISTINHA</t>
  </si>
  <si>
    <t>TELHA DE BARRO COZIDO, TIPO PLANA, CAPA E CANAL</t>
  </si>
  <si>
    <t xml:space="preserve">TELHA DE FIBROCIMENTO ONDA NA MEDIDA 0,50 CM X 3,70 M X 0,60 CM X 6 MM DE ESPESSURA </t>
  </si>
  <si>
    <t>TELHA TRAPEZOIDAL 5000MM COMPRIMENTO X 1056MM LARGURA X 38 MM ALTURA</t>
  </si>
  <si>
    <t>TERMINAL GALVANIZADO P/ELETROCALHA - LARGURA 100MM X ALTURA 50MM</t>
  </si>
  <si>
    <t>TERMINAL GALVANIZADO P/ELETROCALHA - LARGURA 300MM X ALTURA 50MM</t>
  </si>
  <si>
    <t>TESOURA ESCOLAR</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</si>
  <si>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</si>
  <si>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TIGELA (POLIPROPILENO) - CAP 350 ML. 6CM DE ALT X 11 CM DIA</t>
  </si>
  <si>
    <t>TINTA ACRÍLICA BRANCA</t>
  </si>
  <si>
    <t>TINTA ACRILICA LAVAVEL - AZUL CLARO - 18 LITROS</t>
  </si>
  <si>
    <t>6/6/2019  4:40:22 PM</t>
  </si>
  <si>
    <t>TINTA ACRILICA LAVAVEL. - BEGE - 18 LITROS</t>
  </si>
  <si>
    <t>TINTA ACRILICA, A BASE DE AGUA, LAVAVEL, SEM CHEIRO (APOS 3 HORAS APLICACAO), PARA USO INTERNO, COR AMARELO CLARO, ACABAMENTO ACETINADO, LATA COM 18 LITROS, RENDIMENTO ENTRE 225 A 275 M2/DEMAO</t>
  </si>
  <si>
    <t>TINTA ACRILICA, A BASE DE AGUA, LAVAVEL, SEM CHEIRO (APOS 3 HORAS APLICACAO), PARA USO INTERNO, COR VERDE CLARO, ACABAMENTO ACETINADO, LATA COM 18 LITROS, RENDIMENTO ENTRE 225 A 275 M2/DEMAO</t>
  </si>
  <si>
    <t>5/15/2019  5:13:06 PM</t>
  </si>
  <si>
    <t>TINTA ESMALTE SINTETICO BRILHANTE - AMARELO OURO - GALAO COM 3.600 ML</t>
  </si>
  <si>
    <t>TINTA ESMALTE SINTETICO BRILHANTE - AZUL DEL REY - GALAO C/ 3.600 ML</t>
  </si>
  <si>
    <t>TINTA ESMALTE SINTETICO BRILHANTE PRETO, GL COM 3.600 ML</t>
  </si>
  <si>
    <t>TINTA ESMALTE SINTETICO BRILHANTE VERDE COLONIAL - GALAO CO</t>
  </si>
  <si>
    <t>TINTA ESMALTE SINTETICO BRILHANTE VERMELHO - GL C/ 3.600 ML</t>
  </si>
  <si>
    <t>TINTA ESMALTE SINTETICO BRILHANTE, COR VERDE FOLHA - GALAO COM 3,600 ML</t>
  </si>
  <si>
    <t>TINTA ESMALTE SINTETICO BRILHANTE, COR VERDE LIMAO - GALAO COM 3,600 ML</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</si>
  <si>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</si>
  <si>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t>
  </si>
  <si>
    <t>TINTA ESMALTE SINTETICO BRILHANTE, PADRAO PREMIUM, COR AZUL ROYAL, GALAO COM 3.600 ML.</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</si>
  <si>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</si>
  <si>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</si>
  <si>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</si>
  <si>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</si>
  <si>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FOSCA - COR AZUL REAL - LATA COM 18 LITROS</t>
  </si>
  <si>
    <t>TINTA LATEX ACRILICA FOSCA - PESSEGO - 18 LITROS</t>
  </si>
  <si>
    <t>5/22/2019  9:57:19 AM</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</si>
  <si>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</si>
  <si>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</si>
  <si>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</si>
  <si>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LATEX ACRILICO FOSCA TERRACOTA - LATA COM 18 LITROS</t>
  </si>
  <si>
    <t>TINTA P/ PISO - AMARELA - GL C/ 3.600 ML</t>
  </si>
  <si>
    <t>TINTA P/ PISO - AMARELO - LATA COM 18 LITROS</t>
  </si>
  <si>
    <t>TINTA P/ PISO - AZUL MARINHO - LATA C/ 18 LITROS</t>
  </si>
  <si>
    <t>TINTA P/ PISO - BRANCA - C/ 18 LT</t>
  </si>
  <si>
    <t>TINTA P/ PISO - BRANCO - GALAO COM 3.600 ML</t>
  </si>
  <si>
    <t>TINTA P/ PISO - PRETO - GL C/3.600 ML</t>
  </si>
  <si>
    <t>TINTA P/ PISO - VERDE ESCURO - LT C/ 18 L</t>
  </si>
  <si>
    <t>TINTA P/ PISO - VERMELHO - LT C/ 18 L</t>
  </si>
  <si>
    <t>TINTA SMALTE SINTETICO BRILHANTE BRANCO, GALAO C 3.600 ML</t>
  </si>
  <si>
    <t>5/28/2019  9:21:22 AM</t>
  </si>
  <si>
    <t>TOMADA MODULAR 2P+T 20 A/250V NBR 14136 COM SUPORTE E PLACA 4X2" DE UM POSTO.</t>
  </si>
  <si>
    <t xml:space="preserve">TOMADA PADRAO  DE SOBREPOR </t>
  </si>
  <si>
    <t>TORNEIRA BICO DE GANSO COM 18 CM DE COMPRIMENTO, TIPO MESA</t>
  </si>
  <si>
    <t>TORNEIRA BOIA P/ CAIXA D'AGUA C/ CORPO PLASTICO DE 1"</t>
  </si>
  <si>
    <t>TORNEIRA DE PRESSAO EM LATAO NATURAL CURTA 3/4"P/ TANQUE E</t>
  </si>
  <si>
    <t>TRINCO FECHO CHATO 4"</t>
  </si>
  <si>
    <t>6/11/2019  2:59:49 PM</t>
  </si>
  <si>
    <t>TUBO DE FERRO METALON REDONDO, DIAMETRO EXTERNO 21 MM, ESPESSURA DE 2 MM - BARRA C/ 6 M</t>
  </si>
  <si>
    <t>TUBO DE PVC RIGIDO SOLDAVEL DE 20 MM - 1/2" - BARRA COM 6 METROS</t>
  </si>
  <si>
    <t>VALVULA P/ PIA AMERICANA EM PVC CROMADO - 1.1/2"</t>
  </si>
  <si>
    <t xml:space="preserve">VASSOURA PARA GRAMA  REGULAVEL 22 PALHETAS ACHATADAS  COM CABO </t>
  </si>
  <si>
    <t>VERNIZ MARITIMO - GALAO C/ 3,6 LITROS</t>
  </si>
  <si>
    <t>VERNIZ SINTETICO BRILHANTE, GL C/ 3.600 ML</t>
  </si>
  <si>
    <t>VIGA "U", CHAPA DOBRAGA ENRIJECIDA - 100 X 50 X 2,25 X 6.0</t>
  </si>
  <si>
    <t>VIGA DE GARAPEIRA BRUTA - 6 CM X 12 CM X 3,50 M COMPRIMENTO</t>
  </si>
  <si>
    <t>VIGA DE GARAPEIRA BRUTA - 6 X 16 X 3,50 M COMPRIMENTO</t>
  </si>
  <si>
    <t>LIMPADOR GERAL DE MULTIPLO USO - LIMPEZA INSTANTANEA</t>
  </si>
  <si>
    <t xml:space="preserve">VASSOURA DE PIACAVA N° 05 </t>
  </si>
  <si>
    <t>rafael.brito</t>
  </si>
  <si>
    <t>PANO DE FLANELA 30 X 60CM - BRANCA</t>
  </si>
  <si>
    <t xml:space="preserve">CONTATOR LC1 D18M7  </t>
  </si>
  <si>
    <t>COTOVELO 45 GRAUS EM PVC RIGIDO SOLDAVEL 2"</t>
  </si>
  <si>
    <t xml:space="preserve">LUVA DE PVC, 1", RIGIDO SOLDAVEL </t>
  </si>
  <si>
    <t>REPARO P/ VALVULA DE DESCARGA - MARCA HYDRA-MAX</t>
  </si>
  <si>
    <t>CIMENTO COLANTE - SACO COM 20 KG (PARA USO INTERNO E EXTERNO)</t>
  </si>
  <si>
    <t>GRAMPO ISOLANTE FIX-FIO 1,0 A 2,5 MM2  (TIPO MIGUELAO) - CX</t>
  </si>
  <si>
    <t>CABO CTP-APL - SN - 50/10 PARES</t>
  </si>
  <si>
    <t>FIO TELEFONICO EXTERNO FE - AA - 80</t>
  </si>
  <si>
    <t>TOMADA TELEFONICA PADRAO TELEBRAS DE EMBUTIR, COM SUPORTE E COM CONECTOR RJ-11 E PLACA 4X2", COM PARAFUSOS</t>
  </si>
  <si>
    <t xml:space="preserve">CARRINHO DE MAO 150 KG ( 60 LITROS)  TOTALMENTE GALVANIZADO  </t>
  </si>
  <si>
    <t>OLEO LUBRIFICANTE PARA MOTORES 2 TEMPOS, PROPORCAO DE MISTURA DE NO MINIMO 1:50, FRASCO COM 500 ML. DEVERA ESTAR GRAVADO NA EMBALAGEM A PROPORCAO DE DILUICAO DO PRODUTO</t>
  </si>
  <si>
    <t>BROXA RETANGULAR - 16,5 X 6 CM</t>
  </si>
  <si>
    <t>FIO DE NYLON DE 3,0MM, QUADRADO, USO EM ROCADEIRA LATERAL STIHL FS 220 - PESO APROXIMADO: ROLO C/2 KG</t>
  </si>
  <si>
    <t>PNEU 325 X 8 COM 02 LONAS - PARA CARRINHO DE MAO, TIPO PERU</t>
  </si>
  <si>
    <t>TRINCHA PARA PINTURA - 1", COM CERDAS 100% NATURAIS</t>
  </si>
  <si>
    <t>TRINCHA PARA PINTURA - 3", COM CERDAS 100% NATURAIS</t>
  </si>
  <si>
    <t>LINHA DE PEDREIRO - ROLO COM 100 M</t>
  </si>
  <si>
    <t>CAMISA DE BRIM, N° 5, CONFECCIONADA EM TECIDO 100% ALGODAO, NA COR AZUL MARINHO</t>
  </si>
  <si>
    <t xml:space="preserve">CALCA DE BRIM N° 46, CONFECCIONADA EM TECIDO MISTO 67% ALGODAO NA COR AZUL MARINHO.   </t>
  </si>
  <si>
    <t>GARRAFA TERMICA - 1 LITRO, TAMPA EM FORMATO DE ROSCA</t>
  </si>
  <si>
    <t>RODO DE ALUMINIO DE 40 CM C/ CABO DE ALUMINIO MED. 1,30 M - BORRACHA UNICA E SUBSTITUIVEL (VARIACAO +/-05 CM DO CABO)</t>
  </si>
  <si>
    <t>VASSOURA DE PELO DE 40 CM, COM CABO EM MADEIRA, MEDINDO NO MINIMO: 1,15 M DE COMPRIMENTO X 2,5 CM DE DIAMETRO</t>
  </si>
  <si>
    <t>VASSOURAO DE PIACAVA TIPO PREFEITURA - 40 CM</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</si>
  <si>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</si>
  <si>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</si>
  <si>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</si>
  <si>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</si>
  <si>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</si>
  <si>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</si>
  <si>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</si>
  <si>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</si>
  <si>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</si>
  <si>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</si>
  <si>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</si>
  <si>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</si>
  <si>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</si>
  <si>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</si>
  <si>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</si>
  <si>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</si>
  <si>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</si>
  <si>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</si>
  <si>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</si>
  <si>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</si>
  <si>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</si>
  <si>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</si>
  <si>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</si>
  <si>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</si>
  <si>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</si>
  <si>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</si>
  <si>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</si>
  <si>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</si>
  <si>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</si>
  <si>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</si>
  <si>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</si>
  <si>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</si>
  <si>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</si>
  <si>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</si>
  <si>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</si>
  <si>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</si>
  <si>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</si>
  <si>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</si>
  <si>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</si>
  <si>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</si>
  <si>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</si>
  <si>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</si>
  <si>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</si>
  <si>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</si>
  <si>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</si>
  <si>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</si>
  <si>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</si>
  <si>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</si>
  <si>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</si>
  <si>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</si>
  <si>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</si>
  <si>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</si>
  <si>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</si>
  <si>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</si>
  <si>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</si>
  <si>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</si>
  <si>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</si>
  <si>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</si>
  <si>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</si>
  <si>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</si>
  <si>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</si>
  <si>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</si>
  <si>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</si>
  <si>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</si>
  <si>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</si>
  <si>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</si>
  <si>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</si>
  <si>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</si>
  <si>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NEVES IRMAOS NEVES</t>
  </si>
  <si>
    <t>ZOOM COMERCIAL SUDESTE LTDA</t>
  </si>
  <si>
    <t>PE   186/22</t>
  </si>
  <si>
    <t>147/22</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</si>
  <si>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</si>
  <si>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</si>
  <si>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</si>
  <si>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</si>
  <si>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</si>
  <si>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</si>
  <si>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</si>
  <si>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</si>
  <si>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</si>
  <si>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</si>
  <si>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</si>
  <si>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</si>
  <si>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</si>
  <si>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</si>
  <si>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</si>
  <si>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</si>
  <si>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</si>
  <si>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</si>
  <si>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</si>
  <si>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</si>
  <si>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</si>
  <si>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</si>
  <si>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</si>
  <si>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</si>
  <si>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</si>
  <si>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</si>
  <si>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</si>
  <si>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</si>
  <si>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</si>
  <si>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</si>
  <si>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</si>
  <si>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</si>
  <si>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</si>
  <si>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</si>
  <si>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</si>
  <si>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</si>
  <si>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</si>
  <si>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</si>
  <si>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</si>
  <si>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</si>
  <si>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</si>
  <si>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</si>
  <si>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</si>
  <si>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</si>
  <si>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</si>
  <si>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</si>
  <si>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</si>
  <si>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</si>
  <si>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</si>
  <si>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</si>
  <si>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</si>
  <si>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</si>
  <si>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</si>
  <si>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</si>
  <si>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</si>
  <si>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</si>
  <si>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</si>
  <si>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</si>
  <si>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</si>
  <si>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</si>
  <si>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</si>
  <si>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</si>
  <si>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</si>
  <si>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</si>
  <si>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</si>
  <si>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</si>
  <si>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</si>
  <si>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</si>
  <si>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</si>
  <si>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</si>
  <si>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</si>
  <si>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</si>
  <si>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</si>
  <si>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</si>
  <si>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</si>
  <si>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</si>
  <si>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</si>
  <si>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</si>
  <si>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</si>
  <si>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</si>
  <si>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</si>
  <si>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</si>
  <si>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</si>
  <si>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</si>
  <si>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</si>
  <si>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</si>
  <si>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</si>
  <si>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</si>
  <si>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</si>
  <si>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</si>
  <si>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</si>
  <si>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</si>
  <si>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</si>
  <si>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</si>
  <si>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</si>
  <si>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</si>
  <si>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</si>
  <si>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</si>
  <si>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</si>
  <si>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</si>
  <si>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</si>
  <si>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</si>
  <si>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</si>
  <si>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</si>
  <si>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</si>
  <si>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</si>
  <si>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</si>
  <si>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</si>
  <si>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</si>
  <si>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</si>
  <si>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</si>
  <si>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</si>
  <si>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</si>
  <si>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</si>
  <si>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</si>
  <si>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</si>
  <si>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</si>
  <si>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</si>
  <si>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</si>
  <si>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</si>
  <si>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</si>
  <si>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</si>
  <si>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</si>
  <si>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</si>
  <si>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</si>
  <si>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</si>
  <si>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</si>
  <si>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</si>
  <si>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</si>
  <si>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</si>
  <si>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</si>
  <si>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</si>
  <si>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</si>
  <si>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</si>
  <si>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</si>
  <si>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</si>
  <si>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</si>
  <si>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</si>
  <si>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</si>
  <si>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</si>
  <si>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</si>
  <si>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</si>
  <si>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</si>
  <si>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</si>
  <si>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</si>
  <si>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</si>
  <si>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</si>
  <si>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</si>
  <si>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</si>
  <si>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</si>
  <si>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</si>
  <si>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</si>
  <si>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</si>
  <si>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</si>
  <si>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</si>
  <si>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</si>
  <si>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</si>
  <si>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</si>
  <si>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</si>
  <si>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</si>
  <si>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</si>
  <si>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</si>
  <si>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</si>
  <si>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</si>
  <si>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</si>
  <si>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</si>
  <si>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</si>
  <si>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</si>
  <si>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</si>
  <si>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</si>
  <si>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</si>
  <si>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</si>
  <si>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</si>
  <si>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</si>
  <si>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</si>
  <si>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</si>
  <si>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</si>
  <si>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</si>
  <si>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</si>
  <si>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</si>
  <si>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</si>
  <si>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</si>
  <si>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</si>
  <si>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</si>
  <si>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</si>
  <si>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</si>
  <si>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</si>
  <si>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</si>
  <si>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</si>
  <si>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</si>
  <si>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</si>
  <si>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</si>
  <si>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</si>
  <si>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</si>
  <si>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</si>
  <si>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</si>
  <si>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</si>
  <si>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</si>
  <si>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</si>
  <si>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</si>
  <si>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</si>
  <si>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</si>
  <si>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</si>
  <si>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</si>
  <si>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</si>
  <si>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</si>
  <si>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</si>
  <si>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</si>
  <si>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</si>
  <si>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</si>
  <si>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</si>
  <si>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</si>
  <si>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</si>
  <si>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</si>
  <si>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</si>
  <si>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</si>
  <si>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</si>
  <si>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</si>
  <si>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</si>
  <si>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</si>
  <si>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</si>
  <si>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</si>
  <si>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</si>
  <si>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</si>
  <si>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</si>
  <si>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</si>
  <si>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</si>
  <si>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</si>
  <si>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</si>
  <si>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</si>
  <si>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</si>
  <si>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</si>
  <si>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</si>
  <si>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</si>
  <si>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</si>
  <si>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</si>
  <si>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</si>
  <si>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</si>
  <si>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</si>
  <si>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</si>
  <si>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</si>
  <si>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</si>
  <si>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</si>
  <si>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</si>
  <si>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</si>
  <si>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</si>
  <si>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</si>
  <si>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</si>
  <si>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</si>
  <si>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</si>
  <si>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</si>
  <si>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</si>
  <si>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</si>
  <si>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</si>
  <si>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</si>
  <si>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</si>
  <si>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</si>
  <si>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</si>
  <si>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</si>
  <si>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</si>
  <si>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</si>
  <si>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</si>
  <si>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</si>
  <si>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</si>
  <si>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</si>
  <si>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</si>
  <si>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</si>
  <si>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</si>
  <si>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</si>
  <si>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</si>
  <si>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</si>
  <si>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</si>
  <si>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</si>
  <si>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</si>
  <si>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</si>
  <si>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</si>
  <si>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</si>
  <si>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</si>
  <si>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</si>
  <si>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</si>
  <si>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</si>
  <si>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</si>
  <si>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</si>
  <si>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</si>
  <si>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</si>
  <si>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</si>
  <si>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</si>
  <si>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</si>
  <si>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</si>
  <si>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</si>
  <si>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</si>
  <si>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</si>
  <si>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</si>
  <si>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</si>
  <si>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</si>
  <si>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</si>
  <si>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</si>
  <si>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</si>
  <si>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</si>
  <si>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</si>
  <si>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</si>
  <si>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</si>
  <si>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</si>
  <si>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</si>
  <si>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</si>
  <si>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</si>
  <si>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</si>
  <si>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</si>
  <si>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</si>
  <si>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</si>
  <si>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</si>
  <si>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</si>
  <si>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</si>
  <si>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</si>
  <si>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</si>
  <si>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</si>
  <si>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</si>
  <si>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</si>
  <si>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</si>
  <si>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</si>
  <si>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</si>
  <si>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</si>
  <si>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</si>
  <si>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</si>
  <si>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</si>
  <si>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</si>
  <si>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</si>
  <si>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</si>
  <si>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</si>
  <si>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</si>
  <si>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</si>
  <si>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</si>
  <si>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ESTILETE DE METAL C/ LAMINA ESTREITA</t>
  </si>
  <si>
    <t>MATERIAIS DE DESENHO TECNICO</t>
  </si>
  <si>
    <t>CARTOLINA - VERDE CLARO - 50 X 66 CM - GRAMATURA 180G/M2</t>
  </si>
  <si>
    <t xml:space="preserve">PASTA MOLHA DEDO </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</si>
  <si>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</si>
  <si>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</si>
  <si>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</si>
  <si>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</si>
  <si>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</si>
  <si>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</si>
  <si>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</si>
  <si>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</si>
  <si>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</si>
  <si>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</si>
  <si>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</si>
  <si>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</si>
  <si>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</si>
  <si>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</si>
  <si>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</si>
  <si>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</si>
  <si>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</si>
  <si>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</si>
  <si>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</si>
  <si>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</si>
  <si>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</si>
  <si>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</si>
  <si>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</si>
  <si>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</si>
  <si>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</si>
  <si>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</si>
  <si>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</si>
  <si>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</si>
  <si>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</si>
  <si>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</si>
  <si>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</si>
  <si>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</si>
  <si>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</si>
  <si>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</si>
  <si>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</si>
  <si>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</si>
  <si>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</si>
  <si>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</si>
  <si>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</si>
  <si>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</si>
  <si>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</si>
  <si>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</si>
  <si>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</si>
  <si>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</si>
  <si>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</si>
  <si>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</si>
  <si>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</si>
  <si>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</si>
  <si>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</si>
  <si>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</si>
  <si>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</si>
  <si>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</si>
  <si>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</si>
  <si>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</si>
  <si>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</si>
  <si>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</si>
  <si>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</si>
  <si>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</si>
  <si>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</si>
  <si>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</si>
  <si>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</si>
  <si>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</si>
  <si>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</si>
  <si>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</si>
  <si>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</si>
  <si>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</si>
  <si>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</si>
  <si>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</si>
  <si>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</si>
  <si>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</si>
  <si>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</si>
  <si>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</si>
  <si>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</si>
  <si>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</si>
  <si>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</si>
  <si>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</si>
  <si>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</si>
  <si>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</si>
  <si>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</si>
  <si>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</si>
  <si>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</si>
  <si>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</si>
  <si>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</si>
  <si>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</si>
  <si>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</si>
  <si>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</si>
  <si>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</si>
  <si>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</si>
  <si>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</si>
  <si>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</si>
  <si>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</si>
  <si>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</si>
  <si>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</si>
  <si>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</si>
  <si>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</si>
  <si>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</si>
  <si>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</si>
  <si>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</si>
  <si>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</si>
  <si>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</si>
  <si>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</si>
  <si>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</si>
  <si>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</si>
  <si>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</si>
  <si>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</si>
  <si>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</si>
  <si>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</si>
  <si>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</si>
  <si>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</si>
  <si>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</si>
  <si>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</si>
  <si>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</si>
  <si>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</si>
  <si>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</si>
  <si>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</si>
  <si>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</si>
  <si>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</si>
  <si>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</si>
  <si>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</si>
  <si>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</si>
  <si>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</si>
  <si>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</si>
  <si>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</si>
  <si>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</si>
  <si>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</si>
  <si>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</si>
  <si>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</si>
  <si>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</si>
  <si>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</si>
  <si>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</si>
  <si>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</si>
  <si>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</si>
  <si>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</si>
  <si>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</si>
  <si>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</si>
  <si>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</si>
  <si>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</si>
  <si>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</si>
  <si>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</si>
  <si>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</si>
  <si>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</si>
  <si>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</si>
  <si>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</si>
  <si>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</si>
  <si>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</si>
  <si>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</si>
  <si>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</si>
  <si>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</si>
  <si>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</si>
  <si>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</si>
  <si>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</si>
  <si>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</si>
  <si>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</si>
  <si>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</si>
  <si>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</si>
  <si>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</si>
  <si>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</si>
  <si>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</si>
  <si>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</si>
  <si>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</si>
  <si>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</si>
  <si>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</si>
  <si>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</si>
  <si>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</si>
  <si>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</si>
  <si>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</si>
  <si>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</si>
  <si>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</si>
  <si>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</si>
  <si>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</si>
  <si>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</si>
  <si>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</si>
  <si>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</si>
  <si>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</si>
  <si>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</si>
  <si>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</si>
  <si>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</si>
  <si>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</si>
  <si>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</si>
  <si>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</si>
  <si>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</si>
  <si>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</si>
  <si>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</si>
  <si>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</si>
  <si>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</si>
  <si>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</si>
  <si>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</si>
  <si>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</si>
  <si>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</si>
  <si>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</si>
  <si>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</si>
  <si>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</si>
  <si>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</si>
  <si>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</si>
  <si>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</si>
  <si>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</si>
  <si>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</si>
  <si>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</si>
  <si>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</si>
  <si>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</si>
  <si>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</si>
  <si>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</si>
  <si>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</si>
  <si>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</si>
  <si>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</si>
  <si>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</si>
  <si>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</si>
  <si>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</si>
  <si>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</si>
  <si>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</si>
  <si>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</si>
  <si>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</si>
  <si>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</si>
  <si>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</si>
  <si>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</si>
  <si>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</si>
  <si>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</si>
  <si>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</si>
  <si>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</si>
  <si>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</si>
  <si>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</si>
  <si>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</si>
  <si>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</si>
  <si>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</si>
  <si>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</si>
  <si>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</si>
  <si>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</si>
  <si>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</si>
  <si>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</si>
  <si>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</si>
  <si>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</si>
  <si>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</si>
  <si>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</si>
  <si>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</si>
  <si>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</si>
  <si>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</si>
  <si>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</si>
  <si>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</si>
  <si>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</si>
  <si>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</si>
  <si>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</si>
  <si>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</si>
  <si>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</si>
  <si>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</si>
  <si>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</si>
  <si>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</si>
  <si>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</si>
  <si>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</si>
  <si>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</si>
  <si>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</si>
  <si>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</si>
  <si>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</si>
  <si>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</si>
  <si>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</si>
  <si>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</si>
  <si>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</si>
  <si>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</si>
  <si>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</si>
  <si>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</si>
  <si>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</si>
  <si>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</si>
  <si>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</si>
  <si>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</si>
  <si>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</si>
  <si>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</si>
  <si>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</si>
  <si>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</si>
  <si>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</si>
  <si>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</si>
  <si>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</si>
  <si>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</si>
  <si>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</si>
  <si>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</si>
  <si>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</si>
  <si>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</si>
  <si>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</si>
  <si>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</si>
  <si>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</si>
  <si>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</si>
  <si>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</si>
  <si>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</si>
  <si>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</si>
  <si>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</si>
  <si>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</si>
  <si>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</si>
  <si>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</si>
  <si>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</si>
  <si>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</si>
  <si>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</si>
  <si>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</si>
  <si>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</si>
  <si>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</si>
  <si>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</si>
  <si>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</si>
  <si>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</si>
  <si>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</si>
  <si>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</si>
  <si>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</si>
  <si>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</si>
  <si>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</si>
  <si>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</si>
  <si>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</si>
  <si>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</si>
  <si>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</si>
  <si>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</si>
  <si>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</si>
  <si>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</si>
  <si>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</si>
  <si>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</si>
  <si>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</si>
  <si>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</si>
  <si>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</si>
  <si>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</si>
  <si>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</si>
  <si>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</si>
  <si>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</si>
  <si>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</si>
  <si>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</si>
  <si>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</si>
  <si>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</si>
  <si>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</si>
  <si>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</si>
  <si>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</si>
  <si>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</si>
  <si>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</si>
  <si>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</si>
  <si>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</si>
  <si>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</si>
  <si>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</si>
  <si>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</si>
  <si>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</si>
  <si>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</si>
  <si>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</si>
  <si>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</si>
  <si>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</si>
  <si>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</si>
  <si>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</si>
  <si>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</si>
  <si>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</si>
  <si>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</si>
  <si>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</si>
  <si>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</si>
  <si>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</si>
  <si>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</si>
  <si>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</si>
  <si>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</si>
  <si>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</si>
  <si>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</si>
  <si>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</si>
  <si>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</si>
  <si>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</si>
  <si>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</si>
  <si>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</si>
  <si>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</si>
  <si>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</si>
  <si>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</si>
  <si>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</si>
  <si>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</si>
  <si>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</si>
  <si>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</si>
  <si>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</si>
  <si>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</si>
  <si>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</si>
  <si>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</si>
  <si>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</si>
  <si>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</si>
  <si>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</si>
  <si>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</si>
  <si>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</si>
  <si>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</si>
  <si>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DOCE AROMA</t>
  </si>
  <si>
    <t>MR LICITACOES - LTDA</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</si>
  <si>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</si>
  <si>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</si>
  <si>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</si>
  <si>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</si>
  <si>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</si>
  <si>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</si>
  <si>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</si>
  <si>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</si>
  <si>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</si>
  <si>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</si>
  <si>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</si>
  <si>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</si>
  <si>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</si>
  <si>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</si>
  <si>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</si>
  <si>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</si>
  <si>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</si>
  <si>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</si>
  <si>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</si>
  <si>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</si>
  <si>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</si>
  <si>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</si>
  <si>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</si>
  <si>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</si>
  <si>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</si>
  <si>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</si>
  <si>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</si>
  <si>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</si>
  <si>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</si>
  <si>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</si>
  <si>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</si>
  <si>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</si>
  <si>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</si>
  <si>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</si>
  <si>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</si>
  <si>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</si>
  <si>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</si>
  <si>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</si>
  <si>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</si>
  <si>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</si>
  <si>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</si>
  <si>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</si>
  <si>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</si>
  <si>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</si>
  <si>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</si>
  <si>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</si>
  <si>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</si>
  <si>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</si>
  <si>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</si>
  <si>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</si>
  <si>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</si>
  <si>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</si>
  <si>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</si>
  <si>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</si>
  <si>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</si>
  <si>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</si>
  <si>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</si>
  <si>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</si>
  <si>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</si>
  <si>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</si>
  <si>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PISO HIDRAULICO, ANTIDERRAPANTE</t>
  </si>
  <si>
    <t>PISOS DE BORRACHA, PVC E OUTROS COLAVEIS</t>
  </si>
  <si>
    <t>PISO HIDRAULICO, ANTIDERRAPANTE, COR CINZA.</t>
  </si>
  <si>
    <t xml:space="preserve">INTERRUPTOR 10A/250V COM 2 TECLAS PARALELAS </t>
  </si>
  <si>
    <t>TOMADA MOVEL PADRAO NBR 14136 2 +T  DE 10A/250V</t>
  </si>
  <si>
    <t xml:space="preserve">TINTA A BASE DE AGUA PARA USO EM CARIMBO AUTO ENTINTADO - FRASCO COM  30 ML -  COR PRETA </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</si>
  <si>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</si>
  <si>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</si>
  <si>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</si>
  <si>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</si>
  <si>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</si>
  <si>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</si>
  <si>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</si>
  <si>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</si>
  <si>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</si>
  <si>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</si>
  <si>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</si>
  <si>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</si>
  <si>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</si>
  <si>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</si>
  <si>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</si>
  <si>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</si>
  <si>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</si>
  <si>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</si>
  <si>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</si>
  <si>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</si>
  <si>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</si>
  <si>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</si>
  <si>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</si>
  <si>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</si>
  <si>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</si>
  <si>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</si>
  <si>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</si>
  <si>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</si>
  <si>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</si>
  <si>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</si>
  <si>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</si>
  <si>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</si>
  <si>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</si>
  <si>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</si>
  <si>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</si>
  <si>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</si>
  <si>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</si>
  <si>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</si>
  <si>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</si>
  <si>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</si>
  <si>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</si>
  <si>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</si>
  <si>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</si>
  <si>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</si>
  <si>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</si>
  <si>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</si>
  <si>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</si>
  <si>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</si>
  <si>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</si>
  <si>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</si>
  <si>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</si>
  <si>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</si>
  <si>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</si>
  <si>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</si>
  <si>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</si>
  <si>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</si>
  <si>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</si>
  <si>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</si>
  <si>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</si>
  <si>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</si>
  <si>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</si>
  <si>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</si>
  <si>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</si>
  <si>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</si>
  <si>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</si>
  <si>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</si>
  <si>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</si>
  <si>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</si>
  <si>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</si>
  <si>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</si>
  <si>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</si>
  <si>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</si>
  <si>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</si>
  <si>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</si>
  <si>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</si>
  <si>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</si>
  <si>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</si>
  <si>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</si>
  <si>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</si>
  <si>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</si>
  <si>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</si>
  <si>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</si>
  <si>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</si>
  <si>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</si>
  <si>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</si>
  <si>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</si>
  <si>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</si>
  <si>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</si>
  <si>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</si>
  <si>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</si>
  <si>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</si>
  <si>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</si>
  <si>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</si>
  <si>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</si>
  <si>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</si>
  <si>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</si>
  <si>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</si>
  <si>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</si>
  <si>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</si>
  <si>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</si>
  <si>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</si>
  <si>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</si>
  <si>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</si>
  <si>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</si>
  <si>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</si>
  <si>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</si>
  <si>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</si>
  <si>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</si>
  <si>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</si>
  <si>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</si>
  <si>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</si>
  <si>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</si>
  <si>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</si>
  <si>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</si>
  <si>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</si>
  <si>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</si>
  <si>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</si>
  <si>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</si>
  <si>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</si>
  <si>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</si>
  <si>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</si>
  <si>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</si>
  <si>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</si>
  <si>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</si>
  <si>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</si>
  <si>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</si>
  <si>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</si>
  <si>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</si>
  <si>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</si>
  <si>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</si>
  <si>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</si>
  <si>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</si>
  <si>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</si>
  <si>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</si>
  <si>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</si>
  <si>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71/22</t>
  </si>
  <si>
    <t>140/22</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</si>
  <si>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</si>
  <si>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</si>
  <si>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PE   152/22</t>
  </si>
  <si>
    <t>138/22</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</si>
  <si>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</si>
  <si>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</si>
  <si>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</si>
  <si>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</si>
  <si>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</si>
  <si>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</si>
  <si>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</si>
  <si>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</si>
  <si>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</si>
  <si>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</si>
  <si>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</si>
  <si>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</si>
  <si>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</si>
  <si>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</si>
  <si>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</si>
  <si>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</si>
  <si>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</si>
  <si>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</si>
  <si>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</si>
  <si>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</si>
  <si>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</si>
  <si>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</si>
  <si>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</si>
  <si>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</si>
  <si>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</si>
  <si>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</si>
  <si>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</si>
  <si>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</si>
  <si>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</si>
  <si>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</si>
  <si>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</si>
  <si>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</si>
  <si>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</si>
  <si>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</si>
  <si>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</si>
  <si>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</si>
  <si>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</si>
  <si>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</si>
  <si>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</si>
  <si>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</si>
  <si>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</si>
  <si>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</si>
  <si>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</si>
  <si>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</si>
  <si>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</si>
  <si>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</si>
  <si>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</si>
  <si>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</si>
  <si>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</si>
  <si>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</si>
  <si>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</si>
  <si>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</si>
  <si>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</si>
  <si>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</si>
  <si>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</si>
  <si>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</si>
  <si>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</si>
  <si>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</si>
  <si>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</si>
  <si>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</si>
  <si>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</si>
  <si>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</si>
  <si>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</si>
  <si>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</si>
  <si>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</si>
  <si>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</si>
  <si>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</si>
  <si>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</si>
  <si>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</si>
  <si>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</si>
  <si>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</si>
  <si>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</si>
  <si>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</si>
  <si>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</si>
  <si>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</si>
  <si>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</si>
  <si>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</si>
  <si>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</si>
  <si>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</si>
  <si>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</si>
  <si>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</si>
  <si>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</si>
  <si>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</si>
  <si>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</si>
  <si>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</si>
  <si>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</si>
  <si>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</si>
  <si>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</si>
  <si>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</si>
  <si>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</si>
  <si>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</si>
  <si>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</si>
  <si>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</si>
  <si>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</si>
  <si>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</si>
  <si>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 xml:space="preserve">PASTA PLASTICA COM ELASTICO, SEM LOMBADA, MEDINDO 235 MM X 335 MM (VARIACAO DE +/- 2 MM). ATOXICA. ELASTICO DE BORRACHA REVESTIDO COM TECIDO TRANSPASSADO E TERMINAL PLASTICO, DE BOA QUALIDADE. COR: TRANSPARENTE/ CRISTAL.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</si>
  <si>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</si>
  <si>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</si>
  <si>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</si>
  <si>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</si>
  <si>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</si>
  <si>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</si>
  <si>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</si>
  <si>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</si>
  <si>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</si>
  <si>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</si>
  <si>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</si>
  <si>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</si>
  <si>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</si>
  <si>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</si>
  <si>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</si>
  <si>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</si>
  <si>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</si>
  <si>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</si>
  <si>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</si>
  <si>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</si>
  <si>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</si>
  <si>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</si>
  <si>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</si>
  <si>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</si>
  <si>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</si>
  <si>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</si>
  <si>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</si>
  <si>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</si>
  <si>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</si>
  <si>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</si>
  <si>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</si>
  <si>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</si>
  <si>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</si>
  <si>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</si>
  <si>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</si>
  <si>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</si>
  <si>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</si>
  <si>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</si>
  <si>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</si>
  <si>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</si>
  <si>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</si>
  <si>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</si>
  <si>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</si>
  <si>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</si>
  <si>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</si>
  <si>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</si>
  <si>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</si>
  <si>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</si>
  <si>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</si>
  <si>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</si>
  <si>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</si>
  <si>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</si>
  <si>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</si>
  <si>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</si>
  <si>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</si>
  <si>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</si>
  <si>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</si>
  <si>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</si>
  <si>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</si>
  <si>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</si>
  <si>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</si>
  <si>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</si>
  <si>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</si>
  <si>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</si>
  <si>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</si>
  <si>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</si>
  <si>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</si>
  <si>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</si>
  <si>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</si>
  <si>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FINO SABOR INDUSTRIA E COMERCIO LTDA ( 20351 )</t>
  </si>
  <si>
    <t>MULTPAPER DISTRIBUIDORA DE PAPEIS LTDA. ( 225320 )</t>
  </si>
  <si>
    <t>NOG. COM VARIEDADES LTDA ( 148457 )</t>
  </si>
  <si>
    <t>GUARANI INDUSTRIA, COMERCIO E SERVICOS LTDA ( 6058 )</t>
  </si>
  <si>
    <t>CLEANING DISTRIBUIDORA DE PRODUTOS DE LIMPEZA LTDA ( 233259 )</t>
  </si>
  <si>
    <t>MEGAFER COMERCIO DE FERRO E ACO LTDA ( 60363 )</t>
  </si>
  <si>
    <t>TELAFER COMERCIO DE TELAS E FERRAGENS LTDA ( 196490 )</t>
  </si>
  <si>
    <t>ORLA DISTRIBUIDORA DE PRODUTOS LTDA ( 18334 )</t>
  </si>
  <si>
    <t>RELLEK TEK COMERCIAL LTDA ( 162825 )</t>
  </si>
  <si>
    <t>REDE I9 DO BRASIL MATERIAIS ELETRICOS E MONTAGENS INDUSTRIAIS LTDA ( 235922 )</t>
  </si>
  <si>
    <t>P.P. QUIMICA INDUSTRIAL LTDA ( 207252 )</t>
  </si>
  <si>
    <t>MR LICITACOES LTDA ( 222275 )</t>
  </si>
  <si>
    <t>ALINE NICACIO ( 158489 )</t>
  </si>
  <si>
    <t>ZANCAPEL COMERCIO DE SUPRIMENTOS E SERVICOS EM GERAL LTDA ( 209398 )</t>
  </si>
  <si>
    <t>TRANSNECO MATERIAIS DE CONSTRUCAO EM GERAL LTDA ( 226566 )</t>
  </si>
  <si>
    <t>DM-Construção</t>
  </si>
  <si>
    <t>.</t>
  </si>
  <si>
    <t>Administrativo</t>
  </si>
  <si>
    <t>Pedagógico</t>
  </si>
  <si>
    <t>DM-Pintura</t>
  </si>
  <si>
    <t>DM-Hidráulica</t>
  </si>
  <si>
    <t>DM-Elétrica</t>
  </si>
  <si>
    <t>DM-Serralheria</t>
  </si>
  <si>
    <t>DM-Marcenaria</t>
  </si>
  <si>
    <t>SegMedTra</t>
  </si>
  <si>
    <t>DM-Geral</t>
  </si>
  <si>
    <t>Eventos</t>
  </si>
  <si>
    <t>DM-Jardinagem</t>
  </si>
  <si>
    <t># 2</t>
  </si>
  <si>
    <t>Informática</t>
  </si>
  <si>
    <t>*</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</si>
  <si>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</si>
  <si>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</si>
  <si>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</si>
  <si>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</si>
  <si>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</si>
  <si>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</si>
  <si>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</si>
  <si>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</si>
  <si>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</si>
  <si>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</si>
  <si>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</si>
  <si>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</si>
  <si>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</si>
  <si>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</si>
  <si>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</si>
  <si>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</si>
  <si>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</si>
  <si>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</si>
  <si>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</si>
  <si>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</si>
  <si>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</si>
  <si>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</si>
  <si>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</si>
  <si>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</si>
  <si>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</si>
  <si>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</si>
  <si>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</si>
  <si>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</si>
  <si>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</si>
  <si>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</si>
  <si>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</si>
  <si>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</si>
  <si>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</si>
  <si>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</si>
  <si>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</si>
  <si>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</si>
  <si>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</si>
  <si>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</si>
  <si>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</si>
  <si>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</si>
  <si>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</si>
  <si>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</si>
  <si>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</si>
  <si>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</si>
  <si>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</si>
  <si>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</si>
  <si>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</si>
  <si>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</si>
  <si>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</si>
  <si>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</si>
  <si>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</si>
  <si>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</si>
  <si>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</si>
  <si>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</si>
  <si>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</si>
  <si>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145/21 | Aguardando!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</si>
  <si>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</si>
  <si>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</si>
  <si>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</si>
  <si>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</si>
  <si>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</si>
  <si>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</si>
  <si>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</si>
  <si>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</si>
  <si>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</si>
  <si>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</si>
  <si>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</si>
  <si>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</si>
  <si>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</si>
  <si>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</si>
  <si>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131/21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</si>
  <si>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</si>
  <si>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</si>
  <si>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</si>
  <si>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</si>
  <si>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</si>
  <si>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</si>
  <si>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</si>
  <si>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</si>
  <si>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</si>
  <si>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</si>
  <si>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</si>
  <si>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</si>
  <si>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</si>
  <si>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</si>
  <si>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</si>
  <si>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</si>
  <si>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</si>
  <si>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</si>
  <si>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</si>
  <si>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</si>
  <si>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2/21 | Aguardando!</t>
  </si>
  <si>
    <t>158/20 | Suspenso!</t>
  </si>
  <si>
    <t>2/19 | Aguardando!</t>
  </si>
  <si>
    <t>169/17 | Suspenso Impróspero!</t>
  </si>
  <si>
    <t>78/18 | Suspenso!</t>
  </si>
  <si>
    <t>64/20 | Suspenso!</t>
  </si>
  <si>
    <t>115/20 | Aguardando!</t>
  </si>
  <si>
    <t>204/18 | Suspenso!</t>
  </si>
  <si>
    <t>2/18 | Inativo!</t>
  </si>
  <si>
    <t>199/19 | Suspenso Impróspero!</t>
  </si>
  <si>
    <t>114/18 | Suspenso!</t>
  </si>
  <si>
    <t>296/20 | Aguardando!</t>
  </si>
  <si>
    <t>51/20 | Aguardando!</t>
  </si>
  <si>
    <t>173/21 | Aguardando!</t>
  </si>
  <si>
    <t>33/20 | Aguardando!</t>
  </si>
  <si>
    <t>143/20 | Aguardando!</t>
  </si>
  <si>
    <t>191/17 | Aguardando!</t>
  </si>
  <si>
    <t>289/20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</si>
  <si>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</si>
  <si>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</si>
  <si>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</si>
  <si>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</si>
  <si>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</si>
  <si>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</si>
  <si>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</si>
  <si>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</si>
  <si>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</si>
  <si>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</si>
  <si>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</si>
  <si>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</si>
  <si>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</si>
  <si>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</si>
  <si>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</si>
  <si>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QTD.PENDENTE</t>
  </si>
  <si>
    <t>08_22</t>
  </si>
  <si>
    <t>09_22</t>
  </si>
  <si>
    <t>10_22</t>
  </si>
  <si>
    <t>11_22</t>
  </si>
  <si>
    <t>12_22</t>
  </si>
  <si>
    <t>01_23</t>
  </si>
  <si>
    <t>02_23</t>
  </si>
  <si>
    <t>03_23</t>
  </si>
  <si>
    <t>04_23</t>
  </si>
  <si>
    <t>05_23</t>
  </si>
  <si>
    <t>06_23</t>
  </si>
  <si>
    <t>07_23</t>
  </si>
  <si>
    <t>DtIncl</t>
  </si>
  <si>
    <t>Div</t>
  </si>
  <si>
    <t>Média.A</t>
  </si>
  <si>
    <t>DP1</t>
  </si>
  <si>
    <t>DP2</t>
  </si>
  <si>
    <t>DP3</t>
  </si>
  <si>
    <t>Nº DP</t>
  </si>
  <si>
    <t>Média.C</t>
  </si>
  <si>
    <t>Consumo.C</t>
  </si>
  <si>
    <t>07.2023</t>
  </si>
  <si>
    <t>06.2023</t>
  </si>
  <si>
    <t>04.2023</t>
  </si>
  <si>
    <t>05.2023</t>
  </si>
  <si>
    <t>10.2022</t>
  </si>
  <si>
    <t>11.2022</t>
  </si>
  <si>
    <t>03.2023</t>
  </si>
  <si>
    <t>08.2022</t>
  </si>
  <si>
    <t>09.2022</t>
  </si>
  <si>
    <t>01.2023</t>
  </si>
  <si>
    <t>02.2023</t>
  </si>
  <si>
    <t>12.2022</t>
  </si>
  <si>
    <t>Fund Inf</t>
  </si>
  <si>
    <t>JREGIA</t>
  </si>
  <si>
    <t>Adm</t>
  </si>
  <si>
    <t>3|77744|3150|53,63|24969|</t>
  </si>
  <si>
    <t>Prefeitura Municipal</t>
  </si>
  <si>
    <t>Secretaria de Educação</t>
  </si>
  <si>
    <t>PREFEITURA MUNICIPAL</t>
  </si>
  <si>
    <t>SECRETARIA DE EDUCAÇÃO</t>
  </si>
  <si>
    <t>BANDEIRA DA CIDADE - 1,12 X 1,60 M, , MODELO BORDADO, CONFECCIONADA EM TECIDO 100% POLIESTER</t>
  </si>
  <si>
    <t>PLANILHA Nº 2</t>
  </si>
  <si>
    <t>Seleção: Itens Ativos Zerados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</si>
</sst>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6">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1A0000]mmm\ /\ yy;@"/>
    <numFmt numFmtId="195" formatCode="#,###"/>
    <numFmt numFmtId="196" formatCode="#,##0.000"/>
    <numFmt numFmtId="197" formatCode="###,###"/>
    <numFmt numFmtId="198" formatCode="#,##0.0;;;@"/>
    <numFmt numFmtId="199"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b/>
      <sz val="9"/>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27">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left" vertical="top"/>
    </xf>
    <xf numFmtId="1" fontId="37" fillId="0" borderId="0" xfId="0" applyNumberFormat="1" applyFont="1" applyAlignment="1">
      <alignment horizontal="center"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80" fontId="37" fillId="0" borderId="0" xfId="0" applyNumberFormat="1" applyFont="1" applyAlignment="1">
      <alignment horizontal="left" vertical="top"/>
    </xf>
    <xf numFmtId="179" fontId="37" fillId="0" borderId="0" xfId="0" applyNumberFormat="1" applyFont="1" applyAlignment="1">
      <alignment horizontal="left" vertical="top"/>
    </xf>
    <xf numFmtId="0" fontId="37" fillId="0" borderId="0" xfId="0" applyFont="1" applyAlignment="1">
      <alignment horizontal="left" vertical="top"/>
    </xf>
    <xf numFmtId="183" fontId="37" fillId="0" borderId="0" xfId="0" applyNumberFormat="1" applyFont="1" applyAlignment="1">
      <alignment horizontal="right" vertical="top"/>
    </xf>
    <xf numFmtId="166" fontId="0" fillId="0" borderId="0" xfId="0" applyNumberForma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49" fontId="0" fillId="0" borderId="0" xfId="0" applyNumberFormat="1" applyAlignment="1">
      <alignment horizontal="center" vertical="top"/>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94" fontId="0" fillId="0" borderId="0" xfId="0" applyNumberFormat="1" applyAlignment="1">
      <alignment horizontal="center"/>
    </xf>
    <xf numFmtId="195" fontId="0" fillId="0" borderId="0" xfId="0" applyNumberFormat="1" applyAlignment="1">
      <alignment horizontal="center"/>
    </xf>
    <xf numFmtId="196" fontId="0" fillId="0" borderId="0" xfId="0" applyNumberFormat="1" applyAlignment="1">
      <alignment horizontal="right" indent="1"/>
    </xf>
    <xf numFmtId="195" fontId="0" fillId="0" borderId="0" xfId="0" applyNumberFormat="1" applyAlignment="1">
      <alignment horizontal="right" indent="1"/>
    </xf>
    <xf numFmtId="165" fontId="0" fillId="0" borderId="0" xfId="0" applyNumberFormat="1" applyAlignment="1">
      <alignment horizontal="right" indent="1"/>
    </xf>
    <xf numFmtId="197" fontId="0" fillId="0" borderId="0" xfId="0" applyNumberFormat="1" applyAlignment="1">
      <alignment horizontal="right" indent="1"/>
    </xf>
    <xf numFmtId="3" fontId="44" fillId="0" borderId="26" xfId="0" applyNumberFormat="1" applyFont="1" applyBorder="1" applyAlignment="1">
      <alignment horizontal="center" vertical="center"/>
    </xf>
    <xf numFmtId="197" fontId="0" fillId="0" borderId="0" xfId="0" applyNumberFormat="1" applyAlignment="1">
      <alignment horizontal="center" vertical="top"/>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98"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0" fontId="6" fillId="0" borderId="0" xfId="0" applyFont="1"/>
    <xf numFmtId="21" fontId="27" fillId="0" borderId="0" xfId="0" applyNumberFormat="1" applyFont="1" applyAlignment="1">
      <alignment horizontal="left" vertical="top" indent="1"/>
    </xf>
    <xf numFmtId="0" fontId="0" fillId="0" borderId="0" xfId="0" applyAlignment="1">
      <alignment horizontal="left" vertical="center" wrapText="1" indent="1"/>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9" fontId="0" fillId="0" borderId="0" xfId="0" applyNumberFormat="1" applyAlignment="1">
      <alignment horizontal="center"/>
    </xf>
    <xf numFmtId="178" fontId="0" fillId="0" borderId="31" xfId="1" applyNumberFormat="1" applyFont="1" applyFill="1" applyBorder="1" applyAlignment="1">
      <alignment horizontal="right" vertical="top"/>
    </xf>
    <xf numFmtId="174" fontId="0" fillId="0" borderId="31" xfId="1" applyNumberFormat="1" applyFont="1" applyFill="1" applyBorder="1" applyAlignment="1">
      <alignment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0" fillId="0" borderId="0" xfId="0" applyNumberFormat="1" applyAlignment="1" applyProtection="1">
      <alignment horizontal="right" vertical="top"/>
      <protection locked="0"/>
    </xf>
    <xf numFmtId="49" fontId="49"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4" fillId="0" borderId="0" xfId="0" applyNumberFormat="1" applyFont="1" applyAlignment="1" applyProtection="1">
      <alignment horizontal="center" vertical="top"/>
      <protection locked="0"/>
    </xf>
    <xf numFmtId="185" fontId="57" fillId="0" borderId="0" xfId="0" applyNumberFormat="1" applyFont="1" applyAlignment="1" applyProtection="1">
      <alignment horizontal="left" vertical="top"/>
      <protection locked="0"/>
    </xf>
    <xf numFmtId="184" fontId="48" fillId="0" borderId="0" xfId="0" applyNumberFormat="1" applyFont="1" applyAlignment="1" applyProtection="1">
      <alignment horizontal="center" vertical="top"/>
      <protection locked="0"/>
    </xf>
    <xf numFmtId="185" fontId="48"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7"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2" fillId="0" borderId="0" xfId="0" applyNumberFormat="1" applyFont="1" applyAlignment="1" applyProtection="1">
      <alignment horizontal="right" vertical="top"/>
      <protection locked="0"/>
    </xf>
    <xf numFmtId="180" fontId="53"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6" fillId="0" borderId="0" xfId="0" applyNumberFormat="1" applyFont="1" applyAlignment="1">
      <alignment horizontal="right" vertical="top"/>
    </xf>
    <xf numFmtId="180" fontId="35" fillId="0" borderId="0" xfId="0" applyNumberFormat="1" applyFont="1" applyAlignment="1">
      <alignment horizontal="right" vertical="top"/>
    </xf>
    <xf numFmtId="190" fontId="35"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0" fontId="0" fillId="0" borderId="1" xfId="0" applyBorder="1" applyAlignment="1">
      <alignment horizontal="center" vertical="top"/>
    </xf>
    <xf numFmtId="179" fontId="9" fillId="0" borderId="1" xfId="0" applyNumberFormat="1" applyFont="1" applyBorder="1" applyAlignment="1">
      <alignment horizontal="right" vertical="top"/>
    </xf>
    <xf numFmtId="193" fontId="0" fillId="0" borderId="1" xfId="0" applyNumberFormat="1" applyBorder="1" applyAlignment="1">
      <alignment horizontal="left" vertical="top"/>
    </xf>
    <xf numFmtId="185" fontId="0" fillId="0" borderId="1" xfId="0" applyNumberFormat="1" applyBorder="1" applyAlignment="1">
      <alignment horizontal="righ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3" fontId="56" fillId="0" borderId="1" xfId="0" applyNumberFormat="1" applyFont="1" applyBorder="1" applyAlignment="1">
      <alignment horizontal="center" vertical="top"/>
    </xf>
    <xf numFmtId="3" fontId="0" fillId="0" borderId="1" xfId="0" applyNumberFormat="1" applyBorder="1" applyAlignment="1">
      <alignment horizontal="center" vertical="top"/>
    </xf>
    <xf numFmtId="49" fontId="0" fillId="0" borderId="1" xfId="0" applyNumberFormat="1" applyBorder="1" applyAlignment="1">
      <alignment horizontal="left" vertical="top"/>
    </xf>
    <xf numFmtId="189" fontId="59" fillId="0" borderId="1" xfId="0" applyNumberFormat="1" applyFont="1" applyBorder="1" applyAlignment="1">
      <alignment horizontal="left" vertical="top"/>
    </xf>
    <xf numFmtId="0" fontId="0" fillId="0" borderId="31" xfId="0" applyBorder="1" applyAlignment="1">
      <alignment horizontal="center" vertical="top"/>
    </xf>
    <xf numFmtId="179" fontId="9" fillId="0" borderId="27" xfId="0" applyNumberFormat="1" applyFont="1" applyBorder="1" applyAlignment="1">
      <alignment horizontal="right" vertical="top"/>
    </xf>
    <xf numFmtId="193" fontId="0" fillId="0" borderId="31" xfId="0" applyNumberFormat="1" applyBorder="1" applyAlignment="1">
      <alignment horizontal="left" vertical="top"/>
    </xf>
    <xf numFmtId="185" fontId="0" fillId="0" borderId="31" xfId="0" applyNumberFormat="1" applyBorder="1" applyAlignment="1">
      <alignment horizontal="right" vertical="top"/>
    </xf>
    <xf numFmtId="179" fontId="9" fillId="0" borderId="31" xfId="0" applyNumberFormat="1" applyFont="1" applyBorder="1" applyAlignment="1">
      <alignment horizontal="right" vertical="top"/>
    </xf>
    <xf numFmtId="182" fontId="0" fillId="0" borderId="31" xfId="0" applyNumberFormat="1" applyBorder="1" applyAlignment="1">
      <alignment horizontal="right" vertical="top"/>
    </xf>
    <xf numFmtId="167" fontId="0" fillId="0" borderId="31" xfId="0" applyNumberFormat="1" applyBorder="1" applyAlignment="1">
      <alignment horizontal="right" vertical="top"/>
    </xf>
    <xf numFmtId="171" fontId="0" fillId="0" borderId="31" xfId="0" applyNumberFormat="1" applyBorder="1" applyAlignment="1">
      <alignment horizontal="center" vertical="top"/>
    </xf>
    <xf numFmtId="171" fontId="0" fillId="0" borderId="31" xfId="0" applyNumberFormat="1" applyBorder="1" applyAlignment="1">
      <alignment horizontal="left" vertical="top"/>
    </xf>
    <xf numFmtId="0" fontId="0" fillId="0" borderId="31" xfId="0" applyBorder="1" applyAlignment="1">
      <alignment vertical="top"/>
    </xf>
    <xf numFmtId="1" fontId="0" fillId="0" borderId="31" xfId="0" applyNumberFormat="1" applyBorder="1" applyAlignment="1">
      <alignment horizontal="right" vertical="top"/>
    </xf>
    <xf numFmtId="170" fontId="0" fillId="0" borderId="31" xfId="0" applyNumberFormat="1" applyBorder="1" applyAlignment="1">
      <alignment horizontal="center" vertical="top"/>
    </xf>
    <xf numFmtId="49" fontId="40" fillId="0" borderId="31" xfId="0" applyNumberFormat="1" applyFont="1" applyBorder="1" applyAlignment="1">
      <alignment horizontal="left" vertical="top"/>
    </xf>
    <xf numFmtId="22" fontId="40" fillId="0" borderId="3" xfId="0" applyNumberFormat="1" applyFont="1" applyBorder="1" applyAlignment="1">
      <alignment horizontal="left" vertical="top"/>
    </xf>
    <xf numFmtId="3" fontId="56" fillId="0" borderId="31" xfId="0" applyNumberFormat="1" applyFont="1" applyBorder="1" applyAlignment="1">
      <alignment horizontal="center" vertical="top"/>
    </xf>
    <xf numFmtId="3" fontId="0" fillId="0" borderId="27" xfId="0" applyNumberFormat="1" applyBorder="1" applyAlignment="1">
      <alignment horizontal="center" vertical="top"/>
    </xf>
    <xf numFmtId="3" fontId="0" fillId="0" borderId="31" xfId="0" applyNumberFormat="1" applyBorder="1" applyAlignment="1">
      <alignment horizontal="center" vertical="top"/>
    </xf>
    <xf numFmtId="49" fontId="0" fillId="0" borderId="3" xfId="0" applyNumberFormat="1" applyBorder="1" applyAlignment="1">
      <alignment horizontal="left" vertical="top"/>
    </xf>
    <xf numFmtId="189" fontId="61" fillId="0" borderId="31" xfId="0" applyNumberFormat="1" applyFont="1" applyBorder="1" applyAlignment="1">
      <alignment horizontal="left" vertical="top"/>
    </xf>
    <xf numFmtId="164" fontId="1" fillId="0" borderId="0" xfId="0" applyNumberFormat="1" applyFont="1"/>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79" fontId="22"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13">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200"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7" formatCode="###,###"/>
      <alignment horizontal="right" vertical="bottom" textRotation="0" wrapText="0" indent="1" justifyLastLine="0" shrinkToFit="0" readingOrder="0"/>
    </dxf>
    <dxf>
      <numFmt numFmtId="197"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6" formatCode="#,##0.000"/>
      <alignment horizontal="right" vertical="bottom" textRotation="0" wrapText="0" indent="1" justifyLastLine="0" shrinkToFit="0" readingOrder="0"/>
    </dxf>
    <dxf>
      <numFmt numFmtId="195" formatCode="#,###"/>
      <alignment horizontal="center" vertical="bottom" textRotation="0" wrapText="0" indent="0" justifyLastLine="0" shrinkToFit="0" readingOrder="0"/>
    </dxf>
    <dxf>
      <numFmt numFmtId="199"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fill>
        <patternFill patternType="none">
          <fgColor indexed="64"/>
          <bgColor indexed="65"/>
        </patternFill>
      </fill>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numFmt numFmtId="0" formatCode="General"/>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8"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2"/>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2.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9.emf"/><Relationship Id="rId9"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28.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8.emf"/><Relationship Id="rId11" Type="http://schemas.openxmlformats.org/officeDocument/2006/relationships/image" Target="../media/image27.emf"/><Relationship Id="rId5" Type="http://schemas.openxmlformats.org/officeDocument/2006/relationships/image" Target="../media/image23.emf"/><Relationship Id="rId10" Type="http://schemas.openxmlformats.org/officeDocument/2006/relationships/image" Target="../media/image17.emf"/><Relationship Id="rId4" Type="http://schemas.openxmlformats.org/officeDocument/2006/relationships/image" Target="../media/image19.emf"/><Relationship Id="rId9"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4"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5.emf"/><Relationship Id="rId13" Type="http://schemas.openxmlformats.org/officeDocument/2006/relationships/image" Target="../media/image56.emf"/><Relationship Id="rId18" Type="http://schemas.openxmlformats.org/officeDocument/2006/relationships/image" Target="../media/image41.emf"/><Relationship Id="rId26" Type="http://schemas.openxmlformats.org/officeDocument/2006/relationships/image" Target="../media/image37.emf"/><Relationship Id="rId3" Type="http://schemas.openxmlformats.org/officeDocument/2006/relationships/image" Target="../media/image50.emf"/><Relationship Id="rId21" Type="http://schemas.openxmlformats.org/officeDocument/2006/relationships/image" Target="../media/image39.emf"/><Relationship Id="rId7" Type="http://schemas.openxmlformats.org/officeDocument/2006/relationships/image" Target="../media/image46.emf"/><Relationship Id="rId12" Type="http://schemas.openxmlformats.org/officeDocument/2006/relationships/image" Target="../media/image55.emf"/><Relationship Id="rId17" Type="http://schemas.openxmlformats.org/officeDocument/2006/relationships/image" Target="../media/image58.emf"/><Relationship Id="rId25" Type="http://schemas.openxmlformats.org/officeDocument/2006/relationships/image" Target="../media/image62.emf"/><Relationship Id="rId2" Type="http://schemas.openxmlformats.org/officeDocument/2006/relationships/image" Target="../media/image52.emf"/><Relationship Id="rId16" Type="http://schemas.openxmlformats.org/officeDocument/2006/relationships/image" Target="../media/image57.emf"/><Relationship Id="rId20" Type="http://schemas.openxmlformats.org/officeDocument/2006/relationships/image" Target="../media/image59.emf"/><Relationship Id="rId29" Type="http://schemas.openxmlformats.org/officeDocument/2006/relationships/image" Target="../media/image35.emf"/><Relationship Id="rId1" Type="http://schemas.openxmlformats.org/officeDocument/2006/relationships/image" Target="../media/image51.emf"/><Relationship Id="rId6" Type="http://schemas.openxmlformats.org/officeDocument/2006/relationships/image" Target="../media/image47.emf"/><Relationship Id="rId11" Type="http://schemas.openxmlformats.org/officeDocument/2006/relationships/image" Target="../media/image54.emf"/><Relationship Id="rId24" Type="http://schemas.openxmlformats.org/officeDocument/2006/relationships/image" Target="../media/image61.emf"/><Relationship Id="rId5" Type="http://schemas.openxmlformats.org/officeDocument/2006/relationships/image" Target="../media/image48.emf"/><Relationship Id="rId15" Type="http://schemas.openxmlformats.org/officeDocument/2006/relationships/image" Target="../media/image42.emf"/><Relationship Id="rId23" Type="http://schemas.openxmlformats.org/officeDocument/2006/relationships/image" Target="../media/image38.emf"/><Relationship Id="rId28" Type="http://schemas.openxmlformats.org/officeDocument/2006/relationships/image" Target="../media/image63.emf"/><Relationship Id="rId10" Type="http://schemas.openxmlformats.org/officeDocument/2006/relationships/image" Target="../media/image53.emf"/><Relationship Id="rId19" Type="http://schemas.openxmlformats.org/officeDocument/2006/relationships/image" Target="../media/image40.emf"/><Relationship Id="rId4" Type="http://schemas.openxmlformats.org/officeDocument/2006/relationships/image" Target="../media/image49.emf"/><Relationship Id="rId9" Type="http://schemas.openxmlformats.org/officeDocument/2006/relationships/image" Target="../media/image44.emf"/><Relationship Id="rId14" Type="http://schemas.openxmlformats.org/officeDocument/2006/relationships/image" Target="../media/image43.emf"/><Relationship Id="rId22" Type="http://schemas.openxmlformats.org/officeDocument/2006/relationships/image" Target="../media/image60.emf"/><Relationship Id="rId27" Type="http://schemas.openxmlformats.org/officeDocument/2006/relationships/image" Target="../media/image36.emf"/><Relationship Id="rId30"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5.emf"/><Relationship Id="rId1" Type="http://schemas.openxmlformats.org/officeDocument/2006/relationships/image" Target="../media/image6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69.emf"/><Relationship Id="rId5" Type="http://schemas.openxmlformats.org/officeDocument/2006/relationships/image" Target="../media/image74.emf"/><Relationship Id="rId4" Type="http://schemas.openxmlformats.org/officeDocument/2006/relationships/image" Target="../media/image7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8.emf"/><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183487</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270419</xdr:colOff>
      <xdr:row>0</xdr:row>
      <xdr:rowOff>55147</xdr:rowOff>
    </xdr:from>
    <xdr:to>
      <xdr:col>2</xdr:col>
      <xdr:colOff>818764</xdr:colOff>
      <xdr:row>4</xdr:row>
      <xdr:rowOff>238125</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30395" y="55147"/>
          <a:ext cx="1148981" cy="1124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463475</xdr:colOff>
          <xdr:row>1</xdr:row>
          <xdr:rowOff>178398</xdr:rowOff>
        </xdr:from>
        <xdr:to>
          <xdr:col>24</xdr:col>
          <xdr:colOff>293594</xdr:colOff>
          <xdr:row>3</xdr:row>
          <xdr:rowOff>61408</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1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346934</xdr:colOff>
          <xdr:row>1</xdr:row>
          <xdr:rowOff>178398</xdr:rowOff>
        </xdr:from>
        <xdr:to>
          <xdr:col>26</xdr:col>
          <xdr:colOff>365312</xdr:colOff>
          <xdr:row>3</xdr:row>
          <xdr:rowOff>61408</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1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463475</xdr:colOff>
          <xdr:row>0</xdr:row>
          <xdr:rowOff>38100</xdr:rowOff>
        </xdr:from>
        <xdr:to>
          <xdr:col>24</xdr:col>
          <xdr:colOff>293594</xdr:colOff>
          <xdr:row>1</xdr:row>
          <xdr:rowOff>155538</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1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346934</xdr:colOff>
          <xdr:row>3</xdr:row>
          <xdr:rowOff>84268</xdr:rowOff>
        </xdr:from>
        <xdr:to>
          <xdr:col>26</xdr:col>
          <xdr:colOff>365312</xdr:colOff>
          <xdr:row>4</xdr:row>
          <xdr:rowOff>201706</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1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346934</xdr:colOff>
          <xdr:row>0</xdr:row>
          <xdr:rowOff>38100</xdr:rowOff>
        </xdr:from>
        <xdr:to>
          <xdr:col>26</xdr:col>
          <xdr:colOff>365312</xdr:colOff>
          <xdr:row>1</xdr:row>
          <xdr:rowOff>155538</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1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395792</xdr:colOff>
          <xdr:row>3</xdr:row>
          <xdr:rowOff>84268</xdr:rowOff>
        </xdr:from>
        <xdr:to>
          <xdr:col>29</xdr:col>
          <xdr:colOff>342452</xdr:colOff>
          <xdr:row>4</xdr:row>
          <xdr:rowOff>201706</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1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395792</xdr:colOff>
          <xdr:row>1</xdr:row>
          <xdr:rowOff>178398</xdr:rowOff>
        </xdr:from>
        <xdr:to>
          <xdr:col>29</xdr:col>
          <xdr:colOff>342452</xdr:colOff>
          <xdr:row>3</xdr:row>
          <xdr:rowOff>61408</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1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463475</xdr:colOff>
          <xdr:row>3</xdr:row>
          <xdr:rowOff>84268</xdr:rowOff>
        </xdr:from>
        <xdr:to>
          <xdr:col>24</xdr:col>
          <xdr:colOff>293594</xdr:colOff>
          <xdr:row>4</xdr:row>
          <xdr:rowOff>201706</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1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395792</xdr:colOff>
          <xdr:row>0</xdr:row>
          <xdr:rowOff>38100</xdr:rowOff>
        </xdr:from>
        <xdr:to>
          <xdr:col>29</xdr:col>
          <xdr:colOff>342452</xdr:colOff>
          <xdr:row>1</xdr:row>
          <xdr:rowOff>155538</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1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209774</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3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2975834</xdr:colOff>
          <xdr:row>0</xdr:row>
          <xdr:rowOff>60960</xdr:rowOff>
        </xdr:from>
        <xdr:to>
          <xdr:col>1</xdr:col>
          <xdr:colOff>4781774</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3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41686</xdr:rowOff>
        </xdr:from>
        <xdr:to>
          <xdr:col>1</xdr:col>
          <xdr:colOff>209774</xdr:colOff>
          <xdr:row>1</xdr:row>
          <xdr:rowOff>552226</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3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232634</xdr:colOff>
          <xdr:row>1</xdr:row>
          <xdr:rowOff>41686</xdr:rowOff>
        </xdr:from>
        <xdr:to>
          <xdr:col>1</xdr:col>
          <xdr:colOff>1124174</xdr:colOff>
          <xdr:row>1</xdr:row>
          <xdr:rowOff>552226</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3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2061434</xdr:colOff>
          <xdr:row>1</xdr:row>
          <xdr:rowOff>41686</xdr:rowOff>
        </xdr:from>
        <xdr:to>
          <xdr:col>1</xdr:col>
          <xdr:colOff>2952974</xdr:colOff>
          <xdr:row>1</xdr:row>
          <xdr:rowOff>552226</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3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232634</xdr:colOff>
          <xdr:row>0</xdr:row>
          <xdr:rowOff>60960</xdr:rowOff>
        </xdr:from>
        <xdr:to>
          <xdr:col>1</xdr:col>
          <xdr:colOff>1124174</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3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2975834</xdr:colOff>
          <xdr:row>1</xdr:row>
          <xdr:rowOff>41686</xdr:rowOff>
        </xdr:from>
        <xdr:to>
          <xdr:col>1</xdr:col>
          <xdr:colOff>3867374</xdr:colOff>
          <xdr:row>1</xdr:row>
          <xdr:rowOff>552226</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3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1147034</xdr:colOff>
          <xdr:row>0</xdr:row>
          <xdr:rowOff>60960</xdr:rowOff>
        </xdr:from>
        <xdr:to>
          <xdr:col>1</xdr:col>
          <xdr:colOff>2038574</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3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2061434</xdr:colOff>
          <xdr:row>0</xdr:row>
          <xdr:rowOff>60960</xdr:rowOff>
        </xdr:from>
        <xdr:to>
          <xdr:col>1</xdr:col>
          <xdr:colOff>2952974</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3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1147034</xdr:colOff>
          <xdr:row>1</xdr:row>
          <xdr:rowOff>41686</xdr:rowOff>
        </xdr:from>
        <xdr:to>
          <xdr:col>1</xdr:col>
          <xdr:colOff>2038574</xdr:colOff>
          <xdr:row>1</xdr:row>
          <xdr:rowOff>552226</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3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3890234</xdr:colOff>
          <xdr:row>1</xdr:row>
          <xdr:rowOff>41686</xdr:rowOff>
        </xdr:from>
        <xdr:to>
          <xdr:col>1</xdr:col>
          <xdr:colOff>4781774</xdr:colOff>
          <xdr:row>1</xdr:row>
          <xdr:rowOff>552226</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3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163158</xdr:colOff>
          <xdr:row>1</xdr:row>
          <xdr:rowOff>41686</xdr:rowOff>
        </xdr:from>
        <xdr:to>
          <xdr:col>3</xdr:col>
          <xdr:colOff>674146</xdr:colOff>
          <xdr:row>1</xdr:row>
          <xdr:rowOff>552226</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3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1440180</xdr:colOff>
          <xdr:row>0</xdr:row>
          <xdr:rowOff>45720</xdr:rowOff>
        </xdr:from>
        <xdr:to>
          <xdr:col>1</xdr:col>
          <xdr:colOff>3032760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4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45720</xdr:rowOff>
        </xdr:from>
        <xdr:to>
          <xdr:col>1</xdr:col>
          <xdr:colOff>1318260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4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5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5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5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5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6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6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6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6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6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6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6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6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6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6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6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6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6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6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6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6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6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6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6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6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6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6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6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6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6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6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6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6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6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6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xdr:colOff>
          <xdr:row>0</xdr:row>
          <xdr:rowOff>68580</xdr:rowOff>
        </xdr:from>
        <xdr:to>
          <xdr:col>0</xdr:col>
          <xdr:colOff>1120140</xdr:colOff>
          <xdr:row>0</xdr:row>
          <xdr:rowOff>640080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7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1173480</xdr:colOff>
          <xdr:row>0</xdr:row>
          <xdr:rowOff>68580</xdr:rowOff>
        </xdr:from>
        <xdr:to>
          <xdr:col>0</xdr:col>
          <xdr:colOff>2247900</xdr:colOff>
          <xdr:row>0</xdr:row>
          <xdr:rowOff>640080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7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68580</xdr:rowOff>
        </xdr:from>
        <xdr:to>
          <xdr:col>0</xdr:col>
          <xdr:colOff>3360420</xdr:colOff>
          <xdr:row>0</xdr:row>
          <xdr:rowOff>640080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7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1226820</xdr:colOff>
          <xdr:row>1</xdr:row>
          <xdr:rowOff>45720</xdr:rowOff>
        </xdr:from>
        <xdr:to>
          <xdr:col>1</xdr:col>
          <xdr:colOff>2994660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45720</xdr:rowOff>
        </xdr:from>
        <xdr:to>
          <xdr:col>7</xdr:col>
          <xdr:colOff>617220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1165860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3055620</xdr:colOff>
          <xdr:row>1</xdr:row>
          <xdr:rowOff>45720</xdr:rowOff>
        </xdr:from>
        <xdr:to>
          <xdr:col>1</xdr:col>
          <xdr:colOff>4823460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8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4884420</xdr:colOff>
          <xdr:row>1</xdr:row>
          <xdr:rowOff>45720</xdr:rowOff>
        </xdr:from>
        <xdr:to>
          <xdr:col>1</xdr:col>
          <xdr:colOff>6652260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8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6713220</xdr:colOff>
          <xdr:row>1</xdr:row>
          <xdr:rowOff>45720</xdr:rowOff>
        </xdr:from>
        <xdr:to>
          <xdr:col>1</xdr:col>
          <xdr:colOff>8481060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8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8542020</xdr:colOff>
          <xdr:row>1</xdr:row>
          <xdr:rowOff>45720</xdr:rowOff>
        </xdr:from>
        <xdr:to>
          <xdr:col>2</xdr:col>
          <xdr:colOff>259080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8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9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9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9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0" dataDxfId="308" headerRowBorderDxfId="309" tableBorderDxfId="307" totalsRowBorderDxfId="306">
  <autoFilter ref="A8:Z9" xr:uid="{00000000-0009-0000-0100-00000A000000}"/>
  <sortState xmlns:xlrd2="http://schemas.microsoft.com/office/spreadsheetml/2017/richdata2" ref="A9:X74">
    <sortCondition ref="B9:B74"/>
  </sortState>
  <tableColumns count="26">
    <tableColumn id="1" xr3:uid="{00000000-0010-0000-0000-000001000000}" name="ITEM" dataDxfId="305"/>
    <tableColumn id="2" xr3:uid="{00000000-0010-0000-0000-000002000000}" name="CÓDIGO" dataDxfId="304"/>
    <tableColumn id="3" xr3:uid="{00000000-0010-0000-0000-000003000000}" name="ESPECIFICAÇÃO" dataDxfId="303"/>
    <tableColumn id="4" xr3:uid="{00000000-0010-0000-0000-000004000000}" name="UN" dataDxfId="302"/>
    <tableColumn id="5" xr3:uid="{00000000-0010-0000-0000-000005000000}" name="GRUPO" dataDxfId="301"/>
    <tableColumn id="6" xr3:uid="{00000000-0010-0000-0000-000006000000}" name="SUBG" dataDxfId="300"/>
    <tableColumn id="7" xr3:uid="{00000000-0010-0000-0000-000007000000}" name="COMPRA" dataDxfId="299"/>
    <tableColumn id="8" xr3:uid="{00000000-0010-0000-0000-000008000000}" name="SALDO ESTOQUE" dataDxfId="298" dataCellStyle="Moeda"/>
    <tableColumn id="9" xr3:uid="{00000000-0010-0000-0000-000009000000}" name="TOTAL CONSUMO ÚLTIMO ANO" dataDxfId="297" dataCellStyle="Moeda"/>
    <tableColumn id="28" xr3:uid="{00000000-0010-0000-0000-00001C000000}" name="TEMPO ESTOQUE (MESES)" dataDxfId="296" dataCellStyle="Moeda"/>
    <tableColumn id="10" xr3:uid="{00000000-0010-0000-0000-00000A000000}" name="ATA" dataDxfId="295"/>
    <tableColumn id="11" xr3:uid="{00000000-0010-0000-0000-00000B000000}" name="ATA QTDE" dataDxfId="294"/>
    <tableColumn id="12" xr3:uid="{00000000-0010-0000-0000-00000C000000}" name="VIGÊNCIA DA ATA" dataDxfId="293"/>
    <tableColumn id="13" xr3:uid="{00000000-0010-0000-0000-00000D000000}" name="FORNECEDOR" dataDxfId="292"/>
    <tableColumn id="14" xr3:uid="{00000000-0010-0000-0000-00000E000000}" name="RC Nº" dataDxfId="291"/>
    <tableColumn id="15" xr3:uid="{00000000-0010-0000-0000-00000F000000}" name="RC QTDE" dataDxfId="290"/>
    <tableColumn id="16" xr3:uid="{00000000-0010-0000-0000-000010000000}" name="AF Nº" dataDxfId="289"/>
    <tableColumn id="17" xr3:uid="{00000000-0010-0000-0000-000011000000}" name="AF SALDO" dataDxfId="288"/>
    <tableColumn id="18" xr3:uid="{00000000-0010-0000-0000-000012000000}" name="DATA ENTREGA" dataDxfId="287"/>
    <tableColumn id="19" xr3:uid="{00000000-0010-0000-0000-000013000000}" name="RC" dataDxfId="286"/>
    <tableColumn id="20" xr3:uid="{00000000-0010-0000-0000-000014000000}" name="FICHA" dataDxfId="285"/>
    <tableColumn id="21" xr3:uid="{00000000-0010-0000-0000-000015000000}" name="PROJ" dataDxfId="284"/>
    <tableColumn id="24" xr3:uid="{00000000-0010-0000-0000-000018000000}" name="OBSERVAÇÕES" dataDxfId="283"/>
    <tableColumn id="23" xr3:uid="{00000000-0010-0000-0000-000017000000}" name="ESTIMATIVA ANTERIOR" dataDxfId="282"/>
    <tableColumn id="22" xr3:uid="{00000000-0010-0000-0000-000016000000}" name="QUANTIDADE ESTIMADA" dataDxfId="281"/>
    <tableColumn id="25" xr3:uid="{00000000-0010-0000-0000-000019000000}" name="INFORMAR &quot;OK&quot; OU NOVA QUANTIDADE" dataDxfId="280"/>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3" totalsRowShown="0" headerRowDxfId="278" dataDxfId="276" headerRowBorderDxfId="277" tableBorderDxfId="275" totalsRowBorderDxfId="274">
  <tableColumns count="26">
    <tableColumn id="1" xr3:uid="{00000000-0010-0000-0700-000001000000}" name="ITEM" dataDxfId="273"/>
    <tableColumn id="2" xr3:uid="{00000000-0010-0000-0700-000002000000}" name="CÓDIGO" dataDxfId="272"/>
    <tableColumn id="3" xr3:uid="{00000000-0010-0000-0700-000003000000}" name="DESCRIÇÃO" dataDxfId="271"/>
    <tableColumn id="4" xr3:uid="{00000000-0010-0000-0700-000004000000}" name="UN" dataDxfId="270"/>
    <tableColumn id="5" xr3:uid="{00000000-0010-0000-0700-000005000000}" name="GRUPO" dataDxfId="269"/>
    <tableColumn id="6" xr3:uid="{00000000-0010-0000-0700-000006000000}" name="SUBG" dataDxfId="268"/>
    <tableColumn id="7" xr3:uid="{00000000-0010-0000-0700-000007000000}" name="COMPRA" dataDxfId="267"/>
    <tableColumn id="8" xr3:uid="{00000000-0010-0000-0700-000008000000}" name="VALOR UNIT." dataDxfId="266" dataCellStyle="Moeda"/>
    <tableColumn id="9" xr3:uid="{00000000-0010-0000-0700-000009000000}" name="VALOR TOTAL" dataDxfId="265" dataCellStyle="Moeda">
      <calculatedColumnFormula xml:space="preserve"> tabAssinaturas[[#This Row],[COMPRA]] * tabAssinaturas[[#This Row],[VALOR UNIT.]]</calculatedColumnFormula>
    </tableColumn>
    <tableColumn id="10" xr3:uid="{00000000-0010-0000-0700-00000A000000}" name="ATA" dataDxfId="264"/>
    <tableColumn id="11" xr3:uid="{00000000-0010-0000-0700-00000B000000}" name="ATA QTDE" dataDxfId="263"/>
    <tableColumn id="12" xr3:uid="{00000000-0010-0000-0700-00000C000000}" name="VIGÊNCIA DA ATA" dataDxfId="262"/>
    <tableColumn id="13" xr3:uid="{00000000-0010-0000-0700-00000D000000}" name="FORNECEDOR" dataDxfId="261"/>
    <tableColumn id="14" xr3:uid="{00000000-0010-0000-0700-00000E000000}" name="RC Nº" dataDxfId="260"/>
    <tableColumn id="15" xr3:uid="{00000000-0010-0000-0700-00000F000000}" name="RC QTDE" dataDxfId="259"/>
    <tableColumn id="16" xr3:uid="{00000000-0010-0000-0700-000010000000}" name="AF Nº" dataDxfId="258"/>
    <tableColumn id="17" xr3:uid="{00000000-0010-0000-0700-000011000000}" name="AF SALDO" dataDxfId="257"/>
    <tableColumn id="23" xr3:uid="{00000000-0010-0000-0700-000017000000}" name="Recentes" dataDxfId="256">
      <calculatedColumnFormula>SUMIF(tabItens[CÓDIGO],tabAssinaturas[[#This Row],[CÓDIGO]],tabItens[Recentes])</calculatedColumnFormula>
    </tableColumn>
    <tableColumn id="18" xr3:uid="{00000000-0010-0000-0700-000012000000}" name="DATA ENTREGA" dataDxfId="255"/>
    <tableColumn id="26" xr3:uid="{00000000-0010-0000-0700-00001A000000}" name="US_NOME" dataDxfId="254"/>
    <tableColumn id="24" xr3:uid="{00000000-0010-0000-0700-000018000000}" name="US_DATH" dataDxfId="253"/>
    <tableColumn id="19" xr3:uid="{00000000-0010-0000-0700-000013000000}" name="RC" dataDxfId="252"/>
    <tableColumn id="20" xr3:uid="{00000000-0010-0000-0700-000014000000}" name="PROJ" dataDxfId="251"/>
    <tableColumn id="21" xr3:uid="{00000000-0010-0000-0700-000015000000}" name="FICHA" dataDxfId="250"/>
    <tableColumn id="25" xr3:uid="{00000000-0010-0000-0700-000019000000}" name="OBSERVAÇÕES" dataDxfId="249"/>
    <tableColumn id="22" xr3:uid="{00000000-0010-0000-0700-000016000000}" name="DEST" dataDxfId="2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246" dataDxfId="245">
  <autoFilter ref="A1:D2" xr:uid="{00000000-0009-0000-0100-000009000000}"/>
  <tableColumns count="4">
    <tableColumn id="1" xr3:uid="{00000000-0010-0000-0800-000001000000}" name="RC" dataDxfId="244" totalsRowDxfId="243"/>
    <tableColumn id="2" xr3:uid="{00000000-0010-0000-0800-000002000000}" name="VALOR" totalsRowFunction="sum" dataDxfId="242" totalsRowDxfId="241"/>
    <tableColumn id="4" xr3:uid="{00000000-0010-0000-0800-000004000000}" name="Assinatura" totalsRowFunction="sum" dataDxfId="240" totalsRowDxfId="239">
      <calculatedColumnFormula>IF(ISBLANK(tabRCsGeradas[[#This Row],[RC]]),0,SUMIF(tabAssinaturas[RC],tabRCsGeradas[[#This Row],[RC]],tabAssinaturas[VALOR TOTAL]))</calculatedColumnFormula>
    </tableColumn>
    <tableColumn id="5" xr3:uid="{00000000-0010-0000-0800-000005000000}" name="Diferente" dataDxfId="238" totalsRowDxfId="237">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5" totalsRowShown="0" headerRowDxfId="223" dataDxfId="222">
  <autoFilter ref="A3:BK945" xr:uid="{00000000-000C-0000-FFFF-FFFF01000000}">
    <filterColumn colId="7">
      <filters>
        <filter val="0"/>
      </filters>
    </filterColumn>
    <filterColumn colId="23">
      <filters>
        <filter val="20"/>
        <filter val="45"/>
        <filter val="48"/>
        <filter val="49"/>
        <filter val="50"/>
        <filter val="51"/>
        <filter val="52"/>
        <filter val="55"/>
        <filter val="57"/>
        <filter val="58"/>
        <filter val="59"/>
        <filter val="60"/>
        <filter val="61"/>
        <filter val="67"/>
        <filter val="69"/>
        <filter val="70"/>
        <filter val="71"/>
        <filter val="72"/>
        <filter val="73"/>
        <filter val="74"/>
        <filter val="75"/>
        <filter val="76"/>
        <filter val="78"/>
        <filter val="79"/>
        <filter val="80"/>
        <filter val="83"/>
        <filter val="84"/>
        <filter val="89"/>
      </filters>
    </filterColumn>
    <filterColumn colId="40">
      <customFilters>
        <customFilter operator="notEqual" val="Sim"/>
      </customFilters>
    </filterColumn>
  </autoFilter>
  <tableColumns count="63">
    <tableColumn id="1" xr3:uid="{00000000-0010-0000-0100-000001000000}" name="CÓDIGO" dataDxfId="221"/>
    <tableColumn id="2" xr3:uid="{00000000-0010-0000-0100-000002000000}" name="DESCRIÇÃO" dataDxfId="220"/>
    <tableColumn id="3" xr3:uid="{00000000-0010-0000-0100-000003000000}" name="UNIDADE" dataDxfId="219"/>
    <tableColumn id="4" xr3:uid="{00000000-0010-0000-0100-000004000000}" name="VALOR UNIT." dataDxfId="218"/>
    <tableColumn id="5" xr3:uid="{00000000-0010-0000-0100-000005000000}" name="MARCA" dataDxfId="217"/>
    <tableColumn id="6" xr3:uid="{00000000-0010-0000-0100-000006000000}" name="FORNECEDOR" dataDxfId="216"/>
    <tableColumn id="7" xr3:uid="{00000000-0010-0000-0100-000007000000}" name="LICITACAO" dataDxfId="215"/>
    <tableColumn id="8" xr3:uid="{00000000-0010-0000-0100-000008000000}" name="QTDE ATUAL" dataDxfId="214"/>
    <tableColumn id="9" xr3:uid="{00000000-0010-0000-0100-000009000000}" name="COD. ALMOX" dataDxfId="213"/>
    <tableColumn id="10" xr3:uid="{00000000-0010-0000-0100-00000A000000}" name="PREÇO MÉDIO" dataDxfId="212"/>
    <tableColumn id="11" xr3:uid="{00000000-0010-0000-0100-00000B000000}" name="L.C. 6 MESES" dataDxfId="211"/>
    <tableColumn id="12" xr3:uid="{00000000-0010-0000-0100-00000C000000}" name="TEMPO ESTOQUE" dataDxfId="210">
      <calculatedColumnFormula>IF(tabItens[[#This Row],[Média]] &gt; 0, tabItens[[#This Row],[QTDE ATUAL]] / tabItens[[#This Row],[Média]],999.9)</calculatedColumnFormula>
    </tableColumn>
    <tableColumn id="13" xr3:uid="{00000000-0010-0000-0100-00000D000000}" name="LC" dataDxfId="209"/>
    <tableColumn id="14" xr3:uid="{00000000-0010-0000-0100-00000E000000}" name="TOTAL" dataDxfId="208">
      <calculatedColumnFormula>tabItens[[#This Row],[VALOR UNIT.]] * tabItens[[#This Row],[LC]]</calculatedColumnFormula>
    </tableColumn>
    <tableColumn id="15" xr3:uid="{00000000-0010-0000-0100-00000F000000}" name="ATA Nº/ANO" dataDxfId="207"/>
    <tableColumn id="39" xr3:uid="{00000000-0010-0000-0100-000027000000}" name="ATA SALDO" dataDxfId="206"/>
    <tableColumn id="16" xr3:uid="{00000000-0010-0000-0100-000010000000}" name="ATA QTDE" dataDxfId="205"/>
    <tableColumn id="17" xr3:uid="{00000000-0010-0000-0100-000011000000}" name="ATA VALOR" dataDxfId="204"/>
    <tableColumn id="18" xr3:uid="{00000000-0010-0000-0100-000012000000}" name="ATA DT.VALID." dataDxfId="203"/>
    <tableColumn id="64" xr3:uid="{00000000-0010-0000-0100-000040000000}" name="ATA MESES" dataDxfId="202">
      <calculatedColumnFormula>ROUNDDOWN(IFERROR(tabItens[[#This Row],[ATA DT.VALID.]] - $D$1,0) / 30,0)</calculatedColumnFormula>
    </tableColumn>
    <tableColumn id="60" xr3:uid="{00000000-0010-0000-0100-00003C000000}" name="DESCRIÇÃO DA ESTRUTURA" dataDxfId="201"/>
    <tableColumn id="19" xr3:uid="{00000000-0010-0000-0100-000013000000}" name="ESTRUTURA" dataDxfId="200"/>
    <tableColumn id="65" xr3:uid="{00000000-0010-0000-0100-000041000000}" name="SETOR" dataDxfId="199"/>
    <tableColumn id="20" xr3:uid="{00000000-0010-0000-0100-000014000000}" name="GRUPO" dataDxfId="198"/>
    <tableColumn id="21" xr3:uid="{00000000-0010-0000-0100-000015000000}" name="SUBGRUPO" dataDxfId="197"/>
    <tableColumn id="22" xr3:uid="{00000000-0010-0000-0100-000016000000}" name="RC Nº" dataDxfId="196"/>
    <tableColumn id="23" xr3:uid="{00000000-0010-0000-0100-000017000000}" name="RC ANO" dataDxfId="195"/>
    <tableColumn id="24" xr3:uid="{00000000-0010-0000-0100-000018000000}" name="RC QTDE" dataDxfId="194"/>
    <tableColumn id="25" xr3:uid="{00000000-0010-0000-0100-000019000000}" name="AF Nº" dataDxfId="193"/>
    <tableColumn id="26" xr3:uid="{00000000-0010-0000-0100-00001A000000}" name="AF ANO" dataDxfId="192"/>
    <tableColumn id="27" xr3:uid="{00000000-0010-0000-0100-00001B000000}" name="AF SALDO" dataDxfId="191"/>
    <tableColumn id="28" xr3:uid="{00000000-0010-0000-0100-00001C000000}" name="AF QTDE" dataDxfId="190"/>
    <tableColumn id="29" xr3:uid="{00000000-0010-0000-0100-00001D000000}" name="AF FORN" dataDxfId="189"/>
    <tableColumn id="53" xr3:uid="{00000000-0010-0000-0100-000035000000}" name="AF VENC" dataDxfId="188"/>
    <tableColumn id="45" xr3:uid="{00000000-0010-0000-0100-00002D000000}" name="PONTO PEDIDO" dataDxfId="187"/>
    <tableColumn id="30" xr3:uid="{00000000-0010-0000-0100-00001E000000}" name="DATA ENTREGA" dataDxfId="186"/>
    <tableColumn id="38" xr3:uid="{00000000-0010-0000-0100-000026000000}" name="DATA INCLUSÃO" dataDxfId="185"/>
    <tableColumn id="41" xr3:uid="{00000000-0010-0000-0100-000029000000}" name="DATA ALTERAÇÃO" dataDxfId="184"/>
    <tableColumn id="40" xr3:uid="{00000000-0010-0000-0100-000028000000}" name="DATA DESATIVAÇÃO" dataDxfId="183"/>
    <tableColumn id="31" xr3:uid="{00000000-0010-0000-0100-00001F000000}" name="DESCRIÇÃO DETALHADA" dataDxfId="182"/>
    <tableColumn id="46" xr3:uid="{00000000-0010-0000-0100-00002E000000}" name="Excluir?" dataDxfId="181">
      <calculatedColumnFormula>_xlfn.IFNA(IF(VLOOKUP(tabItens[[#This Row],[CÓDIGO]],tabExcluirDoEstoque[#Data],1,FALSE),"sim",""),"")</calculatedColumnFormula>
    </tableColumn>
    <tableColumn id="47" xr3:uid="{00000000-0010-0000-0100-00002F000000}" name="Semanas ATA" dataDxfId="180">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179"/>
    <tableColumn id="48" xr3:uid="{00000000-0010-0000-0100-000030000000}" name="ÚltMov" dataDxfId="178">
      <calculatedColumnFormula>IF(ISBLANK(tabItens[[#This Row],[CÓDIGO]]),"",IFERROR(VLOOKUP(tabItens[[#This Row],[CÓDIGO]],Consumo!$C$2:$AC$869,26,FALSE),0))</calculatedColumnFormula>
    </tableColumn>
    <tableColumn id="55" xr3:uid="{00000000-0010-0000-0100-000037000000}" name="04_MESES" dataDxfId="177">
      <calculatedColumnFormula>SUMIF(Consumo!$C$3:$C$869,tabItens[[#This Row],[CÓDIGO]],Consumo!$N$3:$N$869) + SUMIF(Consumo!$C$3:$C$869,tabItens[[#This Row],[CÓDIGO]],Consumo!$O$3:$O$869) + SUMIF(Consumo!$C$3:$C$869,tabItens[[#This Row],[CÓDIGO]],Consumo!$P$3:$P$869) + SUMIF(Consumo!$C$3:$C$869,tabItens[[#This Row],[CÓDIGO]],Consumo!$Q$3:$Q$869)</calculatedColumnFormula>
    </tableColumn>
    <tableColumn id="34" xr3:uid="{00000000-0010-0000-0100-000022000000}" name="Consumo" dataDxfId="176">
      <calculatedColumnFormula>SUMIF(Consumo!$C$3:$C$869,tabItens[[#This Row],[CÓDIGO]],Consumo!$Z$3:$Z$869)</calculatedColumnFormula>
    </tableColumn>
    <tableColumn id="59" xr3:uid="{00000000-0010-0000-0100-00003B000000}" name="Pico" dataDxfId="175">
      <calculatedColumnFormula>SUMIF(Consumo!$C$3:$C$869,tabItens[[#This Row],[CÓDIGO]],Consumo!$AA$3:$AA$869)</calculatedColumnFormula>
    </tableColumn>
    <tableColumn id="49" xr3:uid="{00000000-0010-0000-0100-000031000000}" name="Média" dataDxfId="174">
      <calculatedColumnFormula>SUMIF(Consumo!$C$3:$C$869,tabItens[[#This Row],[CÓDIGO]],Consumo!$Y$3:$Y$869)</calculatedColumnFormula>
    </tableColumn>
    <tableColumn id="32" xr3:uid="{00000000-0010-0000-0100-000020000000}" name="Saldo" dataDxfId="173">
      <calculatedColumnFormula>tabItens[[#This Row],[QTDE ATUAL]] + tabItens[[#This Row],[RC QTDE]] + tabItens[[#This Row],[AF SALDO]] + tabItens[[#This Row],[Recentes]]</calculatedColumnFormula>
    </tableColumn>
    <tableColumn id="42" xr3:uid="{00000000-0010-0000-0100-00002A000000}" name="PontoMês" dataDxfId="172"/>
    <tableColumn id="43" xr3:uid="{00000000-0010-0000-0100-00002B000000}" name="PontoQtM" dataDxfId="171"/>
    <tableColumn id="50" xr3:uid="{00000000-0010-0000-0100-000032000000}" name="PontoPed" dataDxfId="170">
      <calculatedColumnFormula>IF(ISBLANK(tabItens[[#This Row],[CÓDIGO]]),"",tabItens[[#This Row],[PontoMês]] * (AZ$2+tabItens[[#This Row],[PontoQtM]]))</calculatedColumnFormula>
    </tableColumn>
    <tableColumn id="44" xr3:uid="{00000000-0010-0000-0100-00002C000000}" name="Abaixo" dataDxfId="169">
      <calculatedColumnFormula>tabItens[[#This Row],[PontoPed]] - tabItens[[#This Row],[Saldo]] + (1/10)</calculatedColumnFormula>
    </tableColumn>
    <tableColumn id="52" xr3:uid="{00000000-0010-0000-0100-000034000000}" name="AbaixoFisico" dataDxfId="168">
      <calculatedColumnFormula xml:space="preserve"> tabItens[[#This Row],[PontoMês]] * BB$2 - tabItens[[#This Row],[QTDE ATUAL]] - (1/10)</calculatedColumnFormula>
    </tableColumn>
    <tableColumn id="54" xr3:uid="{00000000-0010-0000-0100-000036000000}" name="PctAb" dataDxfId="167">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66">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65">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164">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163">
      <calculatedColumnFormula>SUMIF(Consumo!$C$3:$C$869,tabItens[[#This Row],[CÓDIGO]],Consumo!$E$3:$E$869)</calculatedColumnFormula>
    </tableColumn>
    <tableColumn id="57" xr3:uid="{00000000-0010-0000-0100-000039000000}" name="%Pend" dataDxfId="162">
      <calculatedColumnFormula>IF(AND(tabItens[[#This Row],[Pend]] &gt; 0,tabItens[[#This Row],[Consumo]] &lt;&gt; 0), tabItens[[#This Row],[Pend]] / tabItens[[#This Row],[Consumo]], 0 )</calculatedColumnFormula>
    </tableColumn>
    <tableColumn id="56" xr3:uid="{00000000-0010-0000-0100-000038000000}" name="CompraAnterior" dataDxfId="161"/>
    <tableColumn id="61" xr3:uid="{00000000-0010-0000-0100-00003D000000}" name="COMPRA_EXTRA" dataDxfId="160"/>
    <tableColumn id="37" xr3:uid="{00000000-0010-0000-0100-000025000000}" name="Fim" dataDxfId="159"/>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2" totalsRowShown="0" headerRowDxfId="146" dataDxfId="144" headerRowBorderDxfId="145" tableBorderDxfId="143">
  <autoFilter ref="A2:AK952" xr:uid="{5C4B774D-33A0-4E0D-9DED-BB8C1C1EF069}"/>
  <tableColumns count="37">
    <tableColumn id="1" xr3:uid="{00000000-0010-0000-0200-000001000000}" name="CÓDIGO" dataDxfId="142"/>
    <tableColumn id="2" xr3:uid="{00000000-0010-0000-0200-000002000000}" name="DESCRIÇÃO" dataDxfId="141"/>
    <tableColumn id="3" xr3:uid="{00000000-0010-0000-0200-000003000000}" name="UNIDADE" dataDxfId="140"/>
    <tableColumn id="4" xr3:uid="{00000000-0010-0000-0200-000004000000}" name="VALOR UNIT." dataDxfId="139"/>
    <tableColumn id="5" xr3:uid="{00000000-0010-0000-0200-000005000000}" name="MARCA" dataDxfId="138"/>
    <tableColumn id="6" xr3:uid="{00000000-0010-0000-0200-000006000000}" name="FORNECEDOR" dataDxfId="137"/>
    <tableColumn id="7" xr3:uid="{00000000-0010-0000-0200-000007000000}" name="LICITACAO" dataDxfId="136"/>
    <tableColumn id="8" xr3:uid="{00000000-0010-0000-0200-000008000000}" name="QTDE ATUAL" dataDxfId="135"/>
    <tableColumn id="9" xr3:uid="{00000000-0010-0000-0200-000009000000}" name="COD. ALMOX" dataDxfId="134"/>
    <tableColumn id="10" xr3:uid="{00000000-0010-0000-0200-00000A000000}" name="PREÇO MÉDIO" dataDxfId="133"/>
    <tableColumn id="11" xr3:uid="{00000000-0010-0000-0200-00000B000000}" name="L.C. 6 MESES" dataDxfId="132"/>
    <tableColumn id="12" xr3:uid="{00000000-0010-0000-0200-00000C000000}" name="TEMPO ESTOQUE" dataDxfId="131"/>
    <tableColumn id="13" xr3:uid="{00000000-0010-0000-0200-00000D000000}" name="LC" dataDxfId="130"/>
    <tableColumn id="14" xr3:uid="{00000000-0010-0000-0200-00000E000000}" name="TOTAL" dataDxfId="129"/>
    <tableColumn id="15" xr3:uid="{00000000-0010-0000-0200-00000F000000}" name="ATA Nº/ANO" dataDxfId="128"/>
    <tableColumn id="16" xr3:uid="{00000000-0010-0000-0200-000010000000}" name="ATA QTDE" dataDxfId="127"/>
    <tableColumn id="17" xr3:uid="{00000000-0010-0000-0200-000011000000}" name="ATA VALOR" dataDxfId="126"/>
    <tableColumn id="18" xr3:uid="{00000000-0010-0000-0200-000012000000}" name="ATA DT.VALID." dataDxfId="125"/>
    <tableColumn id="19" xr3:uid="{00000000-0010-0000-0200-000013000000}" name="DESCRIÇÃO DA ESTRUTURA" dataDxfId="124"/>
    <tableColumn id="20" xr3:uid="{00000000-0010-0000-0200-000014000000}" name="ESTRUTURA" dataDxfId="123"/>
    <tableColumn id="21" xr3:uid="{00000000-0010-0000-0200-000015000000}" name="GRUPO" dataDxfId="122"/>
    <tableColumn id="22" xr3:uid="{00000000-0010-0000-0200-000016000000}" name="SUBGRUPO" dataDxfId="121"/>
    <tableColumn id="23" xr3:uid="{00000000-0010-0000-0200-000017000000}" name="RC Nº" dataDxfId="120"/>
    <tableColumn id="24" xr3:uid="{00000000-0010-0000-0200-000018000000}" name="RC ANO" dataDxfId="119"/>
    <tableColumn id="25" xr3:uid="{00000000-0010-0000-0200-000019000000}" name="RC QTDE" dataDxfId="118"/>
    <tableColumn id="26" xr3:uid="{00000000-0010-0000-0200-00001A000000}" name="AF Nº" dataDxfId="117"/>
    <tableColumn id="27" xr3:uid="{00000000-0010-0000-0200-00001B000000}" name="AF ANO" dataDxfId="116"/>
    <tableColumn id="28" xr3:uid="{00000000-0010-0000-0200-00001C000000}" name="AF SALDO" dataDxfId="115"/>
    <tableColumn id="29" xr3:uid="{00000000-0010-0000-0200-00001D000000}" name="AF QTDE" dataDxfId="114"/>
    <tableColumn id="37" xr3:uid="{00000000-0010-0000-0200-000025000000}" name="AF FORN" dataDxfId="113"/>
    <tableColumn id="36" xr3:uid="{00000000-0010-0000-0200-000024000000}" name="AF VENC" dataDxfId="112"/>
    <tableColumn id="30" xr3:uid="{00000000-0010-0000-0200-00001E000000}" name="PONTO PEDIDO" dataDxfId="111"/>
    <tableColumn id="31" xr3:uid="{00000000-0010-0000-0200-00001F000000}" name="DATA ENTREGA" dataDxfId="110"/>
    <tableColumn id="32" xr3:uid="{00000000-0010-0000-0200-000020000000}" name="DATA INCLUSÃO" dataDxfId="109"/>
    <tableColumn id="33" xr3:uid="{00000000-0010-0000-0200-000021000000}" name="DATA ALTERAÇÃO" dataDxfId="108"/>
    <tableColumn id="34" xr3:uid="{00000000-0010-0000-0200-000022000000}" name="DATA DESATIVAÇÃO" dataDxfId="107"/>
    <tableColumn id="35" xr3:uid="{00000000-0010-0000-0200-000023000000}" name="DESCRIÇÃO DETALHADA" dataDxfId="106"/>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05" dataDxfId="103" headerRowBorderDxfId="104" tableBorderDxfId="102" totalsRowBorderDxfId="101">
  <tableColumns count="14">
    <tableColumn id="1" xr3:uid="{00000000-0010-0000-0300-000001000000}" name="CÓDIGO" dataDxfId="100"/>
    <tableColumn id="2" xr3:uid="{00000000-0010-0000-0300-000002000000}" name="DESCRIÇÃO" dataDxfId="99"/>
    <tableColumn id="3" xr3:uid="{00000000-0010-0000-0300-000003000000}" name="UNIDADE" dataDxfId="98"/>
    <tableColumn id="13" xr3:uid="{00000000-0010-0000-0300-00000D000000}" name="GRUPO" dataDxfId="97"/>
    <tableColumn id="4" xr3:uid="{00000000-0010-0000-0300-000004000000}" name="ESTOQUE FÍSICO" dataDxfId="96"/>
    <tableColumn id="12" xr3:uid="{00000000-0010-0000-0300-00000C000000}" name="DURAÇÃO EM MESES" dataDxfId="95"/>
    <tableColumn id="5" xr3:uid="{00000000-0010-0000-0300-000005000000}" name="COMPRAS EM ANDAMENTO" dataDxfId="94"/>
    <tableColumn id="6" xr3:uid="{00000000-0010-0000-0300-000006000000}" name="SALDO" dataDxfId="93"/>
    <tableColumn id="7" xr3:uid="{00000000-0010-0000-0300-000007000000}" name="ÚLTIMA ENTRADA ESTOQUE" dataDxfId="92"/>
    <tableColumn id="8" xr3:uid="{00000000-0010-0000-0300-000008000000}" name="ÚLTIMA SAÍDA" dataDxfId="91"/>
    <tableColumn id="9" xr3:uid="{00000000-0010-0000-0300-000009000000}" name="CONSUMO" dataDxfId="90"/>
    <tableColumn id="14" xr3:uid="{00000000-0010-0000-0300-00000E000000}" name="COMPRA EXTRA" dataDxfId="89"/>
    <tableColumn id="10" xr3:uid="{00000000-0010-0000-0300-00000A000000}" name="SUGESTÃO DE COMPRA" dataDxfId="88"/>
    <tableColumn id="11" xr3:uid="{00000000-0010-0000-0300-00000B000000}" name="QUANT ESTIMADA PELO SETOR" dataDxfId="87"/>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84" headerRowBorderDxfId="85" tableBorderDxfId="83">
  <tableColumns count="4">
    <tableColumn id="1" xr3:uid="{00000000-0010-0000-0400-000001000000}" name="Código do Item" dataDxfId="82"/>
    <tableColumn id="2" xr3:uid="{00000000-0010-0000-0400-000002000000}" name="Descrição" dataDxfId="81">
      <calculatedColumnFormula>IF(ISBLANK(tabCodigosParaFiltrar[Código do Item]),"",VLOOKUP(tabCodigosParaFiltrar[Código do Item],Itens!$A$4:$B$945,2,FALSE))</calculatedColumnFormula>
    </tableColumn>
    <tableColumn id="4" xr3:uid="{00000000-0010-0000-0400-000004000000}" name="Última Estimativa" dataDxfId="80"/>
    <tableColumn id="3" xr3:uid="{00000000-0010-0000-0400-000003000000}" name="FIM" dataDxfId="79">
      <calculatedColumnFormula>IF(ISBLANK(tabCodigosParaFiltrar[Código do Item]),"","*")</calculatedColumnFormula>
    </tableColumn>
  </tableColumns>
  <tableStyleInfo name="TableStyleMedium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4C6C03-FAAE-48FE-8748-495F22FCBBC6}" name="tabConsumo" displayName="tabConsumo" ref="A2:AC869" totalsRowShown="0" headerRowDxfId="76">
  <autoFilter ref="A2:AC869" xr:uid="{90C1C83D-A130-4B27-A636-A55BC8A252F4}"/>
  <tableColumns count="29">
    <tableColumn id="1" xr3:uid="{4337AB3B-05D2-49BB-85ED-A749A5D92A4F}" name="DESCRICAO" dataDxfId="75"/>
    <tableColumn id="2" xr3:uid="{EBEC8EB6-F1DC-47D4-8247-FF01E6452E5C}" name="UN" dataDxfId="74"/>
    <tableColumn id="3" xr3:uid="{715ED178-28E2-4EEB-B545-048B04BA1867}" name="CODIGO" dataDxfId="73"/>
    <tableColumn id="4" xr3:uid="{C1E09BE5-93D6-4A26-A338-C79FB3BF33E2}" name="SALDO" dataDxfId="72"/>
    <tableColumn id="5" xr3:uid="{E43493D1-A8EF-4E61-86A3-D23FA8059F54}" name="QTD.PENDENTE" dataDxfId="71"/>
    <tableColumn id="6" xr3:uid="{84E4934D-0831-4CF5-A59D-F2BED14F483D}" name="08_22" dataDxfId="70"/>
    <tableColumn id="7" xr3:uid="{42F20ABB-8F85-4CED-8F25-58A99160EA3C}" name="09_22" dataDxfId="69"/>
    <tableColumn id="8" xr3:uid="{5F41D2DD-A91D-49DE-83B3-3B33B1CAF563}" name="10_22" dataDxfId="68"/>
    <tableColumn id="9" xr3:uid="{C8B5809A-0FDC-49E2-9908-4A5AD1B7A811}" name="11_22" dataDxfId="67"/>
    <tableColumn id="10" xr3:uid="{76A286CC-A07D-438E-8BB5-DA35328110B4}" name="12_22" dataDxfId="66"/>
    <tableColumn id="11" xr3:uid="{8739C8E5-2025-4A11-9387-F971221B925F}" name="01_23" dataDxfId="65"/>
    <tableColumn id="12" xr3:uid="{964D2F87-8521-40E8-9A03-6560FCEF5B7A}" name="02_23" dataDxfId="64"/>
    <tableColumn id="13" xr3:uid="{C25A8C04-8C31-49DA-ACAF-601BD32E2B1A}" name="03_23" dataDxfId="63"/>
    <tableColumn id="14" xr3:uid="{F66B4312-629E-4B22-8558-84D035467E36}" name="04_23" dataDxfId="62"/>
    <tableColumn id="15" xr3:uid="{6A6A3B6B-B501-44C8-BD9D-551C330C693A}" name="05_23" dataDxfId="61"/>
    <tableColumn id="16" xr3:uid="{42872B3F-0C21-47F6-933F-239E3468A255}" name="06_23" dataDxfId="60"/>
    <tableColumn id="17" xr3:uid="{2728C21C-F6BF-4A8E-9AD0-957370EB2CB5}" name="07_23" dataDxfId="59"/>
    <tableColumn id="18" xr3:uid="{AB5A4CAE-85E8-4B9F-BC7C-7B5343DFAB4A}" name="DtIncl" dataDxfId="58"/>
    <tableColumn id="19" xr3:uid="{640317E0-7435-4822-953E-3BABB145FCA9}" name="Div" dataDxfId="57">
      <calculatedColumnFormula xml:space="preserve"> 12</calculatedColumnFormula>
    </tableColumn>
    <tableColumn id="20" xr3:uid="{E58126E3-C60C-4728-A86C-63723431E3E5}" name="Média.A" dataDxfId="56">
      <calculatedColumnFormula>SUM( tabConsumo[[#This Row],[QTD.PENDENTE]]:tabConsumo[[#This Row],[07_23]] ) / tabConsumo[[#This Row],[Div]]</calculatedColumnFormula>
    </tableColumn>
    <tableColumn id="21" xr3:uid="{C430AF05-918D-4DB8-BF01-DF308F9909C6}" name="DP1" dataDxfId="55">
      <calculatedColumnFormula xml:space="preserve"> tabConsumo[[#This Row],[Média.A]] + (_xlfn.STDEV.S( tabConsumo[[#This Row],[QTD.PENDENTE]]:tabConsumo[[#This Row],[07_23]] ) * 1)</calculatedColumnFormula>
    </tableColumn>
    <tableColumn id="22" xr3:uid="{3266714D-09EF-4A29-B8E1-D4E249F13CE3}" name="DP2" dataDxfId="54">
      <calculatedColumnFormula xml:space="preserve"> tabConsumo[[#This Row],[Média.A]] + (_xlfn.STDEV.S( tabConsumo[[#This Row],[QTD.PENDENTE]]:tabConsumo[[#This Row],[07_23]] ) * 2)</calculatedColumnFormula>
    </tableColumn>
    <tableColumn id="23" xr3:uid="{E12FA5C0-9601-4754-BB7A-F70E2AFC2C14}" name="DP3" dataDxfId="53">
      <calculatedColumnFormula xml:space="preserve"> tabConsumo[[#This Row],[Média.A]] + (_xlfn.STDEV.S( tabConsumo[[#This Row],[QTD.PENDENTE]]:tabConsumo[[#This Row],[07_23]] ) * 3)</calculatedColumnFormula>
    </tableColumn>
    <tableColumn id="24" xr3:uid="{05CFBECD-613A-47B2-A38F-22F921BFDB73}" name="Nº DP" dataDxfId="52">
      <calculatedColumnFormula xml:space="preserve"> 2</calculatedColumnFormula>
    </tableColumn>
    <tableColumn id="25" xr3:uid="{1161105B-7975-4FD9-8A87-C3A818417B2E}" name="Média.C"/>
    <tableColumn id="26" xr3:uid="{7A583A32-5786-4F5F-BB30-DA7F1689CDE4}" name="Consumo.C" dataDxfId="51">
      <calculatedColumnFormula>SUM( tabConsumo[[#This Row],[QTD.PENDENTE]]:tabConsumo[[#This Row],[07_23]] )</calculatedColumnFormula>
    </tableColumn>
    <tableColumn id="27" xr3:uid="{08D4B95A-D9BD-44E6-8B21-7F8DC115CEBC}" name="Pico" dataDxfId="50">
      <calculatedColumnFormula>LARGE(tabConsumo[[#This Row],[08_22]:[07_23]],1)</calculatedColumnFormula>
    </tableColumn>
    <tableColumn id="28" xr3:uid="{370B079C-2318-4934-AF04-4F7CA1D872F8}" name="ÚltMov"/>
    <tableColumn id="29" xr3:uid="{215906A7-6EEE-42B9-BDE5-C86358D5E13D}" name="Fim" dataDxfId="4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7" totalsRowShown="0" dataDxfId="47" headerRowBorderDxfId="48" tableBorderDxfId="46">
  <autoFilter ref="A3:H577" xr:uid="{959FAD5E-2DA7-4747-A082-F244D4FC4C59}"/>
  <tableColumns count="8">
    <tableColumn id="1" xr3:uid="{00000000-0010-0000-0500-000001000000}" name="CÓDIGO" dataDxfId="45"/>
    <tableColumn id="2" xr3:uid="{00000000-0010-0000-0500-000002000000}" name="DESCRIÇÃO" dataDxfId="44"/>
    <tableColumn id="3" xr3:uid="{00000000-0010-0000-0500-000003000000}" name="UN" dataDxfId="43"/>
    <tableColumn id="4" xr3:uid="{00000000-0010-0000-0500-000004000000}" name="GRUPO" dataDxfId="42"/>
    <tableColumn id="5" xr3:uid="{00000000-0010-0000-0500-000005000000}" name="SUBGR" dataDxfId="41"/>
    <tableColumn id="10" xr3:uid="{00000000-0010-0000-0500-00000A000000}" name="US_NOME" dataDxfId="40"/>
    <tableColumn id="9" xr3:uid="{00000000-0010-0000-0500-000009000000}" name="US_DATH" dataDxfId="39"/>
    <tableColumn id="8" xr3:uid="{00000000-0010-0000-0500-000008000000}" name="TRANSF" dataDxfId="38"/>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36" dataDxfId="35">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34"/>
  </tableColumns>
  <tableStyleInfo name="TableStyleMedium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omments" Target="../comments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21.emf"/><Relationship Id="rId18" Type="http://schemas.openxmlformats.org/officeDocument/2006/relationships/control" Target="../activeX/activeX22.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9.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3.xml"/><Relationship Id="rId16" Type="http://schemas.openxmlformats.org/officeDocument/2006/relationships/control" Target="../activeX/activeX21.xml"/><Relationship Id="rId20" Type="http://schemas.openxmlformats.org/officeDocument/2006/relationships/control" Target="../activeX/activeX23.xml"/><Relationship Id="rId29"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ontrol" Target="../activeX/activeX16.xml"/><Relationship Id="rId11" Type="http://schemas.openxmlformats.org/officeDocument/2006/relationships/image" Target="../media/image20.emf"/><Relationship Id="rId24" Type="http://schemas.openxmlformats.org/officeDocument/2006/relationships/control" Target="../activeX/activeX25.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table" Target="../tables/table4.xml"/><Relationship Id="rId10" Type="http://schemas.openxmlformats.org/officeDocument/2006/relationships/control" Target="../activeX/activeX18.xml"/><Relationship Id="rId19" Type="http://schemas.openxmlformats.org/officeDocument/2006/relationships/image" Target="../media/image24.emf"/><Relationship Id="rId4" Type="http://schemas.openxmlformats.org/officeDocument/2006/relationships/control" Target="../activeX/activeX15.xml"/><Relationship Id="rId9" Type="http://schemas.openxmlformats.org/officeDocument/2006/relationships/image" Target="../media/image19.emf"/><Relationship Id="rId14" Type="http://schemas.openxmlformats.org/officeDocument/2006/relationships/control" Target="../activeX/activeX20.xml"/><Relationship Id="rId22" Type="http://schemas.openxmlformats.org/officeDocument/2006/relationships/control" Target="../activeX/activeX24.xml"/><Relationship Id="rId27" Type="http://schemas.openxmlformats.org/officeDocument/2006/relationships/image" Target="../media/image28.emf"/></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30.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9.emf"/><Relationship Id="rId10" Type="http://schemas.openxmlformats.org/officeDocument/2006/relationships/comments" Target="../comments4.xml"/><Relationship Id="rId4" Type="http://schemas.openxmlformats.org/officeDocument/2006/relationships/control" Target="../activeX/activeX27.xml"/><Relationship Id="rId9"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5.vml"/><Relationship Id="rId7" Type="http://schemas.openxmlformats.org/officeDocument/2006/relationships/image" Target="../media/image32.emf"/><Relationship Id="rId12"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9.emf"/><Relationship Id="rId18" Type="http://schemas.openxmlformats.org/officeDocument/2006/relationships/control" Target="../activeX/activeX40.xml"/><Relationship Id="rId26" Type="http://schemas.openxmlformats.org/officeDocument/2006/relationships/control" Target="../activeX/activeX44.xml"/><Relationship Id="rId39" Type="http://schemas.openxmlformats.org/officeDocument/2006/relationships/image" Target="../media/image52.emf"/><Relationship Id="rId21" Type="http://schemas.openxmlformats.org/officeDocument/2006/relationships/image" Target="../media/image43.emf"/><Relationship Id="rId34" Type="http://schemas.openxmlformats.org/officeDocument/2006/relationships/control" Target="../activeX/activeX48.xml"/><Relationship Id="rId42" Type="http://schemas.openxmlformats.org/officeDocument/2006/relationships/control" Target="../activeX/activeX52.xml"/><Relationship Id="rId47" Type="http://schemas.openxmlformats.org/officeDocument/2006/relationships/image" Target="../media/image56.emf"/><Relationship Id="rId50" Type="http://schemas.openxmlformats.org/officeDocument/2006/relationships/control" Target="../activeX/activeX56.xml"/><Relationship Id="rId55" Type="http://schemas.openxmlformats.org/officeDocument/2006/relationships/image" Target="../media/image60.emf"/><Relationship Id="rId63" Type="http://schemas.openxmlformats.org/officeDocument/2006/relationships/image" Target="../media/image64.emf"/><Relationship Id="rId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9.xml"/><Relationship Id="rId29" Type="http://schemas.openxmlformats.org/officeDocument/2006/relationships/image" Target="../media/image47.emf"/><Relationship Id="rId11" Type="http://schemas.openxmlformats.org/officeDocument/2006/relationships/image" Target="../media/image38.emf"/><Relationship Id="rId24" Type="http://schemas.openxmlformats.org/officeDocument/2006/relationships/control" Target="../activeX/activeX43.xml"/><Relationship Id="rId32" Type="http://schemas.openxmlformats.org/officeDocument/2006/relationships/control" Target="../activeX/activeX47.xml"/><Relationship Id="rId37" Type="http://schemas.openxmlformats.org/officeDocument/2006/relationships/image" Target="../media/image51.emf"/><Relationship Id="rId40" Type="http://schemas.openxmlformats.org/officeDocument/2006/relationships/control" Target="../activeX/activeX51.xml"/><Relationship Id="rId45" Type="http://schemas.openxmlformats.org/officeDocument/2006/relationships/image" Target="../media/image55.emf"/><Relationship Id="rId53" Type="http://schemas.openxmlformats.org/officeDocument/2006/relationships/image" Target="../media/image59.emf"/><Relationship Id="rId58" Type="http://schemas.openxmlformats.org/officeDocument/2006/relationships/control" Target="../activeX/activeX60.xml"/><Relationship Id="rId5" Type="http://schemas.openxmlformats.org/officeDocument/2006/relationships/image" Target="../media/image35.emf"/><Relationship Id="rId61" Type="http://schemas.openxmlformats.org/officeDocument/2006/relationships/image" Target="../media/image63.emf"/><Relationship Id="rId19" Type="http://schemas.openxmlformats.org/officeDocument/2006/relationships/image" Target="../media/image42.emf"/><Relationship Id="rId14" Type="http://schemas.openxmlformats.org/officeDocument/2006/relationships/control" Target="../activeX/activeX38.xml"/><Relationship Id="rId22" Type="http://schemas.openxmlformats.org/officeDocument/2006/relationships/control" Target="../activeX/activeX42.xml"/><Relationship Id="rId27" Type="http://schemas.openxmlformats.org/officeDocument/2006/relationships/image" Target="../media/image46.emf"/><Relationship Id="rId30" Type="http://schemas.openxmlformats.org/officeDocument/2006/relationships/control" Target="../activeX/activeX46.xml"/><Relationship Id="rId35" Type="http://schemas.openxmlformats.org/officeDocument/2006/relationships/image" Target="../media/image50.emf"/><Relationship Id="rId43" Type="http://schemas.openxmlformats.org/officeDocument/2006/relationships/image" Target="../media/image54.emf"/><Relationship Id="rId48" Type="http://schemas.openxmlformats.org/officeDocument/2006/relationships/control" Target="../activeX/activeX55.xml"/><Relationship Id="rId56" Type="http://schemas.openxmlformats.org/officeDocument/2006/relationships/control" Target="../activeX/activeX59.xml"/><Relationship Id="rId64" Type="http://schemas.openxmlformats.org/officeDocument/2006/relationships/table" Target="../tables/table7.xml"/><Relationship Id="rId8" Type="http://schemas.openxmlformats.org/officeDocument/2006/relationships/control" Target="../activeX/activeX35.xml"/><Relationship Id="rId51" Type="http://schemas.openxmlformats.org/officeDocument/2006/relationships/image" Target="../media/image58.emf"/><Relationship Id="rId3" Type="http://schemas.openxmlformats.org/officeDocument/2006/relationships/vmlDrawing" Target="../drawings/vmlDrawing6.vml"/><Relationship Id="rId12" Type="http://schemas.openxmlformats.org/officeDocument/2006/relationships/control" Target="../activeX/activeX37.xml"/><Relationship Id="rId17" Type="http://schemas.openxmlformats.org/officeDocument/2006/relationships/image" Target="../media/image41.emf"/><Relationship Id="rId25" Type="http://schemas.openxmlformats.org/officeDocument/2006/relationships/image" Target="../media/image45.emf"/><Relationship Id="rId33" Type="http://schemas.openxmlformats.org/officeDocument/2006/relationships/image" Target="../media/image49.emf"/><Relationship Id="rId38" Type="http://schemas.openxmlformats.org/officeDocument/2006/relationships/control" Target="../activeX/activeX50.xml"/><Relationship Id="rId46" Type="http://schemas.openxmlformats.org/officeDocument/2006/relationships/control" Target="../activeX/activeX54.xml"/><Relationship Id="rId59" Type="http://schemas.openxmlformats.org/officeDocument/2006/relationships/image" Target="../media/image62.emf"/><Relationship Id="rId20" Type="http://schemas.openxmlformats.org/officeDocument/2006/relationships/control" Target="../activeX/activeX41.xml"/><Relationship Id="rId41" Type="http://schemas.openxmlformats.org/officeDocument/2006/relationships/image" Target="../media/image53.emf"/><Relationship Id="rId54" Type="http://schemas.openxmlformats.org/officeDocument/2006/relationships/control" Target="../activeX/activeX58.xml"/><Relationship Id="rId62" Type="http://schemas.openxmlformats.org/officeDocument/2006/relationships/control" Target="../activeX/activeX62.xml"/><Relationship Id="rId1" Type="http://schemas.openxmlformats.org/officeDocument/2006/relationships/printerSettings" Target="../printerSettings/printerSettings7.bin"/><Relationship Id="rId6" Type="http://schemas.openxmlformats.org/officeDocument/2006/relationships/control" Target="../activeX/activeX34.xml"/><Relationship Id="rId15" Type="http://schemas.openxmlformats.org/officeDocument/2006/relationships/image" Target="../media/image40.emf"/><Relationship Id="rId23" Type="http://schemas.openxmlformats.org/officeDocument/2006/relationships/image" Target="../media/image44.emf"/><Relationship Id="rId28" Type="http://schemas.openxmlformats.org/officeDocument/2006/relationships/control" Target="../activeX/activeX45.xml"/><Relationship Id="rId36" Type="http://schemas.openxmlformats.org/officeDocument/2006/relationships/control" Target="../activeX/activeX49.xml"/><Relationship Id="rId49" Type="http://schemas.openxmlformats.org/officeDocument/2006/relationships/image" Target="../media/image57.emf"/><Relationship Id="rId57" Type="http://schemas.openxmlformats.org/officeDocument/2006/relationships/image" Target="../media/image61.emf"/><Relationship Id="rId10" Type="http://schemas.openxmlformats.org/officeDocument/2006/relationships/control" Target="../activeX/activeX36.xml"/><Relationship Id="rId31" Type="http://schemas.openxmlformats.org/officeDocument/2006/relationships/image" Target="../media/image48.emf"/><Relationship Id="rId44" Type="http://schemas.openxmlformats.org/officeDocument/2006/relationships/control" Target="../activeX/activeX53.xml"/><Relationship Id="rId52" Type="http://schemas.openxmlformats.org/officeDocument/2006/relationships/control" Target="../activeX/activeX57.xml"/><Relationship Id="rId60" Type="http://schemas.openxmlformats.org/officeDocument/2006/relationships/control" Target="../activeX/activeX61.xml"/><Relationship Id="rId4" Type="http://schemas.openxmlformats.org/officeDocument/2006/relationships/control" Target="../activeX/activeX33.xml"/><Relationship Id="rId9" Type="http://schemas.openxmlformats.org/officeDocument/2006/relationships/image" Target="../media/image3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7.vml"/><Relationship Id="rId7" Type="http://schemas.openxmlformats.org/officeDocument/2006/relationships/image" Target="../media/image66.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64.xml"/><Relationship Id="rId11" Type="http://schemas.openxmlformats.org/officeDocument/2006/relationships/comments" Target="../comments5.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3.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2.emf"/><Relationship Id="rId18" Type="http://schemas.openxmlformats.org/officeDocument/2006/relationships/table" Target="../tables/table9.xml"/><Relationship Id="rId3" Type="http://schemas.openxmlformats.org/officeDocument/2006/relationships/vmlDrawing" Target="../drawings/vmlDrawing8.vml"/><Relationship Id="rId7" Type="http://schemas.openxmlformats.org/officeDocument/2006/relationships/image" Target="../media/image69.emf"/><Relationship Id="rId12" Type="http://schemas.openxmlformats.org/officeDocument/2006/relationships/control" Target="../activeX/activeX70.xml"/><Relationship Id="rId17" Type="http://schemas.openxmlformats.org/officeDocument/2006/relationships/image" Target="../media/image74.emf"/><Relationship Id="rId2" Type="http://schemas.openxmlformats.org/officeDocument/2006/relationships/drawing" Target="../drawings/drawing8.xml"/><Relationship Id="rId16" Type="http://schemas.openxmlformats.org/officeDocument/2006/relationships/control" Target="../activeX/activeX72.xml"/><Relationship Id="rId1" Type="http://schemas.openxmlformats.org/officeDocument/2006/relationships/printerSettings" Target="../printerSettings/printerSettings9.bin"/><Relationship Id="rId6" Type="http://schemas.openxmlformats.org/officeDocument/2006/relationships/control" Target="../activeX/activeX67.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69.xml"/><Relationship Id="rId19" Type="http://schemas.openxmlformats.org/officeDocument/2006/relationships/comments" Target="../comments6.xml"/><Relationship Id="rId4" Type="http://schemas.openxmlformats.org/officeDocument/2006/relationships/control" Target="../activeX/activeX66.xml"/><Relationship Id="rId9" Type="http://schemas.openxmlformats.org/officeDocument/2006/relationships/image" Target="../media/image70.emf"/><Relationship Id="rId14" Type="http://schemas.openxmlformats.org/officeDocument/2006/relationships/control" Target="../activeX/activeX7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9.vml"/><Relationship Id="rId7" Type="http://schemas.openxmlformats.org/officeDocument/2006/relationships/image" Target="../media/image76.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74.xml"/><Relationship Id="rId11" Type="http://schemas.openxmlformats.org/officeDocument/2006/relationships/comments" Target="../comments7.xml"/><Relationship Id="rId5" Type="http://schemas.openxmlformats.org/officeDocument/2006/relationships/image" Target="../media/image75.emf"/><Relationship Id="rId10" Type="http://schemas.openxmlformats.org/officeDocument/2006/relationships/table" Target="../tables/table10.xml"/><Relationship Id="rId4" Type="http://schemas.openxmlformats.org/officeDocument/2006/relationships/control" Target="../activeX/activeX73.xml"/><Relationship Id="rId9" Type="http://schemas.openxmlformats.org/officeDocument/2006/relationships/image" Target="../media/image7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9.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8.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8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2.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4.emf"/><Relationship Id="rId5" Type="http://schemas.openxmlformats.org/officeDocument/2006/relationships/image" Target="../media/image81.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C2" sqref="C2:X2"/>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7" customWidth="1"/>
    <col min="10" max="10" width="10.44140625" style="3" customWidth="1"/>
    <col min="11" max="11" width="14.33203125" style="2" hidden="1" customWidth="1"/>
    <col min="12" max="12" width="9.6640625" style="41" hidden="1" customWidth="1"/>
    <col min="13" max="13" width="10.6640625" style="62"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67"/>
      <c r="B1" s="367"/>
      <c r="C1" s="366"/>
      <c r="D1" s="366"/>
      <c r="E1" s="366"/>
      <c r="F1" s="366"/>
      <c r="G1" s="366"/>
      <c r="H1" s="366"/>
      <c r="I1" s="366"/>
      <c r="J1" s="366"/>
      <c r="K1" s="366"/>
      <c r="L1" s="366"/>
      <c r="M1" s="366"/>
      <c r="N1" s="366"/>
      <c r="O1" s="366"/>
      <c r="P1" s="366"/>
      <c r="Q1" s="366"/>
      <c r="R1" s="366"/>
      <c r="S1" s="366"/>
      <c r="T1" s="366"/>
      <c r="U1" s="366"/>
      <c r="V1" s="366"/>
      <c r="W1" s="366"/>
      <c r="X1" s="366"/>
    </row>
    <row r="2" spans="1:26" ht="19.5" customHeight="1" x14ac:dyDescent="0.3">
      <c r="A2" s="367"/>
      <c r="B2" s="367"/>
      <c r="C2" s="366" t="s">
        <v>2227</v>
      </c>
      <c r="D2" s="366"/>
      <c r="E2" s="366"/>
      <c r="F2" s="366"/>
      <c r="G2" s="366"/>
      <c r="H2" s="366"/>
      <c r="I2" s="366"/>
      <c r="J2" s="366"/>
      <c r="K2" s="366"/>
      <c r="L2" s="366"/>
      <c r="M2" s="366"/>
      <c r="N2" s="366"/>
      <c r="O2" s="366"/>
      <c r="P2" s="366"/>
      <c r="Q2" s="366"/>
      <c r="R2" s="366"/>
      <c r="S2" s="366"/>
      <c r="T2" s="366"/>
      <c r="U2" s="366"/>
      <c r="V2" s="366"/>
      <c r="W2" s="366"/>
      <c r="X2" s="366"/>
    </row>
    <row r="3" spans="1:26" ht="18" customHeight="1" x14ac:dyDescent="0.3">
      <c r="A3" s="367"/>
      <c r="B3" s="367"/>
      <c r="C3" s="366" t="s">
        <v>2228</v>
      </c>
      <c r="D3" s="366"/>
      <c r="E3" s="366"/>
      <c r="F3" s="366"/>
      <c r="G3" s="366"/>
      <c r="H3" s="366"/>
      <c r="I3" s="366"/>
      <c r="J3" s="366"/>
      <c r="K3" s="366"/>
      <c r="L3" s="366"/>
      <c r="M3" s="366"/>
      <c r="N3" s="366"/>
      <c r="O3" s="366"/>
      <c r="P3" s="366"/>
      <c r="Q3" s="366"/>
      <c r="R3" s="366"/>
      <c r="S3" s="366"/>
      <c r="T3" s="366"/>
      <c r="U3" s="366"/>
      <c r="V3" s="366"/>
      <c r="W3" s="366"/>
      <c r="X3" s="366"/>
    </row>
    <row r="4" spans="1:26" ht="18" customHeight="1" x14ac:dyDescent="0.3">
      <c r="A4" s="368"/>
      <c r="B4" s="368"/>
      <c r="C4" s="366"/>
      <c r="D4" s="366"/>
      <c r="E4" s="366"/>
      <c r="F4" s="366"/>
      <c r="G4" s="366"/>
      <c r="H4" s="366"/>
      <c r="I4" s="366"/>
      <c r="J4" s="366"/>
      <c r="K4" s="366"/>
      <c r="L4" s="366"/>
      <c r="M4" s="366"/>
      <c r="N4" s="366"/>
      <c r="O4" s="366"/>
      <c r="P4" s="366"/>
      <c r="Q4" s="366"/>
      <c r="R4" s="366"/>
      <c r="S4" s="366"/>
      <c r="T4" s="366"/>
      <c r="U4" s="366"/>
      <c r="V4" s="366"/>
      <c r="W4" s="366"/>
      <c r="X4" s="366"/>
    </row>
    <row r="5" spans="1:26" ht="20.100000000000001" customHeight="1" x14ac:dyDescent="0.3">
      <c r="A5" s="364"/>
      <c r="B5" s="364"/>
      <c r="C5" s="365" t="s">
        <v>70</v>
      </c>
      <c r="D5" s="365"/>
      <c r="E5" s="365"/>
      <c r="F5" s="365"/>
      <c r="G5" s="365"/>
      <c r="H5" s="365"/>
      <c r="I5" s="365"/>
      <c r="J5" s="365"/>
      <c r="K5" s="365"/>
      <c r="L5" s="365"/>
      <c r="M5" s="365"/>
      <c r="N5" s="365"/>
      <c r="O5" s="365"/>
      <c r="P5" s="365"/>
      <c r="Q5" s="365"/>
      <c r="R5" s="365"/>
      <c r="S5" s="365"/>
      <c r="T5" s="365"/>
      <c r="U5" s="365"/>
      <c r="V5" s="365"/>
      <c r="W5" s="365"/>
      <c r="X5" s="365"/>
    </row>
    <row r="6" spans="1:26" ht="23.25" customHeight="1" x14ac:dyDescent="0.3">
      <c r="A6" s="65"/>
      <c r="B6"/>
      <c r="C6"/>
      <c r="D6"/>
      <c r="E6"/>
      <c r="F6" s="64"/>
      <c r="G6"/>
      <c r="J6"/>
      <c r="L6" s="97" t="s">
        <v>68</v>
      </c>
      <c r="M6" s="92"/>
      <c r="N6" s="91"/>
      <c r="O6" s="91"/>
      <c r="P6" s="91"/>
      <c r="Q6" s="91"/>
      <c r="R6" s="93"/>
      <c r="S6" s="91"/>
      <c r="T6" s="91"/>
      <c r="U6" s="91"/>
      <c r="V6" s="91"/>
      <c r="W6" s="91"/>
      <c r="X6" s="91"/>
    </row>
    <row r="7" spans="1:26" ht="71.25" customHeight="1" x14ac:dyDescent="0.3">
      <c r="A7" s="363" t="s">
        <v>131</v>
      </c>
      <c r="B7" s="363"/>
      <c r="C7" s="363"/>
      <c r="D7" s="363"/>
      <c r="E7" s="363"/>
      <c r="F7" s="363"/>
      <c r="G7" s="363"/>
      <c r="H7" s="363"/>
      <c r="I7" s="363"/>
      <c r="J7" s="363"/>
      <c r="K7" s="363"/>
      <c r="L7" s="363"/>
      <c r="M7" s="363"/>
      <c r="N7" s="363"/>
      <c r="O7" s="363"/>
      <c r="P7" s="363"/>
      <c r="Q7" s="363"/>
      <c r="R7" s="363"/>
      <c r="S7" s="363"/>
      <c r="T7" s="363"/>
      <c r="U7" s="363"/>
      <c r="V7" s="363"/>
      <c r="W7" s="363"/>
      <c r="X7" s="363"/>
      <c r="Y7" s="363"/>
      <c r="Z7" s="363"/>
    </row>
    <row r="8" spans="1:26" s="38" customFormat="1" ht="63" customHeight="1" x14ac:dyDescent="0.3">
      <c r="A8" s="115" t="s">
        <v>42</v>
      </c>
      <c r="B8" s="116" t="s">
        <v>0</v>
      </c>
      <c r="C8" s="117" t="s">
        <v>66</v>
      </c>
      <c r="D8" s="118" t="s">
        <v>31</v>
      </c>
      <c r="E8" s="119" t="s">
        <v>20</v>
      </c>
      <c r="F8" s="119" t="s">
        <v>43</v>
      </c>
      <c r="G8" s="120" t="s">
        <v>44</v>
      </c>
      <c r="H8" s="121" t="s">
        <v>69</v>
      </c>
      <c r="I8" s="122" t="s">
        <v>109</v>
      </c>
      <c r="J8" s="122" t="s">
        <v>110</v>
      </c>
      <c r="K8" s="118" t="s">
        <v>46</v>
      </c>
      <c r="L8" s="122" t="s">
        <v>15</v>
      </c>
      <c r="M8" s="123" t="s">
        <v>47</v>
      </c>
      <c r="N8" s="124" t="s">
        <v>5</v>
      </c>
      <c r="O8" s="118" t="s">
        <v>22</v>
      </c>
      <c r="P8" s="118" t="s">
        <v>23</v>
      </c>
      <c r="Q8" s="118" t="s">
        <v>24</v>
      </c>
      <c r="R8" s="118" t="s">
        <v>26</v>
      </c>
      <c r="S8" s="125" t="s">
        <v>29</v>
      </c>
      <c r="T8" s="126" t="s">
        <v>48</v>
      </c>
      <c r="U8" s="127" t="s">
        <v>50</v>
      </c>
      <c r="V8" s="127" t="s">
        <v>51</v>
      </c>
      <c r="W8" s="128" t="s">
        <v>49</v>
      </c>
      <c r="X8" s="262" t="s">
        <v>122</v>
      </c>
      <c r="Y8" s="121" t="s">
        <v>67</v>
      </c>
      <c r="Z8" s="129" t="s">
        <v>123</v>
      </c>
    </row>
    <row r="9" spans="1:26" ht="60" customHeight="1" x14ac:dyDescent="0.3">
      <c r="A9" s="260"/>
      <c r="B9" s="130"/>
      <c r="C9" s="131"/>
      <c r="D9" s="132"/>
      <c r="E9" s="132"/>
      <c r="F9" s="132"/>
      <c r="G9" s="133"/>
      <c r="H9" s="134"/>
      <c r="I9" s="134"/>
      <c r="J9" s="266"/>
      <c r="K9" s="135"/>
      <c r="L9" s="136"/>
      <c r="M9" s="137"/>
      <c r="N9" s="138"/>
      <c r="O9" s="139"/>
      <c r="P9" s="139"/>
      <c r="Q9" s="139"/>
      <c r="R9" s="139"/>
      <c r="S9" s="140"/>
      <c r="T9" s="130"/>
      <c r="U9" s="141"/>
      <c r="V9" s="130"/>
      <c r="W9" s="142"/>
      <c r="X9" s="263"/>
      <c r="Y9" s="261"/>
      <c r="Z9" s="258"/>
    </row>
  </sheetData>
  <sortState xmlns:xlrd2="http://schemas.microsoft.com/office/spreadsheetml/2017/richdata2" ref="A10:X43">
    <sortCondition ref="B10:B43"/>
  </sortState>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11"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121920</xdr:rowOff>
              </from>
              <to>
                <xdr:col>24</xdr:col>
                <xdr:colOff>891540</xdr:colOff>
                <xdr:row>2</xdr:row>
                <xdr:rowOff>220980</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1013460</xdr:colOff>
                <xdr:row>0</xdr:row>
                <xdr:rowOff>121920</xdr:rowOff>
              </from>
              <to>
                <xdr:col>26</xdr:col>
                <xdr:colOff>182880</xdr:colOff>
                <xdr:row>2</xdr:row>
                <xdr:rowOff>220980</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121920</xdr:rowOff>
              </from>
              <to>
                <xdr:col>33</xdr:col>
                <xdr:colOff>83820</xdr:colOff>
                <xdr:row>2</xdr:row>
                <xdr:rowOff>220980</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121920</xdr:rowOff>
              </from>
              <to>
                <xdr:col>28</xdr:col>
                <xdr:colOff>388620</xdr:colOff>
                <xdr:row>2</xdr:row>
                <xdr:rowOff>220980</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4"/>
  <sheetViews>
    <sheetView showGridLines="0" zoomScale="85" zoomScaleNormal="85"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77734375" customWidth="1"/>
    <col min="2" max="2" width="8.77734375" style="39" customWidth="1"/>
    <col min="3" max="3" width="47.77734375" style="4" customWidth="1"/>
    <col min="4" max="4" width="3.33203125" style="3" customWidth="1"/>
    <col min="5" max="5" width="3.88671875" style="3" bestFit="1" customWidth="1"/>
    <col min="6" max="6" width="3.88671875" style="37" bestFit="1" customWidth="1"/>
    <col min="7" max="7" width="8.88671875" style="40" bestFit="1" customWidth="1"/>
    <col min="8" max="8" width="10.77734375" customWidth="1"/>
    <col min="9" max="9" width="14.77734375" style="57" customWidth="1"/>
    <col min="10" max="10" width="7.44140625" style="3" bestFit="1" customWidth="1"/>
    <col min="11" max="11" width="9.44140625" style="2" hidden="1" customWidth="1"/>
    <col min="12" max="12" width="9.77734375" style="41" customWidth="1"/>
    <col min="13" max="13" width="20.77734375" style="62" hidden="1" customWidth="1"/>
    <col min="14" max="14" width="6" hidden="1" customWidth="1"/>
    <col min="15" max="15" width="8.44140625" hidden="1" customWidth="1"/>
    <col min="16" max="16" width="6" hidden="1" customWidth="1"/>
    <col min="17" max="17" width="9.6640625" hidden="1" customWidth="1"/>
    <col min="18" max="18" width="8.88671875" style="17" hidden="1" customWidth="1"/>
    <col min="19" max="19" width="14.88671875" style="32" hidden="1" customWidth="1"/>
    <col min="20" max="20" width="10" style="32" hidden="1" customWidth="1"/>
    <col min="21" max="21" width="11.88671875" style="32" hidden="1" customWidth="1"/>
    <col min="22" max="22" width="6.6640625" style="2" customWidth="1"/>
    <col min="23" max="23" width="7.88671875" style="5" customWidth="1"/>
    <col min="24" max="24" width="4.109375" style="12" customWidth="1"/>
    <col min="25" max="25" width="17.77734375" style="12" customWidth="1"/>
    <col min="26" max="26" width="7.77734375" style="4" customWidth="1"/>
    <col min="32" max="32" width="26.109375" customWidth="1"/>
  </cols>
  <sheetData>
    <row r="1" spans="1:26" ht="18" customHeight="1" x14ac:dyDescent="0.3">
      <c r="A1" s="364" t="s">
        <v>2229</v>
      </c>
      <c r="B1" s="364"/>
      <c r="C1" s="364"/>
      <c r="D1" s="364"/>
      <c r="E1" s="364"/>
      <c r="F1" s="364"/>
      <c r="G1" s="364"/>
      <c r="H1" s="364"/>
      <c r="I1" s="364"/>
      <c r="J1" s="364"/>
      <c r="K1" s="364"/>
      <c r="L1" s="364"/>
      <c r="M1" s="364"/>
      <c r="N1" s="364"/>
      <c r="O1" s="364"/>
      <c r="P1" s="364"/>
      <c r="Q1" s="364"/>
      <c r="R1" s="364"/>
      <c r="S1" s="364"/>
      <c r="T1" s="364"/>
      <c r="U1" s="364"/>
      <c r="V1" s="364"/>
      <c r="W1" s="364"/>
      <c r="X1" s="364"/>
      <c r="Y1" s="364"/>
      <c r="Z1" s="364"/>
    </row>
    <row r="2" spans="1:26" ht="19.5" customHeight="1" x14ac:dyDescent="0.3">
      <c r="A2" s="364" t="s">
        <v>2230</v>
      </c>
      <c r="B2" s="364"/>
      <c r="C2" s="364"/>
      <c r="D2" s="364"/>
      <c r="E2" s="364"/>
      <c r="F2" s="364"/>
      <c r="G2" s="364"/>
      <c r="H2" s="364"/>
      <c r="I2" s="364"/>
      <c r="J2" s="364"/>
      <c r="K2" s="364"/>
      <c r="L2" s="364"/>
      <c r="M2" s="364"/>
      <c r="N2" s="364"/>
      <c r="O2" s="364"/>
      <c r="P2" s="364"/>
      <c r="Q2" s="364"/>
      <c r="R2" s="364"/>
      <c r="S2" s="364"/>
      <c r="T2" s="364"/>
      <c r="U2" s="364"/>
      <c r="V2" s="364"/>
      <c r="W2" s="364"/>
      <c r="X2" s="364"/>
      <c r="Y2" s="364"/>
      <c r="Z2" s="364"/>
    </row>
    <row r="3" spans="1:26" ht="18" customHeight="1" x14ac:dyDescent="0.3">
      <c r="A3" s="364"/>
      <c r="B3" s="364"/>
      <c r="C3" s="364"/>
      <c r="D3" s="364"/>
      <c r="E3" s="364"/>
      <c r="F3" s="364"/>
      <c r="G3" s="364"/>
      <c r="H3" s="364"/>
      <c r="I3" s="364"/>
      <c r="J3" s="364"/>
      <c r="K3" s="364"/>
      <c r="L3" s="364"/>
      <c r="M3" s="364"/>
      <c r="N3" s="364"/>
      <c r="O3" s="364"/>
      <c r="P3" s="364"/>
      <c r="Q3" s="364"/>
      <c r="R3" s="364"/>
      <c r="S3" s="364"/>
      <c r="T3" s="364"/>
      <c r="U3" s="364"/>
      <c r="V3" s="364"/>
      <c r="W3" s="364"/>
      <c r="X3" s="364"/>
      <c r="Y3" s="364"/>
      <c r="Z3" s="364"/>
    </row>
    <row r="4" spans="1:26" ht="18" customHeight="1" x14ac:dyDescent="0.3">
      <c r="A4" s="378" t="s">
        <v>78</v>
      </c>
      <c r="B4" s="378"/>
      <c r="C4" s="378"/>
      <c r="D4" s="378"/>
      <c r="E4" s="378"/>
      <c r="F4" s="378"/>
      <c r="G4" s="378"/>
      <c r="H4" s="378"/>
      <c r="I4" s="378"/>
      <c r="J4" s="378"/>
      <c r="K4" s="378"/>
      <c r="L4" s="378"/>
      <c r="M4" s="378"/>
      <c r="N4" s="378"/>
      <c r="O4" s="378"/>
      <c r="P4" s="378"/>
      <c r="Q4" s="378"/>
      <c r="R4" s="378"/>
      <c r="S4" s="378"/>
      <c r="T4" s="378"/>
      <c r="U4" s="378"/>
      <c r="V4" s="378"/>
      <c r="W4" s="378"/>
      <c r="X4" s="378"/>
      <c r="Y4" s="378"/>
      <c r="Z4" s="378"/>
    </row>
    <row r="5" spans="1:26" ht="21" customHeight="1" x14ac:dyDescent="0.3">
      <c r="A5" s="91"/>
      <c r="B5" s="91"/>
      <c r="C5" s="91"/>
      <c r="D5" s="91"/>
      <c r="E5" s="91"/>
      <c r="F5" s="91"/>
      <c r="G5" s="91"/>
      <c r="H5" s="91"/>
      <c r="I5" s="91"/>
      <c r="J5" s="91"/>
      <c r="K5" s="91"/>
      <c r="L5" s="91"/>
      <c r="M5" s="92"/>
      <c r="N5" s="91"/>
      <c r="O5" s="91"/>
      <c r="P5" s="91"/>
      <c r="Q5" s="91"/>
      <c r="R5" s="93"/>
      <c r="S5" s="91"/>
      <c r="T5" s="91"/>
      <c r="U5" s="91"/>
      <c r="V5" s="91"/>
      <c r="W5" s="91"/>
      <c r="X5" s="91"/>
      <c r="Y5" s="91"/>
      <c r="Z5" s="91"/>
    </row>
    <row r="6" spans="1:26" ht="17.399999999999999" x14ac:dyDescent="0.3">
      <c r="A6" s="65">
        <v>45256</v>
      </c>
      <c r="B6"/>
      <c r="C6"/>
      <c r="D6"/>
      <c r="E6"/>
      <c r="F6" s="64"/>
      <c r="G6"/>
      <c r="J6"/>
      <c r="L6" s="97" t="s">
        <v>2232</v>
      </c>
      <c r="M6" s="92"/>
      <c r="N6" s="91"/>
      <c r="O6" s="91"/>
      <c r="P6" s="91"/>
      <c r="Q6" s="91"/>
      <c r="R6" s="93"/>
      <c r="S6" s="91"/>
      <c r="T6" s="91"/>
      <c r="U6" s="91"/>
      <c r="V6" s="91"/>
      <c r="W6" s="91"/>
      <c r="X6" s="91"/>
      <c r="Y6" s="91"/>
      <c r="Z6" s="91"/>
    </row>
    <row r="7" spans="1:26" ht="10.5" customHeight="1" x14ac:dyDescent="0.3">
      <c r="A7" s="369" t="s">
        <v>119</v>
      </c>
      <c r="B7" s="370"/>
      <c r="C7" s="370"/>
      <c r="D7" s="370"/>
      <c r="E7" s="370"/>
      <c r="F7" s="370"/>
      <c r="G7" s="370"/>
      <c r="H7" s="370"/>
      <c r="I7" s="370"/>
      <c r="J7" s="370"/>
      <c r="K7" s="370"/>
      <c r="L7" s="370"/>
      <c r="M7" s="370"/>
      <c r="N7" s="370"/>
      <c r="O7" s="370"/>
      <c r="P7" s="370"/>
      <c r="Q7" s="370"/>
      <c r="R7" s="370"/>
      <c r="S7" s="370"/>
      <c r="T7" s="370"/>
      <c r="U7" s="370"/>
      <c r="V7" s="370"/>
      <c r="W7" s="370"/>
      <c r="X7" s="370"/>
      <c r="Y7" s="370"/>
      <c r="Z7" s="371"/>
    </row>
    <row r="8" spans="1:26" ht="11.25" customHeight="1" x14ac:dyDescent="0.3">
      <c r="A8" s="372"/>
      <c r="B8" s="373"/>
      <c r="C8" s="373"/>
      <c r="D8" s="373"/>
      <c r="E8" s="373"/>
      <c r="F8" s="373"/>
      <c r="G8" s="373"/>
      <c r="H8" s="373"/>
      <c r="I8" s="373"/>
      <c r="J8" s="373"/>
      <c r="K8" s="373"/>
      <c r="L8" s="373"/>
      <c r="M8" s="373"/>
      <c r="N8" s="373"/>
      <c r="O8" s="373"/>
      <c r="P8" s="373"/>
      <c r="Q8" s="373"/>
      <c r="R8" s="373"/>
      <c r="S8" s="373"/>
      <c r="T8" s="373"/>
      <c r="U8" s="373"/>
      <c r="V8" s="373"/>
      <c r="W8" s="373"/>
      <c r="X8" s="373"/>
      <c r="Y8" s="373"/>
      <c r="Z8" s="374"/>
    </row>
    <row r="9" spans="1:26" ht="9.75" customHeight="1" x14ac:dyDescent="0.3">
      <c r="A9" s="375"/>
      <c r="B9" s="376"/>
      <c r="C9" s="376"/>
      <c r="D9" s="376"/>
      <c r="E9" s="376"/>
      <c r="F9" s="376"/>
      <c r="G9" s="376"/>
      <c r="H9" s="376"/>
      <c r="I9" s="376"/>
      <c r="J9" s="376"/>
      <c r="K9" s="376"/>
      <c r="L9" s="376"/>
      <c r="M9" s="376"/>
      <c r="N9" s="376"/>
      <c r="O9" s="376"/>
      <c r="P9" s="376"/>
      <c r="Q9" s="376"/>
      <c r="R9" s="376"/>
      <c r="S9" s="376"/>
      <c r="T9" s="376"/>
      <c r="U9" s="376"/>
      <c r="V9" s="376"/>
      <c r="W9" s="376"/>
      <c r="X9" s="376"/>
      <c r="Y9" s="376"/>
      <c r="Z9" s="377"/>
    </row>
    <row r="10" spans="1:26" s="38" customFormat="1" ht="38.4" x14ac:dyDescent="0.3">
      <c r="A10" s="47" t="s">
        <v>42</v>
      </c>
      <c r="B10" s="48" t="s">
        <v>0</v>
      </c>
      <c r="C10" s="49" t="s">
        <v>1</v>
      </c>
      <c r="D10" s="49" t="s">
        <v>31</v>
      </c>
      <c r="E10" s="50" t="s">
        <v>20</v>
      </c>
      <c r="F10" s="50" t="s">
        <v>43</v>
      </c>
      <c r="G10" s="48" t="s">
        <v>44</v>
      </c>
      <c r="H10" s="94" t="s">
        <v>3</v>
      </c>
      <c r="I10" s="58" t="s">
        <v>45</v>
      </c>
      <c r="J10" s="49" t="s">
        <v>46</v>
      </c>
      <c r="K10" s="51" t="s">
        <v>15</v>
      </c>
      <c r="L10" s="52" t="s">
        <v>47</v>
      </c>
      <c r="M10" s="61" t="s">
        <v>5</v>
      </c>
      <c r="N10" s="49" t="s">
        <v>22</v>
      </c>
      <c r="O10" s="49" t="s">
        <v>23</v>
      </c>
      <c r="P10" s="49" t="s">
        <v>24</v>
      </c>
      <c r="Q10" s="49" t="s">
        <v>26</v>
      </c>
      <c r="R10" s="66" t="s">
        <v>54</v>
      </c>
      <c r="S10" s="53" t="s">
        <v>29</v>
      </c>
      <c r="T10" s="53" t="s">
        <v>94</v>
      </c>
      <c r="U10" s="53" t="s">
        <v>95</v>
      </c>
      <c r="V10" s="48" t="s">
        <v>48</v>
      </c>
      <c r="W10" s="54" t="s">
        <v>51</v>
      </c>
      <c r="X10" s="54" t="s">
        <v>50</v>
      </c>
      <c r="Y10" s="98" t="s">
        <v>49</v>
      </c>
      <c r="Z10" s="99" t="s">
        <v>81</v>
      </c>
    </row>
    <row r="11" spans="1:26" x14ac:dyDescent="0.3">
      <c r="A11" s="326">
        <v>1</v>
      </c>
      <c r="B11" s="327">
        <v>54680</v>
      </c>
      <c r="C11" s="328" t="s">
        <v>1321</v>
      </c>
      <c r="D11" s="326" t="s">
        <v>629</v>
      </c>
      <c r="E11" s="326">
        <v>51</v>
      </c>
      <c r="F11" s="329">
        <v>30</v>
      </c>
      <c r="G11" s="327">
        <v>250</v>
      </c>
      <c r="H11" s="250">
        <v>38.31</v>
      </c>
      <c r="I11" s="251">
        <f xml:space="preserve"> tabAssinaturas[[#This Row],[COMPRA]] * tabAssinaturas[[#This Row],[VALOR UNIT.]]</f>
        <v>9577.5</v>
      </c>
      <c r="J11" s="330" t="s">
        <v>1196</v>
      </c>
      <c r="K11" s="331">
        <v>5500</v>
      </c>
      <c r="L11" s="332">
        <v>45328</v>
      </c>
      <c r="M11" s="333" t="s">
        <v>1322</v>
      </c>
      <c r="N11" s="334" t="s">
        <v>883</v>
      </c>
      <c r="O11" s="334"/>
      <c r="P11" s="334"/>
      <c r="Q11" s="334"/>
      <c r="R11" s="335">
        <f>SUMIF(tabItens[CÓDIGO],tabAssinaturas[[#This Row],[CÓDIGO]],tabItens[Recentes])</f>
        <v>0</v>
      </c>
      <c r="S11" s="336">
        <v>44616</v>
      </c>
      <c r="T11" s="337" t="s">
        <v>2224</v>
      </c>
      <c r="U11" s="338">
        <v>45251.932384259257</v>
      </c>
      <c r="V11" s="339"/>
      <c r="W11" s="340"/>
      <c r="X11" s="340"/>
      <c r="Y11" s="341" t="s">
        <v>882</v>
      </c>
      <c r="Z11" s="342" t="s">
        <v>2223</v>
      </c>
    </row>
    <row r="12" spans="1:26" x14ac:dyDescent="0.3">
      <c r="A12" s="343">
        <v>2</v>
      </c>
      <c r="B12" s="344">
        <v>12652</v>
      </c>
      <c r="C12" s="345" t="s">
        <v>943</v>
      </c>
      <c r="D12" s="343" t="s">
        <v>268</v>
      </c>
      <c r="E12" s="343">
        <v>52</v>
      </c>
      <c r="F12" s="346">
        <v>6</v>
      </c>
      <c r="G12" s="347">
        <v>2500</v>
      </c>
      <c r="H12" s="275">
        <v>1.82</v>
      </c>
      <c r="I12" s="276">
        <f xml:space="preserve"> tabAssinaturas[[#This Row],[COMPRA]] * tabAssinaturas[[#This Row],[VALOR UNIT.]]</f>
        <v>4550</v>
      </c>
      <c r="J12" s="348" t="s">
        <v>946</v>
      </c>
      <c r="K12" s="349">
        <v>66000</v>
      </c>
      <c r="L12" s="350">
        <v>45454</v>
      </c>
      <c r="M12" s="351" t="s">
        <v>906</v>
      </c>
      <c r="N12" s="352" t="s">
        <v>883</v>
      </c>
      <c r="O12" s="352">
        <v>1000</v>
      </c>
      <c r="P12" s="352"/>
      <c r="Q12" s="352"/>
      <c r="R12" s="353">
        <f>SUMIF(tabItens[CÓDIGO],tabAssinaturas[[#This Row],[CÓDIGO]],tabItens[Recentes])</f>
        <v>0</v>
      </c>
      <c r="S12" s="354">
        <v>44852</v>
      </c>
      <c r="T12" s="355" t="s">
        <v>2224</v>
      </c>
      <c r="U12" s="356">
        <v>45251.932384259257</v>
      </c>
      <c r="V12" s="357"/>
      <c r="W12" s="358"/>
      <c r="X12" s="359"/>
      <c r="Y12" s="360" t="s">
        <v>882</v>
      </c>
      <c r="Z12" s="361" t="s">
        <v>2225</v>
      </c>
    </row>
    <row r="13" spans="1:26" x14ac:dyDescent="0.3">
      <c r="A13" s="343">
        <v>3</v>
      </c>
      <c r="B13" s="344">
        <v>10412</v>
      </c>
      <c r="C13" s="345" t="s">
        <v>904</v>
      </c>
      <c r="D13" s="343" t="s">
        <v>400</v>
      </c>
      <c r="E13" s="343">
        <v>71</v>
      </c>
      <c r="F13" s="346">
        <v>24</v>
      </c>
      <c r="G13" s="347">
        <v>400</v>
      </c>
      <c r="H13" s="275">
        <v>13.5</v>
      </c>
      <c r="I13" s="276">
        <f xml:space="preserve"> tabAssinaturas[[#This Row],[COMPRA]] * tabAssinaturas[[#This Row],[VALOR UNIT.]]</f>
        <v>5400</v>
      </c>
      <c r="J13" s="348" t="s">
        <v>908</v>
      </c>
      <c r="K13" s="349">
        <v>9184</v>
      </c>
      <c r="L13" s="350">
        <v>45489</v>
      </c>
      <c r="M13" s="351" t="s">
        <v>906</v>
      </c>
      <c r="N13" s="352" t="s">
        <v>883</v>
      </c>
      <c r="O13" s="352"/>
      <c r="P13" s="352"/>
      <c r="Q13" s="352"/>
      <c r="R13" s="353">
        <f>SUMIF(tabItens[CÓDIGO],tabAssinaturas[[#This Row],[CÓDIGO]],tabItens[Recentes])</f>
        <v>0</v>
      </c>
      <c r="S13" s="354">
        <v>45110</v>
      </c>
      <c r="T13" s="355" t="s">
        <v>2224</v>
      </c>
      <c r="U13" s="356">
        <v>45251.932384259257</v>
      </c>
      <c r="V13" s="357"/>
      <c r="W13" s="358"/>
      <c r="X13" s="359"/>
      <c r="Y13" s="360" t="s">
        <v>882</v>
      </c>
      <c r="Z13" s="361" t="s">
        <v>2225</v>
      </c>
    </row>
    <row r="14" spans="1:26" x14ac:dyDescent="0.3">
      <c r="A14" t="s">
        <v>2064</v>
      </c>
      <c r="H14" s="56" t="s">
        <v>13</v>
      </c>
      <c r="I14" s="362">
        <f>SUM(I9:I13)</f>
        <v>19527.5</v>
      </c>
    </row>
  </sheetData>
  <sortState xmlns:xlrd2="http://schemas.microsoft.com/office/spreadsheetml/2017/richdata2" ref="A11:Z13">
    <sortCondition ref="A10:A13"/>
  </sortState>
  <dataConsolidate/>
  <mergeCells count="5">
    <mergeCell ref="A7:Z9"/>
    <mergeCell ref="A1:Z1"/>
    <mergeCell ref="A2:Z2"/>
    <mergeCell ref="A3:Z3"/>
    <mergeCell ref="A4:Z4"/>
  </mergeCells>
  <conditionalFormatting sqref="B10:B1048576">
    <cfRule type="duplicateValues" dxfId="27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26</xdr:col>
                <xdr:colOff>396240</xdr:colOff>
                <xdr:row>0</xdr:row>
                <xdr:rowOff>38100</xdr:rowOff>
              </from>
              <to>
                <xdr:col>29</xdr:col>
                <xdr:colOff>342900</xdr:colOff>
                <xdr:row>1</xdr:row>
                <xdr:rowOff>152400</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11</xdr:col>
                <xdr:colOff>464820</xdr:colOff>
                <xdr:row>3</xdr:row>
                <xdr:rowOff>83820</xdr:rowOff>
              </from>
              <to>
                <xdr:col>24</xdr:col>
                <xdr:colOff>297180</xdr:colOff>
                <xdr:row>4</xdr:row>
                <xdr:rowOff>198120</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350520</xdr:colOff>
                <xdr:row>3</xdr:row>
                <xdr:rowOff>83820</xdr:rowOff>
              </from>
              <to>
                <xdr:col>26</xdr:col>
                <xdr:colOff>365760</xdr:colOff>
                <xdr:row>4</xdr:row>
                <xdr:rowOff>198120</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11</xdr:col>
                <xdr:colOff>464820</xdr:colOff>
                <xdr:row>1</xdr:row>
                <xdr:rowOff>175260</xdr:rowOff>
              </from>
              <to>
                <xdr:col>24</xdr:col>
                <xdr:colOff>297180</xdr:colOff>
                <xdr:row>3</xdr:row>
                <xdr:rowOff>60960</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350520</xdr:colOff>
                <xdr:row>1</xdr:row>
                <xdr:rowOff>175260</xdr:rowOff>
              </from>
              <to>
                <xdr:col>26</xdr:col>
                <xdr:colOff>365760</xdr:colOff>
                <xdr:row>3</xdr:row>
                <xdr:rowOff>60960</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11</xdr:col>
                <xdr:colOff>464820</xdr:colOff>
                <xdr:row>0</xdr:row>
                <xdr:rowOff>38100</xdr:rowOff>
              </from>
              <to>
                <xdr:col>24</xdr:col>
                <xdr:colOff>297180</xdr:colOff>
                <xdr:row>1</xdr:row>
                <xdr:rowOff>152400</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350520</xdr:colOff>
                <xdr:row>0</xdr:row>
                <xdr:rowOff>38100</xdr:rowOff>
              </from>
              <to>
                <xdr:col>26</xdr:col>
                <xdr:colOff>365760</xdr:colOff>
                <xdr:row>1</xdr:row>
                <xdr:rowOff>152400</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26</xdr:col>
                <xdr:colOff>396240</xdr:colOff>
                <xdr:row>3</xdr:row>
                <xdr:rowOff>83820</xdr:rowOff>
              </from>
              <to>
                <xdr:col>29</xdr:col>
                <xdr:colOff>342900</xdr:colOff>
                <xdr:row>4</xdr:row>
                <xdr:rowOff>198120</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26</xdr:col>
                <xdr:colOff>396240</xdr:colOff>
                <xdr:row>1</xdr:row>
                <xdr:rowOff>175260</xdr:rowOff>
              </from>
              <to>
                <xdr:col>29</xdr:col>
                <xdr:colOff>342900</xdr:colOff>
                <xdr:row>3</xdr:row>
                <xdr:rowOff>60960</xdr:rowOff>
              </to>
            </anchor>
          </controlPr>
        </control>
      </mc:Choice>
      <mc:Fallback>
        <control shapeId="798821" r:id="rId20" name="btn_Assinaturas_Exportar"/>
      </mc:Fallback>
    </mc:AlternateContent>
  </controls>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A2" sqref="A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48</v>
      </c>
      <c r="B1" s="96" t="s">
        <v>74</v>
      </c>
      <c r="C1" s="14" t="s">
        <v>75</v>
      </c>
      <c r="D1" s="14" t="s">
        <v>76</v>
      </c>
    </row>
    <row r="2" spans="1:4" x14ac:dyDescent="0.3">
      <c r="A2" s="272"/>
      <c r="B2" s="273"/>
      <c r="C2" s="248">
        <f>IF(ISBLANK(tabRCsGeradas[[#This Row],[RC]]),0,SUMIF(tabAssinaturas[RC],tabRCsGeradas[[#This Row],[RC]],tabAssinaturas[VALOR TOTAL]))</f>
        <v>0</v>
      </c>
      <c r="D2" s="249"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24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5"/>
  <sheetViews>
    <sheetView tabSelected="1" zoomScale="85" zoomScaleNormal="85" workbookViewId="0">
      <pane xSplit="2" ySplit="3" topLeftCell="C4" activePane="bottomRight" state="frozen"/>
      <selection pane="topRight" activeCell="C1" sqref="C1"/>
      <selection pane="bottomLeft" activeCell="A2" sqref="A2"/>
      <selection pane="bottomRight" activeCell="A4" sqref="A4"/>
    </sheetView>
  </sheetViews>
  <sheetFormatPr defaultColWidth="9.109375" defaultRowHeight="14.4" x14ac:dyDescent="0.3"/>
  <cols>
    <col min="1" max="1" width="10.6640625" style="2" customWidth="1"/>
    <col min="2" max="2" width="72.6640625" style="4" customWidth="1"/>
    <col min="3" max="3" width="3.6640625" style="3" customWidth="1"/>
    <col min="4" max="4" width="13.6640625" customWidth="1"/>
    <col min="5" max="5" width="11.44140625" style="4" hidden="1" customWidth="1"/>
    <col min="6" max="6" width="8.6640625" style="4" customWidth="1"/>
    <col min="7" max="7" width="11.6640625" style="4" customWidth="1"/>
    <col min="8" max="8" width="8.6640625" style="10" customWidth="1"/>
    <col min="9" max="9" width="2.6640625" hidden="1" customWidth="1"/>
    <col min="10" max="10" width="10.6640625" style="55" hidden="1" customWidth="1"/>
    <col min="11" max="12" width="8.6640625" customWidth="1"/>
    <col min="13" max="13" width="10.6640625" customWidth="1"/>
    <col min="14" max="14" width="13.6640625" style="67" customWidth="1"/>
    <col min="15" max="16" width="8.6640625" customWidth="1"/>
    <col min="17" max="17" width="9.6640625" style="19" customWidth="1"/>
    <col min="18" max="18" width="14.6640625" style="10" hidden="1" customWidth="1"/>
    <col min="19" max="19" width="12.6640625" style="31" customWidth="1"/>
    <col min="20" max="20" width="4.44140625" style="31" customWidth="1"/>
    <col min="21" max="21" width="7.6640625" style="31" hidden="1" customWidth="1"/>
    <col min="22" max="22" width="3.6640625" style="4" hidden="1" customWidth="1"/>
    <col min="23" max="23" width="6.109375" style="4" customWidth="1"/>
    <col min="24" max="24" width="6.6640625" style="10" customWidth="1"/>
    <col min="25" max="25" width="6.6640625" customWidth="1"/>
    <col min="26" max="26" width="7.6640625" style="16" customWidth="1"/>
    <col min="27" max="27" width="5.6640625" style="20" customWidth="1"/>
    <col min="28" max="28" width="8.6640625" style="17" customWidth="1"/>
    <col min="29" max="29" width="7.6640625" style="22" customWidth="1"/>
    <col min="30" max="30" width="5.6640625" style="9" customWidth="1"/>
    <col min="31" max="31" width="8.6640625" style="13" customWidth="1"/>
    <col min="32" max="32" width="8.6640625" style="172" hidden="1" customWidth="1"/>
    <col min="33" max="33" width="10.6640625" style="13" customWidth="1"/>
    <col min="34" max="34" width="12.6640625" style="13" customWidth="1"/>
    <col min="35" max="35" width="10.6640625" style="9" hidden="1" customWidth="1"/>
    <col min="36" max="36" width="12.6640625" style="32" customWidth="1"/>
    <col min="37" max="38" width="12.6640625" style="32" hidden="1" customWidth="1"/>
    <col min="39" max="39" width="3.6640625" style="73" hidden="1" customWidth="1"/>
    <col min="40" max="40" width="4.6640625" style="3" hidden="1" customWidth="1"/>
    <col min="41" max="41" width="6.6640625" style="74" hidden="1" customWidth="1"/>
    <col min="42" max="42" width="8.6640625" style="72" customWidth="1"/>
    <col min="43" max="43" width="8.6640625" style="56" hidden="1" customWidth="1"/>
    <col min="44" max="44" width="10.6640625" style="56" hidden="1" customWidth="1"/>
    <col min="45" max="46" width="9.6640625" style="75" hidden="1" customWidth="1"/>
    <col min="47" max="48" width="7.6640625" style="76" hidden="1" customWidth="1"/>
    <col min="49" max="50" width="8.6640625" style="76" customWidth="1"/>
    <col min="51" max="53" width="8.6640625" style="24" customWidth="1"/>
    <col min="54" max="54" width="6.6640625" style="24" customWidth="1"/>
    <col min="55" max="55" width="4.6640625" style="44" hidden="1" customWidth="1"/>
    <col min="56" max="56" width="4.6640625" customWidth="1"/>
    <col min="57" max="57" width="8.6640625" customWidth="1"/>
    <col min="58" max="58" width="12.6640625" customWidth="1"/>
    <col min="59" max="59" width="6.109375" hidden="1" customWidth="1"/>
    <col min="60" max="61" width="8.88671875" hidden="1" customWidth="1"/>
    <col min="62" max="62" width="15.6640625" bestFit="1" customWidth="1"/>
    <col min="63" max="63" width="2.6640625" customWidth="1"/>
  </cols>
  <sheetData>
    <row r="1" spans="1:63" ht="50.25" customHeight="1" x14ac:dyDescent="0.3">
      <c r="A1" s="379"/>
      <c r="B1" s="379"/>
      <c r="D1" s="95">
        <v>45140.583807870367</v>
      </c>
      <c r="E1" s="3"/>
      <c r="F1" s="27"/>
      <c r="G1" s="3"/>
      <c r="H1" s="30" t="s">
        <v>37</v>
      </c>
      <c r="M1" s="28"/>
      <c r="AC1" s="21"/>
      <c r="AD1" s="12"/>
      <c r="AE1" s="11"/>
      <c r="AG1" s="11"/>
      <c r="AH1" s="11"/>
      <c r="AM1" s="37"/>
      <c r="AO1" s="3"/>
      <c r="AP1" s="35">
        <v>4</v>
      </c>
      <c r="AS1" s="40"/>
      <c r="AT1" s="40"/>
      <c r="AV1" s="36">
        <v>47</v>
      </c>
      <c r="AW1" s="36"/>
      <c r="AX1" s="36"/>
      <c r="AY1" s="8"/>
      <c r="AZ1" s="8"/>
      <c r="BA1" s="8"/>
      <c r="BB1" s="8"/>
      <c r="BD1" s="8"/>
      <c r="BE1" s="83">
        <v>3</v>
      </c>
    </row>
    <row r="2" spans="1:63" ht="50.25" customHeight="1" x14ac:dyDescent="0.7">
      <c r="A2" s="379"/>
      <c r="B2" s="379"/>
      <c r="D2" s="3"/>
      <c r="E2" s="3"/>
      <c r="F2" s="27"/>
      <c r="G2" s="3"/>
      <c r="H2" s="45" t="s">
        <v>2233</v>
      </c>
      <c r="AI2"/>
      <c r="AM2" s="37"/>
      <c r="AO2" s="34">
        <f>COUNTIF(AO4:AO945,"=sim")</f>
        <v>41</v>
      </c>
      <c r="AP2" s="35">
        <v>8</v>
      </c>
      <c r="AS2" s="40"/>
      <c r="AT2" s="40"/>
      <c r="AV2" s="35">
        <v>12</v>
      </c>
      <c r="AW2" s="40"/>
      <c r="AX2" s="40"/>
      <c r="AY2" s="8"/>
      <c r="AZ2" s="46">
        <v>0</v>
      </c>
      <c r="BA2" s="8"/>
      <c r="BB2" s="83">
        <v>1</v>
      </c>
      <c r="BD2" s="8"/>
      <c r="BE2" s="83">
        <v>6</v>
      </c>
    </row>
    <row r="3" spans="1:63" x14ac:dyDescent="0.3">
      <c r="A3" s="144" t="s">
        <v>0</v>
      </c>
      <c r="B3" s="145" t="s">
        <v>1</v>
      </c>
      <c r="C3" s="146" t="s">
        <v>2</v>
      </c>
      <c r="D3" s="147" t="s">
        <v>3</v>
      </c>
      <c r="E3" s="145" t="s">
        <v>4</v>
      </c>
      <c r="F3" s="145" t="s">
        <v>5</v>
      </c>
      <c r="G3" s="145" t="s">
        <v>6</v>
      </c>
      <c r="H3" s="148" t="s">
        <v>7</v>
      </c>
      <c r="I3" s="149" t="s">
        <v>8</v>
      </c>
      <c r="J3" s="150" t="s">
        <v>9</v>
      </c>
      <c r="K3" s="148" t="s">
        <v>10</v>
      </c>
      <c r="L3" s="151" t="s">
        <v>11</v>
      </c>
      <c r="M3" s="152" t="s">
        <v>12</v>
      </c>
      <c r="N3" s="153" t="s">
        <v>13</v>
      </c>
      <c r="O3" s="154" t="s">
        <v>14</v>
      </c>
      <c r="P3" s="154" t="s">
        <v>113</v>
      </c>
      <c r="Q3" s="155" t="s">
        <v>15</v>
      </c>
      <c r="R3" s="156" t="s">
        <v>16</v>
      </c>
      <c r="S3" s="157" t="s">
        <v>17</v>
      </c>
      <c r="T3" s="171" t="s">
        <v>111</v>
      </c>
      <c r="U3" s="158" t="s">
        <v>18</v>
      </c>
      <c r="V3" s="145" t="s">
        <v>19</v>
      </c>
      <c r="W3" s="264" t="s">
        <v>124</v>
      </c>
      <c r="X3" s="265" t="s">
        <v>20</v>
      </c>
      <c r="Y3" s="264" t="s">
        <v>21</v>
      </c>
      <c r="Z3" s="160" t="s">
        <v>22</v>
      </c>
      <c r="AA3" s="161" t="s">
        <v>112</v>
      </c>
      <c r="AB3" s="162" t="s">
        <v>23</v>
      </c>
      <c r="AC3" s="155" t="s">
        <v>24</v>
      </c>
      <c r="AD3" s="155" t="s">
        <v>25</v>
      </c>
      <c r="AE3" s="163" t="s">
        <v>26</v>
      </c>
      <c r="AF3" s="164" t="s">
        <v>27</v>
      </c>
      <c r="AG3" s="168" t="s">
        <v>92</v>
      </c>
      <c r="AH3" s="161" t="s">
        <v>93</v>
      </c>
      <c r="AI3" s="155" t="s">
        <v>28</v>
      </c>
      <c r="AJ3" s="155" t="s">
        <v>29</v>
      </c>
      <c r="AK3" s="157" t="s">
        <v>38</v>
      </c>
      <c r="AL3" s="157" t="s">
        <v>39</v>
      </c>
      <c r="AM3" s="157" t="s">
        <v>40</v>
      </c>
      <c r="AN3" s="145" t="s">
        <v>41</v>
      </c>
      <c r="AO3" s="165" t="s">
        <v>30</v>
      </c>
      <c r="AP3" s="166" t="s">
        <v>33</v>
      </c>
      <c r="AQ3" s="155" t="s">
        <v>54</v>
      </c>
      <c r="AR3" s="167" t="s">
        <v>52</v>
      </c>
      <c r="AS3" s="167" t="s">
        <v>104</v>
      </c>
      <c r="AT3" s="168" t="s">
        <v>55</v>
      </c>
      <c r="AU3" s="168" t="s">
        <v>108</v>
      </c>
      <c r="AV3" s="168" t="s">
        <v>32</v>
      </c>
      <c r="AW3" s="169" t="s">
        <v>71</v>
      </c>
      <c r="AX3" s="148" t="s">
        <v>80</v>
      </c>
      <c r="AY3" s="148" t="s">
        <v>79</v>
      </c>
      <c r="AZ3" s="148" t="s">
        <v>35</v>
      </c>
      <c r="BA3" s="168" t="s">
        <v>72</v>
      </c>
      <c r="BB3" s="168" t="s">
        <v>82</v>
      </c>
      <c r="BC3" s="152" t="s">
        <v>97</v>
      </c>
      <c r="BD3" s="159" t="s">
        <v>36</v>
      </c>
      <c r="BE3" s="168" t="s">
        <v>60</v>
      </c>
      <c r="BF3" s="168" t="s">
        <v>61</v>
      </c>
      <c r="BG3" s="168" t="s">
        <v>105</v>
      </c>
      <c r="BH3" s="170" t="s">
        <v>107</v>
      </c>
      <c r="BI3" s="168" t="s">
        <v>106</v>
      </c>
      <c r="BJ3" s="168" t="s">
        <v>116</v>
      </c>
      <c r="BK3" s="146" t="s">
        <v>56</v>
      </c>
    </row>
    <row r="4" spans="1:63" ht="15" customHeight="1" x14ac:dyDescent="0.3">
      <c r="A4" s="277">
        <v>17115</v>
      </c>
      <c r="B4" s="278" t="s">
        <v>1119</v>
      </c>
      <c r="C4" s="398" t="s">
        <v>268</v>
      </c>
      <c r="D4" s="399">
        <v>0.9</v>
      </c>
      <c r="E4" s="290" t="s">
        <v>1120</v>
      </c>
      <c r="F4" s="400" t="s">
        <v>1121</v>
      </c>
      <c r="G4" s="400" t="s">
        <v>952</v>
      </c>
      <c r="H4" s="401">
        <v>0</v>
      </c>
      <c r="I4" s="292">
        <v>103003</v>
      </c>
      <c r="J4" s="293">
        <v>0.9</v>
      </c>
      <c r="K4" s="402">
        <v>4498</v>
      </c>
      <c r="L4" s="403">
        <f>IF(tabItens[[#This Row],[Média]] &gt; 0, tabItens[[#This Row],[QTDE ATUAL]] / tabItens[[#This Row],[Média]],999.9)</f>
        <v>0</v>
      </c>
      <c r="M4" s="279">
        <v>0</v>
      </c>
      <c r="N4" s="405">
        <f>tabItens[[#This Row],[VALOR UNIT.]] * tabItens[[#This Row],[LC]]</f>
        <v>0</v>
      </c>
      <c r="O4" s="406" t="s">
        <v>953</v>
      </c>
      <c r="P4" s="407">
        <v>0</v>
      </c>
      <c r="Q4" s="280">
        <v>3594</v>
      </c>
      <c r="R4" s="297">
        <v>3240</v>
      </c>
      <c r="S4" s="409">
        <v>45189</v>
      </c>
      <c r="T4" s="410">
        <f>ROUNDDOWN(IFERROR(tabItens[[#This Row],[ATA DT.VALID.]] - $D$1,0) / 30,0)</f>
        <v>1</v>
      </c>
      <c r="U4" s="287" t="s">
        <v>1122</v>
      </c>
      <c r="V4" s="303">
        <v>1</v>
      </c>
      <c r="W4" s="411" t="s">
        <v>2051</v>
      </c>
      <c r="X4" s="412">
        <v>79</v>
      </c>
      <c r="Y4" s="413">
        <v>1</v>
      </c>
      <c r="Z4" s="414"/>
      <c r="AA4" s="415"/>
      <c r="AB4" s="416"/>
      <c r="AC4" s="416">
        <v>4567</v>
      </c>
      <c r="AD4" s="415">
        <v>2023</v>
      </c>
      <c r="AE4" s="416">
        <v>0</v>
      </c>
      <c r="AF4" s="302">
        <v>4000</v>
      </c>
      <c r="AG4" s="417" t="s">
        <v>2038</v>
      </c>
      <c r="AH4" s="418">
        <v>45070</v>
      </c>
      <c r="AI4" s="302">
        <v>2182</v>
      </c>
      <c r="AJ4" s="281">
        <v>44998</v>
      </c>
      <c r="AK4" s="311" t="s">
        <v>883</v>
      </c>
      <c r="AL4" s="311">
        <v>45036</v>
      </c>
      <c r="AM4" s="301"/>
      <c r="AN4" s="290"/>
      <c r="AO4" s="312" t="str">
        <f>_xlfn.IFNA(IF(VLOOKUP(tabItens[[#This Row],[CÓDIGO]],tabExcluirDoEstoque[#Data],1,FALSE),"sim",""),"")</f>
        <v/>
      </c>
      <c r="AP4" s="419">
        <f ca="1">IF(OR(ISBLANK(tabItens[[#This Row],[ATA DT.VALID.]]),tabItens[[#This Row],[ATA DT.VALID.]]="",tabItens[[#This Row],[ATA DT.VALID.]]=" "),"",IF(TYPE(tabItens[[#This Row],[ATA DT.VALID.]])=1,ROUNDUP((tabItens[[#This Row],[ATA DT.VALID.]]-TODAY())/7,0),""))</f>
        <v>-10</v>
      </c>
      <c r="AQ4" s="282">
        <v>0</v>
      </c>
      <c r="AR4" s="315" t="str">
        <f>IF(ISBLANK(tabItens[[#This Row],[CÓDIGO]]),"",IFERROR(VLOOKUP(tabItens[[#This Row],[CÓDIGO]],Consumo!$C$2:$AC$869,26,FALSE),0))</f>
        <v>07.2023</v>
      </c>
      <c r="AS4" s="316">
        <f>SUMIF(Consumo!$C$3:$C$869,tabItens[[#This Row],[CÓDIGO]],Consumo!$N$3:$N$869) + SUMIF(Consumo!$C$3:$C$869,tabItens[[#This Row],[CÓDIGO]],Consumo!$O$3:$O$869) + SUMIF(Consumo!$C$3:$C$869,tabItens[[#This Row],[CÓDIGO]],Consumo!$P$3:$P$869) + SUMIF(Consumo!$C$3:$C$869,tabItens[[#This Row],[CÓDIGO]],Consumo!$Q$3:$Q$869)</f>
        <v>2661</v>
      </c>
      <c r="AT4" s="316">
        <f>SUMIF(Consumo!$C$3:$C$869,tabItens[[#This Row],[CÓDIGO]],Consumo!$Z$3:$Z$869)</f>
        <v>7173</v>
      </c>
      <c r="AU4" s="317">
        <f>SUMIF(Consumo!$C$3:$C$869,tabItens[[#This Row],[CÓDIGO]],Consumo!$AA$3:$AA$869)</f>
        <v>1118</v>
      </c>
      <c r="AV4" s="318">
        <f>SUMIF(Consumo!$C$3:$C$869,tabItens[[#This Row],[CÓDIGO]],Consumo!$Y$3:$Y$869)</f>
        <v>597.75</v>
      </c>
      <c r="AW4" s="401">
        <f>tabItens[[#This Row],[QTDE ATUAL]] + tabItens[[#This Row],[RC QTDE]] + tabItens[[#This Row],[AF SALDO]] + tabItens[[#This Row],[Recentes]]</f>
        <v>0</v>
      </c>
      <c r="AX4" s="283">
        <v>649</v>
      </c>
      <c r="AY4" s="420">
        <v>4</v>
      </c>
      <c r="AZ4" s="420">
        <f>IF(ISBLANK(tabItens[[#This Row],[CÓDIGO]]),"",tabItens[[#This Row],[PontoMês]] * (AZ$2+tabItens[[#This Row],[PontoQtM]]))</f>
        <v>2596</v>
      </c>
      <c r="BA4" s="421">
        <f>tabItens[[#This Row],[PontoPed]] - tabItens[[#This Row],[Saldo]] + (1/10)</f>
        <v>2596.1</v>
      </c>
      <c r="BB4" s="421">
        <f xml:space="preserve"> tabItens[[#This Row],[PontoMês]] * BB$2 - tabItens[[#This Row],[QTDE ATUAL]] - (1/10)</f>
        <v>648.9</v>
      </c>
      <c r="BC4" s="320">
        <f>IF( tabItens[[#This Row],[PontoPed]]&gt;0, IF(tabItens[[#This Row],[PontoPed]]&lt;1, 1, IF( tabItens[[#This Row],[Saldo]]&gt;tabItens[[#This Row],[PontoPed]], 0, (tabItens[[#This Row],[PontoPed]]-tabItens[[#This Row],[Saldo]])/tabItens[[#This Row],[PontoPed]] ) ), 0 )</f>
        <v>1</v>
      </c>
      <c r="BD4" s="422">
        <f>ROUNDDOWN(IF( OR( AND(tabItens[[#This Row],[PontoPed]]&lt;tabItens[[#This Row],[Saldo]],tabItens[[#This Row],[Saldo]]&gt;0), tabItens[[#This Row],[PontoPed]]=0), 99, IF(AND(tabItens[[#This Row],[Saldo]]=0,tabItens[[#This Row],[PontoPed]]&gt;0), 0, (1-tabItens[[#This Row],[PctAb]])*10 ) ),0)</f>
        <v>0</v>
      </c>
      <c r="BE4" s="284">
        <f>MAX(ROUNDDOWN( IF(tabItens[[#This Row],[Abaixo]] &gt; 0,   tabItens[[#This Row],[Abaixo]] + (tabItens[[#This Row],[PontoMês]] * IF( OR( ISBLANK(tabItens[[#This Row],[ATA Nº/ANO]]), tabItens[[#This Row],[ATA Nº/ANO]] = ""),BE$2,BE$1)),0),0),0)</f>
        <v>4543</v>
      </c>
      <c r="BF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 s="323">
        <f>SUMIF(Consumo!$C$3:$C$869,tabItens[[#This Row],[CÓDIGO]],Consumo!$E$3:$E$869)</f>
        <v>629</v>
      </c>
      <c r="BH4" s="324">
        <f>IF(AND(tabItens[[#This Row],[Pend]] &gt; 0,tabItens[[#This Row],[Consumo]] &lt;&gt; 0), tabItens[[#This Row],[Pend]] / tabItens[[#This Row],[Consumo]], 0 )</f>
        <v>8.7689948417677396E-2</v>
      </c>
      <c r="BI4" s="323"/>
      <c r="BJ4" s="285"/>
      <c r="BK4" s="425" t="s">
        <v>2064</v>
      </c>
    </row>
    <row r="5" spans="1:63" hidden="1" x14ac:dyDescent="0.3">
      <c r="A5" s="286">
        <v>54680</v>
      </c>
      <c r="B5" s="287" t="s">
        <v>1321</v>
      </c>
      <c r="C5" s="288" t="s">
        <v>629</v>
      </c>
      <c r="D5" s="289">
        <v>38.31</v>
      </c>
      <c r="E5" s="290"/>
      <c r="F5" s="290" t="s">
        <v>1322</v>
      </c>
      <c r="G5" s="290" t="s">
        <v>1195</v>
      </c>
      <c r="H5" s="291"/>
      <c r="I5" s="292">
        <v>103003</v>
      </c>
      <c r="J5" s="293">
        <v>53.8</v>
      </c>
      <c r="K5" s="294">
        <v>151</v>
      </c>
      <c r="L5" s="295">
        <f>IF(tabItens[[#This Row],[Média]] &gt; 0, tabItens[[#This Row],[QTDE ATUAL]] / tabItens[[#This Row],[Média]],999.9)</f>
        <v>0</v>
      </c>
      <c r="M5" s="296">
        <v>250</v>
      </c>
      <c r="N5" s="297">
        <f>tabItens[[#This Row],[VALOR UNIT.]] * tabItens[[#This Row],[LC]]</f>
        <v>9577.5</v>
      </c>
      <c r="O5" s="298" t="s">
        <v>1196</v>
      </c>
      <c r="P5" s="299">
        <v>0</v>
      </c>
      <c r="Q5" s="300">
        <v>5500</v>
      </c>
      <c r="R5" s="297">
        <v>210705</v>
      </c>
      <c r="S5" s="301">
        <v>45328</v>
      </c>
      <c r="T5" s="302">
        <f>ROUNDDOWN(IFERROR(tabItens[[#This Row],[ATA DT.VALID.]] - $D$1,0) / 30,0)</f>
        <v>6</v>
      </c>
      <c r="U5" s="287" t="s">
        <v>1323</v>
      </c>
      <c r="V5" s="303">
        <v>1</v>
      </c>
      <c r="W5" s="304" t="s">
        <v>2049</v>
      </c>
      <c r="X5" s="305">
        <v>51</v>
      </c>
      <c r="Y5" s="306">
        <v>30</v>
      </c>
      <c r="Z5" s="307"/>
      <c r="AA5" s="308"/>
      <c r="AB5" s="309"/>
      <c r="AC5" s="309"/>
      <c r="AD5" s="308"/>
      <c r="AE5" s="309"/>
      <c r="AF5" s="302"/>
      <c r="AG5" s="310" t="s">
        <v>2050</v>
      </c>
      <c r="AH5" s="311"/>
      <c r="AI5" s="302">
        <v>50</v>
      </c>
      <c r="AJ5" s="311">
        <v>44616</v>
      </c>
      <c r="AK5" s="311" t="s">
        <v>883</v>
      </c>
      <c r="AL5" s="311">
        <v>44544</v>
      </c>
      <c r="AM5" s="301"/>
      <c r="AN5" s="290"/>
      <c r="AO5" s="312" t="str">
        <f>_xlfn.IFNA(IF(VLOOKUP(tabItens[[#This Row],[CÓDIGO]],tabExcluirDoEstoque[#Data],1,FALSE),"sim",""),"")</f>
        <v/>
      </c>
      <c r="AP5" s="313">
        <f ca="1">IF(OR(ISBLANK(tabItens[[#This Row],[ATA DT.VALID.]]),tabItens[[#This Row],[ATA DT.VALID.]]="",tabItens[[#This Row],[ATA DT.VALID.]]=" "),"",IF(TYPE(tabItens[[#This Row],[ATA DT.VALID.]])=1,ROUNDUP((tabItens[[#This Row],[ATA DT.VALID.]]-TODAY())/7,0),""))</f>
        <v>11</v>
      </c>
      <c r="AQ5" s="314">
        <v>0</v>
      </c>
      <c r="AR5" s="315" t="str">
        <f>IF(ISBLANK(tabItens[[#This Row],[CÓDIGO]]),"",IFERROR(VLOOKUP(tabItens[[#This Row],[CÓDIGO]],Consumo!$C$2:$AC$869,26,FALSE),0))</f>
        <v>06.2023</v>
      </c>
      <c r="AS5" s="316">
        <f>SUMIF(Consumo!$C$3:$C$869,tabItens[[#This Row],[CÓDIGO]],Consumo!$N$3:$N$869) + SUMIF(Consumo!$C$3:$C$869,tabItens[[#This Row],[CÓDIGO]],Consumo!$O$3:$O$869) + SUMIF(Consumo!$C$3:$C$869,tabItens[[#This Row],[CÓDIGO]],Consumo!$P$3:$P$869) + SUMIF(Consumo!$C$3:$C$869,tabItens[[#This Row],[CÓDIGO]],Consumo!$Q$3:$Q$869)</f>
        <v>40</v>
      </c>
      <c r="AT5" s="316">
        <f>SUMIF(Consumo!$C$3:$C$869,tabItens[[#This Row],[CÓDIGO]],Consumo!$Z$3:$Z$869)</f>
        <v>151</v>
      </c>
      <c r="AU5" s="317">
        <f>SUMIF(Consumo!$C$3:$C$869,tabItens[[#This Row],[CÓDIGO]],Consumo!$AA$3:$AA$869)</f>
        <v>70</v>
      </c>
      <c r="AV5" s="318">
        <f>SUMIF(Consumo!$C$3:$C$869,tabItens[[#This Row],[CÓDIGO]],Consumo!$Y$3:$Y$869)</f>
        <v>11.75</v>
      </c>
      <c r="AW5" s="291">
        <f>tabItens[[#This Row],[QTDE ATUAL]] + tabItens[[#This Row],[RC QTDE]] + tabItens[[#This Row],[AF SALDO]] + tabItens[[#This Row],[Recentes]]</f>
        <v>0</v>
      </c>
      <c r="AX5" s="319">
        <v>34</v>
      </c>
      <c r="AY5" s="319">
        <v>4</v>
      </c>
      <c r="AZ5" s="319">
        <f>IF(ISBLANK(tabItens[[#This Row],[CÓDIGO]]),"",tabItens[[#This Row],[PontoMês]] * (AZ$2+tabItens[[#This Row],[PontoQtM]]))</f>
        <v>136</v>
      </c>
      <c r="BA5" s="318">
        <f>tabItens[[#This Row],[PontoPed]] - tabItens[[#This Row],[Saldo]] + (1/10)</f>
        <v>136.1</v>
      </c>
      <c r="BB5" s="318">
        <f xml:space="preserve"> tabItens[[#This Row],[PontoMês]] * BB$2 - tabItens[[#This Row],[QTDE ATUAL]] - (1/10)</f>
        <v>33.9</v>
      </c>
      <c r="BC5" s="320">
        <f>IF( tabItens[[#This Row],[PontoPed]]&gt;0, IF(tabItens[[#This Row],[PontoPed]]&lt;1, 1, IF( tabItens[[#This Row],[Saldo]]&gt;tabItens[[#This Row],[PontoPed]], 0, (tabItens[[#This Row],[PontoPed]]-tabItens[[#This Row],[Saldo]])/tabItens[[#This Row],[PontoPed]] ) ), 0 )</f>
        <v>1</v>
      </c>
      <c r="BD5" s="321">
        <f>ROUNDDOWN(IF( OR( AND(tabItens[[#This Row],[PontoPed]]&lt;tabItens[[#This Row],[Saldo]],tabItens[[#This Row],[Saldo]]&gt;0), tabItens[[#This Row],[PontoPed]]=0), 99, IF(AND(tabItens[[#This Row],[Saldo]]=0,tabItens[[#This Row],[PontoPed]]&gt;0), 0, (1-tabItens[[#This Row],[PctAb]])*10 ) ),0)</f>
        <v>0</v>
      </c>
      <c r="BE5" s="322">
        <f>MAX(ROUNDDOWN( IF(tabItens[[#This Row],[Abaixo]] &gt; 0,   tabItens[[#This Row],[Abaixo]] + (tabItens[[#This Row],[PontoMês]] * IF( OR( ISBLANK(tabItens[[#This Row],[ATA Nº/ANO]]), tabItens[[#This Row],[ATA Nº/ANO]] = ""),BE$2,BE$1)),0),0),0)</f>
        <v>238</v>
      </c>
      <c r="BF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5" s="323">
        <f>SUMIF(Consumo!$C$3:$C$869,tabItens[[#This Row],[CÓDIGO]],Consumo!$E$3:$E$869)</f>
        <v>0</v>
      </c>
      <c r="BH5" s="324">
        <f>IF(AND(tabItens[[#This Row],[Pend]] &gt; 0,tabItens[[#This Row],[Consumo]] &lt;&gt; 0), tabItens[[#This Row],[Pend]] / tabItens[[#This Row],[Consumo]], 0 )</f>
        <v>0</v>
      </c>
      <c r="BI5" s="323"/>
      <c r="BJ5" s="323"/>
      <c r="BK5" s="325" t="s">
        <v>2064</v>
      </c>
    </row>
    <row r="6" spans="1:63" hidden="1" x14ac:dyDescent="0.3">
      <c r="A6" s="286">
        <v>14154</v>
      </c>
      <c r="B6" s="287" t="s">
        <v>1059</v>
      </c>
      <c r="C6" s="288" t="s">
        <v>256</v>
      </c>
      <c r="D6" s="289">
        <v>0.56000000000000005</v>
      </c>
      <c r="E6" s="290" t="s">
        <v>1060</v>
      </c>
      <c r="F6" s="290" t="s">
        <v>951</v>
      </c>
      <c r="G6" s="290" t="s">
        <v>890</v>
      </c>
      <c r="H6" s="291"/>
      <c r="I6" s="292">
        <v>103003</v>
      </c>
      <c r="J6" s="293">
        <v>0.56000000000000005</v>
      </c>
      <c r="K6" s="294">
        <v>8297</v>
      </c>
      <c r="L6" s="295">
        <f>IF(tabItens[[#This Row],[Média]] &gt; 0, tabItens[[#This Row],[QTDE ATUAL]] / tabItens[[#This Row],[Média]],999.9)</f>
        <v>0</v>
      </c>
      <c r="M6" s="296"/>
      <c r="N6" s="297">
        <f>tabItens[[#This Row],[VALOR UNIT.]] * tabItens[[#This Row],[LC]]</f>
        <v>0</v>
      </c>
      <c r="O6" s="298" t="s">
        <v>891</v>
      </c>
      <c r="P6" s="299">
        <v>0</v>
      </c>
      <c r="Q6" s="300">
        <v>27500</v>
      </c>
      <c r="R6" s="297">
        <v>15400</v>
      </c>
      <c r="S6" s="301">
        <v>45377</v>
      </c>
      <c r="T6" s="302">
        <f>ROUNDDOWN(IFERROR(tabItens[[#This Row],[ATA DT.VALID.]] - $D$1,0) / 30,0)</f>
        <v>7</v>
      </c>
      <c r="U6" s="287" t="s">
        <v>892</v>
      </c>
      <c r="V6" s="303">
        <v>1</v>
      </c>
      <c r="W6" s="304" t="s">
        <v>2051</v>
      </c>
      <c r="X6" s="305">
        <v>72</v>
      </c>
      <c r="Y6" s="306">
        <v>6</v>
      </c>
      <c r="Z6" s="307"/>
      <c r="AA6" s="308"/>
      <c r="AB6" s="309"/>
      <c r="AC6" s="309"/>
      <c r="AD6" s="308"/>
      <c r="AE6" s="309"/>
      <c r="AF6" s="302"/>
      <c r="AG6" s="310" t="s">
        <v>2050</v>
      </c>
      <c r="AH6" s="311"/>
      <c r="AI6" s="302">
        <v>3598</v>
      </c>
      <c r="AJ6" s="311">
        <v>45092</v>
      </c>
      <c r="AK6" s="311" t="s">
        <v>883</v>
      </c>
      <c r="AL6" s="311">
        <v>45076</v>
      </c>
      <c r="AM6" s="301"/>
      <c r="AN6" s="290"/>
      <c r="AO6" s="312" t="str">
        <f>_xlfn.IFNA(IF(VLOOKUP(tabItens[[#This Row],[CÓDIGO]],tabExcluirDoEstoque[#Data],1,FALSE),"sim",""),"")</f>
        <v/>
      </c>
      <c r="AP6" s="313">
        <f ca="1">IF(OR(ISBLANK(tabItens[[#This Row],[ATA DT.VALID.]]),tabItens[[#This Row],[ATA DT.VALID.]]="",tabItens[[#This Row],[ATA DT.VALID.]]=" "),"",IF(TYPE(tabItens[[#This Row],[ATA DT.VALID.]])=1,ROUNDUP((tabItens[[#This Row],[ATA DT.VALID.]]-TODAY())/7,0),""))</f>
        <v>18</v>
      </c>
      <c r="AQ6" s="314">
        <v>0</v>
      </c>
      <c r="AR6" s="315" t="str">
        <f>IF(ISBLANK(tabItens[[#This Row],[CÓDIGO]]),"",IFERROR(VLOOKUP(tabItens[[#This Row],[CÓDIGO]],Consumo!$C$2:$AC$869,26,FALSE),0))</f>
        <v>07.2023</v>
      </c>
      <c r="AS6" s="316">
        <f>SUMIF(Consumo!$C$3:$C$869,tabItens[[#This Row],[CÓDIGO]],Consumo!$N$3:$N$869) + SUMIF(Consumo!$C$3:$C$869,tabItens[[#This Row],[CÓDIGO]],Consumo!$O$3:$O$869) + SUMIF(Consumo!$C$3:$C$869,tabItens[[#This Row],[CÓDIGO]],Consumo!$P$3:$P$869) + SUMIF(Consumo!$C$3:$C$869,tabItens[[#This Row],[CÓDIGO]],Consumo!$Q$3:$Q$869)</f>
        <v>1738</v>
      </c>
      <c r="AT6" s="316">
        <f>SUMIF(Consumo!$C$3:$C$869,tabItens[[#This Row],[CÓDIGO]],Consumo!$Z$3:$Z$869)</f>
        <v>11418</v>
      </c>
      <c r="AU6" s="317">
        <f>SUMIF(Consumo!$C$3:$C$869,tabItens[[#This Row],[CÓDIGO]],Consumo!$AA$3:$AA$869)</f>
        <v>3714</v>
      </c>
      <c r="AV6" s="318">
        <f>SUMIF(Consumo!$C$3:$C$869,tabItens[[#This Row],[CÓDIGO]],Consumo!$Y$3:$Y$869)</f>
        <v>871.91666666666663</v>
      </c>
      <c r="AW6" s="291">
        <f>tabItens[[#This Row],[QTDE ATUAL]] + tabItens[[#This Row],[RC QTDE]] + tabItens[[#This Row],[AF SALDO]] + tabItens[[#This Row],[Recentes]]</f>
        <v>0</v>
      </c>
      <c r="AX6" s="319">
        <v>750</v>
      </c>
      <c r="AY6" s="319">
        <v>4</v>
      </c>
      <c r="AZ6" s="319">
        <f>IF(ISBLANK(tabItens[[#This Row],[CÓDIGO]]),"",tabItens[[#This Row],[PontoMês]] * (AZ$2+tabItens[[#This Row],[PontoQtM]]))</f>
        <v>3000</v>
      </c>
      <c r="BA6" s="318">
        <f>tabItens[[#This Row],[PontoPed]] - tabItens[[#This Row],[Saldo]] + (1/10)</f>
        <v>3000.1</v>
      </c>
      <c r="BB6" s="318">
        <f xml:space="preserve"> tabItens[[#This Row],[PontoMês]] * BB$2 - tabItens[[#This Row],[QTDE ATUAL]] - (1/10)</f>
        <v>749.9</v>
      </c>
      <c r="BC6" s="320">
        <f>IF( tabItens[[#This Row],[PontoPed]]&gt;0, IF(tabItens[[#This Row],[PontoPed]]&lt;1, 1, IF( tabItens[[#This Row],[Saldo]]&gt;tabItens[[#This Row],[PontoPed]], 0, (tabItens[[#This Row],[PontoPed]]-tabItens[[#This Row],[Saldo]])/tabItens[[#This Row],[PontoPed]] ) ), 0 )</f>
        <v>1</v>
      </c>
      <c r="BD6" s="321">
        <f>ROUNDDOWN(IF( OR( AND(tabItens[[#This Row],[PontoPed]]&lt;tabItens[[#This Row],[Saldo]],tabItens[[#This Row],[Saldo]]&gt;0), tabItens[[#This Row],[PontoPed]]=0), 99, IF(AND(tabItens[[#This Row],[Saldo]]=0,tabItens[[#This Row],[PontoPed]]&gt;0), 0, (1-tabItens[[#This Row],[PctAb]])*10 ) ),0)</f>
        <v>0</v>
      </c>
      <c r="BE6" s="322">
        <f>MAX(ROUNDDOWN( IF(tabItens[[#This Row],[Abaixo]] &gt; 0,   tabItens[[#This Row],[Abaixo]] + (tabItens[[#This Row],[PontoMês]] * IF( OR( ISBLANK(tabItens[[#This Row],[ATA Nº/ANO]]), tabItens[[#This Row],[ATA Nº/ANO]] = ""),BE$2,BE$1)),0),0),0)</f>
        <v>5250</v>
      </c>
      <c r="BF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5250</v>
      </c>
      <c r="BG6" s="323">
        <f>SUMIF(Consumo!$C$3:$C$869,tabItens[[#This Row],[CÓDIGO]],Consumo!$E$3:$E$869)</f>
        <v>624</v>
      </c>
      <c r="BH6" s="324">
        <f>IF(AND(tabItens[[#This Row],[Pend]] &gt; 0,tabItens[[#This Row],[Consumo]] &lt;&gt; 0), tabItens[[#This Row],[Pend]] / tabItens[[#This Row],[Consumo]], 0 )</f>
        <v>5.4650551760378349E-2</v>
      </c>
      <c r="BI6" s="323"/>
      <c r="BJ6" s="323"/>
      <c r="BK6" s="325" t="s">
        <v>2064</v>
      </c>
    </row>
    <row r="7" spans="1:63" hidden="1" x14ac:dyDescent="0.3">
      <c r="A7" s="286">
        <v>133021</v>
      </c>
      <c r="B7" s="287" t="s">
        <v>1836</v>
      </c>
      <c r="C7" s="288" t="s">
        <v>31</v>
      </c>
      <c r="D7" s="289">
        <v>2.2999999999999998</v>
      </c>
      <c r="E7" s="290" t="s">
        <v>1837</v>
      </c>
      <c r="F7" s="290" t="s">
        <v>1838</v>
      </c>
      <c r="G7" s="290" t="s">
        <v>890</v>
      </c>
      <c r="H7" s="291"/>
      <c r="I7" s="292">
        <v>103003</v>
      </c>
      <c r="J7" s="293">
        <v>2.2999999999999998</v>
      </c>
      <c r="K7" s="294">
        <v>418</v>
      </c>
      <c r="L7" s="295">
        <f>IF(tabItens[[#This Row],[Média]] &gt; 0, tabItens[[#This Row],[QTDE ATUAL]] / tabItens[[#This Row],[Média]],999.9)</f>
        <v>0</v>
      </c>
      <c r="M7" s="296"/>
      <c r="N7" s="297">
        <f>tabItens[[#This Row],[VALOR UNIT.]] * tabItens[[#This Row],[LC]]</f>
        <v>0</v>
      </c>
      <c r="O7" s="298" t="s">
        <v>891</v>
      </c>
      <c r="P7" s="299">
        <v>0</v>
      </c>
      <c r="Q7" s="300">
        <v>17600</v>
      </c>
      <c r="R7" s="297">
        <v>40480</v>
      </c>
      <c r="S7" s="301">
        <v>45377</v>
      </c>
      <c r="T7" s="302">
        <f>ROUNDDOWN(IFERROR(tabItens[[#This Row],[ATA DT.VALID.]] - $D$1,0) / 30,0)</f>
        <v>7</v>
      </c>
      <c r="U7" s="287" t="s">
        <v>954</v>
      </c>
      <c r="V7" s="303">
        <v>1</v>
      </c>
      <c r="W7" s="304" t="s">
        <v>2051</v>
      </c>
      <c r="X7" s="305">
        <v>72</v>
      </c>
      <c r="Y7" s="306">
        <v>7</v>
      </c>
      <c r="Z7" s="307"/>
      <c r="AA7" s="308"/>
      <c r="AB7" s="309"/>
      <c r="AC7" s="309"/>
      <c r="AD7" s="308"/>
      <c r="AE7" s="309"/>
      <c r="AF7" s="302"/>
      <c r="AG7" s="310" t="s">
        <v>2050</v>
      </c>
      <c r="AH7" s="311"/>
      <c r="AI7" s="302">
        <v>180</v>
      </c>
      <c r="AJ7" s="311">
        <v>45125</v>
      </c>
      <c r="AK7" s="311">
        <v>42926</v>
      </c>
      <c r="AL7" s="311">
        <v>45076</v>
      </c>
      <c r="AM7" s="301"/>
      <c r="AN7" s="290"/>
      <c r="AO7" s="312" t="str">
        <f>_xlfn.IFNA(IF(VLOOKUP(tabItens[[#This Row],[CÓDIGO]],tabExcluirDoEstoque[#Data],1,FALSE),"sim",""),"")</f>
        <v/>
      </c>
      <c r="AP7" s="313">
        <f ca="1">IF(OR(ISBLANK(tabItens[[#This Row],[ATA DT.VALID.]]),tabItens[[#This Row],[ATA DT.VALID.]]="",tabItens[[#This Row],[ATA DT.VALID.]]=" "),"",IF(TYPE(tabItens[[#This Row],[ATA DT.VALID.]])=1,ROUNDUP((tabItens[[#This Row],[ATA DT.VALID.]]-TODAY())/7,0),""))</f>
        <v>18</v>
      </c>
      <c r="AQ7" s="314">
        <v>0</v>
      </c>
      <c r="AR7" s="315" t="str">
        <f>IF(ISBLANK(tabItens[[#This Row],[CÓDIGO]]),"",IFERROR(VLOOKUP(tabItens[[#This Row],[CÓDIGO]],Consumo!$C$2:$AC$869,26,FALSE),0))</f>
        <v>07.2023</v>
      </c>
      <c r="AS7" s="316">
        <f>SUMIF(Consumo!$C$3:$C$869,tabItens[[#This Row],[CÓDIGO]],Consumo!$N$3:$N$869) + SUMIF(Consumo!$C$3:$C$869,tabItens[[#This Row],[CÓDIGO]],Consumo!$O$3:$O$869) + SUMIF(Consumo!$C$3:$C$869,tabItens[[#This Row],[CÓDIGO]],Consumo!$P$3:$P$869) + SUMIF(Consumo!$C$3:$C$869,tabItens[[#This Row],[CÓDIGO]],Consumo!$Q$3:$Q$869)</f>
        <v>58</v>
      </c>
      <c r="AT7" s="316">
        <f>SUMIF(Consumo!$C$3:$C$869,tabItens[[#This Row],[CÓDIGO]],Consumo!$Z$3:$Z$869)</f>
        <v>750</v>
      </c>
      <c r="AU7" s="317">
        <f>SUMIF(Consumo!$C$3:$C$869,tabItens[[#This Row],[CÓDIGO]],Consumo!$AA$3:$AA$869)</f>
        <v>121</v>
      </c>
      <c r="AV7" s="318">
        <f>SUMIF(Consumo!$C$3:$C$869,tabItens[[#This Row],[CÓDIGO]],Consumo!$Y$3:$Y$869)</f>
        <v>62.5</v>
      </c>
      <c r="AW7" s="291">
        <f>tabItens[[#This Row],[QTDE ATUAL]] + tabItens[[#This Row],[RC QTDE]] + tabItens[[#This Row],[AF SALDO]] + tabItens[[#This Row],[Recentes]]</f>
        <v>0</v>
      </c>
      <c r="AX7" s="319">
        <v>60</v>
      </c>
      <c r="AY7" s="319">
        <v>4</v>
      </c>
      <c r="AZ7" s="319">
        <f>IF(ISBLANK(tabItens[[#This Row],[CÓDIGO]]),"",tabItens[[#This Row],[PontoMês]] * (AZ$2+tabItens[[#This Row],[PontoQtM]]))</f>
        <v>240</v>
      </c>
      <c r="BA7" s="318">
        <f>tabItens[[#This Row],[PontoPed]] - tabItens[[#This Row],[Saldo]] + (1/10)</f>
        <v>240.1</v>
      </c>
      <c r="BB7" s="318">
        <f xml:space="preserve"> tabItens[[#This Row],[PontoMês]] * BB$2 - tabItens[[#This Row],[QTDE ATUAL]] - (1/10)</f>
        <v>59.9</v>
      </c>
      <c r="BC7" s="320">
        <f>IF( tabItens[[#This Row],[PontoPed]]&gt;0, IF(tabItens[[#This Row],[PontoPed]]&lt;1, 1, IF( tabItens[[#This Row],[Saldo]]&gt;tabItens[[#This Row],[PontoPed]], 0, (tabItens[[#This Row],[PontoPed]]-tabItens[[#This Row],[Saldo]])/tabItens[[#This Row],[PontoPed]] ) ), 0 )</f>
        <v>1</v>
      </c>
      <c r="BD7" s="321">
        <f>ROUNDDOWN(IF( OR( AND(tabItens[[#This Row],[PontoPed]]&lt;tabItens[[#This Row],[Saldo]],tabItens[[#This Row],[Saldo]]&gt;0), tabItens[[#This Row],[PontoPed]]=0), 99, IF(AND(tabItens[[#This Row],[Saldo]]=0,tabItens[[#This Row],[PontoPed]]&gt;0), 0, (1-tabItens[[#This Row],[PctAb]])*10 ) ),0)</f>
        <v>0</v>
      </c>
      <c r="BE7" s="322">
        <f>MAX(ROUNDDOWN( IF(tabItens[[#This Row],[Abaixo]] &gt; 0,   tabItens[[#This Row],[Abaixo]] + (tabItens[[#This Row],[PontoMês]] * IF( OR( ISBLANK(tabItens[[#This Row],[ATA Nº/ANO]]), tabItens[[#This Row],[ATA Nº/ANO]] = ""),BE$2,BE$1)),0),0),0)</f>
        <v>420</v>
      </c>
      <c r="BF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420</v>
      </c>
      <c r="BG7" s="323">
        <f>SUMIF(Consumo!$C$3:$C$869,tabItens[[#This Row],[CÓDIGO]],Consumo!$E$3:$E$869)</f>
        <v>211</v>
      </c>
      <c r="BH7" s="324">
        <f>IF(AND(tabItens[[#This Row],[Pend]] &gt; 0,tabItens[[#This Row],[Consumo]] &lt;&gt; 0), tabItens[[#This Row],[Pend]] / tabItens[[#This Row],[Consumo]], 0 )</f>
        <v>0.28133333333333332</v>
      </c>
      <c r="BI7" s="323"/>
      <c r="BJ7" s="323"/>
      <c r="BK7" s="325" t="s">
        <v>2064</v>
      </c>
    </row>
    <row r="8" spans="1:63" hidden="1" x14ac:dyDescent="0.3">
      <c r="A8" s="286">
        <v>12685</v>
      </c>
      <c r="B8" s="287" t="s">
        <v>955</v>
      </c>
      <c r="C8" s="288" t="s">
        <v>275</v>
      </c>
      <c r="D8" s="289">
        <v>1.8</v>
      </c>
      <c r="E8" s="290" t="s">
        <v>956</v>
      </c>
      <c r="F8" s="290" t="s">
        <v>957</v>
      </c>
      <c r="G8" s="290" t="s">
        <v>890</v>
      </c>
      <c r="H8" s="291"/>
      <c r="I8" s="292">
        <v>103003</v>
      </c>
      <c r="J8" s="293">
        <v>1.8</v>
      </c>
      <c r="K8" s="294">
        <v>304</v>
      </c>
      <c r="L8" s="295">
        <f>IF(tabItens[[#This Row],[Média]] &gt; 0, tabItens[[#This Row],[QTDE ATUAL]] / tabItens[[#This Row],[Média]],999.9)</f>
        <v>0</v>
      </c>
      <c r="M8" s="296"/>
      <c r="N8" s="297">
        <f>tabItens[[#This Row],[VALOR UNIT.]] * tabItens[[#This Row],[LC]]</f>
        <v>0</v>
      </c>
      <c r="O8" s="298" t="s">
        <v>891</v>
      </c>
      <c r="P8" s="299">
        <v>0</v>
      </c>
      <c r="Q8" s="300">
        <v>22440</v>
      </c>
      <c r="R8" s="297">
        <v>40392</v>
      </c>
      <c r="S8" s="301">
        <v>45377</v>
      </c>
      <c r="T8" s="302">
        <f>ROUNDDOWN(IFERROR(tabItens[[#This Row],[ATA DT.VALID.]] - $D$1,0) / 30,0)</f>
        <v>7</v>
      </c>
      <c r="U8" s="287" t="s">
        <v>958</v>
      </c>
      <c r="V8" s="303">
        <v>1</v>
      </c>
      <c r="W8" s="304" t="s">
        <v>2051</v>
      </c>
      <c r="X8" s="305">
        <v>72</v>
      </c>
      <c r="Y8" s="306">
        <v>10</v>
      </c>
      <c r="Z8" s="307"/>
      <c r="AA8" s="308"/>
      <c r="AB8" s="309"/>
      <c r="AC8" s="309"/>
      <c r="AD8" s="308"/>
      <c r="AE8" s="309"/>
      <c r="AF8" s="302"/>
      <c r="AG8" s="310" t="s">
        <v>2050</v>
      </c>
      <c r="AH8" s="311"/>
      <c r="AI8" s="302">
        <v>108</v>
      </c>
      <c r="AJ8" s="311">
        <v>45132</v>
      </c>
      <c r="AK8" s="311" t="s">
        <v>883</v>
      </c>
      <c r="AL8" s="311">
        <v>45126</v>
      </c>
      <c r="AM8" s="301"/>
      <c r="AN8" s="290"/>
      <c r="AO8" s="312" t="str">
        <f>_xlfn.IFNA(IF(VLOOKUP(tabItens[[#This Row],[CÓDIGO]],tabExcluirDoEstoque[#Data],1,FALSE),"sim",""),"")</f>
        <v/>
      </c>
      <c r="AP8" s="313">
        <f ca="1">IF(OR(ISBLANK(tabItens[[#This Row],[ATA DT.VALID.]]),tabItens[[#This Row],[ATA DT.VALID.]]="",tabItens[[#This Row],[ATA DT.VALID.]]=" "),"",IF(TYPE(tabItens[[#This Row],[ATA DT.VALID.]])=1,ROUNDUP((tabItens[[#This Row],[ATA DT.VALID.]]-TODAY())/7,0),""))</f>
        <v>18</v>
      </c>
      <c r="AQ8" s="314">
        <v>0</v>
      </c>
      <c r="AR8" s="315" t="str">
        <f>IF(ISBLANK(tabItens[[#This Row],[CÓDIGO]]),"",IFERROR(VLOOKUP(tabItens[[#This Row],[CÓDIGO]],Consumo!$C$2:$AC$869,26,FALSE),0))</f>
        <v>07.2023</v>
      </c>
      <c r="AS8" s="316">
        <f>SUMIF(Consumo!$C$3:$C$869,tabItens[[#This Row],[CÓDIGO]],Consumo!$N$3:$N$869) + SUMIF(Consumo!$C$3:$C$869,tabItens[[#This Row],[CÓDIGO]],Consumo!$O$3:$O$869) + SUMIF(Consumo!$C$3:$C$869,tabItens[[#This Row],[CÓDIGO]],Consumo!$P$3:$P$869) + SUMIF(Consumo!$C$3:$C$869,tabItens[[#This Row],[CÓDIGO]],Consumo!$Q$3:$Q$869)</f>
        <v>48</v>
      </c>
      <c r="AT8" s="316">
        <f>SUMIF(Consumo!$C$3:$C$869,tabItens[[#This Row],[CÓDIGO]],Consumo!$Z$3:$Z$869)</f>
        <v>556</v>
      </c>
      <c r="AU8" s="317">
        <f>SUMIF(Consumo!$C$3:$C$869,tabItens[[#This Row],[CÓDIGO]],Consumo!$AA$3:$AA$869)</f>
        <v>64</v>
      </c>
      <c r="AV8" s="318">
        <f>SUMIF(Consumo!$C$3:$C$869,tabItens[[#This Row],[CÓDIGO]],Consumo!$Y$3:$Y$869)</f>
        <v>46.333333333333336</v>
      </c>
      <c r="AW8" s="291">
        <f>tabItens[[#This Row],[QTDE ATUAL]] + tabItens[[#This Row],[RC QTDE]] + tabItens[[#This Row],[AF SALDO]] + tabItens[[#This Row],[Recentes]]</f>
        <v>0</v>
      </c>
      <c r="AX8" s="319">
        <v>624</v>
      </c>
      <c r="AY8" s="319">
        <v>4</v>
      </c>
      <c r="AZ8" s="319">
        <f>IF(ISBLANK(tabItens[[#This Row],[CÓDIGO]]),"",tabItens[[#This Row],[PontoMês]] * (AZ$2+tabItens[[#This Row],[PontoQtM]]))</f>
        <v>2496</v>
      </c>
      <c r="BA8" s="318">
        <f>tabItens[[#This Row],[PontoPed]] - tabItens[[#This Row],[Saldo]] + (1/10)</f>
        <v>2496.1</v>
      </c>
      <c r="BB8" s="318">
        <f xml:space="preserve"> tabItens[[#This Row],[PontoMês]] * BB$2 - tabItens[[#This Row],[QTDE ATUAL]] - (1/10)</f>
        <v>623.9</v>
      </c>
      <c r="BC8" s="320">
        <f>IF( tabItens[[#This Row],[PontoPed]]&gt;0, IF(tabItens[[#This Row],[PontoPed]]&lt;1, 1, IF( tabItens[[#This Row],[Saldo]]&gt;tabItens[[#This Row],[PontoPed]], 0, (tabItens[[#This Row],[PontoPed]]-tabItens[[#This Row],[Saldo]])/tabItens[[#This Row],[PontoPed]] ) ), 0 )</f>
        <v>1</v>
      </c>
      <c r="BD8" s="321">
        <f>ROUNDDOWN(IF( OR( AND(tabItens[[#This Row],[PontoPed]]&lt;tabItens[[#This Row],[Saldo]],tabItens[[#This Row],[Saldo]]&gt;0), tabItens[[#This Row],[PontoPed]]=0), 99, IF(AND(tabItens[[#This Row],[Saldo]]=0,tabItens[[#This Row],[PontoPed]]&gt;0), 0, (1-tabItens[[#This Row],[PctAb]])*10 ) ),0)</f>
        <v>0</v>
      </c>
      <c r="BE8" s="322">
        <f>MAX(ROUNDDOWN( IF(tabItens[[#This Row],[Abaixo]] &gt; 0,   tabItens[[#This Row],[Abaixo]] + (tabItens[[#This Row],[PontoMês]] * IF( OR( ISBLANK(tabItens[[#This Row],[ATA Nº/ANO]]), tabItens[[#This Row],[ATA Nº/ANO]] = ""),BE$2,BE$1)),0),0),0)</f>
        <v>4368</v>
      </c>
      <c r="BF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4368</v>
      </c>
      <c r="BG8" s="323">
        <f>SUMIF(Consumo!$C$3:$C$869,tabItens[[#This Row],[CÓDIGO]],Consumo!$E$3:$E$869)</f>
        <v>231</v>
      </c>
      <c r="BH8" s="324">
        <f>IF(AND(tabItens[[#This Row],[Pend]] &gt; 0,tabItens[[#This Row],[Consumo]] &lt;&gt; 0), tabItens[[#This Row],[Pend]] / tabItens[[#This Row],[Consumo]], 0 )</f>
        <v>0.4154676258992806</v>
      </c>
      <c r="BI8" s="323"/>
      <c r="BJ8" s="323"/>
      <c r="BK8" s="325" t="s">
        <v>2064</v>
      </c>
    </row>
    <row r="9" spans="1:63" hidden="1" x14ac:dyDescent="0.3">
      <c r="A9" s="286">
        <v>10412</v>
      </c>
      <c r="B9" s="287" t="s">
        <v>904</v>
      </c>
      <c r="C9" s="288" t="s">
        <v>400</v>
      </c>
      <c r="D9" s="289">
        <v>13.5</v>
      </c>
      <c r="E9" s="290" t="s">
        <v>905</v>
      </c>
      <c r="F9" s="290" t="s">
        <v>906</v>
      </c>
      <c r="G9" s="290" t="s">
        <v>907</v>
      </c>
      <c r="H9" s="291"/>
      <c r="I9" s="292">
        <v>103003</v>
      </c>
      <c r="J9" s="293">
        <v>13.5</v>
      </c>
      <c r="K9" s="294">
        <v>691.5</v>
      </c>
      <c r="L9" s="295">
        <f>IF(tabItens[[#This Row],[Média]] &gt; 0, tabItens[[#This Row],[QTDE ATUAL]] / tabItens[[#This Row],[Média]],999.9)</f>
        <v>0</v>
      </c>
      <c r="M9" s="296">
        <v>400</v>
      </c>
      <c r="N9" s="297">
        <f>tabItens[[#This Row],[VALOR UNIT.]] * tabItens[[#This Row],[LC]]</f>
        <v>5400</v>
      </c>
      <c r="O9" s="298" t="s">
        <v>908</v>
      </c>
      <c r="P9" s="299">
        <v>0</v>
      </c>
      <c r="Q9" s="300">
        <v>9184</v>
      </c>
      <c r="R9" s="297">
        <v>124794</v>
      </c>
      <c r="S9" s="301">
        <v>45489</v>
      </c>
      <c r="T9" s="302">
        <f>ROUNDDOWN(IFERROR(tabItens[[#This Row],[ATA DT.VALID.]] - $D$1,0) / 30,0)</f>
        <v>11</v>
      </c>
      <c r="U9" s="287" t="s">
        <v>909</v>
      </c>
      <c r="V9" s="303">
        <v>1</v>
      </c>
      <c r="W9" s="304" t="s">
        <v>2051</v>
      </c>
      <c r="X9" s="305">
        <v>71</v>
      </c>
      <c r="Y9" s="306">
        <v>24</v>
      </c>
      <c r="Z9" s="307"/>
      <c r="AA9" s="308"/>
      <c r="AB9" s="309"/>
      <c r="AC9" s="309"/>
      <c r="AD9" s="308"/>
      <c r="AE9" s="309"/>
      <c r="AF9" s="302"/>
      <c r="AG9" s="310" t="s">
        <v>2050</v>
      </c>
      <c r="AH9" s="311"/>
      <c r="AI9" s="302">
        <v>404</v>
      </c>
      <c r="AJ9" s="311">
        <v>45110</v>
      </c>
      <c r="AK9" s="311" t="s">
        <v>883</v>
      </c>
      <c r="AL9" s="311">
        <v>45139</v>
      </c>
      <c r="AM9" s="301"/>
      <c r="AN9" s="290"/>
      <c r="AO9" s="312" t="str">
        <f>_xlfn.IFNA(IF(VLOOKUP(tabItens[[#This Row],[CÓDIGO]],tabExcluirDoEstoque[#Data],1,FALSE),"sim",""),"")</f>
        <v/>
      </c>
      <c r="AP9" s="313">
        <f ca="1">IF(OR(ISBLANK(tabItens[[#This Row],[ATA DT.VALID.]]),tabItens[[#This Row],[ATA DT.VALID.]]="",tabItens[[#This Row],[ATA DT.VALID.]]=" "),"",IF(TYPE(tabItens[[#This Row],[ATA DT.VALID.]])=1,ROUNDUP((tabItens[[#This Row],[ATA DT.VALID.]]-TODAY())/7,0),""))</f>
        <v>34</v>
      </c>
      <c r="AQ9" s="314">
        <v>0</v>
      </c>
      <c r="AR9" s="315" t="str">
        <f>IF(ISBLANK(tabItens[[#This Row],[CÓDIGO]]),"",IFERROR(VLOOKUP(tabItens[[#This Row],[CÓDIGO]],Consumo!$C$2:$AC$869,26,FALSE),0))</f>
        <v>07.2023</v>
      </c>
      <c r="AS9" s="316">
        <f>SUMIF(Consumo!$C$3:$C$869,tabItens[[#This Row],[CÓDIGO]],Consumo!$N$3:$N$869) + SUMIF(Consumo!$C$3:$C$869,tabItens[[#This Row],[CÓDIGO]],Consumo!$O$3:$O$869) + SUMIF(Consumo!$C$3:$C$869,tabItens[[#This Row],[CÓDIGO]],Consumo!$P$3:$P$869) + SUMIF(Consumo!$C$3:$C$869,tabItens[[#This Row],[CÓDIGO]],Consumo!$Q$3:$Q$869)</f>
        <v>428.5</v>
      </c>
      <c r="AT9" s="316">
        <f>SUMIF(Consumo!$C$3:$C$869,tabItens[[#This Row],[CÓDIGO]],Consumo!$Z$3:$Z$869)</f>
        <v>1274.5</v>
      </c>
      <c r="AU9" s="317">
        <f>SUMIF(Consumo!$C$3:$C$869,tabItens[[#This Row],[CÓDIGO]],Consumo!$AA$3:$AA$869)</f>
        <v>121</v>
      </c>
      <c r="AV9" s="318">
        <f>SUMIF(Consumo!$C$3:$C$869,tabItens[[#This Row],[CÓDIGO]],Consumo!$Y$3:$Y$869)</f>
        <v>106.20833333333333</v>
      </c>
      <c r="AW9" s="291">
        <f>tabItens[[#This Row],[QTDE ATUAL]] + tabItens[[#This Row],[RC QTDE]] + tabItens[[#This Row],[AF SALDO]] + tabItens[[#This Row],[Recentes]]</f>
        <v>0</v>
      </c>
      <c r="AX9" s="319">
        <v>86</v>
      </c>
      <c r="AY9" s="319">
        <v>2</v>
      </c>
      <c r="AZ9" s="319">
        <f>IF(ISBLANK(tabItens[[#This Row],[CÓDIGO]]),"",tabItens[[#This Row],[PontoMês]] * (AZ$2+tabItens[[#This Row],[PontoQtM]]))</f>
        <v>172</v>
      </c>
      <c r="BA9" s="318">
        <f>tabItens[[#This Row],[PontoPed]] - tabItens[[#This Row],[Saldo]] + (1/10)</f>
        <v>172.1</v>
      </c>
      <c r="BB9" s="318">
        <f xml:space="preserve"> tabItens[[#This Row],[PontoMês]] * BB$2 - tabItens[[#This Row],[QTDE ATUAL]] - (1/10)</f>
        <v>85.9</v>
      </c>
      <c r="BC9" s="320">
        <f>IF( tabItens[[#This Row],[PontoPed]]&gt;0, IF(tabItens[[#This Row],[PontoPed]]&lt;1, 1, IF( tabItens[[#This Row],[Saldo]]&gt;tabItens[[#This Row],[PontoPed]], 0, (tabItens[[#This Row],[PontoPed]]-tabItens[[#This Row],[Saldo]])/tabItens[[#This Row],[PontoPed]] ) ), 0 )</f>
        <v>1</v>
      </c>
      <c r="BD9" s="321">
        <f>ROUNDDOWN(IF( OR( AND(tabItens[[#This Row],[PontoPed]]&lt;tabItens[[#This Row],[Saldo]],tabItens[[#This Row],[Saldo]]&gt;0), tabItens[[#This Row],[PontoPed]]=0), 99, IF(AND(tabItens[[#This Row],[Saldo]]=0,tabItens[[#This Row],[PontoPed]]&gt;0), 0, (1-tabItens[[#This Row],[PctAb]])*10 ) ),0)</f>
        <v>0</v>
      </c>
      <c r="BE9" s="322">
        <f>MAX(ROUNDDOWN( IF(tabItens[[#This Row],[Abaixo]] &gt; 0,   tabItens[[#This Row],[Abaixo]] + (tabItens[[#This Row],[PontoMês]] * IF( OR( ISBLANK(tabItens[[#This Row],[ATA Nº/ANO]]), tabItens[[#This Row],[ATA Nº/ANO]] = ""),BE$2,BE$1)),0),0),0)</f>
        <v>430</v>
      </c>
      <c r="BF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9" s="323">
        <f>SUMIF(Consumo!$C$3:$C$869,tabItens[[#This Row],[CÓDIGO]],Consumo!$E$3:$E$869)</f>
        <v>132</v>
      </c>
      <c r="BH9" s="324">
        <f>IF(AND(tabItens[[#This Row],[Pend]] &gt; 0,tabItens[[#This Row],[Consumo]] &lt;&gt; 0), tabItens[[#This Row],[Pend]] / tabItens[[#This Row],[Consumo]], 0 )</f>
        <v>0.1035700274617497</v>
      </c>
      <c r="BI9" s="323"/>
      <c r="BJ9" s="323"/>
      <c r="BK9" s="325" t="s">
        <v>2064</v>
      </c>
    </row>
    <row r="10" spans="1:63" x14ac:dyDescent="0.3">
      <c r="A10" s="396">
        <v>139958</v>
      </c>
      <c r="B10" s="397" t="s">
        <v>1980</v>
      </c>
      <c r="C10" s="398" t="s">
        <v>629</v>
      </c>
      <c r="D10" s="399">
        <v>61.9</v>
      </c>
      <c r="E10" s="290"/>
      <c r="F10" s="400"/>
      <c r="G10" s="400" t="s">
        <v>883</v>
      </c>
      <c r="H10" s="401">
        <v>0</v>
      </c>
      <c r="I10" s="292">
        <v>103003</v>
      </c>
      <c r="J10" s="293">
        <v>60.593989999999998</v>
      </c>
      <c r="K10" s="402">
        <v>4554.55</v>
      </c>
      <c r="L10" s="403">
        <f>IF(tabItens[[#This Row],[Média]] &gt; 0, tabItens[[#This Row],[QTDE ATUAL]] / tabItens[[#This Row],[Média]],999.9)</f>
        <v>0</v>
      </c>
      <c r="M10" s="404">
        <v>0</v>
      </c>
      <c r="N10" s="405">
        <f>tabItens[[#This Row],[VALOR UNIT.]] * tabItens[[#This Row],[LC]]</f>
        <v>0</v>
      </c>
      <c r="O10" s="406" t="s">
        <v>2072</v>
      </c>
      <c r="P10" s="407"/>
      <c r="Q10" s="408"/>
      <c r="R10" s="297"/>
      <c r="S10" s="409"/>
      <c r="T10" s="410">
        <f>ROUNDDOWN(IFERROR(tabItens[[#This Row],[ATA DT.VALID.]] - $D$1,0) / 30,0)</f>
        <v>-1504</v>
      </c>
      <c r="U10" s="287" t="s">
        <v>1723</v>
      </c>
      <c r="V10" s="303">
        <v>1</v>
      </c>
      <c r="W10" s="411" t="s">
        <v>2049</v>
      </c>
      <c r="X10" s="412">
        <v>51</v>
      </c>
      <c r="Y10" s="413">
        <v>21</v>
      </c>
      <c r="Z10" s="414"/>
      <c r="AA10" s="415"/>
      <c r="AB10" s="416"/>
      <c r="AC10" s="416"/>
      <c r="AD10" s="415"/>
      <c r="AE10" s="416"/>
      <c r="AF10" s="302"/>
      <c r="AG10" s="417" t="s">
        <v>2050</v>
      </c>
      <c r="AH10" s="418"/>
      <c r="AI10" s="302">
        <v>1518</v>
      </c>
      <c r="AJ10" s="418">
        <v>44550</v>
      </c>
      <c r="AK10" s="311">
        <v>44075</v>
      </c>
      <c r="AL10" s="311">
        <v>44448</v>
      </c>
      <c r="AM10" s="301"/>
      <c r="AN10" s="290"/>
      <c r="AO10" s="312" t="str">
        <f>_xlfn.IFNA(IF(VLOOKUP(tabItens[[#This Row],[CÓDIGO]],tabExcluirDoEstoque[#Data],1,FALSE),"sim",""),"")</f>
        <v/>
      </c>
      <c r="AP10" s="419" t="str">
        <f ca="1">IF(OR(ISBLANK(tabItens[[#This Row],[ATA DT.VALID.]]),tabItens[[#This Row],[ATA DT.VALID.]]="",tabItens[[#This Row],[ATA DT.VALID.]]=" "),"",IF(TYPE(tabItens[[#This Row],[ATA DT.VALID.]])=1,ROUNDUP((tabItens[[#This Row],[ATA DT.VALID.]]-TODAY())/7,0),""))</f>
        <v/>
      </c>
      <c r="AQ10" s="426">
        <v>0</v>
      </c>
      <c r="AR10" s="315" t="str">
        <f>IF(ISBLANK(tabItens[[#This Row],[CÓDIGO]]),"",IFERROR(VLOOKUP(tabItens[[#This Row],[CÓDIGO]],Consumo!$C$2:$AC$869,26,FALSE),0))</f>
        <v>03.2023</v>
      </c>
      <c r="AS10" s="316">
        <f>SUMIF(Consumo!$C$3:$C$869,tabItens[[#This Row],[CÓDIGO]],Consumo!$N$3:$N$869) + SUMIF(Consumo!$C$3:$C$869,tabItens[[#This Row],[CÓDIGO]],Consumo!$O$3:$O$869) + SUMIF(Consumo!$C$3:$C$869,tabItens[[#This Row],[CÓDIGO]],Consumo!$P$3:$P$869) + SUMIF(Consumo!$C$3:$C$869,tabItens[[#This Row],[CÓDIGO]],Consumo!$Q$3:$Q$869)</f>
        <v>0</v>
      </c>
      <c r="AT10" s="316">
        <f>SUMIF(Consumo!$C$3:$C$869,tabItens[[#This Row],[CÓDIGO]],Consumo!$Z$3:$Z$869)</f>
        <v>4570</v>
      </c>
      <c r="AU10" s="317">
        <f>SUMIF(Consumo!$C$3:$C$869,tabItens[[#This Row],[CÓDIGO]],Consumo!$AA$3:$AA$869)</f>
        <v>1677.55</v>
      </c>
      <c r="AV10" s="318">
        <f>SUMIF(Consumo!$C$3:$C$869,tabItens[[#This Row],[CÓDIGO]],Consumo!$Y$3:$Y$869)</f>
        <v>380.83333333333331</v>
      </c>
      <c r="AW10" s="401">
        <f>tabItens[[#This Row],[QTDE ATUAL]] + tabItens[[#This Row],[RC QTDE]] + tabItens[[#This Row],[AF SALDO]] + tabItens[[#This Row],[Recentes]]</f>
        <v>0</v>
      </c>
      <c r="AX10" s="420">
        <v>214</v>
      </c>
      <c r="AY10" s="420">
        <v>4</v>
      </c>
      <c r="AZ10" s="420">
        <f>IF(ISBLANK(tabItens[[#This Row],[CÓDIGO]]),"",tabItens[[#This Row],[PontoMês]] * (AZ$2+tabItens[[#This Row],[PontoQtM]]))</f>
        <v>856</v>
      </c>
      <c r="BA10" s="421">
        <f>tabItens[[#This Row],[PontoPed]] - tabItens[[#This Row],[Saldo]] + (1/10)</f>
        <v>856.1</v>
      </c>
      <c r="BB10" s="421">
        <f xml:space="preserve"> tabItens[[#This Row],[PontoMês]] * BB$2 - tabItens[[#This Row],[QTDE ATUAL]] - (1/10)</f>
        <v>213.9</v>
      </c>
      <c r="BC10" s="320">
        <f>IF( tabItens[[#This Row],[PontoPed]]&gt;0, IF(tabItens[[#This Row],[PontoPed]]&lt;1, 1, IF( tabItens[[#This Row],[Saldo]]&gt;tabItens[[#This Row],[PontoPed]], 0, (tabItens[[#This Row],[PontoPed]]-tabItens[[#This Row],[Saldo]])/tabItens[[#This Row],[PontoPed]] ) ), 0 )</f>
        <v>1</v>
      </c>
      <c r="BD10" s="422">
        <f>ROUNDDOWN(IF( OR( AND(tabItens[[#This Row],[PontoPed]]&lt;tabItens[[#This Row],[Saldo]],tabItens[[#This Row],[Saldo]]&gt;0), tabItens[[#This Row],[PontoPed]]=0), 99, IF(AND(tabItens[[#This Row],[Saldo]]=0,tabItens[[#This Row],[PontoPed]]&gt;0), 0, (1-tabItens[[#This Row],[PctAb]])*10 ) ),0)</f>
        <v>0</v>
      </c>
      <c r="BE10" s="423">
        <f>MAX(ROUNDDOWN( IF(tabItens[[#This Row],[Abaixo]] &gt; 0,   tabItens[[#This Row],[Abaixo]] + (tabItens[[#This Row],[PontoMês]] * IF( OR( ISBLANK(tabItens[[#This Row],[ATA Nº/ANO]]), tabItens[[#This Row],[ATA Nº/ANO]] = ""),BE$2,BE$1)),0),0),0)</f>
        <v>1498</v>
      </c>
      <c r="BF1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323">
        <f>SUMIF(Consumo!$C$3:$C$869,tabItens[[#This Row],[CÓDIGO]],Consumo!$E$3:$E$869)</f>
        <v>15.45</v>
      </c>
      <c r="BH10" s="324">
        <f>IF(AND(tabItens[[#This Row],[Pend]] &gt; 0,tabItens[[#This Row],[Consumo]] &lt;&gt; 0), tabItens[[#This Row],[Pend]] / tabItens[[#This Row],[Consumo]], 0 )</f>
        <v>3.3807439824945296E-3</v>
      </c>
      <c r="BI10" s="323"/>
      <c r="BJ10" s="424"/>
      <c r="BK10" s="425" t="s">
        <v>2064</v>
      </c>
    </row>
    <row r="11" spans="1:63" hidden="1" x14ac:dyDescent="0.3">
      <c r="A11" s="286">
        <v>131927</v>
      </c>
      <c r="B11" s="287" t="s">
        <v>1808</v>
      </c>
      <c r="C11" s="288" t="s">
        <v>31</v>
      </c>
      <c r="D11" s="289">
        <v>1.19</v>
      </c>
      <c r="E11" s="290"/>
      <c r="F11" s="290"/>
      <c r="G11" s="290" t="s">
        <v>883</v>
      </c>
      <c r="H11" s="291"/>
      <c r="I11" s="292">
        <v>103003</v>
      </c>
      <c r="J11" s="293">
        <v>1.19</v>
      </c>
      <c r="K11" s="294">
        <v>5032</v>
      </c>
      <c r="L11" s="295">
        <f>IF(tabItens[[#This Row],[Média]] &gt; 0, tabItens[[#This Row],[QTDE ATUAL]] / tabItens[[#This Row],[Média]],999.9)</f>
        <v>0</v>
      </c>
      <c r="M11" s="296"/>
      <c r="N11" s="297">
        <f>tabItens[[#This Row],[VALOR UNIT.]] * tabItens[[#This Row],[LC]]</f>
        <v>0</v>
      </c>
      <c r="O11" s="298"/>
      <c r="P11" s="299"/>
      <c r="Q11" s="300"/>
      <c r="R11" s="297"/>
      <c r="S11" s="301"/>
      <c r="T11" s="302">
        <f>ROUNDDOWN(IFERROR(tabItens[[#This Row],[ATA DT.VALID.]] - $D$1,0) / 30,0)</f>
        <v>-1504</v>
      </c>
      <c r="U11" s="287" t="s">
        <v>931</v>
      </c>
      <c r="V11" s="303">
        <v>1</v>
      </c>
      <c r="W11" s="304" t="s">
        <v>2052</v>
      </c>
      <c r="X11" s="305">
        <v>45</v>
      </c>
      <c r="Y11" s="306">
        <v>9</v>
      </c>
      <c r="Z11" s="307"/>
      <c r="AA11" s="308"/>
      <c r="AB11" s="309"/>
      <c r="AC11" s="309"/>
      <c r="AD11" s="308"/>
      <c r="AE11" s="309"/>
      <c r="AF11" s="302"/>
      <c r="AG11" s="310" t="s">
        <v>2050</v>
      </c>
      <c r="AH11" s="311"/>
      <c r="AI11" s="302">
        <v>1840</v>
      </c>
      <c r="AJ11" s="311">
        <v>44608</v>
      </c>
      <c r="AK11" s="311">
        <v>42590</v>
      </c>
      <c r="AL11" s="311">
        <v>44551</v>
      </c>
      <c r="AM11" s="301"/>
      <c r="AN11" s="290"/>
      <c r="AO11" s="312" t="str">
        <f>_xlfn.IFNA(IF(VLOOKUP(tabItens[[#This Row],[CÓDIGO]],tabExcluirDoEstoque[#Data],1,FALSE),"sim",""),"")</f>
        <v/>
      </c>
      <c r="AP11" s="313" t="str">
        <f ca="1">IF(OR(ISBLANK(tabItens[[#This Row],[ATA DT.VALID.]]),tabItens[[#This Row],[ATA DT.VALID.]]="",tabItens[[#This Row],[ATA DT.VALID.]]=" "),"",IF(TYPE(tabItens[[#This Row],[ATA DT.VALID.]])=1,ROUNDUP((tabItens[[#This Row],[ATA DT.VALID.]]-TODAY())/7,0),""))</f>
        <v/>
      </c>
      <c r="AQ11" s="314"/>
      <c r="AR11" s="315" t="str">
        <f>IF(ISBLANK(tabItens[[#This Row],[CÓDIGO]]),"",IFERROR(VLOOKUP(tabItens[[#This Row],[CÓDIGO]],Consumo!$C$2:$AC$869,26,FALSE),0))</f>
        <v>06.2023</v>
      </c>
      <c r="AS11" s="316">
        <f>SUMIF(Consumo!$C$3:$C$869,tabItens[[#This Row],[CÓDIGO]],Consumo!$N$3:$N$869) + SUMIF(Consumo!$C$3:$C$869,tabItens[[#This Row],[CÓDIGO]],Consumo!$O$3:$O$869) + SUMIF(Consumo!$C$3:$C$869,tabItens[[#This Row],[CÓDIGO]],Consumo!$P$3:$P$869) + SUMIF(Consumo!$C$3:$C$869,tabItens[[#This Row],[CÓDIGO]],Consumo!$Q$3:$Q$869)</f>
        <v>91</v>
      </c>
      <c r="AT11" s="316">
        <f>SUMIF(Consumo!$C$3:$C$869,tabItens[[#This Row],[CÓDIGO]],Consumo!$Z$3:$Z$869)</f>
        <v>5922</v>
      </c>
      <c r="AU11" s="317">
        <f>SUMIF(Consumo!$C$3:$C$869,tabItens[[#This Row],[CÓDIGO]],Consumo!$AA$3:$AA$869)</f>
        <v>3575</v>
      </c>
      <c r="AV11" s="318">
        <f>SUMIF(Consumo!$C$3:$C$869,tabItens[[#This Row],[CÓDIGO]],Consumo!$Y$3:$Y$869)</f>
        <v>394.83333333333331</v>
      </c>
      <c r="AW11" s="291">
        <f>tabItens[[#This Row],[QTDE ATUAL]] + tabItens[[#This Row],[RC QTDE]] + tabItens[[#This Row],[AF SALDO]] + tabItens[[#This Row],[Recentes]]</f>
        <v>0</v>
      </c>
      <c r="AX11" s="319">
        <v>691</v>
      </c>
      <c r="AY11" s="319">
        <v>4</v>
      </c>
      <c r="AZ11" s="319">
        <f>IF(ISBLANK(tabItens[[#This Row],[CÓDIGO]]),"",tabItens[[#This Row],[PontoMês]] * (AZ$2+tabItens[[#This Row],[PontoQtM]]))</f>
        <v>2764</v>
      </c>
      <c r="BA11" s="318">
        <f>tabItens[[#This Row],[PontoPed]] - tabItens[[#This Row],[Saldo]] + (1/10)</f>
        <v>2764.1</v>
      </c>
      <c r="BB11" s="318">
        <f xml:space="preserve"> tabItens[[#This Row],[PontoMês]] * BB$2 - tabItens[[#This Row],[QTDE ATUAL]] - (1/10)</f>
        <v>690.9</v>
      </c>
      <c r="BC11" s="320">
        <f>IF( tabItens[[#This Row],[PontoPed]]&gt;0, IF(tabItens[[#This Row],[PontoPed]]&lt;1, 1, IF( tabItens[[#This Row],[Saldo]]&gt;tabItens[[#This Row],[PontoPed]], 0, (tabItens[[#This Row],[PontoPed]]-tabItens[[#This Row],[Saldo]])/tabItens[[#This Row],[PontoPed]] ) ), 0 )</f>
        <v>1</v>
      </c>
      <c r="BD11" s="321">
        <f>ROUNDDOWN(IF( OR( AND(tabItens[[#This Row],[PontoPed]]&lt;tabItens[[#This Row],[Saldo]],tabItens[[#This Row],[Saldo]]&gt;0), tabItens[[#This Row],[PontoPed]]=0), 99, IF(AND(tabItens[[#This Row],[Saldo]]=0,tabItens[[#This Row],[PontoPed]]&gt;0), 0, (1-tabItens[[#This Row],[PctAb]])*10 ) ),0)</f>
        <v>0</v>
      </c>
      <c r="BE11" s="322">
        <f>MAX(ROUNDDOWN( IF(tabItens[[#This Row],[Abaixo]] &gt; 0,   tabItens[[#This Row],[Abaixo]] + (tabItens[[#This Row],[PontoMês]] * IF( OR( ISBLANK(tabItens[[#This Row],[ATA Nº/ANO]]), tabItens[[#This Row],[ATA Nº/ANO]] = ""),BE$2,BE$1)),0),0),0)</f>
        <v>6910</v>
      </c>
      <c r="BF1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11" s="323">
        <f>SUMIF(Consumo!$C$3:$C$869,tabItens[[#This Row],[CÓDIGO]],Consumo!$E$3:$E$869)</f>
        <v>405</v>
      </c>
      <c r="BH11" s="324">
        <f>IF(AND(tabItens[[#This Row],[Pend]] &gt; 0,tabItens[[#This Row],[Consumo]] &lt;&gt; 0), tabItens[[#This Row],[Pend]] / tabItens[[#This Row],[Consumo]], 0 )</f>
        <v>6.8389057750759874E-2</v>
      </c>
      <c r="BI11" s="323"/>
      <c r="BJ11" s="323"/>
      <c r="BK11" s="325" t="s">
        <v>2064</v>
      </c>
    </row>
    <row r="12" spans="1:63" hidden="1" x14ac:dyDescent="0.3">
      <c r="A12" s="286">
        <v>131935</v>
      </c>
      <c r="B12" s="287" t="s">
        <v>1810</v>
      </c>
      <c r="C12" s="288" t="s">
        <v>31</v>
      </c>
      <c r="D12" s="289">
        <v>2.56</v>
      </c>
      <c r="E12" s="290"/>
      <c r="F12" s="290"/>
      <c r="G12" s="290" t="s">
        <v>883</v>
      </c>
      <c r="H12" s="291"/>
      <c r="I12" s="292">
        <v>103003</v>
      </c>
      <c r="J12" s="293">
        <v>2.56</v>
      </c>
      <c r="K12" s="294">
        <v>7267</v>
      </c>
      <c r="L12" s="295">
        <f>IF(tabItens[[#This Row],[Média]] &gt; 0, tabItens[[#This Row],[QTDE ATUAL]] / tabItens[[#This Row],[Média]],999.9)</f>
        <v>0</v>
      </c>
      <c r="M12" s="296">
        <v>0</v>
      </c>
      <c r="N12" s="297">
        <f>tabItens[[#This Row],[VALOR UNIT.]] * tabItens[[#This Row],[LC]]</f>
        <v>0</v>
      </c>
      <c r="O12" s="298"/>
      <c r="P12" s="299"/>
      <c r="Q12" s="300"/>
      <c r="R12" s="297"/>
      <c r="S12" s="301"/>
      <c r="T12" s="302">
        <f>ROUNDDOWN(IFERROR(tabItens[[#This Row],[ATA DT.VALID.]] - $D$1,0) / 30,0)</f>
        <v>-1504</v>
      </c>
      <c r="U12" s="287" t="s">
        <v>931</v>
      </c>
      <c r="V12" s="303">
        <v>1</v>
      </c>
      <c r="W12" s="304" t="s">
        <v>2052</v>
      </c>
      <c r="X12" s="305">
        <v>45</v>
      </c>
      <c r="Y12" s="306">
        <v>9</v>
      </c>
      <c r="Z12" s="307"/>
      <c r="AA12" s="308"/>
      <c r="AB12" s="309"/>
      <c r="AC12" s="309"/>
      <c r="AD12" s="308"/>
      <c r="AE12" s="309"/>
      <c r="AF12" s="302"/>
      <c r="AG12" s="310" t="s">
        <v>2050</v>
      </c>
      <c r="AH12" s="311"/>
      <c r="AI12" s="302">
        <v>2502</v>
      </c>
      <c r="AJ12" s="311">
        <v>44950</v>
      </c>
      <c r="AK12" s="311">
        <v>42590</v>
      </c>
      <c r="AL12" s="311">
        <v>44910</v>
      </c>
      <c r="AM12" s="301"/>
      <c r="AN12" s="290"/>
      <c r="AO12" s="312" t="str">
        <f>_xlfn.IFNA(IF(VLOOKUP(tabItens[[#This Row],[CÓDIGO]],tabExcluirDoEstoque[#Data],1,FALSE),"sim",""),"")</f>
        <v/>
      </c>
      <c r="AP12" s="313" t="str">
        <f ca="1">IF(OR(ISBLANK(tabItens[[#This Row],[ATA DT.VALID.]]),tabItens[[#This Row],[ATA DT.VALID.]]="",tabItens[[#This Row],[ATA DT.VALID.]]=" "),"",IF(TYPE(tabItens[[#This Row],[ATA DT.VALID.]])=1,ROUNDUP((tabItens[[#This Row],[ATA DT.VALID.]]-TODAY())/7,0),""))</f>
        <v/>
      </c>
      <c r="AQ12" s="314"/>
      <c r="AR12" s="315" t="str">
        <f>IF(ISBLANK(tabItens[[#This Row],[CÓDIGO]]),"",IFERROR(VLOOKUP(tabItens[[#This Row],[CÓDIGO]],Consumo!$C$2:$AC$869,26,FALSE),0))</f>
        <v>07.2023</v>
      </c>
      <c r="AS12" s="316">
        <f>SUMIF(Consumo!$C$3:$C$869,tabItens[[#This Row],[CÓDIGO]],Consumo!$N$3:$N$869) + SUMIF(Consumo!$C$3:$C$869,tabItens[[#This Row],[CÓDIGO]],Consumo!$O$3:$O$869) + SUMIF(Consumo!$C$3:$C$869,tabItens[[#This Row],[CÓDIGO]],Consumo!$P$3:$P$869) + SUMIF(Consumo!$C$3:$C$869,tabItens[[#This Row],[CÓDIGO]],Consumo!$Q$3:$Q$869)</f>
        <v>403</v>
      </c>
      <c r="AT12" s="316">
        <f>SUMIF(Consumo!$C$3:$C$869,tabItens[[#This Row],[CÓDIGO]],Consumo!$Z$3:$Z$869)</f>
        <v>7617</v>
      </c>
      <c r="AU12" s="317">
        <f>SUMIF(Consumo!$C$3:$C$869,tabItens[[#This Row],[CÓDIGO]],Consumo!$AA$3:$AA$869)</f>
        <v>6500</v>
      </c>
      <c r="AV12" s="318">
        <f>SUMIF(Consumo!$C$3:$C$869,tabItens[[#This Row],[CÓDIGO]],Consumo!$Y$3:$Y$869)</f>
        <v>442.41666666666669</v>
      </c>
      <c r="AW12" s="291">
        <f>tabItens[[#This Row],[QTDE ATUAL]] + tabItens[[#This Row],[RC QTDE]] + tabItens[[#This Row],[AF SALDO]] + tabItens[[#This Row],[Recentes]]</f>
        <v>0</v>
      </c>
      <c r="AX12" s="319">
        <v>834</v>
      </c>
      <c r="AY12" s="319">
        <v>4</v>
      </c>
      <c r="AZ12" s="319">
        <f>IF(ISBLANK(tabItens[[#This Row],[CÓDIGO]]),"",tabItens[[#This Row],[PontoMês]] * (AZ$2+tabItens[[#This Row],[PontoQtM]]))</f>
        <v>3336</v>
      </c>
      <c r="BA12" s="318">
        <f>tabItens[[#This Row],[PontoPed]] - tabItens[[#This Row],[Saldo]] + (1/10)</f>
        <v>3336.1</v>
      </c>
      <c r="BB12" s="318">
        <f xml:space="preserve"> tabItens[[#This Row],[PontoMês]] * BB$2 - tabItens[[#This Row],[QTDE ATUAL]] - (1/10)</f>
        <v>833.9</v>
      </c>
      <c r="BC12" s="320">
        <f>IF( tabItens[[#This Row],[PontoPed]]&gt;0, IF(tabItens[[#This Row],[PontoPed]]&lt;1, 1, IF( tabItens[[#This Row],[Saldo]]&gt;tabItens[[#This Row],[PontoPed]], 0, (tabItens[[#This Row],[PontoPed]]-tabItens[[#This Row],[Saldo]])/tabItens[[#This Row],[PontoPed]] ) ), 0 )</f>
        <v>1</v>
      </c>
      <c r="BD12" s="321">
        <f>ROUNDDOWN(IF( OR( AND(tabItens[[#This Row],[PontoPed]]&lt;tabItens[[#This Row],[Saldo]],tabItens[[#This Row],[Saldo]]&gt;0), tabItens[[#This Row],[PontoPed]]=0), 99, IF(AND(tabItens[[#This Row],[Saldo]]=0,tabItens[[#This Row],[PontoPed]]&gt;0), 0, (1-tabItens[[#This Row],[PctAb]])*10 ) ),0)</f>
        <v>0</v>
      </c>
      <c r="BE12" s="322">
        <f>MAX(ROUNDDOWN( IF(tabItens[[#This Row],[Abaixo]] &gt; 0,   tabItens[[#This Row],[Abaixo]] + (tabItens[[#This Row],[PontoMês]] * IF( OR( ISBLANK(tabItens[[#This Row],[ATA Nº/ANO]]), tabItens[[#This Row],[ATA Nº/ANO]] = ""),BE$2,BE$1)),0),0),0)</f>
        <v>8340</v>
      </c>
      <c r="BF1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8340</v>
      </c>
      <c r="BG12" s="323">
        <f>SUMIF(Consumo!$C$3:$C$869,tabItens[[#This Row],[CÓDIGO]],Consumo!$E$3:$E$869)</f>
        <v>113</v>
      </c>
      <c r="BH12" s="324">
        <f>IF(AND(tabItens[[#This Row],[Pend]] &gt; 0,tabItens[[#This Row],[Consumo]] &lt;&gt; 0), tabItens[[#This Row],[Pend]] / tabItens[[#This Row],[Consumo]], 0 )</f>
        <v>1.483523696993567E-2</v>
      </c>
      <c r="BI12" s="323"/>
      <c r="BJ12" s="323"/>
      <c r="BK12" s="325" t="s">
        <v>2064</v>
      </c>
    </row>
    <row r="13" spans="1:63" hidden="1" x14ac:dyDescent="0.3">
      <c r="A13" s="286">
        <v>135297</v>
      </c>
      <c r="B13" s="287" t="s">
        <v>1898</v>
      </c>
      <c r="C13" s="288" t="s">
        <v>413</v>
      </c>
      <c r="D13" s="289">
        <v>9.1199999999999992</v>
      </c>
      <c r="E13" s="290"/>
      <c r="F13" s="290"/>
      <c r="G13" s="290" t="s">
        <v>883</v>
      </c>
      <c r="H13" s="291"/>
      <c r="I13" s="292">
        <v>103003</v>
      </c>
      <c r="J13" s="293">
        <v>9.1199999999999992</v>
      </c>
      <c r="K13" s="294">
        <v>13620</v>
      </c>
      <c r="L13" s="295">
        <f>IF(tabItens[[#This Row],[Média]] &gt; 0, tabItens[[#This Row],[QTDE ATUAL]] / tabItens[[#This Row],[Média]],999.9)</f>
        <v>0</v>
      </c>
      <c r="M13" s="296">
        <v>0</v>
      </c>
      <c r="N13" s="297">
        <f>tabItens[[#This Row],[VALOR UNIT.]] * tabItens[[#This Row],[LC]]</f>
        <v>0</v>
      </c>
      <c r="O13" s="298"/>
      <c r="P13" s="299"/>
      <c r="Q13" s="300"/>
      <c r="R13" s="297"/>
      <c r="S13" s="301"/>
      <c r="T13" s="302">
        <f>ROUNDDOWN(IFERROR(tabItens[[#This Row],[ATA DT.VALID.]] - $D$1,0) / 30,0)</f>
        <v>-1504</v>
      </c>
      <c r="U13" s="287" t="s">
        <v>931</v>
      </c>
      <c r="V13" s="303">
        <v>1</v>
      </c>
      <c r="W13" s="304" t="s">
        <v>2052</v>
      </c>
      <c r="X13" s="305">
        <v>45</v>
      </c>
      <c r="Y13" s="306">
        <v>9</v>
      </c>
      <c r="Z13" s="307"/>
      <c r="AA13" s="308"/>
      <c r="AB13" s="309"/>
      <c r="AC13" s="309"/>
      <c r="AD13" s="308"/>
      <c r="AE13" s="309"/>
      <c r="AF13" s="302"/>
      <c r="AG13" s="310" t="s">
        <v>2050</v>
      </c>
      <c r="AH13" s="311"/>
      <c r="AI13" s="302">
        <v>4676</v>
      </c>
      <c r="AJ13" s="311">
        <v>44991</v>
      </c>
      <c r="AK13" s="311">
        <v>43277</v>
      </c>
      <c r="AL13" s="311">
        <v>44959</v>
      </c>
      <c r="AM13" s="301"/>
      <c r="AN13" s="290"/>
      <c r="AO13" s="312" t="str">
        <f>_xlfn.IFNA(IF(VLOOKUP(tabItens[[#This Row],[CÓDIGO]],tabExcluirDoEstoque[#Data],1,FALSE),"sim",""),"")</f>
        <v/>
      </c>
      <c r="AP13" s="313" t="str">
        <f ca="1">IF(OR(ISBLANK(tabItens[[#This Row],[ATA DT.VALID.]]),tabItens[[#This Row],[ATA DT.VALID.]]="",tabItens[[#This Row],[ATA DT.VALID.]]=" "),"",IF(TYPE(tabItens[[#This Row],[ATA DT.VALID.]])=1,ROUNDUP((tabItens[[#This Row],[ATA DT.VALID.]]-TODAY())/7,0),""))</f>
        <v/>
      </c>
      <c r="AQ13" s="314"/>
      <c r="AR13" s="315" t="str">
        <f>IF(ISBLANK(tabItens[[#This Row],[CÓDIGO]]),"",IFERROR(VLOOKUP(tabItens[[#This Row],[CÓDIGO]],Consumo!$C$2:$AC$869,26,FALSE),0))</f>
        <v>07.2023</v>
      </c>
      <c r="AS13" s="316">
        <f>SUMIF(Consumo!$C$3:$C$869,tabItens[[#This Row],[CÓDIGO]],Consumo!$N$3:$N$869) + SUMIF(Consumo!$C$3:$C$869,tabItens[[#This Row],[CÓDIGO]],Consumo!$O$3:$O$869) + SUMIF(Consumo!$C$3:$C$869,tabItens[[#This Row],[CÓDIGO]],Consumo!$P$3:$P$869) + SUMIF(Consumo!$C$3:$C$869,tabItens[[#This Row],[CÓDIGO]],Consumo!$Q$3:$Q$869)</f>
        <v>400</v>
      </c>
      <c r="AT13" s="316">
        <f>SUMIF(Consumo!$C$3:$C$869,tabItens[[#This Row],[CÓDIGO]],Consumo!$Z$3:$Z$869)</f>
        <v>14055</v>
      </c>
      <c r="AU13" s="317">
        <f>SUMIF(Consumo!$C$3:$C$869,tabItens[[#This Row],[CÓDIGO]],Consumo!$AA$3:$AA$869)</f>
        <v>12925</v>
      </c>
      <c r="AV13" s="318">
        <f>SUMIF(Consumo!$C$3:$C$869,tabItens[[#This Row],[CÓDIGO]],Consumo!$Y$3:$Y$869)</f>
        <v>784.91666666666663</v>
      </c>
      <c r="AW13" s="291">
        <f>tabItens[[#This Row],[QTDE ATUAL]] + tabItens[[#This Row],[RC QTDE]] + tabItens[[#This Row],[AF SALDO]] + tabItens[[#This Row],[Recentes]]</f>
        <v>0</v>
      </c>
      <c r="AX13" s="319">
        <v>624</v>
      </c>
      <c r="AY13" s="319">
        <v>4</v>
      </c>
      <c r="AZ13" s="319">
        <f>IF(ISBLANK(tabItens[[#This Row],[CÓDIGO]]),"",tabItens[[#This Row],[PontoMês]] * (AZ$2+tabItens[[#This Row],[PontoQtM]]))</f>
        <v>2496</v>
      </c>
      <c r="BA13" s="318">
        <f>tabItens[[#This Row],[PontoPed]] - tabItens[[#This Row],[Saldo]] + (1/10)</f>
        <v>2496.1</v>
      </c>
      <c r="BB13" s="318">
        <f xml:space="preserve"> tabItens[[#This Row],[PontoMês]] * BB$2 - tabItens[[#This Row],[QTDE ATUAL]] - (1/10)</f>
        <v>623.9</v>
      </c>
      <c r="BC13" s="320">
        <f>IF( tabItens[[#This Row],[PontoPed]]&gt;0, IF(tabItens[[#This Row],[PontoPed]]&lt;1, 1, IF( tabItens[[#This Row],[Saldo]]&gt;tabItens[[#This Row],[PontoPed]], 0, (tabItens[[#This Row],[PontoPed]]-tabItens[[#This Row],[Saldo]])/tabItens[[#This Row],[PontoPed]] ) ), 0 )</f>
        <v>1</v>
      </c>
      <c r="BD13" s="321">
        <f>ROUNDDOWN(IF( OR( AND(tabItens[[#This Row],[PontoPed]]&lt;tabItens[[#This Row],[Saldo]],tabItens[[#This Row],[Saldo]]&gt;0), tabItens[[#This Row],[PontoPed]]=0), 99, IF(AND(tabItens[[#This Row],[Saldo]]=0,tabItens[[#This Row],[PontoPed]]&gt;0), 0, (1-tabItens[[#This Row],[PctAb]])*10 ) ),0)</f>
        <v>0</v>
      </c>
      <c r="BE13" s="322">
        <f>MAX(ROUNDDOWN( IF(tabItens[[#This Row],[Abaixo]] &gt; 0,   tabItens[[#This Row],[Abaixo]] + (tabItens[[#This Row],[PontoMês]] * IF( OR( ISBLANK(tabItens[[#This Row],[ATA Nº/ANO]]), tabItens[[#This Row],[ATA Nº/ANO]] = ""),BE$2,BE$1)),0),0),0)</f>
        <v>6240</v>
      </c>
      <c r="BF1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6240</v>
      </c>
      <c r="BG13" s="323">
        <f>SUMIF(Consumo!$C$3:$C$869,tabItens[[#This Row],[CÓDIGO]],Consumo!$E$3:$E$869)</f>
        <v>29</v>
      </c>
      <c r="BH13" s="324">
        <f>IF(AND(tabItens[[#This Row],[Pend]] &gt; 0,tabItens[[#This Row],[Consumo]] &lt;&gt; 0), tabItens[[#This Row],[Pend]] / tabItens[[#This Row],[Consumo]], 0 )</f>
        <v>2.0633226609747422E-3</v>
      </c>
      <c r="BI13" s="323"/>
      <c r="BJ13" s="323"/>
      <c r="BK13" s="325" t="s">
        <v>2064</v>
      </c>
    </row>
    <row r="14" spans="1:63" hidden="1" x14ac:dyDescent="0.3">
      <c r="A14" s="286">
        <v>138461</v>
      </c>
      <c r="B14" s="287" t="s">
        <v>1959</v>
      </c>
      <c r="C14" s="288" t="s">
        <v>1960</v>
      </c>
      <c r="D14" s="289">
        <v>8.5299999999999994</v>
      </c>
      <c r="E14" s="290"/>
      <c r="F14" s="290"/>
      <c r="G14" s="290" t="s">
        <v>883</v>
      </c>
      <c r="H14" s="291"/>
      <c r="I14" s="292">
        <v>103003</v>
      </c>
      <c r="J14" s="293">
        <v>8.5299999999999994</v>
      </c>
      <c r="K14" s="294">
        <v>10477</v>
      </c>
      <c r="L14" s="295">
        <f>IF(tabItens[[#This Row],[Média]] &gt; 0, tabItens[[#This Row],[QTDE ATUAL]] / tabItens[[#This Row],[Média]],999.9)</f>
        <v>0</v>
      </c>
      <c r="M14" s="296">
        <v>0</v>
      </c>
      <c r="N14" s="297">
        <f>tabItens[[#This Row],[VALOR UNIT.]] * tabItens[[#This Row],[LC]]</f>
        <v>0</v>
      </c>
      <c r="O14" s="298"/>
      <c r="P14" s="299"/>
      <c r="Q14" s="300"/>
      <c r="R14" s="297"/>
      <c r="S14" s="301"/>
      <c r="T14" s="302">
        <f>ROUNDDOWN(IFERROR(tabItens[[#This Row],[ATA DT.VALID.]] - $D$1,0) / 30,0)</f>
        <v>-1504</v>
      </c>
      <c r="U14" s="287" t="s">
        <v>931</v>
      </c>
      <c r="V14" s="303">
        <v>1</v>
      </c>
      <c r="W14" s="304" t="s">
        <v>2052</v>
      </c>
      <c r="X14" s="305">
        <v>45</v>
      </c>
      <c r="Y14" s="306">
        <v>9</v>
      </c>
      <c r="Z14" s="307"/>
      <c r="AA14" s="308"/>
      <c r="AB14" s="309"/>
      <c r="AC14" s="309"/>
      <c r="AD14" s="308"/>
      <c r="AE14" s="309"/>
      <c r="AF14" s="302"/>
      <c r="AG14" s="310" t="s">
        <v>2050</v>
      </c>
      <c r="AH14" s="311"/>
      <c r="AI14" s="302">
        <v>7060</v>
      </c>
      <c r="AJ14" s="311">
        <v>45090</v>
      </c>
      <c r="AK14" s="311">
        <v>43720</v>
      </c>
      <c r="AL14" s="311">
        <v>45079</v>
      </c>
      <c r="AM14" s="301"/>
      <c r="AN14" s="290"/>
      <c r="AO14" s="312" t="str">
        <f>_xlfn.IFNA(IF(VLOOKUP(tabItens[[#This Row],[CÓDIGO]],tabExcluirDoEstoque[#Data],1,FALSE),"sim",""),"")</f>
        <v/>
      </c>
      <c r="AP14" s="313" t="str">
        <f ca="1">IF(OR(ISBLANK(tabItens[[#This Row],[ATA DT.VALID.]]),tabItens[[#This Row],[ATA DT.VALID.]]="",tabItens[[#This Row],[ATA DT.VALID.]]=" "),"",IF(TYPE(tabItens[[#This Row],[ATA DT.VALID.]])=1,ROUNDUP((tabItens[[#This Row],[ATA DT.VALID.]]-TODAY())/7,0),""))</f>
        <v/>
      </c>
      <c r="AQ14" s="314"/>
      <c r="AR14" s="315" t="str">
        <f>IF(ISBLANK(tabItens[[#This Row],[CÓDIGO]]),"",IFERROR(VLOOKUP(tabItens[[#This Row],[CÓDIGO]],Consumo!$C$2:$AC$869,26,FALSE),0))</f>
        <v>07.2023</v>
      </c>
      <c r="AS14" s="316">
        <f>SUMIF(Consumo!$C$3:$C$869,tabItens[[#This Row],[CÓDIGO]],Consumo!$N$3:$N$869) + SUMIF(Consumo!$C$3:$C$869,tabItens[[#This Row],[CÓDIGO]],Consumo!$O$3:$O$869) + SUMIF(Consumo!$C$3:$C$869,tabItens[[#This Row],[CÓDIGO]],Consumo!$P$3:$P$869) + SUMIF(Consumo!$C$3:$C$869,tabItens[[#This Row],[CÓDIGO]],Consumo!$Q$3:$Q$869)</f>
        <v>1410</v>
      </c>
      <c r="AT14" s="316">
        <f>SUMIF(Consumo!$C$3:$C$869,tabItens[[#This Row],[CÓDIGO]],Consumo!$Z$3:$Z$869)</f>
        <v>13813</v>
      </c>
      <c r="AU14" s="317">
        <f>SUMIF(Consumo!$C$3:$C$869,tabItens[[#This Row],[CÓDIGO]],Consumo!$AA$3:$AA$869)</f>
        <v>6228</v>
      </c>
      <c r="AV14" s="318">
        <f>SUMIF(Consumo!$C$3:$C$869,tabItens[[#This Row],[CÓDIGO]],Consumo!$Y$3:$Y$869)</f>
        <v>993.08333333333337</v>
      </c>
      <c r="AW14" s="291">
        <f>tabItens[[#This Row],[QTDE ATUAL]] + tabItens[[#This Row],[RC QTDE]] + tabItens[[#This Row],[AF SALDO]] + tabItens[[#This Row],[Recentes]]</f>
        <v>0</v>
      </c>
      <c r="AX14" s="319">
        <v>3095</v>
      </c>
      <c r="AY14" s="319">
        <v>4</v>
      </c>
      <c r="AZ14" s="319">
        <f>IF(ISBLANK(tabItens[[#This Row],[CÓDIGO]]),"",tabItens[[#This Row],[PontoMês]] * (AZ$2+tabItens[[#This Row],[PontoQtM]]))</f>
        <v>12380</v>
      </c>
      <c r="BA14" s="318">
        <f>tabItens[[#This Row],[PontoPed]] - tabItens[[#This Row],[Saldo]] + (1/10)</f>
        <v>12380.1</v>
      </c>
      <c r="BB14" s="318">
        <f xml:space="preserve"> tabItens[[#This Row],[PontoMês]] * BB$2 - tabItens[[#This Row],[QTDE ATUAL]] - (1/10)</f>
        <v>3094.9</v>
      </c>
      <c r="BC14" s="320">
        <f>IF( tabItens[[#This Row],[PontoPed]]&gt;0, IF(tabItens[[#This Row],[PontoPed]]&lt;1, 1, IF( tabItens[[#This Row],[Saldo]]&gt;tabItens[[#This Row],[PontoPed]], 0, (tabItens[[#This Row],[PontoPed]]-tabItens[[#This Row],[Saldo]])/tabItens[[#This Row],[PontoPed]] ) ), 0 )</f>
        <v>1</v>
      </c>
      <c r="BD14" s="321">
        <f>ROUNDDOWN(IF( OR( AND(tabItens[[#This Row],[PontoPed]]&lt;tabItens[[#This Row],[Saldo]],tabItens[[#This Row],[Saldo]]&gt;0), tabItens[[#This Row],[PontoPed]]=0), 99, IF(AND(tabItens[[#This Row],[Saldo]]=0,tabItens[[#This Row],[PontoPed]]&gt;0), 0, (1-tabItens[[#This Row],[PctAb]])*10 ) ),0)</f>
        <v>0</v>
      </c>
      <c r="BE14" s="322">
        <f>MAX(ROUNDDOWN( IF(tabItens[[#This Row],[Abaixo]] &gt; 0,   tabItens[[#This Row],[Abaixo]] + (tabItens[[#This Row],[PontoMês]] * IF( OR( ISBLANK(tabItens[[#This Row],[ATA Nº/ANO]]), tabItens[[#This Row],[ATA Nº/ANO]] = ""),BE$2,BE$1)),0),0),0)</f>
        <v>30950</v>
      </c>
      <c r="BF1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30950</v>
      </c>
      <c r="BG14" s="323">
        <f>SUMIF(Consumo!$C$3:$C$869,tabItens[[#This Row],[CÓDIGO]],Consumo!$E$3:$E$869)</f>
        <v>1162</v>
      </c>
      <c r="BH14" s="324">
        <f>IF(AND(tabItens[[#This Row],[Pend]] &gt; 0,tabItens[[#This Row],[Consumo]] &lt;&gt; 0), tabItens[[#This Row],[Pend]] / tabItens[[#This Row],[Consumo]], 0 )</f>
        <v>8.4123651632520086E-2</v>
      </c>
      <c r="BI14" s="323"/>
      <c r="BJ14" s="323"/>
      <c r="BK14" s="325" t="s">
        <v>2064</v>
      </c>
    </row>
    <row r="15" spans="1:63" hidden="1" x14ac:dyDescent="0.3">
      <c r="A15" s="286">
        <v>139141</v>
      </c>
      <c r="B15" s="287" t="s">
        <v>1973</v>
      </c>
      <c r="C15" s="288" t="s">
        <v>31</v>
      </c>
      <c r="D15" s="289">
        <v>5.65</v>
      </c>
      <c r="E15" s="290"/>
      <c r="F15" s="290"/>
      <c r="G15" s="290" t="s">
        <v>883</v>
      </c>
      <c r="H15" s="291"/>
      <c r="I15" s="292">
        <v>103003</v>
      </c>
      <c r="J15" s="293">
        <v>3.7949999999999999</v>
      </c>
      <c r="K15" s="294">
        <v>3282</v>
      </c>
      <c r="L15" s="295">
        <f>IF(tabItens[[#This Row],[Média]] &gt; 0, tabItens[[#This Row],[QTDE ATUAL]] / tabItens[[#This Row],[Média]],999.9)</f>
        <v>0</v>
      </c>
      <c r="M15" s="296"/>
      <c r="N15" s="297">
        <f>tabItens[[#This Row],[VALOR UNIT.]] * tabItens[[#This Row],[LC]]</f>
        <v>0</v>
      </c>
      <c r="O15" s="298"/>
      <c r="P15" s="299"/>
      <c r="Q15" s="300"/>
      <c r="R15" s="297"/>
      <c r="S15" s="301"/>
      <c r="T15" s="302">
        <f>ROUNDDOWN(IFERROR(tabItens[[#This Row],[ATA DT.VALID.]] - $D$1,0) / 30,0)</f>
        <v>-1504</v>
      </c>
      <c r="U15" s="287" t="s">
        <v>931</v>
      </c>
      <c r="V15" s="303">
        <v>1</v>
      </c>
      <c r="W15" s="304" t="s">
        <v>2052</v>
      </c>
      <c r="X15" s="305">
        <v>45</v>
      </c>
      <c r="Y15" s="306">
        <v>9</v>
      </c>
      <c r="Z15" s="307"/>
      <c r="AA15" s="308"/>
      <c r="AB15" s="309"/>
      <c r="AC15" s="309"/>
      <c r="AD15" s="308"/>
      <c r="AE15" s="309"/>
      <c r="AF15" s="302"/>
      <c r="AG15" s="310" t="s">
        <v>2050</v>
      </c>
      <c r="AH15" s="311"/>
      <c r="AI15" s="302">
        <v>1262</v>
      </c>
      <c r="AJ15" s="311">
        <v>45057</v>
      </c>
      <c r="AK15" s="311">
        <v>43881</v>
      </c>
      <c r="AL15" s="311">
        <v>45044</v>
      </c>
      <c r="AM15" s="301"/>
      <c r="AN15" s="290"/>
      <c r="AO15" s="312" t="str">
        <f>_xlfn.IFNA(IF(VLOOKUP(tabItens[[#This Row],[CÓDIGO]],tabExcluirDoEstoque[#Data],1,FALSE),"sim",""),"")</f>
        <v/>
      </c>
      <c r="AP15" s="313" t="str">
        <f ca="1">IF(OR(ISBLANK(tabItens[[#This Row],[ATA DT.VALID.]]),tabItens[[#This Row],[ATA DT.VALID.]]="",tabItens[[#This Row],[ATA DT.VALID.]]=" "),"",IF(TYPE(tabItens[[#This Row],[ATA DT.VALID.]])=1,ROUNDUP((tabItens[[#This Row],[ATA DT.VALID.]]-TODAY())/7,0),""))</f>
        <v/>
      </c>
      <c r="AQ15" s="314"/>
      <c r="AR15" s="315" t="str">
        <f>IF(ISBLANK(tabItens[[#This Row],[CÓDIGO]]),"",IFERROR(VLOOKUP(tabItens[[#This Row],[CÓDIGO]],Consumo!$C$2:$AC$869,26,FALSE),0))</f>
        <v>07.2023</v>
      </c>
      <c r="AS15" s="316">
        <f>SUMIF(Consumo!$C$3:$C$869,tabItens[[#This Row],[CÓDIGO]],Consumo!$N$3:$N$869) + SUMIF(Consumo!$C$3:$C$869,tabItens[[#This Row],[CÓDIGO]],Consumo!$O$3:$O$869) + SUMIF(Consumo!$C$3:$C$869,tabItens[[#This Row],[CÓDIGO]],Consumo!$P$3:$P$869) + SUMIF(Consumo!$C$3:$C$869,tabItens[[#This Row],[CÓDIGO]],Consumo!$Q$3:$Q$869)</f>
        <v>380</v>
      </c>
      <c r="AT15" s="316">
        <f>SUMIF(Consumo!$C$3:$C$869,tabItens[[#This Row],[CÓDIGO]],Consumo!$Z$3:$Z$869)</f>
        <v>3888</v>
      </c>
      <c r="AU15" s="317">
        <f>SUMIF(Consumo!$C$3:$C$869,tabItens[[#This Row],[CÓDIGO]],Consumo!$AA$3:$AA$869)</f>
        <v>2526</v>
      </c>
      <c r="AV15" s="318">
        <f>SUMIF(Consumo!$C$3:$C$869,tabItens[[#This Row],[CÓDIGO]],Consumo!$Y$3:$Y$869)</f>
        <v>252.16666666666666</v>
      </c>
      <c r="AW15" s="291">
        <f>tabItens[[#This Row],[QTDE ATUAL]] + tabItens[[#This Row],[RC QTDE]] + tabItens[[#This Row],[AF SALDO]] + tabItens[[#This Row],[Recentes]]</f>
        <v>0</v>
      </c>
      <c r="AX15" s="319">
        <v>5228</v>
      </c>
      <c r="AY15" s="319">
        <v>4</v>
      </c>
      <c r="AZ15" s="319">
        <f>IF(ISBLANK(tabItens[[#This Row],[CÓDIGO]]),"",tabItens[[#This Row],[PontoMês]] * (AZ$2+tabItens[[#This Row],[PontoQtM]]))</f>
        <v>20912</v>
      </c>
      <c r="BA15" s="318">
        <f>tabItens[[#This Row],[PontoPed]] - tabItens[[#This Row],[Saldo]] + (1/10)</f>
        <v>20912.099999999999</v>
      </c>
      <c r="BB15" s="318">
        <f xml:space="preserve"> tabItens[[#This Row],[PontoMês]] * BB$2 - tabItens[[#This Row],[QTDE ATUAL]] - (1/10)</f>
        <v>5227.8999999999996</v>
      </c>
      <c r="BC15" s="320">
        <f>IF( tabItens[[#This Row],[PontoPed]]&gt;0, IF(tabItens[[#This Row],[PontoPed]]&lt;1, 1, IF( tabItens[[#This Row],[Saldo]]&gt;tabItens[[#This Row],[PontoPed]], 0, (tabItens[[#This Row],[PontoPed]]-tabItens[[#This Row],[Saldo]])/tabItens[[#This Row],[PontoPed]] ) ), 0 )</f>
        <v>1</v>
      </c>
      <c r="BD15" s="321">
        <f>ROUNDDOWN(IF( OR( AND(tabItens[[#This Row],[PontoPed]]&lt;tabItens[[#This Row],[Saldo]],tabItens[[#This Row],[Saldo]]&gt;0), tabItens[[#This Row],[PontoPed]]=0), 99, IF(AND(tabItens[[#This Row],[Saldo]]=0,tabItens[[#This Row],[PontoPed]]&gt;0), 0, (1-tabItens[[#This Row],[PctAb]])*10 ) ),0)</f>
        <v>0</v>
      </c>
      <c r="BE15" s="322">
        <f>MAX(ROUNDDOWN( IF(tabItens[[#This Row],[Abaixo]] &gt; 0,   tabItens[[#This Row],[Abaixo]] + (tabItens[[#This Row],[PontoMês]] * IF( OR( ISBLANK(tabItens[[#This Row],[ATA Nº/ANO]]), tabItens[[#This Row],[ATA Nº/ANO]] = ""),BE$2,BE$1)),0),0),0)</f>
        <v>52280</v>
      </c>
      <c r="BF1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52280</v>
      </c>
      <c r="BG15" s="323">
        <f>SUMIF(Consumo!$C$3:$C$869,tabItens[[#This Row],[CÓDIGO]],Consumo!$E$3:$E$869)</f>
        <v>102</v>
      </c>
      <c r="BH15" s="324">
        <f>IF(AND(tabItens[[#This Row],[Pend]] &gt; 0,tabItens[[#This Row],[Consumo]] &lt;&gt; 0), tabItens[[#This Row],[Pend]] / tabItens[[#This Row],[Consumo]], 0 )</f>
        <v>2.6234567901234566E-2</v>
      </c>
      <c r="BI15" s="323"/>
      <c r="BJ15" s="323"/>
      <c r="BK15" s="325" t="s">
        <v>2064</v>
      </c>
    </row>
    <row r="16" spans="1:63" hidden="1" x14ac:dyDescent="0.3">
      <c r="A16" s="286">
        <v>139142</v>
      </c>
      <c r="B16" s="287" t="s">
        <v>1974</v>
      </c>
      <c r="C16" s="288" t="s">
        <v>31</v>
      </c>
      <c r="D16" s="289">
        <v>6.85</v>
      </c>
      <c r="E16" s="290"/>
      <c r="F16" s="290"/>
      <c r="G16" s="290" t="s">
        <v>883</v>
      </c>
      <c r="H16" s="291"/>
      <c r="I16" s="292">
        <v>103003</v>
      </c>
      <c r="J16" s="293">
        <v>4.625</v>
      </c>
      <c r="K16" s="294">
        <v>3483</v>
      </c>
      <c r="L16" s="295">
        <f>IF(tabItens[[#This Row],[Média]] &gt; 0, tabItens[[#This Row],[QTDE ATUAL]] / tabItens[[#This Row],[Média]],999.9)</f>
        <v>0</v>
      </c>
      <c r="M16" s="296"/>
      <c r="N16" s="297">
        <f>tabItens[[#This Row],[VALOR UNIT.]] * tabItens[[#This Row],[LC]]</f>
        <v>0</v>
      </c>
      <c r="O16" s="298"/>
      <c r="P16" s="299"/>
      <c r="Q16" s="300"/>
      <c r="R16" s="297"/>
      <c r="S16" s="301"/>
      <c r="T16" s="302">
        <f>ROUNDDOWN(IFERROR(tabItens[[#This Row],[ATA DT.VALID.]] - $D$1,0) / 30,0)</f>
        <v>-1504</v>
      </c>
      <c r="U16" s="287" t="s">
        <v>931</v>
      </c>
      <c r="V16" s="303">
        <v>1</v>
      </c>
      <c r="W16" s="304" t="s">
        <v>2052</v>
      </c>
      <c r="X16" s="305">
        <v>45</v>
      </c>
      <c r="Y16" s="306">
        <v>9</v>
      </c>
      <c r="Z16" s="307"/>
      <c r="AA16" s="308"/>
      <c r="AB16" s="309"/>
      <c r="AC16" s="309"/>
      <c r="AD16" s="308"/>
      <c r="AE16" s="309"/>
      <c r="AF16" s="302"/>
      <c r="AG16" s="310" t="s">
        <v>2050</v>
      </c>
      <c r="AH16" s="311"/>
      <c r="AI16" s="302">
        <v>1388</v>
      </c>
      <c r="AJ16" s="311">
        <v>45057</v>
      </c>
      <c r="AK16" s="311">
        <v>43881</v>
      </c>
      <c r="AL16" s="311">
        <v>45044</v>
      </c>
      <c r="AM16" s="301"/>
      <c r="AN16" s="290"/>
      <c r="AO16" s="312" t="str">
        <f>_xlfn.IFNA(IF(VLOOKUP(tabItens[[#This Row],[CÓDIGO]],tabExcluirDoEstoque[#Data],1,FALSE),"sim",""),"")</f>
        <v/>
      </c>
      <c r="AP16" s="313" t="str">
        <f ca="1">IF(OR(ISBLANK(tabItens[[#This Row],[ATA DT.VALID.]]),tabItens[[#This Row],[ATA DT.VALID.]]="",tabItens[[#This Row],[ATA DT.VALID.]]=" "),"",IF(TYPE(tabItens[[#This Row],[ATA DT.VALID.]])=1,ROUNDUP((tabItens[[#This Row],[ATA DT.VALID.]]-TODAY())/7,0),""))</f>
        <v/>
      </c>
      <c r="AQ16" s="314"/>
      <c r="AR16" s="315" t="str">
        <f>IF(ISBLANK(tabItens[[#This Row],[CÓDIGO]]),"",IFERROR(VLOOKUP(tabItens[[#This Row],[CÓDIGO]],Consumo!$C$2:$AC$869,26,FALSE),0))</f>
        <v>07.2023</v>
      </c>
      <c r="AS16" s="316">
        <f>SUMIF(Consumo!$C$3:$C$869,tabItens[[#This Row],[CÓDIGO]],Consumo!$N$3:$N$869) + SUMIF(Consumo!$C$3:$C$869,tabItens[[#This Row],[CÓDIGO]],Consumo!$O$3:$O$869) + SUMIF(Consumo!$C$3:$C$869,tabItens[[#This Row],[CÓDIGO]],Consumo!$P$3:$P$869) + SUMIF(Consumo!$C$3:$C$869,tabItens[[#This Row],[CÓDIGO]],Consumo!$Q$3:$Q$869)</f>
        <v>363</v>
      </c>
      <c r="AT16" s="316">
        <f>SUMIF(Consumo!$C$3:$C$869,tabItens[[#This Row],[CÓDIGO]],Consumo!$Z$3:$Z$869)</f>
        <v>4079</v>
      </c>
      <c r="AU16" s="317">
        <f>SUMIF(Consumo!$C$3:$C$869,tabItens[[#This Row],[CÓDIGO]],Consumo!$AA$3:$AA$869)</f>
        <v>2750</v>
      </c>
      <c r="AV16" s="318">
        <f>SUMIF(Consumo!$C$3:$C$869,tabItens[[#This Row],[CÓDIGO]],Consumo!$Y$3:$Y$869)</f>
        <v>261.25</v>
      </c>
      <c r="AW16" s="291">
        <f>tabItens[[#This Row],[QTDE ATUAL]] + tabItens[[#This Row],[RC QTDE]] + tabItens[[#This Row],[AF SALDO]] + tabItens[[#This Row],[Recentes]]</f>
        <v>0</v>
      </c>
      <c r="AX16" s="319">
        <v>5051</v>
      </c>
      <c r="AY16" s="319">
        <v>4</v>
      </c>
      <c r="AZ16" s="319">
        <f>IF(ISBLANK(tabItens[[#This Row],[CÓDIGO]]),"",tabItens[[#This Row],[PontoMês]] * (AZ$2+tabItens[[#This Row],[PontoQtM]]))</f>
        <v>20204</v>
      </c>
      <c r="BA16" s="318">
        <f>tabItens[[#This Row],[PontoPed]] - tabItens[[#This Row],[Saldo]] + (1/10)</f>
        <v>20204.099999999999</v>
      </c>
      <c r="BB16" s="318">
        <f xml:space="preserve"> tabItens[[#This Row],[PontoMês]] * BB$2 - tabItens[[#This Row],[QTDE ATUAL]] - (1/10)</f>
        <v>5050.8999999999996</v>
      </c>
      <c r="BC16" s="320">
        <f>IF( tabItens[[#This Row],[PontoPed]]&gt;0, IF(tabItens[[#This Row],[PontoPed]]&lt;1, 1, IF( tabItens[[#This Row],[Saldo]]&gt;tabItens[[#This Row],[PontoPed]], 0, (tabItens[[#This Row],[PontoPed]]-tabItens[[#This Row],[Saldo]])/tabItens[[#This Row],[PontoPed]] ) ), 0 )</f>
        <v>1</v>
      </c>
      <c r="BD16" s="321">
        <f>ROUNDDOWN(IF( OR( AND(tabItens[[#This Row],[PontoPed]]&lt;tabItens[[#This Row],[Saldo]],tabItens[[#This Row],[Saldo]]&gt;0), tabItens[[#This Row],[PontoPed]]=0), 99, IF(AND(tabItens[[#This Row],[Saldo]]=0,tabItens[[#This Row],[PontoPed]]&gt;0), 0, (1-tabItens[[#This Row],[PctAb]])*10 ) ),0)</f>
        <v>0</v>
      </c>
      <c r="BE16" s="322">
        <f>MAX(ROUNDDOWN( IF(tabItens[[#This Row],[Abaixo]] &gt; 0,   tabItens[[#This Row],[Abaixo]] + (tabItens[[#This Row],[PontoMês]] * IF( OR( ISBLANK(tabItens[[#This Row],[ATA Nº/ANO]]), tabItens[[#This Row],[ATA Nº/ANO]] = ""),BE$2,BE$1)),0),0),0)</f>
        <v>50510</v>
      </c>
      <c r="BF1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50510</v>
      </c>
      <c r="BG16" s="323">
        <f>SUMIF(Consumo!$C$3:$C$869,tabItens[[#This Row],[CÓDIGO]],Consumo!$E$3:$E$869)</f>
        <v>65</v>
      </c>
      <c r="BH16" s="324">
        <f>IF(AND(tabItens[[#This Row],[Pend]] &gt; 0,tabItens[[#This Row],[Consumo]] &lt;&gt; 0), tabItens[[#This Row],[Pend]] / tabItens[[#This Row],[Consumo]], 0 )</f>
        <v>1.5935278254474137E-2</v>
      </c>
      <c r="BI16" s="323"/>
      <c r="BJ16" s="323"/>
      <c r="BK16" s="325" t="s">
        <v>2064</v>
      </c>
    </row>
    <row r="17" spans="1:63" hidden="1" x14ac:dyDescent="0.3">
      <c r="A17" s="286">
        <v>139143</v>
      </c>
      <c r="B17" s="287" t="s">
        <v>1975</v>
      </c>
      <c r="C17" s="288" t="s">
        <v>31</v>
      </c>
      <c r="D17" s="289">
        <v>10.4</v>
      </c>
      <c r="E17" s="290"/>
      <c r="F17" s="290"/>
      <c r="G17" s="290" t="s">
        <v>883</v>
      </c>
      <c r="H17" s="291"/>
      <c r="I17" s="292">
        <v>103003</v>
      </c>
      <c r="J17" s="293">
        <v>10.4</v>
      </c>
      <c r="K17" s="294">
        <v>4832</v>
      </c>
      <c r="L17" s="295">
        <f>IF(tabItens[[#This Row],[Média]] &gt; 0, tabItens[[#This Row],[QTDE ATUAL]] / tabItens[[#This Row],[Média]],999.9)</f>
        <v>0</v>
      </c>
      <c r="M17" s="296"/>
      <c r="N17" s="297">
        <f>tabItens[[#This Row],[VALOR UNIT.]] * tabItens[[#This Row],[LC]]</f>
        <v>0</v>
      </c>
      <c r="O17" s="298"/>
      <c r="P17" s="299"/>
      <c r="Q17" s="300"/>
      <c r="R17" s="297"/>
      <c r="S17" s="301"/>
      <c r="T17" s="302">
        <f>ROUNDDOWN(IFERROR(tabItens[[#This Row],[ATA DT.VALID.]] - $D$1,0) / 30,0)</f>
        <v>-1504</v>
      </c>
      <c r="U17" s="287" t="s">
        <v>931</v>
      </c>
      <c r="V17" s="303">
        <v>1</v>
      </c>
      <c r="W17" s="304" t="s">
        <v>2052</v>
      </c>
      <c r="X17" s="305">
        <v>45</v>
      </c>
      <c r="Y17" s="306">
        <v>9</v>
      </c>
      <c r="Z17" s="307">
        <v>6978</v>
      </c>
      <c r="AA17" s="308">
        <v>2023</v>
      </c>
      <c r="AB17" s="309">
        <v>1100</v>
      </c>
      <c r="AC17" s="309"/>
      <c r="AD17" s="308"/>
      <c r="AE17" s="309"/>
      <c r="AF17" s="302"/>
      <c r="AG17" s="310" t="s">
        <v>2050</v>
      </c>
      <c r="AH17" s="311"/>
      <c r="AI17" s="302">
        <v>1838</v>
      </c>
      <c r="AJ17" s="311">
        <v>44974</v>
      </c>
      <c r="AK17" s="311">
        <v>43881</v>
      </c>
      <c r="AL17" s="311">
        <v>45044</v>
      </c>
      <c r="AM17" s="301"/>
      <c r="AN17" s="290"/>
      <c r="AO17" s="312" t="str">
        <f>_xlfn.IFNA(IF(VLOOKUP(tabItens[[#This Row],[CÓDIGO]],tabExcluirDoEstoque[#Data],1,FALSE),"sim",""),"")</f>
        <v/>
      </c>
      <c r="AP17" s="313" t="str">
        <f ca="1">IF(OR(ISBLANK(tabItens[[#This Row],[ATA DT.VALID.]]),tabItens[[#This Row],[ATA DT.VALID.]]="",tabItens[[#This Row],[ATA DT.VALID.]]=" "),"",IF(TYPE(tabItens[[#This Row],[ATA DT.VALID.]])=1,ROUNDUP((tabItens[[#This Row],[ATA DT.VALID.]]-TODAY())/7,0),""))</f>
        <v/>
      </c>
      <c r="AQ17" s="314"/>
      <c r="AR17" s="315" t="str">
        <f>IF(ISBLANK(tabItens[[#This Row],[CÓDIGO]]),"",IFERROR(VLOOKUP(tabItens[[#This Row],[CÓDIGO]],Consumo!$C$2:$AC$869,26,FALSE),0))</f>
        <v>07.2023</v>
      </c>
      <c r="AS17" s="316">
        <f>SUMIF(Consumo!$C$3:$C$869,tabItens[[#This Row],[CÓDIGO]],Consumo!$N$3:$N$869) + SUMIF(Consumo!$C$3:$C$869,tabItens[[#This Row],[CÓDIGO]],Consumo!$O$3:$O$869) + SUMIF(Consumo!$C$3:$C$869,tabItens[[#This Row],[CÓDIGO]],Consumo!$P$3:$P$869) + SUMIF(Consumo!$C$3:$C$869,tabItens[[#This Row],[CÓDIGO]],Consumo!$Q$3:$Q$869)</f>
        <v>569</v>
      </c>
      <c r="AT17" s="316">
        <f>SUMIF(Consumo!$C$3:$C$869,tabItens[[#This Row],[CÓDIGO]],Consumo!$Z$3:$Z$869)</f>
        <v>5515</v>
      </c>
      <c r="AU17" s="317">
        <f>SUMIF(Consumo!$C$3:$C$869,tabItens[[#This Row],[CÓDIGO]],Consumo!$AA$3:$AA$869)</f>
        <v>4066</v>
      </c>
      <c r="AV17" s="318">
        <f>SUMIF(Consumo!$C$3:$C$869,tabItens[[#This Row],[CÓDIGO]],Consumo!$Y$3:$Y$869)</f>
        <v>341.5</v>
      </c>
      <c r="AW17" s="291">
        <f>tabItens[[#This Row],[QTDE ATUAL]] + tabItens[[#This Row],[RC QTDE]] + tabItens[[#This Row],[AF SALDO]] + tabItens[[#This Row],[Recentes]]</f>
        <v>1100</v>
      </c>
      <c r="AX17" s="319">
        <v>5041</v>
      </c>
      <c r="AY17" s="319">
        <v>4</v>
      </c>
      <c r="AZ17" s="319">
        <f>IF(ISBLANK(tabItens[[#This Row],[CÓDIGO]]),"",tabItens[[#This Row],[PontoMês]] * (AZ$2+tabItens[[#This Row],[PontoQtM]]))</f>
        <v>20164</v>
      </c>
      <c r="BA17" s="318">
        <f>tabItens[[#This Row],[PontoPed]] - tabItens[[#This Row],[Saldo]] + (1/10)</f>
        <v>19064.099999999999</v>
      </c>
      <c r="BB17" s="318">
        <f xml:space="preserve"> tabItens[[#This Row],[PontoMês]] * BB$2 - tabItens[[#This Row],[QTDE ATUAL]] - (1/10)</f>
        <v>5040.8999999999996</v>
      </c>
      <c r="BC17" s="320">
        <f>IF( tabItens[[#This Row],[PontoPed]]&gt;0, IF(tabItens[[#This Row],[PontoPed]]&lt;1, 1, IF( tabItens[[#This Row],[Saldo]]&gt;tabItens[[#This Row],[PontoPed]], 0, (tabItens[[#This Row],[PontoPed]]-tabItens[[#This Row],[Saldo]])/tabItens[[#This Row],[PontoPed]] ) ), 0 )</f>
        <v>0.94544733187859553</v>
      </c>
      <c r="BD17" s="321">
        <f>ROUNDDOWN(IF( OR( AND(tabItens[[#This Row],[PontoPed]]&lt;tabItens[[#This Row],[Saldo]],tabItens[[#This Row],[Saldo]]&gt;0), tabItens[[#This Row],[PontoPed]]=0), 99, IF(AND(tabItens[[#This Row],[Saldo]]=0,tabItens[[#This Row],[PontoPed]]&gt;0), 0, (1-tabItens[[#This Row],[PctAb]])*10 ) ),0)</f>
        <v>0</v>
      </c>
      <c r="BE17" s="322">
        <f>MAX(ROUNDDOWN( IF(tabItens[[#This Row],[Abaixo]] &gt; 0,   tabItens[[#This Row],[Abaixo]] + (tabItens[[#This Row],[PontoMês]] * IF( OR( ISBLANK(tabItens[[#This Row],[ATA Nº/ANO]]), tabItens[[#This Row],[ATA Nº/ANO]] = ""),BE$2,BE$1)),0),0),0)</f>
        <v>49310</v>
      </c>
      <c r="BF1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49310</v>
      </c>
      <c r="BG17" s="323">
        <f>SUMIF(Consumo!$C$3:$C$869,tabItens[[#This Row],[CÓDIGO]],Consumo!$E$3:$E$869)</f>
        <v>3</v>
      </c>
      <c r="BH17" s="324">
        <f>IF(AND(tabItens[[#This Row],[Pend]] &gt; 0,tabItens[[#This Row],[Consumo]] &lt;&gt; 0), tabItens[[#This Row],[Pend]] / tabItens[[#This Row],[Consumo]], 0 )</f>
        <v>5.439709882139619E-4</v>
      </c>
      <c r="BI17" s="323"/>
      <c r="BJ17" s="323"/>
      <c r="BK17" s="325" t="s">
        <v>2064</v>
      </c>
    </row>
    <row r="18" spans="1:63" hidden="1" x14ac:dyDescent="0.3">
      <c r="A18" s="286">
        <v>138454</v>
      </c>
      <c r="B18" s="287" t="s">
        <v>1953</v>
      </c>
      <c r="C18" s="288" t="s">
        <v>31</v>
      </c>
      <c r="D18" s="289">
        <v>3.37</v>
      </c>
      <c r="E18" s="290"/>
      <c r="F18" s="290"/>
      <c r="G18" s="290" t="s">
        <v>883</v>
      </c>
      <c r="H18" s="291"/>
      <c r="I18" s="292">
        <v>103003</v>
      </c>
      <c r="J18" s="293">
        <v>3.37</v>
      </c>
      <c r="K18" s="294">
        <v>11132</v>
      </c>
      <c r="L18" s="295">
        <f>IF(tabItens[[#This Row],[Média]] &gt; 0, tabItens[[#This Row],[QTDE ATUAL]] / tabItens[[#This Row],[Média]],999.9)</f>
        <v>0</v>
      </c>
      <c r="M18" s="296"/>
      <c r="N18" s="297">
        <f>tabItens[[#This Row],[VALOR UNIT.]] * tabItens[[#This Row],[LC]]</f>
        <v>0</v>
      </c>
      <c r="O18" s="298"/>
      <c r="P18" s="299"/>
      <c r="Q18" s="300"/>
      <c r="R18" s="297"/>
      <c r="S18" s="301"/>
      <c r="T18" s="302">
        <f>ROUNDDOWN(IFERROR(tabItens[[#This Row],[ATA DT.VALID.]] - $D$1,0) / 30,0)</f>
        <v>-1504</v>
      </c>
      <c r="U18" s="287" t="s">
        <v>935</v>
      </c>
      <c r="V18" s="303">
        <v>1</v>
      </c>
      <c r="W18" s="304" t="s">
        <v>2052</v>
      </c>
      <c r="X18" s="305">
        <v>45</v>
      </c>
      <c r="Y18" s="306">
        <v>11</v>
      </c>
      <c r="Z18" s="307"/>
      <c r="AA18" s="308"/>
      <c r="AB18" s="309"/>
      <c r="AC18" s="309"/>
      <c r="AD18" s="308"/>
      <c r="AE18" s="309"/>
      <c r="AF18" s="302"/>
      <c r="AG18" s="310" t="s">
        <v>2050</v>
      </c>
      <c r="AH18" s="311"/>
      <c r="AI18" s="302">
        <v>15304</v>
      </c>
      <c r="AJ18" s="311">
        <v>44214</v>
      </c>
      <c r="AK18" s="311">
        <v>43720</v>
      </c>
      <c r="AL18" s="311">
        <v>44110</v>
      </c>
      <c r="AM18" s="301"/>
      <c r="AN18" s="290"/>
      <c r="AO18" s="312" t="str">
        <f>_xlfn.IFNA(IF(VLOOKUP(tabItens[[#This Row],[CÓDIGO]],tabExcluirDoEstoque[#Data],1,FALSE),"sim",""),"")</f>
        <v/>
      </c>
      <c r="AP18" s="313" t="str">
        <f ca="1">IF(OR(ISBLANK(tabItens[[#This Row],[ATA DT.VALID.]]),tabItens[[#This Row],[ATA DT.VALID.]]="",tabItens[[#This Row],[ATA DT.VALID.]]=" "),"",IF(TYPE(tabItens[[#This Row],[ATA DT.VALID.]])=1,ROUNDUP((tabItens[[#This Row],[ATA DT.VALID.]]-TODAY())/7,0),""))</f>
        <v/>
      </c>
      <c r="AQ18" s="314"/>
      <c r="AR18" s="315" t="str">
        <f>IF(ISBLANK(tabItens[[#This Row],[CÓDIGO]]),"",IFERROR(VLOOKUP(tabItens[[#This Row],[CÓDIGO]],Consumo!$C$2:$AC$869,26,FALSE),0))</f>
        <v>07.2023</v>
      </c>
      <c r="AS18" s="316">
        <f>SUMIF(Consumo!$C$3:$C$869,tabItens[[#This Row],[CÓDIGO]],Consumo!$N$3:$N$869) + SUMIF(Consumo!$C$3:$C$869,tabItens[[#This Row],[CÓDIGO]],Consumo!$O$3:$O$869) + SUMIF(Consumo!$C$3:$C$869,tabItens[[#This Row],[CÓDIGO]],Consumo!$P$3:$P$869) + SUMIF(Consumo!$C$3:$C$869,tabItens[[#This Row],[CÓDIGO]],Consumo!$Q$3:$Q$869)</f>
        <v>6618</v>
      </c>
      <c r="AT18" s="316">
        <f>SUMIF(Consumo!$C$3:$C$869,tabItens[[#This Row],[CÓDIGO]],Consumo!$Z$3:$Z$869)</f>
        <v>16132</v>
      </c>
      <c r="AU18" s="317">
        <f>SUMIF(Consumo!$C$3:$C$869,tabItens[[#This Row],[CÓDIGO]],Consumo!$AA$3:$AA$869)</f>
        <v>5618</v>
      </c>
      <c r="AV18" s="318">
        <f>SUMIF(Consumo!$C$3:$C$869,tabItens[[#This Row],[CÓDIGO]],Consumo!$Y$3:$Y$869)</f>
        <v>1302.3333333333333</v>
      </c>
      <c r="AW18" s="291">
        <f>tabItens[[#This Row],[QTDE ATUAL]] + tabItens[[#This Row],[RC QTDE]] + tabItens[[#This Row],[AF SALDO]] + tabItens[[#This Row],[Recentes]]</f>
        <v>0</v>
      </c>
      <c r="AX18" s="319">
        <v>8683</v>
      </c>
      <c r="AY18" s="319">
        <v>4</v>
      </c>
      <c r="AZ18" s="319">
        <f>IF(ISBLANK(tabItens[[#This Row],[CÓDIGO]]),"",tabItens[[#This Row],[PontoMês]] * (AZ$2+tabItens[[#This Row],[PontoQtM]]))</f>
        <v>34732</v>
      </c>
      <c r="BA18" s="318">
        <f>tabItens[[#This Row],[PontoPed]] - tabItens[[#This Row],[Saldo]] + (1/10)</f>
        <v>34732.1</v>
      </c>
      <c r="BB18" s="318">
        <f xml:space="preserve"> tabItens[[#This Row],[PontoMês]] * BB$2 - tabItens[[#This Row],[QTDE ATUAL]] - (1/10)</f>
        <v>8682.9</v>
      </c>
      <c r="BC18" s="320">
        <f>IF( tabItens[[#This Row],[PontoPed]]&gt;0, IF(tabItens[[#This Row],[PontoPed]]&lt;1, 1, IF( tabItens[[#This Row],[Saldo]]&gt;tabItens[[#This Row],[PontoPed]], 0, (tabItens[[#This Row],[PontoPed]]-tabItens[[#This Row],[Saldo]])/tabItens[[#This Row],[PontoPed]] ) ), 0 )</f>
        <v>1</v>
      </c>
      <c r="BD18" s="321">
        <f>ROUNDDOWN(IF( OR( AND(tabItens[[#This Row],[PontoPed]]&lt;tabItens[[#This Row],[Saldo]],tabItens[[#This Row],[Saldo]]&gt;0), tabItens[[#This Row],[PontoPed]]=0), 99, IF(AND(tabItens[[#This Row],[Saldo]]=0,tabItens[[#This Row],[PontoPed]]&gt;0), 0, (1-tabItens[[#This Row],[PctAb]])*10 ) ),0)</f>
        <v>0</v>
      </c>
      <c r="BE18" s="322">
        <f>MAX(ROUNDDOWN( IF(tabItens[[#This Row],[Abaixo]] &gt; 0,   tabItens[[#This Row],[Abaixo]] + (tabItens[[#This Row],[PontoMês]] * IF( OR( ISBLANK(tabItens[[#This Row],[ATA Nº/ANO]]), tabItens[[#This Row],[ATA Nº/ANO]] = ""),BE$2,BE$1)),0),0),0)</f>
        <v>86830</v>
      </c>
      <c r="BF1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86830</v>
      </c>
      <c r="BG18" s="323">
        <f>SUMIF(Consumo!$C$3:$C$869,tabItens[[#This Row],[CÓDIGO]],Consumo!$E$3:$E$869)</f>
        <v>3743</v>
      </c>
      <c r="BH18" s="324">
        <f>IF(AND(tabItens[[#This Row],[Pend]] &gt; 0,tabItens[[#This Row],[Consumo]] &lt;&gt; 0), tabItens[[#This Row],[Pend]] / tabItens[[#This Row],[Consumo]], 0 )</f>
        <v>0.2320233077113811</v>
      </c>
      <c r="BI18" s="323"/>
      <c r="BJ18" s="323"/>
      <c r="BK18" s="325" t="s">
        <v>2064</v>
      </c>
    </row>
    <row r="19" spans="1:63" hidden="1" x14ac:dyDescent="0.3">
      <c r="A19" s="286">
        <v>141429</v>
      </c>
      <c r="B19" s="287" t="s">
        <v>2021</v>
      </c>
      <c r="C19" s="288" t="s">
        <v>31</v>
      </c>
      <c r="D19" s="289">
        <v>22.6</v>
      </c>
      <c r="E19" s="290"/>
      <c r="F19" s="290"/>
      <c r="G19" s="290" t="s">
        <v>883</v>
      </c>
      <c r="H19" s="291"/>
      <c r="I19" s="292">
        <v>103003</v>
      </c>
      <c r="J19" s="293">
        <v>22.6</v>
      </c>
      <c r="K19" s="294">
        <v>235</v>
      </c>
      <c r="L19" s="295">
        <f>IF(tabItens[[#This Row],[Média]] &gt; 0, tabItens[[#This Row],[QTDE ATUAL]] / tabItens[[#This Row],[Média]],999.9)</f>
        <v>0</v>
      </c>
      <c r="M19" s="296"/>
      <c r="N19" s="297">
        <f>tabItens[[#This Row],[VALOR UNIT.]] * tabItens[[#This Row],[LC]]</f>
        <v>0</v>
      </c>
      <c r="O19" s="298"/>
      <c r="P19" s="299"/>
      <c r="Q19" s="300"/>
      <c r="R19" s="297"/>
      <c r="S19" s="301"/>
      <c r="T19" s="302">
        <f>ROUNDDOWN(IFERROR(tabItens[[#This Row],[ATA DT.VALID.]] - $D$1,0) / 30,0)</f>
        <v>-1504</v>
      </c>
      <c r="U19" s="287" t="s">
        <v>1013</v>
      </c>
      <c r="V19" s="303">
        <v>1</v>
      </c>
      <c r="W19" s="304" t="s">
        <v>2054</v>
      </c>
      <c r="X19" s="305">
        <v>61</v>
      </c>
      <c r="Y19" s="306">
        <v>14</v>
      </c>
      <c r="Z19" s="307"/>
      <c r="AA19" s="308"/>
      <c r="AB19" s="309"/>
      <c r="AC19" s="309"/>
      <c r="AD19" s="308"/>
      <c r="AE19" s="309"/>
      <c r="AF19" s="302"/>
      <c r="AG19" s="310" t="s">
        <v>2050</v>
      </c>
      <c r="AH19" s="311"/>
      <c r="AI19" s="302">
        <v>174</v>
      </c>
      <c r="AJ19" s="311">
        <v>44609</v>
      </c>
      <c r="AK19" s="311">
        <v>44362</v>
      </c>
      <c r="AL19" s="311">
        <v>44607</v>
      </c>
      <c r="AM19" s="301"/>
      <c r="AN19" s="290"/>
      <c r="AO19" s="312" t="str">
        <f>_xlfn.IFNA(IF(VLOOKUP(tabItens[[#This Row],[CÓDIGO]],tabExcluirDoEstoque[#Data],1,FALSE),"sim",""),"")</f>
        <v/>
      </c>
      <c r="AP19" s="313" t="str">
        <f ca="1">IF(OR(ISBLANK(tabItens[[#This Row],[ATA DT.VALID.]]),tabItens[[#This Row],[ATA DT.VALID.]]="",tabItens[[#This Row],[ATA DT.VALID.]]=" "),"",IF(TYPE(tabItens[[#This Row],[ATA DT.VALID.]])=1,ROUNDUP((tabItens[[#This Row],[ATA DT.VALID.]]-TODAY())/7,0),""))</f>
        <v/>
      </c>
      <c r="AQ19" s="314"/>
      <c r="AR19" s="315" t="str">
        <f>IF(ISBLANK(tabItens[[#This Row],[CÓDIGO]]),"",IFERROR(VLOOKUP(tabItens[[#This Row],[CÓDIGO]],Consumo!$C$2:$AC$869,26,FALSE),0))</f>
        <v>06.2023</v>
      </c>
      <c r="AS19" s="316">
        <f>SUMIF(Consumo!$C$3:$C$869,tabItens[[#This Row],[CÓDIGO]],Consumo!$N$3:$N$869) + SUMIF(Consumo!$C$3:$C$869,tabItens[[#This Row],[CÓDIGO]],Consumo!$O$3:$O$869) + SUMIF(Consumo!$C$3:$C$869,tabItens[[#This Row],[CÓDIGO]],Consumo!$P$3:$P$869) + SUMIF(Consumo!$C$3:$C$869,tabItens[[#This Row],[CÓDIGO]],Consumo!$Q$3:$Q$869)</f>
        <v>149</v>
      </c>
      <c r="AT19" s="316">
        <f>SUMIF(Consumo!$C$3:$C$869,tabItens[[#This Row],[CÓDIGO]],Consumo!$Z$3:$Z$869)</f>
        <v>326</v>
      </c>
      <c r="AU19" s="317">
        <f>SUMIF(Consumo!$C$3:$C$869,tabItens[[#This Row],[CÓDIGO]],Consumo!$AA$3:$AA$869)</f>
        <v>76</v>
      </c>
      <c r="AV19" s="318">
        <f>SUMIF(Consumo!$C$3:$C$869,tabItens[[#This Row],[CÓDIGO]],Consumo!$Y$3:$Y$869)</f>
        <v>26.333333333333332</v>
      </c>
      <c r="AW19" s="291">
        <f>tabItens[[#This Row],[QTDE ATUAL]] + tabItens[[#This Row],[RC QTDE]] + tabItens[[#This Row],[AF SALDO]] + tabItens[[#This Row],[Recentes]]</f>
        <v>0</v>
      </c>
      <c r="AX19" s="319">
        <v>353</v>
      </c>
      <c r="AY19" s="319">
        <v>4</v>
      </c>
      <c r="AZ19" s="319">
        <f>IF(ISBLANK(tabItens[[#This Row],[CÓDIGO]]),"",tabItens[[#This Row],[PontoMês]] * (AZ$2+tabItens[[#This Row],[PontoQtM]]))</f>
        <v>1412</v>
      </c>
      <c r="BA19" s="318">
        <f>tabItens[[#This Row],[PontoPed]] - tabItens[[#This Row],[Saldo]] + (1/10)</f>
        <v>1412.1</v>
      </c>
      <c r="BB19" s="318">
        <f xml:space="preserve"> tabItens[[#This Row],[PontoMês]] * BB$2 - tabItens[[#This Row],[QTDE ATUAL]] - (1/10)</f>
        <v>352.9</v>
      </c>
      <c r="BC19" s="320">
        <f>IF( tabItens[[#This Row],[PontoPed]]&gt;0, IF(tabItens[[#This Row],[PontoPed]]&lt;1, 1, IF( tabItens[[#This Row],[Saldo]]&gt;tabItens[[#This Row],[PontoPed]], 0, (tabItens[[#This Row],[PontoPed]]-tabItens[[#This Row],[Saldo]])/tabItens[[#This Row],[PontoPed]] ) ), 0 )</f>
        <v>1</v>
      </c>
      <c r="BD19" s="321">
        <f>ROUNDDOWN(IF( OR( AND(tabItens[[#This Row],[PontoPed]]&lt;tabItens[[#This Row],[Saldo]],tabItens[[#This Row],[Saldo]]&gt;0), tabItens[[#This Row],[PontoPed]]=0), 99, IF(AND(tabItens[[#This Row],[Saldo]]=0,tabItens[[#This Row],[PontoPed]]&gt;0), 0, (1-tabItens[[#This Row],[PctAb]])*10 ) ),0)</f>
        <v>0</v>
      </c>
      <c r="BE19" s="322">
        <f>MAX(ROUNDDOWN( IF(tabItens[[#This Row],[Abaixo]] &gt; 0,   tabItens[[#This Row],[Abaixo]] + (tabItens[[#This Row],[PontoMês]] * IF( OR( ISBLANK(tabItens[[#This Row],[ATA Nº/ANO]]), tabItens[[#This Row],[ATA Nº/ANO]] = ""),BE$2,BE$1)),0),0),0)</f>
        <v>3530</v>
      </c>
      <c r="BF1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3530</v>
      </c>
      <c r="BG19" s="323">
        <f>SUMIF(Consumo!$C$3:$C$869,tabItens[[#This Row],[CÓDIGO]],Consumo!$E$3:$E$869)</f>
        <v>0</v>
      </c>
      <c r="BH19" s="324">
        <f>IF(AND(tabItens[[#This Row],[Pend]] &gt; 0,tabItens[[#This Row],[Consumo]] &lt;&gt; 0), tabItens[[#This Row],[Pend]] / tabItens[[#This Row],[Consumo]], 0 )</f>
        <v>0</v>
      </c>
      <c r="BI19" s="323"/>
      <c r="BJ19" s="323"/>
      <c r="BK19" s="325" t="s">
        <v>2064</v>
      </c>
    </row>
    <row r="20" spans="1:63" hidden="1" x14ac:dyDescent="0.3">
      <c r="A20" s="286">
        <v>141430</v>
      </c>
      <c r="B20" s="287" t="s">
        <v>2022</v>
      </c>
      <c r="C20" s="288" t="s">
        <v>395</v>
      </c>
      <c r="D20" s="289">
        <v>293.3</v>
      </c>
      <c r="E20" s="290"/>
      <c r="F20" s="290"/>
      <c r="G20" s="290" t="s">
        <v>883</v>
      </c>
      <c r="H20" s="291"/>
      <c r="I20" s="292">
        <v>103003</v>
      </c>
      <c r="J20" s="293">
        <v>293.3</v>
      </c>
      <c r="K20" s="294">
        <v>98</v>
      </c>
      <c r="L20" s="295">
        <f>IF(tabItens[[#This Row],[Média]] &gt; 0, tabItens[[#This Row],[QTDE ATUAL]] / tabItens[[#This Row],[Média]],999.9)</f>
        <v>0</v>
      </c>
      <c r="M20" s="296"/>
      <c r="N20" s="297">
        <f>tabItens[[#This Row],[VALOR UNIT.]] * tabItens[[#This Row],[LC]]</f>
        <v>0</v>
      </c>
      <c r="O20" s="298"/>
      <c r="P20" s="299"/>
      <c r="Q20" s="300"/>
      <c r="R20" s="297"/>
      <c r="S20" s="301"/>
      <c r="T20" s="302">
        <f>ROUNDDOWN(IFERROR(tabItens[[#This Row],[ATA DT.VALID.]] - $D$1,0) / 30,0)</f>
        <v>-1504</v>
      </c>
      <c r="U20" s="287" t="s">
        <v>1297</v>
      </c>
      <c r="V20" s="303">
        <v>1</v>
      </c>
      <c r="W20" s="304" t="s">
        <v>2054</v>
      </c>
      <c r="X20" s="305">
        <v>61</v>
      </c>
      <c r="Y20" s="306">
        <v>16</v>
      </c>
      <c r="Z20" s="307">
        <v>2477</v>
      </c>
      <c r="AA20" s="308">
        <v>2023</v>
      </c>
      <c r="AB20" s="309">
        <v>20</v>
      </c>
      <c r="AC20" s="309"/>
      <c r="AD20" s="308"/>
      <c r="AE20" s="309"/>
      <c r="AF20" s="302"/>
      <c r="AG20" s="310" t="s">
        <v>2050</v>
      </c>
      <c r="AH20" s="311"/>
      <c r="AI20" s="302">
        <v>34</v>
      </c>
      <c r="AJ20" s="311">
        <v>44641</v>
      </c>
      <c r="AK20" s="311">
        <v>44362</v>
      </c>
      <c r="AL20" s="311">
        <v>44615</v>
      </c>
      <c r="AM20" s="301"/>
      <c r="AN20" s="290"/>
      <c r="AO20" s="312" t="str">
        <f>_xlfn.IFNA(IF(VLOOKUP(tabItens[[#This Row],[CÓDIGO]],tabExcluirDoEstoque[#Data],1,FALSE),"sim",""),"")</f>
        <v/>
      </c>
      <c r="AP20" s="313" t="str">
        <f ca="1">IF(OR(ISBLANK(tabItens[[#This Row],[ATA DT.VALID.]]),tabItens[[#This Row],[ATA DT.VALID.]]="",tabItens[[#This Row],[ATA DT.VALID.]]=" "),"",IF(TYPE(tabItens[[#This Row],[ATA DT.VALID.]])=1,ROUNDUP((tabItens[[#This Row],[ATA DT.VALID.]]-TODAY())/7,0),""))</f>
        <v/>
      </c>
      <c r="AQ20" s="314"/>
      <c r="AR20" s="315" t="str">
        <f>IF(ISBLANK(tabItens[[#This Row],[CÓDIGO]]),"",IFERROR(VLOOKUP(tabItens[[#This Row],[CÓDIGO]],Consumo!$C$2:$AC$869,26,FALSE),0))</f>
        <v>06.2023</v>
      </c>
      <c r="AS20" s="316">
        <f>SUMIF(Consumo!$C$3:$C$869,tabItens[[#This Row],[CÓDIGO]],Consumo!$N$3:$N$869) + SUMIF(Consumo!$C$3:$C$869,tabItens[[#This Row],[CÓDIGO]],Consumo!$O$3:$O$869) + SUMIF(Consumo!$C$3:$C$869,tabItens[[#This Row],[CÓDIGO]],Consumo!$P$3:$P$869) + SUMIF(Consumo!$C$3:$C$869,tabItens[[#This Row],[CÓDIGO]],Consumo!$Q$3:$Q$869)</f>
        <v>63</v>
      </c>
      <c r="AT20" s="316">
        <f>SUMIF(Consumo!$C$3:$C$869,tabItens[[#This Row],[CÓDIGO]],Consumo!$Z$3:$Z$869)</f>
        <v>103</v>
      </c>
      <c r="AU20" s="317">
        <f>SUMIF(Consumo!$C$3:$C$869,tabItens[[#This Row],[CÓDIGO]],Consumo!$AA$3:$AA$869)</f>
        <v>32</v>
      </c>
      <c r="AV20" s="318">
        <f>SUMIF(Consumo!$C$3:$C$869,tabItens[[#This Row],[CÓDIGO]],Consumo!$Y$3:$Y$869)</f>
        <v>8.5</v>
      </c>
      <c r="AW20" s="291">
        <f>tabItens[[#This Row],[QTDE ATUAL]] + tabItens[[#This Row],[RC QTDE]] + tabItens[[#This Row],[AF SALDO]] + tabItens[[#This Row],[Recentes]]</f>
        <v>20</v>
      </c>
      <c r="AX20" s="319">
        <v>88</v>
      </c>
      <c r="AY20" s="319">
        <v>4</v>
      </c>
      <c r="AZ20" s="319">
        <f>IF(ISBLANK(tabItens[[#This Row],[CÓDIGO]]),"",tabItens[[#This Row],[PontoMês]] * (AZ$2+tabItens[[#This Row],[PontoQtM]]))</f>
        <v>352</v>
      </c>
      <c r="BA20" s="318">
        <f>tabItens[[#This Row],[PontoPed]] - tabItens[[#This Row],[Saldo]] + (1/10)</f>
        <v>332.1</v>
      </c>
      <c r="BB20" s="318">
        <f xml:space="preserve"> tabItens[[#This Row],[PontoMês]] * BB$2 - tabItens[[#This Row],[QTDE ATUAL]] - (1/10)</f>
        <v>87.9</v>
      </c>
      <c r="BC20" s="320">
        <f>IF( tabItens[[#This Row],[PontoPed]]&gt;0, IF(tabItens[[#This Row],[PontoPed]]&lt;1, 1, IF( tabItens[[#This Row],[Saldo]]&gt;tabItens[[#This Row],[PontoPed]], 0, (tabItens[[#This Row],[PontoPed]]-tabItens[[#This Row],[Saldo]])/tabItens[[#This Row],[PontoPed]] ) ), 0 )</f>
        <v>0.94318181818181823</v>
      </c>
      <c r="BD20" s="321">
        <f>ROUNDDOWN(IF( OR( AND(tabItens[[#This Row],[PontoPed]]&lt;tabItens[[#This Row],[Saldo]],tabItens[[#This Row],[Saldo]]&gt;0), tabItens[[#This Row],[PontoPed]]=0), 99, IF(AND(tabItens[[#This Row],[Saldo]]=0,tabItens[[#This Row],[PontoPed]]&gt;0), 0, (1-tabItens[[#This Row],[PctAb]])*10 ) ),0)</f>
        <v>0</v>
      </c>
      <c r="BE20" s="322">
        <f>MAX(ROUNDDOWN( IF(tabItens[[#This Row],[Abaixo]] &gt; 0,   tabItens[[#This Row],[Abaixo]] + (tabItens[[#This Row],[PontoMês]] * IF( OR( ISBLANK(tabItens[[#This Row],[ATA Nº/ANO]]), tabItens[[#This Row],[ATA Nº/ANO]] = ""),BE$2,BE$1)),0),0),0)</f>
        <v>860</v>
      </c>
      <c r="BF2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860</v>
      </c>
      <c r="BG20" s="323">
        <f>SUMIF(Consumo!$C$3:$C$869,tabItens[[#This Row],[CÓDIGO]],Consumo!$E$3:$E$869)</f>
        <v>0</v>
      </c>
      <c r="BH20" s="324">
        <f>IF(AND(tabItens[[#This Row],[Pend]] &gt; 0,tabItens[[#This Row],[Consumo]] &lt;&gt; 0), tabItens[[#This Row],[Pend]] / tabItens[[#This Row],[Consumo]], 0 )</f>
        <v>0</v>
      </c>
      <c r="BI20" s="323"/>
      <c r="BJ20" s="323"/>
      <c r="BK20" s="325" t="s">
        <v>2064</v>
      </c>
    </row>
    <row r="21" spans="1:63" hidden="1" x14ac:dyDescent="0.3">
      <c r="A21" s="286">
        <v>141680</v>
      </c>
      <c r="B21" s="287" t="s">
        <v>2026</v>
      </c>
      <c r="C21" s="288" t="s">
        <v>596</v>
      </c>
      <c r="D21" s="289">
        <v>68.59</v>
      </c>
      <c r="E21" s="290"/>
      <c r="F21" s="290"/>
      <c r="G21" s="290" t="s">
        <v>883</v>
      </c>
      <c r="H21" s="291"/>
      <c r="I21" s="292">
        <v>103003</v>
      </c>
      <c r="J21" s="293">
        <v>68.59</v>
      </c>
      <c r="K21" s="294">
        <v>527</v>
      </c>
      <c r="L21" s="295">
        <f>IF(tabItens[[#This Row],[Média]] &gt; 0, tabItens[[#This Row],[QTDE ATUAL]] / tabItens[[#This Row],[Média]],999.9)</f>
        <v>0</v>
      </c>
      <c r="M21" s="296"/>
      <c r="N21" s="297">
        <f>tabItens[[#This Row],[VALOR UNIT.]] * tabItens[[#This Row],[LC]]</f>
        <v>0</v>
      </c>
      <c r="O21" s="298"/>
      <c r="P21" s="299"/>
      <c r="Q21" s="300"/>
      <c r="R21" s="297"/>
      <c r="S21" s="301"/>
      <c r="T21" s="302">
        <f>ROUNDDOWN(IFERROR(tabItens[[#This Row],[ATA DT.VALID.]] - $D$1,0) / 30,0)</f>
        <v>-1504</v>
      </c>
      <c r="U21" s="287" t="s">
        <v>2016</v>
      </c>
      <c r="V21" s="303">
        <v>1</v>
      </c>
      <c r="W21" s="304" t="s">
        <v>2053</v>
      </c>
      <c r="X21" s="305">
        <v>76</v>
      </c>
      <c r="Y21" s="306">
        <v>3</v>
      </c>
      <c r="Z21" s="307">
        <v>2783</v>
      </c>
      <c r="AA21" s="308">
        <v>2023</v>
      </c>
      <c r="AB21" s="309">
        <v>200</v>
      </c>
      <c r="AC21" s="309"/>
      <c r="AD21" s="308"/>
      <c r="AE21" s="309"/>
      <c r="AF21" s="302"/>
      <c r="AG21" s="310" t="s">
        <v>2050</v>
      </c>
      <c r="AH21" s="311"/>
      <c r="AI21" s="302">
        <v>562</v>
      </c>
      <c r="AJ21" s="311">
        <v>44784</v>
      </c>
      <c r="AK21" s="311">
        <v>44375</v>
      </c>
      <c r="AL21" s="311">
        <v>44755</v>
      </c>
      <c r="AM21" s="301"/>
      <c r="AN21" s="290"/>
      <c r="AO21" s="312" t="str">
        <f>_xlfn.IFNA(IF(VLOOKUP(tabItens[[#This Row],[CÓDIGO]],tabExcluirDoEstoque[#Data],1,FALSE),"sim",""),"")</f>
        <v/>
      </c>
      <c r="AP21" s="313" t="str">
        <f ca="1">IF(OR(ISBLANK(tabItens[[#This Row],[ATA DT.VALID.]]),tabItens[[#This Row],[ATA DT.VALID.]]="",tabItens[[#This Row],[ATA DT.VALID.]]=" "),"",IF(TYPE(tabItens[[#This Row],[ATA DT.VALID.]])=1,ROUNDUP((tabItens[[#This Row],[ATA DT.VALID.]]-TODAY())/7,0),""))</f>
        <v/>
      </c>
      <c r="AQ21" s="314"/>
      <c r="AR21" s="315" t="str">
        <f>IF(ISBLANK(tabItens[[#This Row],[CÓDIGO]]),"",IFERROR(VLOOKUP(tabItens[[#This Row],[CÓDIGO]],Consumo!$C$2:$AC$869,26,FALSE),0))</f>
        <v>07.2023</v>
      </c>
      <c r="AS21" s="316">
        <f>SUMIF(Consumo!$C$3:$C$869,tabItens[[#This Row],[CÓDIGO]],Consumo!$N$3:$N$869) + SUMIF(Consumo!$C$3:$C$869,tabItens[[#This Row],[CÓDIGO]],Consumo!$O$3:$O$869) + SUMIF(Consumo!$C$3:$C$869,tabItens[[#This Row],[CÓDIGO]],Consumo!$P$3:$P$869) + SUMIF(Consumo!$C$3:$C$869,tabItens[[#This Row],[CÓDIGO]],Consumo!$Q$3:$Q$869)</f>
        <v>319</v>
      </c>
      <c r="AT21" s="316">
        <f>SUMIF(Consumo!$C$3:$C$869,tabItens[[#This Row],[CÓDIGO]],Consumo!$Z$3:$Z$869)</f>
        <v>687</v>
      </c>
      <c r="AU21" s="317">
        <f>SUMIF(Consumo!$C$3:$C$869,tabItens[[#This Row],[CÓDIGO]],Consumo!$AA$3:$AA$869)</f>
        <v>111</v>
      </c>
      <c r="AV21" s="318">
        <f>SUMIF(Consumo!$C$3:$C$869,tabItens[[#This Row],[CÓDIGO]],Consumo!$Y$3:$Y$869)</f>
        <v>57.25</v>
      </c>
      <c r="AW21" s="291">
        <f>tabItens[[#This Row],[QTDE ATUAL]] + tabItens[[#This Row],[RC QTDE]] + tabItens[[#This Row],[AF SALDO]] + tabItens[[#This Row],[Recentes]]</f>
        <v>200</v>
      </c>
      <c r="AX21" s="319">
        <v>706</v>
      </c>
      <c r="AY21" s="319">
        <v>4</v>
      </c>
      <c r="AZ21" s="319">
        <f>IF(ISBLANK(tabItens[[#This Row],[CÓDIGO]]),"",tabItens[[#This Row],[PontoMês]] * (AZ$2+tabItens[[#This Row],[PontoQtM]]))</f>
        <v>2824</v>
      </c>
      <c r="BA21" s="318">
        <f>tabItens[[#This Row],[PontoPed]] - tabItens[[#This Row],[Saldo]] + (1/10)</f>
        <v>2624.1</v>
      </c>
      <c r="BB21" s="318">
        <f xml:space="preserve"> tabItens[[#This Row],[PontoMês]] * BB$2 - tabItens[[#This Row],[QTDE ATUAL]] - (1/10)</f>
        <v>705.9</v>
      </c>
      <c r="BC21" s="320">
        <f>IF( tabItens[[#This Row],[PontoPed]]&gt;0, IF(tabItens[[#This Row],[PontoPed]]&lt;1, 1, IF( tabItens[[#This Row],[Saldo]]&gt;tabItens[[#This Row],[PontoPed]], 0, (tabItens[[#This Row],[PontoPed]]-tabItens[[#This Row],[Saldo]])/tabItens[[#This Row],[PontoPed]] ) ), 0 )</f>
        <v>0.92917847025495748</v>
      </c>
      <c r="BD21" s="321">
        <f>ROUNDDOWN(IF( OR( AND(tabItens[[#This Row],[PontoPed]]&lt;tabItens[[#This Row],[Saldo]],tabItens[[#This Row],[Saldo]]&gt;0), tabItens[[#This Row],[PontoPed]]=0), 99, IF(AND(tabItens[[#This Row],[Saldo]]=0,tabItens[[#This Row],[PontoPed]]&gt;0), 0, (1-tabItens[[#This Row],[PctAb]])*10 ) ),0)</f>
        <v>0</v>
      </c>
      <c r="BE21" s="322">
        <f>MAX(ROUNDDOWN( IF(tabItens[[#This Row],[Abaixo]] &gt; 0,   tabItens[[#This Row],[Abaixo]] + (tabItens[[#This Row],[PontoMês]] * IF( OR( ISBLANK(tabItens[[#This Row],[ATA Nº/ANO]]), tabItens[[#This Row],[ATA Nº/ANO]] = ""),BE$2,BE$1)),0),0),0)</f>
        <v>6860</v>
      </c>
      <c r="BF2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6860</v>
      </c>
      <c r="BG21" s="323">
        <f>SUMIF(Consumo!$C$3:$C$869,tabItens[[#This Row],[CÓDIGO]],Consumo!$E$3:$E$869)</f>
        <v>0</v>
      </c>
      <c r="BH21" s="324">
        <f>IF(AND(tabItens[[#This Row],[Pend]] &gt; 0,tabItens[[#This Row],[Consumo]] &lt;&gt; 0), tabItens[[#This Row],[Pend]] / tabItens[[#This Row],[Consumo]], 0 )</f>
        <v>0</v>
      </c>
      <c r="BI21" s="323"/>
      <c r="BJ21" s="323"/>
      <c r="BK21" s="325" t="s">
        <v>2064</v>
      </c>
    </row>
    <row r="22" spans="1:63" hidden="1" x14ac:dyDescent="0.3">
      <c r="A22" s="286">
        <v>141681</v>
      </c>
      <c r="B22" s="287" t="s">
        <v>2027</v>
      </c>
      <c r="C22" s="288" t="s">
        <v>596</v>
      </c>
      <c r="D22" s="289">
        <v>75</v>
      </c>
      <c r="E22" s="290"/>
      <c r="F22" s="290"/>
      <c r="G22" s="290" t="s">
        <v>883</v>
      </c>
      <c r="H22" s="291"/>
      <c r="I22" s="292">
        <v>103003</v>
      </c>
      <c r="J22" s="293">
        <v>88.772729999999996</v>
      </c>
      <c r="K22" s="294">
        <v>27</v>
      </c>
      <c r="L22" s="295">
        <f>IF(tabItens[[#This Row],[Média]] &gt; 0, tabItens[[#This Row],[QTDE ATUAL]] / tabItens[[#This Row],[Média]],999.9)</f>
        <v>0</v>
      </c>
      <c r="M22" s="296"/>
      <c r="N22" s="297">
        <f>tabItens[[#This Row],[VALOR UNIT.]] * tabItens[[#This Row],[LC]]</f>
        <v>0</v>
      </c>
      <c r="O22" s="298"/>
      <c r="P22" s="299"/>
      <c r="Q22" s="300"/>
      <c r="R22" s="297"/>
      <c r="S22" s="301"/>
      <c r="T22" s="302">
        <f>ROUNDDOWN(IFERROR(tabItens[[#This Row],[ATA DT.VALID.]] - $D$1,0) / 30,0)</f>
        <v>-1504</v>
      </c>
      <c r="U22" s="287" t="s">
        <v>2016</v>
      </c>
      <c r="V22" s="303">
        <v>1</v>
      </c>
      <c r="W22" s="304" t="s">
        <v>2053</v>
      </c>
      <c r="X22" s="305">
        <v>76</v>
      </c>
      <c r="Y22" s="306">
        <v>3</v>
      </c>
      <c r="Z22" s="307"/>
      <c r="AA22" s="308"/>
      <c r="AB22" s="309"/>
      <c r="AC22" s="309"/>
      <c r="AD22" s="308"/>
      <c r="AE22" s="309"/>
      <c r="AF22" s="302"/>
      <c r="AG22" s="310" t="s">
        <v>2050</v>
      </c>
      <c r="AH22" s="311"/>
      <c r="AI22" s="302">
        <v>10</v>
      </c>
      <c r="AJ22" s="311">
        <v>44676</v>
      </c>
      <c r="AK22" s="311">
        <v>44375</v>
      </c>
      <c r="AL22" s="311">
        <v>44586</v>
      </c>
      <c r="AM22" s="301"/>
      <c r="AN22" s="290"/>
      <c r="AO22" s="312" t="str">
        <f>_xlfn.IFNA(IF(VLOOKUP(tabItens[[#This Row],[CÓDIGO]],tabExcluirDoEstoque[#Data],1,FALSE),"sim",""),"")</f>
        <v/>
      </c>
      <c r="AP22" s="313" t="str">
        <f ca="1">IF(OR(ISBLANK(tabItens[[#This Row],[ATA DT.VALID.]]),tabItens[[#This Row],[ATA DT.VALID.]]="",tabItens[[#This Row],[ATA DT.VALID.]]=" "),"",IF(TYPE(tabItens[[#This Row],[ATA DT.VALID.]])=1,ROUNDUP((tabItens[[#This Row],[ATA DT.VALID.]]-TODAY())/7,0),""))</f>
        <v/>
      </c>
      <c r="AQ22" s="314"/>
      <c r="AR22" s="315" t="str">
        <f>IF(ISBLANK(tabItens[[#This Row],[CÓDIGO]]),"",IFERROR(VLOOKUP(tabItens[[#This Row],[CÓDIGO]],Consumo!$C$2:$AC$869,26,FALSE),0))</f>
        <v>07.2023</v>
      </c>
      <c r="AS22" s="316">
        <f>SUMIF(Consumo!$C$3:$C$869,tabItens[[#This Row],[CÓDIGO]],Consumo!$N$3:$N$869) + SUMIF(Consumo!$C$3:$C$869,tabItens[[#This Row],[CÓDIGO]],Consumo!$O$3:$O$869) + SUMIF(Consumo!$C$3:$C$869,tabItens[[#This Row],[CÓDIGO]],Consumo!$P$3:$P$869) + SUMIF(Consumo!$C$3:$C$869,tabItens[[#This Row],[CÓDIGO]],Consumo!$Q$3:$Q$869)</f>
        <v>13</v>
      </c>
      <c r="AT22" s="316">
        <f>SUMIF(Consumo!$C$3:$C$869,tabItens[[#This Row],[CÓDIGO]],Consumo!$Z$3:$Z$869)</f>
        <v>29</v>
      </c>
      <c r="AU22" s="317">
        <f>SUMIF(Consumo!$C$3:$C$869,tabItens[[#This Row],[CÓDIGO]],Consumo!$AA$3:$AA$869)</f>
        <v>8</v>
      </c>
      <c r="AV22" s="318">
        <f>SUMIF(Consumo!$C$3:$C$869,tabItens[[#This Row],[CÓDIGO]],Consumo!$Y$3:$Y$869)</f>
        <v>2.4166666666666665</v>
      </c>
      <c r="AW22" s="291">
        <f>tabItens[[#This Row],[QTDE ATUAL]] + tabItens[[#This Row],[RC QTDE]] + tabItens[[#This Row],[AF SALDO]] + tabItens[[#This Row],[Recentes]]</f>
        <v>0</v>
      </c>
      <c r="AX22" s="319">
        <v>66</v>
      </c>
      <c r="AY22" s="319">
        <v>4</v>
      </c>
      <c r="AZ22" s="319">
        <f>IF(ISBLANK(tabItens[[#This Row],[CÓDIGO]]),"",tabItens[[#This Row],[PontoMês]] * (AZ$2+tabItens[[#This Row],[PontoQtM]]))</f>
        <v>264</v>
      </c>
      <c r="BA22" s="318">
        <f>tabItens[[#This Row],[PontoPed]] - tabItens[[#This Row],[Saldo]] + (1/10)</f>
        <v>264.10000000000002</v>
      </c>
      <c r="BB22" s="318">
        <f xml:space="preserve"> tabItens[[#This Row],[PontoMês]] * BB$2 - tabItens[[#This Row],[QTDE ATUAL]] - (1/10)</f>
        <v>65.900000000000006</v>
      </c>
      <c r="BC22" s="320">
        <f>IF( tabItens[[#This Row],[PontoPed]]&gt;0, IF(tabItens[[#This Row],[PontoPed]]&lt;1, 1, IF( tabItens[[#This Row],[Saldo]]&gt;tabItens[[#This Row],[PontoPed]], 0, (tabItens[[#This Row],[PontoPed]]-tabItens[[#This Row],[Saldo]])/tabItens[[#This Row],[PontoPed]] ) ), 0 )</f>
        <v>1</v>
      </c>
      <c r="BD22" s="321">
        <f>ROUNDDOWN(IF( OR( AND(tabItens[[#This Row],[PontoPed]]&lt;tabItens[[#This Row],[Saldo]],tabItens[[#This Row],[Saldo]]&gt;0), tabItens[[#This Row],[PontoPed]]=0), 99, IF(AND(tabItens[[#This Row],[Saldo]]=0,tabItens[[#This Row],[PontoPed]]&gt;0), 0, (1-tabItens[[#This Row],[PctAb]])*10 ) ),0)</f>
        <v>0</v>
      </c>
      <c r="BE22" s="322">
        <f>MAX(ROUNDDOWN( IF(tabItens[[#This Row],[Abaixo]] &gt; 0,   tabItens[[#This Row],[Abaixo]] + (tabItens[[#This Row],[PontoMês]] * IF( OR( ISBLANK(tabItens[[#This Row],[ATA Nº/ANO]]), tabItens[[#This Row],[ATA Nº/ANO]] = ""),BE$2,BE$1)),0),0),0)</f>
        <v>660</v>
      </c>
      <c r="BF2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660</v>
      </c>
      <c r="BG22" s="323">
        <f>SUMIF(Consumo!$C$3:$C$869,tabItens[[#This Row],[CÓDIGO]],Consumo!$E$3:$E$869)</f>
        <v>0</v>
      </c>
      <c r="BH22" s="324">
        <f>IF(AND(tabItens[[#This Row],[Pend]] &gt; 0,tabItens[[#This Row],[Consumo]] &lt;&gt; 0), tabItens[[#This Row],[Pend]] / tabItens[[#This Row],[Consumo]], 0 )</f>
        <v>0</v>
      </c>
      <c r="BI22" s="323"/>
      <c r="BJ22" s="323"/>
      <c r="BK22" s="325" t="s">
        <v>2064</v>
      </c>
    </row>
    <row r="23" spans="1:63" hidden="1" x14ac:dyDescent="0.3">
      <c r="A23" s="286">
        <v>141786</v>
      </c>
      <c r="B23" s="287" t="s">
        <v>2028</v>
      </c>
      <c r="C23" s="288" t="s">
        <v>273</v>
      </c>
      <c r="D23" s="289">
        <v>535</v>
      </c>
      <c r="E23" s="290"/>
      <c r="F23" s="290"/>
      <c r="G23" s="290" t="s">
        <v>883</v>
      </c>
      <c r="H23" s="291"/>
      <c r="I23" s="292">
        <v>103003</v>
      </c>
      <c r="J23" s="293">
        <v>515.79926</v>
      </c>
      <c r="K23" s="294">
        <v>30</v>
      </c>
      <c r="L23" s="295">
        <f>IF(tabItens[[#This Row],[Média]] &gt; 0, tabItens[[#This Row],[QTDE ATUAL]] / tabItens[[#This Row],[Média]],999.9)</f>
        <v>0</v>
      </c>
      <c r="M23" s="296">
        <v>0</v>
      </c>
      <c r="N23" s="297">
        <f>tabItens[[#This Row],[VALOR UNIT.]] * tabItens[[#This Row],[LC]]</f>
        <v>0</v>
      </c>
      <c r="O23" s="298"/>
      <c r="P23" s="299"/>
      <c r="Q23" s="300"/>
      <c r="R23" s="297"/>
      <c r="S23" s="301"/>
      <c r="T23" s="302">
        <f>ROUNDDOWN(IFERROR(tabItens[[#This Row],[ATA DT.VALID.]] - $D$1,0) / 30,0)</f>
        <v>-1504</v>
      </c>
      <c r="U23" s="287" t="s">
        <v>972</v>
      </c>
      <c r="V23" s="303">
        <v>1</v>
      </c>
      <c r="W23" s="304" t="s">
        <v>2053</v>
      </c>
      <c r="X23" s="305">
        <v>76</v>
      </c>
      <c r="Y23" s="306">
        <v>10</v>
      </c>
      <c r="Z23" s="307"/>
      <c r="AA23" s="308"/>
      <c r="AB23" s="309"/>
      <c r="AC23" s="309"/>
      <c r="AD23" s="308"/>
      <c r="AE23" s="309"/>
      <c r="AF23" s="302"/>
      <c r="AG23" s="310" t="s">
        <v>2050</v>
      </c>
      <c r="AH23" s="311"/>
      <c r="AI23" s="302">
        <v>14</v>
      </c>
      <c r="AJ23" s="311">
        <v>44613</v>
      </c>
      <c r="AK23" s="311">
        <v>44375</v>
      </c>
      <c r="AL23" s="311">
        <v>44586</v>
      </c>
      <c r="AM23" s="301"/>
      <c r="AN23" s="290"/>
      <c r="AO23" s="312" t="str">
        <f>_xlfn.IFNA(IF(VLOOKUP(tabItens[[#This Row],[CÓDIGO]],tabExcluirDoEstoque[#Data],1,FALSE),"sim",""),"")</f>
        <v/>
      </c>
      <c r="AP23" s="313" t="str">
        <f ca="1">IF(OR(ISBLANK(tabItens[[#This Row],[ATA DT.VALID.]]),tabItens[[#This Row],[ATA DT.VALID.]]="",tabItens[[#This Row],[ATA DT.VALID.]]=" "),"",IF(TYPE(tabItens[[#This Row],[ATA DT.VALID.]])=1,ROUNDUP((tabItens[[#This Row],[ATA DT.VALID.]]-TODAY())/7,0),""))</f>
        <v/>
      </c>
      <c r="AQ23" s="314"/>
      <c r="AR23" s="315" t="str">
        <f>IF(ISBLANK(tabItens[[#This Row],[CÓDIGO]]),"",IFERROR(VLOOKUP(tabItens[[#This Row],[CÓDIGO]],Consumo!$C$2:$AC$869,26,FALSE),0))</f>
        <v>07.2023</v>
      </c>
      <c r="AS23" s="316">
        <f>SUMIF(Consumo!$C$3:$C$869,tabItens[[#This Row],[CÓDIGO]],Consumo!$N$3:$N$869) + SUMIF(Consumo!$C$3:$C$869,tabItens[[#This Row],[CÓDIGO]],Consumo!$O$3:$O$869) + SUMIF(Consumo!$C$3:$C$869,tabItens[[#This Row],[CÓDIGO]],Consumo!$P$3:$P$869) + SUMIF(Consumo!$C$3:$C$869,tabItens[[#This Row],[CÓDIGO]],Consumo!$Q$3:$Q$869)</f>
        <v>4</v>
      </c>
      <c r="AT23" s="316">
        <f>SUMIF(Consumo!$C$3:$C$869,tabItens[[#This Row],[CÓDIGO]],Consumo!$Z$3:$Z$869)</f>
        <v>37</v>
      </c>
      <c r="AU23" s="317">
        <f>SUMIF(Consumo!$C$3:$C$869,tabItens[[#This Row],[CÓDIGO]],Consumo!$AA$3:$AA$869)</f>
        <v>8</v>
      </c>
      <c r="AV23" s="318">
        <f>SUMIF(Consumo!$C$3:$C$869,tabItens[[#This Row],[CÓDIGO]],Consumo!$Y$3:$Y$869)</f>
        <v>3.0833333333333335</v>
      </c>
      <c r="AW23" s="291">
        <f>tabItens[[#This Row],[QTDE ATUAL]] + tabItens[[#This Row],[RC QTDE]] + tabItens[[#This Row],[AF SALDO]] + tabItens[[#This Row],[Recentes]]</f>
        <v>0</v>
      </c>
      <c r="AX23" s="319">
        <v>69</v>
      </c>
      <c r="AY23" s="319">
        <v>4</v>
      </c>
      <c r="AZ23" s="319">
        <f>IF(ISBLANK(tabItens[[#This Row],[CÓDIGO]]),"",tabItens[[#This Row],[PontoMês]] * (AZ$2+tabItens[[#This Row],[PontoQtM]]))</f>
        <v>276</v>
      </c>
      <c r="BA23" s="318">
        <f>tabItens[[#This Row],[PontoPed]] - tabItens[[#This Row],[Saldo]] + (1/10)</f>
        <v>276.10000000000002</v>
      </c>
      <c r="BB23" s="318">
        <f xml:space="preserve"> tabItens[[#This Row],[PontoMês]] * BB$2 - tabItens[[#This Row],[QTDE ATUAL]] - (1/10)</f>
        <v>68.900000000000006</v>
      </c>
      <c r="BC23" s="320">
        <f>IF( tabItens[[#This Row],[PontoPed]]&gt;0, IF(tabItens[[#This Row],[PontoPed]]&lt;1, 1, IF( tabItens[[#This Row],[Saldo]]&gt;tabItens[[#This Row],[PontoPed]], 0, (tabItens[[#This Row],[PontoPed]]-tabItens[[#This Row],[Saldo]])/tabItens[[#This Row],[PontoPed]] ) ), 0 )</f>
        <v>1</v>
      </c>
      <c r="BD23" s="321">
        <f>ROUNDDOWN(IF( OR( AND(tabItens[[#This Row],[PontoPed]]&lt;tabItens[[#This Row],[Saldo]],tabItens[[#This Row],[Saldo]]&gt;0), tabItens[[#This Row],[PontoPed]]=0), 99, IF(AND(tabItens[[#This Row],[Saldo]]=0,tabItens[[#This Row],[PontoPed]]&gt;0), 0, (1-tabItens[[#This Row],[PctAb]])*10 ) ),0)</f>
        <v>0</v>
      </c>
      <c r="BE23" s="322">
        <f>MAX(ROUNDDOWN( IF(tabItens[[#This Row],[Abaixo]] &gt; 0,   tabItens[[#This Row],[Abaixo]] + (tabItens[[#This Row],[PontoMês]] * IF( OR( ISBLANK(tabItens[[#This Row],[ATA Nº/ANO]]), tabItens[[#This Row],[ATA Nº/ANO]] = ""),BE$2,BE$1)),0),0),0)</f>
        <v>690</v>
      </c>
      <c r="BF2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690</v>
      </c>
      <c r="BG23" s="323">
        <f>SUMIF(Consumo!$C$3:$C$869,tabItens[[#This Row],[CÓDIGO]],Consumo!$E$3:$E$869)</f>
        <v>0</v>
      </c>
      <c r="BH23" s="324">
        <f>IF(AND(tabItens[[#This Row],[Pend]] &gt; 0,tabItens[[#This Row],[Consumo]] &lt;&gt; 0), tabItens[[#This Row],[Pend]] / tabItens[[#This Row],[Consumo]], 0 )</f>
        <v>0</v>
      </c>
      <c r="BI23" s="323"/>
      <c r="BJ23" s="323"/>
      <c r="BK23" s="325" t="s">
        <v>2064</v>
      </c>
    </row>
    <row r="24" spans="1:63" hidden="1" x14ac:dyDescent="0.3">
      <c r="A24" s="286">
        <v>141787</v>
      </c>
      <c r="B24" s="287" t="s">
        <v>2029</v>
      </c>
      <c r="C24" s="288" t="s">
        <v>273</v>
      </c>
      <c r="D24" s="289">
        <v>517</v>
      </c>
      <c r="E24" s="290"/>
      <c r="F24" s="290"/>
      <c r="G24" s="290" t="s">
        <v>883</v>
      </c>
      <c r="H24" s="291"/>
      <c r="I24" s="292">
        <v>103003</v>
      </c>
      <c r="J24" s="293">
        <v>493.56495999999999</v>
      </c>
      <c r="K24" s="294">
        <v>257</v>
      </c>
      <c r="L24" s="295">
        <f>IF(tabItens[[#This Row],[Média]] &gt; 0, tabItens[[#This Row],[QTDE ATUAL]] / tabItens[[#This Row],[Média]],999.9)</f>
        <v>0</v>
      </c>
      <c r="M24" s="296"/>
      <c r="N24" s="297">
        <f>tabItens[[#This Row],[VALOR UNIT.]] * tabItens[[#This Row],[LC]]</f>
        <v>0</v>
      </c>
      <c r="O24" s="298"/>
      <c r="P24" s="299"/>
      <c r="Q24" s="300"/>
      <c r="R24" s="297"/>
      <c r="S24" s="301"/>
      <c r="T24" s="302">
        <f>ROUNDDOWN(IFERROR(tabItens[[#This Row],[ATA DT.VALID.]] - $D$1,0) / 30,0)</f>
        <v>-1504</v>
      </c>
      <c r="U24" s="287" t="s">
        <v>972</v>
      </c>
      <c r="V24" s="303">
        <v>1</v>
      </c>
      <c r="W24" s="304" t="s">
        <v>2053</v>
      </c>
      <c r="X24" s="305">
        <v>76</v>
      </c>
      <c r="Y24" s="306">
        <v>10</v>
      </c>
      <c r="Z24" s="307">
        <v>2782</v>
      </c>
      <c r="AA24" s="308">
        <v>2023</v>
      </c>
      <c r="AB24" s="309">
        <v>50</v>
      </c>
      <c r="AC24" s="309"/>
      <c r="AD24" s="308"/>
      <c r="AE24" s="309"/>
      <c r="AF24" s="302"/>
      <c r="AG24" s="310" t="s">
        <v>2050</v>
      </c>
      <c r="AH24" s="311"/>
      <c r="AI24" s="302">
        <v>124</v>
      </c>
      <c r="AJ24" s="311">
        <v>44616</v>
      </c>
      <c r="AK24" s="311">
        <v>44375</v>
      </c>
      <c r="AL24" s="311">
        <v>44586</v>
      </c>
      <c r="AM24" s="301"/>
      <c r="AN24" s="290"/>
      <c r="AO24" s="312" t="str">
        <f>_xlfn.IFNA(IF(VLOOKUP(tabItens[[#This Row],[CÓDIGO]],tabExcluirDoEstoque[#Data],1,FALSE),"sim",""),"")</f>
        <v/>
      </c>
      <c r="AP24" s="313" t="str">
        <f ca="1">IF(OR(ISBLANK(tabItens[[#This Row],[ATA DT.VALID.]]),tabItens[[#This Row],[ATA DT.VALID.]]="",tabItens[[#This Row],[ATA DT.VALID.]]=" "),"",IF(TYPE(tabItens[[#This Row],[ATA DT.VALID.]])=1,ROUNDUP((tabItens[[#This Row],[ATA DT.VALID.]]-TODAY())/7,0),""))</f>
        <v/>
      </c>
      <c r="AQ24" s="314"/>
      <c r="AR24" s="315" t="str">
        <f>IF(ISBLANK(tabItens[[#This Row],[CÓDIGO]]),"",IFERROR(VLOOKUP(tabItens[[#This Row],[CÓDIGO]],Consumo!$C$2:$AC$869,26,FALSE),0))</f>
        <v>07.2023</v>
      </c>
      <c r="AS24" s="316">
        <f>SUMIF(Consumo!$C$3:$C$869,tabItens[[#This Row],[CÓDIGO]],Consumo!$N$3:$N$869) + SUMIF(Consumo!$C$3:$C$869,tabItens[[#This Row],[CÓDIGO]],Consumo!$O$3:$O$869) + SUMIF(Consumo!$C$3:$C$869,tabItens[[#This Row],[CÓDIGO]],Consumo!$P$3:$P$869) + SUMIF(Consumo!$C$3:$C$869,tabItens[[#This Row],[CÓDIGO]],Consumo!$Q$3:$Q$869)</f>
        <v>110</v>
      </c>
      <c r="AT24" s="316">
        <f>SUMIF(Consumo!$C$3:$C$869,tabItens[[#This Row],[CÓDIGO]],Consumo!$Z$3:$Z$869)</f>
        <v>363</v>
      </c>
      <c r="AU24" s="317">
        <f>SUMIF(Consumo!$C$3:$C$869,tabItens[[#This Row],[CÓDIGO]],Consumo!$AA$3:$AA$869)</f>
        <v>72</v>
      </c>
      <c r="AV24" s="318">
        <f>SUMIF(Consumo!$C$3:$C$869,tabItens[[#This Row],[CÓDIGO]],Consumo!$Y$3:$Y$869)</f>
        <v>29.75</v>
      </c>
      <c r="AW24" s="291">
        <f>tabItens[[#This Row],[QTDE ATUAL]] + tabItens[[#This Row],[RC QTDE]] + tabItens[[#This Row],[AF SALDO]] + tabItens[[#This Row],[Recentes]]</f>
        <v>50</v>
      </c>
      <c r="AX24" s="319">
        <v>293</v>
      </c>
      <c r="AY24" s="319">
        <v>4</v>
      </c>
      <c r="AZ24" s="319">
        <f>IF(ISBLANK(tabItens[[#This Row],[CÓDIGO]]),"",tabItens[[#This Row],[PontoMês]] * (AZ$2+tabItens[[#This Row],[PontoQtM]]))</f>
        <v>1172</v>
      </c>
      <c r="BA24" s="318">
        <f>tabItens[[#This Row],[PontoPed]] - tabItens[[#This Row],[Saldo]] + (1/10)</f>
        <v>1122.0999999999999</v>
      </c>
      <c r="BB24" s="318">
        <f xml:space="preserve"> tabItens[[#This Row],[PontoMês]] * BB$2 - tabItens[[#This Row],[QTDE ATUAL]] - (1/10)</f>
        <v>292.89999999999998</v>
      </c>
      <c r="BC24" s="320">
        <f>IF( tabItens[[#This Row],[PontoPed]]&gt;0, IF(tabItens[[#This Row],[PontoPed]]&lt;1, 1, IF( tabItens[[#This Row],[Saldo]]&gt;tabItens[[#This Row],[PontoPed]], 0, (tabItens[[#This Row],[PontoPed]]-tabItens[[#This Row],[Saldo]])/tabItens[[#This Row],[PontoPed]] ) ), 0 )</f>
        <v>0.9573378839590444</v>
      </c>
      <c r="BD24" s="321">
        <f>ROUNDDOWN(IF( OR( AND(tabItens[[#This Row],[PontoPed]]&lt;tabItens[[#This Row],[Saldo]],tabItens[[#This Row],[Saldo]]&gt;0), tabItens[[#This Row],[PontoPed]]=0), 99, IF(AND(tabItens[[#This Row],[Saldo]]=0,tabItens[[#This Row],[PontoPed]]&gt;0), 0, (1-tabItens[[#This Row],[PctAb]])*10 ) ),0)</f>
        <v>0</v>
      </c>
      <c r="BE24" s="322">
        <f>MAX(ROUNDDOWN( IF(tabItens[[#This Row],[Abaixo]] &gt; 0,   tabItens[[#This Row],[Abaixo]] + (tabItens[[#This Row],[PontoMês]] * IF( OR( ISBLANK(tabItens[[#This Row],[ATA Nº/ANO]]), tabItens[[#This Row],[ATA Nº/ANO]] = ""),BE$2,BE$1)),0),0),0)</f>
        <v>2880</v>
      </c>
      <c r="BF2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2880</v>
      </c>
      <c r="BG24" s="323">
        <f>SUMIF(Consumo!$C$3:$C$869,tabItens[[#This Row],[CÓDIGO]],Consumo!$E$3:$E$869)</f>
        <v>0</v>
      </c>
      <c r="BH24" s="324">
        <f>IF(AND(tabItens[[#This Row],[Pend]] &gt; 0,tabItens[[#This Row],[Consumo]] &lt;&gt; 0), tabItens[[#This Row],[Pend]] / tabItens[[#This Row],[Consumo]], 0 )</f>
        <v>0</v>
      </c>
      <c r="BI24" s="323"/>
      <c r="BJ24" s="323"/>
      <c r="BK24" s="325" t="s">
        <v>2064</v>
      </c>
    </row>
    <row r="25" spans="1:63" hidden="1" x14ac:dyDescent="0.3">
      <c r="A25" s="286">
        <v>141418</v>
      </c>
      <c r="B25" s="287" t="s">
        <v>2020</v>
      </c>
      <c r="C25" s="288" t="s">
        <v>256</v>
      </c>
      <c r="D25" s="289">
        <v>31.07</v>
      </c>
      <c r="E25" s="290"/>
      <c r="F25" s="290"/>
      <c r="G25" s="290" t="s">
        <v>883</v>
      </c>
      <c r="H25" s="291"/>
      <c r="I25" s="292">
        <v>103003</v>
      </c>
      <c r="J25" s="293">
        <v>31.07</v>
      </c>
      <c r="K25" s="294">
        <v>416</v>
      </c>
      <c r="L25" s="295">
        <f>IF(tabItens[[#This Row],[Média]] &gt; 0, tabItens[[#This Row],[QTDE ATUAL]] / tabItens[[#This Row],[Média]],999.9)</f>
        <v>0</v>
      </c>
      <c r="M25" s="296">
        <v>0</v>
      </c>
      <c r="N25" s="297">
        <f>tabItens[[#This Row],[VALOR UNIT.]] * tabItens[[#This Row],[LC]]</f>
        <v>0</v>
      </c>
      <c r="O25" s="298"/>
      <c r="P25" s="299"/>
      <c r="Q25" s="300"/>
      <c r="R25" s="297"/>
      <c r="S25" s="301"/>
      <c r="T25" s="302">
        <f>ROUNDDOWN(IFERROR(tabItens[[#This Row],[ATA DT.VALID.]] - $D$1,0) / 30,0)</f>
        <v>-1504</v>
      </c>
      <c r="U25" s="287" t="s">
        <v>962</v>
      </c>
      <c r="V25" s="303">
        <v>1</v>
      </c>
      <c r="W25" s="304" t="s">
        <v>2053</v>
      </c>
      <c r="X25" s="305">
        <v>76</v>
      </c>
      <c r="Y25" s="306">
        <v>11</v>
      </c>
      <c r="Z25" s="307">
        <v>2786</v>
      </c>
      <c r="AA25" s="308">
        <v>2023</v>
      </c>
      <c r="AB25" s="309">
        <v>100</v>
      </c>
      <c r="AC25" s="309"/>
      <c r="AD25" s="308"/>
      <c r="AE25" s="309"/>
      <c r="AF25" s="302"/>
      <c r="AG25" s="310" t="s">
        <v>2050</v>
      </c>
      <c r="AH25" s="311"/>
      <c r="AI25" s="302">
        <v>352</v>
      </c>
      <c r="AJ25" s="311">
        <v>44924</v>
      </c>
      <c r="AK25" s="311">
        <v>44362</v>
      </c>
      <c r="AL25" s="311">
        <v>45119</v>
      </c>
      <c r="AM25" s="301"/>
      <c r="AN25" s="290"/>
      <c r="AO25" s="312" t="str">
        <f>_xlfn.IFNA(IF(VLOOKUP(tabItens[[#This Row],[CÓDIGO]],tabExcluirDoEstoque[#Data],1,FALSE),"sim",""),"")</f>
        <v/>
      </c>
      <c r="AP25" s="313" t="str">
        <f ca="1">IF(OR(ISBLANK(tabItens[[#This Row],[ATA DT.VALID.]]),tabItens[[#This Row],[ATA DT.VALID.]]="",tabItens[[#This Row],[ATA DT.VALID.]]=" "),"",IF(TYPE(tabItens[[#This Row],[ATA DT.VALID.]])=1,ROUNDUP((tabItens[[#This Row],[ATA DT.VALID.]]-TODAY())/7,0),""))</f>
        <v/>
      </c>
      <c r="AQ25" s="314"/>
      <c r="AR25" s="315" t="str">
        <f>IF(ISBLANK(tabItens[[#This Row],[CÓDIGO]]),"",IFERROR(VLOOKUP(tabItens[[#This Row],[CÓDIGO]],Consumo!$C$2:$AC$869,26,FALSE),0))</f>
        <v>07.2023</v>
      </c>
      <c r="AS25" s="316">
        <f>SUMIF(Consumo!$C$3:$C$869,tabItens[[#This Row],[CÓDIGO]],Consumo!$N$3:$N$869) + SUMIF(Consumo!$C$3:$C$869,tabItens[[#This Row],[CÓDIGO]],Consumo!$O$3:$O$869) + SUMIF(Consumo!$C$3:$C$869,tabItens[[#This Row],[CÓDIGO]],Consumo!$P$3:$P$869) + SUMIF(Consumo!$C$3:$C$869,tabItens[[#This Row],[CÓDIGO]],Consumo!$Q$3:$Q$869)</f>
        <v>203</v>
      </c>
      <c r="AT25" s="316">
        <f>SUMIF(Consumo!$C$3:$C$869,tabItens[[#This Row],[CÓDIGO]],Consumo!$Z$3:$Z$869)</f>
        <v>656</v>
      </c>
      <c r="AU25" s="317">
        <f>SUMIF(Consumo!$C$3:$C$869,tabItens[[#This Row],[CÓDIGO]],Consumo!$AA$3:$AA$869)</f>
        <v>78</v>
      </c>
      <c r="AV25" s="318">
        <f>SUMIF(Consumo!$C$3:$C$869,tabItens[[#This Row],[CÓDIGO]],Consumo!$Y$3:$Y$869)</f>
        <v>54.666666666666664</v>
      </c>
      <c r="AW25" s="291">
        <f>tabItens[[#This Row],[QTDE ATUAL]] + tabItens[[#This Row],[RC QTDE]] + tabItens[[#This Row],[AF SALDO]] + tabItens[[#This Row],[Recentes]]</f>
        <v>100</v>
      </c>
      <c r="AX25" s="319">
        <v>474</v>
      </c>
      <c r="AY25" s="319">
        <v>4</v>
      </c>
      <c r="AZ25" s="319">
        <f>IF(ISBLANK(tabItens[[#This Row],[CÓDIGO]]),"",tabItens[[#This Row],[PontoMês]] * (AZ$2+tabItens[[#This Row],[PontoQtM]]))</f>
        <v>1896</v>
      </c>
      <c r="BA25" s="318">
        <f>tabItens[[#This Row],[PontoPed]] - tabItens[[#This Row],[Saldo]] + (1/10)</f>
        <v>1796.1</v>
      </c>
      <c r="BB25" s="318">
        <f xml:space="preserve"> tabItens[[#This Row],[PontoMês]] * BB$2 - tabItens[[#This Row],[QTDE ATUAL]] - (1/10)</f>
        <v>473.9</v>
      </c>
      <c r="BC25" s="320">
        <f>IF( tabItens[[#This Row],[PontoPed]]&gt;0, IF(tabItens[[#This Row],[PontoPed]]&lt;1, 1, IF( tabItens[[#This Row],[Saldo]]&gt;tabItens[[#This Row],[PontoPed]], 0, (tabItens[[#This Row],[PontoPed]]-tabItens[[#This Row],[Saldo]])/tabItens[[#This Row],[PontoPed]] ) ), 0 )</f>
        <v>0.9472573839662447</v>
      </c>
      <c r="BD25" s="321">
        <f>ROUNDDOWN(IF( OR( AND(tabItens[[#This Row],[PontoPed]]&lt;tabItens[[#This Row],[Saldo]],tabItens[[#This Row],[Saldo]]&gt;0), tabItens[[#This Row],[PontoPed]]=0), 99, IF(AND(tabItens[[#This Row],[Saldo]]=0,tabItens[[#This Row],[PontoPed]]&gt;0), 0, (1-tabItens[[#This Row],[PctAb]])*10 ) ),0)</f>
        <v>0</v>
      </c>
      <c r="BE25" s="322">
        <f>MAX(ROUNDDOWN( IF(tabItens[[#This Row],[Abaixo]] &gt; 0,   tabItens[[#This Row],[Abaixo]] + (tabItens[[#This Row],[PontoMês]] * IF( OR( ISBLANK(tabItens[[#This Row],[ATA Nº/ANO]]), tabItens[[#This Row],[ATA Nº/ANO]] = ""),BE$2,BE$1)),0),0),0)</f>
        <v>4640</v>
      </c>
      <c r="BF2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4640</v>
      </c>
      <c r="BG25" s="323">
        <f>SUMIF(Consumo!$C$3:$C$869,tabItens[[#This Row],[CÓDIGO]],Consumo!$E$3:$E$869)</f>
        <v>0</v>
      </c>
      <c r="BH25" s="324">
        <f>IF(AND(tabItens[[#This Row],[Pend]] &gt; 0,tabItens[[#This Row],[Consumo]] &lt;&gt; 0), tabItens[[#This Row],[Pend]] / tabItens[[#This Row],[Consumo]], 0 )</f>
        <v>0</v>
      </c>
      <c r="BI25" s="323"/>
      <c r="BJ25" s="323"/>
      <c r="BK25" s="325" t="s">
        <v>2064</v>
      </c>
    </row>
    <row r="26" spans="1:63" hidden="1" x14ac:dyDescent="0.3">
      <c r="A26" s="286">
        <v>12614</v>
      </c>
      <c r="B26" s="287" t="s">
        <v>938</v>
      </c>
      <c r="C26" s="288" t="s">
        <v>31</v>
      </c>
      <c r="D26" s="289">
        <v>0.47</v>
      </c>
      <c r="E26" s="290"/>
      <c r="F26" s="290"/>
      <c r="G26" s="290" t="s">
        <v>883</v>
      </c>
      <c r="H26" s="291">
        <v>356</v>
      </c>
      <c r="I26" s="292">
        <v>103003</v>
      </c>
      <c r="J26" s="293">
        <v>0.47</v>
      </c>
      <c r="K26" s="294">
        <v>26319</v>
      </c>
      <c r="L26" s="295">
        <f>IF(tabItens[[#This Row],[Média]] &gt; 0, tabItens[[#This Row],[QTDE ATUAL]] / tabItens[[#This Row],[Média]],999.9)</f>
        <v>0.11609957604087401</v>
      </c>
      <c r="M26" s="296">
        <v>0</v>
      </c>
      <c r="N26" s="297">
        <f>tabItens[[#This Row],[VALOR UNIT.]] * tabItens[[#This Row],[LC]]</f>
        <v>0</v>
      </c>
      <c r="O26" s="298" t="s">
        <v>2067</v>
      </c>
      <c r="P26" s="299"/>
      <c r="Q26" s="300"/>
      <c r="R26" s="297"/>
      <c r="S26" s="301"/>
      <c r="T26" s="302">
        <f>ROUNDDOWN(IFERROR(tabItens[[#This Row],[ATA DT.VALID.]] - $D$1,0) / 30,0)</f>
        <v>-1504</v>
      </c>
      <c r="U26" s="287" t="s">
        <v>935</v>
      </c>
      <c r="V26" s="303">
        <v>1</v>
      </c>
      <c r="W26" s="304" t="s">
        <v>2052</v>
      </c>
      <c r="X26" s="305">
        <v>45</v>
      </c>
      <c r="Y26" s="306">
        <v>11</v>
      </c>
      <c r="Z26" s="307">
        <v>6982</v>
      </c>
      <c r="AA26" s="308">
        <v>2023</v>
      </c>
      <c r="AB26" s="309">
        <v>1800</v>
      </c>
      <c r="AC26" s="309"/>
      <c r="AD26" s="308"/>
      <c r="AE26" s="309"/>
      <c r="AF26" s="302"/>
      <c r="AG26" s="310" t="s">
        <v>2050</v>
      </c>
      <c r="AH26" s="311"/>
      <c r="AI26" s="302">
        <v>12650</v>
      </c>
      <c r="AJ26" s="311">
        <v>43804</v>
      </c>
      <c r="AK26" s="311" t="s">
        <v>883</v>
      </c>
      <c r="AL26" s="311">
        <v>45107</v>
      </c>
      <c r="AM26" s="301"/>
      <c r="AN26" s="290"/>
      <c r="AO26" s="312" t="str">
        <f>_xlfn.IFNA(IF(VLOOKUP(tabItens[[#This Row],[CÓDIGO]],tabExcluirDoEstoque[#Data],1,FALSE),"sim",""),"")</f>
        <v/>
      </c>
      <c r="AP26" s="313" t="str">
        <f ca="1">IF(OR(ISBLANK(tabItens[[#This Row],[ATA DT.VALID.]]),tabItens[[#This Row],[ATA DT.VALID.]]="",tabItens[[#This Row],[ATA DT.VALID.]]=" "),"",IF(TYPE(tabItens[[#This Row],[ATA DT.VALID.]])=1,ROUNDUP((tabItens[[#This Row],[ATA DT.VALID.]]-TODAY())/7,0),""))</f>
        <v/>
      </c>
      <c r="AQ26" s="314">
        <v>0</v>
      </c>
      <c r="AR26" s="315" t="str">
        <f>IF(ISBLANK(tabItens[[#This Row],[CÓDIGO]]),"",IFERROR(VLOOKUP(tabItens[[#This Row],[CÓDIGO]],Consumo!$C$2:$AC$869,26,FALSE),0))</f>
        <v>07.2023</v>
      </c>
      <c r="AS26" s="316">
        <f>SUMIF(Consumo!$C$3:$C$869,tabItens[[#This Row],[CÓDIGO]],Consumo!$N$3:$N$869) + SUMIF(Consumo!$C$3:$C$869,tabItens[[#This Row],[CÓDIGO]],Consumo!$O$3:$O$869) + SUMIF(Consumo!$C$3:$C$869,tabItens[[#This Row],[CÓDIGO]],Consumo!$P$3:$P$869) + SUMIF(Consumo!$C$3:$C$869,tabItens[[#This Row],[CÓDIGO]],Consumo!$Q$3:$Q$869)</f>
        <v>10115</v>
      </c>
      <c r="AT26" s="316">
        <f>SUMIF(Consumo!$C$3:$C$869,tabItens[[#This Row],[CÓDIGO]],Consumo!$Z$3:$Z$869)</f>
        <v>38334</v>
      </c>
      <c r="AU26" s="317">
        <f>SUMIF(Consumo!$C$3:$C$869,tabItens[[#This Row],[CÓDIGO]],Consumo!$AA$3:$AA$869)</f>
        <v>8884</v>
      </c>
      <c r="AV26" s="318">
        <f>SUMIF(Consumo!$C$3:$C$869,tabItens[[#This Row],[CÓDIGO]],Consumo!$Y$3:$Y$869)</f>
        <v>3066.3333333333335</v>
      </c>
      <c r="AW26" s="291">
        <f>tabItens[[#This Row],[QTDE ATUAL]] + tabItens[[#This Row],[RC QTDE]] + tabItens[[#This Row],[AF SALDO]] + tabItens[[#This Row],[Recentes]]</f>
        <v>2156</v>
      </c>
      <c r="AX26" s="319">
        <v>2760</v>
      </c>
      <c r="AY26" s="319">
        <v>4</v>
      </c>
      <c r="AZ26" s="319">
        <f>IF(ISBLANK(tabItens[[#This Row],[CÓDIGO]]),"",tabItens[[#This Row],[PontoMês]] * (AZ$2+tabItens[[#This Row],[PontoQtM]]))</f>
        <v>11040</v>
      </c>
      <c r="BA26" s="318">
        <f>tabItens[[#This Row],[PontoPed]] - tabItens[[#This Row],[Saldo]] + (1/10)</f>
        <v>8884.1</v>
      </c>
      <c r="BB26" s="318">
        <f xml:space="preserve"> tabItens[[#This Row],[PontoMês]] * BB$2 - tabItens[[#This Row],[QTDE ATUAL]] - (1/10)</f>
        <v>2403.9</v>
      </c>
      <c r="BC26" s="320">
        <f>IF( tabItens[[#This Row],[PontoPed]]&gt;0, IF(tabItens[[#This Row],[PontoPed]]&lt;1, 1, IF( tabItens[[#This Row],[Saldo]]&gt;tabItens[[#This Row],[PontoPed]], 0, (tabItens[[#This Row],[PontoPed]]-tabItens[[#This Row],[Saldo]])/tabItens[[#This Row],[PontoPed]] ) ), 0 )</f>
        <v>0.80471014492753623</v>
      </c>
      <c r="BD26" s="321">
        <f>ROUNDDOWN(IF( OR( AND(tabItens[[#This Row],[PontoPed]]&lt;tabItens[[#This Row],[Saldo]],tabItens[[#This Row],[Saldo]]&gt;0), tabItens[[#This Row],[PontoPed]]=0), 99, IF(AND(tabItens[[#This Row],[Saldo]]=0,tabItens[[#This Row],[PontoPed]]&gt;0), 0, (1-tabItens[[#This Row],[PctAb]])*10 ) ),0)</f>
        <v>1</v>
      </c>
      <c r="BE26" s="322">
        <f>MAX(ROUNDDOWN( IF(tabItens[[#This Row],[Abaixo]] &gt; 0,   tabItens[[#This Row],[Abaixo]] + (tabItens[[#This Row],[PontoMês]] * IF( OR( ISBLANK(tabItens[[#This Row],[ATA Nº/ANO]]), tabItens[[#This Row],[ATA Nº/ANO]] = ""),BE$2,BE$1)),0),0),0)</f>
        <v>17164</v>
      </c>
      <c r="BF2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323">
        <f>SUMIF(Consumo!$C$3:$C$869,tabItens[[#This Row],[CÓDIGO]],Consumo!$E$3:$E$869)</f>
        <v>487</v>
      </c>
      <c r="BH26" s="324">
        <f>IF(AND(tabItens[[#This Row],[Pend]] &gt; 0,tabItens[[#This Row],[Consumo]] &lt;&gt; 0), tabItens[[#This Row],[Pend]] / tabItens[[#This Row],[Consumo]], 0 )</f>
        <v>1.270412688474983E-2</v>
      </c>
      <c r="BI26" s="323"/>
      <c r="BJ26" s="323"/>
      <c r="BK26" s="325" t="s">
        <v>2064</v>
      </c>
    </row>
    <row r="27" spans="1:63" hidden="1" x14ac:dyDescent="0.3">
      <c r="A27" s="286">
        <v>141265</v>
      </c>
      <c r="B27" s="287" t="s">
        <v>2015</v>
      </c>
      <c r="C27" s="288" t="s">
        <v>596</v>
      </c>
      <c r="D27" s="289">
        <v>75.5</v>
      </c>
      <c r="E27" s="290"/>
      <c r="F27" s="290"/>
      <c r="G27" s="290" t="s">
        <v>883</v>
      </c>
      <c r="H27" s="291"/>
      <c r="I27" s="292">
        <v>103003</v>
      </c>
      <c r="J27" s="293">
        <v>71.779300000000006</v>
      </c>
      <c r="K27" s="294">
        <v>81</v>
      </c>
      <c r="L27" s="295">
        <f>IF(tabItens[[#This Row],[Média]] &gt; 0, tabItens[[#This Row],[QTDE ATUAL]] / tabItens[[#This Row],[Média]],999.9)</f>
        <v>0</v>
      </c>
      <c r="M27" s="296">
        <v>0</v>
      </c>
      <c r="N27" s="297">
        <f>tabItens[[#This Row],[VALOR UNIT.]] * tabItens[[#This Row],[LC]]</f>
        <v>0</v>
      </c>
      <c r="O27" s="298"/>
      <c r="P27" s="299"/>
      <c r="Q27" s="300"/>
      <c r="R27" s="297"/>
      <c r="S27" s="301"/>
      <c r="T27" s="302">
        <f>ROUNDDOWN(IFERROR(tabItens[[#This Row],[ATA DT.VALID.]] - $D$1,0) / 30,0)</f>
        <v>-1504</v>
      </c>
      <c r="U27" s="287" t="s">
        <v>2016</v>
      </c>
      <c r="V27" s="303">
        <v>1</v>
      </c>
      <c r="W27" s="304" t="s">
        <v>2053</v>
      </c>
      <c r="X27" s="305">
        <v>76</v>
      </c>
      <c r="Y27" s="306">
        <v>3</v>
      </c>
      <c r="Z27" s="307">
        <v>2973</v>
      </c>
      <c r="AA27" s="308">
        <v>2023</v>
      </c>
      <c r="AB27" s="309">
        <v>20</v>
      </c>
      <c r="AC27" s="309"/>
      <c r="AD27" s="308"/>
      <c r="AE27" s="309"/>
      <c r="AF27" s="302"/>
      <c r="AG27" s="310" t="s">
        <v>2050</v>
      </c>
      <c r="AH27" s="311"/>
      <c r="AI27" s="302">
        <v>36</v>
      </c>
      <c r="AJ27" s="311">
        <v>44784</v>
      </c>
      <c r="AK27" s="311">
        <v>44355</v>
      </c>
      <c r="AL27" s="311">
        <v>44586</v>
      </c>
      <c r="AM27" s="301"/>
      <c r="AN27" s="290"/>
      <c r="AO27" s="312" t="str">
        <f>_xlfn.IFNA(IF(VLOOKUP(tabItens[[#This Row],[CÓDIGO]],tabExcluirDoEstoque[#Data],1,FALSE),"sim",""),"")</f>
        <v/>
      </c>
      <c r="AP27" s="313" t="str">
        <f ca="1">IF(OR(ISBLANK(tabItens[[#This Row],[ATA DT.VALID.]]),tabItens[[#This Row],[ATA DT.VALID.]]="",tabItens[[#This Row],[ATA DT.VALID.]]=" "),"",IF(TYPE(tabItens[[#This Row],[ATA DT.VALID.]])=1,ROUNDUP((tabItens[[#This Row],[ATA DT.VALID.]]-TODAY())/7,0),""))</f>
        <v/>
      </c>
      <c r="AQ27" s="314"/>
      <c r="AR27" s="315" t="str">
        <f>IF(ISBLANK(tabItens[[#This Row],[CÓDIGO]]),"",IFERROR(VLOOKUP(tabItens[[#This Row],[CÓDIGO]],Consumo!$C$2:$AC$869,26,FALSE),0))</f>
        <v>07.2023</v>
      </c>
      <c r="AS27" s="316">
        <f>SUMIF(Consumo!$C$3:$C$869,tabItens[[#This Row],[CÓDIGO]],Consumo!$N$3:$N$869) + SUMIF(Consumo!$C$3:$C$869,tabItens[[#This Row],[CÓDIGO]],Consumo!$O$3:$O$869) + SUMIF(Consumo!$C$3:$C$869,tabItens[[#This Row],[CÓDIGO]],Consumo!$P$3:$P$869) + SUMIF(Consumo!$C$3:$C$869,tabItens[[#This Row],[CÓDIGO]],Consumo!$Q$3:$Q$869)</f>
        <v>52</v>
      </c>
      <c r="AT27" s="316">
        <f>SUMIF(Consumo!$C$3:$C$869,tabItens[[#This Row],[CÓDIGO]],Consumo!$Z$3:$Z$869)</f>
        <v>106</v>
      </c>
      <c r="AU27" s="317">
        <f>SUMIF(Consumo!$C$3:$C$869,tabItens[[#This Row],[CÓDIGO]],Consumo!$AA$3:$AA$869)</f>
        <v>20</v>
      </c>
      <c r="AV27" s="318">
        <f>SUMIF(Consumo!$C$3:$C$869,tabItens[[#This Row],[CÓDIGO]],Consumo!$Y$3:$Y$869)</f>
        <v>8.8333333333333339</v>
      </c>
      <c r="AW27" s="291">
        <f>tabItens[[#This Row],[QTDE ATUAL]] + tabItens[[#This Row],[RC QTDE]] + tabItens[[#This Row],[AF SALDO]] + tabItens[[#This Row],[Recentes]]</f>
        <v>20</v>
      </c>
      <c r="AX27" s="319">
        <v>46</v>
      </c>
      <c r="AY27" s="319">
        <v>4</v>
      </c>
      <c r="AZ27" s="319">
        <f>IF(ISBLANK(tabItens[[#This Row],[CÓDIGO]]),"",tabItens[[#This Row],[PontoMês]] * (AZ$2+tabItens[[#This Row],[PontoQtM]]))</f>
        <v>184</v>
      </c>
      <c r="BA27" s="318">
        <f>tabItens[[#This Row],[PontoPed]] - tabItens[[#This Row],[Saldo]] + (1/10)</f>
        <v>164.1</v>
      </c>
      <c r="BB27" s="318">
        <f xml:space="preserve"> tabItens[[#This Row],[PontoMês]] * BB$2 - tabItens[[#This Row],[QTDE ATUAL]] - (1/10)</f>
        <v>45.9</v>
      </c>
      <c r="BC27" s="320">
        <f>IF( tabItens[[#This Row],[PontoPed]]&gt;0, IF(tabItens[[#This Row],[PontoPed]]&lt;1, 1, IF( tabItens[[#This Row],[Saldo]]&gt;tabItens[[#This Row],[PontoPed]], 0, (tabItens[[#This Row],[PontoPed]]-tabItens[[#This Row],[Saldo]])/tabItens[[#This Row],[PontoPed]] ) ), 0 )</f>
        <v>0.89130434782608692</v>
      </c>
      <c r="BD27" s="321">
        <f>ROUNDDOWN(IF( OR( AND(tabItens[[#This Row],[PontoPed]]&lt;tabItens[[#This Row],[Saldo]],tabItens[[#This Row],[Saldo]]&gt;0), tabItens[[#This Row],[PontoPed]]=0), 99, IF(AND(tabItens[[#This Row],[Saldo]]=0,tabItens[[#This Row],[PontoPed]]&gt;0), 0, (1-tabItens[[#This Row],[PctAb]])*10 ) ),0)</f>
        <v>1</v>
      </c>
      <c r="BE27" s="322">
        <f>MAX(ROUNDDOWN( IF(tabItens[[#This Row],[Abaixo]] &gt; 0,   tabItens[[#This Row],[Abaixo]] + (tabItens[[#This Row],[PontoMês]] * IF( OR( ISBLANK(tabItens[[#This Row],[ATA Nº/ANO]]), tabItens[[#This Row],[ATA Nº/ANO]] = ""),BE$2,BE$1)),0),0),0)</f>
        <v>440</v>
      </c>
      <c r="BF2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440</v>
      </c>
      <c r="BG27" s="323">
        <f>SUMIF(Consumo!$C$3:$C$869,tabItens[[#This Row],[CÓDIGO]],Consumo!$E$3:$E$869)</f>
        <v>0</v>
      </c>
      <c r="BH27" s="324">
        <f>IF(AND(tabItens[[#This Row],[Pend]] &gt; 0,tabItens[[#This Row],[Consumo]] &lt;&gt; 0), tabItens[[#This Row],[Pend]] / tabItens[[#This Row],[Consumo]], 0 )</f>
        <v>0</v>
      </c>
      <c r="BI27" s="323"/>
      <c r="BJ27" s="323"/>
      <c r="BK27" s="325" t="s">
        <v>2064</v>
      </c>
    </row>
    <row r="28" spans="1:63" hidden="1" x14ac:dyDescent="0.3">
      <c r="A28" s="286">
        <v>141266</v>
      </c>
      <c r="B28" s="287" t="s">
        <v>2017</v>
      </c>
      <c r="C28" s="288" t="s">
        <v>596</v>
      </c>
      <c r="D28" s="289">
        <v>84.66</v>
      </c>
      <c r="E28" s="290"/>
      <c r="F28" s="290"/>
      <c r="G28" s="290" t="s">
        <v>883</v>
      </c>
      <c r="H28" s="291"/>
      <c r="I28" s="292">
        <v>103003</v>
      </c>
      <c r="J28" s="293">
        <v>77.599999999999994</v>
      </c>
      <c r="K28" s="294">
        <v>52</v>
      </c>
      <c r="L28" s="295">
        <f>IF(tabItens[[#This Row],[Média]] &gt; 0, tabItens[[#This Row],[QTDE ATUAL]] / tabItens[[#This Row],[Média]],999.9)</f>
        <v>0</v>
      </c>
      <c r="M28" s="296">
        <v>0</v>
      </c>
      <c r="N28" s="297">
        <f>tabItens[[#This Row],[VALOR UNIT.]] * tabItens[[#This Row],[LC]]</f>
        <v>0</v>
      </c>
      <c r="O28" s="298"/>
      <c r="P28" s="299"/>
      <c r="Q28" s="300"/>
      <c r="R28" s="297"/>
      <c r="S28" s="301"/>
      <c r="T28" s="302">
        <f>ROUNDDOWN(IFERROR(tabItens[[#This Row],[ATA DT.VALID.]] - $D$1,0) / 30,0)</f>
        <v>-1504</v>
      </c>
      <c r="U28" s="287" t="s">
        <v>2016</v>
      </c>
      <c r="V28" s="303">
        <v>1</v>
      </c>
      <c r="W28" s="304" t="s">
        <v>2053</v>
      </c>
      <c r="X28" s="305">
        <v>76</v>
      </c>
      <c r="Y28" s="306">
        <v>3</v>
      </c>
      <c r="Z28" s="307">
        <v>2973</v>
      </c>
      <c r="AA28" s="308">
        <v>2023</v>
      </c>
      <c r="AB28" s="309">
        <v>50</v>
      </c>
      <c r="AC28" s="309"/>
      <c r="AD28" s="308"/>
      <c r="AE28" s="309"/>
      <c r="AF28" s="302"/>
      <c r="AG28" s="310" t="s">
        <v>2050</v>
      </c>
      <c r="AH28" s="311"/>
      <c r="AI28" s="302">
        <v>18</v>
      </c>
      <c r="AJ28" s="311">
        <v>44635</v>
      </c>
      <c r="AK28" s="311">
        <v>44355</v>
      </c>
      <c r="AL28" s="311">
        <v>44586</v>
      </c>
      <c r="AM28" s="301"/>
      <c r="AN28" s="290"/>
      <c r="AO28" s="312" t="str">
        <f>_xlfn.IFNA(IF(VLOOKUP(tabItens[[#This Row],[CÓDIGO]],tabExcluirDoEstoque[#Data],1,FALSE),"sim",""),"")</f>
        <v/>
      </c>
      <c r="AP28" s="313" t="str">
        <f ca="1">IF(OR(ISBLANK(tabItens[[#This Row],[ATA DT.VALID.]]),tabItens[[#This Row],[ATA DT.VALID.]]="",tabItens[[#This Row],[ATA DT.VALID.]]=" "),"",IF(TYPE(tabItens[[#This Row],[ATA DT.VALID.]])=1,ROUNDUP((tabItens[[#This Row],[ATA DT.VALID.]]-TODAY())/7,0),""))</f>
        <v/>
      </c>
      <c r="AQ28" s="314"/>
      <c r="AR28" s="315" t="str">
        <f>IF(ISBLANK(tabItens[[#This Row],[CÓDIGO]]),"",IFERROR(VLOOKUP(tabItens[[#This Row],[CÓDIGO]],Consumo!$C$2:$AC$869,26,FALSE),0))</f>
        <v>07.2023</v>
      </c>
      <c r="AS28" s="316">
        <f>SUMIF(Consumo!$C$3:$C$869,tabItens[[#This Row],[CÓDIGO]],Consumo!$N$3:$N$869) + SUMIF(Consumo!$C$3:$C$869,tabItens[[#This Row],[CÓDIGO]],Consumo!$O$3:$O$869) + SUMIF(Consumo!$C$3:$C$869,tabItens[[#This Row],[CÓDIGO]],Consumo!$P$3:$P$869) + SUMIF(Consumo!$C$3:$C$869,tabItens[[#This Row],[CÓDIGO]],Consumo!$Q$3:$Q$869)</f>
        <v>20</v>
      </c>
      <c r="AT28" s="316">
        <f>SUMIF(Consumo!$C$3:$C$869,tabItens[[#This Row],[CÓDIGO]],Consumo!$Z$3:$Z$869)</f>
        <v>56</v>
      </c>
      <c r="AU28" s="317">
        <f>SUMIF(Consumo!$C$3:$C$869,tabItens[[#This Row],[CÓDIGO]],Consumo!$AA$3:$AA$869)</f>
        <v>22</v>
      </c>
      <c r="AV28" s="318">
        <f>SUMIF(Consumo!$C$3:$C$869,tabItens[[#This Row],[CÓDIGO]],Consumo!$Y$3:$Y$869)</f>
        <v>4.25</v>
      </c>
      <c r="AW28" s="291">
        <f>tabItens[[#This Row],[QTDE ATUAL]] + tabItens[[#This Row],[RC QTDE]] + tabItens[[#This Row],[AF SALDO]] + tabItens[[#This Row],[Recentes]]</f>
        <v>50</v>
      </c>
      <c r="AX28" s="319">
        <v>83</v>
      </c>
      <c r="AY28" s="319">
        <v>4</v>
      </c>
      <c r="AZ28" s="319">
        <f>IF(ISBLANK(tabItens[[#This Row],[CÓDIGO]]),"",tabItens[[#This Row],[PontoMês]] * (AZ$2+tabItens[[#This Row],[PontoQtM]]))</f>
        <v>332</v>
      </c>
      <c r="BA28" s="318">
        <f>tabItens[[#This Row],[PontoPed]] - tabItens[[#This Row],[Saldo]] + (1/10)</f>
        <v>282.10000000000002</v>
      </c>
      <c r="BB28" s="318">
        <f xml:space="preserve"> tabItens[[#This Row],[PontoMês]] * BB$2 - tabItens[[#This Row],[QTDE ATUAL]] - (1/10)</f>
        <v>82.9</v>
      </c>
      <c r="BC28" s="320">
        <f>IF( tabItens[[#This Row],[PontoPed]]&gt;0, IF(tabItens[[#This Row],[PontoPed]]&lt;1, 1, IF( tabItens[[#This Row],[Saldo]]&gt;tabItens[[#This Row],[PontoPed]], 0, (tabItens[[#This Row],[PontoPed]]-tabItens[[#This Row],[Saldo]])/tabItens[[#This Row],[PontoPed]] ) ), 0 )</f>
        <v>0.8493975903614458</v>
      </c>
      <c r="BD28" s="321">
        <f>ROUNDDOWN(IF( OR( AND(tabItens[[#This Row],[PontoPed]]&lt;tabItens[[#This Row],[Saldo]],tabItens[[#This Row],[Saldo]]&gt;0), tabItens[[#This Row],[PontoPed]]=0), 99, IF(AND(tabItens[[#This Row],[Saldo]]=0,tabItens[[#This Row],[PontoPed]]&gt;0), 0, (1-tabItens[[#This Row],[PctAb]])*10 ) ),0)</f>
        <v>1</v>
      </c>
      <c r="BE28" s="322">
        <f>MAX(ROUNDDOWN( IF(tabItens[[#This Row],[Abaixo]] &gt; 0,   tabItens[[#This Row],[Abaixo]] + (tabItens[[#This Row],[PontoMês]] * IF( OR( ISBLANK(tabItens[[#This Row],[ATA Nº/ANO]]), tabItens[[#This Row],[ATA Nº/ANO]] = ""),BE$2,BE$1)),0),0),0)</f>
        <v>780</v>
      </c>
      <c r="BF2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780</v>
      </c>
      <c r="BG28" s="323">
        <f>SUMIF(Consumo!$C$3:$C$869,tabItens[[#This Row],[CÓDIGO]],Consumo!$E$3:$E$869)</f>
        <v>0</v>
      </c>
      <c r="BH28" s="324">
        <f>IF(AND(tabItens[[#This Row],[Pend]] &gt; 0,tabItens[[#This Row],[Consumo]] &lt;&gt; 0), tabItens[[#This Row],[Pend]] / tabItens[[#This Row],[Consumo]], 0 )</f>
        <v>0</v>
      </c>
      <c r="BI28" s="323"/>
      <c r="BJ28" s="323"/>
      <c r="BK28" s="325" t="s">
        <v>2064</v>
      </c>
    </row>
    <row r="29" spans="1:63" hidden="1" x14ac:dyDescent="0.3">
      <c r="A29" s="286">
        <v>141268</v>
      </c>
      <c r="B29" s="287" t="s">
        <v>2018</v>
      </c>
      <c r="C29" s="288" t="s">
        <v>596</v>
      </c>
      <c r="D29" s="289">
        <v>116.83</v>
      </c>
      <c r="E29" s="290"/>
      <c r="F29" s="290"/>
      <c r="G29" s="290" t="s">
        <v>883</v>
      </c>
      <c r="H29" s="291"/>
      <c r="I29" s="292">
        <v>103003</v>
      </c>
      <c r="J29" s="293">
        <v>116.83</v>
      </c>
      <c r="K29" s="294">
        <v>583</v>
      </c>
      <c r="L29" s="295">
        <f>IF(tabItens[[#This Row],[Média]] &gt; 0, tabItens[[#This Row],[QTDE ATUAL]] / tabItens[[#This Row],[Média]],999.9)</f>
        <v>0</v>
      </c>
      <c r="M29" s="296"/>
      <c r="N29" s="297">
        <f>tabItens[[#This Row],[VALOR UNIT.]] * tabItens[[#This Row],[LC]]</f>
        <v>0</v>
      </c>
      <c r="O29" s="298"/>
      <c r="P29" s="299"/>
      <c r="Q29" s="300"/>
      <c r="R29" s="297"/>
      <c r="S29" s="301"/>
      <c r="T29" s="302">
        <f>ROUNDDOWN(IFERROR(tabItens[[#This Row],[ATA DT.VALID.]] - $D$1,0) / 30,0)</f>
        <v>-1504</v>
      </c>
      <c r="U29" s="287" t="s">
        <v>2016</v>
      </c>
      <c r="V29" s="303">
        <v>1</v>
      </c>
      <c r="W29" s="304" t="s">
        <v>2053</v>
      </c>
      <c r="X29" s="305">
        <v>76</v>
      </c>
      <c r="Y29" s="306">
        <v>3</v>
      </c>
      <c r="Z29" s="307">
        <v>2782</v>
      </c>
      <c r="AA29" s="308">
        <v>2023</v>
      </c>
      <c r="AB29" s="309">
        <v>500</v>
      </c>
      <c r="AC29" s="309"/>
      <c r="AD29" s="308"/>
      <c r="AE29" s="309"/>
      <c r="AF29" s="302"/>
      <c r="AG29" s="310" t="s">
        <v>2050</v>
      </c>
      <c r="AH29" s="311"/>
      <c r="AI29" s="302">
        <v>286</v>
      </c>
      <c r="AJ29" s="311">
        <v>44628</v>
      </c>
      <c r="AK29" s="311">
        <v>44355</v>
      </c>
      <c r="AL29" s="311">
        <v>44915</v>
      </c>
      <c r="AM29" s="301"/>
      <c r="AN29" s="290"/>
      <c r="AO29" s="312" t="str">
        <f>_xlfn.IFNA(IF(VLOOKUP(tabItens[[#This Row],[CÓDIGO]],tabExcluirDoEstoque[#Data],1,FALSE),"sim",""),"")</f>
        <v/>
      </c>
      <c r="AP29" s="313" t="str">
        <f ca="1">IF(OR(ISBLANK(tabItens[[#This Row],[ATA DT.VALID.]]),tabItens[[#This Row],[ATA DT.VALID.]]="",tabItens[[#This Row],[ATA DT.VALID.]]=" "),"",IF(TYPE(tabItens[[#This Row],[ATA DT.VALID.]])=1,ROUNDUP((tabItens[[#This Row],[ATA DT.VALID.]]-TODAY())/7,0),""))</f>
        <v/>
      </c>
      <c r="AQ29" s="314"/>
      <c r="AR29" s="315" t="str">
        <f>IF(ISBLANK(tabItens[[#This Row],[CÓDIGO]]),"",IFERROR(VLOOKUP(tabItens[[#This Row],[CÓDIGO]],Consumo!$C$2:$AC$869,26,FALSE),0))</f>
        <v>07.2023</v>
      </c>
      <c r="AS29" s="316">
        <f>SUMIF(Consumo!$C$3:$C$869,tabItens[[#This Row],[CÓDIGO]],Consumo!$N$3:$N$869) + SUMIF(Consumo!$C$3:$C$869,tabItens[[#This Row],[CÓDIGO]],Consumo!$O$3:$O$869) + SUMIF(Consumo!$C$3:$C$869,tabItens[[#This Row],[CÓDIGO]],Consumo!$P$3:$P$869) + SUMIF(Consumo!$C$3:$C$869,tabItens[[#This Row],[CÓDIGO]],Consumo!$Q$3:$Q$869)</f>
        <v>207</v>
      </c>
      <c r="AT29" s="316">
        <f>SUMIF(Consumo!$C$3:$C$869,tabItens[[#This Row],[CÓDIGO]],Consumo!$Z$3:$Z$869)</f>
        <v>860</v>
      </c>
      <c r="AU29" s="317">
        <f>SUMIF(Consumo!$C$3:$C$869,tabItens[[#This Row],[CÓDIGO]],Consumo!$AA$3:$AA$869)</f>
        <v>168</v>
      </c>
      <c r="AV29" s="318">
        <f>SUMIF(Consumo!$C$3:$C$869,tabItens[[#This Row],[CÓDIGO]],Consumo!$Y$3:$Y$869)</f>
        <v>69.916666666666671</v>
      </c>
      <c r="AW29" s="291">
        <f>tabItens[[#This Row],[QTDE ATUAL]] + tabItens[[#This Row],[RC QTDE]] + tabItens[[#This Row],[AF SALDO]] + tabItens[[#This Row],[Recentes]]</f>
        <v>500</v>
      </c>
      <c r="AX29" s="319">
        <v>725</v>
      </c>
      <c r="AY29" s="319">
        <v>4</v>
      </c>
      <c r="AZ29" s="319">
        <f>IF(ISBLANK(tabItens[[#This Row],[CÓDIGO]]),"",tabItens[[#This Row],[PontoMês]] * (AZ$2+tabItens[[#This Row],[PontoQtM]]))</f>
        <v>2900</v>
      </c>
      <c r="BA29" s="318">
        <f>tabItens[[#This Row],[PontoPed]] - tabItens[[#This Row],[Saldo]] + (1/10)</f>
        <v>2400.1</v>
      </c>
      <c r="BB29" s="318">
        <f xml:space="preserve"> tabItens[[#This Row],[PontoMês]] * BB$2 - tabItens[[#This Row],[QTDE ATUAL]] - (1/10)</f>
        <v>724.9</v>
      </c>
      <c r="BC29" s="320">
        <f>IF( tabItens[[#This Row],[PontoPed]]&gt;0, IF(tabItens[[#This Row],[PontoPed]]&lt;1, 1, IF( tabItens[[#This Row],[Saldo]]&gt;tabItens[[#This Row],[PontoPed]], 0, (tabItens[[#This Row],[PontoPed]]-tabItens[[#This Row],[Saldo]])/tabItens[[#This Row],[PontoPed]] ) ), 0 )</f>
        <v>0.82758620689655171</v>
      </c>
      <c r="BD29" s="321">
        <f>ROUNDDOWN(IF( OR( AND(tabItens[[#This Row],[PontoPed]]&lt;tabItens[[#This Row],[Saldo]],tabItens[[#This Row],[Saldo]]&gt;0), tabItens[[#This Row],[PontoPed]]=0), 99, IF(AND(tabItens[[#This Row],[Saldo]]=0,tabItens[[#This Row],[PontoPed]]&gt;0), 0, (1-tabItens[[#This Row],[PctAb]])*10 ) ),0)</f>
        <v>1</v>
      </c>
      <c r="BE29" s="322">
        <f>MAX(ROUNDDOWN( IF(tabItens[[#This Row],[Abaixo]] &gt; 0,   tabItens[[#This Row],[Abaixo]] + (tabItens[[#This Row],[PontoMês]] * IF( OR( ISBLANK(tabItens[[#This Row],[ATA Nº/ANO]]), tabItens[[#This Row],[ATA Nº/ANO]] = ""),BE$2,BE$1)),0),0),0)</f>
        <v>6750</v>
      </c>
      <c r="BF2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6750</v>
      </c>
      <c r="BG29" s="323">
        <f>SUMIF(Consumo!$C$3:$C$869,tabItens[[#This Row],[CÓDIGO]],Consumo!$E$3:$E$869)</f>
        <v>0</v>
      </c>
      <c r="BH29" s="324">
        <f>IF(AND(tabItens[[#This Row],[Pend]] &gt; 0,tabItens[[#This Row],[Consumo]] &lt;&gt; 0), tabItens[[#This Row],[Pend]] / tabItens[[#This Row],[Consumo]], 0 )</f>
        <v>0</v>
      </c>
      <c r="BI29" s="323"/>
      <c r="BJ29" s="323"/>
      <c r="BK29" s="325" t="s">
        <v>2064</v>
      </c>
    </row>
    <row r="30" spans="1:63" hidden="1" x14ac:dyDescent="0.3">
      <c r="A30" s="286">
        <v>141679</v>
      </c>
      <c r="B30" s="287" t="s">
        <v>2025</v>
      </c>
      <c r="C30" s="288" t="s">
        <v>596</v>
      </c>
      <c r="D30" s="289">
        <v>85</v>
      </c>
      <c r="E30" s="290"/>
      <c r="F30" s="290"/>
      <c r="G30" s="290" t="s">
        <v>883</v>
      </c>
      <c r="H30" s="291"/>
      <c r="I30" s="292">
        <v>103003</v>
      </c>
      <c r="J30" s="293">
        <v>80.930229999999995</v>
      </c>
      <c r="K30" s="294">
        <v>64</v>
      </c>
      <c r="L30" s="295">
        <f>IF(tabItens[[#This Row],[Média]] &gt; 0, tabItens[[#This Row],[QTDE ATUAL]] / tabItens[[#This Row],[Média]],999.9)</f>
        <v>0</v>
      </c>
      <c r="M30" s="296">
        <v>0</v>
      </c>
      <c r="N30" s="297">
        <f>tabItens[[#This Row],[VALOR UNIT.]] * tabItens[[#This Row],[LC]]</f>
        <v>0</v>
      </c>
      <c r="O30" s="298"/>
      <c r="P30" s="299"/>
      <c r="Q30" s="300"/>
      <c r="R30" s="297"/>
      <c r="S30" s="301"/>
      <c r="T30" s="302">
        <f>ROUNDDOWN(IFERROR(tabItens[[#This Row],[ATA DT.VALID.]] - $D$1,0) / 30,0)</f>
        <v>-1504</v>
      </c>
      <c r="U30" s="287" t="s">
        <v>2016</v>
      </c>
      <c r="V30" s="303">
        <v>1</v>
      </c>
      <c r="W30" s="304" t="s">
        <v>2053</v>
      </c>
      <c r="X30" s="305">
        <v>76</v>
      </c>
      <c r="Y30" s="306">
        <v>3</v>
      </c>
      <c r="Z30" s="307">
        <v>2973</v>
      </c>
      <c r="AA30" s="308">
        <v>2023</v>
      </c>
      <c r="AB30" s="309">
        <v>50</v>
      </c>
      <c r="AC30" s="309"/>
      <c r="AD30" s="308"/>
      <c r="AE30" s="309"/>
      <c r="AF30" s="302"/>
      <c r="AG30" s="310" t="s">
        <v>2050</v>
      </c>
      <c r="AH30" s="311"/>
      <c r="AI30" s="302">
        <v>28</v>
      </c>
      <c r="AJ30" s="311">
        <v>44652</v>
      </c>
      <c r="AK30" s="311">
        <v>44375</v>
      </c>
      <c r="AL30" s="311">
        <v>44586</v>
      </c>
      <c r="AM30" s="301"/>
      <c r="AN30" s="290"/>
      <c r="AO30" s="312" t="str">
        <f>_xlfn.IFNA(IF(VLOOKUP(tabItens[[#This Row],[CÓDIGO]],tabExcluirDoEstoque[#Data],1,FALSE),"sim",""),"")</f>
        <v/>
      </c>
      <c r="AP30" s="313" t="str">
        <f ca="1">IF(OR(ISBLANK(tabItens[[#This Row],[ATA DT.VALID.]]),tabItens[[#This Row],[ATA DT.VALID.]]="",tabItens[[#This Row],[ATA DT.VALID.]]=" "),"",IF(TYPE(tabItens[[#This Row],[ATA DT.VALID.]])=1,ROUNDUP((tabItens[[#This Row],[ATA DT.VALID.]]-TODAY())/7,0),""))</f>
        <v/>
      </c>
      <c r="AQ30" s="314"/>
      <c r="AR30" s="315" t="str">
        <f>IF(ISBLANK(tabItens[[#This Row],[CÓDIGO]]),"",IFERROR(VLOOKUP(tabItens[[#This Row],[CÓDIGO]],Consumo!$C$2:$AC$869,26,FALSE),0))</f>
        <v>07.2023</v>
      </c>
      <c r="AS30" s="316">
        <f>SUMIF(Consumo!$C$3:$C$869,tabItens[[#This Row],[CÓDIGO]],Consumo!$N$3:$N$869) + SUMIF(Consumo!$C$3:$C$869,tabItens[[#This Row],[CÓDIGO]],Consumo!$O$3:$O$869) + SUMIF(Consumo!$C$3:$C$869,tabItens[[#This Row],[CÓDIGO]],Consumo!$P$3:$P$869) + SUMIF(Consumo!$C$3:$C$869,tabItens[[#This Row],[CÓDIGO]],Consumo!$Q$3:$Q$869)</f>
        <v>20</v>
      </c>
      <c r="AT30" s="316">
        <f>SUMIF(Consumo!$C$3:$C$869,tabItens[[#This Row],[CÓDIGO]],Consumo!$Z$3:$Z$869)</f>
        <v>72</v>
      </c>
      <c r="AU30" s="317">
        <f>SUMIF(Consumo!$C$3:$C$869,tabItens[[#This Row],[CÓDIGO]],Consumo!$AA$3:$AA$869)</f>
        <v>25</v>
      </c>
      <c r="AV30" s="318">
        <f>SUMIF(Consumo!$C$3:$C$869,tabItens[[#This Row],[CÓDIGO]],Consumo!$Y$3:$Y$869)</f>
        <v>5.583333333333333</v>
      </c>
      <c r="AW30" s="291">
        <f>tabItens[[#This Row],[QTDE ATUAL]] + tabItens[[#This Row],[RC QTDE]] + tabItens[[#This Row],[AF SALDO]] + tabItens[[#This Row],[Recentes]]</f>
        <v>50</v>
      </c>
      <c r="AX30" s="319">
        <v>90</v>
      </c>
      <c r="AY30" s="319">
        <v>4</v>
      </c>
      <c r="AZ30" s="319">
        <f>IF(ISBLANK(tabItens[[#This Row],[CÓDIGO]]),"",tabItens[[#This Row],[PontoMês]] * (AZ$2+tabItens[[#This Row],[PontoQtM]]))</f>
        <v>360</v>
      </c>
      <c r="BA30" s="318">
        <f>tabItens[[#This Row],[PontoPed]] - tabItens[[#This Row],[Saldo]] + (1/10)</f>
        <v>310.10000000000002</v>
      </c>
      <c r="BB30" s="318">
        <f xml:space="preserve"> tabItens[[#This Row],[PontoMês]] * BB$2 - tabItens[[#This Row],[QTDE ATUAL]] - (1/10)</f>
        <v>89.9</v>
      </c>
      <c r="BC30" s="320">
        <f>IF( tabItens[[#This Row],[PontoPed]]&gt;0, IF(tabItens[[#This Row],[PontoPed]]&lt;1, 1, IF( tabItens[[#This Row],[Saldo]]&gt;tabItens[[#This Row],[PontoPed]], 0, (tabItens[[#This Row],[PontoPed]]-tabItens[[#This Row],[Saldo]])/tabItens[[#This Row],[PontoPed]] ) ), 0 )</f>
        <v>0.86111111111111116</v>
      </c>
      <c r="BD30" s="321">
        <f>ROUNDDOWN(IF( OR( AND(tabItens[[#This Row],[PontoPed]]&lt;tabItens[[#This Row],[Saldo]],tabItens[[#This Row],[Saldo]]&gt;0), tabItens[[#This Row],[PontoPed]]=0), 99, IF(AND(tabItens[[#This Row],[Saldo]]=0,tabItens[[#This Row],[PontoPed]]&gt;0), 0, (1-tabItens[[#This Row],[PctAb]])*10 ) ),0)</f>
        <v>1</v>
      </c>
      <c r="BE30" s="322">
        <f>MAX(ROUNDDOWN( IF(tabItens[[#This Row],[Abaixo]] &gt; 0,   tabItens[[#This Row],[Abaixo]] + (tabItens[[#This Row],[PontoMês]] * IF( OR( ISBLANK(tabItens[[#This Row],[ATA Nº/ANO]]), tabItens[[#This Row],[ATA Nº/ANO]] = ""),BE$2,BE$1)),0),0),0)</f>
        <v>850</v>
      </c>
      <c r="BF3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850</v>
      </c>
      <c r="BG30" s="323">
        <f>SUMIF(Consumo!$C$3:$C$869,tabItens[[#This Row],[CÓDIGO]],Consumo!$E$3:$E$869)</f>
        <v>0</v>
      </c>
      <c r="BH30" s="324">
        <f>IF(AND(tabItens[[#This Row],[Pend]] &gt; 0,tabItens[[#This Row],[Consumo]] &lt;&gt; 0), tabItens[[#This Row],[Pend]] / tabItens[[#This Row],[Consumo]], 0 )</f>
        <v>0</v>
      </c>
      <c r="BI30" s="323"/>
      <c r="BJ30" s="323"/>
      <c r="BK30" s="325" t="s">
        <v>2064</v>
      </c>
    </row>
    <row r="31" spans="1:63" x14ac:dyDescent="0.3">
      <c r="A31" s="396">
        <v>49695</v>
      </c>
      <c r="B31" s="397" t="s">
        <v>1292</v>
      </c>
      <c r="C31" s="398" t="s">
        <v>256</v>
      </c>
      <c r="D31" s="399">
        <v>19</v>
      </c>
      <c r="E31" s="290"/>
      <c r="F31" s="400"/>
      <c r="G31" s="400" t="s">
        <v>883</v>
      </c>
      <c r="H31" s="401">
        <v>0</v>
      </c>
      <c r="I31" s="292">
        <v>103003</v>
      </c>
      <c r="J31" s="293">
        <v>19</v>
      </c>
      <c r="K31" s="402">
        <v>342</v>
      </c>
      <c r="L31" s="403">
        <f>IF(tabItens[[#This Row],[Média]] &gt; 0, tabItens[[#This Row],[QTDE ATUAL]] / tabItens[[#This Row],[Média]],999.9)</f>
        <v>0</v>
      </c>
      <c r="M31" s="404">
        <v>0</v>
      </c>
      <c r="N31" s="405">
        <f>tabItens[[#This Row],[VALOR UNIT.]] * tabItens[[#This Row],[LC]]</f>
        <v>0</v>
      </c>
      <c r="O31" s="406" t="s">
        <v>2085</v>
      </c>
      <c r="P31" s="407"/>
      <c r="Q31" s="408"/>
      <c r="R31" s="297"/>
      <c r="S31" s="409"/>
      <c r="T31" s="410">
        <f>ROUNDDOWN(IFERROR(tabItens[[#This Row],[ATA DT.VALID.]] - $D$1,0) / 30,0)</f>
        <v>-1504</v>
      </c>
      <c r="U31" s="287" t="s">
        <v>1026</v>
      </c>
      <c r="V31" s="303">
        <v>1</v>
      </c>
      <c r="W31" s="411" t="s">
        <v>2049</v>
      </c>
      <c r="X31" s="412">
        <v>51</v>
      </c>
      <c r="Y31" s="413">
        <v>8</v>
      </c>
      <c r="Z31" s="414">
        <v>2431</v>
      </c>
      <c r="AA31" s="415">
        <v>2023</v>
      </c>
      <c r="AB31" s="416">
        <v>100</v>
      </c>
      <c r="AC31" s="416"/>
      <c r="AD31" s="415"/>
      <c r="AE31" s="416"/>
      <c r="AF31" s="302"/>
      <c r="AG31" s="417" t="s">
        <v>2050</v>
      </c>
      <c r="AH31" s="418"/>
      <c r="AI31" s="302">
        <v>138</v>
      </c>
      <c r="AJ31" s="418">
        <v>44613</v>
      </c>
      <c r="AK31" s="311" t="s">
        <v>883</v>
      </c>
      <c r="AL31" s="311">
        <v>44831</v>
      </c>
      <c r="AM31" s="301"/>
      <c r="AN31" s="290"/>
      <c r="AO31" s="312" t="str">
        <f>_xlfn.IFNA(IF(VLOOKUP(tabItens[[#This Row],[CÓDIGO]],tabExcluirDoEstoque[#Data],1,FALSE),"sim",""),"")</f>
        <v/>
      </c>
      <c r="AP31" s="419" t="str">
        <f ca="1">IF(OR(ISBLANK(tabItens[[#This Row],[ATA DT.VALID.]]),tabItens[[#This Row],[ATA DT.VALID.]]="",tabItens[[#This Row],[ATA DT.VALID.]]=" "),"",IF(TYPE(tabItens[[#This Row],[ATA DT.VALID.]])=1,ROUNDUP((tabItens[[#This Row],[ATA DT.VALID.]]-TODAY())/7,0),""))</f>
        <v/>
      </c>
      <c r="AQ31" s="426">
        <v>0</v>
      </c>
      <c r="AR31" s="315" t="str">
        <f>IF(ISBLANK(tabItens[[#This Row],[CÓDIGO]]),"",IFERROR(VLOOKUP(tabItens[[#This Row],[CÓDIGO]],Consumo!$C$2:$AC$869,26,FALSE),0))</f>
        <v>06.2023</v>
      </c>
      <c r="AS31" s="316">
        <f>SUMIF(Consumo!$C$3:$C$869,tabItens[[#This Row],[CÓDIGO]],Consumo!$N$3:$N$869) + SUMIF(Consumo!$C$3:$C$869,tabItens[[#This Row],[CÓDIGO]],Consumo!$O$3:$O$869) + SUMIF(Consumo!$C$3:$C$869,tabItens[[#This Row],[CÓDIGO]],Consumo!$P$3:$P$869) + SUMIF(Consumo!$C$3:$C$869,tabItens[[#This Row],[CÓDIGO]],Consumo!$Q$3:$Q$869)</f>
        <v>169</v>
      </c>
      <c r="AT31" s="316">
        <f>SUMIF(Consumo!$C$3:$C$869,tabItens[[#This Row],[CÓDIGO]],Consumo!$Z$3:$Z$869)</f>
        <v>487</v>
      </c>
      <c r="AU31" s="317">
        <f>SUMIF(Consumo!$C$3:$C$869,tabItens[[#This Row],[CÓDIGO]],Consumo!$AA$3:$AA$869)</f>
        <v>80</v>
      </c>
      <c r="AV31" s="318">
        <f>SUMIF(Consumo!$C$3:$C$869,tabItens[[#This Row],[CÓDIGO]],Consumo!$Y$3:$Y$869)</f>
        <v>40.583333333333336</v>
      </c>
      <c r="AW31" s="401">
        <f>tabItens[[#This Row],[QTDE ATUAL]] + tabItens[[#This Row],[RC QTDE]] + tabItens[[#This Row],[AF SALDO]] + tabItens[[#This Row],[Recentes]]</f>
        <v>100</v>
      </c>
      <c r="AX31" s="420">
        <v>84</v>
      </c>
      <c r="AY31" s="420">
        <v>4</v>
      </c>
      <c r="AZ31" s="420">
        <f>IF(ISBLANK(tabItens[[#This Row],[CÓDIGO]]),"",tabItens[[#This Row],[PontoMês]] * (AZ$2+tabItens[[#This Row],[PontoQtM]]))</f>
        <v>336</v>
      </c>
      <c r="BA31" s="421">
        <f>tabItens[[#This Row],[PontoPed]] - tabItens[[#This Row],[Saldo]] + (1/10)</f>
        <v>236.1</v>
      </c>
      <c r="BB31" s="421">
        <f xml:space="preserve"> tabItens[[#This Row],[PontoMês]] * BB$2 - tabItens[[#This Row],[QTDE ATUAL]] - (1/10)</f>
        <v>83.9</v>
      </c>
      <c r="BC31" s="320">
        <f>IF( tabItens[[#This Row],[PontoPed]]&gt;0, IF(tabItens[[#This Row],[PontoPed]]&lt;1, 1, IF( tabItens[[#This Row],[Saldo]]&gt;tabItens[[#This Row],[PontoPed]], 0, (tabItens[[#This Row],[PontoPed]]-tabItens[[#This Row],[Saldo]])/tabItens[[#This Row],[PontoPed]] ) ), 0 )</f>
        <v>0.70238095238095233</v>
      </c>
      <c r="BD31" s="422">
        <f>ROUNDDOWN(IF( OR( AND(tabItens[[#This Row],[PontoPed]]&lt;tabItens[[#This Row],[Saldo]],tabItens[[#This Row],[Saldo]]&gt;0), tabItens[[#This Row],[PontoPed]]=0), 99, IF(AND(tabItens[[#This Row],[Saldo]]=0,tabItens[[#This Row],[PontoPed]]&gt;0), 0, (1-tabItens[[#This Row],[PctAb]])*10 ) ),0)</f>
        <v>2</v>
      </c>
      <c r="BE31" s="423">
        <f>MAX(ROUNDDOWN( IF(tabItens[[#This Row],[Abaixo]] &gt; 0,   tabItens[[#This Row],[Abaixo]] + (tabItens[[#This Row],[PontoMês]] * IF( OR( ISBLANK(tabItens[[#This Row],[ATA Nº/ANO]]), tabItens[[#This Row],[ATA Nº/ANO]] = ""),BE$2,BE$1)),0),0),0)</f>
        <v>488</v>
      </c>
      <c r="BF3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 s="323">
        <f>SUMIF(Consumo!$C$3:$C$869,tabItens[[#This Row],[CÓDIGO]],Consumo!$E$3:$E$869)</f>
        <v>71</v>
      </c>
      <c r="BH31" s="324">
        <f>IF(AND(tabItens[[#This Row],[Pend]] &gt; 0,tabItens[[#This Row],[Consumo]] &lt;&gt; 0), tabItens[[#This Row],[Pend]] / tabItens[[#This Row],[Consumo]], 0 )</f>
        <v>0.14579055441478439</v>
      </c>
      <c r="BI31" s="323"/>
      <c r="BJ31" s="424"/>
      <c r="BK31" s="425" t="s">
        <v>2064</v>
      </c>
    </row>
    <row r="32" spans="1:63" hidden="1" x14ac:dyDescent="0.3">
      <c r="A32" s="286">
        <v>138456</v>
      </c>
      <c r="B32" s="287" t="s">
        <v>1954</v>
      </c>
      <c r="C32" s="288" t="s">
        <v>31</v>
      </c>
      <c r="D32" s="289">
        <v>5.92</v>
      </c>
      <c r="E32" s="290"/>
      <c r="F32" s="290"/>
      <c r="G32" s="290" t="s">
        <v>883</v>
      </c>
      <c r="H32" s="291"/>
      <c r="I32" s="292">
        <v>103003</v>
      </c>
      <c r="J32" s="293">
        <v>5.92</v>
      </c>
      <c r="K32" s="294">
        <v>37992</v>
      </c>
      <c r="L32" s="295">
        <f>IF(tabItens[[#This Row],[Média]] &gt; 0, tabItens[[#This Row],[QTDE ATUAL]] / tabItens[[#This Row],[Média]],999.9)</f>
        <v>0</v>
      </c>
      <c r="M32" s="296"/>
      <c r="N32" s="297">
        <f>tabItens[[#This Row],[VALOR UNIT.]] * tabItens[[#This Row],[LC]]</f>
        <v>0</v>
      </c>
      <c r="O32" s="298"/>
      <c r="P32" s="299"/>
      <c r="Q32" s="300"/>
      <c r="R32" s="297"/>
      <c r="S32" s="301"/>
      <c r="T32" s="302">
        <f>ROUNDDOWN(IFERROR(tabItens[[#This Row],[ATA DT.VALID.]] - $D$1,0) / 30,0)</f>
        <v>-1504</v>
      </c>
      <c r="U32" s="287" t="s">
        <v>935</v>
      </c>
      <c r="V32" s="303">
        <v>1</v>
      </c>
      <c r="W32" s="304" t="s">
        <v>2052</v>
      </c>
      <c r="X32" s="305">
        <v>45</v>
      </c>
      <c r="Y32" s="306">
        <v>11</v>
      </c>
      <c r="Z32" s="307">
        <v>6982</v>
      </c>
      <c r="AA32" s="308">
        <v>2023</v>
      </c>
      <c r="AB32" s="309">
        <v>13500</v>
      </c>
      <c r="AC32" s="309"/>
      <c r="AD32" s="308"/>
      <c r="AE32" s="309"/>
      <c r="AF32" s="302"/>
      <c r="AG32" s="310" t="s">
        <v>2050</v>
      </c>
      <c r="AH32" s="311"/>
      <c r="AI32" s="302">
        <v>23050</v>
      </c>
      <c r="AJ32" s="311">
        <v>44942</v>
      </c>
      <c r="AK32" s="311">
        <v>43720</v>
      </c>
      <c r="AL32" s="311">
        <v>44910</v>
      </c>
      <c r="AM32" s="301"/>
      <c r="AN32" s="290"/>
      <c r="AO32" s="312" t="str">
        <f>_xlfn.IFNA(IF(VLOOKUP(tabItens[[#This Row],[CÓDIGO]],tabExcluirDoEstoque[#Data],1,FALSE),"sim",""),"")</f>
        <v/>
      </c>
      <c r="AP32" s="313" t="str">
        <f ca="1">IF(OR(ISBLANK(tabItens[[#This Row],[ATA DT.VALID.]]),tabItens[[#This Row],[ATA DT.VALID.]]="",tabItens[[#This Row],[ATA DT.VALID.]]=" "),"",IF(TYPE(tabItens[[#This Row],[ATA DT.VALID.]])=1,ROUNDUP((tabItens[[#This Row],[ATA DT.VALID.]]-TODAY())/7,0),""))</f>
        <v/>
      </c>
      <c r="AQ32" s="314"/>
      <c r="AR32" s="315" t="str">
        <f>IF(ISBLANK(tabItens[[#This Row],[CÓDIGO]]),"",IFERROR(VLOOKUP(tabItens[[#This Row],[CÓDIGO]],Consumo!$C$2:$AC$869,26,FALSE),0))</f>
        <v>07.2023</v>
      </c>
      <c r="AS32" s="316">
        <f>SUMIF(Consumo!$C$3:$C$869,tabItens[[#This Row],[CÓDIGO]],Consumo!$N$3:$N$869) + SUMIF(Consumo!$C$3:$C$869,tabItens[[#This Row],[CÓDIGO]],Consumo!$O$3:$O$869) + SUMIF(Consumo!$C$3:$C$869,tabItens[[#This Row],[CÓDIGO]],Consumo!$P$3:$P$869) + SUMIF(Consumo!$C$3:$C$869,tabItens[[#This Row],[CÓDIGO]],Consumo!$Q$3:$Q$869)</f>
        <v>1642</v>
      </c>
      <c r="AT32" s="316">
        <f>SUMIF(Consumo!$C$3:$C$869,tabItens[[#This Row],[CÓDIGO]],Consumo!$Z$3:$Z$869)</f>
        <v>40252</v>
      </c>
      <c r="AU32" s="317">
        <f>SUMIF(Consumo!$C$3:$C$869,tabItens[[#This Row],[CÓDIGO]],Consumo!$AA$3:$AA$869)</f>
        <v>34890</v>
      </c>
      <c r="AV32" s="318">
        <f>SUMIF(Consumo!$C$3:$C$869,tabItens[[#This Row],[CÓDIGO]],Consumo!$Y$3:$Y$869)</f>
        <v>2318.75</v>
      </c>
      <c r="AW32" s="291">
        <f>tabItens[[#This Row],[QTDE ATUAL]] + tabItens[[#This Row],[RC QTDE]] + tabItens[[#This Row],[AF SALDO]] + tabItens[[#This Row],[Recentes]]</f>
        <v>13500</v>
      </c>
      <c r="AX32" s="319">
        <v>13692</v>
      </c>
      <c r="AY32" s="319">
        <v>4</v>
      </c>
      <c r="AZ32" s="319">
        <f>IF(ISBLANK(tabItens[[#This Row],[CÓDIGO]]),"",tabItens[[#This Row],[PontoMês]] * (AZ$2+tabItens[[#This Row],[PontoQtM]]))</f>
        <v>54768</v>
      </c>
      <c r="BA32" s="318">
        <f>tabItens[[#This Row],[PontoPed]] - tabItens[[#This Row],[Saldo]] + (1/10)</f>
        <v>41268.1</v>
      </c>
      <c r="BB32" s="318">
        <f xml:space="preserve"> tabItens[[#This Row],[PontoMês]] * BB$2 - tabItens[[#This Row],[QTDE ATUAL]] - (1/10)</f>
        <v>13691.9</v>
      </c>
      <c r="BC32" s="320">
        <f>IF( tabItens[[#This Row],[PontoPed]]&gt;0, IF(tabItens[[#This Row],[PontoPed]]&lt;1, 1, IF( tabItens[[#This Row],[Saldo]]&gt;tabItens[[#This Row],[PontoPed]], 0, (tabItens[[#This Row],[PontoPed]]-tabItens[[#This Row],[Saldo]])/tabItens[[#This Row],[PontoPed]] ) ), 0 )</f>
        <v>0.75350569675723045</v>
      </c>
      <c r="BD32" s="321">
        <f>ROUNDDOWN(IF( OR( AND(tabItens[[#This Row],[PontoPed]]&lt;tabItens[[#This Row],[Saldo]],tabItens[[#This Row],[Saldo]]&gt;0), tabItens[[#This Row],[PontoPed]]=0), 99, IF(AND(tabItens[[#This Row],[Saldo]]=0,tabItens[[#This Row],[PontoPed]]&gt;0), 0, (1-tabItens[[#This Row],[PctAb]])*10 ) ),0)</f>
        <v>2</v>
      </c>
      <c r="BE32" s="322">
        <f>MAX(ROUNDDOWN( IF(tabItens[[#This Row],[Abaixo]] &gt; 0,   tabItens[[#This Row],[Abaixo]] + (tabItens[[#This Row],[PontoMês]] * IF( OR( ISBLANK(tabItens[[#This Row],[ATA Nº/ANO]]), tabItens[[#This Row],[ATA Nº/ANO]] = ""),BE$2,BE$1)),0),0),0)</f>
        <v>123420</v>
      </c>
      <c r="BF3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123420</v>
      </c>
      <c r="BG32" s="323">
        <f>SUMIF(Consumo!$C$3:$C$869,tabItens[[#This Row],[CÓDIGO]],Consumo!$E$3:$E$869)</f>
        <v>34</v>
      </c>
      <c r="BH32" s="324">
        <f>IF(AND(tabItens[[#This Row],[Pend]] &gt; 0,tabItens[[#This Row],[Consumo]] &lt;&gt; 0), tabItens[[#This Row],[Pend]] / tabItens[[#This Row],[Consumo]], 0 )</f>
        <v>8.4467852529066878E-4</v>
      </c>
      <c r="BI32" s="323"/>
      <c r="BJ32" s="323"/>
      <c r="BK32" s="325" t="s">
        <v>2064</v>
      </c>
    </row>
    <row r="33" spans="1:63" hidden="1" x14ac:dyDescent="0.3">
      <c r="A33" s="286">
        <v>78642</v>
      </c>
      <c r="B33" s="287" t="s">
        <v>1446</v>
      </c>
      <c r="C33" s="288" t="s">
        <v>625</v>
      </c>
      <c r="D33" s="289">
        <v>2.64</v>
      </c>
      <c r="E33" s="290"/>
      <c r="F33" s="290"/>
      <c r="G33" s="290" t="s">
        <v>883</v>
      </c>
      <c r="H33" s="291"/>
      <c r="I33" s="292">
        <v>103003</v>
      </c>
      <c r="J33" s="293">
        <v>2.64</v>
      </c>
      <c r="K33" s="294">
        <v>3058</v>
      </c>
      <c r="L33" s="295">
        <f>IF(tabItens[[#This Row],[Média]] &gt; 0, tabItens[[#This Row],[QTDE ATUAL]] / tabItens[[#This Row],[Média]],999.9)</f>
        <v>0</v>
      </c>
      <c r="M33" s="296">
        <v>0</v>
      </c>
      <c r="N33" s="297">
        <f>tabItens[[#This Row],[VALOR UNIT.]] * tabItens[[#This Row],[LC]]</f>
        <v>0</v>
      </c>
      <c r="O33" s="298"/>
      <c r="P33" s="299"/>
      <c r="Q33" s="300"/>
      <c r="R33" s="297"/>
      <c r="S33" s="301"/>
      <c r="T33" s="302">
        <f>ROUNDDOWN(IFERROR(tabItens[[#This Row],[ATA DT.VALID.]] - $D$1,0) / 30,0)</f>
        <v>-1504</v>
      </c>
      <c r="U33" s="287" t="s">
        <v>1445</v>
      </c>
      <c r="V33" s="303">
        <v>1</v>
      </c>
      <c r="W33" s="304" t="s">
        <v>2052</v>
      </c>
      <c r="X33" s="305">
        <v>45</v>
      </c>
      <c r="Y33" s="306">
        <v>30</v>
      </c>
      <c r="Z33" s="307">
        <v>6978</v>
      </c>
      <c r="AA33" s="308">
        <v>2023</v>
      </c>
      <c r="AB33" s="309">
        <v>600</v>
      </c>
      <c r="AC33" s="309"/>
      <c r="AD33" s="308"/>
      <c r="AE33" s="309"/>
      <c r="AF33" s="302"/>
      <c r="AG33" s="310" t="s">
        <v>2050</v>
      </c>
      <c r="AH33" s="311"/>
      <c r="AI33" s="302">
        <v>1484</v>
      </c>
      <c r="AJ33" s="311">
        <v>44463</v>
      </c>
      <c r="AK33" s="311">
        <v>38104</v>
      </c>
      <c r="AL33" s="311">
        <v>44363</v>
      </c>
      <c r="AM33" s="301"/>
      <c r="AN33" s="290"/>
      <c r="AO33" s="312" t="str">
        <f>_xlfn.IFNA(IF(VLOOKUP(tabItens[[#This Row],[CÓDIGO]],tabExcluirDoEstoque[#Data],1,FALSE),"sim",""),"")</f>
        <v/>
      </c>
      <c r="AP33" s="313" t="str">
        <f ca="1">IF(OR(ISBLANK(tabItens[[#This Row],[ATA DT.VALID.]]),tabItens[[#This Row],[ATA DT.VALID.]]="",tabItens[[#This Row],[ATA DT.VALID.]]=" "),"",IF(TYPE(tabItens[[#This Row],[ATA DT.VALID.]])=1,ROUNDUP((tabItens[[#This Row],[ATA DT.VALID.]]-TODAY())/7,0),""))</f>
        <v/>
      </c>
      <c r="AQ33" s="314"/>
      <c r="AR33" s="315" t="str">
        <f>IF(ISBLANK(tabItens[[#This Row],[CÓDIGO]]),"",IFERROR(VLOOKUP(tabItens[[#This Row],[CÓDIGO]],Consumo!$C$2:$AC$869,26,FALSE),0))</f>
        <v>07.2023</v>
      </c>
      <c r="AS33" s="316">
        <f>SUMIF(Consumo!$C$3:$C$869,tabItens[[#This Row],[CÓDIGO]],Consumo!$N$3:$N$869) + SUMIF(Consumo!$C$3:$C$869,tabItens[[#This Row],[CÓDIGO]],Consumo!$O$3:$O$869) + SUMIF(Consumo!$C$3:$C$869,tabItens[[#This Row],[CÓDIGO]],Consumo!$P$3:$P$869) + SUMIF(Consumo!$C$3:$C$869,tabItens[[#This Row],[CÓDIGO]],Consumo!$Q$3:$Q$869)</f>
        <v>1070</v>
      </c>
      <c r="AT33" s="316">
        <f>SUMIF(Consumo!$C$3:$C$869,tabItens[[#This Row],[CÓDIGO]],Consumo!$Z$3:$Z$869)</f>
        <v>4454</v>
      </c>
      <c r="AU33" s="317">
        <f>SUMIF(Consumo!$C$3:$C$869,tabItens[[#This Row],[CÓDIGO]],Consumo!$AA$3:$AA$869)</f>
        <v>1401</v>
      </c>
      <c r="AV33" s="318">
        <f>SUMIF(Consumo!$C$3:$C$869,tabItens[[#This Row],[CÓDIGO]],Consumo!$Y$3:$Y$869)</f>
        <v>341</v>
      </c>
      <c r="AW33" s="291">
        <f>tabItens[[#This Row],[QTDE ATUAL]] + tabItens[[#This Row],[RC QTDE]] + tabItens[[#This Row],[AF SALDO]] + tabItens[[#This Row],[Recentes]]</f>
        <v>600</v>
      </c>
      <c r="AX33" s="319">
        <v>509</v>
      </c>
      <c r="AY33" s="319">
        <v>4</v>
      </c>
      <c r="AZ33" s="319">
        <f>IF(ISBLANK(tabItens[[#This Row],[CÓDIGO]]),"",tabItens[[#This Row],[PontoMês]] * (AZ$2+tabItens[[#This Row],[PontoQtM]]))</f>
        <v>2036</v>
      </c>
      <c r="BA33" s="318">
        <f>tabItens[[#This Row],[PontoPed]] - tabItens[[#This Row],[Saldo]] + (1/10)</f>
        <v>1436.1</v>
      </c>
      <c r="BB33" s="318">
        <f xml:space="preserve"> tabItens[[#This Row],[PontoMês]] * BB$2 - tabItens[[#This Row],[QTDE ATUAL]] - (1/10)</f>
        <v>508.9</v>
      </c>
      <c r="BC33" s="320">
        <f>IF( tabItens[[#This Row],[PontoPed]]&gt;0, IF(tabItens[[#This Row],[PontoPed]]&lt;1, 1, IF( tabItens[[#This Row],[Saldo]]&gt;tabItens[[#This Row],[PontoPed]], 0, (tabItens[[#This Row],[PontoPed]]-tabItens[[#This Row],[Saldo]])/tabItens[[#This Row],[PontoPed]] ) ), 0 )</f>
        <v>0.7053045186640472</v>
      </c>
      <c r="BD33" s="321">
        <f>ROUNDDOWN(IF( OR( AND(tabItens[[#This Row],[PontoPed]]&lt;tabItens[[#This Row],[Saldo]],tabItens[[#This Row],[Saldo]]&gt;0), tabItens[[#This Row],[PontoPed]]=0), 99, IF(AND(tabItens[[#This Row],[Saldo]]=0,tabItens[[#This Row],[PontoPed]]&gt;0), 0, (1-tabItens[[#This Row],[PctAb]])*10 ) ),0)</f>
        <v>2</v>
      </c>
      <c r="BE33" s="322">
        <f>MAX(ROUNDDOWN( IF(tabItens[[#This Row],[Abaixo]] &gt; 0,   tabItens[[#This Row],[Abaixo]] + (tabItens[[#This Row],[PontoMês]] * IF( OR( ISBLANK(tabItens[[#This Row],[ATA Nº/ANO]]), tabItens[[#This Row],[ATA Nº/ANO]] = ""),BE$2,BE$1)),0),0),0)</f>
        <v>4490</v>
      </c>
      <c r="BF3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4490</v>
      </c>
      <c r="BG33" s="323">
        <f>SUMIF(Consumo!$C$3:$C$869,tabItens[[#This Row],[CÓDIGO]],Consumo!$E$3:$E$869)</f>
        <v>2</v>
      </c>
      <c r="BH33" s="324">
        <f>IF(AND(tabItens[[#This Row],[Pend]] &gt; 0,tabItens[[#This Row],[Consumo]] &lt;&gt; 0), tabItens[[#This Row],[Pend]] / tabItens[[#This Row],[Consumo]], 0 )</f>
        <v>4.4903457566232598E-4</v>
      </c>
      <c r="BI33" s="323"/>
      <c r="BJ33" s="323"/>
      <c r="BK33" s="325" t="s">
        <v>2064</v>
      </c>
    </row>
    <row r="34" spans="1:63" hidden="1" x14ac:dyDescent="0.3">
      <c r="A34" s="286">
        <v>141615</v>
      </c>
      <c r="B34" s="287" t="s">
        <v>2024</v>
      </c>
      <c r="C34" s="288" t="s">
        <v>273</v>
      </c>
      <c r="D34" s="289">
        <v>248.96</v>
      </c>
      <c r="E34" s="290"/>
      <c r="F34" s="290"/>
      <c r="G34" s="290" t="s">
        <v>883</v>
      </c>
      <c r="H34" s="291"/>
      <c r="I34" s="292">
        <v>103003</v>
      </c>
      <c r="J34" s="293">
        <v>248.96</v>
      </c>
      <c r="K34" s="294">
        <v>25</v>
      </c>
      <c r="L34" s="295">
        <f>IF(tabItens[[#This Row],[Média]] &gt; 0, tabItens[[#This Row],[QTDE ATUAL]] / tabItens[[#This Row],[Média]],999.9)</f>
        <v>0</v>
      </c>
      <c r="M34" s="296">
        <v>0</v>
      </c>
      <c r="N34" s="297">
        <f>tabItens[[#This Row],[VALOR UNIT.]] * tabItens[[#This Row],[LC]]</f>
        <v>0</v>
      </c>
      <c r="O34" s="298"/>
      <c r="P34" s="299"/>
      <c r="Q34" s="300"/>
      <c r="R34" s="297"/>
      <c r="S34" s="301"/>
      <c r="T34" s="302">
        <f>ROUNDDOWN(IFERROR(tabItens[[#This Row],[ATA DT.VALID.]] - $D$1,0) / 30,0)</f>
        <v>-1504</v>
      </c>
      <c r="U34" s="287" t="s">
        <v>972</v>
      </c>
      <c r="V34" s="303">
        <v>1</v>
      </c>
      <c r="W34" s="304" t="s">
        <v>2053</v>
      </c>
      <c r="X34" s="305">
        <v>76</v>
      </c>
      <c r="Y34" s="306">
        <v>10</v>
      </c>
      <c r="Z34" s="307">
        <v>2973</v>
      </c>
      <c r="AA34" s="308">
        <v>2023</v>
      </c>
      <c r="AB34" s="309">
        <v>50</v>
      </c>
      <c r="AC34" s="309"/>
      <c r="AD34" s="308"/>
      <c r="AE34" s="309"/>
      <c r="AF34" s="302"/>
      <c r="AG34" s="310" t="s">
        <v>2050</v>
      </c>
      <c r="AH34" s="311"/>
      <c r="AI34" s="302">
        <v>12</v>
      </c>
      <c r="AJ34" s="311">
        <v>44838</v>
      </c>
      <c r="AK34" s="311">
        <v>44371</v>
      </c>
      <c r="AL34" s="311">
        <v>44915</v>
      </c>
      <c r="AM34" s="301"/>
      <c r="AN34" s="290"/>
      <c r="AO34" s="312" t="str">
        <f>_xlfn.IFNA(IF(VLOOKUP(tabItens[[#This Row],[CÓDIGO]],tabExcluirDoEstoque[#Data],1,FALSE),"sim",""),"")</f>
        <v/>
      </c>
      <c r="AP34" s="313" t="str">
        <f ca="1">IF(OR(ISBLANK(tabItens[[#This Row],[ATA DT.VALID.]]),tabItens[[#This Row],[ATA DT.VALID.]]="",tabItens[[#This Row],[ATA DT.VALID.]]=" "),"",IF(TYPE(tabItens[[#This Row],[ATA DT.VALID.]])=1,ROUNDUP((tabItens[[#This Row],[ATA DT.VALID.]]-TODAY())/7,0),""))</f>
        <v/>
      </c>
      <c r="AQ34" s="314">
        <v>0</v>
      </c>
      <c r="AR34" s="315" t="str">
        <f>IF(ISBLANK(tabItens[[#This Row],[CÓDIGO]]),"",IFERROR(VLOOKUP(tabItens[[#This Row],[CÓDIGO]],Consumo!$C$2:$AC$869,26,FALSE),0))</f>
        <v>06.2023</v>
      </c>
      <c r="AS34" s="316">
        <f>SUMIF(Consumo!$C$3:$C$869,tabItens[[#This Row],[CÓDIGO]],Consumo!$N$3:$N$869) + SUMIF(Consumo!$C$3:$C$869,tabItens[[#This Row],[CÓDIGO]],Consumo!$O$3:$O$869) + SUMIF(Consumo!$C$3:$C$869,tabItens[[#This Row],[CÓDIGO]],Consumo!$P$3:$P$869) + SUMIF(Consumo!$C$3:$C$869,tabItens[[#This Row],[CÓDIGO]],Consumo!$Q$3:$Q$869)</f>
        <v>4</v>
      </c>
      <c r="AT34" s="316">
        <f>SUMIF(Consumo!$C$3:$C$869,tabItens[[#This Row],[CÓDIGO]],Consumo!$Z$3:$Z$869)</f>
        <v>32</v>
      </c>
      <c r="AU34" s="317">
        <f>SUMIF(Consumo!$C$3:$C$869,tabItens[[#This Row],[CÓDIGO]],Consumo!$AA$3:$AA$869)</f>
        <v>12</v>
      </c>
      <c r="AV34" s="318">
        <f>SUMIF(Consumo!$C$3:$C$869,tabItens[[#This Row],[CÓDIGO]],Consumo!$Y$3:$Y$869)</f>
        <v>2.3333333333333335</v>
      </c>
      <c r="AW34" s="291">
        <f>tabItens[[#This Row],[QTDE ATUAL]] + tabItens[[#This Row],[RC QTDE]] + tabItens[[#This Row],[AF SALDO]] + tabItens[[#This Row],[Recentes]]</f>
        <v>50</v>
      </c>
      <c r="AX34" s="319">
        <v>60</v>
      </c>
      <c r="AY34" s="319">
        <v>4</v>
      </c>
      <c r="AZ34" s="319">
        <f>IF(ISBLANK(tabItens[[#This Row],[CÓDIGO]]),"",tabItens[[#This Row],[PontoMês]] * (AZ$2+tabItens[[#This Row],[PontoQtM]]))</f>
        <v>240</v>
      </c>
      <c r="BA34" s="318">
        <f>tabItens[[#This Row],[PontoPed]] - tabItens[[#This Row],[Saldo]] + (1/10)</f>
        <v>190.1</v>
      </c>
      <c r="BB34" s="318">
        <f xml:space="preserve"> tabItens[[#This Row],[PontoMês]] * BB$2 - tabItens[[#This Row],[QTDE ATUAL]] - (1/10)</f>
        <v>59.9</v>
      </c>
      <c r="BC34" s="320">
        <f>IF( tabItens[[#This Row],[PontoPed]]&gt;0, IF(tabItens[[#This Row],[PontoPed]]&lt;1, 1, IF( tabItens[[#This Row],[Saldo]]&gt;tabItens[[#This Row],[PontoPed]], 0, (tabItens[[#This Row],[PontoPed]]-tabItens[[#This Row],[Saldo]])/tabItens[[#This Row],[PontoPed]] ) ), 0 )</f>
        <v>0.79166666666666663</v>
      </c>
      <c r="BD34" s="321">
        <f>ROUNDDOWN(IF( OR( AND(tabItens[[#This Row],[PontoPed]]&lt;tabItens[[#This Row],[Saldo]],tabItens[[#This Row],[Saldo]]&gt;0), tabItens[[#This Row],[PontoPed]]=0), 99, IF(AND(tabItens[[#This Row],[Saldo]]=0,tabItens[[#This Row],[PontoPed]]&gt;0), 0, (1-tabItens[[#This Row],[PctAb]])*10 ) ),0)</f>
        <v>2</v>
      </c>
      <c r="BE34" s="322">
        <f>MAX(ROUNDDOWN( IF(tabItens[[#This Row],[Abaixo]] &gt; 0,   tabItens[[#This Row],[Abaixo]] + (tabItens[[#This Row],[PontoMês]] * IF( OR( ISBLANK(tabItens[[#This Row],[ATA Nº/ANO]]), tabItens[[#This Row],[ATA Nº/ANO]] = ""),BE$2,BE$1)),0),0),0)</f>
        <v>550</v>
      </c>
      <c r="BF3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550</v>
      </c>
      <c r="BG34" s="323">
        <f>SUMIF(Consumo!$C$3:$C$869,tabItens[[#This Row],[CÓDIGO]],Consumo!$E$3:$E$869)</f>
        <v>0</v>
      </c>
      <c r="BH34" s="324">
        <f>IF(AND(tabItens[[#This Row],[Pend]] &gt; 0,tabItens[[#This Row],[Consumo]] &lt;&gt; 0), tabItens[[#This Row],[Pend]] / tabItens[[#This Row],[Consumo]], 0 )</f>
        <v>0</v>
      </c>
      <c r="BI34" s="323"/>
      <c r="BJ34" s="323"/>
      <c r="BK34" s="325" t="s">
        <v>2064</v>
      </c>
    </row>
    <row r="35" spans="1:63" hidden="1" x14ac:dyDescent="0.3">
      <c r="A35" s="286">
        <v>134246</v>
      </c>
      <c r="B35" s="287" t="s">
        <v>1859</v>
      </c>
      <c r="C35" s="288" t="s">
        <v>1860</v>
      </c>
      <c r="D35" s="289">
        <v>122.53</v>
      </c>
      <c r="E35" s="290" t="s">
        <v>1861</v>
      </c>
      <c r="F35" s="290" t="s">
        <v>1862</v>
      </c>
      <c r="G35" s="290" t="s">
        <v>1863</v>
      </c>
      <c r="H35" s="291">
        <v>53.91</v>
      </c>
      <c r="I35" s="292">
        <v>103003</v>
      </c>
      <c r="J35" s="293">
        <v>123.33355</v>
      </c>
      <c r="K35" s="294">
        <v>717.94</v>
      </c>
      <c r="L35" s="295">
        <f>IF(tabItens[[#This Row],[Média]] &gt; 0, tabItens[[#This Row],[QTDE ATUAL]] / tabItens[[#This Row],[Média]],999.9)</f>
        <v>0.57047619047619047</v>
      </c>
      <c r="M35" s="296">
        <v>0</v>
      </c>
      <c r="N35" s="297">
        <f>tabItens[[#This Row],[VALOR UNIT.]] * tabItens[[#This Row],[LC]]</f>
        <v>0</v>
      </c>
      <c r="O35" s="298" t="s">
        <v>1864</v>
      </c>
      <c r="P35" s="299">
        <v>0</v>
      </c>
      <c r="Q35" s="300">
        <v>0</v>
      </c>
      <c r="R35" s="297">
        <v>0</v>
      </c>
      <c r="S35" s="301">
        <v>45181</v>
      </c>
      <c r="T35" s="302">
        <f>ROUNDDOWN(IFERROR(tabItens[[#This Row],[ATA DT.VALID.]] - $D$1,0) / 30,0)</f>
        <v>1</v>
      </c>
      <c r="U35" s="287" t="s">
        <v>1865</v>
      </c>
      <c r="V35" s="303">
        <v>1</v>
      </c>
      <c r="W35" s="304" t="s">
        <v>2049</v>
      </c>
      <c r="X35" s="305">
        <v>51</v>
      </c>
      <c r="Y35" s="306">
        <v>2</v>
      </c>
      <c r="Z35" s="307"/>
      <c r="AA35" s="308"/>
      <c r="AB35" s="309"/>
      <c r="AC35" s="309">
        <v>4690</v>
      </c>
      <c r="AD35" s="308">
        <v>2023</v>
      </c>
      <c r="AE35" s="309">
        <v>49.849995927000002</v>
      </c>
      <c r="AF35" s="302">
        <v>400</v>
      </c>
      <c r="AG35" s="310" t="s">
        <v>2048</v>
      </c>
      <c r="AH35" s="311">
        <v>45054</v>
      </c>
      <c r="AI35" s="302">
        <v>380</v>
      </c>
      <c r="AJ35" s="311">
        <v>45140</v>
      </c>
      <c r="AK35" s="311">
        <v>43138</v>
      </c>
      <c r="AL35" s="311">
        <v>45075</v>
      </c>
      <c r="AM35" s="301"/>
      <c r="AN35" s="290"/>
      <c r="AO35" s="312" t="str">
        <f>_xlfn.IFNA(IF(VLOOKUP(tabItens[[#This Row],[CÓDIGO]],tabExcluirDoEstoque[#Data],1,FALSE),"sim",""),"")</f>
        <v/>
      </c>
      <c r="AP35" s="313">
        <f ca="1">IF(OR(ISBLANK(tabItens[[#This Row],[ATA DT.VALID.]]),tabItens[[#This Row],[ATA DT.VALID.]]="",tabItens[[#This Row],[ATA DT.VALID.]]=" "),"",IF(TYPE(tabItens[[#This Row],[ATA DT.VALID.]])=1,ROUNDUP((tabItens[[#This Row],[ATA DT.VALID.]]-TODAY())/7,0),""))</f>
        <v>-11</v>
      </c>
      <c r="AQ35" s="314">
        <v>0</v>
      </c>
      <c r="AR35" s="315" t="str">
        <f>IF(ISBLANK(tabItens[[#This Row],[CÓDIGO]]),"",IFERROR(VLOOKUP(tabItens[[#This Row],[CÓDIGO]],Consumo!$C$2:$AC$869,26,FALSE),0))</f>
        <v>07.2023</v>
      </c>
      <c r="AS35" s="316">
        <f>SUMIF(Consumo!$C$3:$C$869,tabItens[[#This Row],[CÓDIGO]],Consumo!$N$3:$N$869) + SUMIF(Consumo!$C$3:$C$869,tabItens[[#This Row],[CÓDIGO]],Consumo!$O$3:$O$869) + SUMIF(Consumo!$C$3:$C$869,tabItens[[#This Row],[CÓDIGO]],Consumo!$P$3:$P$869) + SUMIF(Consumo!$C$3:$C$869,tabItens[[#This Row],[CÓDIGO]],Consumo!$Q$3:$Q$869)</f>
        <v>456.42</v>
      </c>
      <c r="AT35" s="316">
        <f>SUMIF(Consumo!$C$3:$C$869,tabItens[[#This Row],[CÓDIGO]],Consumo!$Z$3:$Z$869)</f>
        <v>1134</v>
      </c>
      <c r="AU35" s="317">
        <f>SUMIF(Consumo!$C$3:$C$869,tabItens[[#This Row],[CÓDIGO]],Consumo!$AA$3:$AA$869)</f>
        <v>165.94</v>
      </c>
      <c r="AV35" s="318">
        <f>SUMIF(Consumo!$C$3:$C$869,tabItens[[#This Row],[CÓDIGO]],Consumo!$Y$3:$Y$869)</f>
        <v>94.5</v>
      </c>
      <c r="AW35" s="291">
        <f>tabItens[[#This Row],[QTDE ATUAL]] + tabItens[[#This Row],[RC QTDE]] + tabItens[[#This Row],[AF SALDO]] + tabItens[[#This Row],[Recentes]]</f>
        <v>103.75999592700001</v>
      </c>
      <c r="AX35" s="319">
        <v>111</v>
      </c>
      <c r="AY35" s="319">
        <v>3</v>
      </c>
      <c r="AZ35" s="319">
        <f>IF(ISBLANK(tabItens[[#This Row],[CÓDIGO]]),"",tabItens[[#This Row],[PontoMês]] * (AZ$2+tabItens[[#This Row],[PontoQtM]]))</f>
        <v>333</v>
      </c>
      <c r="BA35" s="318">
        <f>tabItens[[#This Row],[PontoPed]] - tabItens[[#This Row],[Saldo]] + (1/10)</f>
        <v>229.34000407299999</v>
      </c>
      <c r="BB35" s="318">
        <f xml:space="preserve"> tabItens[[#This Row],[PontoMês]] * BB$2 - tabItens[[#This Row],[QTDE ATUAL]] - (1/10)</f>
        <v>56.99</v>
      </c>
      <c r="BC35" s="320">
        <f>IF( tabItens[[#This Row],[PontoPed]]&gt;0, IF(tabItens[[#This Row],[PontoPed]]&lt;1, 1, IF( tabItens[[#This Row],[Saldo]]&gt;tabItens[[#This Row],[PontoPed]], 0, (tabItens[[#This Row],[PontoPed]]-tabItens[[#This Row],[Saldo]])/tabItens[[#This Row],[PontoPed]] ) ), 0 )</f>
        <v>0.68840842063963958</v>
      </c>
      <c r="BD35" s="321">
        <f>ROUNDDOWN(IF( OR( AND(tabItens[[#This Row],[PontoPed]]&lt;tabItens[[#This Row],[Saldo]],tabItens[[#This Row],[Saldo]]&gt;0), tabItens[[#This Row],[PontoPed]]=0), 99, IF(AND(tabItens[[#This Row],[Saldo]]=0,tabItens[[#This Row],[PontoPed]]&gt;0), 0, (1-tabItens[[#This Row],[PctAb]])*10 ) ),0)</f>
        <v>3</v>
      </c>
      <c r="BE35" s="322">
        <f>MAX(ROUNDDOWN( IF(tabItens[[#This Row],[Abaixo]] &gt; 0,   tabItens[[#This Row],[Abaixo]] + (tabItens[[#This Row],[PontoMês]] * IF( OR( ISBLANK(tabItens[[#This Row],[ATA Nº/ANO]]), tabItens[[#This Row],[ATA Nº/ANO]] = ""),BE$2,BE$1)),0),0),0)</f>
        <v>562</v>
      </c>
      <c r="BF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 s="323">
        <f>SUMIF(Consumo!$C$3:$C$869,tabItens[[#This Row],[CÓDIGO]],Consumo!$E$3:$E$869)</f>
        <v>23.21</v>
      </c>
      <c r="BH35" s="324">
        <f>IF(AND(tabItens[[#This Row],[Pend]] &gt; 0,tabItens[[#This Row],[Consumo]] &lt;&gt; 0), tabItens[[#This Row],[Pend]] / tabItens[[#This Row],[Consumo]], 0 )</f>
        <v>2.0467372134038802E-2</v>
      </c>
      <c r="BI35" s="323"/>
      <c r="BJ35" s="323"/>
      <c r="BK35" s="325" t="s">
        <v>2064</v>
      </c>
    </row>
    <row r="36" spans="1:63" x14ac:dyDescent="0.3">
      <c r="A36" s="396">
        <v>12992</v>
      </c>
      <c r="B36" s="397" t="s">
        <v>986</v>
      </c>
      <c r="C36" s="398" t="s">
        <v>256</v>
      </c>
      <c r="D36" s="399">
        <v>9.82</v>
      </c>
      <c r="E36" s="290"/>
      <c r="F36" s="400"/>
      <c r="G36" s="400" t="s">
        <v>883</v>
      </c>
      <c r="H36" s="401">
        <v>0</v>
      </c>
      <c r="I36" s="292">
        <v>103003</v>
      </c>
      <c r="J36" s="293">
        <v>9.82</v>
      </c>
      <c r="K36" s="402">
        <v>66</v>
      </c>
      <c r="L36" s="403">
        <f>IF(tabItens[[#This Row],[Média]] &gt; 0, tabItens[[#This Row],[QTDE ATUAL]] / tabItens[[#This Row],[Média]],999.9)</f>
        <v>0</v>
      </c>
      <c r="M36" s="404">
        <v>0</v>
      </c>
      <c r="N36" s="405">
        <f>tabItens[[#This Row],[VALOR UNIT.]] * tabItens[[#This Row],[LC]]</f>
        <v>0</v>
      </c>
      <c r="O36" s="406" t="s">
        <v>2082</v>
      </c>
      <c r="P36" s="407"/>
      <c r="Q36" s="408"/>
      <c r="R36" s="297"/>
      <c r="S36" s="409"/>
      <c r="T36" s="410">
        <f>ROUNDDOWN(IFERROR(tabItens[[#This Row],[ATA DT.VALID.]] - $D$1,0) / 30,0)</f>
        <v>-1504</v>
      </c>
      <c r="U36" s="287" t="s">
        <v>985</v>
      </c>
      <c r="V36" s="303">
        <v>1</v>
      </c>
      <c r="W36" s="411" t="s">
        <v>2055</v>
      </c>
      <c r="X36" s="412">
        <v>55</v>
      </c>
      <c r="Y36" s="413">
        <v>7</v>
      </c>
      <c r="Z36" s="414">
        <v>2442</v>
      </c>
      <c r="AA36" s="415">
        <v>2023</v>
      </c>
      <c r="AB36" s="416">
        <v>10</v>
      </c>
      <c r="AC36" s="416"/>
      <c r="AD36" s="415"/>
      <c r="AE36" s="416"/>
      <c r="AF36" s="302"/>
      <c r="AG36" s="417" t="s">
        <v>2050</v>
      </c>
      <c r="AH36" s="418"/>
      <c r="AI36" s="302">
        <v>24</v>
      </c>
      <c r="AJ36" s="418">
        <v>44951</v>
      </c>
      <c r="AK36" s="311" t="s">
        <v>883</v>
      </c>
      <c r="AL36" s="311">
        <v>44917</v>
      </c>
      <c r="AM36" s="301"/>
      <c r="AN36" s="290"/>
      <c r="AO36" s="312" t="str">
        <f>_xlfn.IFNA(IF(VLOOKUP(tabItens[[#This Row],[CÓDIGO]],tabExcluirDoEstoque[#Data],1,FALSE),"sim",""),"")</f>
        <v/>
      </c>
      <c r="AP36" s="419" t="str">
        <f ca="1">IF(OR(ISBLANK(tabItens[[#This Row],[ATA DT.VALID.]]),tabItens[[#This Row],[ATA DT.VALID.]]="",tabItens[[#This Row],[ATA DT.VALID.]]=" "),"",IF(TYPE(tabItens[[#This Row],[ATA DT.VALID.]])=1,ROUNDUP((tabItens[[#This Row],[ATA DT.VALID.]]-TODAY())/7,0),""))</f>
        <v/>
      </c>
      <c r="AQ36" s="314">
        <v>0</v>
      </c>
      <c r="AR36" s="315" t="str">
        <f>IF(ISBLANK(tabItens[[#This Row],[CÓDIGO]]),"",IFERROR(VLOOKUP(tabItens[[#This Row],[CÓDIGO]],Consumo!$C$2:$AC$869,26,FALSE),0))</f>
        <v>07.2023</v>
      </c>
      <c r="AS36" s="316">
        <f>SUMIF(Consumo!$C$3:$C$869,tabItens[[#This Row],[CÓDIGO]],Consumo!$N$3:$N$869) + SUMIF(Consumo!$C$3:$C$869,tabItens[[#This Row],[CÓDIGO]],Consumo!$O$3:$O$869) + SUMIF(Consumo!$C$3:$C$869,tabItens[[#This Row],[CÓDIGO]],Consumo!$P$3:$P$869) + SUMIF(Consumo!$C$3:$C$869,tabItens[[#This Row],[CÓDIGO]],Consumo!$Q$3:$Q$869)</f>
        <v>26</v>
      </c>
      <c r="AT36" s="316">
        <f>SUMIF(Consumo!$C$3:$C$869,tabItens[[#This Row],[CÓDIGO]],Consumo!$Z$3:$Z$869)</f>
        <v>115</v>
      </c>
      <c r="AU36" s="317">
        <f>SUMIF(Consumo!$C$3:$C$869,tabItens[[#This Row],[CÓDIGO]],Consumo!$AA$3:$AA$869)</f>
        <v>18</v>
      </c>
      <c r="AV36" s="318">
        <f>SUMIF(Consumo!$C$3:$C$869,tabItens[[#This Row],[CÓDIGO]],Consumo!$Y$3:$Y$869)</f>
        <v>9.5833333333333339</v>
      </c>
      <c r="AW36" s="401">
        <f>tabItens[[#This Row],[QTDE ATUAL]] + tabItens[[#This Row],[RC QTDE]] + tabItens[[#This Row],[AF SALDO]] + tabItens[[#This Row],[Recentes]]</f>
        <v>10</v>
      </c>
      <c r="AX36" s="420">
        <v>8</v>
      </c>
      <c r="AY36" s="420">
        <v>4</v>
      </c>
      <c r="AZ36" s="420">
        <f>IF(ISBLANK(tabItens[[#This Row],[CÓDIGO]]),"",tabItens[[#This Row],[PontoMês]] * (AZ$2+tabItens[[#This Row],[PontoQtM]]))</f>
        <v>32</v>
      </c>
      <c r="BA36" s="421">
        <f>tabItens[[#This Row],[PontoPed]] - tabItens[[#This Row],[Saldo]] + (1/10)</f>
        <v>22.1</v>
      </c>
      <c r="BB36" s="421">
        <f xml:space="preserve"> tabItens[[#This Row],[PontoMês]] * BB$2 - tabItens[[#This Row],[QTDE ATUAL]] - (1/10)</f>
        <v>7.9</v>
      </c>
      <c r="BC36" s="320">
        <f>IF( tabItens[[#This Row],[PontoPed]]&gt;0, IF(tabItens[[#This Row],[PontoPed]]&lt;1, 1, IF( tabItens[[#This Row],[Saldo]]&gt;tabItens[[#This Row],[PontoPed]], 0, (tabItens[[#This Row],[PontoPed]]-tabItens[[#This Row],[Saldo]])/tabItens[[#This Row],[PontoPed]] ) ), 0 )</f>
        <v>0.6875</v>
      </c>
      <c r="BD36" s="422">
        <f>ROUNDDOWN(IF( OR( AND(tabItens[[#This Row],[PontoPed]]&lt;tabItens[[#This Row],[Saldo]],tabItens[[#This Row],[Saldo]]&gt;0), tabItens[[#This Row],[PontoPed]]=0), 99, IF(AND(tabItens[[#This Row],[Saldo]]=0,tabItens[[#This Row],[PontoPed]]&gt;0), 0, (1-tabItens[[#This Row],[PctAb]])*10 ) ),0)</f>
        <v>3</v>
      </c>
      <c r="BE36" s="423">
        <f>MAX(ROUNDDOWN( IF(tabItens[[#This Row],[Abaixo]] &gt; 0,   tabItens[[#This Row],[Abaixo]] + (tabItens[[#This Row],[PontoMês]] * IF( OR( ISBLANK(tabItens[[#This Row],[ATA Nº/ANO]]), tabItens[[#This Row],[ATA Nº/ANO]] = ""),BE$2,BE$1)),0),0),0)</f>
        <v>46</v>
      </c>
      <c r="BF3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 s="323">
        <f>SUMIF(Consumo!$C$3:$C$869,tabItens[[#This Row],[CÓDIGO]],Consumo!$E$3:$E$869)</f>
        <v>44</v>
      </c>
      <c r="BH36" s="324">
        <f>IF(AND(tabItens[[#This Row],[Pend]] &gt; 0,tabItens[[#This Row],[Consumo]] &lt;&gt; 0), tabItens[[#This Row],[Pend]] / tabItens[[#This Row],[Consumo]], 0 )</f>
        <v>0.38260869565217392</v>
      </c>
      <c r="BI36" s="323"/>
      <c r="BJ36" s="424"/>
      <c r="BK36" s="425" t="s">
        <v>2064</v>
      </c>
    </row>
    <row r="37" spans="1:63" hidden="1" x14ac:dyDescent="0.3">
      <c r="A37" s="286">
        <v>93335</v>
      </c>
      <c r="B37" s="287" t="s">
        <v>1533</v>
      </c>
      <c r="C37" s="288" t="s">
        <v>569</v>
      </c>
      <c r="D37" s="289">
        <v>0.45</v>
      </c>
      <c r="E37" s="290"/>
      <c r="F37" s="290"/>
      <c r="G37" s="290" t="s">
        <v>883</v>
      </c>
      <c r="H37" s="291">
        <v>251</v>
      </c>
      <c r="I37" s="292">
        <v>103003</v>
      </c>
      <c r="J37" s="293">
        <v>0.45</v>
      </c>
      <c r="K37" s="294">
        <v>4722</v>
      </c>
      <c r="L37" s="295">
        <f>IF(tabItens[[#This Row],[Média]] &gt; 0, tabItens[[#This Row],[QTDE ATUAL]] / tabItens[[#This Row],[Média]],999.9)</f>
        <v>0.44841447074586871</v>
      </c>
      <c r="M37" s="296">
        <v>0</v>
      </c>
      <c r="N37" s="297">
        <f>tabItens[[#This Row],[VALOR UNIT.]] * tabItens[[#This Row],[LC]]</f>
        <v>0</v>
      </c>
      <c r="O37" s="298" t="s">
        <v>2066</v>
      </c>
      <c r="P37" s="299"/>
      <c r="Q37" s="300"/>
      <c r="R37" s="297"/>
      <c r="S37" s="301"/>
      <c r="T37" s="302">
        <f>ROUNDDOWN(IFERROR(tabItens[[#This Row],[ATA DT.VALID.]] - $D$1,0) / 30,0)</f>
        <v>-1504</v>
      </c>
      <c r="U37" s="287" t="s">
        <v>1135</v>
      </c>
      <c r="V37" s="303">
        <v>1</v>
      </c>
      <c r="W37" s="304" t="s">
        <v>2052</v>
      </c>
      <c r="X37" s="305">
        <v>57</v>
      </c>
      <c r="Y37" s="306">
        <v>2</v>
      </c>
      <c r="Z37" s="307">
        <v>6216</v>
      </c>
      <c r="AA37" s="308">
        <v>2023</v>
      </c>
      <c r="AB37" s="309">
        <v>1000</v>
      </c>
      <c r="AC37" s="309"/>
      <c r="AD37" s="308"/>
      <c r="AE37" s="309"/>
      <c r="AF37" s="302"/>
      <c r="AG37" s="310" t="s">
        <v>2050</v>
      </c>
      <c r="AH37" s="311"/>
      <c r="AI37" s="302">
        <v>2226</v>
      </c>
      <c r="AJ37" s="311">
        <v>44974</v>
      </c>
      <c r="AK37" s="311">
        <v>38919</v>
      </c>
      <c r="AL37" s="311">
        <v>45049</v>
      </c>
      <c r="AM37" s="301"/>
      <c r="AN37" s="290"/>
      <c r="AO37" s="312" t="str">
        <f>_xlfn.IFNA(IF(VLOOKUP(tabItens[[#This Row],[CÓDIGO]],tabExcluirDoEstoque[#Data],1,FALSE),"sim",""),"")</f>
        <v/>
      </c>
      <c r="AP37" s="313" t="str">
        <f ca="1">IF(OR(ISBLANK(tabItens[[#This Row],[ATA DT.VALID.]]),tabItens[[#This Row],[ATA DT.VALID.]]="",tabItens[[#This Row],[ATA DT.VALID.]]=" "),"",IF(TYPE(tabItens[[#This Row],[ATA DT.VALID.]])=1,ROUNDUP((tabItens[[#This Row],[ATA DT.VALID.]]-TODAY())/7,0),""))</f>
        <v/>
      </c>
      <c r="AQ37" s="314">
        <v>0</v>
      </c>
      <c r="AR37" s="315" t="str">
        <f>IF(ISBLANK(tabItens[[#This Row],[CÓDIGO]]),"",IFERROR(VLOOKUP(tabItens[[#This Row],[CÓDIGO]],Consumo!$C$2:$AC$869,26,FALSE),0))</f>
        <v>07.2023</v>
      </c>
      <c r="AS37" s="316">
        <f>SUMIF(Consumo!$C$3:$C$869,tabItens[[#This Row],[CÓDIGO]],Consumo!$N$3:$N$869) + SUMIF(Consumo!$C$3:$C$869,tabItens[[#This Row],[CÓDIGO]],Consumo!$O$3:$O$869) + SUMIF(Consumo!$C$3:$C$869,tabItens[[#This Row],[CÓDIGO]],Consumo!$P$3:$P$869) + SUMIF(Consumo!$C$3:$C$869,tabItens[[#This Row],[CÓDIGO]],Consumo!$Q$3:$Q$869)</f>
        <v>3418</v>
      </c>
      <c r="AT37" s="316">
        <f>SUMIF(Consumo!$C$3:$C$869,tabItens[[#This Row],[CÓDIGO]],Consumo!$Z$3:$Z$869)</f>
        <v>6719</v>
      </c>
      <c r="AU37" s="317">
        <f>SUMIF(Consumo!$C$3:$C$869,tabItens[[#This Row],[CÓDIGO]],Consumo!$AA$3:$AA$869)</f>
        <v>1217</v>
      </c>
      <c r="AV37" s="318">
        <f>SUMIF(Consumo!$C$3:$C$869,tabItens[[#This Row],[CÓDIGO]],Consumo!$Y$3:$Y$869)</f>
        <v>559.75</v>
      </c>
      <c r="AW37" s="291">
        <f>tabItens[[#This Row],[QTDE ATUAL]] + tabItens[[#This Row],[RC QTDE]] + tabItens[[#This Row],[AF SALDO]] + tabItens[[#This Row],[Recentes]]</f>
        <v>1251</v>
      </c>
      <c r="AX37" s="319">
        <v>834</v>
      </c>
      <c r="AY37" s="319">
        <v>4</v>
      </c>
      <c r="AZ37" s="319">
        <f>IF(ISBLANK(tabItens[[#This Row],[CÓDIGO]]),"",tabItens[[#This Row],[PontoMês]] * (AZ$2+tabItens[[#This Row],[PontoQtM]]))</f>
        <v>3336</v>
      </c>
      <c r="BA37" s="318">
        <f>tabItens[[#This Row],[PontoPed]] - tabItens[[#This Row],[Saldo]] + (1/10)</f>
        <v>2085.1</v>
      </c>
      <c r="BB37" s="318">
        <f xml:space="preserve"> tabItens[[#This Row],[PontoMês]] * BB$2 - tabItens[[#This Row],[QTDE ATUAL]] - (1/10)</f>
        <v>582.9</v>
      </c>
      <c r="BC37" s="320">
        <f>IF( tabItens[[#This Row],[PontoPed]]&gt;0, IF(tabItens[[#This Row],[PontoPed]]&lt;1, 1, IF( tabItens[[#This Row],[Saldo]]&gt;tabItens[[#This Row],[PontoPed]], 0, (tabItens[[#This Row],[PontoPed]]-tabItens[[#This Row],[Saldo]])/tabItens[[#This Row],[PontoPed]] ) ), 0 )</f>
        <v>0.625</v>
      </c>
      <c r="BD37" s="321">
        <f>ROUNDDOWN(IF( OR( AND(tabItens[[#This Row],[PontoPed]]&lt;tabItens[[#This Row],[Saldo]],tabItens[[#This Row],[Saldo]]&gt;0), tabItens[[#This Row],[PontoPed]]=0), 99, IF(AND(tabItens[[#This Row],[Saldo]]=0,tabItens[[#This Row],[PontoPed]]&gt;0), 0, (1-tabItens[[#This Row],[PctAb]])*10 ) ),0)</f>
        <v>3</v>
      </c>
      <c r="BE37" s="322">
        <f>MAX(ROUNDDOWN( IF(tabItens[[#This Row],[Abaixo]] &gt; 0,   tabItens[[#This Row],[Abaixo]] + (tabItens[[#This Row],[PontoMês]] * IF( OR( ISBLANK(tabItens[[#This Row],[ATA Nº/ANO]]), tabItens[[#This Row],[ATA Nº/ANO]] = ""),BE$2,BE$1)),0),0),0)</f>
        <v>4587</v>
      </c>
      <c r="BF3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 s="323">
        <f>SUMIF(Consumo!$C$3:$C$869,tabItens[[#This Row],[CÓDIGO]],Consumo!$E$3:$E$869)</f>
        <v>40</v>
      </c>
      <c r="BH37" s="324">
        <f>IF(AND(tabItens[[#This Row],[Pend]] &gt; 0,tabItens[[#This Row],[Consumo]] &lt;&gt; 0), tabItens[[#This Row],[Pend]] / tabItens[[#This Row],[Consumo]], 0 )</f>
        <v>5.9532668551867838E-3</v>
      </c>
      <c r="BI37" s="323"/>
      <c r="BJ37" s="323"/>
      <c r="BK37" s="325" t="s">
        <v>2064</v>
      </c>
    </row>
    <row r="38" spans="1:63" hidden="1" x14ac:dyDescent="0.3">
      <c r="A38" s="286">
        <v>132465</v>
      </c>
      <c r="B38" s="287" t="s">
        <v>1825</v>
      </c>
      <c r="C38" s="288" t="s">
        <v>31</v>
      </c>
      <c r="D38" s="289">
        <v>7.5</v>
      </c>
      <c r="E38" s="290"/>
      <c r="F38" s="290"/>
      <c r="G38" s="290" t="s">
        <v>883</v>
      </c>
      <c r="H38" s="291">
        <v>25</v>
      </c>
      <c r="I38" s="292">
        <v>103003</v>
      </c>
      <c r="J38" s="293">
        <v>7.6537100000000002</v>
      </c>
      <c r="K38" s="294">
        <v>98</v>
      </c>
      <c r="L38" s="295">
        <f>IF(tabItens[[#This Row],[Média]] &gt; 0, tabItens[[#This Row],[QTDE ATUAL]] / tabItens[[#This Row],[Média]],999.9)</f>
        <v>3.75</v>
      </c>
      <c r="M38" s="296">
        <v>0</v>
      </c>
      <c r="N38" s="297">
        <f>tabItens[[#This Row],[VALOR UNIT.]] * tabItens[[#This Row],[LC]]</f>
        <v>0</v>
      </c>
      <c r="O38" s="298" t="s">
        <v>2174</v>
      </c>
      <c r="P38" s="299"/>
      <c r="Q38" s="300"/>
      <c r="R38" s="297"/>
      <c r="S38" s="301"/>
      <c r="T38" s="302">
        <f>ROUNDDOWN(IFERROR(tabItens[[#This Row],[ATA DT.VALID.]] - $D$1,0) / 30,0)</f>
        <v>-1504</v>
      </c>
      <c r="U38" s="287" t="s">
        <v>1003</v>
      </c>
      <c r="V38" s="303">
        <v>1</v>
      </c>
      <c r="W38" s="304" t="s">
        <v>2057</v>
      </c>
      <c r="X38" s="305">
        <v>51</v>
      </c>
      <c r="Y38" s="306">
        <v>11</v>
      </c>
      <c r="Z38" s="307">
        <v>2552</v>
      </c>
      <c r="AA38" s="308">
        <v>2023</v>
      </c>
      <c r="AB38" s="309">
        <v>50</v>
      </c>
      <c r="AC38" s="309"/>
      <c r="AD38" s="308"/>
      <c r="AE38" s="309"/>
      <c r="AF38" s="302"/>
      <c r="AG38" s="310" t="s">
        <v>2050</v>
      </c>
      <c r="AH38" s="311"/>
      <c r="AI38" s="302">
        <v>32</v>
      </c>
      <c r="AJ38" s="311">
        <v>43768</v>
      </c>
      <c r="AK38" s="311">
        <v>42796</v>
      </c>
      <c r="AL38" s="311">
        <v>43747</v>
      </c>
      <c r="AM38" s="301"/>
      <c r="AN38" s="290"/>
      <c r="AO38" s="312" t="str">
        <f>_xlfn.IFNA(IF(VLOOKUP(tabItens[[#This Row],[CÓDIGO]],tabExcluirDoEstoque[#Data],1,FALSE),"sim",""),"")</f>
        <v/>
      </c>
      <c r="AP38" s="313" t="str">
        <f ca="1">IF(OR(ISBLANK(tabItens[[#This Row],[ATA DT.VALID.]]),tabItens[[#This Row],[ATA DT.VALID.]]="",tabItens[[#This Row],[ATA DT.VALID.]]=" "),"",IF(TYPE(tabItens[[#This Row],[ATA DT.VALID.]])=1,ROUNDUP((tabItens[[#This Row],[ATA DT.VALID.]]-TODAY())/7,0),""))</f>
        <v/>
      </c>
      <c r="AQ38" s="314">
        <v>0</v>
      </c>
      <c r="AR38" s="315" t="str">
        <f>IF(ISBLANK(tabItens[[#This Row],[CÓDIGO]]),"",IFERROR(VLOOKUP(tabItens[[#This Row],[CÓDIGO]],Consumo!$C$2:$AC$869,26,FALSE),0))</f>
        <v>03.2023</v>
      </c>
      <c r="AS38" s="316">
        <f>SUMIF(Consumo!$C$3:$C$869,tabItens[[#This Row],[CÓDIGO]],Consumo!$N$3:$N$869) + SUMIF(Consumo!$C$3:$C$869,tabItens[[#This Row],[CÓDIGO]],Consumo!$O$3:$O$869) + SUMIF(Consumo!$C$3:$C$869,tabItens[[#This Row],[CÓDIGO]],Consumo!$P$3:$P$869) + SUMIF(Consumo!$C$3:$C$869,tabItens[[#This Row],[CÓDIGO]],Consumo!$Q$3:$Q$869)</f>
        <v>0</v>
      </c>
      <c r="AT38" s="316">
        <f>SUMIF(Consumo!$C$3:$C$869,tabItens[[#This Row],[CÓDIGO]],Consumo!$Z$3:$Z$869)</f>
        <v>98</v>
      </c>
      <c r="AU38" s="317">
        <f>SUMIF(Consumo!$C$3:$C$869,tabItens[[#This Row],[CÓDIGO]],Consumo!$AA$3:$AA$869)</f>
        <v>60</v>
      </c>
      <c r="AV38" s="318">
        <f>SUMIF(Consumo!$C$3:$C$869,tabItens[[#This Row],[CÓDIGO]],Consumo!$Y$3:$Y$869)</f>
        <v>6.666666666666667</v>
      </c>
      <c r="AW38" s="291">
        <f>tabItens[[#This Row],[QTDE ATUAL]] + tabItens[[#This Row],[RC QTDE]] + tabItens[[#This Row],[AF SALDO]] + tabItens[[#This Row],[Recentes]]</f>
        <v>75</v>
      </c>
      <c r="AX38" s="319">
        <v>50</v>
      </c>
      <c r="AY38" s="319">
        <v>4</v>
      </c>
      <c r="AZ38" s="319">
        <f>IF(ISBLANK(tabItens[[#This Row],[CÓDIGO]]),"",tabItens[[#This Row],[PontoMês]] * (AZ$2+tabItens[[#This Row],[PontoQtM]]))</f>
        <v>200</v>
      </c>
      <c r="BA38" s="318">
        <f>tabItens[[#This Row],[PontoPed]] - tabItens[[#This Row],[Saldo]] + (1/10)</f>
        <v>125.1</v>
      </c>
      <c r="BB38" s="318">
        <f xml:space="preserve"> tabItens[[#This Row],[PontoMês]] * BB$2 - tabItens[[#This Row],[QTDE ATUAL]] - (1/10)</f>
        <v>24.9</v>
      </c>
      <c r="BC38" s="320">
        <f>IF( tabItens[[#This Row],[PontoPed]]&gt;0, IF(tabItens[[#This Row],[PontoPed]]&lt;1, 1, IF( tabItens[[#This Row],[Saldo]]&gt;tabItens[[#This Row],[PontoPed]], 0, (tabItens[[#This Row],[PontoPed]]-tabItens[[#This Row],[Saldo]])/tabItens[[#This Row],[PontoPed]] ) ), 0 )</f>
        <v>0.625</v>
      </c>
      <c r="BD38" s="321">
        <f>ROUNDDOWN(IF( OR( AND(tabItens[[#This Row],[PontoPed]]&lt;tabItens[[#This Row],[Saldo]],tabItens[[#This Row],[Saldo]]&gt;0), tabItens[[#This Row],[PontoPed]]=0), 99, IF(AND(tabItens[[#This Row],[Saldo]]=0,tabItens[[#This Row],[PontoPed]]&gt;0), 0, (1-tabItens[[#This Row],[PctAb]])*10 ) ),0)</f>
        <v>3</v>
      </c>
      <c r="BE38" s="322">
        <f>MAX(ROUNDDOWN( IF(tabItens[[#This Row],[Abaixo]] &gt; 0,   tabItens[[#This Row],[Abaixo]] + (tabItens[[#This Row],[PontoMês]] * IF( OR( ISBLANK(tabItens[[#This Row],[ATA Nº/ANO]]), tabItens[[#This Row],[ATA Nº/ANO]] = ""),BE$2,BE$1)),0),0),0)</f>
        <v>275</v>
      </c>
      <c r="BF3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 s="323">
        <f>SUMIF(Consumo!$C$3:$C$869,tabItens[[#This Row],[CÓDIGO]],Consumo!$E$3:$E$869)</f>
        <v>0</v>
      </c>
      <c r="BH38" s="324">
        <f>IF(AND(tabItens[[#This Row],[Pend]] &gt; 0,tabItens[[#This Row],[Consumo]] &lt;&gt; 0), tabItens[[#This Row],[Pend]] / tabItens[[#This Row],[Consumo]], 0 )</f>
        <v>0</v>
      </c>
      <c r="BI38" s="323"/>
      <c r="BJ38" s="323"/>
      <c r="BK38" s="325" t="s">
        <v>2064</v>
      </c>
    </row>
    <row r="39" spans="1:63" hidden="1" x14ac:dyDescent="0.3">
      <c r="A39" s="286">
        <v>35550</v>
      </c>
      <c r="B39" s="287" t="s">
        <v>1259</v>
      </c>
      <c r="C39" s="288" t="s">
        <v>569</v>
      </c>
      <c r="D39" s="289">
        <v>0.4</v>
      </c>
      <c r="E39" s="290"/>
      <c r="F39" s="290"/>
      <c r="G39" s="290" t="s">
        <v>883</v>
      </c>
      <c r="H39" s="291">
        <v>39</v>
      </c>
      <c r="I39" s="292">
        <v>103003</v>
      </c>
      <c r="J39" s="293">
        <v>0.4</v>
      </c>
      <c r="K39" s="294">
        <v>76</v>
      </c>
      <c r="L39" s="295">
        <f>IF(tabItens[[#This Row],[Média]] &gt; 0, tabItens[[#This Row],[QTDE ATUAL]] / tabItens[[#This Row],[Média]],999.9)</f>
        <v>8.6666666666666661</v>
      </c>
      <c r="M39" s="296">
        <v>0</v>
      </c>
      <c r="N39" s="297">
        <f>tabItens[[#This Row],[VALOR UNIT.]] * tabItens[[#This Row],[LC]]</f>
        <v>0</v>
      </c>
      <c r="O39" s="298" t="s">
        <v>2077</v>
      </c>
      <c r="P39" s="299"/>
      <c r="Q39" s="300"/>
      <c r="R39" s="297"/>
      <c r="S39" s="301"/>
      <c r="T39" s="302">
        <f>ROUNDDOWN(IFERROR(tabItens[[#This Row],[ATA DT.VALID.]] - $D$1,0) / 30,0)</f>
        <v>-1504</v>
      </c>
      <c r="U39" s="287" t="s">
        <v>994</v>
      </c>
      <c r="V39" s="303">
        <v>1</v>
      </c>
      <c r="W39" s="304" t="s">
        <v>2056</v>
      </c>
      <c r="X39" s="305">
        <v>83</v>
      </c>
      <c r="Y39" s="306">
        <v>2</v>
      </c>
      <c r="Z39" s="307"/>
      <c r="AA39" s="308"/>
      <c r="AB39" s="309"/>
      <c r="AC39" s="309"/>
      <c r="AD39" s="308"/>
      <c r="AE39" s="309"/>
      <c r="AF39" s="302"/>
      <c r="AG39" s="310" t="s">
        <v>2050</v>
      </c>
      <c r="AH39" s="311"/>
      <c r="AI39" s="302">
        <v>26</v>
      </c>
      <c r="AJ39" s="311">
        <v>43257</v>
      </c>
      <c r="AK39" s="311" t="s">
        <v>883</v>
      </c>
      <c r="AL39" s="311">
        <v>43217</v>
      </c>
      <c r="AM39" s="301"/>
      <c r="AN39" s="290"/>
      <c r="AO39" s="312" t="str">
        <f>_xlfn.IFNA(IF(VLOOKUP(tabItens[[#This Row],[CÓDIGO]],tabExcluirDoEstoque[#Data],1,FALSE),"sim",""),"")</f>
        <v/>
      </c>
      <c r="AP39" s="313" t="str">
        <f ca="1">IF(OR(ISBLANK(tabItens[[#This Row],[ATA DT.VALID.]]),tabItens[[#This Row],[ATA DT.VALID.]]="",tabItens[[#This Row],[ATA DT.VALID.]]=" "),"",IF(TYPE(tabItens[[#This Row],[ATA DT.VALID.]])=1,ROUNDUP((tabItens[[#This Row],[ATA DT.VALID.]]-TODAY())/7,0),""))</f>
        <v/>
      </c>
      <c r="AQ39" s="314">
        <v>0</v>
      </c>
      <c r="AR39" s="315" t="str">
        <f>IF(ISBLANK(tabItens[[#This Row],[CÓDIGO]]),"",IFERROR(VLOOKUP(tabItens[[#This Row],[CÓDIGO]],Consumo!$C$2:$AC$869,26,FALSE),0))</f>
        <v>04.2023</v>
      </c>
      <c r="AS39" s="316">
        <f>SUMIF(Consumo!$C$3:$C$869,tabItens[[#This Row],[CÓDIGO]],Consumo!$N$3:$N$869) + SUMIF(Consumo!$C$3:$C$869,tabItens[[#This Row],[CÓDIGO]],Consumo!$O$3:$O$869) + SUMIF(Consumo!$C$3:$C$869,tabItens[[#This Row],[CÓDIGO]],Consumo!$P$3:$P$869) + SUMIF(Consumo!$C$3:$C$869,tabItens[[#This Row],[CÓDIGO]],Consumo!$Q$3:$Q$869)</f>
        <v>65</v>
      </c>
      <c r="AT39" s="316">
        <f>SUMIF(Consumo!$C$3:$C$869,tabItens[[#This Row],[CÓDIGO]],Consumo!$Z$3:$Z$869)</f>
        <v>76</v>
      </c>
      <c r="AU39" s="317">
        <f>SUMIF(Consumo!$C$3:$C$869,tabItens[[#This Row],[CÓDIGO]],Consumo!$AA$3:$AA$869)</f>
        <v>65</v>
      </c>
      <c r="AV39" s="318">
        <f>SUMIF(Consumo!$C$3:$C$869,tabItens[[#This Row],[CÓDIGO]],Consumo!$Y$3:$Y$869)</f>
        <v>4.5</v>
      </c>
      <c r="AW39" s="291">
        <f>tabItens[[#This Row],[QTDE ATUAL]] + tabItens[[#This Row],[RC QTDE]] + tabItens[[#This Row],[AF SALDO]] + tabItens[[#This Row],[Recentes]]</f>
        <v>39</v>
      </c>
      <c r="AX39" s="319">
        <v>25</v>
      </c>
      <c r="AY39" s="319">
        <v>4</v>
      </c>
      <c r="AZ39" s="319">
        <f>IF(ISBLANK(tabItens[[#This Row],[CÓDIGO]]),"",tabItens[[#This Row],[PontoMês]] * (AZ$2+tabItens[[#This Row],[PontoQtM]]))</f>
        <v>100</v>
      </c>
      <c r="BA39" s="318">
        <f>tabItens[[#This Row],[PontoPed]] - tabItens[[#This Row],[Saldo]] + (1/10)</f>
        <v>61.1</v>
      </c>
      <c r="BB39" s="318">
        <f xml:space="preserve"> tabItens[[#This Row],[PontoMês]] * BB$2 - tabItens[[#This Row],[QTDE ATUAL]] - (1/10)</f>
        <v>-14.1</v>
      </c>
      <c r="BC39" s="320">
        <f>IF( tabItens[[#This Row],[PontoPed]]&gt;0, IF(tabItens[[#This Row],[PontoPed]]&lt;1, 1, IF( tabItens[[#This Row],[Saldo]]&gt;tabItens[[#This Row],[PontoPed]], 0, (tabItens[[#This Row],[PontoPed]]-tabItens[[#This Row],[Saldo]])/tabItens[[#This Row],[PontoPed]] ) ), 0 )</f>
        <v>0.61</v>
      </c>
      <c r="BD39" s="321">
        <f>ROUNDDOWN(IF( OR( AND(tabItens[[#This Row],[PontoPed]]&lt;tabItens[[#This Row],[Saldo]],tabItens[[#This Row],[Saldo]]&gt;0), tabItens[[#This Row],[PontoPed]]=0), 99, IF(AND(tabItens[[#This Row],[Saldo]]=0,tabItens[[#This Row],[PontoPed]]&gt;0), 0, (1-tabItens[[#This Row],[PctAb]])*10 ) ),0)</f>
        <v>3</v>
      </c>
      <c r="BE39" s="322">
        <f>MAX(ROUNDDOWN( IF(tabItens[[#This Row],[Abaixo]] &gt; 0,   tabItens[[#This Row],[Abaixo]] + (tabItens[[#This Row],[PontoMês]] * IF( OR( ISBLANK(tabItens[[#This Row],[ATA Nº/ANO]]), tabItens[[#This Row],[ATA Nº/ANO]] = ""),BE$2,BE$1)),0),0),0)</f>
        <v>136</v>
      </c>
      <c r="BF3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 s="323">
        <f>SUMIF(Consumo!$C$3:$C$869,tabItens[[#This Row],[CÓDIGO]],Consumo!$E$3:$E$869)</f>
        <v>0</v>
      </c>
      <c r="BH39" s="324">
        <f>IF(AND(tabItens[[#This Row],[Pend]] &gt; 0,tabItens[[#This Row],[Consumo]] &lt;&gt; 0), tabItens[[#This Row],[Pend]] / tabItens[[#This Row],[Consumo]], 0 )</f>
        <v>0</v>
      </c>
      <c r="BI39" s="323"/>
      <c r="BJ39" s="323"/>
      <c r="BK39" s="325" t="s">
        <v>2064</v>
      </c>
    </row>
    <row r="40" spans="1:63" hidden="1" x14ac:dyDescent="0.3">
      <c r="A40" s="286">
        <v>132650</v>
      </c>
      <c r="B40" s="287" t="s">
        <v>1831</v>
      </c>
      <c r="C40" s="288" t="s">
        <v>31</v>
      </c>
      <c r="D40" s="289">
        <v>19</v>
      </c>
      <c r="E40" s="290"/>
      <c r="F40" s="290"/>
      <c r="G40" s="290" t="s">
        <v>883</v>
      </c>
      <c r="H40" s="291"/>
      <c r="I40" s="292">
        <v>103003</v>
      </c>
      <c r="J40" s="293">
        <v>19</v>
      </c>
      <c r="K40" s="294">
        <v>1228</v>
      </c>
      <c r="L40" s="295">
        <f>IF(tabItens[[#This Row],[Média]] &gt; 0, tabItens[[#This Row],[QTDE ATUAL]] / tabItens[[#This Row],[Média]],999.9)</f>
        <v>0</v>
      </c>
      <c r="M40" s="296"/>
      <c r="N40" s="297">
        <f>tabItens[[#This Row],[VALOR UNIT.]] * tabItens[[#This Row],[LC]]</f>
        <v>0</v>
      </c>
      <c r="O40" s="298"/>
      <c r="P40" s="299"/>
      <c r="Q40" s="300"/>
      <c r="R40" s="297"/>
      <c r="S40" s="301"/>
      <c r="T40" s="302">
        <f>ROUNDDOWN(IFERROR(tabItens[[#This Row],[ATA DT.VALID.]] - $D$1,0) / 30,0)</f>
        <v>-1504</v>
      </c>
      <c r="U40" s="287" t="s">
        <v>911</v>
      </c>
      <c r="V40" s="303">
        <v>1</v>
      </c>
      <c r="W40" s="304" t="s">
        <v>2052</v>
      </c>
      <c r="X40" s="305">
        <v>45</v>
      </c>
      <c r="Y40" s="306">
        <v>14</v>
      </c>
      <c r="Z40" s="307">
        <v>6979</v>
      </c>
      <c r="AA40" s="308">
        <v>2023</v>
      </c>
      <c r="AB40" s="309">
        <v>1000</v>
      </c>
      <c r="AC40" s="309"/>
      <c r="AD40" s="308"/>
      <c r="AE40" s="309"/>
      <c r="AF40" s="302"/>
      <c r="AG40" s="310" t="s">
        <v>2050</v>
      </c>
      <c r="AH40" s="311"/>
      <c r="AI40" s="302">
        <v>504</v>
      </c>
      <c r="AJ40" s="311">
        <v>44375</v>
      </c>
      <c r="AK40" s="311">
        <v>42860</v>
      </c>
      <c r="AL40" s="311">
        <v>45049</v>
      </c>
      <c r="AM40" s="301"/>
      <c r="AN40" s="290"/>
      <c r="AO40" s="312" t="str">
        <f>_xlfn.IFNA(IF(VLOOKUP(tabItens[[#This Row],[CÓDIGO]],tabExcluirDoEstoque[#Data],1,FALSE),"sim",""),"")</f>
        <v/>
      </c>
      <c r="AP40" s="313" t="str">
        <f ca="1">IF(OR(ISBLANK(tabItens[[#This Row],[ATA DT.VALID.]]),tabItens[[#This Row],[ATA DT.VALID.]]="",tabItens[[#This Row],[ATA DT.VALID.]]=" "),"",IF(TYPE(tabItens[[#This Row],[ATA DT.VALID.]])=1,ROUNDUP((tabItens[[#This Row],[ATA DT.VALID.]]-TODAY())/7,0),""))</f>
        <v/>
      </c>
      <c r="AQ40" s="314"/>
      <c r="AR40" s="315" t="str">
        <f>IF(ISBLANK(tabItens[[#This Row],[CÓDIGO]]),"",IFERROR(VLOOKUP(tabItens[[#This Row],[CÓDIGO]],Consumo!$C$2:$AC$869,26,FALSE),0))</f>
        <v>06.2023</v>
      </c>
      <c r="AS40" s="316">
        <f>SUMIF(Consumo!$C$3:$C$869,tabItens[[#This Row],[CÓDIGO]],Consumo!$N$3:$N$869) + SUMIF(Consumo!$C$3:$C$869,tabItens[[#This Row],[CÓDIGO]],Consumo!$O$3:$O$869) + SUMIF(Consumo!$C$3:$C$869,tabItens[[#This Row],[CÓDIGO]],Consumo!$P$3:$P$869) + SUMIF(Consumo!$C$3:$C$869,tabItens[[#This Row],[CÓDIGO]],Consumo!$Q$3:$Q$869)</f>
        <v>118</v>
      </c>
      <c r="AT40" s="316">
        <f>SUMIF(Consumo!$C$3:$C$869,tabItens[[#This Row],[CÓDIGO]],Consumo!$Z$3:$Z$869)</f>
        <v>1825</v>
      </c>
      <c r="AU40" s="317">
        <f>SUMIF(Consumo!$C$3:$C$869,tabItens[[#This Row],[CÓDIGO]],Consumo!$AA$3:$AA$869)</f>
        <v>543</v>
      </c>
      <c r="AV40" s="318">
        <f>SUMIF(Consumo!$C$3:$C$869,tabItens[[#This Row],[CÓDIGO]],Consumo!$Y$3:$Y$869)</f>
        <v>143.83333333333334</v>
      </c>
      <c r="AW40" s="291">
        <f>tabItens[[#This Row],[QTDE ATUAL]] + tabItens[[#This Row],[RC QTDE]] + tabItens[[#This Row],[AF SALDO]] + tabItens[[#This Row],[Recentes]]</f>
        <v>1000</v>
      </c>
      <c r="AX40" s="319">
        <v>736</v>
      </c>
      <c r="AY40" s="319">
        <v>4</v>
      </c>
      <c r="AZ40" s="319">
        <f>IF(ISBLANK(tabItens[[#This Row],[CÓDIGO]]),"",tabItens[[#This Row],[PontoMês]] * (AZ$2+tabItens[[#This Row],[PontoQtM]]))</f>
        <v>2944</v>
      </c>
      <c r="BA40" s="318">
        <f>tabItens[[#This Row],[PontoPed]] - tabItens[[#This Row],[Saldo]] + (1/10)</f>
        <v>1944.1</v>
      </c>
      <c r="BB40" s="318">
        <f xml:space="preserve"> tabItens[[#This Row],[PontoMês]] * BB$2 - tabItens[[#This Row],[QTDE ATUAL]] - (1/10)</f>
        <v>735.9</v>
      </c>
      <c r="BC40" s="320">
        <f>IF( tabItens[[#This Row],[PontoPed]]&gt;0, IF(tabItens[[#This Row],[PontoPed]]&lt;1, 1, IF( tabItens[[#This Row],[Saldo]]&gt;tabItens[[#This Row],[PontoPed]], 0, (tabItens[[#This Row],[PontoPed]]-tabItens[[#This Row],[Saldo]])/tabItens[[#This Row],[PontoPed]] ) ), 0 )</f>
        <v>0.66032608695652173</v>
      </c>
      <c r="BD40" s="321">
        <f>ROUNDDOWN(IF( OR( AND(tabItens[[#This Row],[PontoPed]]&lt;tabItens[[#This Row],[Saldo]],tabItens[[#This Row],[Saldo]]&gt;0), tabItens[[#This Row],[PontoPed]]=0), 99, IF(AND(tabItens[[#This Row],[Saldo]]=0,tabItens[[#This Row],[PontoPed]]&gt;0), 0, (1-tabItens[[#This Row],[PctAb]])*10 ) ),0)</f>
        <v>3</v>
      </c>
      <c r="BE40" s="322">
        <f>MAX(ROUNDDOWN( IF(tabItens[[#This Row],[Abaixo]] &gt; 0,   tabItens[[#This Row],[Abaixo]] + (tabItens[[#This Row],[PontoMês]] * IF( OR( ISBLANK(tabItens[[#This Row],[ATA Nº/ANO]]), tabItens[[#This Row],[ATA Nº/ANO]] = ""),BE$2,BE$1)),0),0),0)</f>
        <v>6360</v>
      </c>
      <c r="BF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40" s="323">
        <f>SUMIF(Consumo!$C$3:$C$869,tabItens[[#This Row],[CÓDIGO]],Consumo!$E$3:$E$869)</f>
        <v>314</v>
      </c>
      <c r="BH40" s="324">
        <f>IF(AND(tabItens[[#This Row],[Pend]] &gt; 0,tabItens[[#This Row],[Consumo]] &lt;&gt; 0), tabItens[[#This Row],[Pend]] / tabItens[[#This Row],[Consumo]], 0 )</f>
        <v>0.17205479452054795</v>
      </c>
      <c r="BI40" s="323"/>
      <c r="BJ40" s="323"/>
      <c r="BK40" s="325" t="s">
        <v>2064</v>
      </c>
    </row>
    <row r="41" spans="1:63" hidden="1" x14ac:dyDescent="0.3">
      <c r="A41" s="286">
        <v>80874</v>
      </c>
      <c r="B41" s="287" t="s">
        <v>1458</v>
      </c>
      <c r="C41" s="288" t="s">
        <v>625</v>
      </c>
      <c r="D41" s="289">
        <v>3.37</v>
      </c>
      <c r="E41" s="290"/>
      <c r="F41" s="290"/>
      <c r="G41" s="290" t="s">
        <v>883</v>
      </c>
      <c r="H41" s="291"/>
      <c r="I41" s="292">
        <v>103003</v>
      </c>
      <c r="J41" s="293">
        <v>3.37</v>
      </c>
      <c r="K41" s="294">
        <v>3662</v>
      </c>
      <c r="L41" s="295">
        <f>IF(tabItens[[#This Row],[Média]] &gt; 0, tabItens[[#This Row],[QTDE ATUAL]] / tabItens[[#This Row],[Média]],999.9)</f>
        <v>0</v>
      </c>
      <c r="M41" s="296">
        <v>0</v>
      </c>
      <c r="N41" s="297">
        <f>tabItens[[#This Row],[VALOR UNIT.]] * tabItens[[#This Row],[LC]]</f>
        <v>0</v>
      </c>
      <c r="O41" s="298"/>
      <c r="P41" s="299"/>
      <c r="Q41" s="300"/>
      <c r="R41" s="297"/>
      <c r="S41" s="301"/>
      <c r="T41" s="302">
        <f>ROUNDDOWN(IFERROR(tabItens[[#This Row],[ATA DT.VALID.]] - $D$1,0) / 30,0)</f>
        <v>-1504</v>
      </c>
      <c r="U41" s="287" t="s">
        <v>1445</v>
      </c>
      <c r="V41" s="303">
        <v>1</v>
      </c>
      <c r="W41" s="304" t="s">
        <v>2052</v>
      </c>
      <c r="X41" s="305">
        <v>45</v>
      </c>
      <c r="Y41" s="306">
        <v>30</v>
      </c>
      <c r="Z41" s="307">
        <v>6978</v>
      </c>
      <c r="AA41" s="308">
        <v>2023</v>
      </c>
      <c r="AB41" s="309">
        <v>700</v>
      </c>
      <c r="AC41" s="309"/>
      <c r="AD41" s="308"/>
      <c r="AE41" s="309"/>
      <c r="AF41" s="302"/>
      <c r="AG41" s="310" t="s">
        <v>2050</v>
      </c>
      <c r="AH41" s="311"/>
      <c r="AI41" s="302">
        <v>1820</v>
      </c>
      <c r="AJ41" s="311">
        <v>44928</v>
      </c>
      <c r="AK41" s="311">
        <v>38196</v>
      </c>
      <c r="AL41" s="311">
        <v>44910</v>
      </c>
      <c r="AM41" s="301"/>
      <c r="AN41" s="290"/>
      <c r="AO41" s="312" t="str">
        <f>_xlfn.IFNA(IF(VLOOKUP(tabItens[[#This Row],[CÓDIGO]],tabExcluirDoEstoque[#Data],1,FALSE),"sim",""),"")</f>
        <v/>
      </c>
      <c r="AP41" s="313" t="str">
        <f ca="1">IF(OR(ISBLANK(tabItens[[#This Row],[ATA DT.VALID.]]),tabItens[[#This Row],[ATA DT.VALID.]]="",tabItens[[#This Row],[ATA DT.VALID.]]=" "),"",IF(TYPE(tabItens[[#This Row],[ATA DT.VALID.]])=1,ROUNDUP((tabItens[[#This Row],[ATA DT.VALID.]]-TODAY())/7,0),""))</f>
        <v/>
      </c>
      <c r="AQ41" s="314"/>
      <c r="AR41" s="315" t="str">
        <f>IF(ISBLANK(tabItens[[#This Row],[CÓDIGO]]),"",IFERROR(VLOOKUP(tabItens[[#This Row],[CÓDIGO]],Consumo!$C$2:$AC$869,26,FALSE),0))</f>
        <v>07.2023</v>
      </c>
      <c r="AS41" s="316">
        <f>SUMIF(Consumo!$C$3:$C$869,tabItens[[#This Row],[CÓDIGO]],Consumo!$N$3:$N$869) + SUMIF(Consumo!$C$3:$C$869,tabItens[[#This Row],[CÓDIGO]],Consumo!$O$3:$O$869) + SUMIF(Consumo!$C$3:$C$869,tabItens[[#This Row],[CÓDIGO]],Consumo!$P$3:$P$869) + SUMIF(Consumo!$C$3:$C$869,tabItens[[#This Row],[CÓDIGO]],Consumo!$Q$3:$Q$869)</f>
        <v>1358</v>
      </c>
      <c r="AT41" s="316">
        <f>SUMIF(Consumo!$C$3:$C$869,tabItens[[#This Row],[CÓDIGO]],Consumo!$Z$3:$Z$869)</f>
        <v>5460</v>
      </c>
      <c r="AU41" s="317">
        <f>SUMIF(Consumo!$C$3:$C$869,tabItens[[#This Row],[CÓDIGO]],Consumo!$AA$3:$AA$869)</f>
        <v>1513</v>
      </c>
      <c r="AV41" s="318">
        <f>SUMIF(Consumo!$C$3:$C$869,tabItens[[#This Row],[CÓDIGO]],Consumo!$Y$3:$Y$869)</f>
        <v>426.08333333333331</v>
      </c>
      <c r="AW41" s="291">
        <f>tabItens[[#This Row],[QTDE ATUAL]] + tabItens[[#This Row],[RC QTDE]] + tabItens[[#This Row],[AF SALDO]] + tabItens[[#This Row],[Recentes]]</f>
        <v>700</v>
      </c>
      <c r="AX41" s="319">
        <v>558</v>
      </c>
      <c r="AY41" s="319">
        <v>4</v>
      </c>
      <c r="AZ41" s="319">
        <f>IF(ISBLANK(tabItens[[#This Row],[CÓDIGO]]),"",tabItens[[#This Row],[PontoMês]] * (AZ$2+tabItens[[#This Row],[PontoQtM]]))</f>
        <v>2232</v>
      </c>
      <c r="BA41" s="318">
        <f>tabItens[[#This Row],[PontoPed]] - tabItens[[#This Row],[Saldo]] + (1/10)</f>
        <v>1532.1</v>
      </c>
      <c r="BB41" s="318">
        <f xml:space="preserve"> tabItens[[#This Row],[PontoMês]] * BB$2 - tabItens[[#This Row],[QTDE ATUAL]] - (1/10)</f>
        <v>557.9</v>
      </c>
      <c r="BC41" s="320">
        <f>IF( tabItens[[#This Row],[PontoPed]]&gt;0, IF(tabItens[[#This Row],[PontoPed]]&lt;1, 1, IF( tabItens[[#This Row],[Saldo]]&gt;tabItens[[#This Row],[PontoPed]], 0, (tabItens[[#This Row],[PontoPed]]-tabItens[[#This Row],[Saldo]])/tabItens[[#This Row],[PontoPed]] ) ), 0 )</f>
        <v>0.68637992831541217</v>
      </c>
      <c r="BD41" s="321">
        <f>ROUNDDOWN(IF( OR( AND(tabItens[[#This Row],[PontoPed]]&lt;tabItens[[#This Row],[Saldo]],tabItens[[#This Row],[Saldo]]&gt;0), tabItens[[#This Row],[PontoPed]]=0), 99, IF(AND(tabItens[[#This Row],[Saldo]]=0,tabItens[[#This Row],[PontoPed]]&gt;0), 0, (1-tabItens[[#This Row],[PctAb]])*10 ) ),0)</f>
        <v>3</v>
      </c>
      <c r="BE41" s="322">
        <f>MAX(ROUNDDOWN( IF(tabItens[[#This Row],[Abaixo]] &gt; 0,   tabItens[[#This Row],[Abaixo]] + (tabItens[[#This Row],[PontoMês]] * IF( OR( ISBLANK(tabItens[[#This Row],[ATA Nº/ANO]]), tabItens[[#This Row],[ATA Nº/ANO]] = ""),BE$2,BE$1)),0),0),0)</f>
        <v>4880</v>
      </c>
      <c r="BF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4880</v>
      </c>
      <c r="BG41" s="323">
        <f>SUMIF(Consumo!$C$3:$C$869,tabItens[[#This Row],[CÓDIGO]],Consumo!$E$3:$E$869)</f>
        <v>2</v>
      </c>
      <c r="BH41" s="324">
        <f>IF(AND(tabItens[[#This Row],[Pend]] &gt; 0,tabItens[[#This Row],[Consumo]] &lt;&gt; 0), tabItens[[#This Row],[Pend]] / tabItens[[#This Row],[Consumo]], 0 )</f>
        <v>3.663003663003663E-4</v>
      </c>
      <c r="BI41" s="323"/>
      <c r="BJ41" s="323"/>
      <c r="BK41" s="325" t="s">
        <v>2064</v>
      </c>
    </row>
    <row r="42" spans="1:63" hidden="1" x14ac:dyDescent="0.3">
      <c r="A42" s="286">
        <v>141253</v>
      </c>
      <c r="B42" s="287" t="s">
        <v>2014</v>
      </c>
      <c r="C42" s="288" t="s">
        <v>596</v>
      </c>
      <c r="D42" s="289">
        <v>109.97</v>
      </c>
      <c r="E42" s="290"/>
      <c r="F42" s="290"/>
      <c r="G42" s="290" t="s">
        <v>883</v>
      </c>
      <c r="H42" s="291"/>
      <c r="I42" s="292">
        <v>103003</v>
      </c>
      <c r="J42" s="293">
        <v>109.97</v>
      </c>
      <c r="K42" s="294">
        <v>193</v>
      </c>
      <c r="L42" s="295">
        <f>IF(tabItens[[#This Row],[Média]] &gt; 0, tabItens[[#This Row],[QTDE ATUAL]] / tabItens[[#This Row],[Média]],999.9)</f>
        <v>0</v>
      </c>
      <c r="M42" s="296"/>
      <c r="N42" s="297">
        <f>tabItens[[#This Row],[VALOR UNIT.]] * tabItens[[#This Row],[LC]]</f>
        <v>0</v>
      </c>
      <c r="O42" s="298"/>
      <c r="P42" s="299"/>
      <c r="Q42" s="300"/>
      <c r="R42" s="297"/>
      <c r="S42" s="301"/>
      <c r="T42" s="302">
        <f>ROUNDDOWN(IFERROR(tabItens[[#This Row],[ATA DT.VALID.]] - $D$1,0) / 30,0)</f>
        <v>-1504</v>
      </c>
      <c r="U42" s="287" t="s">
        <v>1509</v>
      </c>
      <c r="V42" s="303">
        <v>1</v>
      </c>
      <c r="W42" s="304" t="s">
        <v>2053</v>
      </c>
      <c r="X42" s="305">
        <v>76</v>
      </c>
      <c r="Y42" s="306">
        <v>13</v>
      </c>
      <c r="Z42" s="307">
        <v>2503</v>
      </c>
      <c r="AA42" s="308">
        <v>2023</v>
      </c>
      <c r="AB42" s="309">
        <v>200</v>
      </c>
      <c r="AC42" s="309"/>
      <c r="AD42" s="308"/>
      <c r="AE42" s="309"/>
      <c r="AF42" s="302"/>
      <c r="AG42" s="310" t="s">
        <v>2050</v>
      </c>
      <c r="AH42" s="311"/>
      <c r="AI42" s="302">
        <v>80</v>
      </c>
      <c r="AJ42" s="311">
        <v>44613</v>
      </c>
      <c r="AK42" s="311">
        <v>44355</v>
      </c>
      <c r="AL42" s="311">
        <v>44586</v>
      </c>
      <c r="AM42" s="301"/>
      <c r="AN42" s="290"/>
      <c r="AO42" s="312" t="str">
        <f>_xlfn.IFNA(IF(VLOOKUP(tabItens[[#This Row],[CÓDIGO]],tabExcluirDoEstoque[#Data],1,FALSE),"sim",""),"")</f>
        <v/>
      </c>
      <c r="AP42" s="313" t="str">
        <f ca="1">IF(OR(ISBLANK(tabItens[[#This Row],[ATA DT.VALID.]]),tabItens[[#This Row],[ATA DT.VALID.]]="",tabItens[[#This Row],[ATA DT.VALID.]]=" "),"",IF(TYPE(tabItens[[#This Row],[ATA DT.VALID.]])=1,ROUNDUP((tabItens[[#This Row],[ATA DT.VALID.]]-TODAY())/7,0),""))</f>
        <v/>
      </c>
      <c r="AQ42" s="314"/>
      <c r="AR42" s="315" t="str">
        <f>IF(ISBLANK(tabItens[[#This Row],[CÓDIGO]]),"",IFERROR(VLOOKUP(tabItens[[#This Row],[CÓDIGO]],Consumo!$C$2:$AC$869,26,FALSE),0))</f>
        <v>06.2023</v>
      </c>
      <c r="AS42" s="316">
        <f>SUMIF(Consumo!$C$3:$C$869,tabItens[[#This Row],[CÓDIGO]],Consumo!$N$3:$N$869) + SUMIF(Consumo!$C$3:$C$869,tabItens[[#This Row],[CÓDIGO]],Consumo!$O$3:$O$869) + SUMIF(Consumo!$C$3:$C$869,tabItens[[#This Row],[CÓDIGO]],Consumo!$P$3:$P$869) + SUMIF(Consumo!$C$3:$C$869,tabItens[[#This Row],[CÓDIGO]],Consumo!$Q$3:$Q$869)</f>
        <v>76</v>
      </c>
      <c r="AT42" s="316">
        <f>SUMIF(Consumo!$C$3:$C$869,tabItens[[#This Row],[CÓDIGO]],Consumo!$Z$3:$Z$869)</f>
        <v>249</v>
      </c>
      <c r="AU42" s="317">
        <f>SUMIF(Consumo!$C$3:$C$869,tabItens[[#This Row],[CÓDIGO]],Consumo!$AA$3:$AA$869)</f>
        <v>57</v>
      </c>
      <c r="AV42" s="318">
        <f>SUMIF(Consumo!$C$3:$C$869,tabItens[[#This Row],[CÓDIGO]],Consumo!$Y$3:$Y$869)</f>
        <v>20.333333333333332</v>
      </c>
      <c r="AW42" s="291">
        <f>tabItens[[#This Row],[QTDE ATUAL]] + tabItens[[#This Row],[RC QTDE]] + tabItens[[#This Row],[AF SALDO]] + tabItens[[#This Row],[Recentes]]</f>
        <v>200</v>
      </c>
      <c r="AX42" s="319">
        <v>161</v>
      </c>
      <c r="AY42" s="319">
        <v>4</v>
      </c>
      <c r="AZ42" s="319">
        <f>IF(ISBLANK(tabItens[[#This Row],[CÓDIGO]]),"",tabItens[[#This Row],[PontoMês]] * (AZ$2+tabItens[[#This Row],[PontoQtM]]))</f>
        <v>644</v>
      </c>
      <c r="BA42" s="318">
        <f>tabItens[[#This Row],[PontoPed]] - tabItens[[#This Row],[Saldo]] + (1/10)</f>
        <v>444.1</v>
      </c>
      <c r="BB42" s="318">
        <f xml:space="preserve"> tabItens[[#This Row],[PontoMês]] * BB$2 - tabItens[[#This Row],[QTDE ATUAL]] - (1/10)</f>
        <v>160.9</v>
      </c>
      <c r="BC42" s="320">
        <f>IF( tabItens[[#This Row],[PontoPed]]&gt;0, IF(tabItens[[#This Row],[PontoPed]]&lt;1, 1, IF( tabItens[[#This Row],[Saldo]]&gt;tabItens[[#This Row],[PontoPed]], 0, (tabItens[[#This Row],[PontoPed]]-tabItens[[#This Row],[Saldo]])/tabItens[[#This Row],[PontoPed]] ) ), 0 )</f>
        <v>0.68944099378881984</v>
      </c>
      <c r="BD42" s="321">
        <f>ROUNDDOWN(IF( OR( AND(tabItens[[#This Row],[PontoPed]]&lt;tabItens[[#This Row],[Saldo]],tabItens[[#This Row],[Saldo]]&gt;0), tabItens[[#This Row],[PontoPed]]=0), 99, IF(AND(tabItens[[#This Row],[Saldo]]=0,tabItens[[#This Row],[PontoPed]]&gt;0), 0, (1-tabItens[[#This Row],[PctAb]])*10 ) ),0)</f>
        <v>3</v>
      </c>
      <c r="BE42" s="322">
        <f>MAX(ROUNDDOWN( IF(tabItens[[#This Row],[Abaixo]] &gt; 0,   tabItens[[#This Row],[Abaixo]] + (tabItens[[#This Row],[PontoMês]] * IF( OR( ISBLANK(tabItens[[#This Row],[ATA Nº/ANO]]), tabItens[[#This Row],[ATA Nº/ANO]] = ""),BE$2,BE$1)),0),0),0)</f>
        <v>1410</v>
      </c>
      <c r="BF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1410</v>
      </c>
      <c r="BG42" s="323">
        <f>SUMIF(Consumo!$C$3:$C$869,tabItens[[#This Row],[CÓDIGO]],Consumo!$E$3:$E$869)</f>
        <v>8</v>
      </c>
      <c r="BH42" s="324">
        <f>IF(AND(tabItens[[#This Row],[Pend]] &gt; 0,tabItens[[#This Row],[Consumo]] &lt;&gt; 0), tabItens[[#This Row],[Pend]] / tabItens[[#This Row],[Consumo]], 0 )</f>
        <v>3.2128514056224897E-2</v>
      </c>
      <c r="BI42" s="323"/>
      <c r="BJ42" s="323"/>
      <c r="BK42" s="325" t="s">
        <v>2064</v>
      </c>
    </row>
    <row r="43" spans="1:63" hidden="1" x14ac:dyDescent="0.3">
      <c r="A43" s="286">
        <v>102922</v>
      </c>
      <c r="B43" s="287" t="s">
        <v>1587</v>
      </c>
      <c r="C43" s="288" t="s">
        <v>275</v>
      </c>
      <c r="D43" s="289">
        <v>1.41</v>
      </c>
      <c r="E43" s="290" t="s">
        <v>1588</v>
      </c>
      <c r="F43" s="290" t="s">
        <v>1522</v>
      </c>
      <c r="G43" s="290" t="s">
        <v>890</v>
      </c>
      <c r="H43" s="291"/>
      <c r="I43" s="292">
        <v>103003</v>
      </c>
      <c r="J43" s="293">
        <v>1.41</v>
      </c>
      <c r="K43" s="294">
        <v>14273</v>
      </c>
      <c r="L43" s="295">
        <f>IF(tabItens[[#This Row],[Média]] &gt; 0, tabItens[[#This Row],[QTDE ATUAL]] / tabItens[[#This Row],[Média]],999.9)</f>
        <v>0</v>
      </c>
      <c r="M43" s="296"/>
      <c r="N43" s="297">
        <f>tabItens[[#This Row],[VALOR UNIT.]] * tabItens[[#This Row],[LC]]</f>
        <v>0</v>
      </c>
      <c r="O43" s="298" t="s">
        <v>891</v>
      </c>
      <c r="P43" s="299">
        <v>0</v>
      </c>
      <c r="Q43" s="300">
        <v>44000</v>
      </c>
      <c r="R43" s="297">
        <v>62040</v>
      </c>
      <c r="S43" s="301">
        <v>45377</v>
      </c>
      <c r="T43" s="302">
        <f>ROUNDDOWN(IFERROR(tabItens[[#This Row],[ATA DT.VALID.]] - $D$1,0) / 30,0)</f>
        <v>7</v>
      </c>
      <c r="U43" s="287" t="s">
        <v>958</v>
      </c>
      <c r="V43" s="303">
        <v>1</v>
      </c>
      <c r="W43" s="304" t="s">
        <v>2051</v>
      </c>
      <c r="X43" s="305">
        <v>72</v>
      </c>
      <c r="Y43" s="306">
        <v>10</v>
      </c>
      <c r="Z43" s="307"/>
      <c r="AA43" s="308"/>
      <c r="AB43" s="309"/>
      <c r="AC43" s="309">
        <v>8520</v>
      </c>
      <c r="AD43" s="308">
        <v>2023</v>
      </c>
      <c r="AE43" s="309">
        <v>3600</v>
      </c>
      <c r="AF43" s="302">
        <v>3600</v>
      </c>
      <c r="AG43" s="310" t="s">
        <v>2044</v>
      </c>
      <c r="AH43" s="311">
        <v>45152</v>
      </c>
      <c r="AI43" s="302">
        <v>6694</v>
      </c>
      <c r="AJ43" s="311">
        <v>45084</v>
      </c>
      <c r="AK43" s="311">
        <v>39379</v>
      </c>
      <c r="AL43" s="311">
        <v>45120</v>
      </c>
      <c r="AM43" s="301"/>
      <c r="AN43" s="290"/>
      <c r="AO43" s="312" t="str">
        <f>_xlfn.IFNA(IF(VLOOKUP(tabItens[[#This Row],[CÓDIGO]],tabExcluirDoEstoque[#Data],1,FALSE),"sim",""),"")</f>
        <v/>
      </c>
      <c r="AP43" s="313">
        <f ca="1">IF(OR(ISBLANK(tabItens[[#This Row],[ATA DT.VALID.]]),tabItens[[#This Row],[ATA DT.VALID.]]="",tabItens[[#This Row],[ATA DT.VALID.]]=" "),"",IF(TYPE(tabItens[[#This Row],[ATA DT.VALID.]])=1,ROUNDUP((tabItens[[#This Row],[ATA DT.VALID.]]-TODAY())/7,0),""))</f>
        <v>18</v>
      </c>
      <c r="AQ43" s="314">
        <v>0</v>
      </c>
      <c r="AR43" s="315" t="str">
        <f>IF(ISBLANK(tabItens[[#This Row],[CÓDIGO]]),"",IFERROR(VLOOKUP(tabItens[[#This Row],[CÓDIGO]],Consumo!$C$2:$AC$869,26,FALSE),0))</f>
        <v>07.2023</v>
      </c>
      <c r="AS43" s="316">
        <f>SUMIF(Consumo!$C$3:$C$869,tabItens[[#This Row],[CÓDIGO]],Consumo!$N$3:$N$869) + SUMIF(Consumo!$C$3:$C$869,tabItens[[#This Row],[CÓDIGO]],Consumo!$O$3:$O$869) + SUMIF(Consumo!$C$3:$C$869,tabItens[[#This Row],[CÓDIGO]],Consumo!$P$3:$P$869) + SUMIF(Consumo!$C$3:$C$869,tabItens[[#This Row],[CÓDIGO]],Consumo!$Q$3:$Q$869)</f>
        <v>5247</v>
      </c>
      <c r="AT43" s="316">
        <f>SUMIF(Consumo!$C$3:$C$869,tabItens[[#This Row],[CÓDIGO]],Consumo!$Z$3:$Z$869)</f>
        <v>23030</v>
      </c>
      <c r="AU43" s="317">
        <f>SUMIF(Consumo!$C$3:$C$869,tabItens[[#This Row],[CÓDIGO]],Consumo!$AA$3:$AA$869)</f>
        <v>2574</v>
      </c>
      <c r="AV43" s="318">
        <f>SUMIF(Consumo!$C$3:$C$869,tabItens[[#This Row],[CÓDIGO]],Consumo!$Y$3:$Y$869)</f>
        <v>1919.1666666666667</v>
      </c>
      <c r="AW43" s="291">
        <f>tabItens[[#This Row],[QTDE ATUAL]] + tabItens[[#This Row],[RC QTDE]] + tabItens[[#This Row],[AF SALDO]] + tabItens[[#This Row],[Recentes]]</f>
        <v>3600</v>
      </c>
      <c r="AX43" s="319">
        <v>1914</v>
      </c>
      <c r="AY43" s="319">
        <v>4</v>
      </c>
      <c r="AZ43" s="319">
        <f>IF(ISBLANK(tabItens[[#This Row],[CÓDIGO]]),"",tabItens[[#This Row],[PontoMês]] * (AZ$2+tabItens[[#This Row],[PontoQtM]]))</f>
        <v>7656</v>
      </c>
      <c r="BA43" s="318">
        <f>tabItens[[#This Row],[PontoPed]] - tabItens[[#This Row],[Saldo]] + (1/10)</f>
        <v>4056.1</v>
      </c>
      <c r="BB43" s="318">
        <f xml:space="preserve"> tabItens[[#This Row],[PontoMês]] * BB$2 - tabItens[[#This Row],[QTDE ATUAL]] - (1/10)</f>
        <v>1913.9</v>
      </c>
      <c r="BC43" s="320">
        <f>IF( tabItens[[#This Row],[PontoPed]]&gt;0, IF(tabItens[[#This Row],[PontoPed]]&lt;1, 1, IF( tabItens[[#This Row],[Saldo]]&gt;tabItens[[#This Row],[PontoPed]], 0, (tabItens[[#This Row],[PontoPed]]-tabItens[[#This Row],[Saldo]])/tabItens[[#This Row],[PontoPed]] ) ), 0 )</f>
        <v>0.52978056426332287</v>
      </c>
      <c r="BD43" s="321">
        <f>ROUNDDOWN(IF( OR( AND(tabItens[[#This Row],[PontoPed]]&lt;tabItens[[#This Row],[Saldo]],tabItens[[#This Row],[Saldo]]&gt;0), tabItens[[#This Row],[PontoPed]]=0), 99, IF(AND(tabItens[[#This Row],[Saldo]]=0,tabItens[[#This Row],[PontoPed]]&gt;0), 0, (1-tabItens[[#This Row],[PctAb]])*10 ) ),0)</f>
        <v>4</v>
      </c>
      <c r="BE43" s="322">
        <f>MAX(ROUNDDOWN( IF(tabItens[[#This Row],[Abaixo]] &gt; 0,   tabItens[[#This Row],[Abaixo]] + (tabItens[[#This Row],[PontoMês]] * IF( OR( ISBLANK(tabItens[[#This Row],[ATA Nº/ANO]]), tabItens[[#This Row],[ATA Nº/ANO]] = ""),BE$2,BE$1)),0),0),0)</f>
        <v>9798</v>
      </c>
      <c r="BF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9798</v>
      </c>
      <c r="BG43" s="323">
        <f>SUMIF(Consumo!$C$3:$C$869,tabItens[[#This Row],[CÓDIGO]],Consumo!$E$3:$E$869)</f>
        <v>2947</v>
      </c>
      <c r="BH43" s="324">
        <f>IF(AND(tabItens[[#This Row],[Pend]] &gt; 0,tabItens[[#This Row],[Consumo]] &lt;&gt; 0), tabItens[[#This Row],[Pend]] / tabItens[[#This Row],[Consumo]], 0 )</f>
        <v>0.12796352583586626</v>
      </c>
      <c r="BI43" s="323"/>
      <c r="BJ43" s="323"/>
      <c r="BK43" s="325" t="s">
        <v>2064</v>
      </c>
    </row>
    <row r="44" spans="1:63" hidden="1" x14ac:dyDescent="0.3">
      <c r="A44" s="286">
        <v>46420</v>
      </c>
      <c r="B44" s="287" t="s">
        <v>1286</v>
      </c>
      <c r="C44" s="288" t="s">
        <v>256</v>
      </c>
      <c r="D44" s="289">
        <v>3.86</v>
      </c>
      <c r="E44" s="290"/>
      <c r="F44" s="290"/>
      <c r="G44" s="290" t="s">
        <v>883</v>
      </c>
      <c r="H44" s="291">
        <v>140</v>
      </c>
      <c r="I44" s="292">
        <v>103003</v>
      </c>
      <c r="J44" s="293">
        <v>3.86</v>
      </c>
      <c r="K44" s="294">
        <v>1091</v>
      </c>
      <c r="L44" s="295">
        <f>IF(tabItens[[#This Row],[Média]] &gt; 0, tabItens[[#This Row],[QTDE ATUAL]] / tabItens[[#This Row],[Média]],999.9)</f>
        <v>0.88607594936708856</v>
      </c>
      <c r="M44" s="296">
        <v>0</v>
      </c>
      <c r="N44" s="297">
        <f>tabItens[[#This Row],[VALOR UNIT.]] * tabItens[[#This Row],[LC]]</f>
        <v>0</v>
      </c>
      <c r="O44" s="298" t="s">
        <v>2067</v>
      </c>
      <c r="P44" s="299"/>
      <c r="Q44" s="300"/>
      <c r="R44" s="297"/>
      <c r="S44" s="301"/>
      <c r="T44" s="302">
        <f>ROUNDDOWN(IFERROR(tabItens[[#This Row],[ATA DT.VALID.]] - $D$1,0) / 30,0)</f>
        <v>-1504</v>
      </c>
      <c r="U44" s="287" t="s">
        <v>1287</v>
      </c>
      <c r="V44" s="303">
        <v>1</v>
      </c>
      <c r="W44" s="304" t="s">
        <v>2052</v>
      </c>
      <c r="X44" s="305">
        <v>45</v>
      </c>
      <c r="Y44" s="306">
        <v>16</v>
      </c>
      <c r="Z44" s="307"/>
      <c r="AA44" s="308"/>
      <c r="AB44" s="309"/>
      <c r="AC44" s="309"/>
      <c r="AD44" s="308"/>
      <c r="AE44" s="309"/>
      <c r="AF44" s="302"/>
      <c r="AG44" s="310" t="s">
        <v>2050</v>
      </c>
      <c r="AH44" s="311"/>
      <c r="AI44" s="302">
        <v>632</v>
      </c>
      <c r="AJ44" s="311">
        <v>44425</v>
      </c>
      <c r="AK44" s="311" t="s">
        <v>883</v>
      </c>
      <c r="AL44" s="311">
        <v>45107</v>
      </c>
      <c r="AM44" s="301"/>
      <c r="AN44" s="290"/>
      <c r="AO44" s="312" t="str">
        <f>_xlfn.IFNA(IF(VLOOKUP(tabItens[[#This Row],[CÓDIGO]],tabExcluirDoEstoque[#Data],1,FALSE),"sim",""),"")</f>
        <v/>
      </c>
      <c r="AP44" s="313" t="str">
        <f ca="1">IF(OR(ISBLANK(tabItens[[#This Row],[ATA DT.VALID.]]),tabItens[[#This Row],[ATA DT.VALID.]]="",tabItens[[#This Row],[ATA DT.VALID.]]=" "),"",IF(TYPE(tabItens[[#This Row],[ATA DT.VALID.]])=1,ROUNDUP((tabItens[[#This Row],[ATA DT.VALID.]]-TODAY())/7,0),""))</f>
        <v/>
      </c>
      <c r="AQ44" s="314">
        <v>0</v>
      </c>
      <c r="AR44" s="315" t="str">
        <f>IF(ISBLANK(tabItens[[#This Row],[CÓDIGO]]),"",IFERROR(VLOOKUP(tabItens[[#This Row],[CÓDIGO]],Consumo!$C$2:$AC$869,26,FALSE),0))</f>
        <v>07.2023</v>
      </c>
      <c r="AS44" s="316">
        <f>SUMIF(Consumo!$C$3:$C$869,tabItens[[#This Row],[CÓDIGO]],Consumo!$N$3:$N$869) + SUMIF(Consumo!$C$3:$C$869,tabItens[[#This Row],[CÓDIGO]],Consumo!$O$3:$O$869) + SUMIF(Consumo!$C$3:$C$869,tabItens[[#This Row],[CÓDIGO]],Consumo!$P$3:$P$869) + SUMIF(Consumo!$C$3:$C$869,tabItens[[#This Row],[CÓDIGO]],Consumo!$Q$3:$Q$869)</f>
        <v>656</v>
      </c>
      <c r="AT44" s="316">
        <f>SUMIF(Consumo!$C$3:$C$869,tabItens[[#This Row],[CÓDIGO]],Consumo!$Z$3:$Z$869)</f>
        <v>1896</v>
      </c>
      <c r="AU44" s="317">
        <f>SUMIF(Consumo!$C$3:$C$869,tabItens[[#This Row],[CÓDIGO]],Consumo!$AA$3:$AA$869)</f>
        <v>259</v>
      </c>
      <c r="AV44" s="318">
        <f>SUMIF(Consumo!$C$3:$C$869,tabItens[[#This Row],[CÓDIGO]],Consumo!$Y$3:$Y$869)</f>
        <v>158</v>
      </c>
      <c r="AW44" s="291">
        <f>tabItens[[#This Row],[QTDE ATUAL]] + tabItens[[#This Row],[RC QTDE]] + tabItens[[#This Row],[AF SALDO]] + tabItens[[#This Row],[Recentes]]</f>
        <v>140</v>
      </c>
      <c r="AX44" s="319">
        <v>76</v>
      </c>
      <c r="AY44" s="319">
        <v>4</v>
      </c>
      <c r="AZ44" s="319">
        <f>IF(ISBLANK(tabItens[[#This Row],[CÓDIGO]]),"",tabItens[[#This Row],[PontoMês]] * (AZ$2+tabItens[[#This Row],[PontoQtM]]))</f>
        <v>304</v>
      </c>
      <c r="BA44" s="318">
        <f>tabItens[[#This Row],[PontoPed]] - tabItens[[#This Row],[Saldo]] + (1/10)</f>
        <v>164.1</v>
      </c>
      <c r="BB44" s="318">
        <f xml:space="preserve"> tabItens[[#This Row],[PontoMês]] * BB$2 - tabItens[[#This Row],[QTDE ATUAL]] - (1/10)</f>
        <v>-64.099999999999994</v>
      </c>
      <c r="BC44" s="320">
        <f>IF( tabItens[[#This Row],[PontoPed]]&gt;0, IF(tabItens[[#This Row],[PontoPed]]&lt;1, 1, IF( tabItens[[#This Row],[Saldo]]&gt;tabItens[[#This Row],[PontoPed]], 0, (tabItens[[#This Row],[PontoPed]]-tabItens[[#This Row],[Saldo]])/tabItens[[#This Row],[PontoPed]] ) ), 0 )</f>
        <v>0.53947368421052633</v>
      </c>
      <c r="BD44" s="321">
        <f>ROUNDDOWN(IF( OR( AND(tabItens[[#This Row],[PontoPed]]&lt;tabItens[[#This Row],[Saldo]],tabItens[[#This Row],[Saldo]]&gt;0), tabItens[[#This Row],[PontoPed]]=0), 99, IF(AND(tabItens[[#This Row],[Saldo]]=0,tabItens[[#This Row],[PontoPed]]&gt;0), 0, (1-tabItens[[#This Row],[PctAb]])*10 ) ),0)</f>
        <v>4</v>
      </c>
      <c r="BE44" s="322">
        <f>MAX(ROUNDDOWN( IF(tabItens[[#This Row],[Abaixo]] &gt; 0,   tabItens[[#This Row],[Abaixo]] + (tabItens[[#This Row],[PontoMês]] * IF( OR( ISBLANK(tabItens[[#This Row],[ATA Nº/ANO]]), tabItens[[#This Row],[ATA Nº/ANO]] = ""),BE$2,BE$1)),0),0),0)</f>
        <v>392</v>
      </c>
      <c r="BF4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23">
        <f>SUMIF(Consumo!$C$3:$C$869,tabItens[[#This Row],[CÓDIGO]],Consumo!$E$3:$E$869)</f>
        <v>3</v>
      </c>
      <c r="BH44" s="324">
        <f>IF(AND(tabItens[[#This Row],[Pend]] &gt; 0,tabItens[[#This Row],[Consumo]] &lt;&gt; 0), tabItens[[#This Row],[Pend]] / tabItens[[#This Row],[Consumo]], 0 )</f>
        <v>1.5822784810126582E-3</v>
      </c>
      <c r="BI44" s="323"/>
      <c r="BJ44" s="323"/>
      <c r="BK44" s="325" t="s">
        <v>2064</v>
      </c>
    </row>
    <row r="45" spans="1:63" hidden="1" x14ac:dyDescent="0.3">
      <c r="A45" s="286">
        <v>140035</v>
      </c>
      <c r="B45" s="287" t="s">
        <v>1985</v>
      </c>
      <c r="C45" s="288" t="s">
        <v>281</v>
      </c>
      <c r="D45" s="289">
        <v>200</v>
      </c>
      <c r="E45" s="290"/>
      <c r="F45" s="290"/>
      <c r="G45" s="290" t="s">
        <v>883</v>
      </c>
      <c r="H45" s="291">
        <v>36</v>
      </c>
      <c r="I45" s="292">
        <v>103003</v>
      </c>
      <c r="J45" s="293">
        <v>200</v>
      </c>
      <c r="K45" s="294">
        <v>70</v>
      </c>
      <c r="L45" s="295">
        <f>IF(tabItens[[#This Row],[Média]] &gt; 0, tabItens[[#This Row],[QTDE ATUAL]] / tabItens[[#This Row],[Média]],999.9)</f>
        <v>4.645161290322581</v>
      </c>
      <c r="M45" s="296">
        <v>0</v>
      </c>
      <c r="N45" s="297">
        <f>tabItens[[#This Row],[VALOR UNIT.]] * tabItens[[#This Row],[LC]]</f>
        <v>0</v>
      </c>
      <c r="O45" s="298" t="s">
        <v>2184</v>
      </c>
      <c r="P45" s="299"/>
      <c r="Q45" s="300"/>
      <c r="R45" s="297"/>
      <c r="S45" s="301"/>
      <c r="T45" s="302">
        <f>ROUNDDOWN(IFERROR(tabItens[[#This Row],[ATA DT.VALID.]] - $D$1,0) / 30,0)</f>
        <v>-1504</v>
      </c>
      <c r="U45" s="287" t="s">
        <v>1666</v>
      </c>
      <c r="V45" s="303">
        <v>1</v>
      </c>
      <c r="W45" s="304" t="s">
        <v>2055</v>
      </c>
      <c r="X45" s="305">
        <v>55</v>
      </c>
      <c r="Y45" s="306">
        <v>19</v>
      </c>
      <c r="Z45" s="307"/>
      <c r="AA45" s="308"/>
      <c r="AB45" s="309"/>
      <c r="AC45" s="309"/>
      <c r="AD45" s="308"/>
      <c r="AE45" s="309"/>
      <c r="AF45" s="302"/>
      <c r="AG45" s="310" t="s">
        <v>2050</v>
      </c>
      <c r="AH45" s="311"/>
      <c r="AI45" s="302">
        <v>32</v>
      </c>
      <c r="AJ45" s="311">
        <v>44490</v>
      </c>
      <c r="AK45" s="311">
        <v>44096</v>
      </c>
      <c r="AL45" s="311">
        <v>44470</v>
      </c>
      <c r="AM45" s="301"/>
      <c r="AN45" s="290"/>
      <c r="AO45" s="312" t="str">
        <f>_xlfn.IFNA(IF(VLOOKUP(tabItens[[#This Row],[CÓDIGO]],tabExcluirDoEstoque[#Data],1,FALSE),"sim",""),"")</f>
        <v/>
      </c>
      <c r="AP45" s="313" t="str">
        <f ca="1">IF(OR(ISBLANK(tabItens[[#This Row],[ATA DT.VALID.]]),tabItens[[#This Row],[ATA DT.VALID.]]="",tabItens[[#This Row],[ATA DT.VALID.]]=" "),"",IF(TYPE(tabItens[[#This Row],[ATA DT.VALID.]])=1,ROUNDUP((tabItens[[#This Row],[ATA DT.VALID.]]-TODAY())/7,0),""))</f>
        <v/>
      </c>
      <c r="AQ45" s="314">
        <v>0</v>
      </c>
      <c r="AR45" s="315" t="str">
        <f>IF(ISBLANK(tabItens[[#This Row],[CÓDIGO]]),"",IFERROR(VLOOKUP(tabItens[[#This Row],[CÓDIGO]],Consumo!$C$2:$AC$869,26,FALSE),0))</f>
        <v>07.2023</v>
      </c>
      <c r="AS45" s="316">
        <f>SUMIF(Consumo!$C$3:$C$869,tabItens[[#This Row],[CÓDIGO]],Consumo!$N$3:$N$869) + SUMIF(Consumo!$C$3:$C$869,tabItens[[#This Row],[CÓDIGO]],Consumo!$O$3:$O$869) + SUMIF(Consumo!$C$3:$C$869,tabItens[[#This Row],[CÓDIGO]],Consumo!$P$3:$P$869) + SUMIF(Consumo!$C$3:$C$869,tabItens[[#This Row],[CÓDIGO]],Consumo!$Q$3:$Q$869)</f>
        <v>48</v>
      </c>
      <c r="AT45" s="316">
        <f>SUMIF(Consumo!$C$3:$C$869,tabItens[[#This Row],[CÓDIGO]],Consumo!$Z$3:$Z$869)</f>
        <v>93</v>
      </c>
      <c r="AU45" s="317">
        <f>SUMIF(Consumo!$C$3:$C$869,tabItens[[#This Row],[CÓDIGO]],Consumo!$AA$3:$AA$869)</f>
        <v>19</v>
      </c>
      <c r="AV45" s="318">
        <f>SUMIF(Consumo!$C$3:$C$869,tabItens[[#This Row],[CÓDIGO]],Consumo!$Y$3:$Y$869)</f>
        <v>7.75</v>
      </c>
      <c r="AW45" s="291">
        <f>tabItens[[#This Row],[QTDE ATUAL]] + tabItens[[#This Row],[RC QTDE]] + tabItens[[#This Row],[AF SALDO]] + tabItens[[#This Row],[Recentes]]</f>
        <v>36</v>
      </c>
      <c r="AX45" s="319">
        <v>20</v>
      </c>
      <c r="AY45" s="319">
        <v>4</v>
      </c>
      <c r="AZ45" s="319">
        <f>IF(ISBLANK(tabItens[[#This Row],[CÓDIGO]]),"",tabItens[[#This Row],[PontoMês]] * (AZ$2+tabItens[[#This Row],[PontoQtM]]))</f>
        <v>80</v>
      </c>
      <c r="BA45" s="318">
        <f>tabItens[[#This Row],[PontoPed]] - tabItens[[#This Row],[Saldo]] + (1/10)</f>
        <v>44.1</v>
      </c>
      <c r="BB45" s="318">
        <f xml:space="preserve"> tabItens[[#This Row],[PontoMês]] * BB$2 - tabItens[[#This Row],[QTDE ATUAL]] - (1/10)</f>
        <v>-16.100000000000001</v>
      </c>
      <c r="BC45" s="320">
        <f>IF( tabItens[[#This Row],[PontoPed]]&gt;0, IF(tabItens[[#This Row],[PontoPed]]&lt;1, 1, IF( tabItens[[#This Row],[Saldo]]&gt;tabItens[[#This Row],[PontoPed]], 0, (tabItens[[#This Row],[PontoPed]]-tabItens[[#This Row],[Saldo]])/tabItens[[#This Row],[PontoPed]] ) ), 0 )</f>
        <v>0.55000000000000004</v>
      </c>
      <c r="BD45" s="321">
        <f>ROUNDDOWN(IF( OR( AND(tabItens[[#This Row],[PontoPed]]&lt;tabItens[[#This Row],[Saldo]],tabItens[[#This Row],[Saldo]]&gt;0), tabItens[[#This Row],[PontoPed]]=0), 99, IF(AND(tabItens[[#This Row],[Saldo]]=0,tabItens[[#This Row],[PontoPed]]&gt;0), 0, (1-tabItens[[#This Row],[PctAb]])*10 ) ),0)</f>
        <v>4</v>
      </c>
      <c r="BE45" s="322">
        <f>MAX(ROUNDDOWN( IF(tabItens[[#This Row],[Abaixo]] &gt; 0,   tabItens[[#This Row],[Abaixo]] + (tabItens[[#This Row],[PontoMês]] * IF( OR( ISBLANK(tabItens[[#This Row],[ATA Nº/ANO]]), tabItens[[#This Row],[ATA Nº/ANO]] = ""),BE$2,BE$1)),0),0),0)</f>
        <v>104</v>
      </c>
      <c r="BF4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23">
        <f>SUMIF(Consumo!$C$3:$C$869,tabItens[[#This Row],[CÓDIGO]],Consumo!$E$3:$E$869)</f>
        <v>0</v>
      </c>
      <c r="BH45" s="324">
        <f>IF(AND(tabItens[[#This Row],[Pend]] &gt; 0,tabItens[[#This Row],[Consumo]] &lt;&gt; 0), tabItens[[#This Row],[Pend]] / tabItens[[#This Row],[Consumo]], 0 )</f>
        <v>0</v>
      </c>
      <c r="BI45" s="323"/>
      <c r="BJ45" s="323"/>
      <c r="BK45" s="325" t="s">
        <v>2064</v>
      </c>
    </row>
    <row r="46" spans="1:63" hidden="1" x14ac:dyDescent="0.3">
      <c r="A46" s="286">
        <v>140666</v>
      </c>
      <c r="B46" s="287" t="s">
        <v>2012</v>
      </c>
      <c r="C46" s="288" t="s">
        <v>256</v>
      </c>
      <c r="D46" s="289">
        <v>66.680000000000007</v>
      </c>
      <c r="E46" s="290"/>
      <c r="F46" s="290"/>
      <c r="G46" s="290" t="s">
        <v>883</v>
      </c>
      <c r="H46" s="291"/>
      <c r="I46" s="292">
        <v>103003</v>
      </c>
      <c r="J46" s="293">
        <v>66.680000000000007</v>
      </c>
      <c r="K46" s="294">
        <v>132</v>
      </c>
      <c r="L46" s="295">
        <f>IF(tabItens[[#This Row],[Média]] &gt; 0, tabItens[[#This Row],[QTDE ATUAL]] / tabItens[[#This Row],[Média]],999.9)</f>
        <v>0</v>
      </c>
      <c r="M46" s="296">
        <v>0</v>
      </c>
      <c r="N46" s="297">
        <f>tabItens[[#This Row],[VALOR UNIT.]] * tabItens[[#This Row],[LC]]</f>
        <v>0</v>
      </c>
      <c r="O46" s="298"/>
      <c r="P46" s="299"/>
      <c r="Q46" s="300"/>
      <c r="R46" s="297"/>
      <c r="S46" s="301"/>
      <c r="T46" s="302">
        <f>ROUNDDOWN(IFERROR(tabItens[[#This Row],[ATA DT.VALID.]] - $D$1,0) / 30,0)</f>
        <v>-1504</v>
      </c>
      <c r="U46" s="287" t="s">
        <v>1083</v>
      </c>
      <c r="V46" s="303">
        <v>1</v>
      </c>
      <c r="W46" s="304" t="s">
        <v>2055</v>
      </c>
      <c r="X46" s="305">
        <v>55</v>
      </c>
      <c r="Y46" s="306">
        <v>49</v>
      </c>
      <c r="Z46" s="307">
        <v>2448</v>
      </c>
      <c r="AA46" s="308">
        <v>2023</v>
      </c>
      <c r="AB46" s="309">
        <v>30</v>
      </c>
      <c r="AC46" s="309"/>
      <c r="AD46" s="308"/>
      <c r="AE46" s="309"/>
      <c r="AF46" s="302"/>
      <c r="AG46" s="310" t="s">
        <v>2050</v>
      </c>
      <c r="AH46" s="311"/>
      <c r="AI46" s="302">
        <v>46</v>
      </c>
      <c r="AJ46" s="311">
        <v>44410</v>
      </c>
      <c r="AK46" s="311">
        <v>44243</v>
      </c>
      <c r="AL46" s="311">
        <v>44393</v>
      </c>
      <c r="AM46" s="301"/>
      <c r="AN46" s="290"/>
      <c r="AO46" s="312" t="str">
        <f>_xlfn.IFNA(IF(VLOOKUP(tabItens[[#This Row],[CÓDIGO]],tabExcluirDoEstoque[#Data],1,FALSE),"sim",""),"")</f>
        <v/>
      </c>
      <c r="AP46" s="313" t="str">
        <f ca="1">IF(OR(ISBLANK(tabItens[[#This Row],[ATA DT.VALID.]]),tabItens[[#This Row],[ATA DT.VALID.]]="",tabItens[[#This Row],[ATA DT.VALID.]]=" "),"",IF(TYPE(tabItens[[#This Row],[ATA DT.VALID.]])=1,ROUNDUP((tabItens[[#This Row],[ATA DT.VALID.]]-TODAY())/7,0),""))</f>
        <v/>
      </c>
      <c r="AQ46" s="314"/>
      <c r="AR46" s="315" t="str">
        <f>IF(ISBLANK(tabItens[[#This Row],[CÓDIGO]]),"",IFERROR(VLOOKUP(tabItens[[#This Row],[CÓDIGO]],Consumo!$C$2:$AC$869,26,FALSE),0))</f>
        <v>07.2023</v>
      </c>
      <c r="AS46" s="316">
        <f>SUMIF(Consumo!$C$3:$C$869,tabItens[[#This Row],[CÓDIGO]],Consumo!$N$3:$N$869) + SUMIF(Consumo!$C$3:$C$869,tabItens[[#This Row],[CÓDIGO]],Consumo!$O$3:$O$869) + SUMIF(Consumo!$C$3:$C$869,tabItens[[#This Row],[CÓDIGO]],Consumo!$P$3:$P$869) + SUMIF(Consumo!$C$3:$C$869,tabItens[[#This Row],[CÓDIGO]],Consumo!$Q$3:$Q$869)</f>
        <v>48</v>
      </c>
      <c r="AT46" s="316">
        <f>SUMIF(Consumo!$C$3:$C$869,tabItens[[#This Row],[CÓDIGO]],Consumo!$Z$3:$Z$869)</f>
        <v>140</v>
      </c>
      <c r="AU46" s="317">
        <f>SUMIF(Consumo!$C$3:$C$869,tabItens[[#This Row],[CÓDIGO]],Consumo!$AA$3:$AA$869)</f>
        <v>38</v>
      </c>
      <c r="AV46" s="318">
        <f>SUMIF(Consumo!$C$3:$C$869,tabItens[[#This Row],[CÓDIGO]],Consumo!$Y$3:$Y$869)</f>
        <v>11.666666666666666</v>
      </c>
      <c r="AW46" s="291">
        <f>tabItens[[#This Row],[QTDE ATUAL]] + tabItens[[#This Row],[RC QTDE]] + tabItens[[#This Row],[AF SALDO]] + tabItens[[#This Row],[Recentes]]</f>
        <v>30</v>
      </c>
      <c r="AX46" s="319">
        <v>17</v>
      </c>
      <c r="AY46" s="319">
        <v>4</v>
      </c>
      <c r="AZ46" s="319">
        <f>IF(ISBLANK(tabItens[[#This Row],[CÓDIGO]]),"",tabItens[[#This Row],[PontoMês]] * (AZ$2+tabItens[[#This Row],[PontoQtM]]))</f>
        <v>68</v>
      </c>
      <c r="BA46" s="318">
        <f>tabItens[[#This Row],[PontoPed]] - tabItens[[#This Row],[Saldo]] + (1/10)</f>
        <v>38.1</v>
      </c>
      <c r="BB46" s="318">
        <f xml:space="preserve"> tabItens[[#This Row],[PontoMês]] * BB$2 - tabItens[[#This Row],[QTDE ATUAL]] - (1/10)</f>
        <v>16.899999999999999</v>
      </c>
      <c r="BC46" s="320">
        <f>IF( tabItens[[#This Row],[PontoPed]]&gt;0, IF(tabItens[[#This Row],[PontoPed]]&lt;1, 1, IF( tabItens[[#This Row],[Saldo]]&gt;tabItens[[#This Row],[PontoPed]], 0, (tabItens[[#This Row],[PontoPed]]-tabItens[[#This Row],[Saldo]])/tabItens[[#This Row],[PontoPed]] ) ), 0 )</f>
        <v>0.55882352941176472</v>
      </c>
      <c r="BD46" s="321">
        <f>ROUNDDOWN(IF( OR( AND(tabItens[[#This Row],[PontoPed]]&lt;tabItens[[#This Row],[Saldo]],tabItens[[#This Row],[Saldo]]&gt;0), tabItens[[#This Row],[PontoPed]]=0), 99, IF(AND(tabItens[[#This Row],[Saldo]]=0,tabItens[[#This Row],[PontoPed]]&gt;0), 0, (1-tabItens[[#This Row],[PctAb]])*10 ) ),0)</f>
        <v>4</v>
      </c>
      <c r="BE46" s="322">
        <f>MAX(ROUNDDOWN( IF(tabItens[[#This Row],[Abaixo]] &gt; 0,   tabItens[[#This Row],[Abaixo]] + (tabItens[[#This Row],[PontoMês]] * IF( OR( ISBLANK(tabItens[[#This Row],[ATA Nº/ANO]]), tabItens[[#This Row],[ATA Nº/ANO]] = ""),BE$2,BE$1)),0),0),0)</f>
        <v>140</v>
      </c>
      <c r="BF4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140</v>
      </c>
      <c r="BG46" s="323">
        <f>SUMIF(Consumo!$C$3:$C$869,tabItens[[#This Row],[CÓDIGO]],Consumo!$E$3:$E$869)</f>
        <v>0</v>
      </c>
      <c r="BH46" s="324">
        <f>IF(AND(tabItens[[#This Row],[Pend]] &gt; 0,tabItens[[#This Row],[Consumo]] &lt;&gt; 0), tabItens[[#This Row],[Pend]] / tabItens[[#This Row],[Consumo]], 0 )</f>
        <v>0</v>
      </c>
      <c r="BI46" s="323"/>
      <c r="BJ46" s="323"/>
      <c r="BK46" s="325" t="s">
        <v>2064</v>
      </c>
    </row>
    <row r="47" spans="1:63" hidden="1" x14ac:dyDescent="0.3">
      <c r="A47" s="286">
        <v>12652</v>
      </c>
      <c r="B47" s="287" t="s">
        <v>943</v>
      </c>
      <c r="C47" s="288" t="s">
        <v>268</v>
      </c>
      <c r="D47" s="289">
        <v>1.82</v>
      </c>
      <c r="E47" s="290" t="s">
        <v>944</v>
      </c>
      <c r="F47" s="290" t="s">
        <v>906</v>
      </c>
      <c r="G47" s="290" t="s">
        <v>945</v>
      </c>
      <c r="H47" s="291"/>
      <c r="I47" s="292">
        <v>103003</v>
      </c>
      <c r="J47" s="293">
        <v>1.98</v>
      </c>
      <c r="K47" s="294">
        <v>7100</v>
      </c>
      <c r="L47" s="295">
        <f>IF(tabItens[[#This Row],[Média]] &gt; 0, tabItens[[#This Row],[QTDE ATUAL]] / tabItens[[#This Row],[Média]],999.9)</f>
        <v>0</v>
      </c>
      <c r="M47" s="296">
        <v>2500</v>
      </c>
      <c r="N47" s="297">
        <f>tabItens[[#This Row],[VALOR UNIT.]] * tabItens[[#This Row],[LC]]</f>
        <v>4550</v>
      </c>
      <c r="O47" s="298" t="s">
        <v>946</v>
      </c>
      <c r="P47" s="299">
        <v>0</v>
      </c>
      <c r="Q47" s="300">
        <v>66000</v>
      </c>
      <c r="R47" s="297">
        <v>120120</v>
      </c>
      <c r="S47" s="301">
        <v>45454</v>
      </c>
      <c r="T47" s="302">
        <f>ROUNDDOWN(IFERROR(tabItens[[#This Row],[ATA DT.VALID.]] - $D$1,0) / 30,0)</f>
        <v>10</v>
      </c>
      <c r="U47" s="287" t="s">
        <v>947</v>
      </c>
      <c r="V47" s="303">
        <v>1</v>
      </c>
      <c r="W47" s="304" t="s">
        <v>2051</v>
      </c>
      <c r="X47" s="305">
        <v>52</v>
      </c>
      <c r="Y47" s="306">
        <v>6</v>
      </c>
      <c r="Z47" s="307">
        <v>2986</v>
      </c>
      <c r="AA47" s="308">
        <v>2023</v>
      </c>
      <c r="AB47" s="309">
        <v>1000</v>
      </c>
      <c r="AC47" s="309"/>
      <c r="AD47" s="308"/>
      <c r="AE47" s="309"/>
      <c r="AF47" s="302"/>
      <c r="AG47" s="310" t="s">
        <v>2050</v>
      </c>
      <c r="AH47" s="311"/>
      <c r="AI47" s="302">
        <v>2930</v>
      </c>
      <c r="AJ47" s="311">
        <v>44852</v>
      </c>
      <c r="AK47" s="311" t="s">
        <v>883</v>
      </c>
      <c r="AL47" s="311">
        <v>45008</v>
      </c>
      <c r="AM47" s="301"/>
      <c r="AN47" s="290"/>
      <c r="AO47" s="312" t="str">
        <f>_xlfn.IFNA(IF(VLOOKUP(tabItens[[#This Row],[CÓDIGO]],tabExcluirDoEstoque[#Data],1,FALSE),"sim",""),"")</f>
        <v/>
      </c>
      <c r="AP47" s="313">
        <f ca="1">IF(OR(ISBLANK(tabItens[[#This Row],[ATA DT.VALID.]]),tabItens[[#This Row],[ATA DT.VALID.]]="",tabItens[[#This Row],[ATA DT.VALID.]]=" "),"",IF(TYPE(tabItens[[#This Row],[ATA DT.VALID.]])=1,ROUNDUP((tabItens[[#This Row],[ATA DT.VALID.]]-TODAY())/7,0),""))</f>
        <v>29</v>
      </c>
      <c r="AQ47" s="314">
        <v>0</v>
      </c>
      <c r="AR47" s="315" t="str">
        <f>IF(ISBLANK(tabItens[[#This Row],[CÓDIGO]]),"",IFERROR(VLOOKUP(tabItens[[#This Row],[CÓDIGO]],Consumo!$C$2:$AC$869,26,FALSE),0))</f>
        <v>07.2023</v>
      </c>
      <c r="AS47" s="316">
        <f>SUMIF(Consumo!$C$3:$C$869,tabItens[[#This Row],[CÓDIGO]],Consumo!$N$3:$N$869) + SUMIF(Consumo!$C$3:$C$869,tabItens[[#This Row],[CÓDIGO]],Consumo!$O$3:$O$869) + SUMIF(Consumo!$C$3:$C$869,tabItens[[#This Row],[CÓDIGO]],Consumo!$P$3:$P$869) + SUMIF(Consumo!$C$3:$C$869,tabItens[[#This Row],[CÓDIGO]],Consumo!$Q$3:$Q$869)</f>
        <v>4463</v>
      </c>
      <c r="AT47" s="316">
        <f>SUMIF(Consumo!$C$3:$C$869,tabItens[[#This Row],[CÓDIGO]],Consumo!$Z$3:$Z$869)</f>
        <v>8731</v>
      </c>
      <c r="AU47" s="317">
        <f>SUMIF(Consumo!$C$3:$C$869,tabItens[[#This Row],[CÓDIGO]],Consumo!$AA$3:$AA$869)</f>
        <v>1847</v>
      </c>
      <c r="AV47" s="318">
        <f>SUMIF(Consumo!$C$3:$C$869,tabItens[[#This Row],[CÓDIGO]],Consumo!$Y$3:$Y$869)</f>
        <v>727</v>
      </c>
      <c r="AW47" s="291">
        <f>tabItens[[#This Row],[QTDE ATUAL]] + tabItens[[#This Row],[RC QTDE]] + tabItens[[#This Row],[AF SALDO]] + tabItens[[#This Row],[Recentes]]</f>
        <v>1000</v>
      </c>
      <c r="AX47" s="319">
        <v>500</v>
      </c>
      <c r="AY47" s="319">
        <v>4</v>
      </c>
      <c r="AZ47" s="319">
        <f>IF(ISBLANK(tabItens[[#This Row],[CÓDIGO]]),"",tabItens[[#This Row],[PontoMês]] * (AZ$2+tabItens[[#This Row],[PontoQtM]]))</f>
        <v>2000</v>
      </c>
      <c r="BA47" s="318">
        <f>tabItens[[#This Row],[PontoPed]] - tabItens[[#This Row],[Saldo]] + (1/10)</f>
        <v>1000.1</v>
      </c>
      <c r="BB47" s="318">
        <f xml:space="preserve"> tabItens[[#This Row],[PontoMês]] * BB$2 - tabItens[[#This Row],[QTDE ATUAL]] - (1/10)</f>
        <v>499.9</v>
      </c>
      <c r="BC47" s="320">
        <f>IF( tabItens[[#This Row],[PontoPed]]&gt;0, IF(tabItens[[#This Row],[PontoPed]]&lt;1, 1, IF( tabItens[[#This Row],[Saldo]]&gt;tabItens[[#This Row],[PontoPed]], 0, (tabItens[[#This Row],[PontoPed]]-tabItens[[#This Row],[Saldo]])/tabItens[[#This Row],[PontoPed]] ) ), 0 )</f>
        <v>0.5</v>
      </c>
      <c r="BD47" s="321">
        <f>ROUNDDOWN(IF( OR( AND(tabItens[[#This Row],[PontoPed]]&lt;tabItens[[#This Row],[Saldo]],tabItens[[#This Row],[Saldo]]&gt;0), tabItens[[#This Row],[PontoPed]]=0), 99, IF(AND(tabItens[[#This Row],[Saldo]]=0,tabItens[[#This Row],[PontoPed]]&gt;0), 0, (1-tabItens[[#This Row],[PctAb]])*10 ) ),0)</f>
        <v>5</v>
      </c>
      <c r="BE47" s="322">
        <f>MAX(ROUNDDOWN( IF(tabItens[[#This Row],[Abaixo]] &gt; 0,   tabItens[[#This Row],[Abaixo]] + (tabItens[[#This Row],[PontoMês]] * IF( OR( ISBLANK(tabItens[[#This Row],[ATA Nº/ANO]]), tabItens[[#This Row],[ATA Nº/ANO]] = ""),BE$2,BE$1)),0),0),0)</f>
        <v>2500</v>
      </c>
      <c r="BF4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47" s="323">
        <f>SUMIF(Consumo!$C$3:$C$869,tabItens[[#This Row],[CÓDIGO]],Consumo!$E$3:$E$869)</f>
        <v>0</v>
      </c>
      <c r="BH47" s="324">
        <f>IF(AND(tabItens[[#This Row],[Pend]] &gt; 0,tabItens[[#This Row],[Consumo]] &lt;&gt; 0), tabItens[[#This Row],[Pend]] / tabItens[[#This Row],[Consumo]], 0 )</f>
        <v>0</v>
      </c>
      <c r="BI47" s="323"/>
      <c r="BJ47" s="323"/>
      <c r="BK47" s="325" t="s">
        <v>2064</v>
      </c>
    </row>
    <row r="48" spans="1:63" x14ac:dyDescent="0.3">
      <c r="A48" s="396">
        <v>140283</v>
      </c>
      <c r="B48" s="397" t="s">
        <v>2010</v>
      </c>
      <c r="C48" s="398" t="s">
        <v>31</v>
      </c>
      <c r="D48" s="399">
        <v>152</v>
      </c>
      <c r="E48" s="290"/>
      <c r="F48" s="400"/>
      <c r="G48" s="400" t="s">
        <v>883</v>
      </c>
      <c r="H48" s="401">
        <v>0</v>
      </c>
      <c r="I48" s="292">
        <v>103003</v>
      </c>
      <c r="J48" s="293">
        <v>152</v>
      </c>
      <c r="K48" s="402">
        <v>50</v>
      </c>
      <c r="L48" s="403">
        <f>IF(tabItens[[#This Row],[Média]] &gt; 0, tabItens[[#This Row],[QTDE ATUAL]] / tabItens[[#This Row],[Média]],999.9)</f>
        <v>0</v>
      </c>
      <c r="M48" s="404">
        <v>0</v>
      </c>
      <c r="N48" s="405">
        <f>tabItens[[#This Row],[VALOR UNIT.]] * tabItens[[#This Row],[LC]]</f>
        <v>0</v>
      </c>
      <c r="O48" s="406" t="s">
        <v>2068</v>
      </c>
      <c r="P48" s="407"/>
      <c r="Q48" s="408"/>
      <c r="R48" s="297"/>
      <c r="S48" s="409"/>
      <c r="T48" s="410">
        <f>ROUNDDOWN(IFERROR(tabItens[[#This Row],[ATA DT.VALID.]] - $D$1,0) / 30,0)</f>
        <v>-1504</v>
      </c>
      <c r="U48" s="287" t="s">
        <v>1436</v>
      </c>
      <c r="V48" s="303">
        <v>1</v>
      </c>
      <c r="W48" s="411" t="s">
        <v>2049</v>
      </c>
      <c r="X48" s="412">
        <v>51</v>
      </c>
      <c r="Y48" s="413">
        <v>36</v>
      </c>
      <c r="Z48" s="414">
        <v>2428</v>
      </c>
      <c r="AA48" s="415">
        <v>2023</v>
      </c>
      <c r="AB48" s="416">
        <v>10</v>
      </c>
      <c r="AC48" s="416"/>
      <c r="AD48" s="415"/>
      <c r="AE48" s="416"/>
      <c r="AF48" s="302"/>
      <c r="AG48" s="417" t="s">
        <v>2050</v>
      </c>
      <c r="AH48" s="418"/>
      <c r="AI48" s="302">
        <v>18</v>
      </c>
      <c r="AJ48" s="418">
        <v>44509</v>
      </c>
      <c r="AK48" s="311">
        <v>44155</v>
      </c>
      <c r="AL48" s="311">
        <v>44508</v>
      </c>
      <c r="AM48" s="301"/>
      <c r="AN48" s="290"/>
      <c r="AO48" s="312" t="str">
        <f>_xlfn.IFNA(IF(VLOOKUP(tabItens[[#This Row],[CÓDIGO]],tabExcluirDoEstoque[#Data],1,FALSE),"sim",""),"")</f>
        <v/>
      </c>
      <c r="AP48" s="419" t="str">
        <f ca="1">IF(OR(ISBLANK(tabItens[[#This Row],[ATA DT.VALID.]]),tabItens[[#This Row],[ATA DT.VALID.]]="",tabItens[[#This Row],[ATA DT.VALID.]]=" "),"",IF(TYPE(tabItens[[#This Row],[ATA DT.VALID.]])=1,ROUNDUP((tabItens[[#This Row],[ATA DT.VALID.]]-TODAY())/7,0),""))</f>
        <v/>
      </c>
      <c r="AQ48" s="314">
        <v>0</v>
      </c>
      <c r="AR48" s="315" t="str">
        <f>IF(ISBLANK(tabItens[[#This Row],[CÓDIGO]]),"",IFERROR(VLOOKUP(tabItens[[#This Row],[CÓDIGO]],Consumo!$C$2:$AC$869,26,FALSE),0))</f>
        <v>05.2023</v>
      </c>
      <c r="AS48" s="316">
        <f>SUMIF(Consumo!$C$3:$C$869,tabItens[[#This Row],[CÓDIGO]],Consumo!$N$3:$N$869) + SUMIF(Consumo!$C$3:$C$869,tabItens[[#This Row],[CÓDIGO]],Consumo!$O$3:$O$869) + SUMIF(Consumo!$C$3:$C$869,tabItens[[#This Row],[CÓDIGO]],Consumo!$P$3:$P$869) + SUMIF(Consumo!$C$3:$C$869,tabItens[[#This Row],[CÓDIGO]],Consumo!$Q$3:$Q$869)</f>
        <v>14</v>
      </c>
      <c r="AT48" s="316">
        <f>SUMIF(Consumo!$C$3:$C$869,tabItens[[#This Row],[CÓDIGO]],Consumo!$Z$3:$Z$869)</f>
        <v>56</v>
      </c>
      <c r="AU48" s="317">
        <f>SUMIF(Consumo!$C$3:$C$869,tabItens[[#This Row],[CÓDIGO]],Consumo!$AA$3:$AA$869)</f>
        <v>13</v>
      </c>
      <c r="AV48" s="318">
        <f>SUMIF(Consumo!$C$3:$C$869,tabItens[[#This Row],[CÓDIGO]],Consumo!$Y$3:$Y$869)</f>
        <v>4.666666666666667</v>
      </c>
      <c r="AW48" s="401">
        <f>tabItens[[#This Row],[QTDE ATUAL]] + tabItens[[#This Row],[RC QTDE]] + tabItens[[#This Row],[AF SALDO]] + tabItens[[#This Row],[Recentes]]</f>
        <v>10</v>
      </c>
      <c r="AX48" s="420">
        <v>5</v>
      </c>
      <c r="AY48" s="420">
        <v>4</v>
      </c>
      <c r="AZ48" s="420">
        <f>IF(ISBLANK(tabItens[[#This Row],[CÓDIGO]]),"",tabItens[[#This Row],[PontoMês]] * (AZ$2+tabItens[[#This Row],[PontoQtM]]))</f>
        <v>20</v>
      </c>
      <c r="BA48" s="421">
        <f>tabItens[[#This Row],[PontoPed]] - tabItens[[#This Row],[Saldo]] + (1/10)</f>
        <v>10.1</v>
      </c>
      <c r="BB48" s="421">
        <f xml:space="preserve"> tabItens[[#This Row],[PontoMês]] * BB$2 - tabItens[[#This Row],[QTDE ATUAL]] - (1/10)</f>
        <v>4.9000000000000004</v>
      </c>
      <c r="BC48" s="320">
        <f>IF( tabItens[[#This Row],[PontoPed]]&gt;0, IF(tabItens[[#This Row],[PontoPed]]&lt;1, 1, IF( tabItens[[#This Row],[Saldo]]&gt;tabItens[[#This Row],[PontoPed]], 0, (tabItens[[#This Row],[PontoPed]]-tabItens[[#This Row],[Saldo]])/tabItens[[#This Row],[PontoPed]] ) ), 0 )</f>
        <v>0.5</v>
      </c>
      <c r="BD48" s="422">
        <f>ROUNDDOWN(IF( OR( AND(tabItens[[#This Row],[PontoPed]]&lt;tabItens[[#This Row],[Saldo]],tabItens[[#This Row],[Saldo]]&gt;0), tabItens[[#This Row],[PontoPed]]=0), 99, IF(AND(tabItens[[#This Row],[Saldo]]=0,tabItens[[#This Row],[PontoPed]]&gt;0), 0, (1-tabItens[[#This Row],[PctAb]])*10 ) ),0)</f>
        <v>5</v>
      </c>
      <c r="BE48" s="423">
        <f>MAX(ROUNDDOWN( IF(tabItens[[#This Row],[Abaixo]] &gt; 0,   tabItens[[#This Row],[Abaixo]] + (tabItens[[#This Row],[PontoMês]] * IF( OR( ISBLANK(tabItens[[#This Row],[ATA Nº/ANO]]), tabItens[[#This Row],[ATA Nº/ANO]] = ""),BE$2,BE$1)),0),0),0)</f>
        <v>25</v>
      </c>
      <c r="BF4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23">
        <f>SUMIF(Consumo!$C$3:$C$869,tabItens[[#This Row],[CÓDIGO]],Consumo!$E$3:$E$869)</f>
        <v>0</v>
      </c>
      <c r="BH48" s="324">
        <f>IF(AND(tabItens[[#This Row],[Pend]] &gt; 0,tabItens[[#This Row],[Consumo]] &lt;&gt; 0), tabItens[[#This Row],[Pend]] / tabItens[[#This Row],[Consumo]], 0 )</f>
        <v>0</v>
      </c>
      <c r="BI48" s="323"/>
      <c r="BJ48" s="424"/>
      <c r="BK48" s="425" t="s">
        <v>2064</v>
      </c>
    </row>
    <row r="49" spans="1:63" x14ac:dyDescent="0.3">
      <c r="A49" s="396">
        <v>93325</v>
      </c>
      <c r="B49" s="397" t="s">
        <v>1528</v>
      </c>
      <c r="C49" s="398" t="s">
        <v>569</v>
      </c>
      <c r="D49" s="399">
        <v>0.45</v>
      </c>
      <c r="E49" s="290"/>
      <c r="F49" s="400"/>
      <c r="G49" s="400" t="s">
        <v>883</v>
      </c>
      <c r="H49" s="401">
        <v>0</v>
      </c>
      <c r="I49" s="292">
        <v>103003</v>
      </c>
      <c r="J49" s="293">
        <v>0.45</v>
      </c>
      <c r="K49" s="402">
        <v>4621</v>
      </c>
      <c r="L49" s="403">
        <f>IF(tabItens[[#This Row],[Média]] &gt; 0, tabItens[[#This Row],[QTDE ATUAL]] / tabItens[[#This Row],[Média]],999.9)</f>
        <v>0</v>
      </c>
      <c r="M49" s="404">
        <v>0</v>
      </c>
      <c r="N49" s="405">
        <f>tabItens[[#This Row],[VALOR UNIT.]] * tabItens[[#This Row],[LC]]</f>
        <v>0</v>
      </c>
      <c r="O49" s="406" t="s">
        <v>2066</v>
      </c>
      <c r="P49" s="407"/>
      <c r="Q49" s="408"/>
      <c r="R49" s="297"/>
      <c r="S49" s="409"/>
      <c r="T49" s="410">
        <f>ROUNDDOWN(IFERROR(tabItens[[#This Row],[ATA DT.VALID.]] - $D$1,0) / 30,0)</f>
        <v>-1504</v>
      </c>
      <c r="U49" s="287" t="s">
        <v>1135</v>
      </c>
      <c r="V49" s="303">
        <v>1</v>
      </c>
      <c r="W49" s="411" t="s">
        <v>2052</v>
      </c>
      <c r="X49" s="412">
        <v>57</v>
      </c>
      <c r="Y49" s="413">
        <v>2</v>
      </c>
      <c r="Z49" s="414">
        <v>6984</v>
      </c>
      <c r="AA49" s="415">
        <v>2023</v>
      </c>
      <c r="AB49" s="416">
        <v>1700</v>
      </c>
      <c r="AC49" s="416"/>
      <c r="AD49" s="415"/>
      <c r="AE49" s="416"/>
      <c r="AF49" s="302"/>
      <c r="AG49" s="417" t="s">
        <v>2050</v>
      </c>
      <c r="AH49" s="418"/>
      <c r="AI49" s="302">
        <v>2240</v>
      </c>
      <c r="AJ49" s="418">
        <v>44974</v>
      </c>
      <c r="AK49" s="311">
        <v>38919</v>
      </c>
      <c r="AL49" s="311">
        <v>45049</v>
      </c>
      <c r="AM49" s="301"/>
      <c r="AN49" s="290"/>
      <c r="AO49" s="312" t="str">
        <f>_xlfn.IFNA(IF(VLOOKUP(tabItens[[#This Row],[CÓDIGO]],tabExcluirDoEstoque[#Data],1,FALSE),"sim",""),"")</f>
        <v/>
      </c>
      <c r="AP49" s="419" t="str">
        <f ca="1">IF(OR(ISBLANK(tabItens[[#This Row],[ATA DT.VALID.]]),tabItens[[#This Row],[ATA DT.VALID.]]="",tabItens[[#This Row],[ATA DT.VALID.]]=" "),"",IF(TYPE(tabItens[[#This Row],[ATA DT.VALID.]])=1,ROUNDUP((tabItens[[#This Row],[ATA DT.VALID.]]-TODAY())/7,0),""))</f>
        <v/>
      </c>
      <c r="AQ49" s="314">
        <v>0</v>
      </c>
      <c r="AR49" s="315" t="str">
        <f>IF(ISBLANK(tabItens[[#This Row],[CÓDIGO]]),"",IFERROR(VLOOKUP(tabItens[[#This Row],[CÓDIGO]],Consumo!$C$2:$AC$869,26,FALSE),0))</f>
        <v>07.2023</v>
      </c>
      <c r="AS49" s="316">
        <f>SUMIF(Consumo!$C$3:$C$869,tabItens[[#This Row],[CÓDIGO]],Consumo!$N$3:$N$869) + SUMIF(Consumo!$C$3:$C$869,tabItens[[#This Row],[CÓDIGO]],Consumo!$O$3:$O$869) + SUMIF(Consumo!$C$3:$C$869,tabItens[[#This Row],[CÓDIGO]],Consumo!$P$3:$P$869) + SUMIF(Consumo!$C$3:$C$869,tabItens[[#This Row],[CÓDIGO]],Consumo!$Q$3:$Q$869)</f>
        <v>3251</v>
      </c>
      <c r="AT49" s="316">
        <f>SUMIF(Consumo!$C$3:$C$869,tabItens[[#This Row],[CÓDIGO]],Consumo!$Z$3:$Z$869)</f>
        <v>6911</v>
      </c>
      <c r="AU49" s="317">
        <f>SUMIF(Consumo!$C$3:$C$869,tabItens[[#This Row],[CÓDIGO]],Consumo!$AA$3:$AA$869)</f>
        <v>1201</v>
      </c>
      <c r="AV49" s="318">
        <f>SUMIF(Consumo!$C$3:$C$869,tabItens[[#This Row],[CÓDIGO]],Consumo!$Y$3:$Y$869)</f>
        <v>574.83333333333337</v>
      </c>
      <c r="AW49" s="401">
        <f>tabItens[[#This Row],[QTDE ATUAL]] + tabItens[[#This Row],[RC QTDE]] + tabItens[[#This Row],[AF SALDO]] + tabItens[[#This Row],[Recentes]]</f>
        <v>1700</v>
      </c>
      <c r="AX49" s="420">
        <v>834</v>
      </c>
      <c r="AY49" s="420">
        <v>4</v>
      </c>
      <c r="AZ49" s="420">
        <f>IF(ISBLANK(tabItens[[#This Row],[CÓDIGO]]),"",tabItens[[#This Row],[PontoMês]] * (AZ$2+tabItens[[#This Row],[PontoQtM]]))</f>
        <v>3336</v>
      </c>
      <c r="BA49" s="421">
        <f>tabItens[[#This Row],[PontoPed]] - tabItens[[#This Row],[Saldo]] + (1/10)</f>
        <v>1636.1</v>
      </c>
      <c r="BB49" s="421">
        <f xml:space="preserve"> tabItens[[#This Row],[PontoMês]] * BB$2 - tabItens[[#This Row],[QTDE ATUAL]] - (1/10)</f>
        <v>833.9</v>
      </c>
      <c r="BC49" s="320">
        <f>IF( tabItens[[#This Row],[PontoPed]]&gt;0, IF(tabItens[[#This Row],[PontoPed]]&lt;1, 1, IF( tabItens[[#This Row],[Saldo]]&gt;tabItens[[#This Row],[PontoPed]], 0, (tabItens[[#This Row],[PontoPed]]-tabItens[[#This Row],[Saldo]])/tabItens[[#This Row],[PontoPed]] ) ), 0 )</f>
        <v>0.49040767386091128</v>
      </c>
      <c r="BD49" s="422">
        <f>ROUNDDOWN(IF( OR( AND(tabItens[[#This Row],[PontoPed]]&lt;tabItens[[#This Row],[Saldo]],tabItens[[#This Row],[Saldo]]&gt;0), tabItens[[#This Row],[PontoPed]]=0), 99, IF(AND(tabItens[[#This Row],[Saldo]]=0,tabItens[[#This Row],[PontoPed]]&gt;0), 0, (1-tabItens[[#This Row],[PctAb]])*10 ) ),0)</f>
        <v>5</v>
      </c>
      <c r="BE49" s="423">
        <f>MAX(ROUNDDOWN( IF(tabItens[[#This Row],[Abaixo]] &gt; 0,   tabItens[[#This Row],[Abaixo]] + (tabItens[[#This Row],[PontoMês]] * IF( OR( ISBLANK(tabItens[[#This Row],[ATA Nº/ANO]]), tabItens[[#This Row],[ATA Nº/ANO]] = ""),BE$2,BE$1)),0),0),0)</f>
        <v>4138</v>
      </c>
      <c r="BF4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23">
        <f>SUMIF(Consumo!$C$3:$C$869,tabItens[[#This Row],[CÓDIGO]],Consumo!$E$3:$E$869)</f>
        <v>191</v>
      </c>
      <c r="BH49" s="324">
        <f>IF(AND(tabItens[[#This Row],[Pend]] &gt; 0,tabItens[[#This Row],[Consumo]] &lt;&gt; 0), tabItens[[#This Row],[Pend]] / tabItens[[#This Row],[Consumo]], 0 )</f>
        <v>2.7637100274924033E-2</v>
      </c>
      <c r="BI49" s="323"/>
      <c r="BJ49" s="424"/>
      <c r="BK49" s="425" t="s">
        <v>2064</v>
      </c>
    </row>
    <row r="50" spans="1:63" x14ac:dyDescent="0.3">
      <c r="A50" s="396">
        <v>93327</v>
      </c>
      <c r="B50" s="397" t="s">
        <v>1529</v>
      </c>
      <c r="C50" s="398" t="s">
        <v>569</v>
      </c>
      <c r="D50" s="399">
        <v>0.45</v>
      </c>
      <c r="E50" s="290"/>
      <c r="F50" s="400"/>
      <c r="G50" s="400" t="s">
        <v>883</v>
      </c>
      <c r="H50" s="401">
        <v>0</v>
      </c>
      <c r="I50" s="292">
        <v>103003</v>
      </c>
      <c r="J50" s="293">
        <v>0.45</v>
      </c>
      <c r="K50" s="402">
        <v>4597</v>
      </c>
      <c r="L50" s="403">
        <f>IF(tabItens[[#This Row],[Média]] &gt; 0, tabItens[[#This Row],[QTDE ATUAL]] / tabItens[[#This Row],[Média]],999.9)</f>
        <v>0</v>
      </c>
      <c r="M50" s="404">
        <v>0</v>
      </c>
      <c r="N50" s="405">
        <f>tabItens[[#This Row],[VALOR UNIT.]] * tabItens[[#This Row],[LC]]</f>
        <v>0</v>
      </c>
      <c r="O50" s="406" t="s">
        <v>2066</v>
      </c>
      <c r="P50" s="407"/>
      <c r="Q50" s="408"/>
      <c r="R50" s="297"/>
      <c r="S50" s="409"/>
      <c r="T50" s="410">
        <f>ROUNDDOWN(IFERROR(tabItens[[#This Row],[ATA DT.VALID.]] - $D$1,0) / 30,0)</f>
        <v>-1504</v>
      </c>
      <c r="U50" s="287" t="s">
        <v>1135</v>
      </c>
      <c r="V50" s="303">
        <v>1</v>
      </c>
      <c r="W50" s="411" t="s">
        <v>2052</v>
      </c>
      <c r="X50" s="412">
        <v>57</v>
      </c>
      <c r="Y50" s="413">
        <v>2</v>
      </c>
      <c r="Z50" s="414">
        <v>6984</v>
      </c>
      <c r="AA50" s="415">
        <v>2023</v>
      </c>
      <c r="AB50" s="416">
        <v>1700</v>
      </c>
      <c r="AC50" s="416"/>
      <c r="AD50" s="415"/>
      <c r="AE50" s="416"/>
      <c r="AF50" s="302"/>
      <c r="AG50" s="417" t="s">
        <v>2050</v>
      </c>
      <c r="AH50" s="418"/>
      <c r="AI50" s="302">
        <v>2184</v>
      </c>
      <c r="AJ50" s="418">
        <v>44967</v>
      </c>
      <c r="AK50" s="311">
        <v>38919</v>
      </c>
      <c r="AL50" s="311">
        <v>45049</v>
      </c>
      <c r="AM50" s="301"/>
      <c r="AN50" s="290"/>
      <c r="AO50" s="312" t="str">
        <f>_xlfn.IFNA(IF(VLOOKUP(tabItens[[#This Row],[CÓDIGO]],tabExcluirDoEstoque[#Data],1,FALSE),"sim",""),"")</f>
        <v/>
      </c>
      <c r="AP50" s="419" t="str">
        <f ca="1">IF(OR(ISBLANK(tabItens[[#This Row],[ATA DT.VALID.]]),tabItens[[#This Row],[ATA DT.VALID.]]="",tabItens[[#This Row],[ATA DT.VALID.]]=" "),"",IF(TYPE(tabItens[[#This Row],[ATA DT.VALID.]])=1,ROUNDUP((tabItens[[#This Row],[ATA DT.VALID.]]-TODAY())/7,0),""))</f>
        <v/>
      </c>
      <c r="AQ50" s="314">
        <v>0</v>
      </c>
      <c r="AR50" s="315" t="str">
        <f>IF(ISBLANK(tabItens[[#This Row],[CÓDIGO]]),"",IFERROR(VLOOKUP(tabItens[[#This Row],[CÓDIGO]],Consumo!$C$2:$AC$869,26,FALSE),0))</f>
        <v>07.2023</v>
      </c>
      <c r="AS50" s="316">
        <f>SUMIF(Consumo!$C$3:$C$869,tabItens[[#This Row],[CÓDIGO]],Consumo!$N$3:$N$869) + SUMIF(Consumo!$C$3:$C$869,tabItens[[#This Row],[CÓDIGO]],Consumo!$O$3:$O$869) + SUMIF(Consumo!$C$3:$C$869,tabItens[[#This Row],[CÓDIGO]],Consumo!$P$3:$P$869) + SUMIF(Consumo!$C$3:$C$869,tabItens[[#This Row],[CÓDIGO]],Consumo!$Q$3:$Q$869)</f>
        <v>3181</v>
      </c>
      <c r="AT50" s="316">
        <f>SUMIF(Consumo!$C$3:$C$869,tabItens[[#This Row],[CÓDIGO]],Consumo!$Z$3:$Z$869)</f>
        <v>6783</v>
      </c>
      <c r="AU50" s="317">
        <f>SUMIF(Consumo!$C$3:$C$869,tabItens[[#This Row],[CÓDIGO]],Consumo!$AA$3:$AA$869)</f>
        <v>1207</v>
      </c>
      <c r="AV50" s="318">
        <f>SUMIF(Consumo!$C$3:$C$869,tabItens[[#This Row],[CÓDIGO]],Consumo!$Y$3:$Y$869)</f>
        <v>563.25</v>
      </c>
      <c r="AW50" s="401">
        <f>tabItens[[#This Row],[QTDE ATUAL]] + tabItens[[#This Row],[RC QTDE]] + tabItens[[#This Row],[AF SALDO]] + tabItens[[#This Row],[Recentes]]</f>
        <v>1700</v>
      </c>
      <c r="AX50" s="420">
        <v>834</v>
      </c>
      <c r="AY50" s="420">
        <v>4</v>
      </c>
      <c r="AZ50" s="420">
        <f>IF(ISBLANK(tabItens[[#This Row],[CÓDIGO]]),"",tabItens[[#This Row],[PontoMês]] * (AZ$2+tabItens[[#This Row],[PontoQtM]]))</f>
        <v>3336</v>
      </c>
      <c r="BA50" s="421">
        <f>tabItens[[#This Row],[PontoPed]] - tabItens[[#This Row],[Saldo]] + (1/10)</f>
        <v>1636.1</v>
      </c>
      <c r="BB50" s="421">
        <f xml:space="preserve"> tabItens[[#This Row],[PontoMês]] * BB$2 - tabItens[[#This Row],[QTDE ATUAL]] - (1/10)</f>
        <v>833.9</v>
      </c>
      <c r="BC50" s="320">
        <f>IF( tabItens[[#This Row],[PontoPed]]&gt;0, IF(tabItens[[#This Row],[PontoPed]]&lt;1, 1, IF( tabItens[[#This Row],[Saldo]]&gt;tabItens[[#This Row],[PontoPed]], 0, (tabItens[[#This Row],[PontoPed]]-tabItens[[#This Row],[Saldo]])/tabItens[[#This Row],[PontoPed]] ) ), 0 )</f>
        <v>0.49040767386091128</v>
      </c>
      <c r="BD50" s="422">
        <f>ROUNDDOWN(IF( OR( AND(tabItens[[#This Row],[PontoPed]]&lt;tabItens[[#This Row],[Saldo]],tabItens[[#This Row],[Saldo]]&gt;0), tabItens[[#This Row],[PontoPed]]=0), 99, IF(AND(tabItens[[#This Row],[Saldo]]=0,tabItens[[#This Row],[PontoPed]]&gt;0), 0, (1-tabItens[[#This Row],[PctAb]])*10 ) ),0)</f>
        <v>5</v>
      </c>
      <c r="BE50" s="423">
        <f>MAX(ROUNDDOWN( IF(tabItens[[#This Row],[Abaixo]] &gt; 0,   tabItens[[#This Row],[Abaixo]] + (tabItens[[#This Row],[PontoMês]] * IF( OR( ISBLANK(tabItens[[#This Row],[ATA Nº/ANO]]), tabItens[[#This Row],[ATA Nº/ANO]] = ""),BE$2,BE$1)),0),0),0)</f>
        <v>4138</v>
      </c>
      <c r="BF5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23">
        <f>SUMIF(Consumo!$C$3:$C$869,tabItens[[#This Row],[CÓDIGO]],Consumo!$E$3:$E$869)</f>
        <v>232</v>
      </c>
      <c r="BH50" s="324">
        <f>IF(AND(tabItens[[#This Row],[Pend]] &gt; 0,tabItens[[#This Row],[Consumo]] &lt;&gt; 0), tabItens[[#This Row],[Pend]] / tabItens[[#This Row],[Consumo]], 0 )</f>
        <v>3.4203154946189002E-2</v>
      </c>
      <c r="BI50" s="323"/>
      <c r="BJ50" s="424"/>
      <c r="BK50" s="425" t="s">
        <v>2064</v>
      </c>
    </row>
    <row r="51" spans="1:63" hidden="1" x14ac:dyDescent="0.3">
      <c r="A51" s="286">
        <v>12635</v>
      </c>
      <c r="B51" s="287" t="s">
        <v>942</v>
      </c>
      <c r="C51" s="288" t="s">
        <v>569</v>
      </c>
      <c r="D51" s="289">
        <v>0.93</v>
      </c>
      <c r="E51" s="290"/>
      <c r="F51" s="290"/>
      <c r="G51" s="290" t="s">
        <v>883</v>
      </c>
      <c r="H51" s="291">
        <v>4034</v>
      </c>
      <c r="I51" s="292">
        <v>103003</v>
      </c>
      <c r="J51" s="293">
        <v>0.93</v>
      </c>
      <c r="K51" s="294">
        <v>10963</v>
      </c>
      <c r="L51" s="295">
        <f>IF(tabItens[[#This Row],[Média]] &gt; 0, tabItens[[#This Row],[QTDE ATUAL]] / tabItens[[#This Row],[Média]],999.9)</f>
        <v>2.7740974212034382</v>
      </c>
      <c r="M51" s="296">
        <v>0</v>
      </c>
      <c r="N51" s="297">
        <f>tabItens[[#This Row],[VALOR UNIT.]] * tabItens[[#This Row],[LC]]</f>
        <v>0</v>
      </c>
      <c r="O51" s="298" t="s">
        <v>2066</v>
      </c>
      <c r="P51" s="299"/>
      <c r="Q51" s="300"/>
      <c r="R51" s="297"/>
      <c r="S51" s="301"/>
      <c r="T51" s="302">
        <f>ROUNDDOWN(IFERROR(tabItens[[#This Row],[ATA DT.VALID.]] - $D$1,0) / 30,0)</f>
        <v>-1504</v>
      </c>
      <c r="U51" s="287" t="s">
        <v>941</v>
      </c>
      <c r="V51" s="303">
        <v>1</v>
      </c>
      <c r="W51" s="304" t="s">
        <v>2052</v>
      </c>
      <c r="X51" s="305">
        <v>57</v>
      </c>
      <c r="Y51" s="306">
        <v>16</v>
      </c>
      <c r="Z51" s="307">
        <v>6984</v>
      </c>
      <c r="AA51" s="308">
        <v>2023</v>
      </c>
      <c r="AB51" s="309">
        <v>500</v>
      </c>
      <c r="AC51" s="309"/>
      <c r="AD51" s="308"/>
      <c r="AE51" s="309"/>
      <c r="AF51" s="302"/>
      <c r="AG51" s="310" t="s">
        <v>2050</v>
      </c>
      <c r="AH51" s="311"/>
      <c r="AI51" s="302">
        <v>5800</v>
      </c>
      <c r="AJ51" s="311">
        <v>44425</v>
      </c>
      <c r="AK51" s="311" t="s">
        <v>883</v>
      </c>
      <c r="AL51" s="311">
        <v>45048</v>
      </c>
      <c r="AM51" s="301"/>
      <c r="AN51" s="290"/>
      <c r="AO51" s="312" t="str">
        <f>_xlfn.IFNA(IF(VLOOKUP(tabItens[[#This Row],[CÓDIGO]],tabExcluirDoEstoque[#Data],1,FALSE),"sim",""),"")</f>
        <v/>
      </c>
      <c r="AP51" s="313" t="str">
        <f ca="1">IF(OR(ISBLANK(tabItens[[#This Row],[ATA DT.VALID.]]),tabItens[[#This Row],[ATA DT.VALID.]]="",tabItens[[#This Row],[ATA DT.VALID.]]=" "),"",IF(TYPE(tabItens[[#This Row],[ATA DT.VALID.]])=1,ROUNDUP((tabItens[[#This Row],[ATA DT.VALID.]]-TODAY())/7,0),""))</f>
        <v/>
      </c>
      <c r="AQ51" s="314">
        <v>0</v>
      </c>
      <c r="AR51" s="315" t="str">
        <f>IF(ISBLANK(tabItens[[#This Row],[CÓDIGO]]),"",IFERROR(VLOOKUP(tabItens[[#This Row],[CÓDIGO]],Consumo!$C$2:$AC$869,26,FALSE),0))</f>
        <v>07.2023</v>
      </c>
      <c r="AS51" s="316">
        <f>SUMIF(Consumo!$C$3:$C$869,tabItens[[#This Row],[CÓDIGO]],Consumo!$N$3:$N$869) + SUMIF(Consumo!$C$3:$C$869,tabItens[[#This Row],[CÓDIGO]],Consumo!$O$3:$O$869) + SUMIF(Consumo!$C$3:$C$869,tabItens[[#This Row],[CÓDIGO]],Consumo!$P$3:$P$869) + SUMIF(Consumo!$C$3:$C$869,tabItens[[#This Row],[CÓDIGO]],Consumo!$Q$3:$Q$869)</f>
        <v>6894</v>
      </c>
      <c r="AT51" s="316">
        <f>SUMIF(Consumo!$C$3:$C$869,tabItens[[#This Row],[CÓDIGO]],Consumo!$Z$3:$Z$869)</f>
        <v>17450</v>
      </c>
      <c r="AU51" s="317">
        <f>SUMIF(Consumo!$C$3:$C$869,tabItens[[#This Row],[CÓDIGO]],Consumo!$AA$3:$AA$869)</f>
        <v>2431</v>
      </c>
      <c r="AV51" s="318">
        <f>SUMIF(Consumo!$C$3:$C$869,tabItens[[#This Row],[CÓDIGO]],Consumo!$Y$3:$Y$869)</f>
        <v>1454.1666666666667</v>
      </c>
      <c r="AW51" s="291">
        <f>tabItens[[#This Row],[QTDE ATUAL]] + tabItens[[#This Row],[RC QTDE]] + tabItens[[#This Row],[AF SALDO]] + tabItens[[#This Row],[Recentes]]</f>
        <v>4534</v>
      </c>
      <c r="AX51" s="319">
        <v>2084</v>
      </c>
      <c r="AY51" s="319">
        <v>4</v>
      </c>
      <c r="AZ51" s="319">
        <f>IF(ISBLANK(tabItens[[#This Row],[CÓDIGO]]),"",tabItens[[#This Row],[PontoMês]] * (AZ$2+tabItens[[#This Row],[PontoQtM]]))</f>
        <v>8336</v>
      </c>
      <c r="BA51" s="318">
        <f>tabItens[[#This Row],[PontoPed]] - tabItens[[#This Row],[Saldo]] + (1/10)</f>
        <v>3802.1</v>
      </c>
      <c r="BB51" s="318">
        <f xml:space="preserve"> tabItens[[#This Row],[PontoMês]] * BB$2 - tabItens[[#This Row],[QTDE ATUAL]] - (1/10)</f>
        <v>-1950.1</v>
      </c>
      <c r="BC51" s="320">
        <f>IF( tabItens[[#This Row],[PontoPed]]&gt;0, IF(tabItens[[#This Row],[PontoPed]]&lt;1, 1, IF( tabItens[[#This Row],[Saldo]]&gt;tabItens[[#This Row],[PontoPed]], 0, (tabItens[[#This Row],[PontoPed]]-tabItens[[#This Row],[Saldo]])/tabItens[[#This Row],[PontoPed]] ) ), 0 )</f>
        <v>0.45609404990403069</v>
      </c>
      <c r="BD51" s="321">
        <f>ROUNDDOWN(IF( OR( AND(tabItens[[#This Row],[PontoPed]]&lt;tabItens[[#This Row],[Saldo]],tabItens[[#This Row],[Saldo]]&gt;0), tabItens[[#This Row],[PontoPed]]=0), 99, IF(AND(tabItens[[#This Row],[Saldo]]=0,tabItens[[#This Row],[PontoPed]]&gt;0), 0, (1-tabItens[[#This Row],[PctAb]])*10 ) ),0)</f>
        <v>5</v>
      </c>
      <c r="BE51" s="322">
        <f>MAX(ROUNDDOWN( IF(tabItens[[#This Row],[Abaixo]] &gt; 0,   tabItens[[#This Row],[Abaixo]] + (tabItens[[#This Row],[PontoMês]] * IF( OR( ISBLANK(tabItens[[#This Row],[ATA Nº/ANO]]), tabItens[[#This Row],[ATA Nº/ANO]] = ""),BE$2,BE$1)),0),0),0)</f>
        <v>10054</v>
      </c>
      <c r="BF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323">
        <f>SUMIF(Consumo!$C$3:$C$869,tabItens[[#This Row],[CÓDIGO]],Consumo!$E$3:$E$869)</f>
        <v>50</v>
      </c>
      <c r="BH51" s="324">
        <f>IF(AND(tabItens[[#This Row],[Pend]] &gt; 0,tabItens[[#This Row],[Consumo]] &lt;&gt; 0), tabItens[[#This Row],[Pend]] / tabItens[[#This Row],[Consumo]], 0 )</f>
        <v>2.8653295128939827E-3</v>
      </c>
      <c r="BI51" s="323"/>
      <c r="BJ51" s="323"/>
      <c r="BK51" s="325" t="s">
        <v>2064</v>
      </c>
    </row>
    <row r="52" spans="1:63" hidden="1" x14ac:dyDescent="0.3">
      <c r="A52" s="286">
        <v>23875</v>
      </c>
      <c r="B52" s="287" t="s">
        <v>1186</v>
      </c>
      <c r="C52" s="288" t="s">
        <v>569</v>
      </c>
      <c r="D52" s="289">
        <v>1.5</v>
      </c>
      <c r="E52" s="290"/>
      <c r="F52" s="290"/>
      <c r="G52" s="290" t="s">
        <v>883</v>
      </c>
      <c r="H52" s="291">
        <v>1229</v>
      </c>
      <c r="I52" s="292">
        <v>103003</v>
      </c>
      <c r="J52" s="293">
        <v>1.5</v>
      </c>
      <c r="K52" s="294">
        <v>9055</v>
      </c>
      <c r="L52" s="295">
        <f>IF(tabItens[[#This Row],[Média]] &gt; 0, tabItens[[#This Row],[QTDE ATUAL]] / tabItens[[#This Row],[Média]],999.9)</f>
        <v>1.0083413099958978</v>
      </c>
      <c r="M52" s="296">
        <v>0</v>
      </c>
      <c r="N52" s="297">
        <f>tabItens[[#This Row],[VALOR UNIT.]] * tabItens[[#This Row],[LC]]</f>
        <v>0</v>
      </c>
      <c r="O52" s="298" t="s">
        <v>2066</v>
      </c>
      <c r="P52" s="299"/>
      <c r="Q52" s="300"/>
      <c r="R52" s="297"/>
      <c r="S52" s="301"/>
      <c r="T52" s="302">
        <f>ROUNDDOWN(IFERROR(tabItens[[#This Row],[ATA DT.VALID.]] - $D$1,0) / 30,0)</f>
        <v>-1504</v>
      </c>
      <c r="U52" s="287" t="s">
        <v>941</v>
      </c>
      <c r="V52" s="303">
        <v>1</v>
      </c>
      <c r="W52" s="304" t="s">
        <v>2052</v>
      </c>
      <c r="X52" s="305">
        <v>57</v>
      </c>
      <c r="Y52" s="306">
        <v>16</v>
      </c>
      <c r="Z52" s="307">
        <v>6984</v>
      </c>
      <c r="AA52" s="308">
        <v>2023</v>
      </c>
      <c r="AB52" s="309">
        <v>3500</v>
      </c>
      <c r="AC52" s="309"/>
      <c r="AD52" s="308"/>
      <c r="AE52" s="309"/>
      <c r="AF52" s="302"/>
      <c r="AG52" s="310" t="s">
        <v>2050</v>
      </c>
      <c r="AH52" s="311"/>
      <c r="AI52" s="302">
        <v>4872</v>
      </c>
      <c r="AJ52" s="311">
        <v>44960</v>
      </c>
      <c r="AK52" s="311" t="s">
        <v>883</v>
      </c>
      <c r="AL52" s="311">
        <v>45054</v>
      </c>
      <c r="AM52" s="301"/>
      <c r="AN52" s="290"/>
      <c r="AO52" s="312" t="str">
        <f>_xlfn.IFNA(IF(VLOOKUP(tabItens[[#This Row],[CÓDIGO]],tabExcluirDoEstoque[#Data],1,FALSE),"sim",""),"")</f>
        <v/>
      </c>
      <c r="AP52" s="313" t="str">
        <f ca="1">IF(OR(ISBLANK(tabItens[[#This Row],[ATA DT.VALID.]]),tabItens[[#This Row],[ATA DT.VALID.]]="",tabItens[[#This Row],[ATA DT.VALID.]]=" "),"",IF(TYPE(tabItens[[#This Row],[ATA DT.VALID.]])=1,ROUNDUP((tabItens[[#This Row],[ATA DT.VALID.]]-TODAY())/7,0),""))</f>
        <v/>
      </c>
      <c r="AQ52" s="314">
        <v>0</v>
      </c>
      <c r="AR52" s="315" t="str">
        <f>IF(ISBLANK(tabItens[[#This Row],[CÓDIGO]]),"",IFERROR(VLOOKUP(tabItens[[#This Row],[CÓDIGO]],Consumo!$C$2:$AC$869,26,FALSE),0))</f>
        <v>07.2023</v>
      </c>
      <c r="AS52" s="316">
        <f>SUMIF(Consumo!$C$3:$C$869,tabItens[[#This Row],[CÓDIGO]],Consumo!$N$3:$N$869) + SUMIF(Consumo!$C$3:$C$869,tabItens[[#This Row],[CÓDIGO]],Consumo!$O$3:$O$869) + SUMIF(Consumo!$C$3:$C$869,tabItens[[#This Row],[CÓDIGO]],Consumo!$P$3:$P$869) + SUMIF(Consumo!$C$3:$C$869,tabItens[[#This Row],[CÓDIGO]],Consumo!$Q$3:$Q$869)</f>
        <v>5586</v>
      </c>
      <c r="AT52" s="316">
        <f>SUMIF(Consumo!$C$3:$C$869,tabItens[[#This Row],[CÓDIGO]],Consumo!$Z$3:$Z$869)</f>
        <v>14626</v>
      </c>
      <c r="AU52" s="317">
        <f>SUMIF(Consumo!$C$3:$C$869,tabItens[[#This Row],[CÓDIGO]],Consumo!$AA$3:$AA$869)</f>
        <v>2175</v>
      </c>
      <c r="AV52" s="318">
        <f>SUMIF(Consumo!$C$3:$C$869,tabItens[[#This Row],[CÓDIGO]],Consumo!$Y$3:$Y$869)</f>
        <v>1218.8333333333333</v>
      </c>
      <c r="AW52" s="291">
        <f>tabItens[[#This Row],[QTDE ATUAL]] + tabItens[[#This Row],[RC QTDE]] + tabItens[[#This Row],[AF SALDO]] + tabItens[[#This Row],[Recentes]]</f>
        <v>4729</v>
      </c>
      <c r="AX52" s="319">
        <v>2084</v>
      </c>
      <c r="AY52" s="319">
        <v>4</v>
      </c>
      <c r="AZ52" s="319">
        <f>IF(ISBLANK(tabItens[[#This Row],[CÓDIGO]]),"",tabItens[[#This Row],[PontoMês]] * (AZ$2+tabItens[[#This Row],[PontoQtM]]))</f>
        <v>8336</v>
      </c>
      <c r="BA52" s="318">
        <f>tabItens[[#This Row],[PontoPed]] - tabItens[[#This Row],[Saldo]] + (1/10)</f>
        <v>3607.1</v>
      </c>
      <c r="BB52" s="318">
        <f xml:space="preserve"> tabItens[[#This Row],[PontoMês]] * BB$2 - tabItens[[#This Row],[QTDE ATUAL]] - (1/10)</f>
        <v>854.9</v>
      </c>
      <c r="BC52" s="320">
        <f>IF( tabItens[[#This Row],[PontoPed]]&gt;0, IF(tabItens[[#This Row],[PontoPed]]&lt;1, 1, IF( tabItens[[#This Row],[Saldo]]&gt;tabItens[[#This Row],[PontoPed]], 0, (tabItens[[#This Row],[PontoPed]]-tabItens[[#This Row],[Saldo]])/tabItens[[#This Row],[PontoPed]] ) ), 0 )</f>
        <v>0.43270153550863721</v>
      </c>
      <c r="BD52" s="321">
        <f>ROUNDDOWN(IF( OR( AND(tabItens[[#This Row],[PontoPed]]&lt;tabItens[[#This Row],[Saldo]],tabItens[[#This Row],[Saldo]]&gt;0), tabItens[[#This Row],[PontoPed]]=0), 99, IF(AND(tabItens[[#This Row],[Saldo]]=0,tabItens[[#This Row],[PontoPed]]&gt;0), 0, (1-tabItens[[#This Row],[PctAb]])*10 ) ),0)</f>
        <v>5</v>
      </c>
      <c r="BE52" s="322">
        <f>MAX(ROUNDDOWN( IF(tabItens[[#This Row],[Abaixo]] &gt; 0,   tabItens[[#This Row],[Abaixo]] + (tabItens[[#This Row],[PontoMês]] * IF( OR( ISBLANK(tabItens[[#This Row],[ATA Nº/ANO]]), tabItens[[#This Row],[ATA Nº/ANO]] = ""),BE$2,BE$1)),0),0),0)</f>
        <v>9859</v>
      </c>
      <c r="BF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23">
        <f>SUMIF(Consumo!$C$3:$C$869,tabItens[[#This Row],[CÓDIGO]],Consumo!$E$3:$E$869)</f>
        <v>25</v>
      </c>
      <c r="BH52" s="324">
        <f>IF(AND(tabItens[[#This Row],[Pend]] &gt; 0,tabItens[[#This Row],[Consumo]] &lt;&gt; 0), tabItens[[#This Row],[Pend]] / tabItens[[#This Row],[Consumo]], 0 )</f>
        <v>1.7092848352249419E-3</v>
      </c>
      <c r="BI52" s="323"/>
      <c r="BJ52" s="323"/>
      <c r="BK52" s="325" t="s">
        <v>2064</v>
      </c>
    </row>
    <row r="53" spans="1:63" hidden="1" x14ac:dyDescent="0.3">
      <c r="A53" s="286">
        <v>133846</v>
      </c>
      <c r="B53" s="287" t="s">
        <v>1854</v>
      </c>
      <c r="C53" s="288" t="s">
        <v>569</v>
      </c>
      <c r="D53" s="289">
        <v>0.53</v>
      </c>
      <c r="E53" s="290"/>
      <c r="F53" s="290"/>
      <c r="G53" s="290" t="s">
        <v>883</v>
      </c>
      <c r="H53" s="291">
        <v>293</v>
      </c>
      <c r="I53" s="292">
        <v>103003</v>
      </c>
      <c r="J53" s="293">
        <v>0.53</v>
      </c>
      <c r="K53" s="294">
        <v>8799</v>
      </c>
      <c r="L53" s="295">
        <f>IF(tabItens[[#This Row],[Média]] &gt; 0, tabItens[[#This Row],[QTDE ATUAL]] / tabItens[[#This Row],[Média]],999.9)</f>
        <v>0.23244744149147165</v>
      </c>
      <c r="M53" s="296">
        <v>0</v>
      </c>
      <c r="N53" s="297">
        <f>tabItens[[#This Row],[VALOR UNIT.]] * tabItens[[#This Row],[LC]]</f>
        <v>0</v>
      </c>
      <c r="O53" s="298" t="s">
        <v>2066</v>
      </c>
      <c r="P53" s="299"/>
      <c r="Q53" s="300"/>
      <c r="R53" s="297"/>
      <c r="S53" s="301"/>
      <c r="T53" s="302">
        <f>ROUNDDOWN(IFERROR(tabItens[[#This Row],[ATA DT.VALID.]] - $D$1,0) / 30,0)</f>
        <v>-1504</v>
      </c>
      <c r="U53" s="287" t="s">
        <v>941</v>
      </c>
      <c r="V53" s="303">
        <v>1</v>
      </c>
      <c r="W53" s="304" t="s">
        <v>2052</v>
      </c>
      <c r="X53" s="305">
        <v>57</v>
      </c>
      <c r="Y53" s="306">
        <v>16</v>
      </c>
      <c r="Z53" s="307">
        <v>6984</v>
      </c>
      <c r="AA53" s="308">
        <v>2023</v>
      </c>
      <c r="AB53" s="309">
        <v>4500</v>
      </c>
      <c r="AC53" s="309"/>
      <c r="AD53" s="308"/>
      <c r="AE53" s="309"/>
      <c r="AF53" s="302"/>
      <c r="AG53" s="310" t="s">
        <v>2050</v>
      </c>
      <c r="AH53" s="311"/>
      <c r="AI53" s="302">
        <v>5050</v>
      </c>
      <c r="AJ53" s="311">
        <v>44441</v>
      </c>
      <c r="AK53" s="311">
        <v>43074</v>
      </c>
      <c r="AL53" s="311">
        <v>44412</v>
      </c>
      <c r="AM53" s="301"/>
      <c r="AN53" s="290"/>
      <c r="AO53" s="312" t="str">
        <f>_xlfn.IFNA(IF(VLOOKUP(tabItens[[#This Row],[CÓDIGO]],tabExcluirDoEstoque[#Data],1,FALSE),"sim",""),"")</f>
        <v/>
      </c>
      <c r="AP53" s="313" t="str">
        <f ca="1">IF(OR(ISBLANK(tabItens[[#This Row],[ATA DT.VALID.]]),tabItens[[#This Row],[ATA DT.VALID.]]="",tabItens[[#This Row],[ATA DT.VALID.]]=" "),"",IF(TYPE(tabItens[[#This Row],[ATA DT.VALID.]])=1,ROUNDUP((tabItens[[#This Row],[ATA DT.VALID.]]-TODAY())/7,0),""))</f>
        <v/>
      </c>
      <c r="AQ53" s="314">
        <v>0</v>
      </c>
      <c r="AR53" s="315" t="str">
        <f>IF(ISBLANK(tabItens[[#This Row],[CÓDIGO]]),"",IFERROR(VLOOKUP(tabItens[[#This Row],[CÓDIGO]],Consumo!$C$2:$AC$869,26,FALSE),0))</f>
        <v>07.2023</v>
      </c>
      <c r="AS53" s="316">
        <f>SUMIF(Consumo!$C$3:$C$869,tabItens[[#This Row],[CÓDIGO]],Consumo!$N$3:$N$869) + SUMIF(Consumo!$C$3:$C$869,tabItens[[#This Row],[CÓDIGO]],Consumo!$O$3:$O$869) + SUMIF(Consumo!$C$3:$C$869,tabItens[[#This Row],[CÓDIGO]],Consumo!$P$3:$P$869) + SUMIF(Consumo!$C$3:$C$869,tabItens[[#This Row],[CÓDIGO]],Consumo!$Q$3:$Q$869)</f>
        <v>5296</v>
      </c>
      <c r="AT53" s="316">
        <f>SUMIF(Consumo!$C$3:$C$869,tabItens[[#This Row],[CÓDIGO]],Consumo!$Z$3:$Z$869)</f>
        <v>15126</v>
      </c>
      <c r="AU53" s="317">
        <f>SUMIF(Consumo!$C$3:$C$869,tabItens[[#This Row],[CÓDIGO]],Consumo!$AA$3:$AA$869)</f>
        <v>2025</v>
      </c>
      <c r="AV53" s="318">
        <f>SUMIF(Consumo!$C$3:$C$869,tabItens[[#This Row],[CÓDIGO]],Consumo!$Y$3:$Y$869)</f>
        <v>1260.5</v>
      </c>
      <c r="AW53" s="291">
        <f>tabItens[[#This Row],[QTDE ATUAL]] + tabItens[[#This Row],[RC QTDE]] + tabItens[[#This Row],[AF SALDO]] + tabItens[[#This Row],[Recentes]]</f>
        <v>4793</v>
      </c>
      <c r="AX53" s="319">
        <v>2084</v>
      </c>
      <c r="AY53" s="319">
        <v>4</v>
      </c>
      <c r="AZ53" s="319">
        <f>IF(ISBLANK(tabItens[[#This Row],[CÓDIGO]]),"",tabItens[[#This Row],[PontoMês]] * (AZ$2+tabItens[[#This Row],[PontoQtM]]))</f>
        <v>8336</v>
      </c>
      <c r="BA53" s="318">
        <f>tabItens[[#This Row],[PontoPed]] - tabItens[[#This Row],[Saldo]] + (1/10)</f>
        <v>3543.1</v>
      </c>
      <c r="BB53" s="318">
        <f xml:space="preserve"> tabItens[[#This Row],[PontoMês]] * BB$2 - tabItens[[#This Row],[QTDE ATUAL]] - (1/10)</f>
        <v>1790.9</v>
      </c>
      <c r="BC53" s="320">
        <f>IF( tabItens[[#This Row],[PontoPed]]&gt;0, IF(tabItens[[#This Row],[PontoPed]]&lt;1, 1, IF( tabItens[[#This Row],[Saldo]]&gt;tabItens[[#This Row],[PontoPed]], 0, (tabItens[[#This Row],[PontoPed]]-tabItens[[#This Row],[Saldo]])/tabItens[[#This Row],[PontoPed]] ) ), 0 )</f>
        <v>0.4250239923224568</v>
      </c>
      <c r="BD53" s="321">
        <f>ROUNDDOWN(IF( OR( AND(tabItens[[#This Row],[PontoPed]]&lt;tabItens[[#This Row],[Saldo]],tabItens[[#This Row],[Saldo]]&gt;0), tabItens[[#This Row],[PontoPed]]=0), 99, IF(AND(tabItens[[#This Row],[Saldo]]=0,tabItens[[#This Row],[PontoPed]]&gt;0), 0, (1-tabItens[[#This Row],[PctAb]])*10 ) ),0)</f>
        <v>5</v>
      </c>
      <c r="BE53" s="322">
        <f>MAX(ROUNDDOWN( IF(tabItens[[#This Row],[Abaixo]] &gt; 0,   tabItens[[#This Row],[Abaixo]] + (tabItens[[#This Row],[PontoMês]] * IF( OR( ISBLANK(tabItens[[#This Row],[ATA Nº/ANO]]), tabItens[[#This Row],[ATA Nº/ANO]] = ""),BE$2,BE$1)),0),0),0)</f>
        <v>9795</v>
      </c>
      <c r="BF5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23">
        <f>SUMIF(Consumo!$C$3:$C$869,tabItens[[#This Row],[CÓDIGO]],Consumo!$E$3:$E$869)</f>
        <v>15</v>
      </c>
      <c r="BH53" s="324">
        <f>IF(AND(tabItens[[#This Row],[Pend]] &gt; 0,tabItens[[#This Row],[Consumo]] &lt;&gt; 0), tabItens[[#This Row],[Pend]] / tabItens[[#This Row],[Consumo]], 0 )</f>
        <v>9.9166997223324067E-4</v>
      </c>
      <c r="BI53" s="323"/>
      <c r="BJ53" s="323"/>
      <c r="BK53" s="325" t="s">
        <v>2064</v>
      </c>
    </row>
    <row r="54" spans="1:63" hidden="1" x14ac:dyDescent="0.3">
      <c r="A54" s="286">
        <v>12613</v>
      </c>
      <c r="B54" s="287" t="s">
        <v>937</v>
      </c>
      <c r="C54" s="288" t="s">
        <v>31</v>
      </c>
      <c r="D54" s="289">
        <v>0.28000000000000003</v>
      </c>
      <c r="E54" s="290"/>
      <c r="F54" s="290"/>
      <c r="G54" s="290" t="s">
        <v>883</v>
      </c>
      <c r="H54" s="291">
        <v>439</v>
      </c>
      <c r="I54" s="292">
        <v>103003</v>
      </c>
      <c r="J54" s="293">
        <v>0.28000000000000003</v>
      </c>
      <c r="K54" s="294">
        <v>38032</v>
      </c>
      <c r="L54" s="295">
        <f>IF(tabItens[[#This Row],[Média]] &gt; 0, tabItens[[#This Row],[QTDE ATUAL]] / tabItens[[#This Row],[Média]],999.9)</f>
        <v>0.12176405325443787</v>
      </c>
      <c r="M54" s="296">
        <v>0</v>
      </c>
      <c r="N54" s="297">
        <f>tabItens[[#This Row],[VALOR UNIT.]] * tabItens[[#This Row],[LC]]</f>
        <v>0</v>
      </c>
      <c r="O54" s="298" t="s">
        <v>2067</v>
      </c>
      <c r="P54" s="299"/>
      <c r="Q54" s="300"/>
      <c r="R54" s="297"/>
      <c r="S54" s="301"/>
      <c r="T54" s="302">
        <f>ROUNDDOWN(IFERROR(tabItens[[#This Row],[ATA DT.VALID.]] - $D$1,0) / 30,0)</f>
        <v>-1504</v>
      </c>
      <c r="U54" s="287" t="s">
        <v>935</v>
      </c>
      <c r="V54" s="303">
        <v>1</v>
      </c>
      <c r="W54" s="304" t="s">
        <v>2052</v>
      </c>
      <c r="X54" s="305">
        <v>45</v>
      </c>
      <c r="Y54" s="306">
        <v>11</v>
      </c>
      <c r="Z54" s="307">
        <v>6211</v>
      </c>
      <c r="AA54" s="308">
        <v>2023</v>
      </c>
      <c r="AB54" s="309">
        <v>10000</v>
      </c>
      <c r="AC54" s="309"/>
      <c r="AD54" s="308"/>
      <c r="AE54" s="309"/>
      <c r="AF54" s="302"/>
      <c r="AG54" s="310" t="s">
        <v>2050</v>
      </c>
      <c r="AH54" s="311"/>
      <c r="AI54" s="302">
        <v>50834</v>
      </c>
      <c r="AJ54" s="311">
        <v>44950</v>
      </c>
      <c r="AK54" s="311" t="s">
        <v>883</v>
      </c>
      <c r="AL54" s="311">
        <v>45107</v>
      </c>
      <c r="AM54" s="301"/>
      <c r="AN54" s="290"/>
      <c r="AO54" s="312" t="str">
        <f>_xlfn.IFNA(IF(VLOOKUP(tabItens[[#This Row],[CÓDIGO]],tabExcluirDoEstoque[#Data],1,FALSE),"sim",""),"")</f>
        <v/>
      </c>
      <c r="AP54" s="313" t="str">
        <f ca="1">IF(OR(ISBLANK(tabItens[[#This Row],[ATA DT.VALID.]]),tabItens[[#This Row],[ATA DT.VALID.]]="",tabItens[[#This Row],[ATA DT.VALID.]]=" "),"",IF(TYPE(tabItens[[#This Row],[ATA DT.VALID.]])=1,ROUNDUP((tabItens[[#This Row],[ATA DT.VALID.]]-TODAY())/7,0),""))</f>
        <v/>
      </c>
      <c r="AQ54" s="314">
        <v>0</v>
      </c>
      <c r="AR54" s="315" t="str">
        <f>IF(ISBLANK(tabItens[[#This Row],[CÓDIGO]]),"",IFERROR(VLOOKUP(tabItens[[#This Row],[CÓDIGO]],Consumo!$C$2:$AC$869,26,FALSE),0))</f>
        <v>07.2023</v>
      </c>
      <c r="AS54" s="316">
        <f>SUMIF(Consumo!$C$3:$C$869,tabItens[[#This Row],[CÓDIGO]],Consumo!$N$3:$N$869) + SUMIF(Consumo!$C$3:$C$869,tabItens[[#This Row],[CÓDIGO]],Consumo!$O$3:$O$869) + SUMIF(Consumo!$C$3:$C$869,tabItens[[#This Row],[CÓDIGO]],Consumo!$P$3:$P$869) + SUMIF(Consumo!$C$3:$C$869,tabItens[[#This Row],[CÓDIGO]],Consumo!$Q$3:$Q$869)</f>
        <v>23388</v>
      </c>
      <c r="AT54" s="316">
        <f>SUMIF(Consumo!$C$3:$C$869,tabItens[[#This Row],[CÓDIGO]],Consumo!$Z$3:$Z$869)</f>
        <v>43264</v>
      </c>
      <c r="AU54" s="317">
        <f>SUMIF(Consumo!$C$3:$C$869,tabItens[[#This Row],[CÓDIGO]],Consumo!$AA$3:$AA$869)</f>
        <v>8747</v>
      </c>
      <c r="AV54" s="318">
        <f>SUMIF(Consumo!$C$3:$C$869,tabItens[[#This Row],[CÓDIGO]],Consumo!$Y$3:$Y$869)</f>
        <v>3605.3333333333335</v>
      </c>
      <c r="AW54" s="291">
        <f>tabItens[[#This Row],[QTDE ATUAL]] + tabItens[[#This Row],[RC QTDE]] + tabItens[[#This Row],[AF SALDO]] + tabItens[[#This Row],[Recentes]]</f>
        <v>10439</v>
      </c>
      <c r="AX54" s="319">
        <v>4367</v>
      </c>
      <c r="AY54" s="319">
        <v>4</v>
      </c>
      <c r="AZ54" s="319">
        <f>IF(ISBLANK(tabItens[[#This Row],[CÓDIGO]]),"",tabItens[[#This Row],[PontoMês]] * (AZ$2+tabItens[[#This Row],[PontoQtM]]))</f>
        <v>17468</v>
      </c>
      <c r="BA54" s="318">
        <f>tabItens[[#This Row],[PontoPed]] - tabItens[[#This Row],[Saldo]] + (1/10)</f>
        <v>7029.1</v>
      </c>
      <c r="BB54" s="318">
        <f xml:space="preserve"> tabItens[[#This Row],[PontoMês]] * BB$2 - tabItens[[#This Row],[QTDE ATUAL]] - (1/10)</f>
        <v>3927.9</v>
      </c>
      <c r="BC54" s="320">
        <f>IF( tabItens[[#This Row],[PontoPed]]&gt;0, IF(tabItens[[#This Row],[PontoPed]]&lt;1, 1, IF( tabItens[[#This Row],[Saldo]]&gt;tabItens[[#This Row],[PontoPed]], 0, (tabItens[[#This Row],[PontoPed]]-tabItens[[#This Row],[Saldo]])/tabItens[[#This Row],[PontoPed]] ) ), 0 )</f>
        <v>0.40239294710327456</v>
      </c>
      <c r="BD54" s="321">
        <f>ROUNDDOWN(IF( OR( AND(tabItens[[#This Row],[PontoPed]]&lt;tabItens[[#This Row],[Saldo]],tabItens[[#This Row],[Saldo]]&gt;0), tabItens[[#This Row],[PontoPed]]=0), 99, IF(AND(tabItens[[#This Row],[Saldo]]=0,tabItens[[#This Row],[PontoPed]]&gt;0), 0, (1-tabItens[[#This Row],[PctAb]])*10 ) ),0)</f>
        <v>5</v>
      </c>
      <c r="BE54" s="322">
        <f>MAX(ROUNDDOWN( IF(tabItens[[#This Row],[Abaixo]] &gt; 0,   tabItens[[#This Row],[Abaixo]] + (tabItens[[#This Row],[PontoMês]] * IF( OR( ISBLANK(tabItens[[#This Row],[ATA Nº/ANO]]), tabItens[[#This Row],[ATA Nº/ANO]] = ""),BE$2,BE$1)),0),0),0)</f>
        <v>20130</v>
      </c>
      <c r="BF5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23">
        <f>SUMIF(Consumo!$C$3:$C$869,tabItens[[#This Row],[CÓDIGO]],Consumo!$E$3:$E$869)</f>
        <v>3262</v>
      </c>
      <c r="BH54" s="324">
        <f>IF(AND(tabItens[[#This Row],[Pend]] &gt; 0,tabItens[[#This Row],[Consumo]] &lt;&gt; 0), tabItens[[#This Row],[Pend]] / tabItens[[#This Row],[Consumo]], 0 )</f>
        <v>7.5397559171597628E-2</v>
      </c>
      <c r="BI54" s="323"/>
      <c r="BJ54" s="323"/>
      <c r="BK54" s="325" t="s">
        <v>2064</v>
      </c>
    </row>
    <row r="55" spans="1:63" x14ac:dyDescent="0.3">
      <c r="A55" s="396">
        <v>13088</v>
      </c>
      <c r="B55" s="397" t="s">
        <v>998</v>
      </c>
      <c r="C55" s="398" t="s">
        <v>569</v>
      </c>
      <c r="D55" s="399">
        <v>1.2</v>
      </c>
      <c r="E55" s="290"/>
      <c r="F55" s="400"/>
      <c r="G55" s="400" t="s">
        <v>883</v>
      </c>
      <c r="H55" s="401">
        <v>0</v>
      </c>
      <c r="I55" s="292">
        <v>103003</v>
      </c>
      <c r="J55" s="293">
        <v>1.2</v>
      </c>
      <c r="K55" s="402">
        <v>44</v>
      </c>
      <c r="L55" s="403">
        <f>IF(tabItens[[#This Row],[Média]] &gt; 0, tabItens[[#This Row],[QTDE ATUAL]] / tabItens[[#This Row],[Média]],999.9)</f>
        <v>0</v>
      </c>
      <c r="M55" s="404">
        <v>0</v>
      </c>
      <c r="N55" s="405">
        <f>tabItens[[#This Row],[VALOR UNIT.]] * tabItens[[#This Row],[LC]]</f>
        <v>0</v>
      </c>
      <c r="O55" s="406" t="s">
        <v>2077</v>
      </c>
      <c r="P55" s="407"/>
      <c r="Q55" s="408"/>
      <c r="R55" s="297"/>
      <c r="S55" s="409"/>
      <c r="T55" s="410">
        <f>ROUNDDOWN(IFERROR(tabItens[[#This Row],[ATA DT.VALID.]] - $D$1,0) / 30,0)</f>
        <v>-1504</v>
      </c>
      <c r="U55" s="287" t="s">
        <v>994</v>
      </c>
      <c r="V55" s="303">
        <v>1</v>
      </c>
      <c r="W55" s="411" t="s">
        <v>2056</v>
      </c>
      <c r="X55" s="412">
        <v>83</v>
      </c>
      <c r="Y55" s="413">
        <v>2</v>
      </c>
      <c r="Z55" s="414">
        <v>2516</v>
      </c>
      <c r="AA55" s="415">
        <v>2023</v>
      </c>
      <c r="AB55" s="416">
        <v>50</v>
      </c>
      <c r="AC55" s="416"/>
      <c r="AD55" s="415"/>
      <c r="AE55" s="416"/>
      <c r="AF55" s="302"/>
      <c r="AG55" s="417" t="s">
        <v>2050</v>
      </c>
      <c r="AH55" s="418"/>
      <c r="AI55" s="302">
        <v>14</v>
      </c>
      <c r="AJ55" s="418">
        <v>43336</v>
      </c>
      <c r="AK55" s="311" t="s">
        <v>883</v>
      </c>
      <c r="AL55" s="311">
        <v>44922</v>
      </c>
      <c r="AM55" s="301"/>
      <c r="AN55" s="290"/>
      <c r="AO55" s="312" t="str">
        <f>_xlfn.IFNA(IF(VLOOKUP(tabItens[[#This Row],[CÓDIGO]],tabExcluirDoEstoque[#Data],1,FALSE),"sim",""),"")</f>
        <v/>
      </c>
      <c r="AP55" s="419" t="str">
        <f ca="1">IF(OR(ISBLANK(tabItens[[#This Row],[ATA DT.VALID.]]),tabItens[[#This Row],[ATA DT.VALID.]]="",tabItens[[#This Row],[ATA DT.VALID.]]=" "),"",IF(TYPE(tabItens[[#This Row],[ATA DT.VALID.]])=1,ROUNDUP((tabItens[[#This Row],[ATA DT.VALID.]]-TODAY())/7,0),""))</f>
        <v/>
      </c>
      <c r="AQ55" s="314">
        <v>0</v>
      </c>
      <c r="AR55" s="315" t="str">
        <f>IF(ISBLANK(tabItens[[#This Row],[CÓDIGO]]),"",IFERROR(VLOOKUP(tabItens[[#This Row],[CÓDIGO]],Consumo!$C$2:$AC$869,26,FALSE),0))</f>
        <v>05.2023</v>
      </c>
      <c r="AS55" s="316">
        <f>SUMIF(Consumo!$C$3:$C$869,tabItens[[#This Row],[CÓDIGO]],Consumo!$N$3:$N$869) + SUMIF(Consumo!$C$3:$C$869,tabItens[[#This Row],[CÓDIGO]],Consumo!$O$3:$O$869) + SUMIF(Consumo!$C$3:$C$869,tabItens[[#This Row],[CÓDIGO]],Consumo!$P$3:$P$869) + SUMIF(Consumo!$C$3:$C$869,tabItens[[#This Row],[CÓDIGO]],Consumo!$Q$3:$Q$869)</f>
        <v>29</v>
      </c>
      <c r="AT55" s="316">
        <f>SUMIF(Consumo!$C$3:$C$869,tabItens[[#This Row],[CÓDIGO]],Consumo!$Z$3:$Z$869)</f>
        <v>44</v>
      </c>
      <c r="AU55" s="317">
        <f>SUMIF(Consumo!$C$3:$C$869,tabItens[[#This Row],[CÓDIGO]],Consumo!$AA$3:$AA$869)</f>
        <v>29</v>
      </c>
      <c r="AV55" s="318">
        <f>SUMIF(Consumo!$C$3:$C$869,tabItens[[#This Row],[CÓDIGO]],Consumo!$Y$3:$Y$869)</f>
        <v>3</v>
      </c>
      <c r="AW55" s="401">
        <f>tabItens[[#This Row],[QTDE ATUAL]] + tabItens[[#This Row],[RC QTDE]] + tabItens[[#This Row],[AF SALDO]] + tabItens[[#This Row],[Recentes]]</f>
        <v>50</v>
      </c>
      <c r="AX55" s="420">
        <v>25</v>
      </c>
      <c r="AY55" s="420">
        <v>4</v>
      </c>
      <c r="AZ55" s="420">
        <f>IF(ISBLANK(tabItens[[#This Row],[CÓDIGO]]),"",tabItens[[#This Row],[PontoMês]] * (AZ$2+tabItens[[#This Row],[PontoQtM]]))</f>
        <v>100</v>
      </c>
      <c r="BA55" s="421">
        <f>tabItens[[#This Row],[PontoPed]] - tabItens[[#This Row],[Saldo]] + (1/10)</f>
        <v>50.1</v>
      </c>
      <c r="BB55" s="421">
        <f xml:space="preserve"> tabItens[[#This Row],[PontoMês]] * BB$2 - tabItens[[#This Row],[QTDE ATUAL]] - (1/10)</f>
        <v>24.9</v>
      </c>
      <c r="BC55" s="320">
        <f>IF( tabItens[[#This Row],[PontoPed]]&gt;0, IF(tabItens[[#This Row],[PontoPed]]&lt;1, 1, IF( tabItens[[#This Row],[Saldo]]&gt;tabItens[[#This Row],[PontoPed]], 0, (tabItens[[#This Row],[PontoPed]]-tabItens[[#This Row],[Saldo]])/tabItens[[#This Row],[PontoPed]] ) ), 0 )</f>
        <v>0.5</v>
      </c>
      <c r="BD55" s="422">
        <f>ROUNDDOWN(IF( OR( AND(tabItens[[#This Row],[PontoPed]]&lt;tabItens[[#This Row],[Saldo]],tabItens[[#This Row],[Saldo]]&gt;0), tabItens[[#This Row],[PontoPed]]=0), 99, IF(AND(tabItens[[#This Row],[Saldo]]=0,tabItens[[#This Row],[PontoPed]]&gt;0), 0, (1-tabItens[[#This Row],[PctAb]])*10 ) ),0)</f>
        <v>5</v>
      </c>
      <c r="BE55" s="423">
        <f>MAX(ROUNDDOWN( IF(tabItens[[#This Row],[Abaixo]] &gt; 0,   tabItens[[#This Row],[Abaixo]] + (tabItens[[#This Row],[PontoMês]] * IF( OR( ISBLANK(tabItens[[#This Row],[ATA Nº/ANO]]), tabItens[[#This Row],[ATA Nº/ANO]] = ""),BE$2,BE$1)),0),0),0)</f>
        <v>125</v>
      </c>
      <c r="BF55"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23">
        <f>SUMIF(Consumo!$C$3:$C$869,tabItens[[#This Row],[CÓDIGO]],Consumo!$E$3:$E$869)</f>
        <v>0</v>
      </c>
      <c r="BH55" s="324">
        <f>IF(AND(tabItens[[#This Row],[Pend]] &gt; 0,tabItens[[#This Row],[Consumo]] &lt;&gt; 0), tabItens[[#This Row],[Pend]] / tabItens[[#This Row],[Consumo]], 0 )</f>
        <v>0</v>
      </c>
      <c r="BI55" s="323"/>
      <c r="BJ55" s="424"/>
      <c r="BK55" s="425" t="s">
        <v>2064</v>
      </c>
    </row>
    <row r="56" spans="1:63" x14ac:dyDescent="0.3">
      <c r="A56" s="396">
        <v>40251</v>
      </c>
      <c r="B56" s="397" t="s">
        <v>1274</v>
      </c>
      <c r="C56" s="398" t="s">
        <v>256</v>
      </c>
      <c r="D56" s="399">
        <v>10.66</v>
      </c>
      <c r="E56" s="290"/>
      <c r="F56" s="400"/>
      <c r="G56" s="400" t="s">
        <v>883</v>
      </c>
      <c r="H56" s="401">
        <v>0</v>
      </c>
      <c r="I56" s="292">
        <v>103003</v>
      </c>
      <c r="J56" s="293">
        <v>10.66</v>
      </c>
      <c r="K56" s="402">
        <v>466</v>
      </c>
      <c r="L56" s="403">
        <f>IF(tabItens[[#This Row],[Média]] &gt; 0, tabItens[[#This Row],[QTDE ATUAL]] / tabItens[[#This Row],[Média]],999.9)</f>
        <v>0</v>
      </c>
      <c r="M56" s="404">
        <v>0</v>
      </c>
      <c r="N56" s="405">
        <f>tabItens[[#This Row],[VALOR UNIT.]] * tabItens[[#This Row],[LC]]</f>
        <v>0</v>
      </c>
      <c r="O56" s="406" t="s">
        <v>2112</v>
      </c>
      <c r="P56" s="407"/>
      <c r="Q56" s="408"/>
      <c r="R56" s="297"/>
      <c r="S56" s="409"/>
      <c r="T56" s="410">
        <f>ROUNDDOWN(IFERROR(tabItens[[#This Row],[ATA DT.VALID.]] - $D$1,0) / 30,0)</f>
        <v>-1504</v>
      </c>
      <c r="U56" s="287" t="s">
        <v>1275</v>
      </c>
      <c r="V56" s="303">
        <v>1</v>
      </c>
      <c r="W56" s="411" t="s">
        <v>2056</v>
      </c>
      <c r="X56" s="412">
        <v>83</v>
      </c>
      <c r="Y56" s="413">
        <v>4</v>
      </c>
      <c r="Z56" s="414">
        <v>2684</v>
      </c>
      <c r="AA56" s="415">
        <v>2023</v>
      </c>
      <c r="AB56" s="416">
        <v>100</v>
      </c>
      <c r="AC56" s="416"/>
      <c r="AD56" s="415"/>
      <c r="AE56" s="416"/>
      <c r="AF56" s="302"/>
      <c r="AG56" s="417" t="s">
        <v>2050</v>
      </c>
      <c r="AH56" s="418"/>
      <c r="AI56" s="302">
        <v>182</v>
      </c>
      <c r="AJ56" s="418">
        <v>44599</v>
      </c>
      <c r="AK56" s="311" t="s">
        <v>883</v>
      </c>
      <c r="AL56" s="311">
        <v>44594</v>
      </c>
      <c r="AM56" s="301"/>
      <c r="AN56" s="290"/>
      <c r="AO56" s="312" t="str">
        <f>_xlfn.IFNA(IF(VLOOKUP(tabItens[[#This Row],[CÓDIGO]],tabExcluirDoEstoque[#Data],1,FALSE),"sim",""),"")</f>
        <v/>
      </c>
      <c r="AP56" s="419" t="str">
        <f ca="1">IF(OR(ISBLANK(tabItens[[#This Row],[ATA DT.VALID.]]),tabItens[[#This Row],[ATA DT.VALID.]]="",tabItens[[#This Row],[ATA DT.VALID.]]=" "),"",IF(TYPE(tabItens[[#This Row],[ATA DT.VALID.]])=1,ROUNDUP((tabItens[[#This Row],[ATA DT.VALID.]]-TODAY())/7,0),""))</f>
        <v/>
      </c>
      <c r="AQ56" s="314">
        <v>0</v>
      </c>
      <c r="AR56" s="315" t="str">
        <f>IF(ISBLANK(tabItens[[#This Row],[CÓDIGO]]),"",IFERROR(VLOOKUP(tabItens[[#This Row],[CÓDIGO]],Consumo!$C$2:$AC$869,26,FALSE),0))</f>
        <v>04.2023</v>
      </c>
      <c r="AS56" s="316">
        <f>SUMIF(Consumo!$C$3:$C$869,tabItens[[#This Row],[CÓDIGO]],Consumo!$N$3:$N$869) + SUMIF(Consumo!$C$3:$C$869,tabItens[[#This Row],[CÓDIGO]],Consumo!$O$3:$O$869) + SUMIF(Consumo!$C$3:$C$869,tabItens[[#This Row],[CÓDIGO]],Consumo!$P$3:$P$869) + SUMIF(Consumo!$C$3:$C$869,tabItens[[#This Row],[CÓDIGO]],Consumo!$Q$3:$Q$869)</f>
        <v>191</v>
      </c>
      <c r="AT56" s="316">
        <f>SUMIF(Consumo!$C$3:$C$869,tabItens[[#This Row],[CÓDIGO]],Consumo!$Z$3:$Z$869)</f>
        <v>658</v>
      </c>
      <c r="AU56" s="317">
        <f>SUMIF(Consumo!$C$3:$C$869,tabItens[[#This Row],[CÓDIGO]],Consumo!$AA$3:$AA$869)</f>
        <v>191</v>
      </c>
      <c r="AV56" s="318">
        <f>SUMIF(Consumo!$C$3:$C$869,tabItens[[#This Row],[CÓDIGO]],Consumo!$Y$3:$Y$869)</f>
        <v>52.25</v>
      </c>
      <c r="AW56" s="401">
        <f>tabItens[[#This Row],[QTDE ATUAL]] + tabItens[[#This Row],[RC QTDE]] + tabItens[[#This Row],[AF SALDO]] + tabItens[[#This Row],[Recentes]]</f>
        <v>100</v>
      </c>
      <c r="AX56" s="420">
        <v>50</v>
      </c>
      <c r="AY56" s="420">
        <v>4</v>
      </c>
      <c r="AZ56" s="420">
        <f>IF(ISBLANK(tabItens[[#This Row],[CÓDIGO]]),"",tabItens[[#This Row],[PontoMês]] * (AZ$2+tabItens[[#This Row],[PontoQtM]]))</f>
        <v>200</v>
      </c>
      <c r="BA56" s="421">
        <f>tabItens[[#This Row],[PontoPed]] - tabItens[[#This Row],[Saldo]] + (1/10)</f>
        <v>100.1</v>
      </c>
      <c r="BB56" s="421">
        <f xml:space="preserve"> tabItens[[#This Row],[PontoMês]] * BB$2 - tabItens[[#This Row],[QTDE ATUAL]] - (1/10)</f>
        <v>49.9</v>
      </c>
      <c r="BC56" s="320">
        <f>IF( tabItens[[#This Row],[PontoPed]]&gt;0, IF(tabItens[[#This Row],[PontoPed]]&lt;1, 1, IF( tabItens[[#This Row],[Saldo]]&gt;tabItens[[#This Row],[PontoPed]], 0, (tabItens[[#This Row],[PontoPed]]-tabItens[[#This Row],[Saldo]])/tabItens[[#This Row],[PontoPed]] ) ), 0 )</f>
        <v>0.5</v>
      </c>
      <c r="BD56" s="422">
        <f>ROUNDDOWN(IF( OR( AND(tabItens[[#This Row],[PontoPed]]&lt;tabItens[[#This Row],[Saldo]],tabItens[[#This Row],[Saldo]]&gt;0), tabItens[[#This Row],[PontoPed]]=0), 99, IF(AND(tabItens[[#This Row],[Saldo]]=0,tabItens[[#This Row],[PontoPed]]&gt;0), 0, (1-tabItens[[#This Row],[PctAb]])*10 ) ),0)</f>
        <v>5</v>
      </c>
      <c r="BE56" s="423">
        <f>MAX(ROUNDDOWN( IF(tabItens[[#This Row],[Abaixo]] &gt; 0,   tabItens[[#This Row],[Abaixo]] + (tabItens[[#This Row],[PontoMês]] * IF( OR( ISBLANK(tabItens[[#This Row],[ATA Nº/ANO]]), tabItens[[#This Row],[ATA Nº/ANO]] = ""),BE$2,BE$1)),0),0),0)</f>
        <v>250</v>
      </c>
      <c r="BF5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23">
        <f>SUMIF(Consumo!$C$3:$C$869,tabItens[[#This Row],[CÓDIGO]],Consumo!$E$3:$E$869)</f>
        <v>110</v>
      </c>
      <c r="BH56" s="324">
        <f>IF(AND(tabItens[[#This Row],[Pend]] &gt; 0,tabItens[[#This Row],[Consumo]] &lt;&gt; 0), tabItens[[#This Row],[Pend]] / tabItens[[#This Row],[Consumo]], 0 )</f>
        <v>0.16717325227963525</v>
      </c>
      <c r="BI56" s="323"/>
      <c r="BJ56" s="424"/>
      <c r="BK56" s="425" t="s">
        <v>2064</v>
      </c>
    </row>
    <row r="57" spans="1:63" hidden="1" x14ac:dyDescent="0.3">
      <c r="A57" s="286">
        <v>70967</v>
      </c>
      <c r="B57" s="287" t="s">
        <v>1396</v>
      </c>
      <c r="C57" s="288" t="s">
        <v>256</v>
      </c>
      <c r="D57" s="289">
        <v>5.59</v>
      </c>
      <c r="E57" s="290"/>
      <c r="F57" s="290"/>
      <c r="G57" s="290" t="s">
        <v>883</v>
      </c>
      <c r="H57" s="291">
        <v>39</v>
      </c>
      <c r="I57" s="292">
        <v>103003</v>
      </c>
      <c r="J57" s="293">
        <v>5.59</v>
      </c>
      <c r="K57" s="294">
        <v>66</v>
      </c>
      <c r="L57" s="295">
        <f>IF(tabItens[[#This Row],[Média]] &gt; 0, tabItens[[#This Row],[QTDE ATUAL]] / tabItens[[#This Row],[Média]],999.9)</f>
        <v>8.068965517241379</v>
      </c>
      <c r="M57" s="296">
        <v>0</v>
      </c>
      <c r="N57" s="297">
        <f>tabItens[[#This Row],[VALOR UNIT.]] * tabItens[[#This Row],[LC]]</f>
        <v>0</v>
      </c>
      <c r="O57" s="298" t="s">
        <v>2074</v>
      </c>
      <c r="P57" s="299"/>
      <c r="Q57" s="300"/>
      <c r="R57" s="297"/>
      <c r="S57" s="301"/>
      <c r="T57" s="302">
        <f>ROUNDDOWN(IFERROR(tabItens[[#This Row],[ATA DT.VALID.]] - $D$1,0) / 30,0)</f>
        <v>-1504</v>
      </c>
      <c r="U57" s="287" t="s">
        <v>1345</v>
      </c>
      <c r="V57" s="303">
        <v>1</v>
      </c>
      <c r="W57" s="304" t="s">
        <v>2055</v>
      </c>
      <c r="X57" s="305">
        <v>61</v>
      </c>
      <c r="Y57" s="306">
        <v>3</v>
      </c>
      <c r="Z57" s="307"/>
      <c r="AA57" s="308"/>
      <c r="AB57" s="309"/>
      <c r="AC57" s="309"/>
      <c r="AD57" s="308"/>
      <c r="AE57" s="309"/>
      <c r="AF57" s="302"/>
      <c r="AG57" s="310" t="s">
        <v>2050</v>
      </c>
      <c r="AH57" s="311"/>
      <c r="AI57" s="302">
        <v>22</v>
      </c>
      <c r="AJ57" s="311">
        <v>44166</v>
      </c>
      <c r="AK57" s="311" t="s">
        <v>883</v>
      </c>
      <c r="AL57" s="311">
        <v>44284</v>
      </c>
      <c r="AM57" s="301"/>
      <c r="AN57" s="290"/>
      <c r="AO57" s="312" t="str">
        <f>_xlfn.IFNA(IF(VLOOKUP(tabItens[[#This Row],[CÓDIGO]],tabExcluirDoEstoque[#Data],1,FALSE),"sim",""),"")</f>
        <v/>
      </c>
      <c r="AP57" s="313" t="str">
        <f ca="1">IF(OR(ISBLANK(tabItens[[#This Row],[ATA DT.VALID.]]),tabItens[[#This Row],[ATA DT.VALID.]]="",tabItens[[#This Row],[ATA DT.VALID.]]=" "),"",IF(TYPE(tabItens[[#This Row],[ATA DT.VALID.]])=1,ROUNDUP((tabItens[[#This Row],[ATA DT.VALID.]]-TODAY())/7,0),""))</f>
        <v/>
      </c>
      <c r="AQ57" s="314">
        <v>0</v>
      </c>
      <c r="AR57" s="315" t="str">
        <f>IF(ISBLANK(tabItens[[#This Row],[CÓDIGO]]),"",IFERROR(VLOOKUP(tabItens[[#This Row],[CÓDIGO]],Consumo!$C$2:$AC$869,26,FALSE),0))</f>
        <v>04.2023</v>
      </c>
      <c r="AS57" s="316">
        <f>SUMIF(Consumo!$C$3:$C$869,tabItens[[#This Row],[CÓDIGO]],Consumo!$N$3:$N$869) + SUMIF(Consumo!$C$3:$C$869,tabItens[[#This Row],[CÓDIGO]],Consumo!$O$3:$O$869) + SUMIF(Consumo!$C$3:$C$869,tabItens[[#This Row],[CÓDIGO]],Consumo!$P$3:$P$869) + SUMIF(Consumo!$C$3:$C$869,tabItens[[#This Row],[CÓDIGO]],Consumo!$Q$3:$Q$869)</f>
        <v>35</v>
      </c>
      <c r="AT57" s="316">
        <f>SUMIF(Consumo!$C$3:$C$869,tabItens[[#This Row],[CÓDIGO]],Consumo!$Z$3:$Z$869)</f>
        <v>66</v>
      </c>
      <c r="AU57" s="317">
        <f>SUMIF(Consumo!$C$3:$C$869,tabItens[[#This Row],[CÓDIGO]],Consumo!$AA$3:$AA$869)</f>
        <v>35</v>
      </c>
      <c r="AV57" s="318">
        <f>SUMIF(Consumo!$C$3:$C$869,tabItens[[#This Row],[CÓDIGO]],Consumo!$Y$3:$Y$869)</f>
        <v>4.833333333333333</v>
      </c>
      <c r="AW57" s="291">
        <f>tabItens[[#This Row],[QTDE ATUAL]] + tabItens[[#This Row],[RC QTDE]] + tabItens[[#This Row],[AF SALDO]] + tabItens[[#This Row],[Recentes]]</f>
        <v>39</v>
      </c>
      <c r="AX57" s="319">
        <v>17</v>
      </c>
      <c r="AY57" s="319">
        <v>4</v>
      </c>
      <c r="AZ57" s="319">
        <f>IF(ISBLANK(tabItens[[#This Row],[CÓDIGO]]),"",tabItens[[#This Row],[PontoMês]] * (AZ$2+tabItens[[#This Row],[PontoQtM]]))</f>
        <v>68</v>
      </c>
      <c r="BA57" s="318">
        <f>tabItens[[#This Row],[PontoPed]] - tabItens[[#This Row],[Saldo]] + (1/10)</f>
        <v>29.1</v>
      </c>
      <c r="BB57" s="318">
        <f xml:space="preserve"> tabItens[[#This Row],[PontoMês]] * BB$2 - tabItens[[#This Row],[QTDE ATUAL]] - (1/10)</f>
        <v>-22.1</v>
      </c>
      <c r="BC57" s="320">
        <f>IF( tabItens[[#This Row],[PontoPed]]&gt;0, IF(tabItens[[#This Row],[PontoPed]]&lt;1, 1, IF( tabItens[[#This Row],[Saldo]]&gt;tabItens[[#This Row],[PontoPed]], 0, (tabItens[[#This Row],[PontoPed]]-tabItens[[#This Row],[Saldo]])/tabItens[[#This Row],[PontoPed]] ) ), 0 )</f>
        <v>0.4264705882352941</v>
      </c>
      <c r="BD57" s="321">
        <f>ROUNDDOWN(IF( OR( AND(tabItens[[#This Row],[PontoPed]]&lt;tabItens[[#This Row],[Saldo]],tabItens[[#This Row],[Saldo]]&gt;0), tabItens[[#This Row],[PontoPed]]=0), 99, IF(AND(tabItens[[#This Row],[Saldo]]=0,tabItens[[#This Row],[PontoPed]]&gt;0), 0, (1-tabItens[[#This Row],[PctAb]])*10 ) ),0)</f>
        <v>5</v>
      </c>
      <c r="BE57" s="322">
        <f>MAX(ROUNDDOWN( IF(tabItens[[#This Row],[Abaixo]] &gt; 0,   tabItens[[#This Row],[Abaixo]] + (tabItens[[#This Row],[PontoMês]] * IF( OR( ISBLANK(tabItens[[#This Row],[ATA Nº/ANO]]), tabItens[[#This Row],[ATA Nº/ANO]] = ""),BE$2,BE$1)),0),0),0)</f>
        <v>80</v>
      </c>
      <c r="BF5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23">
        <f>SUMIF(Consumo!$C$3:$C$869,tabItens[[#This Row],[CÓDIGO]],Consumo!$E$3:$E$869)</f>
        <v>0</v>
      </c>
      <c r="BH57" s="324">
        <f>IF(AND(tabItens[[#This Row],[Pend]] &gt; 0,tabItens[[#This Row],[Consumo]] &lt;&gt; 0), tabItens[[#This Row],[Pend]] / tabItens[[#This Row],[Consumo]], 0 )</f>
        <v>0</v>
      </c>
      <c r="BI57" s="323"/>
      <c r="BJ57" s="323"/>
      <c r="BK57" s="325" t="s">
        <v>2064</v>
      </c>
    </row>
    <row r="58" spans="1:63" hidden="1" x14ac:dyDescent="0.3">
      <c r="A58" s="286">
        <v>78641</v>
      </c>
      <c r="B58" s="287" t="s">
        <v>1444</v>
      </c>
      <c r="C58" s="288" t="s">
        <v>625</v>
      </c>
      <c r="D58" s="289">
        <v>7.4</v>
      </c>
      <c r="E58" s="290"/>
      <c r="F58" s="290"/>
      <c r="G58" s="290" t="s">
        <v>883</v>
      </c>
      <c r="H58" s="291"/>
      <c r="I58" s="292">
        <v>103003</v>
      </c>
      <c r="J58" s="293">
        <v>7.4</v>
      </c>
      <c r="K58" s="294">
        <v>3226</v>
      </c>
      <c r="L58" s="295">
        <f>IF(tabItens[[#This Row],[Média]] &gt; 0, tabItens[[#This Row],[QTDE ATUAL]] / tabItens[[#This Row],[Média]],999.9)</f>
        <v>0</v>
      </c>
      <c r="M58" s="296">
        <v>0</v>
      </c>
      <c r="N58" s="297">
        <f>tabItens[[#This Row],[VALOR UNIT.]] * tabItens[[#This Row],[LC]]</f>
        <v>0</v>
      </c>
      <c r="O58" s="298"/>
      <c r="P58" s="299"/>
      <c r="Q58" s="300"/>
      <c r="R58" s="297"/>
      <c r="S58" s="301"/>
      <c r="T58" s="302">
        <f>ROUNDDOWN(IFERROR(tabItens[[#This Row],[ATA DT.VALID.]] - $D$1,0) / 30,0)</f>
        <v>-1504</v>
      </c>
      <c r="U58" s="287" t="s">
        <v>1445</v>
      </c>
      <c r="V58" s="303">
        <v>1</v>
      </c>
      <c r="W58" s="304" t="s">
        <v>2052</v>
      </c>
      <c r="X58" s="305">
        <v>45</v>
      </c>
      <c r="Y58" s="306">
        <v>30</v>
      </c>
      <c r="Z58" s="307">
        <v>6978</v>
      </c>
      <c r="AA58" s="308">
        <v>2023</v>
      </c>
      <c r="AB58" s="309">
        <v>1100</v>
      </c>
      <c r="AC58" s="309"/>
      <c r="AD58" s="308"/>
      <c r="AE58" s="309"/>
      <c r="AF58" s="302"/>
      <c r="AG58" s="310" t="s">
        <v>2050</v>
      </c>
      <c r="AH58" s="311"/>
      <c r="AI58" s="302">
        <v>1558</v>
      </c>
      <c r="AJ58" s="311">
        <v>44463</v>
      </c>
      <c r="AK58" s="311">
        <v>38104</v>
      </c>
      <c r="AL58" s="311">
        <v>45044</v>
      </c>
      <c r="AM58" s="301"/>
      <c r="AN58" s="290"/>
      <c r="AO58" s="312" t="str">
        <f>_xlfn.IFNA(IF(VLOOKUP(tabItens[[#This Row],[CÓDIGO]],tabExcluirDoEstoque[#Data],1,FALSE),"sim",""),"")</f>
        <v/>
      </c>
      <c r="AP58" s="313" t="str">
        <f ca="1">IF(OR(ISBLANK(tabItens[[#This Row],[ATA DT.VALID.]]),tabItens[[#This Row],[ATA DT.VALID.]]="",tabItens[[#This Row],[ATA DT.VALID.]]=" "),"",IF(TYPE(tabItens[[#This Row],[ATA DT.VALID.]])=1,ROUNDUP((tabItens[[#This Row],[ATA DT.VALID.]]-TODAY())/7,0),""))</f>
        <v/>
      </c>
      <c r="AQ58" s="314"/>
      <c r="AR58" s="315" t="str">
        <f>IF(ISBLANK(tabItens[[#This Row],[CÓDIGO]]),"",IFERROR(VLOOKUP(tabItens[[#This Row],[CÓDIGO]],Consumo!$C$2:$AC$869,26,FALSE),0))</f>
        <v>07.2023</v>
      </c>
      <c r="AS58" s="316">
        <f>SUMIF(Consumo!$C$3:$C$869,tabItens[[#This Row],[CÓDIGO]],Consumo!$N$3:$N$869) + SUMIF(Consumo!$C$3:$C$869,tabItens[[#This Row],[CÓDIGO]],Consumo!$O$3:$O$869) + SUMIF(Consumo!$C$3:$C$869,tabItens[[#This Row],[CÓDIGO]],Consumo!$P$3:$P$869) + SUMIF(Consumo!$C$3:$C$869,tabItens[[#This Row],[CÓDIGO]],Consumo!$Q$3:$Q$869)</f>
        <v>1098</v>
      </c>
      <c r="AT58" s="316">
        <f>SUMIF(Consumo!$C$3:$C$869,tabItens[[#This Row],[CÓDIGO]],Consumo!$Z$3:$Z$869)</f>
        <v>4673</v>
      </c>
      <c r="AU58" s="317">
        <f>SUMIF(Consumo!$C$3:$C$869,tabItens[[#This Row],[CÓDIGO]],Consumo!$AA$3:$AA$869)</f>
        <v>1431</v>
      </c>
      <c r="AV58" s="318">
        <f>SUMIF(Consumo!$C$3:$C$869,tabItens[[#This Row],[CÓDIGO]],Consumo!$Y$3:$Y$869)</f>
        <v>359.5</v>
      </c>
      <c r="AW58" s="291">
        <f>tabItens[[#This Row],[QTDE ATUAL]] + tabItens[[#This Row],[RC QTDE]] + tabItens[[#This Row],[AF SALDO]] + tabItens[[#This Row],[Recentes]]</f>
        <v>1100</v>
      </c>
      <c r="AX58" s="319">
        <v>528</v>
      </c>
      <c r="AY58" s="319">
        <v>4</v>
      </c>
      <c r="AZ58" s="319">
        <f>IF(ISBLANK(tabItens[[#This Row],[CÓDIGO]]),"",tabItens[[#This Row],[PontoMês]] * (AZ$2+tabItens[[#This Row],[PontoQtM]]))</f>
        <v>2112</v>
      </c>
      <c r="BA58" s="318">
        <f>tabItens[[#This Row],[PontoPed]] - tabItens[[#This Row],[Saldo]] + (1/10)</f>
        <v>1012.1</v>
      </c>
      <c r="BB58" s="318">
        <f xml:space="preserve"> tabItens[[#This Row],[PontoMês]] * BB$2 - tabItens[[#This Row],[QTDE ATUAL]] - (1/10)</f>
        <v>527.9</v>
      </c>
      <c r="BC58" s="320">
        <f>IF( tabItens[[#This Row],[PontoPed]]&gt;0, IF(tabItens[[#This Row],[PontoPed]]&lt;1, 1, IF( tabItens[[#This Row],[Saldo]]&gt;tabItens[[#This Row],[PontoPed]], 0, (tabItens[[#This Row],[PontoPed]]-tabItens[[#This Row],[Saldo]])/tabItens[[#This Row],[PontoPed]] ) ), 0 )</f>
        <v>0.47916666666666669</v>
      </c>
      <c r="BD58" s="321">
        <f>ROUNDDOWN(IF( OR( AND(tabItens[[#This Row],[PontoPed]]&lt;tabItens[[#This Row],[Saldo]],tabItens[[#This Row],[Saldo]]&gt;0), tabItens[[#This Row],[PontoPed]]=0), 99, IF(AND(tabItens[[#This Row],[Saldo]]=0,tabItens[[#This Row],[PontoPed]]&gt;0), 0, (1-tabItens[[#This Row],[PctAb]])*10 ) ),0)</f>
        <v>5</v>
      </c>
      <c r="BE58" s="322">
        <f>MAX(ROUNDDOWN( IF(tabItens[[#This Row],[Abaixo]] &gt; 0,   tabItens[[#This Row],[Abaixo]] + (tabItens[[#This Row],[PontoMês]] * IF( OR( ISBLANK(tabItens[[#This Row],[ATA Nº/ANO]]), tabItens[[#This Row],[ATA Nº/ANO]] = ""),BE$2,BE$1)),0),0),0)</f>
        <v>4180</v>
      </c>
      <c r="BF5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58" s="323">
        <f>SUMIF(Consumo!$C$3:$C$869,tabItens[[#This Row],[CÓDIGO]],Consumo!$E$3:$E$869)</f>
        <v>2</v>
      </c>
      <c r="BH58" s="324">
        <f>IF(AND(tabItens[[#This Row],[Pend]] &gt; 0,tabItens[[#This Row],[Consumo]] &lt;&gt; 0), tabItens[[#This Row],[Pend]] / tabItens[[#This Row],[Consumo]], 0 )</f>
        <v>4.2799058420714745E-4</v>
      </c>
      <c r="BI58" s="323"/>
      <c r="BJ58" s="323"/>
      <c r="BK58" s="325" t="s">
        <v>2064</v>
      </c>
    </row>
    <row r="59" spans="1:63" hidden="1" x14ac:dyDescent="0.3">
      <c r="A59" s="286">
        <v>78643</v>
      </c>
      <c r="B59" s="287" t="s">
        <v>1447</v>
      </c>
      <c r="C59" s="288" t="s">
        <v>625</v>
      </c>
      <c r="D59" s="289">
        <v>7.4</v>
      </c>
      <c r="E59" s="290"/>
      <c r="F59" s="290"/>
      <c r="G59" s="290" t="s">
        <v>883</v>
      </c>
      <c r="H59" s="291"/>
      <c r="I59" s="292">
        <v>103003</v>
      </c>
      <c r="J59" s="293">
        <v>7.4</v>
      </c>
      <c r="K59" s="294">
        <v>3541</v>
      </c>
      <c r="L59" s="295">
        <f>IF(tabItens[[#This Row],[Média]] &gt; 0, tabItens[[#This Row],[QTDE ATUAL]] / tabItens[[#This Row],[Média]],999.9)</f>
        <v>0</v>
      </c>
      <c r="M59" s="296">
        <v>0</v>
      </c>
      <c r="N59" s="297">
        <f>tabItens[[#This Row],[VALOR UNIT.]] * tabItens[[#This Row],[LC]]</f>
        <v>0</v>
      </c>
      <c r="O59" s="298"/>
      <c r="P59" s="299"/>
      <c r="Q59" s="300"/>
      <c r="R59" s="297"/>
      <c r="S59" s="301"/>
      <c r="T59" s="302">
        <f>ROUNDDOWN(IFERROR(tabItens[[#This Row],[ATA DT.VALID.]] - $D$1,0) / 30,0)</f>
        <v>-1504</v>
      </c>
      <c r="U59" s="287" t="s">
        <v>1445</v>
      </c>
      <c r="V59" s="303">
        <v>1</v>
      </c>
      <c r="W59" s="304" t="s">
        <v>2052</v>
      </c>
      <c r="X59" s="305">
        <v>45</v>
      </c>
      <c r="Y59" s="306">
        <v>30</v>
      </c>
      <c r="Z59" s="307">
        <v>6978</v>
      </c>
      <c r="AA59" s="308">
        <v>2023</v>
      </c>
      <c r="AB59" s="309">
        <v>1200</v>
      </c>
      <c r="AC59" s="309"/>
      <c r="AD59" s="308"/>
      <c r="AE59" s="309"/>
      <c r="AF59" s="302"/>
      <c r="AG59" s="310" t="s">
        <v>2050</v>
      </c>
      <c r="AH59" s="311"/>
      <c r="AI59" s="302">
        <v>1724</v>
      </c>
      <c r="AJ59" s="311">
        <v>44928</v>
      </c>
      <c r="AK59" s="311">
        <v>38104</v>
      </c>
      <c r="AL59" s="311">
        <v>45044</v>
      </c>
      <c r="AM59" s="301"/>
      <c r="AN59" s="290"/>
      <c r="AO59" s="312" t="str">
        <f>_xlfn.IFNA(IF(VLOOKUP(tabItens[[#This Row],[CÓDIGO]],tabExcluirDoEstoque[#Data],1,FALSE),"sim",""),"")</f>
        <v/>
      </c>
      <c r="AP59" s="313" t="str">
        <f ca="1">IF(OR(ISBLANK(tabItens[[#This Row],[ATA DT.VALID.]]),tabItens[[#This Row],[ATA DT.VALID.]]="",tabItens[[#This Row],[ATA DT.VALID.]]=" "),"",IF(TYPE(tabItens[[#This Row],[ATA DT.VALID.]])=1,ROUNDUP((tabItens[[#This Row],[ATA DT.VALID.]]-TODAY())/7,0),""))</f>
        <v/>
      </c>
      <c r="AQ59" s="314"/>
      <c r="AR59" s="315" t="str">
        <f>IF(ISBLANK(tabItens[[#This Row],[CÓDIGO]]),"",IFERROR(VLOOKUP(tabItens[[#This Row],[CÓDIGO]],Consumo!$C$2:$AC$869,26,FALSE),0))</f>
        <v>07.2023</v>
      </c>
      <c r="AS59" s="316">
        <f>SUMIF(Consumo!$C$3:$C$869,tabItens[[#This Row],[CÓDIGO]],Consumo!$N$3:$N$869) + SUMIF(Consumo!$C$3:$C$869,tabItens[[#This Row],[CÓDIGO]],Consumo!$O$3:$O$869) + SUMIF(Consumo!$C$3:$C$869,tabItens[[#This Row],[CÓDIGO]],Consumo!$P$3:$P$869) + SUMIF(Consumo!$C$3:$C$869,tabItens[[#This Row],[CÓDIGO]],Consumo!$Q$3:$Q$869)</f>
        <v>1250</v>
      </c>
      <c r="AT59" s="316">
        <f>SUMIF(Consumo!$C$3:$C$869,tabItens[[#This Row],[CÓDIGO]],Consumo!$Z$3:$Z$869)</f>
        <v>5171</v>
      </c>
      <c r="AU59" s="317">
        <f>SUMIF(Consumo!$C$3:$C$869,tabItens[[#This Row],[CÓDIGO]],Consumo!$AA$3:$AA$869)</f>
        <v>1486</v>
      </c>
      <c r="AV59" s="318">
        <f>SUMIF(Consumo!$C$3:$C$869,tabItens[[#This Row],[CÓDIGO]],Consumo!$Y$3:$Y$869)</f>
        <v>401.66666666666669</v>
      </c>
      <c r="AW59" s="291">
        <f>tabItens[[#This Row],[QTDE ATUAL]] + tabItens[[#This Row],[RC QTDE]] + tabItens[[#This Row],[AF SALDO]] + tabItens[[#This Row],[Recentes]]</f>
        <v>1200</v>
      </c>
      <c r="AX59" s="319">
        <v>562</v>
      </c>
      <c r="AY59" s="319">
        <v>4</v>
      </c>
      <c r="AZ59" s="319">
        <f>IF(ISBLANK(tabItens[[#This Row],[CÓDIGO]]),"",tabItens[[#This Row],[PontoMês]] * (AZ$2+tabItens[[#This Row],[PontoQtM]]))</f>
        <v>2248</v>
      </c>
      <c r="BA59" s="318">
        <f>tabItens[[#This Row],[PontoPed]] - tabItens[[#This Row],[Saldo]] + (1/10)</f>
        <v>1048.0999999999999</v>
      </c>
      <c r="BB59" s="318">
        <f xml:space="preserve"> tabItens[[#This Row],[PontoMês]] * BB$2 - tabItens[[#This Row],[QTDE ATUAL]] - (1/10)</f>
        <v>561.9</v>
      </c>
      <c r="BC59" s="320">
        <f>IF( tabItens[[#This Row],[PontoPed]]&gt;0, IF(tabItens[[#This Row],[PontoPed]]&lt;1, 1, IF( tabItens[[#This Row],[Saldo]]&gt;tabItens[[#This Row],[PontoPed]], 0, (tabItens[[#This Row],[PontoPed]]-tabItens[[#This Row],[Saldo]])/tabItens[[#This Row],[PontoPed]] ) ), 0 )</f>
        <v>0.46619217081850534</v>
      </c>
      <c r="BD59" s="321">
        <f>ROUNDDOWN(IF( OR( AND(tabItens[[#This Row],[PontoPed]]&lt;tabItens[[#This Row],[Saldo]],tabItens[[#This Row],[Saldo]]&gt;0), tabItens[[#This Row],[PontoPed]]=0), 99, IF(AND(tabItens[[#This Row],[Saldo]]=0,tabItens[[#This Row],[PontoPed]]&gt;0), 0, (1-tabItens[[#This Row],[PctAb]])*10 ) ),0)</f>
        <v>5</v>
      </c>
      <c r="BE59" s="322">
        <f>MAX(ROUNDDOWN( IF(tabItens[[#This Row],[Abaixo]] &gt; 0,   tabItens[[#This Row],[Abaixo]] + (tabItens[[#This Row],[PontoMês]] * IF( OR( ISBLANK(tabItens[[#This Row],[ATA Nº/ANO]]), tabItens[[#This Row],[ATA Nº/ANO]] = ""),BE$2,BE$1)),0),0),0)</f>
        <v>4420</v>
      </c>
      <c r="BF5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59" s="323">
        <f>SUMIF(Consumo!$C$3:$C$869,tabItens[[#This Row],[CÓDIGO]],Consumo!$E$3:$E$869)</f>
        <v>2</v>
      </c>
      <c r="BH59" s="324">
        <f>IF(AND(tabItens[[#This Row],[Pend]] &gt; 0,tabItens[[#This Row],[Consumo]] &lt;&gt; 0), tabItens[[#This Row],[Pend]] / tabItens[[#This Row],[Consumo]], 0 )</f>
        <v>3.8677238445175013E-4</v>
      </c>
      <c r="BI59" s="323"/>
      <c r="BJ59" s="323"/>
      <c r="BK59" s="325" t="s">
        <v>2064</v>
      </c>
    </row>
    <row r="60" spans="1:63" hidden="1" x14ac:dyDescent="0.3">
      <c r="A60" s="286">
        <v>23986</v>
      </c>
      <c r="B60" s="287" t="s">
        <v>1187</v>
      </c>
      <c r="C60" s="288" t="s">
        <v>281</v>
      </c>
      <c r="D60" s="289">
        <v>1.55</v>
      </c>
      <c r="E60" s="290"/>
      <c r="F60" s="290"/>
      <c r="G60" s="290" t="s">
        <v>883</v>
      </c>
      <c r="H60" s="291">
        <v>1066</v>
      </c>
      <c r="I60" s="292">
        <v>103003</v>
      </c>
      <c r="J60" s="293">
        <v>1.55</v>
      </c>
      <c r="K60" s="294">
        <v>5226</v>
      </c>
      <c r="L60" s="295">
        <f>IF(tabItens[[#This Row],[Média]] &gt; 0, tabItens[[#This Row],[QTDE ATUAL]] / tabItens[[#This Row],[Média]],999.9)</f>
        <v>1.5786745649759348</v>
      </c>
      <c r="M60" s="296">
        <v>0</v>
      </c>
      <c r="N60" s="297">
        <f>tabItens[[#This Row],[VALOR UNIT.]] * tabItens[[#This Row],[LC]]</f>
        <v>0</v>
      </c>
      <c r="O60" s="298" t="s">
        <v>2066</v>
      </c>
      <c r="P60" s="299"/>
      <c r="Q60" s="300"/>
      <c r="R60" s="297"/>
      <c r="S60" s="301"/>
      <c r="T60" s="302">
        <f>ROUNDDOWN(IFERROR(tabItens[[#This Row],[ATA DT.VALID.]] - $D$1,0) / 30,0)</f>
        <v>-1504</v>
      </c>
      <c r="U60" s="287" t="s">
        <v>1135</v>
      </c>
      <c r="V60" s="303">
        <v>1</v>
      </c>
      <c r="W60" s="304" t="s">
        <v>2052</v>
      </c>
      <c r="X60" s="305">
        <v>57</v>
      </c>
      <c r="Y60" s="306">
        <v>2</v>
      </c>
      <c r="Z60" s="307">
        <v>6987</v>
      </c>
      <c r="AA60" s="308">
        <v>2023</v>
      </c>
      <c r="AB60" s="309">
        <v>1200</v>
      </c>
      <c r="AC60" s="309"/>
      <c r="AD60" s="308"/>
      <c r="AE60" s="309"/>
      <c r="AF60" s="302"/>
      <c r="AG60" s="310" t="s">
        <v>2050</v>
      </c>
      <c r="AH60" s="311"/>
      <c r="AI60" s="302">
        <v>2680</v>
      </c>
      <c r="AJ60" s="311">
        <v>44966</v>
      </c>
      <c r="AK60" s="311" t="s">
        <v>883</v>
      </c>
      <c r="AL60" s="311">
        <v>45049</v>
      </c>
      <c r="AM60" s="301"/>
      <c r="AN60" s="290"/>
      <c r="AO60" s="312" t="str">
        <f>_xlfn.IFNA(IF(VLOOKUP(tabItens[[#This Row],[CÓDIGO]],tabExcluirDoEstoque[#Data],1,FALSE),"sim",""),"")</f>
        <v/>
      </c>
      <c r="AP60" s="313" t="str">
        <f ca="1">IF(OR(ISBLANK(tabItens[[#This Row],[ATA DT.VALID.]]),tabItens[[#This Row],[ATA DT.VALID.]]="",tabItens[[#This Row],[ATA DT.VALID.]]=" "),"",IF(TYPE(tabItens[[#This Row],[ATA DT.VALID.]])=1,ROUNDUP((tabItens[[#This Row],[ATA DT.VALID.]]-TODAY())/7,0),""))</f>
        <v/>
      </c>
      <c r="AQ60" s="314">
        <v>0</v>
      </c>
      <c r="AR60" s="315" t="str">
        <f>IF(ISBLANK(tabItens[[#This Row],[CÓDIGO]]),"",IFERROR(VLOOKUP(tabItens[[#This Row],[CÓDIGO]],Consumo!$C$2:$AC$869,26,FALSE),0))</f>
        <v>07.2023</v>
      </c>
      <c r="AS60" s="316">
        <f>SUMIF(Consumo!$C$3:$C$869,tabItens[[#This Row],[CÓDIGO]],Consumo!$N$3:$N$869) + SUMIF(Consumo!$C$3:$C$869,tabItens[[#This Row],[CÓDIGO]],Consumo!$O$3:$O$869) + SUMIF(Consumo!$C$3:$C$869,tabItens[[#This Row],[CÓDIGO]],Consumo!$P$3:$P$869) + SUMIF(Consumo!$C$3:$C$869,tabItens[[#This Row],[CÓDIGO]],Consumo!$Q$3:$Q$869)</f>
        <v>3407</v>
      </c>
      <c r="AT60" s="316">
        <f>SUMIF(Consumo!$C$3:$C$869,tabItens[[#This Row],[CÓDIGO]],Consumo!$Z$3:$Z$869)</f>
        <v>8103</v>
      </c>
      <c r="AU60" s="317">
        <f>SUMIF(Consumo!$C$3:$C$869,tabItens[[#This Row],[CÓDIGO]],Consumo!$AA$3:$AA$869)</f>
        <v>1115</v>
      </c>
      <c r="AV60" s="318">
        <f>SUMIF(Consumo!$C$3:$C$869,tabItens[[#This Row],[CÓDIGO]],Consumo!$Y$3:$Y$869)</f>
        <v>675.25</v>
      </c>
      <c r="AW60" s="291">
        <f>tabItens[[#This Row],[QTDE ATUAL]] + tabItens[[#This Row],[RC QTDE]] + tabItens[[#This Row],[AF SALDO]] + tabItens[[#This Row],[Recentes]]</f>
        <v>2266</v>
      </c>
      <c r="AX60" s="319">
        <v>834</v>
      </c>
      <c r="AY60" s="319">
        <v>4</v>
      </c>
      <c r="AZ60" s="319">
        <f>IF(ISBLANK(tabItens[[#This Row],[CÓDIGO]]),"",tabItens[[#This Row],[PontoMês]] * (AZ$2+tabItens[[#This Row],[PontoQtM]]))</f>
        <v>3336</v>
      </c>
      <c r="BA60" s="318">
        <f>tabItens[[#This Row],[PontoPed]] - tabItens[[#This Row],[Saldo]] + (1/10)</f>
        <v>1070.0999999999999</v>
      </c>
      <c r="BB60" s="318">
        <f xml:space="preserve"> tabItens[[#This Row],[PontoMês]] * BB$2 - tabItens[[#This Row],[QTDE ATUAL]] - (1/10)</f>
        <v>-232.1</v>
      </c>
      <c r="BC60" s="320">
        <f>IF( tabItens[[#This Row],[PontoPed]]&gt;0, IF(tabItens[[#This Row],[PontoPed]]&lt;1, 1, IF( tabItens[[#This Row],[Saldo]]&gt;tabItens[[#This Row],[PontoPed]], 0, (tabItens[[#This Row],[PontoPed]]-tabItens[[#This Row],[Saldo]])/tabItens[[#This Row],[PontoPed]] ) ), 0 )</f>
        <v>0.32074340527577938</v>
      </c>
      <c r="BD60" s="321">
        <f>ROUNDDOWN(IF( OR( AND(tabItens[[#This Row],[PontoPed]]&lt;tabItens[[#This Row],[Saldo]],tabItens[[#This Row],[Saldo]]&gt;0), tabItens[[#This Row],[PontoPed]]=0), 99, IF(AND(tabItens[[#This Row],[Saldo]]=0,tabItens[[#This Row],[PontoPed]]&gt;0), 0, (1-tabItens[[#This Row],[PctAb]])*10 ) ),0)</f>
        <v>6</v>
      </c>
      <c r="BE60" s="322">
        <f>MAX(ROUNDDOWN( IF(tabItens[[#This Row],[Abaixo]] &gt; 0,   tabItens[[#This Row],[Abaixo]] + (tabItens[[#This Row],[PontoMês]] * IF( OR( ISBLANK(tabItens[[#This Row],[ATA Nº/ANO]]), tabItens[[#This Row],[ATA Nº/ANO]] = ""),BE$2,BE$1)),0),0),0)</f>
        <v>3572</v>
      </c>
      <c r="BF6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23">
        <f>SUMIF(Consumo!$C$3:$C$869,tabItens[[#This Row],[CÓDIGO]],Consumo!$E$3:$E$869)</f>
        <v>65</v>
      </c>
      <c r="BH60" s="324">
        <f>IF(AND(tabItens[[#This Row],[Pend]] &gt; 0,tabItens[[#This Row],[Consumo]] &lt;&gt; 0), tabItens[[#This Row],[Pend]] / tabItens[[#This Row],[Consumo]], 0 )</f>
        <v>8.0217203504874737E-3</v>
      </c>
      <c r="BI60" s="323"/>
      <c r="BJ60" s="323"/>
      <c r="BK60" s="325" t="s">
        <v>2064</v>
      </c>
    </row>
    <row r="61" spans="1:63" hidden="1" x14ac:dyDescent="0.3">
      <c r="A61" s="286">
        <v>24477</v>
      </c>
      <c r="B61" s="287" t="s">
        <v>1199</v>
      </c>
      <c r="C61" s="288" t="s">
        <v>281</v>
      </c>
      <c r="D61" s="289">
        <v>1.55</v>
      </c>
      <c r="E61" s="290"/>
      <c r="F61" s="290"/>
      <c r="G61" s="290" t="s">
        <v>883</v>
      </c>
      <c r="H61" s="291">
        <v>869</v>
      </c>
      <c r="I61" s="292">
        <v>103003</v>
      </c>
      <c r="J61" s="293">
        <v>1.55</v>
      </c>
      <c r="K61" s="294">
        <v>5236</v>
      </c>
      <c r="L61" s="295">
        <f>IF(tabItens[[#This Row],[Média]] &gt; 0, tabItens[[#This Row],[QTDE ATUAL]] / tabItens[[#This Row],[Média]],999.9)</f>
        <v>1.2647665251667677</v>
      </c>
      <c r="M61" s="296">
        <v>0</v>
      </c>
      <c r="N61" s="297">
        <f>tabItens[[#This Row],[VALOR UNIT.]] * tabItens[[#This Row],[LC]]</f>
        <v>0</v>
      </c>
      <c r="O61" s="298" t="s">
        <v>2066</v>
      </c>
      <c r="P61" s="299"/>
      <c r="Q61" s="300"/>
      <c r="R61" s="297"/>
      <c r="S61" s="301"/>
      <c r="T61" s="302">
        <f>ROUNDDOWN(IFERROR(tabItens[[#This Row],[ATA DT.VALID.]] - $D$1,0) / 30,0)</f>
        <v>-1504</v>
      </c>
      <c r="U61" s="287" t="s">
        <v>1135</v>
      </c>
      <c r="V61" s="303">
        <v>1</v>
      </c>
      <c r="W61" s="304" t="s">
        <v>2052</v>
      </c>
      <c r="X61" s="305">
        <v>57</v>
      </c>
      <c r="Y61" s="306">
        <v>2</v>
      </c>
      <c r="Z61" s="307">
        <v>6987</v>
      </c>
      <c r="AA61" s="308">
        <v>2023</v>
      </c>
      <c r="AB61" s="309">
        <v>1400</v>
      </c>
      <c r="AC61" s="309"/>
      <c r="AD61" s="308"/>
      <c r="AE61" s="309"/>
      <c r="AF61" s="302"/>
      <c r="AG61" s="310" t="s">
        <v>2050</v>
      </c>
      <c r="AH61" s="311"/>
      <c r="AI61" s="302">
        <v>2736</v>
      </c>
      <c r="AJ61" s="311">
        <v>44966</v>
      </c>
      <c r="AK61" s="311" t="s">
        <v>883</v>
      </c>
      <c r="AL61" s="311">
        <v>45049</v>
      </c>
      <c r="AM61" s="301"/>
      <c r="AN61" s="290"/>
      <c r="AO61" s="312" t="str">
        <f>_xlfn.IFNA(IF(VLOOKUP(tabItens[[#This Row],[CÓDIGO]],tabExcluirDoEstoque[#Data],1,FALSE),"sim",""),"")</f>
        <v/>
      </c>
      <c r="AP61" s="313" t="str">
        <f ca="1">IF(OR(ISBLANK(tabItens[[#This Row],[ATA DT.VALID.]]),tabItens[[#This Row],[ATA DT.VALID.]]="",tabItens[[#This Row],[ATA DT.VALID.]]=" "),"",IF(TYPE(tabItens[[#This Row],[ATA DT.VALID.]])=1,ROUNDUP((tabItens[[#This Row],[ATA DT.VALID.]]-TODAY())/7,0),""))</f>
        <v/>
      </c>
      <c r="AQ61" s="314">
        <v>0</v>
      </c>
      <c r="AR61" s="315" t="str">
        <f>IF(ISBLANK(tabItens[[#This Row],[CÓDIGO]]),"",IFERROR(VLOOKUP(tabItens[[#This Row],[CÓDIGO]],Consumo!$C$2:$AC$869,26,FALSE),0))</f>
        <v>07.2023</v>
      </c>
      <c r="AS61" s="316">
        <f>SUMIF(Consumo!$C$3:$C$869,tabItens[[#This Row],[CÓDIGO]],Consumo!$N$3:$N$869) + SUMIF(Consumo!$C$3:$C$869,tabItens[[#This Row],[CÓDIGO]],Consumo!$O$3:$O$869) + SUMIF(Consumo!$C$3:$C$869,tabItens[[#This Row],[CÓDIGO]],Consumo!$P$3:$P$869) + SUMIF(Consumo!$C$3:$C$869,tabItens[[#This Row],[CÓDIGO]],Consumo!$Q$3:$Q$869)</f>
        <v>3400</v>
      </c>
      <c r="AT61" s="316">
        <f>SUMIF(Consumo!$C$3:$C$869,tabItens[[#This Row],[CÓDIGO]],Consumo!$Z$3:$Z$869)</f>
        <v>8245</v>
      </c>
      <c r="AU61" s="317">
        <f>SUMIF(Consumo!$C$3:$C$869,tabItens[[#This Row],[CÓDIGO]],Consumo!$AA$3:$AA$869)</f>
        <v>1100</v>
      </c>
      <c r="AV61" s="318">
        <f>SUMIF(Consumo!$C$3:$C$869,tabItens[[#This Row],[CÓDIGO]],Consumo!$Y$3:$Y$869)</f>
        <v>687.08333333333337</v>
      </c>
      <c r="AW61" s="291">
        <f>tabItens[[#This Row],[QTDE ATUAL]] + tabItens[[#This Row],[RC QTDE]] + tabItens[[#This Row],[AF SALDO]] + tabItens[[#This Row],[Recentes]]</f>
        <v>2269</v>
      </c>
      <c r="AX61" s="319">
        <v>834</v>
      </c>
      <c r="AY61" s="319">
        <v>4</v>
      </c>
      <c r="AZ61" s="319">
        <f>IF(ISBLANK(tabItens[[#This Row],[CÓDIGO]]),"",tabItens[[#This Row],[PontoMês]] * (AZ$2+tabItens[[#This Row],[PontoQtM]]))</f>
        <v>3336</v>
      </c>
      <c r="BA61" s="318">
        <f>tabItens[[#This Row],[PontoPed]] - tabItens[[#This Row],[Saldo]] + (1/10)</f>
        <v>1067.0999999999999</v>
      </c>
      <c r="BB61" s="318">
        <f xml:space="preserve"> tabItens[[#This Row],[PontoMês]] * BB$2 - tabItens[[#This Row],[QTDE ATUAL]] - (1/10)</f>
        <v>-35.1</v>
      </c>
      <c r="BC61" s="320">
        <f>IF( tabItens[[#This Row],[PontoPed]]&gt;0, IF(tabItens[[#This Row],[PontoPed]]&lt;1, 1, IF( tabItens[[#This Row],[Saldo]]&gt;tabItens[[#This Row],[PontoPed]], 0, (tabItens[[#This Row],[PontoPed]]-tabItens[[#This Row],[Saldo]])/tabItens[[#This Row],[PontoPed]] ) ), 0 )</f>
        <v>0.31984412470023982</v>
      </c>
      <c r="BD61" s="321">
        <f>ROUNDDOWN(IF( OR( AND(tabItens[[#This Row],[PontoPed]]&lt;tabItens[[#This Row],[Saldo]],tabItens[[#This Row],[Saldo]]&gt;0), tabItens[[#This Row],[PontoPed]]=0), 99, IF(AND(tabItens[[#This Row],[Saldo]]=0,tabItens[[#This Row],[PontoPed]]&gt;0), 0, (1-tabItens[[#This Row],[PctAb]])*10 ) ),0)</f>
        <v>6</v>
      </c>
      <c r="BE61" s="322">
        <f>MAX(ROUNDDOWN( IF(tabItens[[#This Row],[Abaixo]] &gt; 0,   tabItens[[#This Row],[Abaixo]] + (tabItens[[#This Row],[PontoMês]] * IF( OR( ISBLANK(tabItens[[#This Row],[ATA Nº/ANO]]), tabItens[[#This Row],[ATA Nº/ANO]] = ""),BE$2,BE$1)),0),0),0)</f>
        <v>3569</v>
      </c>
      <c r="BF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23">
        <f>SUMIF(Consumo!$C$3:$C$869,tabItens[[#This Row],[CÓDIGO]],Consumo!$E$3:$E$869)</f>
        <v>35</v>
      </c>
      <c r="BH61" s="324">
        <f>IF(AND(tabItens[[#This Row],[Pend]] &gt; 0,tabItens[[#This Row],[Consumo]] &lt;&gt; 0), tabItens[[#This Row],[Pend]] / tabItens[[#This Row],[Consumo]], 0 )</f>
        <v>4.2449969678593083E-3</v>
      </c>
      <c r="BI61" s="323"/>
      <c r="BJ61" s="323"/>
      <c r="BK61" s="325" t="s">
        <v>2064</v>
      </c>
    </row>
    <row r="62" spans="1:63" hidden="1" x14ac:dyDescent="0.3">
      <c r="A62" s="286">
        <v>93329</v>
      </c>
      <c r="B62" s="287" t="s">
        <v>1530</v>
      </c>
      <c r="C62" s="288" t="s">
        <v>569</v>
      </c>
      <c r="D62" s="289">
        <v>0.45</v>
      </c>
      <c r="E62" s="290"/>
      <c r="F62" s="290"/>
      <c r="G62" s="290" t="s">
        <v>883</v>
      </c>
      <c r="H62" s="291">
        <v>328</v>
      </c>
      <c r="I62" s="292">
        <v>103003</v>
      </c>
      <c r="J62" s="293">
        <v>0.45</v>
      </c>
      <c r="K62" s="294">
        <v>4700</v>
      </c>
      <c r="L62" s="295">
        <f>IF(tabItens[[#This Row],[Média]] &gt; 0, tabItens[[#This Row],[QTDE ATUAL]] / tabItens[[#This Row],[Média]],999.9)</f>
        <v>0.58345686332641566</v>
      </c>
      <c r="M62" s="296">
        <v>0</v>
      </c>
      <c r="N62" s="297">
        <f>tabItens[[#This Row],[VALOR UNIT.]] * tabItens[[#This Row],[LC]]</f>
        <v>0</v>
      </c>
      <c r="O62" s="298" t="s">
        <v>2066</v>
      </c>
      <c r="P62" s="299"/>
      <c r="Q62" s="300"/>
      <c r="R62" s="297"/>
      <c r="S62" s="301"/>
      <c r="T62" s="302">
        <f>ROUNDDOWN(IFERROR(tabItens[[#This Row],[ATA DT.VALID.]] - $D$1,0) / 30,0)</f>
        <v>-1504</v>
      </c>
      <c r="U62" s="287" t="s">
        <v>1135</v>
      </c>
      <c r="V62" s="303">
        <v>1</v>
      </c>
      <c r="W62" s="304" t="s">
        <v>2052</v>
      </c>
      <c r="X62" s="305">
        <v>57</v>
      </c>
      <c r="Y62" s="306">
        <v>2</v>
      </c>
      <c r="Z62" s="307">
        <v>6216</v>
      </c>
      <c r="AA62" s="308">
        <v>2023</v>
      </c>
      <c r="AB62" s="309">
        <v>2000</v>
      </c>
      <c r="AC62" s="309"/>
      <c r="AD62" s="308"/>
      <c r="AE62" s="309"/>
      <c r="AF62" s="302"/>
      <c r="AG62" s="310" t="s">
        <v>2050</v>
      </c>
      <c r="AH62" s="311"/>
      <c r="AI62" s="302">
        <v>2236</v>
      </c>
      <c r="AJ62" s="311">
        <v>44967</v>
      </c>
      <c r="AK62" s="311">
        <v>38919</v>
      </c>
      <c r="AL62" s="311">
        <v>45049</v>
      </c>
      <c r="AM62" s="301"/>
      <c r="AN62" s="290"/>
      <c r="AO62" s="312" t="str">
        <f>_xlfn.IFNA(IF(VLOOKUP(tabItens[[#This Row],[CÓDIGO]],tabExcluirDoEstoque[#Data],1,FALSE),"sim",""),"")</f>
        <v/>
      </c>
      <c r="AP62" s="313" t="str">
        <f ca="1">IF(OR(ISBLANK(tabItens[[#This Row],[ATA DT.VALID.]]),tabItens[[#This Row],[ATA DT.VALID.]]="",tabItens[[#This Row],[ATA DT.VALID.]]=" "),"",IF(TYPE(tabItens[[#This Row],[ATA DT.VALID.]])=1,ROUNDUP((tabItens[[#This Row],[ATA DT.VALID.]]-TODAY())/7,0),""))</f>
        <v/>
      </c>
      <c r="AQ62" s="314">
        <v>0</v>
      </c>
      <c r="AR62" s="315" t="str">
        <f>IF(ISBLANK(tabItens[[#This Row],[CÓDIGO]]),"",IFERROR(VLOOKUP(tabItens[[#This Row],[CÓDIGO]],Consumo!$C$2:$AC$869,26,FALSE),0))</f>
        <v>07.2023</v>
      </c>
      <c r="AS62" s="316">
        <f>SUMIF(Consumo!$C$3:$C$869,tabItens[[#This Row],[CÓDIGO]],Consumo!$N$3:$N$869) + SUMIF(Consumo!$C$3:$C$869,tabItens[[#This Row],[CÓDIGO]],Consumo!$O$3:$O$869) + SUMIF(Consumo!$C$3:$C$869,tabItens[[#This Row],[CÓDIGO]],Consumo!$P$3:$P$869) + SUMIF(Consumo!$C$3:$C$869,tabItens[[#This Row],[CÓDIGO]],Consumo!$Q$3:$Q$869)</f>
        <v>3331</v>
      </c>
      <c r="AT62" s="316">
        <f>SUMIF(Consumo!$C$3:$C$869,tabItens[[#This Row],[CÓDIGO]],Consumo!$Z$3:$Z$869)</f>
        <v>6746</v>
      </c>
      <c r="AU62" s="317">
        <f>SUMIF(Consumo!$C$3:$C$869,tabItens[[#This Row],[CÓDIGO]],Consumo!$AA$3:$AA$869)</f>
        <v>1200</v>
      </c>
      <c r="AV62" s="318">
        <f>SUMIF(Consumo!$C$3:$C$869,tabItens[[#This Row],[CÓDIGO]],Consumo!$Y$3:$Y$869)</f>
        <v>562.16666666666663</v>
      </c>
      <c r="AW62" s="291">
        <f>tabItens[[#This Row],[QTDE ATUAL]] + tabItens[[#This Row],[RC QTDE]] + tabItens[[#This Row],[AF SALDO]] + tabItens[[#This Row],[Recentes]]</f>
        <v>2328</v>
      </c>
      <c r="AX62" s="319">
        <v>834</v>
      </c>
      <c r="AY62" s="319">
        <v>4</v>
      </c>
      <c r="AZ62" s="319">
        <f>IF(ISBLANK(tabItens[[#This Row],[CÓDIGO]]),"",tabItens[[#This Row],[PontoMês]] * (AZ$2+tabItens[[#This Row],[PontoQtM]]))</f>
        <v>3336</v>
      </c>
      <c r="BA62" s="318">
        <f>tabItens[[#This Row],[PontoPed]] - tabItens[[#This Row],[Saldo]] + (1/10)</f>
        <v>1008.1</v>
      </c>
      <c r="BB62" s="318">
        <f xml:space="preserve"> tabItens[[#This Row],[PontoMês]] * BB$2 - tabItens[[#This Row],[QTDE ATUAL]] - (1/10)</f>
        <v>505.9</v>
      </c>
      <c r="BC62" s="320">
        <f>IF( tabItens[[#This Row],[PontoPed]]&gt;0, IF(tabItens[[#This Row],[PontoPed]]&lt;1, 1, IF( tabItens[[#This Row],[Saldo]]&gt;tabItens[[#This Row],[PontoPed]], 0, (tabItens[[#This Row],[PontoPed]]-tabItens[[#This Row],[Saldo]])/tabItens[[#This Row],[PontoPed]] ) ), 0 )</f>
        <v>0.30215827338129497</v>
      </c>
      <c r="BD62" s="321">
        <f>ROUNDDOWN(IF( OR( AND(tabItens[[#This Row],[PontoPed]]&lt;tabItens[[#This Row],[Saldo]],tabItens[[#This Row],[Saldo]]&gt;0), tabItens[[#This Row],[PontoPed]]=0), 99, IF(AND(tabItens[[#This Row],[Saldo]]=0,tabItens[[#This Row],[PontoPed]]&gt;0), 0, (1-tabItens[[#This Row],[PctAb]])*10 ) ),0)</f>
        <v>6</v>
      </c>
      <c r="BE62" s="322">
        <f>MAX(ROUNDDOWN( IF(tabItens[[#This Row],[Abaixo]] &gt; 0,   tabItens[[#This Row],[Abaixo]] + (tabItens[[#This Row],[PontoMês]] * IF( OR( ISBLANK(tabItens[[#This Row],[ATA Nº/ANO]]), tabItens[[#This Row],[ATA Nº/ANO]] = ""),BE$2,BE$1)),0),0),0)</f>
        <v>3510</v>
      </c>
      <c r="BF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23">
        <f>SUMIF(Consumo!$C$3:$C$869,tabItens[[#This Row],[CÓDIGO]],Consumo!$E$3:$E$869)</f>
        <v>40</v>
      </c>
      <c r="BH62" s="324">
        <f>IF(AND(tabItens[[#This Row],[Pend]] &gt; 0,tabItens[[#This Row],[Consumo]] &lt;&gt; 0), tabItens[[#This Row],[Pend]] / tabItens[[#This Row],[Consumo]], 0 )</f>
        <v>5.929439667951379E-3</v>
      </c>
      <c r="BI62" s="323"/>
      <c r="BJ62" s="323"/>
      <c r="BK62" s="325" t="s">
        <v>2064</v>
      </c>
    </row>
    <row r="63" spans="1:63" x14ac:dyDescent="0.3">
      <c r="A63" s="396">
        <v>93456</v>
      </c>
      <c r="B63" s="397" t="s">
        <v>1536</v>
      </c>
      <c r="C63" s="398" t="s">
        <v>569</v>
      </c>
      <c r="D63" s="399">
        <v>0.24</v>
      </c>
      <c r="E63" s="290"/>
      <c r="F63" s="400"/>
      <c r="G63" s="400" t="s">
        <v>883</v>
      </c>
      <c r="H63" s="401">
        <v>0</v>
      </c>
      <c r="I63" s="292">
        <v>103003</v>
      </c>
      <c r="J63" s="293">
        <v>0.24</v>
      </c>
      <c r="K63" s="402">
        <v>4895</v>
      </c>
      <c r="L63" s="403">
        <f>IF(tabItens[[#This Row],[Média]] &gt; 0, tabItens[[#This Row],[QTDE ATUAL]] / tabItens[[#This Row],[Média]],999.9)</f>
        <v>0</v>
      </c>
      <c r="M63" s="404">
        <v>0</v>
      </c>
      <c r="N63" s="405">
        <f>tabItens[[#This Row],[VALOR UNIT.]] * tabItens[[#This Row],[LC]]</f>
        <v>0</v>
      </c>
      <c r="O63" s="406" t="s">
        <v>2066</v>
      </c>
      <c r="P63" s="407"/>
      <c r="Q63" s="408"/>
      <c r="R63" s="297"/>
      <c r="S63" s="409"/>
      <c r="T63" s="410">
        <f>ROUNDDOWN(IFERROR(tabItens[[#This Row],[ATA DT.VALID.]] - $D$1,0) / 30,0)</f>
        <v>-1504</v>
      </c>
      <c r="U63" s="287" t="s">
        <v>1135</v>
      </c>
      <c r="V63" s="303">
        <v>1</v>
      </c>
      <c r="W63" s="411" t="s">
        <v>2052</v>
      </c>
      <c r="X63" s="412">
        <v>57</v>
      </c>
      <c r="Y63" s="413">
        <v>2</v>
      </c>
      <c r="Z63" s="414">
        <v>6985</v>
      </c>
      <c r="AA63" s="415">
        <v>2023</v>
      </c>
      <c r="AB63" s="416">
        <v>2300</v>
      </c>
      <c r="AC63" s="416"/>
      <c r="AD63" s="415"/>
      <c r="AE63" s="416"/>
      <c r="AF63" s="302"/>
      <c r="AG63" s="417" t="s">
        <v>2050</v>
      </c>
      <c r="AH63" s="418"/>
      <c r="AI63" s="302">
        <v>2426</v>
      </c>
      <c r="AJ63" s="418">
        <v>44147</v>
      </c>
      <c r="AK63" s="311">
        <v>38930</v>
      </c>
      <c r="AL63" s="311">
        <v>44126</v>
      </c>
      <c r="AM63" s="301"/>
      <c r="AN63" s="290"/>
      <c r="AO63" s="312" t="str">
        <f>_xlfn.IFNA(IF(VLOOKUP(tabItens[[#This Row],[CÓDIGO]],tabExcluirDoEstoque[#Data],1,FALSE),"sim",""),"")</f>
        <v/>
      </c>
      <c r="AP63" s="419" t="str">
        <f ca="1">IF(OR(ISBLANK(tabItens[[#This Row],[ATA DT.VALID.]]),tabItens[[#This Row],[ATA DT.VALID.]]="",tabItens[[#This Row],[ATA DT.VALID.]]=" "),"",IF(TYPE(tabItens[[#This Row],[ATA DT.VALID.]])=1,ROUNDUP((tabItens[[#This Row],[ATA DT.VALID.]]-TODAY())/7,0),""))</f>
        <v/>
      </c>
      <c r="AQ63" s="314">
        <v>0</v>
      </c>
      <c r="AR63" s="315" t="str">
        <f>IF(ISBLANK(tabItens[[#This Row],[CÓDIGO]]),"",IFERROR(VLOOKUP(tabItens[[#This Row],[CÓDIGO]],Consumo!$C$2:$AC$869,26,FALSE),0))</f>
        <v>07.2023</v>
      </c>
      <c r="AS63" s="316">
        <f>SUMIF(Consumo!$C$3:$C$869,tabItens[[#This Row],[CÓDIGO]],Consumo!$N$3:$N$869) + SUMIF(Consumo!$C$3:$C$869,tabItens[[#This Row],[CÓDIGO]],Consumo!$O$3:$O$869) + SUMIF(Consumo!$C$3:$C$869,tabItens[[#This Row],[CÓDIGO]],Consumo!$P$3:$P$869) + SUMIF(Consumo!$C$3:$C$869,tabItens[[#This Row],[CÓDIGO]],Consumo!$Q$3:$Q$869)</f>
        <v>2569</v>
      </c>
      <c r="AT63" s="316">
        <f>SUMIF(Consumo!$C$3:$C$869,tabItens[[#This Row],[CÓDIGO]],Consumo!$Z$3:$Z$869)</f>
        <v>7650</v>
      </c>
      <c r="AU63" s="317">
        <f>SUMIF(Consumo!$C$3:$C$869,tabItens[[#This Row],[CÓDIGO]],Consumo!$AA$3:$AA$869)</f>
        <v>1229</v>
      </c>
      <c r="AV63" s="318">
        <f>SUMIF(Consumo!$C$3:$C$869,tabItens[[#This Row],[CÓDIGO]],Consumo!$Y$3:$Y$869)</f>
        <v>637.08333333333337</v>
      </c>
      <c r="AW63" s="401">
        <f>tabItens[[#This Row],[QTDE ATUAL]] + tabItens[[#This Row],[RC QTDE]] + tabItens[[#This Row],[AF SALDO]] + tabItens[[#This Row],[Recentes]]</f>
        <v>2300</v>
      </c>
      <c r="AX63" s="420">
        <v>850</v>
      </c>
      <c r="AY63" s="420">
        <v>4</v>
      </c>
      <c r="AZ63" s="420">
        <f>IF(ISBLANK(tabItens[[#This Row],[CÓDIGO]]),"",tabItens[[#This Row],[PontoMês]] * (AZ$2+tabItens[[#This Row],[PontoQtM]]))</f>
        <v>3400</v>
      </c>
      <c r="BA63" s="421">
        <f>tabItens[[#This Row],[PontoPed]] - tabItens[[#This Row],[Saldo]] + (1/10)</f>
        <v>1100.0999999999999</v>
      </c>
      <c r="BB63" s="421">
        <f xml:space="preserve"> tabItens[[#This Row],[PontoMês]] * BB$2 - tabItens[[#This Row],[QTDE ATUAL]] - (1/10)</f>
        <v>849.9</v>
      </c>
      <c r="BC63" s="320">
        <f>IF( tabItens[[#This Row],[PontoPed]]&gt;0, IF(tabItens[[#This Row],[PontoPed]]&lt;1, 1, IF( tabItens[[#This Row],[Saldo]]&gt;tabItens[[#This Row],[PontoPed]], 0, (tabItens[[#This Row],[PontoPed]]-tabItens[[#This Row],[Saldo]])/tabItens[[#This Row],[PontoPed]] ) ), 0 )</f>
        <v>0.3235294117647059</v>
      </c>
      <c r="BD63" s="422">
        <f>ROUNDDOWN(IF( OR( AND(tabItens[[#This Row],[PontoPed]]&lt;tabItens[[#This Row],[Saldo]],tabItens[[#This Row],[Saldo]]&gt;0), tabItens[[#This Row],[PontoPed]]=0), 99, IF(AND(tabItens[[#This Row],[Saldo]]=0,tabItens[[#This Row],[PontoPed]]&gt;0), 0, (1-tabItens[[#This Row],[PctAb]])*10 ) ),0)</f>
        <v>6</v>
      </c>
      <c r="BE63" s="423">
        <f>MAX(ROUNDDOWN( IF(tabItens[[#This Row],[Abaixo]] &gt; 0,   tabItens[[#This Row],[Abaixo]] + (tabItens[[#This Row],[PontoMês]] * IF( OR( ISBLANK(tabItens[[#This Row],[ATA Nº/ANO]]), tabItens[[#This Row],[ATA Nº/ANO]] = ""),BE$2,BE$1)),0),0),0)</f>
        <v>3650</v>
      </c>
      <c r="BF6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23">
        <f>SUMIF(Consumo!$C$3:$C$869,tabItens[[#This Row],[CÓDIGO]],Consumo!$E$3:$E$869)</f>
        <v>371</v>
      </c>
      <c r="BH63" s="324">
        <f>IF(AND(tabItens[[#This Row],[Pend]] &gt; 0,tabItens[[#This Row],[Consumo]] &lt;&gt; 0), tabItens[[#This Row],[Pend]] / tabItens[[#This Row],[Consumo]], 0 )</f>
        <v>4.8496732026143789E-2</v>
      </c>
      <c r="BI63" s="323"/>
      <c r="BJ63" s="424"/>
      <c r="BK63" s="425" t="s">
        <v>2064</v>
      </c>
    </row>
    <row r="64" spans="1:63" hidden="1" x14ac:dyDescent="0.3">
      <c r="A64" s="286">
        <v>93461</v>
      </c>
      <c r="B64" s="287" t="s">
        <v>1537</v>
      </c>
      <c r="C64" s="288" t="s">
        <v>569</v>
      </c>
      <c r="D64" s="289">
        <v>0.24</v>
      </c>
      <c r="E64" s="290"/>
      <c r="F64" s="290"/>
      <c r="G64" s="290" t="s">
        <v>883</v>
      </c>
      <c r="H64" s="291">
        <v>1377</v>
      </c>
      <c r="I64" s="292">
        <v>103003</v>
      </c>
      <c r="J64" s="293">
        <v>0.24</v>
      </c>
      <c r="K64" s="294">
        <v>5044</v>
      </c>
      <c r="L64" s="295">
        <f>IF(tabItens[[#This Row],[Média]] &gt; 0, tabItens[[#This Row],[QTDE ATUAL]] / tabItens[[#This Row],[Média]],999.9)</f>
        <v>2.1106143824243198</v>
      </c>
      <c r="M64" s="296">
        <v>0</v>
      </c>
      <c r="N64" s="297">
        <f>tabItens[[#This Row],[VALOR UNIT.]] * tabItens[[#This Row],[LC]]</f>
        <v>0</v>
      </c>
      <c r="O64" s="298" t="s">
        <v>2066</v>
      </c>
      <c r="P64" s="299"/>
      <c r="Q64" s="300"/>
      <c r="R64" s="297"/>
      <c r="S64" s="301"/>
      <c r="T64" s="302">
        <f>ROUNDDOWN(IFERROR(tabItens[[#This Row],[ATA DT.VALID.]] - $D$1,0) / 30,0)</f>
        <v>-1504</v>
      </c>
      <c r="U64" s="287" t="s">
        <v>1135</v>
      </c>
      <c r="V64" s="303">
        <v>1</v>
      </c>
      <c r="W64" s="304" t="s">
        <v>2052</v>
      </c>
      <c r="X64" s="305">
        <v>57</v>
      </c>
      <c r="Y64" s="306">
        <v>2</v>
      </c>
      <c r="Z64" s="307">
        <v>6217</v>
      </c>
      <c r="AA64" s="308">
        <v>2023</v>
      </c>
      <c r="AB64" s="309">
        <v>1000</v>
      </c>
      <c r="AC64" s="309"/>
      <c r="AD64" s="308"/>
      <c r="AE64" s="309"/>
      <c r="AF64" s="302"/>
      <c r="AG64" s="310" t="s">
        <v>2050</v>
      </c>
      <c r="AH64" s="311"/>
      <c r="AI64" s="302">
        <v>2664</v>
      </c>
      <c r="AJ64" s="311">
        <v>44147</v>
      </c>
      <c r="AK64" s="311">
        <v>38930</v>
      </c>
      <c r="AL64" s="311">
        <v>44126</v>
      </c>
      <c r="AM64" s="301"/>
      <c r="AN64" s="290"/>
      <c r="AO64" s="312" t="str">
        <f>_xlfn.IFNA(IF(VLOOKUP(tabItens[[#This Row],[CÓDIGO]],tabExcluirDoEstoque[#Data],1,FALSE),"sim",""),"")</f>
        <v/>
      </c>
      <c r="AP64" s="313" t="str">
        <f ca="1">IF(OR(ISBLANK(tabItens[[#This Row],[ATA DT.VALID.]]),tabItens[[#This Row],[ATA DT.VALID.]]="",tabItens[[#This Row],[ATA DT.VALID.]]=" "),"",IF(TYPE(tabItens[[#This Row],[ATA DT.VALID.]])=1,ROUNDUP((tabItens[[#This Row],[ATA DT.VALID.]]-TODAY())/7,0),""))</f>
        <v/>
      </c>
      <c r="AQ64" s="314">
        <v>0</v>
      </c>
      <c r="AR64" s="315" t="str">
        <f>IF(ISBLANK(tabItens[[#This Row],[CÓDIGO]]),"",IFERROR(VLOOKUP(tabItens[[#This Row],[CÓDIGO]],Consumo!$C$2:$AC$869,26,FALSE),0))</f>
        <v>07.2023</v>
      </c>
      <c r="AS64" s="316">
        <f>SUMIF(Consumo!$C$3:$C$869,tabItens[[#This Row],[CÓDIGO]],Consumo!$N$3:$N$869) + SUMIF(Consumo!$C$3:$C$869,tabItens[[#This Row],[CÓDIGO]],Consumo!$O$3:$O$869) + SUMIF(Consumo!$C$3:$C$869,tabItens[[#This Row],[CÓDIGO]],Consumo!$P$3:$P$869) + SUMIF(Consumo!$C$3:$C$869,tabItens[[#This Row],[CÓDIGO]],Consumo!$Q$3:$Q$869)</f>
        <v>3202</v>
      </c>
      <c r="AT64" s="316">
        <f>SUMIF(Consumo!$C$3:$C$869,tabItens[[#This Row],[CÓDIGO]],Consumo!$Z$3:$Z$869)</f>
        <v>7884</v>
      </c>
      <c r="AU64" s="317">
        <f>SUMIF(Consumo!$C$3:$C$869,tabItens[[#This Row],[CÓDIGO]],Consumo!$AA$3:$AA$869)</f>
        <v>1229</v>
      </c>
      <c r="AV64" s="318">
        <f>SUMIF(Consumo!$C$3:$C$869,tabItens[[#This Row],[CÓDIGO]],Consumo!$Y$3:$Y$869)</f>
        <v>652.41666666666663</v>
      </c>
      <c r="AW64" s="291">
        <f>tabItens[[#This Row],[QTDE ATUAL]] + tabItens[[#This Row],[RC QTDE]] + tabItens[[#This Row],[AF SALDO]] + tabItens[[#This Row],[Recentes]]</f>
        <v>2377</v>
      </c>
      <c r="AX64" s="319">
        <v>850</v>
      </c>
      <c r="AY64" s="319">
        <v>4</v>
      </c>
      <c r="AZ64" s="319">
        <f>IF(ISBLANK(tabItens[[#This Row],[CÓDIGO]]),"",tabItens[[#This Row],[PontoMês]] * (AZ$2+tabItens[[#This Row],[PontoQtM]]))</f>
        <v>3400</v>
      </c>
      <c r="BA64" s="318">
        <f>tabItens[[#This Row],[PontoPed]] - tabItens[[#This Row],[Saldo]] + (1/10)</f>
        <v>1023.1</v>
      </c>
      <c r="BB64" s="318">
        <f xml:space="preserve"> tabItens[[#This Row],[PontoMês]] * BB$2 - tabItens[[#This Row],[QTDE ATUAL]] - (1/10)</f>
        <v>-527.1</v>
      </c>
      <c r="BC64" s="320">
        <f>IF( tabItens[[#This Row],[PontoPed]]&gt;0, IF(tabItens[[#This Row],[PontoPed]]&lt;1, 1, IF( tabItens[[#This Row],[Saldo]]&gt;tabItens[[#This Row],[PontoPed]], 0, (tabItens[[#This Row],[PontoPed]]-tabItens[[#This Row],[Saldo]])/tabItens[[#This Row],[PontoPed]] ) ), 0 )</f>
        <v>0.30088235294117649</v>
      </c>
      <c r="BD64" s="321">
        <f>ROUNDDOWN(IF( OR( AND(tabItens[[#This Row],[PontoPed]]&lt;tabItens[[#This Row],[Saldo]],tabItens[[#This Row],[Saldo]]&gt;0), tabItens[[#This Row],[PontoPed]]=0), 99, IF(AND(tabItens[[#This Row],[Saldo]]=0,tabItens[[#This Row],[PontoPed]]&gt;0), 0, (1-tabItens[[#This Row],[PctAb]])*10 ) ),0)</f>
        <v>6</v>
      </c>
      <c r="BE64" s="322">
        <f>MAX(ROUNDDOWN( IF(tabItens[[#This Row],[Abaixo]] &gt; 0,   tabItens[[#This Row],[Abaixo]] + (tabItens[[#This Row],[PontoMês]] * IF( OR( ISBLANK(tabItens[[#This Row],[ATA Nº/ANO]]), tabItens[[#This Row],[ATA Nº/ANO]] = ""),BE$2,BE$1)),0),0),0)</f>
        <v>3573</v>
      </c>
      <c r="BF6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323">
        <f>SUMIF(Consumo!$C$3:$C$869,tabItens[[#This Row],[CÓDIGO]],Consumo!$E$3:$E$869)</f>
        <v>0</v>
      </c>
      <c r="BH64" s="324">
        <f>IF(AND(tabItens[[#This Row],[Pend]] &gt; 0,tabItens[[#This Row],[Consumo]] &lt;&gt; 0), tabItens[[#This Row],[Pend]] / tabItens[[#This Row],[Consumo]], 0 )</f>
        <v>0</v>
      </c>
      <c r="BI64" s="323"/>
      <c r="BJ64" s="323"/>
      <c r="BK64" s="325" t="s">
        <v>2064</v>
      </c>
    </row>
    <row r="65" spans="1:63" hidden="1" x14ac:dyDescent="0.3">
      <c r="A65" s="286">
        <v>29959</v>
      </c>
      <c r="B65" s="287" t="s">
        <v>1240</v>
      </c>
      <c r="C65" s="288" t="s">
        <v>569</v>
      </c>
      <c r="D65" s="289">
        <v>1.02</v>
      </c>
      <c r="E65" s="290"/>
      <c r="F65" s="290"/>
      <c r="G65" s="290" t="s">
        <v>883</v>
      </c>
      <c r="H65" s="291">
        <v>1102</v>
      </c>
      <c r="I65" s="292">
        <v>103003</v>
      </c>
      <c r="J65" s="293">
        <v>1.02</v>
      </c>
      <c r="K65" s="294">
        <v>5140</v>
      </c>
      <c r="L65" s="295">
        <f>IF(tabItens[[#This Row],[Média]] &gt; 0, tabItens[[#This Row],[QTDE ATUAL]] / tabItens[[#This Row],[Média]],999.9)</f>
        <v>1.5837125748502994</v>
      </c>
      <c r="M65" s="296">
        <v>0</v>
      </c>
      <c r="N65" s="297">
        <f>tabItens[[#This Row],[VALOR UNIT.]] * tabItens[[#This Row],[LC]]</f>
        <v>0</v>
      </c>
      <c r="O65" s="298" t="s">
        <v>2066</v>
      </c>
      <c r="P65" s="299"/>
      <c r="Q65" s="300"/>
      <c r="R65" s="297"/>
      <c r="S65" s="301"/>
      <c r="T65" s="302">
        <f>ROUNDDOWN(IFERROR(tabItens[[#This Row],[ATA DT.VALID.]] - $D$1,0) / 30,0)</f>
        <v>-1504</v>
      </c>
      <c r="U65" s="287" t="s">
        <v>1129</v>
      </c>
      <c r="V65" s="303">
        <v>1</v>
      </c>
      <c r="W65" s="304" t="s">
        <v>2052</v>
      </c>
      <c r="X65" s="305">
        <v>57</v>
      </c>
      <c r="Y65" s="306">
        <v>15</v>
      </c>
      <c r="Z65" s="307">
        <v>6984</v>
      </c>
      <c r="AA65" s="308">
        <v>2023</v>
      </c>
      <c r="AB65" s="309">
        <v>1200</v>
      </c>
      <c r="AC65" s="309"/>
      <c r="AD65" s="308"/>
      <c r="AE65" s="309"/>
      <c r="AF65" s="302"/>
      <c r="AG65" s="310" t="s">
        <v>2050</v>
      </c>
      <c r="AH65" s="311"/>
      <c r="AI65" s="302">
        <v>2598</v>
      </c>
      <c r="AJ65" s="311">
        <v>45014</v>
      </c>
      <c r="AK65" s="311" t="s">
        <v>883</v>
      </c>
      <c r="AL65" s="311">
        <v>44959</v>
      </c>
      <c r="AM65" s="301"/>
      <c r="AN65" s="290"/>
      <c r="AO65" s="312" t="str">
        <f>_xlfn.IFNA(IF(VLOOKUP(tabItens[[#This Row],[CÓDIGO]],tabExcluirDoEstoque[#Data],1,FALSE),"sim",""),"")</f>
        <v/>
      </c>
      <c r="AP65" s="313" t="str">
        <f ca="1">IF(OR(ISBLANK(tabItens[[#This Row],[ATA DT.VALID.]]),tabItens[[#This Row],[ATA DT.VALID.]]="",tabItens[[#This Row],[ATA DT.VALID.]]=" "),"",IF(TYPE(tabItens[[#This Row],[ATA DT.VALID.]])=1,ROUNDUP((tabItens[[#This Row],[ATA DT.VALID.]]-TODAY())/7,0),""))</f>
        <v/>
      </c>
      <c r="AQ65" s="314">
        <v>0</v>
      </c>
      <c r="AR65" s="315" t="str">
        <f>IF(ISBLANK(tabItens[[#This Row],[CÓDIGO]]),"",IFERROR(VLOOKUP(tabItens[[#This Row],[CÓDIGO]],Consumo!$C$2:$AC$869,26,FALSE),0))</f>
        <v>07.2023</v>
      </c>
      <c r="AS65" s="316">
        <f>SUMIF(Consumo!$C$3:$C$869,tabItens[[#This Row],[CÓDIGO]],Consumo!$N$3:$N$869) + SUMIF(Consumo!$C$3:$C$869,tabItens[[#This Row],[CÓDIGO]],Consumo!$O$3:$O$869) + SUMIF(Consumo!$C$3:$C$869,tabItens[[#This Row],[CÓDIGO]],Consumo!$P$3:$P$869) + SUMIF(Consumo!$C$3:$C$869,tabItens[[#This Row],[CÓDIGO]],Consumo!$Q$3:$Q$869)</f>
        <v>3598</v>
      </c>
      <c r="AT65" s="316">
        <f>SUMIF(Consumo!$C$3:$C$869,tabItens[[#This Row],[CÓDIGO]],Consumo!$Z$3:$Z$869)</f>
        <v>8350</v>
      </c>
      <c r="AU65" s="317">
        <f>SUMIF(Consumo!$C$3:$C$869,tabItens[[#This Row],[CÓDIGO]],Consumo!$AA$3:$AA$869)</f>
        <v>1120</v>
      </c>
      <c r="AV65" s="318">
        <f>SUMIF(Consumo!$C$3:$C$869,tabItens[[#This Row],[CÓDIGO]],Consumo!$Y$3:$Y$869)</f>
        <v>695.83333333333337</v>
      </c>
      <c r="AW65" s="291">
        <f>tabItens[[#This Row],[QTDE ATUAL]] + tabItens[[#This Row],[RC QTDE]] + tabItens[[#This Row],[AF SALDO]] + tabItens[[#This Row],[Recentes]]</f>
        <v>2302</v>
      </c>
      <c r="AX65" s="319">
        <v>834</v>
      </c>
      <c r="AY65" s="319">
        <v>4</v>
      </c>
      <c r="AZ65" s="319">
        <f>IF(ISBLANK(tabItens[[#This Row],[CÓDIGO]]),"",tabItens[[#This Row],[PontoMês]] * (AZ$2+tabItens[[#This Row],[PontoQtM]]))</f>
        <v>3336</v>
      </c>
      <c r="BA65" s="318">
        <f>tabItens[[#This Row],[PontoPed]] - tabItens[[#This Row],[Saldo]] + (1/10)</f>
        <v>1034.0999999999999</v>
      </c>
      <c r="BB65" s="318">
        <f xml:space="preserve"> tabItens[[#This Row],[PontoMês]] * BB$2 - tabItens[[#This Row],[QTDE ATUAL]] - (1/10)</f>
        <v>-268.10000000000002</v>
      </c>
      <c r="BC65" s="320">
        <f>IF( tabItens[[#This Row],[PontoPed]]&gt;0, IF(tabItens[[#This Row],[PontoPed]]&lt;1, 1, IF( tabItens[[#This Row],[Saldo]]&gt;tabItens[[#This Row],[PontoPed]], 0, (tabItens[[#This Row],[PontoPed]]-tabItens[[#This Row],[Saldo]])/tabItens[[#This Row],[PontoPed]] ) ), 0 )</f>
        <v>0.30995203836930457</v>
      </c>
      <c r="BD65" s="321">
        <f>ROUNDDOWN(IF( OR( AND(tabItens[[#This Row],[PontoPed]]&lt;tabItens[[#This Row],[Saldo]],tabItens[[#This Row],[Saldo]]&gt;0), tabItens[[#This Row],[PontoPed]]=0), 99, IF(AND(tabItens[[#This Row],[Saldo]]=0,tabItens[[#This Row],[PontoPed]]&gt;0), 0, (1-tabItens[[#This Row],[PctAb]])*10 ) ),0)</f>
        <v>6</v>
      </c>
      <c r="BE65" s="322">
        <f>MAX(ROUNDDOWN( IF(tabItens[[#This Row],[Abaixo]] &gt; 0,   tabItens[[#This Row],[Abaixo]] + (tabItens[[#This Row],[PontoMês]] * IF( OR( ISBLANK(tabItens[[#This Row],[ATA Nº/ANO]]), tabItens[[#This Row],[ATA Nº/ANO]] = ""),BE$2,BE$1)),0),0),0)</f>
        <v>3536</v>
      </c>
      <c r="BF6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323">
        <f>SUMIF(Consumo!$C$3:$C$869,tabItens[[#This Row],[CÓDIGO]],Consumo!$E$3:$E$869)</f>
        <v>558</v>
      </c>
      <c r="BH65" s="324">
        <f>IF(AND(tabItens[[#This Row],[Pend]] &gt; 0,tabItens[[#This Row],[Consumo]] &lt;&gt; 0), tabItens[[#This Row],[Pend]] / tabItens[[#This Row],[Consumo]], 0 )</f>
        <v>6.6826347305389222E-2</v>
      </c>
      <c r="BI65" s="323"/>
      <c r="BJ65" s="323"/>
      <c r="BK65" s="325" t="s">
        <v>2064</v>
      </c>
    </row>
    <row r="66" spans="1:63" hidden="1" x14ac:dyDescent="0.3">
      <c r="A66" s="286">
        <v>29961</v>
      </c>
      <c r="B66" s="287" t="s">
        <v>1241</v>
      </c>
      <c r="C66" s="288" t="s">
        <v>569</v>
      </c>
      <c r="D66" s="289">
        <v>1.02</v>
      </c>
      <c r="E66" s="290"/>
      <c r="F66" s="290"/>
      <c r="G66" s="290" t="s">
        <v>883</v>
      </c>
      <c r="H66" s="291">
        <v>655</v>
      </c>
      <c r="I66" s="292">
        <v>103003</v>
      </c>
      <c r="J66" s="293">
        <v>1.02</v>
      </c>
      <c r="K66" s="294">
        <v>4939</v>
      </c>
      <c r="L66" s="295">
        <f>IF(tabItens[[#This Row],[Média]] &gt; 0, tabItens[[#This Row],[QTDE ATUAL]] / tabItens[[#This Row],[Média]],999.9)</f>
        <v>1.0066598360655739</v>
      </c>
      <c r="M66" s="296">
        <v>0</v>
      </c>
      <c r="N66" s="297">
        <f>tabItens[[#This Row],[VALOR UNIT.]] * tabItens[[#This Row],[LC]]</f>
        <v>0</v>
      </c>
      <c r="O66" s="298" t="s">
        <v>2066</v>
      </c>
      <c r="P66" s="299"/>
      <c r="Q66" s="300"/>
      <c r="R66" s="297"/>
      <c r="S66" s="301"/>
      <c r="T66" s="302">
        <f>ROUNDDOWN(IFERROR(tabItens[[#This Row],[ATA DT.VALID.]] - $D$1,0) / 30,0)</f>
        <v>-1504</v>
      </c>
      <c r="U66" s="287" t="s">
        <v>1129</v>
      </c>
      <c r="V66" s="303">
        <v>1</v>
      </c>
      <c r="W66" s="304" t="s">
        <v>2052</v>
      </c>
      <c r="X66" s="305">
        <v>57</v>
      </c>
      <c r="Y66" s="306">
        <v>15</v>
      </c>
      <c r="Z66" s="307">
        <v>6984</v>
      </c>
      <c r="AA66" s="308">
        <v>2023</v>
      </c>
      <c r="AB66" s="309">
        <v>1500</v>
      </c>
      <c r="AC66" s="309"/>
      <c r="AD66" s="308"/>
      <c r="AE66" s="309"/>
      <c r="AF66" s="302"/>
      <c r="AG66" s="310" t="s">
        <v>2050</v>
      </c>
      <c r="AH66" s="311"/>
      <c r="AI66" s="302">
        <v>2652</v>
      </c>
      <c r="AJ66" s="311">
        <v>45014</v>
      </c>
      <c r="AK66" s="311" t="s">
        <v>883</v>
      </c>
      <c r="AL66" s="311">
        <v>44959</v>
      </c>
      <c r="AM66" s="301"/>
      <c r="AN66" s="290"/>
      <c r="AO66" s="312" t="str">
        <f>_xlfn.IFNA(IF(VLOOKUP(tabItens[[#This Row],[CÓDIGO]],tabExcluirDoEstoque[#Data],1,FALSE),"sim",""),"")</f>
        <v/>
      </c>
      <c r="AP66" s="313" t="str">
        <f ca="1">IF(OR(ISBLANK(tabItens[[#This Row],[ATA DT.VALID.]]),tabItens[[#This Row],[ATA DT.VALID.]]="",tabItens[[#This Row],[ATA DT.VALID.]]=" "),"",IF(TYPE(tabItens[[#This Row],[ATA DT.VALID.]])=1,ROUNDUP((tabItens[[#This Row],[ATA DT.VALID.]]-TODAY())/7,0),""))</f>
        <v/>
      </c>
      <c r="AQ66" s="314">
        <v>0</v>
      </c>
      <c r="AR66" s="315" t="str">
        <f>IF(ISBLANK(tabItens[[#This Row],[CÓDIGO]]),"",IFERROR(VLOOKUP(tabItens[[#This Row],[CÓDIGO]],Consumo!$C$2:$AC$869,26,FALSE),0))</f>
        <v>07.2023</v>
      </c>
      <c r="AS66" s="316">
        <f>SUMIF(Consumo!$C$3:$C$869,tabItens[[#This Row],[CÓDIGO]],Consumo!$N$3:$N$869) + SUMIF(Consumo!$C$3:$C$869,tabItens[[#This Row],[CÓDIGO]],Consumo!$O$3:$O$869) + SUMIF(Consumo!$C$3:$C$869,tabItens[[#This Row],[CÓDIGO]],Consumo!$P$3:$P$869) + SUMIF(Consumo!$C$3:$C$869,tabItens[[#This Row],[CÓDIGO]],Consumo!$Q$3:$Q$869)</f>
        <v>3143</v>
      </c>
      <c r="AT66" s="316">
        <f>SUMIF(Consumo!$C$3:$C$869,tabItens[[#This Row],[CÓDIGO]],Consumo!$Z$3:$Z$869)</f>
        <v>7808</v>
      </c>
      <c r="AU66" s="317">
        <f>SUMIF(Consumo!$C$3:$C$869,tabItens[[#This Row],[CÓDIGO]],Consumo!$AA$3:$AA$869)</f>
        <v>1090</v>
      </c>
      <c r="AV66" s="318">
        <f>SUMIF(Consumo!$C$3:$C$869,tabItens[[#This Row],[CÓDIGO]],Consumo!$Y$3:$Y$869)</f>
        <v>650.66666666666663</v>
      </c>
      <c r="AW66" s="291">
        <f>tabItens[[#This Row],[QTDE ATUAL]] + tabItens[[#This Row],[RC QTDE]] + tabItens[[#This Row],[AF SALDO]] + tabItens[[#This Row],[Recentes]]</f>
        <v>2155</v>
      </c>
      <c r="AX66" s="319">
        <v>834</v>
      </c>
      <c r="AY66" s="319">
        <v>4</v>
      </c>
      <c r="AZ66" s="319">
        <f>IF(ISBLANK(tabItens[[#This Row],[CÓDIGO]]),"",tabItens[[#This Row],[PontoMês]] * (AZ$2+tabItens[[#This Row],[PontoQtM]]))</f>
        <v>3336</v>
      </c>
      <c r="BA66" s="318">
        <f>tabItens[[#This Row],[PontoPed]] - tabItens[[#This Row],[Saldo]] + (1/10)</f>
        <v>1181.0999999999999</v>
      </c>
      <c r="BB66" s="318">
        <f xml:space="preserve"> tabItens[[#This Row],[PontoMês]] * BB$2 - tabItens[[#This Row],[QTDE ATUAL]] - (1/10)</f>
        <v>178.9</v>
      </c>
      <c r="BC66" s="320">
        <f>IF( tabItens[[#This Row],[PontoPed]]&gt;0, IF(tabItens[[#This Row],[PontoPed]]&lt;1, 1, IF( tabItens[[#This Row],[Saldo]]&gt;tabItens[[#This Row],[PontoPed]], 0, (tabItens[[#This Row],[PontoPed]]-tabItens[[#This Row],[Saldo]])/tabItens[[#This Row],[PontoPed]] ) ), 0 )</f>
        <v>0.35401678657074342</v>
      </c>
      <c r="BD66" s="321">
        <f>ROUNDDOWN(IF( OR( AND(tabItens[[#This Row],[PontoPed]]&lt;tabItens[[#This Row],[Saldo]],tabItens[[#This Row],[Saldo]]&gt;0), tabItens[[#This Row],[PontoPed]]=0), 99, IF(AND(tabItens[[#This Row],[Saldo]]=0,tabItens[[#This Row],[PontoPed]]&gt;0), 0, (1-tabItens[[#This Row],[PctAb]])*10 ) ),0)</f>
        <v>6</v>
      </c>
      <c r="BE66" s="322">
        <f>MAX(ROUNDDOWN( IF(tabItens[[#This Row],[Abaixo]] &gt; 0,   tabItens[[#This Row],[Abaixo]] + (tabItens[[#This Row],[PontoMês]] * IF( OR( ISBLANK(tabItens[[#This Row],[ATA Nº/ANO]]), tabItens[[#This Row],[ATA Nº/ANO]] = ""),BE$2,BE$1)),0),0),0)</f>
        <v>3683</v>
      </c>
      <c r="BF6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323">
        <f>SUMIF(Consumo!$C$3:$C$869,tabItens[[#This Row],[CÓDIGO]],Consumo!$E$3:$E$869)</f>
        <v>0</v>
      </c>
      <c r="BH66" s="324">
        <f>IF(AND(tabItens[[#This Row],[Pend]] &gt; 0,tabItens[[#This Row],[Consumo]] &lt;&gt; 0), tabItens[[#This Row],[Pend]] / tabItens[[#This Row],[Consumo]], 0 )</f>
        <v>0</v>
      </c>
      <c r="BI66" s="323"/>
      <c r="BJ66" s="323"/>
      <c r="BK66" s="325" t="s">
        <v>2064</v>
      </c>
    </row>
    <row r="67" spans="1:63" hidden="1" x14ac:dyDescent="0.3">
      <c r="A67" s="286">
        <v>29962</v>
      </c>
      <c r="B67" s="287" t="s">
        <v>1242</v>
      </c>
      <c r="C67" s="288" t="s">
        <v>569</v>
      </c>
      <c r="D67" s="289">
        <v>0.86</v>
      </c>
      <c r="E67" s="290"/>
      <c r="F67" s="290"/>
      <c r="G67" s="290" t="s">
        <v>883</v>
      </c>
      <c r="H67" s="291">
        <v>1057</v>
      </c>
      <c r="I67" s="292">
        <v>103003</v>
      </c>
      <c r="J67" s="293">
        <v>0.86</v>
      </c>
      <c r="K67" s="294">
        <v>4556</v>
      </c>
      <c r="L67" s="295">
        <f>IF(tabItens[[#This Row],[Média]] &gt; 0, tabItens[[#This Row],[QTDE ATUAL]] / tabItens[[#This Row],[Média]],999.9)</f>
        <v>1.9294189230301184</v>
      </c>
      <c r="M67" s="296">
        <v>0</v>
      </c>
      <c r="N67" s="297">
        <f>tabItens[[#This Row],[VALOR UNIT.]] * tabItens[[#This Row],[LC]]</f>
        <v>0</v>
      </c>
      <c r="O67" s="298" t="s">
        <v>2066</v>
      </c>
      <c r="P67" s="299"/>
      <c r="Q67" s="300"/>
      <c r="R67" s="297"/>
      <c r="S67" s="301"/>
      <c r="T67" s="302">
        <f>ROUNDDOWN(IFERROR(tabItens[[#This Row],[ATA DT.VALID.]] - $D$1,0) / 30,0)</f>
        <v>-1504</v>
      </c>
      <c r="U67" s="287" t="s">
        <v>1129</v>
      </c>
      <c r="V67" s="303">
        <v>1</v>
      </c>
      <c r="W67" s="304" t="s">
        <v>2052</v>
      </c>
      <c r="X67" s="305">
        <v>57</v>
      </c>
      <c r="Y67" s="306">
        <v>15</v>
      </c>
      <c r="Z67" s="307">
        <v>6216</v>
      </c>
      <c r="AA67" s="308">
        <v>2023</v>
      </c>
      <c r="AB67" s="309">
        <v>1000</v>
      </c>
      <c r="AC67" s="309"/>
      <c r="AD67" s="308"/>
      <c r="AE67" s="309"/>
      <c r="AF67" s="302"/>
      <c r="AG67" s="310" t="s">
        <v>2050</v>
      </c>
      <c r="AH67" s="311"/>
      <c r="AI67" s="302">
        <v>2154</v>
      </c>
      <c r="AJ67" s="311">
        <v>44974</v>
      </c>
      <c r="AK67" s="311" t="s">
        <v>883</v>
      </c>
      <c r="AL67" s="311">
        <v>44959</v>
      </c>
      <c r="AM67" s="301"/>
      <c r="AN67" s="290"/>
      <c r="AO67" s="312" t="str">
        <f>_xlfn.IFNA(IF(VLOOKUP(tabItens[[#This Row],[CÓDIGO]],tabExcluirDoEstoque[#Data],1,FALSE),"sim",""),"")</f>
        <v/>
      </c>
      <c r="AP67" s="313" t="str">
        <f ca="1">IF(OR(ISBLANK(tabItens[[#This Row],[ATA DT.VALID.]]),tabItens[[#This Row],[ATA DT.VALID.]]="",tabItens[[#This Row],[ATA DT.VALID.]]=" "),"",IF(TYPE(tabItens[[#This Row],[ATA DT.VALID.]])=1,ROUNDUP((tabItens[[#This Row],[ATA DT.VALID.]]-TODAY())/7,0),""))</f>
        <v/>
      </c>
      <c r="AQ67" s="314">
        <v>0</v>
      </c>
      <c r="AR67" s="315" t="str">
        <f>IF(ISBLANK(tabItens[[#This Row],[CÓDIGO]]),"",IFERROR(VLOOKUP(tabItens[[#This Row],[CÓDIGO]],Consumo!$C$2:$AC$869,26,FALSE),0))</f>
        <v>07.2023</v>
      </c>
      <c r="AS67" s="316">
        <f>SUMIF(Consumo!$C$3:$C$869,tabItens[[#This Row],[CÓDIGO]],Consumo!$N$3:$N$869) + SUMIF(Consumo!$C$3:$C$869,tabItens[[#This Row],[CÓDIGO]],Consumo!$O$3:$O$869) + SUMIF(Consumo!$C$3:$C$869,tabItens[[#This Row],[CÓDIGO]],Consumo!$P$3:$P$869) + SUMIF(Consumo!$C$3:$C$869,tabItens[[#This Row],[CÓDIGO]],Consumo!$Q$3:$Q$869)</f>
        <v>2918</v>
      </c>
      <c r="AT67" s="316">
        <f>SUMIF(Consumo!$C$3:$C$869,tabItens[[#This Row],[CÓDIGO]],Consumo!$Z$3:$Z$869)</f>
        <v>6574</v>
      </c>
      <c r="AU67" s="317">
        <f>SUMIF(Consumo!$C$3:$C$869,tabItens[[#This Row],[CÓDIGO]],Consumo!$AA$3:$AA$869)</f>
        <v>1050</v>
      </c>
      <c r="AV67" s="318">
        <f>SUMIF(Consumo!$C$3:$C$869,tabItens[[#This Row],[CÓDIGO]],Consumo!$Y$3:$Y$869)</f>
        <v>547.83333333333337</v>
      </c>
      <c r="AW67" s="291">
        <f>tabItens[[#This Row],[QTDE ATUAL]] + tabItens[[#This Row],[RC QTDE]] + tabItens[[#This Row],[AF SALDO]] + tabItens[[#This Row],[Recentes]]</f>
        <v>2057</v>
      </c>
      <c r="AX67" s="319">
        <v>834</v>
      </c>
      <c r="AY67" s="319">
        <v>4</v>
      </c>
      <c r="AZ67" s="319">
        <f>IF(ISBLANK(tabItens[[#This Row],[CÓDIGO]]),"",tabItens[[#This Row],[PontoMês]] * (AZ$2+tabItens[[#This Row],[PontoQtM]]))</f>
        <v>3336</v>
      </c>
      <c r="BA67" s="318">
        <f>tabItens[[#This Row],[PontoPed]] - tabItens[[#This Row],[Saldo]] + (1/10)</f>
        <v>1279.0999999999999</v>
      </c>
      <c r="BB67" s="318">
        <f xml:space="preserve"> tabItens[[#This Row],[PontoMês]] * BB$2 - tabItens[[#This Row],[QTDE ATUAL]] - (1/10)</f>
        <v>-223.1</v>
      </c>
      <c r="BC67" s="320">
        <f>IF( tabItens[[#This Row],[PontoPed]]&gt;0, IF(tabItens[[#This Row],[PontoPed]]&lt;1, 1, IF( tabItens[[#This Row],[Saldo]]&gt;tabItens[[#This Row],[PontoPed]], 0, (tabItens[[#This Row],[PontoPed]]-tabItens[[#This Row],[Saldo]])/tabItens[[#This Row],[PontoPed]] ) ), 0 )</f>
        <v>0.38339328537170264</v>
      </c>
      <c r="BD67" s="321">
        <f>ROUNDDOWN(IF( OR( AND(tabItens[[#This Row],[PontoPed]]&lt;tabItens[[#This Row],[Saldo]],tabItens[[#This Row],[Saldo]]&gt;0), tabItens[[#This Row],[PontoPed]]=0), 99, IF(AND(tabItens[[#This Row],[Saldo]]=0,tabItens[[#This Row],[PontoPed]]&gt;0), 0, (1-tabItens[[#This Row],[PctAb]])*10 ) ),0)</f>
        <v>6</v>
      </c>
      <c r="BE67" s="322">
        <f>MAX(ROUNDDOWN( IF(tabItens[[#This Row],[Abaixo]] &gt; 0,   tabItens[[#This Row],[Abaixo]] + (tabItens[[#This Row],[PontoMês]] * IF( OR( ISBLANK(tabItens[[#This Row],[ATA Nº/ANO]]), tabItens[[#This Row],[ATA Nº/ANO]] = ""),BE$2,BE$1)),0),0),0)</f>
        <v>3781</v>
      </c>
      <c r="BF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323">
        <f>SUMIF(Consumo!$C$3:$C$869,tabItens[[#This Row],[CÓDIGO]],Consumo!$E$3:$E$869)</f>
        <v>115</v>
      </c>
      <c r="BH67" s="324">
        <f>IF(AND(tabItens[[#This Row],[Pend]] &gt; 0,tabItens[[#This Row],[Consumo]] &lt;&gt; 0), tabItens[[#This Row],[Pend]] / tabItens[[#This Row],[Consumo]], 0 )</f>
        <v>1.7493154852449042E-2</v>
      </c>
      <c r="BI67" s="323"/>
      <c r="BJ67" s="323"/>
      <c r="BK67" s="325" t="s">
        <v>2064</v>
      </c>
    </row>
    <row r="68" spans="1:63" hidden="1" x14ac:dyDescent="0.3">
      <c r="A68" s="286">
        <v>29964</v>
      </c>
      <c r="B68" s="287" t="s">
        <v>1243</v>
      </c>
      <c r="C68" s="288" t="s">
        <v>569</v>
      </c>
      <c r="D68" s="289">
        <v>0.86</v>
      </c>
      <c r="E68" s="290"/>
      <c r="F68" s="290"/>
      <c r="G68" s="290" t="s">
        <v>883</v>
      </c>
      <c r="H68" s="291">
        <v>1100</v>
      </c>
      <c r="I68" s="292">
        <v>103003</v>
      </c>
      <c r="J68" s="293">
        <v>0.86</v>
      </c>
      <c r="K68" s="294">
        <v>4419</v>
      </c>
      <c r="L68" s="295">
        <f>IF(tabItens[[#This Row],[Média]] &gt; 0, tabItens[[#This Row],[QTDE ATUAL]] / tabItens[[#This Row],[Média]],999.9)</f>
        <v>1.9094459713583103</v>
      </c>
      <c r="M68" s="296">
        <v>0</v>
      </c>
      <c r="N68" s="297">
        <f>tabItens[[#This Row],[VALOR UNIT.]] * tabItens[[#This Row],[LC]]</f>
        <v>0</v>
      </c>
      <c r="O68" s="298" t="s">
        <v>2066</v>
      </c>
      <c r="P68" s="299"/>
      <c r="Q68" s="300"/>
      <c r="R68" s="297"/>
      <c r="S68" s="301"/>
      <c r="T68" s="302">
        <f>ROUNDDOWN(IFERROR(tabItens[[#This Row],[ATA DT.VALID.]] - $D$1,0) / 30,0)</f>
        <v>-1504</v>
      </c>
      <c r="U68" s="287" t="s">
        <v>1129</v>
      </c>
      <c r="V68" s="303">
        <v>1</v>
      </c>
      <c r="W68" s="304" t="s">
        <v>2052</v>
      </c>
      <c r="X68" s="305">
        <v>57</v>
      </c>
      <c r="Y68" s="306">
        <v>15</v>
      </c>
      <c r="Z68" s="307">
        <v>6216</v>
      </c>
      <c r="AA68" s="308">
        <v>2023</v>
      </c>
      <c r="AB68" s="309">
        <v>1000</v>
      </c>
      <c r="AC68" s="309"/>
      <c r="AD68" s="308"/>
      <c r="AE68" s="309"/>
      <c r="AF68" s="302"/>
      <c r="AG68" s="310" t="s">
        <v>2050</v>
      </c>
      <c r="AH68" s="311"/>
      <c r="AI68" s="302">
        <v>2290</v>
      </c>
      <c r="AJ68" s="311">
        <v>44974</v>
      </c>
      <c r="AK68" s="311" t="s">
        <v>883</v>
      </c>
      <c r="AL68" s="311">
        <v>44959</v>
      </c>
      <c r="AM68" s="301"/>
      <c r="AN68" s="290"/>
      <c r="AO68" s="312" t="str">
        <f>_xlfn.IFNA(IF(VLOOKUP(tabItens[[#This Row],[CÓDIGO]],tabExcluirDoEstoque[#Data],1,FALSE),"sim",""),"")</f>
        <v/>
      </c>
      <c r="AP68" s="313" t="str">
        <f ca="1">IF(OR(ISBLANK(tabItens[[#This Row],[ATA DT.VALID.]]),tabItens[[#This Row],[ATA DT.VALID.]]="",tabItens[[#This Row],[ATA DT.VALID.]]=" "),"",IF(TYPE(tabItens[[#This Row],[ATA DT.VALID.]])=1,ROUNDUP((tabItens[[#This Row],[ATA DT.VALID.]]-TODAY())/7,0),""))</f>
        <v/>
      </c>
      <c r="AQ68" s="314">
        <v>0</v>
      </c>
      <c r="AR68" s="315" t="str">
        <f>IF(ISBLANK(tabItens[[#This Row],[CÓDIGO]]),"",IFERROR(VLOOKUP(tabItens[[#This Row],[CÓDIGO]],Consumo!$C$2:$AC$869,26,FALSE),0))</f>
        <v>07.2023</v>
      </c>
      <c r="AS68" s="316">
        <f>SUMIF(Consumo!$C$3:$C$869,tabItens[[#This Row],[CÓDIGO]],Consumo!$N$3:$N$869) + SUMIF(Consumo!$C$3:$C$869,tabItens[[#This Row],[CÓDIGO]],Consumo!$O$3:$O$869) + SUMIF(Consumo!$C$3:$C$869,tabItens[[#This Row],[CÓDIGO]],Consumo!$P$3:$P$869) + SUMIF(Consumo!$C$3:$C$869,tabItens[[#This Row],[CÓDIGO]],Consumo!$Q$3:$Q$869)</f>
        <v>2790</v>
      </c>
      <c r="AT68" s="316">
        <f>SUMIF(Consumo!$C$3:$C$869,tabItens[[#This Row],[CÓDIGO]],Consumo!$Z$3:$Z$869)</f>
        <v>6920</v>
      </c>
      <c r="AU68" s="317">
        <f>SUMIF(Consumo!$C$3:$C$869,tabItens[[#This Row],[CÓDIGO]],Consumo!$AA$3:$AA$869)</f>
        <v>1115</v>
      </c>
      <c r="AV68" s="318">
        <f>SUMIF(Consumo!$C$3:$C$869,tabItens[[#This Row],[CÓDIGO]],Consumo!$Y$3:$Y$869)</f>
        <v>576.08333333333337</v>
      </c>
      <c r="AW68" s="291">
        <f>tabItens[[#This Row],[QTDE ATUAL]] + tabItens[[#This Row],[RC QTDE]] + tabItens[[#This Row],[AF SALDO]] + tabItens[[#This Row],[Recentes]]</f>
        <v>2100</v>
      </c>
      <c r="AX68" s="319">
        <v>834</v>
      </c>
      <c r="AY68" s="319">
        <v>4</v>
      </c>
      <c r="AZ68" s="319">
        <f>IF(ISBLANK(tabItens[[#This Row],[CÓDIGO]]),"",tabItens[[#This Row],[PontoMês]] * (AZ$2+tabItens[[#This Row],[PontoQtM]]))</f>
        <v>3336</v>
      </c>
      <c r="BA68" s="318">
        <f>tabItens[[#This Row],[PontoPed]] - tabItens[[#This Row],[Saldo]] + (1/10)</f>
        <v>1236.0999999999999</v>
      </c>
      <c r="BB68" s="318">
        <f xml:space="preserve"> tabItens[[#This Row],[PontoMês]] * BB$2 - tabItens[[#This Row],[QTDE ATUAL]] - (1/10)</f>
        <v>-266.10000000000002</v>
      </c>
      <c r="BC68" s="320">
        <f>IF( tabItens[[#This Row],[PontoPed]]&gt;0, IF(tabItens[[#This Row],[PontoPed]]&lt;1, 1, IF( tabItens[[#This Row],[Saldo]]&gt;tabItens[[#This Row],[PontoPed]], 0, (tabItens[[#This Row],[PontoPed]]-tabItens[[#This Row],[Saldo]])/tabItens[[#This Row],[PontoPed]] ) ), 0 )</f>
        <v>0.37050359712230213</v>
      </c>
      <c r="BD68" s="321">
        <f>ROUNDDOWN(IF( OR( AND(tabItens[[#This Row],[PontoPed]]&lt;tabItens[[#This Row],[Saldo]],tabItens[[#This Row],[Saldo]]&gt;0), tabItens[[#This Row],[PontoPed]]=0), 99, IF(AND(tabItens[[#This Row],[Saldo]]=0,tabItens[[#This Row],[PontoPed]]&gt;0), 0, (1-tabItens[[#This Row],[PctAb]])*10 ) ),0)</f>
        <v>6</v>
      </c>
      <c r="BE68" s="322">
        <f>MAX(ROUNDDOWN( IF(tabItens[[#This Row],[Abaixo]] &gt; 0,   tabItens[[#This Row],[Abaixo]] + (tabItens[[#This Row],[PontoMês]] * IF( OR( ISBLANK(tabItens[[#This Row],[ATA Nº/ANO]]), tabItens[[#This Row],[ATA Nº/ANO]] = ""),BE$2,BE$1)),0),0),0)</f>
        <v>3738</v>
      </c>
      <c r="BF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323">
        <f>SUMIF(Consumo!$C$3:$C$869,tabItens[[#This Row],[CÓDIGO]],Consumo!$E$3:$E$869)</f>
        <v>50</v>
      </c>
      <c r="BH68" s="324">
        <f>IF(AND(tabItens[[#This Row],[Pend]] &gt; 0,tabItens[[#This Row],[Consumo]] &lt;&gt; 0), tabItens[[#This Row],[Pend]] / tabItens[[#This Row],[Consumo]], 0 )</f>
        <v>7.2254335260115606E-3</v>
      </c>
      <c r="BI68" s="323"/>
      <c r="BJ68" s="323"/>
      <c r="BK68" s="325" t="s">
        <v>2064</v>
      </c>
    </row>
    <row r="69" spans="1:63" hidden="1" x14ac:dyDescent="0.3">
      <c r="A69" s="286">
        <v>75938</v>
      </c>
      <c r="B69" s="287" t="s">
        <v>1411</v>
      </c>
      <c r="C69" s="288" t="s">
        <v>569</v>
      </c>
      <c r="D69" s="289">
        <v>1.02</v>
      </c>
      <c r="E69" s="290"/>
      <c r="F69" s="290"/>
      <c r="G69" s="290" t="s">
        <v>883</v>
      </c>
      <c r="H69" s="291">
        <v>887</v>
      </c>
      <c r="I69" s="292">
        <v>103003</v>
      </c>
      <c r="J69" s="293">
        <v>1.02</v>
      </c>
      <c r="K69" s="294">
        <v>4758</v>
      </c>
      <c r="L69" s="295">
        <f>IF(tabItens[[#This Row],[Média]] &gt; 0, tabItens[[#This Row],[QTDE ATUAL]] / tabItens[[#This Row],[Média]],999.9)</f>
        <v>1.4098013245033114</v>
      </c>
      <c r="M69" s="296">
        <v>0</v>
      </c>
      <c r="N69" s="297">
        <f>tabItens[[#This Row],[VALOR UNIT.]] * tabItens[[#This Row],[LC]]</f>
        <v>0</v>
      </c>
      <c r="O69" s="298" t="s">
        <v>2066</v>
      </c>
      <c r="P69" s="299"/>
      <c r="Q69" s="300"/>
      <c r="R69" s="297"/>
      <c r="S69" s="301"/>
      <c r="T69" s="302">
        <f>ROUNDDOWN(IFERROR(tabItens[[#This Row],[ATA DT.VALID.]] - $D$1,0) / 30,0)</f>
        <v>-1504</v>
      </c>
      <c r="U69" s="287" t="s">
        <v>1129</v>
      </c>
      <c r="V69" s="303">
        <v>1</v>
      </c>
      <c r="W69" s="304" t="s">
        <v>2052</v>
      </c>
      <c r="X69" s="305">
        <v>57</v>
      </c>
      <c r="Y69" s="306">
        <v>15</v>
      </c>
      <c r="Z69" s="307">
        <v>6984</v>
      </c>
      <c r="AA69" s="308">
        <v>2023</v>
      </c>
      <c r="AB69" s="309">
        <v>1300</v>
      </c>
      <c r="AC69" s="309"/>
      <c r="AD69" s="308"/>
      <c r="AE69" s="309"/>
      <c r="AF69" s="302"/>
      <c r="AG69" s="310" t="s">
        <v>2050</v>
      </c>
      <c r="AH69" s="311"/>
      <c r="AI69" s="302">
        <v>2464</v>
      </c>
      <c r="AJ69" s="311">
        <v>44974</v>
      </c>
      <c r="AK69" s="311">
        <v>37931</v>
      </c>
      <c r="AL69" s="311">
        <v>44959</v>
      </c>
      <c r="AM69" s="301"/>
      <c r="AN69" s="290"/>
      <c r="AO69" s="312" t="str">
        <f>_xlfn.IFNA(IF(VLOOKUP(tabItens[[#This Row],[CÓDIGO]],tabExcluirDoEstoque[#Data],1,FALSE),"sim",""),"")</f>
        <v/>
      </c>
      <c r="AP69" s="313" t="str">
        <f ca="1">IF(OR(ISBLANK(tabItens[[#This Row],[ATA DT.VALID.]]),tabItens[[#This Row],[ATA DT.VALID.]]="",tabItens[[#This Row],[ATA DT.VALID.]]=" "),"",IF(TYPE(tabItens[[#This Row],[ATA DT.VALID.]])=1,ROUNDUP((tabItens[[#This Row],[ATA DT.VALID.]]-TODAY())/7,0),""))</f>
        <v/>
      </c>
      <c r="AQ69" s="314">
        <v>0</v>
      </c>
      <c r="AR69" s="315" t="str">
        <f>IF(ISBLANK(tabItens[[#This Row],[CÓDIGO]]),"",IFERROR(VLOOKUP(tabItens[[#This Row],[CÓDIGO]],Consumo!$C$2:$AC$869,26,FALSE),0))</f>
        <v>07.2023</v>
      </c>
      <c r="AS69" s="316">
        <f>SUMIF(Consumo!$C$3:$C$869,tabItens[[#This Row],[CÓDIGO]],Consumo!$N$3:$N$869) + SUMIF(Consumo!$C$3:$C$869,tabItens[[#This Row],[CÓDIGO]],Consumo!$O$3:$O$869) + SUMIF(Consumo!$C$3:$C$869,tabItens[[#This Row],[CÓDIGO]],Consumo!$P$3:$P$869) + SUMIF(Consumo!$C$3:$C$869,tabItens[[#This Row],[CÓDIGO]],Consumo!$Q$3:$Q$869)</f>
        <v>3073</v>
      </c>
      <c r="AT69" s="316">
        <f>SUMIF(Consumo!$C$3:$C$869,tabItens[[#This Row],[CÓDIGO]],Consumo!$Z$3:$Z$869)</f>
        <v>7550</v>
      </c>
      <c r="AU69" s="317">
        <f>SUMIF(Consumo!$C$3:$C$869,tabItens[[#This Row],[CÓDIGO]],Consumo!$AA$3:$AA$869)</f>
        <v>1055</v>
      </c>
      <c r="AV69" s="318">
        <f>SUMIF(Consumo!$C$3:$C$869,tabItens[[#This Row],[CÓDIGO]],Consumo!$Y$3:$Y$869)</f>
        <v>629.16666666666663</v>
      </c>
      <c r="AW69" s="291">
        <f>tabItens[[#This Row],[QTDE ATUAL]] + tabItens[[#This Row],[RC QTDE]] + tabItens[[#This Row],[AF SALDO]] + tabItens[[#This Row],[Recentes]]</f>
        <v>2187</v>
      </c>
      <c r="AX69" s="319">
        <v>834</v>
      </c>
      <c r="AY69" s="319">
        <v>4</v>
      </c>
      <c r="AZ69" s="319">
        <f>IF(ISBLANK(tabItens[[#This Row],[CÓDIGO]]),"",tabItens[[#This Row],[PontoMês]] * (AZ$2+tabItens[[#This Row],[PontoQtM]]))</f>
        <v>3336</v>
      </c>
      <c r="BA69" s="318">
        <f>tabItens[[#This Row],[PontoPed]] - tabItens[[#This Row],[Saldo]] + (1/10)</f>
        <v>1149.0999999999999</v>
      </c>
      <c r="BB69" s="318">
        <f xml:space="preserve"> tabItens[[#This Row],[PontoMês]] * BB$2 - tabItens[[#This Row],[QTDE ATUAL]] - (1/10)</f>
        <v>-53.1</v>
      </c>
      <c r="BC69" s="320">
        <f>IF( tabItens[[#This Row],[PontoPed]]&gt;0, IF(tabItens[[#This Row],[PontoPed]]&lt;1, 1, IF( tabItens[[#This Row],[Saldo]]&gt;tabItens[[#This Row],[PontoPed]], 0, (tabItens[[#This Row],[PontoPed]]-tabItens[[#This Row],[Saldo]])/tabItens[[#This Row],[PontoPed]] ) ), 0 )</f>
        <v>0.3444244604316547</v>
      </c>
      <c r="BD69" s="321">
        <f>ROUNDDOWN(IF( OR( AND(tabItens[[#This Row],[PontoPed]]&lt;tabItens[[#This Row],[Saldo]],tabItens[[#This Row],[Saldo]]&gt;0), tabItens[[#This Row],[PontoPed]]=0), 99, IF(AND(tabItens[[#This Row],[Saldo]]=0,tabItens[[#This Row],[PontoPed]]&gt;0), 0, (1-tabItens[[#This Row],[PctAb]])*10 ) ),0)</f>
        <v>6</v>
      </c>
      <c r="BE69" s="322">
        <f>MAX(ROUNDDOWN( IF(tabItens[[#This Row],[Abaixo]] &gt; 0,   tabItens[[#This Row],[Abaixo]] + (tabItens[[#This Row],[PontoMês]] * IF( OR( ISBLANK(tabItens[[#This Row],[ATA Nº/ANO]]), tabItens[[#This Row],[ATA Nº/ANO]] = ""),BE$2,BE$1)),0),0),0)</f>
        <v>3651</v>
      </c>
      <c r="BF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23">
        <f>SUMIF(Consumo!$C$3:$C$869,tabItens[[#This Row],[CÓDIGO]],Consumo!$E$3:$E$869)</f>
        <v>160</v>
      </c>
      <c r="BH69" s="324">
        <f>IF(AND(tabItens[[#This Row],[Pend]] &gt; 0,tabItens[[#This Row],[Consumo]] &lt;&gt; 0), tabItens[[#This Row],[Pend]] / tabItens[[#This Row],[Consumo]], 0 )</f>
        <v>2.119205298013245E-2</v>
      </c>
      <c r="BI69" s="323"/>
      <c r="BJ69" s="323"/>
      <c r="BK69" s="325" t="s">
        <v>2064</v>
      </c>
    </row>
    <row r="70" spans="1:63" hidden="1" x14ac:dyDescent="0.3">
      <c r="A70" s="286">
        <v>23862</v>
      </c>
      <c r="B70" s="287" t="s">
        <v>1185</v>
      </c>
      <c r="C70" s="288" t="s">
        <v>569</v>
      </c>
      <c r="D70" s="289">
        <v>1.5</v>
      </c>
      <c r="E70" s="290"/>
      <c r="F70" s="290"/>
      <c r="G70" s="290" t="s">
        <v>883</v>
      </c>
      <c r="H70" s="291">
        <v>96</v>
      </c>
      <c r="I70" s="292">
        <v>103003</v>
      </c>
      <c r="J70" s="293">
        <v>1.5</v>
      </c>
      <c r="K70" s="294">
        <v>9754</v>
      </c>
      <c r="L70" s="295">
        <f>IF(tabItens[[#This Row],[Média]] &gt; 0, tabItens[[#This Row],[QTDE ATUAL]] / tabItens[[#This Row],[Média]],999.9)</f>
        <v>7.3008428924519933E-2</v>
      </c>
      <c r="M70" s="296">
        <v>0</v>
      </c>
      <c r="N70" s="297">
        <f>tabItens[[#This Row],[VALOR UNIT.]] * tabItens[[#This Row],[LC]]</f>
        <v>0</v>
      </c>
      <c r="O70" s="298" t="s">
        <v>2066</v>
      </c>
      <c r="P70" s="299"/>
      <c r="Q70" s="300"/>
      <c r="R70" s="297"/>
      <c r="S70" s="301"/>
      <c r="T70" s="302">
        <f>ROUNDDOWN(IFERROR(tabItens[[#This Row],[ATA DT.VALID.]] - $D$1,0) / 30,0)</f>
        <v>-1504</v>
      </c>
      <c r="U70" s="287" t="s">
        <v>941</v>
      </c>
      <c r="V70" s="303">
        <v>1</v>
      </c>
      <c r="W70" s="304" t="s">
        <v>2052</v>
      </c>
      <c r="X70" s="305">
        <v>57</v>
      </c>
      <c r="Y70" s="306">
        <v>16</v>
      </c>
      <c r="Z70" s="307">
        <v>6984</v>
      </c>
      <c r="AA70" s="308">
        <v>2023</v>
      </c>
      <c r="AB70" s="309">
        <v>5000</v>
      </c>
      <c r="AC70" s="309"/>
      <c r="AD70" s="308"/>
      <c r="AE70" s="309"/>
      <c r="AF70" s="302"/>
      <c r="AG70" s="310" t="s">
        <v>2050</v>
      </c>
      <c r="AH70" s="311"/>
      <c r="AI70" s="302">
        <v>5904</v>
      </c>
      <c r="AJ70" s="311">
        <v>44960</v>
      </c>
      <c r="AK70" s="311" t="s">
        <v>883</v>
      </c>
      <c r="AL70" s="311">
        <v>45054</v>
      </c>
      <c r="AM70" s="301"/>
      <c r="AN70" s="290"/>
      <c r="AO70" s="312" t="str">
        <f>_xlfn.IFNA(IF(VLOOKUP(tabItens[[#This Row],[CÓDIGO]],tabExcluirDoEstoque[#Data],1,FALSE),"sim",""),"")</f>
        <v/>
      </c>
      <c r="AP70" s="313" t="str">
        <f ca="1">IF(OR(ISBLANK(tabItens[[#This Row],[ATA DT.VALID.]]),tabItens[[#This Row],[ATA DT.VALID.]]="",tabItens[[#This Row],[ATA DT.VALID.]]=" "),"",IF(TYPE(tabItens[[#This Row],[ATA DT.VALID.]])=1,ROUNDUP((tabItens[[#This Row],[ATA DT.VALID.]]-TODAY())/7,0),""))</f>
        <v/>
      </c>
      <c r="AQ70" s="314">
        <v>0</v>
      </c>
      <c r="AR70" s="315" t="str">
        <f>IF(ISBLANK(tabItens[[#This Row],[CÓDIGO]]),"",IFERROR(VLOOKUP(tabItens[[#This Row],[CÓDIGO]],Consumo!$C$2:$AC$869,26,FALSE),0))</f>
        <v>07.2023</v>
      </c>
      <c r="AS70" s="316">
        <f>SUMIF(Consumo!$C$3:$C$869,tabItens[[#This Row],[CÓDIGO]],Consumo!$N$3:$N$869) + SUMIF(Consumo!$C$3:$C$869,tabItens[[#This Row],[CÓDIGO]],Consumo!$O$3:$O$869) + SUMIF(Consumo!$C$3:$C$869,tabItens[[#This Row],[CÓDIGO]],Consumo!$P$3:$P$869) + SUMIF(Consumo!$C$3:$C$869,tabItens[[#This Row],[CÓDIGO]],Consumo!$Q$3:$Q$869)</f>
        <v>5943</v>
      </c>
      <c r="AT70" s="316">
        <f>SUMIF(Consumo!$C$3:$C$869,tabItens[[#This Row],[CÓDIGO]],Consumo!$Z$3:$Z$869)</f>
        <v>15779</v>
      </c>
      <c r="AU70" s="317">
        <f>SUMIF(Consumo!$C$3:$C$869,tabItens[[#This Row],[CÓDIGO]],Consumo!$AA$3:$AA$869)</f>
        <v>2402</v>
      </c>
      <c r="AV70" s="318">
        <f>SUMIF(Consumo!$C$3:$C$869,tabItens[[#This Row],[CÓDIGO]],Consumo!$Y$3:$Y$869)</f>
        <v>1314.9166666666667</v>
      </c>
      <c r="AW70" s="291">
        <f>tabItens[[#This Row],[QTDE ATUAL]] + tabItens[[#This Row],[RC QTDE]] + tabItens[[#This Row],[AF SALDO]] + tabItens[[#This Row],[Recentes]]</f>
        <v>5096</v>
      </c>
      <c r="AX70" s="319">
        <v>2084</v>
      </c>
      <c r="AY70" s="319">
        <v>4</v>
      </c>
      <c r="AZ70" s="319">
        <f>IF(ISBLANK(tabItens[[#This Row],[CÓDIGO]]),"",tabItens[[#This Row],[PontoMês]] * (AZ$2+tabItens[[#This Row],[PontoQtM]]))</f>
        <v>8336</v>
      </c>
      <c r="BA70" s="318">
        <f>tabItens[[#This Row],[PontoPed]] - tabItens[[#This Row],[Saldo]] + (1/10)</f>
        <v>3240.1</v>
      </c>
      <c r="BB70" s="318">
        <f xml:space="preserve"> tabItens[[#This Row],[PontoMês]] * BB$2 - tabItens[[#This Row],[QTDE ATUAL]] - (1/10)</f>
        <v>1987.9</v>
      </c>
      <c r="BC70" s="320">
        <f>IF( tabItens[[#This Row],[PontoPed]]&gt;0, IF(tabItens[[#This Row],[PontoPed]]&lt;1, 1, IF( tabItens[[#This Row],[Saldo]]&gt;tabItens[[#This Row],[PontoPed]], 0, (tabItens[[#This Row],[PontoPed]]-tabItens[[#This Row],[Saldo]])/tabItens[[#This Row],[PontoPed]] ) ), 0 )</f>
        <v>0.3886756238003839</v>
      </c>
      <c r="BD70" s="321">
        <f>ROUNDDOWN(IF( OR( AND(tabItens[[#This Row],[PontoPed]]&lt;tabItens[[#This Row],[Saldo]],tabItens[[#This Row],[Saldo]]&gt;0), tabItens[[#This Row],[PontoPed]]=0), 99, IF(AND(tabItens[[#This Row],[Saldo]]=0,tabItens[[#This Row],[PontoPed]]&gt;0), 0, (1-tabItens[[#This Row],[PctAb]])*10 ) ),0)</f>
        <v>6</v>
      </c>
      <c r="BE70" s="322">
        <f>MAX(ROUNDDOWN( IF(tabItens[[#This Row],[Abaixo]] &gt; 0,   tabItens[[#This Row],[Abaixo]] + (tabItens[[#This Row],[PontoMês]] * IF( OR( ISBLANK(tabItens[[#This Row],[ATA Nº/ANO]]), tabItens[[#This Row],[ATA Nº/ANO]] = ""),BE$2,BE$1)),0),0),0)</f>
        <v>9492</v>
      </c>
      <c r="BF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23">
        <f>SUMIF(Consumo!$C$3:$C$869,tabItens[[#This Row],[CÓDIGO]],Consumo!$E$3:$E$869)</f>
        <v>95</v>
      </c>
      <c r="BH70" s="324">
        <f>IF(AND(tabItens[[#This Row],[Pend]] &gt; 0,tabItens[[#This Row],[Consumo]] &lt;&gt; 0), tabItens[[#This Row],[Pend]] / tabItens[[#This Row],[Consumo]], 0 )</f>
        <v>6.0206603713796819E-3</v>
      </c>
      <c r="BI70" s="323"/>
      <c r="BJ70" s="323"/>
      <c r="BK70" s="325" t="s">
        <v>2064</v>
      </c>
    </row>
    <row r="71" spans="1:63" x14ac:dyDescent="0.3">
      <c r="A71" s="396">
        <v>32933</v>
      </c>
      <c r="B71" s="397" t="s">
        <v>1249</v>
      </c>
      <c r="C71" s="398" t="s">
        <v>569</v>
      </c>
      <c r="D71" s="399">
        <v>0.98</v>
      </c>
      <c r="E71" s="290"/>
      <c r="F71" s="400"/>
      <c r="G71" s="400" t="s">
        <v>883</v>
      </c>
      <c r="H71" s="401">
        <v>0</v>
      </c>
      <c r="I71" s="292">
        <v>103003</v>
      </c>
      <c r="J71" s="293">
        <v>0.98</v>
      </c>
      <c r="K71" s="402">
        <v>9496</v>
      </c>
      <c r="L71" s="403">
        <f>IF(tabItens[[#This Row],[Média]] &gt; 0, tabItens[[#This Row],[QTDE ATUAL]] / tabItens[[#This Row],[Média]],999.9)</f>
        <v>0</v>
      </c>
      <c r="M71" s="404">
        <v>0</v>
      </c>
      <c r="N71" s="405">
        <f>tabItens[[#This Row],[VALOR UNIT.]] * tabItens[[#This Row],[LC]]</f>
        <v>0</v>
      </c>
      <c r="O71" s="406" t="s">
        <v>2066</v>
      </c>
      <c r="P71" s="407"/>
      <c r="Q71" s="408"/>
      <c r="R71" s="297"/>
      <c r="S71" s="409"/>
      <c r="T71" s="410">
        <f>ROUNDDOWN(IFERROR(tabItens[[#This Row],[ATA DT.VALID.]] - $D$1,0) / 30,0)</f>
        <v>-1504</v>
      </c>
      <c r="U71" s="287" t="s">
        <v>941</v>
      </c>
      <c r="V71" s="303">
        <v>1</v>
      </c>
      <c r="W71" s="411" t="s">
        <v>2052</v>
      </c>
      <c r="X71" s="412">
        <v>57</v>
      </c>
      <c r="Y71" s="413">
        <v>16</v>
      </c>
      <c r="Z71" s="414">
        <v>6984</v>
      </c>
      <c r="AA71" s="415">
        <v>2023</v>
      </c>
      <c r="AB71" s="416">
        <v>5700</v>
      </c>
      <c r="AC71" s="416"/>
      <c r="AD71" s="415"/>
      <c r="AE71" s="416"/>
      <c r="AF71" s="302"/>
      <c r="AG71" s="417" t="s">
        <v>2050</v>
      </c>
      <c r="AH71" s="418"/>
      <c r="AI71" s="302">
        <v>4562</v>
      </c>
      <c r="AJ71" s="418">
        <v>44960</v>
      </c>
      <c r="AK71" s="311" t="s">
        <v>883</v>
      </c>
      <c r="AL71" s="311">
        <v>44910</v>
      </c>
      <c r="AM71" s="301"/>
      <c r="AN71" s="290"/>
      <c r="AO71" s="312" t="str">
        <f>_xlfn.IFNA(IF(VLOOKUP(tabItens[[#This Row],[CÓDIGO]],tabExcluirDoEstoque[#Data],1,FALSE),"sim",""),"")</f>
        <v/>
      </c>
      <c r="AP71" s="419" t="str">
        <f ca="1">IF(OR(ISBLANK(tabItens[[#This Row],[ATA DT.VALID.]]),tabItens[[#This Row],[ATA DT.VALID.]]="",tabItens[[#This Row],[ATA DT.VALID.]]=" "),"",IF(TYPE(tabItens[[#This Row],[ATA DT.VALID.]])=1,ROUNDUP((tabItens[[#This Row],[ATA DT.VALID.]]-TODAY())/7,0),""))</f>
        <v/>
      </c>
      <c r="AQ71" s="314">
        <v>0</v>
      </c>
      <c r="AR71" s="315" t="str">
        <f>IF(ISBLANK(tabItens[[#This Row],[CÓDIGO]]),"",IFERROR(VLOOKUP(tabItens[[#This Row],[CÓDIGO]],Consumo!$C$2:$AC$869,26,FALSE),0))</f>
        <v>07.2023</v>
      </c>
      <c r="AS71" s="316">
        <f>SUMIF(Consumo!$C$3:$C$869,tabItens[[#This Row],[CÓDIGO]],Consumo!$N$3:$N$869) + SUMIF(Consumo!$C$3:$C$869,tabItens[[#This Row],[CÓDIGO]],Consumo!$O$3:$O$869) + SUMIF(Consumo!$C$3:$C$869,tabItens[[#This Row],[CÓDIGO]],Consumo!$P$3:$P$869) + SUMIF(Consumo!$C$3:$C$869,tabItens[[#This Row],[CÓDIGO]],Consumo!$Q$3:$Q$869)</f>
        <v>4936</v>
      </c>
      <c r="AT71" s="316">
        <f>SUMIF(Consumo!$C$3:$C$869,tabItens[[#This Row],[CÓDIGO]],Consumo!$Z$3:$Z$869)</f>
        <v>14138</v>
      </c>
      <c r="AU71" s="317">
        <f>SUMIF(Consumo!$C$3:$C$869,tabItens[[#This Row],[CÓDIGO]],Consumo!$AA$3:$AA$869)</f>
        <v>2250</v>
      </c>
      <c r="AV71" s="318">
        <f>SUMIF(Consumo!$C$3:$C$869,tabItens[[#This Row],[CÓDIGO]],Consumo!$Y$3:$Y$869)</f>
        <v>1178.1666666666667</v>
      </c>
      <c r="AW71" s="401">
        <f>tabItens[[#This Row],[QTDE ATUAL]] + tabItens[[#This Row],[RC QTDE]] + tabItens[[#This Row],[AF SALDO]] + tabItens[[#This Row],[Recentes]]</f>
        <v>5700</v>
      </c>
      <c r="AX71" s="420">
        <v>2084</v>
      </c>
      <c r="AY71" s="420">
        <v>4</v>
      </c>
      <c r="AZ71" s="420">
        <f>IF(ISBLANK(tabItens[[#This Row],[CÓDIGO]]),"",tabItens[[#This Row],[PontoMês]] * (AZ$2+tabItens[[#This Row],[PontoQtM]]))</f>
        <v>8336</v>
      </c>
      <c r="BA71" s="421">
        <f>tabItens[[#This Row],[PontoPed]] - tabItens[[#This Row],[Saldo]] + (1/10)</f>
        <v>2636.1</v>
      </c>
      <c r="BB71" s="421">
        <f xml:space="preserve"> tabItens[[#This Row],[PontoMês]] * BB$2 - tabItens[[#This Row],[QTDE ATUAL]] - (1/10)</f>
        <v>2083.9</v>
      </c>
      <c r="BC71" s="320">
        <f>IF( tabItens[[#This Row],[PontoPed]]&gt;0, IF(tabItens[[#This Row],[PontoPed]]&lt;1, 1, IF( tabItens[[#This Row],[Saldo]]&gt;tabItens[[#This Row],[PontoPed]], 0, (tabItens[[#This Row],[PontoPed]]-tabItens[[#This Row],[Saldo]])/tabItens[[#This Row],[PontoPed]] ) ), 0 )</f>
        <v>0.31621880998080615</v>
      </c>
      <c r="BD71" s="422">
        <f>ROUNDDOWN(IF( OR( AND(tabItens[[#This Row],[PontoPed]]&lt;tabItens[[#This Row],[Saldo]],tabItens[[#This Row],[Saldo]]&gt;0), tabItens[[#This Row],[PontoPed]]=0), 99, IF(AND(tabItens[[#This Row],[Saldo]]=0,tabItens[[#This Row],[PontoPed]]&gt;0), 0, (1-tabItens[[#This Row],[PctAb]])*10 ) ),0)</f>
        <v>6</v>
      </c>
      <c r="BE71" s="423">
        <f>MAX(ROUNDDOWN( IF(tabItens[[#This Row],[Abaixo]] &gt; 0,   tabItens[[#This Row],[Abaixo]] + (tabItens[[#This Row],[PontoMês]] * IF( OR( ISBLANK(tabItens[[#This Row],[ATA Nº/ANO]]), tabItens[[#This Row],[ATA Nº/ANO]] = ""),BE$2,BE$1)),0),0),0)</f>
        <v>8888</v>
      </c>
      <c r="BF7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23">
        <f>SUMIF(Consumo!$C$3:$C$869,tabItens[[#This Row],[CÓDIGO]],Consumo!$E$3:$E$869)</f>
        <v>452</v>
      </c>
      <c r="BH71" s="324">
        <f>IF(AND(tabItens[[#This Row],[Pend]] &gt; 0,tabItens[[#This Row],[Consumo]] &lt;&gt; 0), tabItens[[#This Row],[Pend]] / tabItens[[#This Row],[Consumo]], 0 )</f>
        <v>3.1970575753289009E-2</v>
      </c>
      <c r="BI71" s="323"/>
      <c r="BJ71" s="424"/>
      <c r="BK71" s="425" t="s">
        <v>2064</v>
      </c>
    </row>
    <row r="72" spans="1:63" hidden="1" x14ac:dyDescent="0.3">
      <c r="A72" s="286">
        <v>133843</v>
      </c>
      <c r="B72" s="287" t="s">
        <v>1851</v>
      </c>
      <c r="C72" s="288" t="s">
        <v>569</v>
      </c>
      <c r="D72" s="289">
        <v>0.69</v>
      </c>
      <c r="E72" s="290"/>
      <c r="F72" s="290"/>
      <c r="G72" s="290" t="s">
        <v>883</v>
      </c>
      <c r="H72" s="291">
        <v>3547</v>
      </c>
      <c r="I72" s="292">
        <v>103003</v>
      </c>
      <c r="J72" s="293">
        <v>0.69</v>
      </c>
      <c r="K72" s="294">
        <v>10640</v>
      </c>
      <c r="L72" s="295">
        <f>IF(tabItens[[#This Row],[Média]] &gt; 0, tabItens[[#This Row],[QTDE ATUAL]] / tabItens[[#This Row],[Média]],999.9)</f>
        <v>2.3782756886629044</v>
      </c>
      <c r="M72" s="296">
        <v>0</v>
      </c>
      <c r="N72" s="297">
        <f>tabItens[[#This Row],[VALOR UNIT.]] * tabItens[[#This Row],[LC]]</f>
        <v>0</v>
      </c>
      <c r="O72" s="298" t="s">
        <v>2066</v>
      </c>
      <c r="P72" s="299"/>
      <c r="Q72" s="300"/>
      <c r="R72" s="297"/>
      <c r="S72" s="301"/>
      <c r="T72" s="302">
        <f>ROUNDDOWN(IFERROR(tabItens[[#This Row],[ATA DT.VALID.]] - $D$1,0) / 30,0)</f>
        <v>-1504</v>
      </c>
      <c r="U72" s="287" t="s">
        <v>941</v>
      </c>
      <c r="V72" s="303">
        <v>1</v>
      </c>
      <c r="W72" s="304" t="s">
        <v>2052</v>
      </c>
      <c r="X72" s="305">
        <v>57</v>
      </c>
      <c r="Y72" s="306">
        <v>16</v>
      </c>
      <c r="Z72" s="307">
        <v>6985</v>
      </c>
      <c r="AA72" s="308">
        <v>2023</v>
      </c>
      <c r="AB72" s="309">
        <v>2200</v>
      </c>
      <c r="AC72" s="309"/>
      <c r="AD72" s="308"/>
      <c r="AE72" s="309"/>
      <c r="AF72" s="302"/>
      <c r="AG72" s="310" t="s">
        <v>2050</v>
      </c>
      <c r="AH72" s="311"/>
      <c r="AI72" s="302">
        <v>5960</v>
      </c>
      <c r="AJ72" s="311">
        <v>44973</v>
      </c>
      <c r="AK72" s="311">
        <v>43074</v>
      </c>
      <c r="AL72" s="311">
        <v>44959</v>
      </c>
      <c r="AM72" s="301"/>
      <c r="AN72" s="290"/>
      <c r="AO72" s="312" t="str">
        <f>_xlfn.IFNA(IF(VLOOKUP(tabItens[[#This Row],[CÓDIGO]],tabExcluirDoEstoque[#Data],1,FALSE),"sim",""),"")</f>
        <v/>
      </c>
      <c r="AP72" s="313" t="str">
        <f ca="1">IF(OR(ISBLANK(tabItens[[#This Row],[ATA DT.VALID.]]),tabItens[[#This Row],[ATA DT.VALID.]]="",tabItens[[#This Row],[ATA DT.VALID.]]=" "),"",IF(TYPE(tabItens[[#This Row],[ATA DT.VALID.]])=1,ROUNDUP((tabItens[[#This Row],[ATA DT.VALID.]]-TODAY())/7,0),""))</f>
        <v/>
      </c>
      <c r="AQ72" s="314">
        <v>0</v>
      </c>
      <c r="AR72" s="315" t="str">
        <f>IF(ISBLANK(tabItens[[#This Row],[CÓDIGO]]),"",IFERROR(VLOOKUP(tabItens[[#This Row],[CÓDIGO]],Consumo!$C$2:$AC$869,26,FALSE),0))</f>
        <v>07.2023</v>
      </c>
      <c r="AS72" s="316">
        <f>SUMIF(Consumo!$C$3:$C$869,tabItens[[#This Row],[CÓDIGO]],Consumo!$N$3:$N$869) + SUMIF(Consumo!$C$3:$C$869,tabItens[[#This Row],[CÓDIGO]],Consumo!$O$3:$O$869) + SUMIF(Consumo!$C$3:$C$869,tabItens[[#This Row],[CÓDIGO]],Consumo!$P$3:$P$869) + SUMIF(Consumo!$C$3:$C$869,tabItens[[#This Row],[CÓDIGO]],Consumo!$Q$3:$Q$869)</f>
        <v>6238</v>
      </c>
      <c r="AT72" s="316">
        <f>SUMIF(Consumo!$C$3:$C$869,tabItens[[#This Row],[CÓDIGO]],Consumo!$Z$3:$Z$869)</f>
        <v>17897</v>
      </c>
      <c r="AU72" s="317">
        <f>SUMIF(Consumo!$C$3:$C$869,tabItens[[#This Row],[CÓDIGO]],Consumo!$AA$3:$AA$869)</f>
        <v>2310</v>
      </c>
      <c r="AV72" s="318">
        <f>SUMIF(Consumo!$C$3:$C$869,tabItens[[#This Row],[CÓDIGO]],Consumo!$Y$3:$Y$869)</f>
        <v>1491.4166666666667</v>
      </c>
      <c r="AW72" s="291">
        <f>tabItens[[#This Row],[QTDE ATUAL]] + tabItens[[#This Row],[RC QTDE]] + tabItens[[#This Row],[AF SALDO]] + tabItens[[#This Row],[Recentes]]</f>
        <v>5747</v>
      </c>
      <c r="AX72" s="319">
        <v>2084</v>
      </c>
      <c r="AY72" s="319">
        <v>4</v>
      </c>
      <c r="AZ72" s="319">
        <f>IF(ISBLANK(tabItens[[#This Row],[CÓDIGO]]),"",tabItens[[#This Row],[PontoMês]] * (AZ$2+tabItens[[#This Row],[PontoQtM]]))</f>
        <v>8336</v>
      </c>
      <c r="BA72" s="318">
        <f>tabItens[[#This Row],[PontoPed]] - tabItens[[#This Row],[Saldo]] + (1/10)</f>
        <v>2589.1</v>
      </c>
      <c r="BB72" s="318">
        <f xml:space="preserve"> tabItens[[#This Row],[PontoMês]] * BB$2 - tabItens[[#This Row],[QTDE ATUAL]] - (1/10)</f>
        <v>-1463.1</v>
      </c>
      <c r="BC72" s="320">
        <f>IF( tabItens[[#This Row],[PontoPed]]&gt;0, IF(tabItens[[#This Row],[PontoPed]]&lt;1, 1, IF( tabItens[[#This Row],[Saldo]]&gt;tabItens[[#This Row],[PontoPed]], 0, (tabItens[[#This Row],[PontoPed]]-tabItens[[#This Row],[Saldo]])/tabItens[[#This Row],[PontoPed]] ) ), 0 )</f>
        <v>0.3105806142034549</v>
      </c>
      <c r="BD72" s="321">
        <f>ROUNDDOWN(IF( OR( AND(tabItens[[#This Row],[PontoPed]]&lt;tabItens[[#This Row],[Saldo]],tabItens[[#This Row],[Saldo]]&gt;0), tabItens[[#This Row],[PontoPed]]=0), 99, IF(AND(tabItens[[#This Row],[Saldo]]=0,tabItens[[#This Row],[PontoPed]]&gt;0), 0, (1-tabItens[[#This Row],[PctAb]])*10 ) ),0)</f>
        <v>6</v>
      </c>
      <c r="BE72" s="322">
        <f>MAX(ROUNDDOWN( IF(tabItens[[#This Row],[Abaixo]] &gt; 0,   tabItens[[#This Row],[Abaixo]] + (tabItens[[#This Row],[PontoMês]] * IF( OR( ISBLANK(tabItens[[#This Row],[ATA Nº/ANO]]), tabItens[[#This Row],[ATA Nº/ANO]] = ""),BE$2,BE$1)),0),0),0)</f>
        <v>8841</v>
      </c>
      <c r="BF7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23">
        <f>SUMIF(Consumo!$C$3:$C$869,tabItens[[#This Row],[CÓDIGO]],Consumo!$E$3:$E$869)</f>
        <v>20</v>
      </c>
      <c r="BH72" s="324">
        <f>IF(AND(tabItens[[#This Row],[Pend]] &gt; 0,tabItens[[#This Row],[Consumo]] &lt;&gt; 0), tabItens[[#This Row],[Pend]] / tabItens[[#This Row],[Consumo]], 0 )</f>
        <v>1.117505727216852E-3</v>
      </c>
      <c r="BI72" s="323"/>
      <c r="BJ72" s="323"/>
      <c r="BK72" s="325" t="s">
        <v>2064</v>
      </c>
    </row>
    <row r="73" spans="1:63" hidden="1" x14ac:dyDescent="0.3">
      <c r="A73" s="286">
        <v>133850</v>
      </c>
      <c r="B73" s="287" t="s">
        <v>1858</v>
      </c>
      <c r="C73" s="288" t="s">
        <v>569</v>
      </c>
      <c r="D73" s="289">
        <v>0.69</v>
      </c>
      <c r="E73" s="290"/>
      <c r="F73" s="290"/>
      <c r="G73" s="290" t="s">
        <v>883</v>
      </c>
      <c r="H73" s="291">
        <v>99</v>
      </c>
      <c r="I73" s="292">
        <v>103003</v>
      </c>
      <c r="J73" s="293">
        <v>0.69</v>
      </c>
      <c r="K73" s="294">
        <v>10601</v>
      </c>
      <c r="L73" s="295">
        <f>IF(tabItens[[#This Row],[Média]] &gt; 0, tabItens[[#This Row],[QTDE ATUAL]] / tabItens[[#This Row],[Média]],999.9)</f>
        <v>6.7160382158403531E-2</v>
      </c>
      <c r="M73" s="296">
        <v>0</v>
      </c>
      <c r="N73" s="297">
        <f>tabItens[[#This Row],[VALOR UNIT.]] * tabItens[[#This Row],[LC]]</f>
        <v>0</v>
      </c>
      <c r="O73" s="298" t="s">
        <v>2066</v>
      </c>
      <c r="P73" s="299"/>
      <c r="Q73" s="300"/>
      <c r="R73" s="297"/>
      <c r="S73" s="301"/>
      <c r="T73" s="302">
        <f>ROUNDDOWN(IFERROR(tabItens[[#This Row],[ATA DT.VALID.]] - $D$1,0) / 30,0)</f>
        <v>-1504</v>
      </c>
      <c r="U73" s="287" t="s">
        <v>941</v>
      </c>
      <c r="V73" s="303">
        <v>1</v>
      </c>
      <c r="W73" s="304" t="s">
        <v>2052</v>
      </c>
      <c r="X73" s="305">
        <v>57</v>
      </c>
      <c r="Y73" s="306">
        <v>16</v>
      </c>
      <c r="Z73" s="307">
        <v>6985</v>
      </c>
      <c r="AA73" s="308">
        <v>2023</v>
      </c>
      <c r="AB73" s="309">
        <v>5700</v>
      </c>
      <c r="AC73" s="309"/>
      <c r="AD73" s="308"/>
      <c r="AE73" s="309"/>
      <c r="AF73" s="302"/>
      <c r="AG73" s="310" t="s">
        <v>2050</v>
      </c>
      <c r="AH73" s="311"/>
      <c r="AI73" s="302">
        <v>5894</v>
      </c>
      <c r="AJ73" s="311">
        <v>44928</v>
      </c>
      <c r="AK73" s="311">
        <v>43074</v>
      </c>
      <c r="AL73" s="311">
        <v>44910</v>
      </c>
      <c r="AM73" s="301"/>
      <c r="AN73" s="290"/>
      <c r="AO73" s="312" t="str">
        <f>_xlfn.IFNA(IF(VLOOKUP(tabItens[[#This Row],[CÓDIGO]],tabExcluirDoEstoque[#Data],1,FALSE),"sim",""),"")</f>
        <v/>
      </c>
      <c r="AP73" s="313" t="str">
        <f ca="1">IF(OR(ISBLANK(tabItens[[#This Row],[ATA DT.VALID.]]),tabItens[[#This Row],[ATA DT.VALID.]]="",tabItens[[#This Row],[ATA DT.VALID.]]=" "),"",IF(TYPE(tabItens[[#This Row],[ATA DT.VALID.]])=1,ROUNDUP((tabItens[[#This Row],[ATA DT.VALID.]]-TODAY())/7,0),""))</f>
        <v/>
      </c>
      <c r="AQ73" s="314">
        <v>0</v>
      </c>
      <c r="AR73" s="315" t="str">
        <f>IF(ISBLANK(tabItens[[#This Row],[CÓDIGO]]),"",IFERROR(VLOOKUP(tabItens[[#This Row],[CÓDIGO]],Consumo!$C$2:$AC$869,26,FALSE),0))</f>
        <v>07.2023</v>
      </c>
      <c r="AS73" s="316">
        <f>SUMIF(Consumo!$C$3:$C$869,tabItens[[#This Row],[CÓDIGO]],Consumo!$N$3:$N$869) + SUMIF(Consumo!$C$3:$C$869,tabItens[[#This Row],[CÓDIGO]],Consumo!$O$3:$O$869) + SUMIF(Consumo!$C$3:$C$869,tabItens[[#This Row],[CÓDIGO]],Consumo!$P$3:$P$869) + SUMIF(Consumo!$C$3:$C$869,tabItens[[#This Row],[CÓDIGO]],Consumo!$Q$3:$Q$869)</f>
        <v>6225</v>
      </c>
      <c r="AT73" s="316">
        <f>SUMIF(Consumo!$C$3:$C$869,tabItens[[#This Row],[CÓDIGO]],Consumo!$Z$3:$Z$869)</f>
        <v>17689</v>
      </c>
      <c r="AU73" s="317">
        <f>SUMIF(Consumo!$C$3:$C$869,tabItens[[#This Row],[CÓDIGO]],Consumo!$AA$3:$AA$869)</f>
        <v>2255</v>
      </c>
      <c r="AV73" s="318">
        <f>SUMIF(Consumo!$C$3:$C$869,tabItens[[#This Row],[CÓDIGO]],Consumo!$Y$3:$Y$869)</f>
        <v>1474.0833333333333</v>
      </c>
      <c r="AW73" s="291">
        <f>tabItens[[#This Row],[QTDE ATUAL]] + tabItens[[#This Row],[RC QTDE]] + tabItens[[#This Row],[AF SALDO]] + tabItens[[#This Row],[Recentes]]</f>
        <v>5799</v>
      </c>
      <c r="AX73" s="319">
        <v>2084</v>
      </c>
      <c r="AY73" s="319">
        <v>4</v>
      </c>
      <c r="AZ73" s="319">
        <f>IF(ISBLANK(tabItens[[#This Row],[CÓDIGO]]),"",tabItens[[#This Row],[PontoMês]] * (AZ$2+tabItens[[#This Row],[PontoQtM]]))</f>
        <v>8336</v>
      </c>
      <c r="BA73" s="318">
        <f>tabItens[[#This Row],[PontoPed]] - tabItens[[#This Row],[Saldo]] + (1/10)</f>
        <v>2537.1</v>
      </c>
      <c r="BB73" s="318">
        <f xml:space="preserve"> tabItens[[#This Row],[PontoMês]] * BB$2 - tabItens[[#This Row],[QTDE ATUAL]] - (1/10)</f>
        <v>1984.9</v>
      </c>
      <c r="BC73" s="320">
        <f>IF( tabItens[[#This Row],[PontoPed]]&gt;0, IF(tabItens[[#This Row],[PontoPed]]&lt;1, 1, IF( tabItens[[#This Row],[Saldo]]&gt;tabItens[[#This Row],[PontoPed]], 0, (tabItens[[#This Row],[PontoPed]]-tabItens[[#This Row],[Saldo]])/tabItens[[#This Row],[PontoPed]] ) ), 0 )</f>
        <v>0.3043426103646833</v>
      </c>
      <c r="BD73" s="321">
        <f>ROUNDDOWN(IF( OR( AND(tabItens[[#This Row],[PontoPed]]&lt;tabItens[[#This Row],[Saldo]],tabItens[[#This Row],[Saldo]]&gt;0), tabItens[[#This Row],[PontoPed]]=0), 99, IF(AND(tabItens[[#This Row],[Saldo]]=0,tabItens[[#This Row],[PontoPed]]&gt;0), 0, (1-tabItens[[#This Row],[PctAb]])*10 ) ),0)</f>
        <v>6</v>
      </c>
      <c r="BE73" s="322">
        <f>MAX(ROUNDDOWN( IF(tabItens[[#This Row],[Abaixo]] &gt; 0,   tabItens[[#This Row],[Abaixo]] + (tabItens[[#This Row],[PontoMês]] * IF( OR( ISBLANK(tabItens[[#This Row],[ATA Nº/ANO]]), tabItens[[#This Row],[ATA Nº/ANO]] = ""),BE$2,BE$1)),0),0),0)</f>
        <v>8789</v>
      </c>
      <c r="BF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23">
        <f>SUMIF(Consumo!$C$3:$C$869,tabItens[[#This Row],[CÓDIGO]],Consumo!$E$3:$E$869)</f>
        <v>5</v>
      </c>
      <c r="BH73" s="324">
        <f>IF(AND(tabItens[[#This Row],[Pend]] &gt; 0,tabItens[[#This Row],[Consumo]] &lt;&gt; 0), tabItens[[#This Row],[Pend]] / tabItens[[#This Row],[Consumo]], 0 )</f>
        <v>2.8266154107072194E-4</v>
      </c>
      <c r="BI73" s="323"/>
      <c r="BJ73" s="323"/>
      <c r="BK73" s="325" t="s">
        <v>2064</v>
      </c>
    </row>
    <row r="74" spans="1:63" hidden="1" x14ac:dyDescent="0.3">
      <c r="A74" s="286">
        <v>138460</v>
      </c>
      <c r="B74" s="287" t="s">
        <v>1958</v>
      </c>
      <c r="C74" s="288" t="s">
        <v>31</v>
      </c>
      <c r="D74" s="289">
        <v>0.63</v>
      </c>
      <c r="E74" s="290"/>
      <c r="F74" s="290"/>
      <c r="G74" s="290" t="s">
        <v>883</v>
      </c>
      <c r="H74" s="291">
        <v>3434</v>
      </c>
      <c r="I74" s="292">
        <v>103003</v>
      </c>
      <c r="J74" s="293">
        <v>0.63</v>
      </c>
      <c r="K74" s="294">
        <v>8208</v>
      </c>
      <c r="L74" s="295">
        <f>IF(tabItens[[#This Row],[Média]] &gt; 0, tabItens[[#This Row],[QTDE ATUAL]] / tabItens[[#This Row],[Média]],999.9)</f>
        <v>4.4718393922951716</v>
      </c>
      <c r="M74" s="296">
        <v>0</v>
      </c>
      <c r="N74" s="297">
        <f>tabItens[[#This Row],[VALOR UNIT.]] * tabItens[[#This Row],[LC]]</f>
        <v>0</v>
      </c>
      <c r="O74" s="298" t="s">
        <v>2067</v>
      </c>
      <c r="P74" s="299"/>
      <c r="Q74" s="300"/>
      <c r="R74" s="297"/>
      <c r="S74" s="301"/>
      <c r="T74" s="302">
        <f>ROUNDDOWN(IFERROR(tabItens[[#This Row],[ATA DT.VALID.]] - $D$1,0) / 30,0)</f>
        <v>-1504</v>
      </c>
      <c r="U74" s="287" t="s">
        <v>903</v>
      </c>
      <c r="V74" s="303">
        <v>1</v>
      </c>
      <c r="W74" s="304" t="s">
        <v>2052</v>
      </c>
      <c r="X74" s="305">
        <v>45</v>
      </c>
      <c r="Y74" s="306">
        <v>10</v>
      </c>
      <c r="Z74" s="307">
        <v>6211</v>
      </c>
      <c r="AA74" s="308">
        <v>2023</v>
      </c>
      <c r="AB74" s="309">
        <v>1500</v>
      </c>
      <c r="AC74" s="309"/>
      <c r="AD74" s="308"/>
      <c r="AE74" s="309"/>
      <c r="AF74" s="302"/>
      <c r="AG74" s="310" t="s">
        <v>2050</v>
      </c>
      <c r="AH74" s="311"/>
      <c r="AI74" s="302">
        <v>10656</v>
      </c>
      <c r="AJ74" s="311">
        <v>44151</v>
      </c>
      <c r="AK74" s="311">
        <v>43720</v>
      </c>
      <c r="AL74" s="311">
        <v>45050</v>
      </c>
      <c r="AM74" s="301"/>
      <c r="AN74" s="290"/>
      <c r="AO74" s="312" t="str">
        <f>_xlfn.IFNA(IF(VLOOKUP(tabItens[[#This Row],[CÓDIGO]],tabExcluirDoEstoque[#Data],1,FALSE),"sim",""),"")</f>
        <v/>
      </c>
      <c r="AP74" s="313" t="str">
        <f ca="1">IF(OR(ISBLANK(tabItens[[#This Row],[ATA DT.VALID.]]),tabItens[[#This Row],[ATA DT.VALID.]]="",tabItens[[#This Row],[ATA DT.VALID.]]=" "),"",IF(TYPE(tabItens[[#This Row],[ATA DT.VALID.]])=1,ROUNDUP((tabItens[[#This Row],[ATA DT.VALID.]]-TODAY())/7,0),""))</f>
        <v/>
      </c>
      <c r="AQ74" s="314">
        <v>0</v>
      </c>
      <c r="AR74" s="315" t="str">
        <f>IF(ISBLANK(tabItens[[#This Row],[CÓDIGO]]),"",IFERROR(VLOOKUP(tabItens[[#This Row],[CÓDIGO]],Consumo!$C$2:$AC$869,26,FALSE),0))</f>
        <v>07.2023</v>
      </c>
      <c r="AS74" s="316">
        <f>SUMIF(Consumo!$C$3:$C$869,tabItens[[#This Row],[CÓDIGO]],Consumo!$N$3:$N$869) + SUMIF(Consumo!$C$3:$C$869,tabItens[[#This Row],[CÓDIGO]],Consumo!$O$3:$O$869) + SUMIF(Consumo!$C$3:$C$869,tabItens[[#This Row],[CÓDIGO]],Consumo!$P$3:$P$869) + SUMIF(Consumo!$C$3:$C$869,tabItens[[#This Row],[CÓDIGO]],Consumo!$Q$3:$Q$869)</f>
        <v>2420</v>
      </c>
      <c r="AT74" s="316">
        <f>SUMIF(Consumo!$C$3:$C$869,tabItens[[#This Row],[CÓDIGO]],Consumo!$Z$3:$Z$869)</f>
        <v>10768</v>
      </c>
      <c r="AU74" s="317">
        <f>SUMIF(Consumo!$C$3:$C$869,tabItens[[#This Row],[CÓDIGO]],Consumo!$AA$3:$AA$869)</f>
        <v>4977</v>
      </c>
      <c r="AV74" s="318">
        <f>SUMIF(Consumo!$C$3:$C$869,tabItens[[#This Row],[CÓDIGO]],Consumo!$Y$3:$Y$869)</f>
        <v>767.91666666666663</v>
      </c>
      <c r="AW74" s="291">
        <f>tabItens[[#This Row],[QTDE ATUAL]] + tabItens[[#This Row],[RC QTDE]] + tabItens[[#This Row],[AF SALDO]] + tabItens[[#This Row],[Recentes]]</f>
        <v>4934</v>
      </c>
      <c r="AX74" s="319">
        <v>1997</v>
      </c>
      <c r="AY74" s="319">
        <v>4</v>
      </c>
      <c r="AZ74" s="319">
        <f>IF(ISBLANK(tabItens[[#This Row],[CÓDIGO]]),"",tabItens[[#This Row],[PontoMês]] * (AZ$2+tabItens[[#This Row],[PontoQtM]]))</f>
        <v>7988</v>
      </c>
      <c r="BA74" s="318">
        <f>tabItens[[#This Row],[PontoPed]] - tabItens[[#This Row],[Saldo]] + (1/10)</f>
        <v>3054.1</v>
      </c>
      <c r="BB74" s="318">
        <f xml:space="preserve"> tabItens[[#This Row],[PontoMês]] * BB$2 - tabItens[[#This Row],[QTDE ATUAL]] - (1/10)</f>
        <v>-1437.1</v>
      </c>
      <c r="BC74" s="320">
        <f>IF( tabItens[[#This Row],[PontoPed]]&gt;0, IF(tabItens[[#This Row],[PontoPed]]&lt;1, 1, IF( tabItens[[#This Row],[Saldo]]&gt;tabItens[[#This Row],[PontoPed]], 0, (tabItens[[#This Row],[PontoPed]]-tabItens[[#This Row],[Saldo]])/tabItens[[#This Row],[PontoPed]] ) ), 0 )</f>
        <v>0.38232348522784176</v>
      </c>
      <c r="BD74" s="321">
        <f>ROUNDDOWN(IF( OR( AND(tabItens[[#This Row],[PontoPed]]&lt;tabItens[[#This Row],[Saldo]],tabItens[[#This Row],[Saldo]]&gt;0), tabItens[[#This Row],[PontoPed]]=0), 99, IF(AND(tabItens[[#This Row],[Saldo]]=0,tabItens[[#This Row],[PontoPed]]&gt;0), 0, (1-tabItens[[#This Row],[PctAb]])*10 ) ),0)</f>
        <v>6</v>
      </c>
      <c r="BE74" s="322">
        <f>MAX(ROUNDDOWN( IF(tabItens[[#This Row],[Abaixo]] &gt; 0,   tabItens[[#This Row],[Abaixo]] + (tabItens[[#This Row],[PontoMês]] * IF( OR( ISBLANK(tabItens[[#This Row],[ATA Nº/ANO]]), tabItens[[#This Row],[ATA Nº/ANO]] = ""),BE$2,BE$1)),0),0),0)</f>
        <v>9045</v>
      </c>
      <c r="BF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23">
        <f>SUMIF(Consumo!$C$3:$C$869,tabItens[[#This Row],[CÓDIGO]],Consumo!$E$3:$E$869)</f>
        <v>15</v>
      </c>
      <c r="BH74" s="324">
        <f>IF(AND(tabItens[[#This Row],[Pend]] &gt; 0,tabItens[[#This Row],[Consumo]] &lt;&gt; 0), tabItens[[#This Row],[Pend]] / tabItens[[#This Row],[Consumo]], 0 )</f>
        <v>1.3930163447251115E-3</v>
      </c>
      <c r="BI74" s="323"/>
      <c r="BJ74" s="323"/>
      <c r="BK74" s="325" t="s">
        <v>2064</v>
      </c>
    </row>
    <row r="75" spans="1:63" hidden="1" x14ac:dyDescent="0.3">
      <c r="A75" s="286">
        <v>17362</v>
      </c>
      <c r="B75" s="287" t="s">
        <v>1128</v>
      </c>
      <c r="C75" s="288" t="s">
        <v>569</v>
      </c>
      <c r="D75" s="289">
        <v>1.25</v>
      </c>
      <c r="E75" s="290"/>
      <c r="F75" s="290"/>
      <c r="G75" s="290" t="s">
        <v>883</v>
      </c>
      <c r="H75" s="291">
        <v>591</v>
      </c>
      <c r="I75" s="292">
        <v>103003</v>
      </c>
      <c r="J75" s="293">
        <v>1.25</v>
      </c>
      <c r="K75" s="294">
        <v>5946</v>
      </c>
      <c r="L75" s="295">
        <f>IF(tabItens[[#This Row],[Média]] &gt; 0, tabItens[[#This Row],[QTDE ATUAL]] / tabItens[[#This Row],[Média]],999.9)</f>
        <v>0.7872127872127872</v>
      </c>
      <c r="M75" s="296">
        <v>0</v>
      </c>
      <c r="N75" s="297">
        <f>tabItens[[#This Row],[VALOR UNIT.]] * tabItens[[#This Row],[LC]]</f>
        <v>0</v>
      </c>
      <c r="O75" s="298" t="s">
        <v>2067</v>
      </c>
      <c r="P75" s="299"/>
      <c r="Q75" s="300"/>
      <c r="R75" s="297"/>
      <c r="S75" s="301"/>
      <c r="T75" s="302">
        <f>ROUNDDOWN(IFERROR(tabItens[[#This Row],[ATA DT.VALID.]] - $D$1,0) / 30,0)</f>
        <v>-1504</v>
      </c>
      <c r="U75" s="287" t="s">
        <v>1129</v>
      </c>
      <c r="V75" s="303">
        <v>1</v>
      </c>
      <c r="W75" s="304" t="s">
        <v>2052</v>
      </c>
      <c r="X75" s="305">
        <v>57</v>
      </c>
      <c r="Y75" s="306">
        <v>15</v>
      </c>
      <c r="Z75" s="307">
        <v>6989</v>
      </c>
      <c r="AA75" s="308">
        <v>2023</v>
      </c>
      <c r="AB75" s="309">
        <v>1900</v>
      </c>
      <c r="AC75" s="309"/>
      <c r="AD75" s="308"/>
      <c r="AE75" s="309"/>
      <c r="AF75" s="302"/>
      <c r="AG75" s="310" t="s">
        <v>2050</v>
      </c>
      <c r="AH75" s="311"/>
      <c r="AI75" s="302">
        <v>3004</v>
      </c>
      <c r="AJ75" s="311">
        <v>44967</v>
      </c>
      <c r="AK75" s="311" t="s">
        <v>883</v>
      </c>
      <c r="AL75" s="311">
        <v>44959</v>
      </c>
      <c r="AM75" s="301"/>
      <c r="AN75" s="290"/>
      <c r="AO75" s="312" t="str">
        <f>_xlfn.IFNA(IF(VLOOKUP(tabItens[[#This Row],[CÓDIGO]],tabExcluirDoEstoque[#Data],1,FALSE),"sim",""),"")</f>
        <v/>
      </c>
      <c r="AP75" s="313" t="str">
        <f ca="1">IF(OR(ISBLANK(tabItens[[#This Row],[ATA DT.VALID.]]),tabItens[[#This Row],[ATA DT.VALID.]]="",tabItens[[#This Row],[ATA DT.VALID.]]=" "),"",IF(TYPE(tabItens[[#This Row],[ATA DT.VALID.]])=1,ROUNDUP((tabItens[[#This Row],[ATA DT.VALID.]]-TODAY())/7,0),""))</f>
        <v/>
      </c>
      <c r="AQ75" s="314">
        <v>0</v>
      </c>
      <c r="AR75" s="315" t="str">
        <f>IF(ISBLANK(tabItens[[#This Row],[CÓDIGO]]),"",IFERROR(VLOOKUP(tabItens[[#This Row],[CÓDIGO]],Consumo!$C$2:$AC$869,26,FALSE),0))</f>
        <v>07.2023</v>
      </c>
      <c r="AS75" s="316">
        <f>SUMIF(Consumo!$C$3:$C$869,tabItens[[#This Row],[CÓDIGO]],Consumo!$N$3:$N$869) + SUMIF(Consumo!$C$3:$C$869,tabItens[[#This Row],[CÓDIGO]],Consumo!$O$3:$O$869) + SUMIF(Consumo!$C$3:$C$869,tabItens[[#This Row],[CÓDIGO]],Consumo!$P$3:$P$869) + SUMIF(Consumo!$C$3:$C$869,tabItens[[#This Row],[CÓDIGO]],Consumo!$Q$3:$Q$869)</f>
        <v>3612</v>
      </c>
      <c r="AT75" s="316">
        <f>SUMIF(Consumo!$C$3:$C$869,tabItens[[#This Row],[CÓDIGO]],Consumo!$Z$3:$Z$869)</f>
        <v>9009</v>
      </c>
      <c r="AU75" s="317">
        <f>SUMIF(Consumo!$C$3:$C$869,tabItens[[#This Row],[CÓDIGO]],Consumo!$AA$3:$AA$869)</f>
        <v>1188</v>
      </c>
      <c r="AV75" s="318">
        <f>SUMIF(Consumo!$C$3:$C$869,tabItens[[#This Row],[CÓDIGO]],Consumo!$Y$3:$Y$869)</f>
        <v>750.75</v>
      </c>
      <c r="AW75" s="291">
        <f>tabItens[[#This Row],[QTDE ATUAL]] + tabItens[[#This Row],[RC QTDE]] + tabItens[[#This Row],[AF SALDO]] + tabItens[[#This Row],[Recentes]]</f>
        <v>2491</v>
      </c>
      <c r="AX75" s="319">
        <v>1000</v>
      </c>
      <c r="AY75" s="319">
        <v>4</v>
      </c>
      <c r="AZ75" s="319">
        <f>IF(ISBLANK(tabItens[[#This Row],[CÓDIGO]]),"",tabItens[[#This Row],[PontoMês]] * (AZ$2+tabItens[[#This Row],[PontoQtM]]))</f>
        <v>4000</v>
      </c>
      <c r="BA75" s="318">
        <f>tabItens[[#This Row],[PontoPed]] - tabItens[[#This Row],[Saldo]] + (1/10)</f>
        <v>1509.1</v>
      </c>
      <c r="BB75" s="318">
        <f xml:space="preserve"> tabItens[[#This Row],[PontoMês]] * BB$2 - tabItens[[#This Row],[QTDE ATUAL]] - (1/10)</f>
        <v>408.9</v>
      </c>
      <c r="BC75" s="320">
        <f>IF( tabItens[[#This Row],[PontoPed]]&gt;0, IF(tabItens[[#This Row],[PontoPed]]&lt;1, 1, IF( tabItens[[#This Row],[Saldo]]&gt;tabItens[[#This Row],[PontoPed]], 0, (tabItens[[#This Row],[PontoPed]]-tabItens[[#This Row],[Saldo]])/tabItens[[#This Row],[PontoPed]] ) ), 0 )</f>
        <v>0.37724999999999997</v>
      </c>
      <c r="BD75" s="321">
        <f>ROUNDDOWN(IF( OR( AND(tabItens[[#This Row],[PontoPed]]&lt;tabItens[[#This Row],[Saldo]],tabItens[[#This Row],[Saldo]]&gt;0), tabItens[[#This Row],[PontoPed]]=0), 99, IF(AND(tabItens[[#This Row],[Saldo]]=0,tabItens[[#This Row],[PontoPed]]&gt;0), 0, (1-tabItens[[#This Row],[PctAb]])*10 ) ),0)</f>
        <v>6</v>
      </c>
      <c r="BE75" s="322">
        <f>MAX(ROUNDDOWN( IF(tabItens[[#This Row],[Abaixo]] &gt; 0,   tabItens[[#This Row],[Abaixo]] + (tabItens[[#This Row],[PontoMês]] * IF( OR( ISBLANK(tabItens[[#This Row],[ATA Nº/ANO]]), tabItens[[#This Row],[ATA Nº/ANO]] = ""),BE$2,BE$1)),0),0),0)</f>
        <v>4509</v>
      </c>
      <c r="BF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23">
        <f>SUMIF(Consumo!$C$3:$C$869,tabItens[[#This Row],[CÓDIGO]],Consumo!$E$3:$E$869)</f>
        <v>0</v>
      </c>
      <c r="BH75" s="324">
        <f>IF(AND(tabItens[[#This Row],[Pend]] &gt; 0,tabItens[[#This Row],[Consumo]] &lt;&gt; 0), tabItens[[#This Row],[Pend]] / tabItens[[#This Row],[Consumo]], 0 )</f>
        <v>0</v>
      </c>
      <c r="BI75" s="323"/>
      <c r="BJ75" s="323"/>
      <c r="BK75" s="325" t="s">
        <v>2064</v>
      </c>
    </row>
    <row r="76" spans="1:63" hidden="1" x14ac:dyDescent="0.3">
      <c r="A76" s="286">
        <v>17370</v>
      </c>
      <c r="B76" s="287" t="s">
        <v>1130</v>
      </c>
      <c r="C76" s="288" t="s">
        <v>569</v>
      </c>
      <c r="D76" s="289">
        <v>1.25</v>
      </c>
      <c r="E76" s="290"/>
      <c r="F76" s="290"/>
      <c r="G76" s="290" t="s">
        <v>883</v>
      </c>
      <c r="H76" s="291">
        <v>283</v>
      </c>
      <c r="I76" s="292">
        <v>103003</v>
      </c>
      <c r="J76" s="293">
        <v>1.25</v>
      </c>
      <c r="K76" s="294">
        <v>5771</v>
      </c>
      <c r="L76" s="295">
        <f>IF(tabItens[[#This Row],[Média]] &gt; 0, tabItens[[#This Row],[QTDE ATUAL]] / tabItens[[#This Row],[Média]],999.9)</f>
        <v>0.40920592842511144</v>
      </c>
      <c r="M76" s="296">
        <v>0</v>
      </c>
      <c r="N76" s="297">
        <f>tabItens[[#This Row],[VALOR UNIT.]] * tabItens[[#This Row],[LC]]</f>
        <v>0</v>
      </c>
      <c r="O76" s="298" t="s">
        <v>2067</v>
      </c>
      <c r="P76" s="299"/>
      <c r="Q76" s="300"/>
      <c r="R76" s="297"/>
      <c r="S76" s="301"/>
      <c r="T76" s="302">
        <f>ROUNDDOWN(IFERROR(tabItens[[#This Row],[ATA DT.VALID.]] - $D$1,0) / 30,0)</f>
        <v>-1504</v>
      </c>
      <c r="U76" s="287" t="s">
        <v>1129</v>
      </c>
      <c r="V76" s="303">
        <v>1</v>
      </c>
      <c r="W76" s="304" t="s">
        <v>2052</v>
      </c>
      <c r="X76" s="305">
        <v>57</v>
      </c>
      <c r="Y76" s="306">
        <v>15</v>
      </c>
      <c r="Z76" s="307">
        <v>6989</v>
      </c>
      <c r="AA76" s="308">
        <v>2023</v>
      </c>
      <c r="AB76" s="309">
        <v>1900</v>
      </c>
      <c r="AC76" s="309"/>
      <c r="AD76" s="308"/>
      <c r="AE76" s="309"/>
      <c r="AF76" s="302"/>
      <c r="AG76" s="310" t="s">
        <v>2050</v>
      </c>
      <c r="AH76" s="311"/>
      <c r="AI76" s="302">
        <v>2748</v>
      </c>
      <c r="AJ76" s="311">
        <v>45009</v>
      </c>
      <c r="AK76" s="311" t="s">
        <v>883</v>
      </c>
      <c r="AL76" s="311">
        <v>44959</v>
      </c>
      <c r="AM76" s="301"/>
      <c r="AN76" s="290"/>
      <c r="AO76" s="312" t="str">
        <f>_xlfn.IFNA(IF(VLOOKUP(tabItens[[#This Row],[CÓDIGO]],tabExcluirDoEstoque[#Data],1,FALSE),"sim",""),"")</f>
        <v/>
      </c>
      <c r="AP76" s="313" t="str">
        <f ca="1">IF(OR(ISBLANK(tabItens[[#This Row],[ATA DT.VALID.]]),tabItens[[#This Row],[ATA DT.VALID.]]="",tabItens[[#This Row],[ATA DT.VALID.]]=" "),"",IF(TYPE(tabItens[[#This Row],[ATA DT.VALID.]])=1,ROUNDUP((tabItens[[#This Row],[ATA DT.VALID.]]-TODAY())/7,0),""))</f>
        <v/>
      </c>
      <c r="AQ76" s="314">
        <v>0</v>
      </c>
      <c r="AR76" s="315" t="str">
        <f>IF(ISBLANK(tabItens[[#This Row],[CÓDIGO]]),"",IFERROR(VLOOKUP(tabItens[[#This Row],[CÓDIGO]],Consumo!$C$2:$AC$869,26,FALSE),0))</f>
        <v>07.2023</v>
      </c>
      <c r="AS76" s="316">
        <f>SUMIF(Consumo!$C$3:$C$869,tabItens[[#This Row],[CÓDIGO]],Consumo!$N$3:$N$869) + SUMIF(Consumo!$C$3:$C$869,tabItens[[#This Row],[CÓDIGO]],Consumo!$O$3:$O$869) + SUMIF(Consumo!$C$3:$C$869,tabItens[[#This Row],[CÓDIGO]],Consumo!$P$3:$P$869) + SUMIF(Consumo!$C$3:$C$869,tabItens[[#This Row],[CÓDIGO]],Consumo!$Q$3:$Q$869)</f>
        <v>3558</v>
      </c>
      <c r="AT76" s="316">
        <f>SUMIF(Consumo!$C$3:$C$869,tabItens[[#This Row],[CÓDIGO]],Consumo!$Z$3:$Z$869)</f>
        <v>8299</v>
      </c>
      <c r="AU76" s="317">
        <f>SUMIF(Consumo!$C$3:$C$869,tabItens[[#This Row],[CÓDIGO]],Consumo!$AA$3:$AA$869)</f>
        <v>1173</v>
      </c>
      <c r="AV76" s="318">
        <f>SUMIF(Consumo!$C$3:$C$869,tabItens[[#This Row],[CÓDIGO]],Consumo!$Y$3:$Y$869)</f>
        <v>691.58333333333337</v>
      </c>
      <c r="AW76" s="291">
        <f>tabItens[[#This Row],[QTDE ATUAL]] + tabItens[[#This Row],[RC QTDE]] + tabItens[[#This Row],[AF SALDO]] + tabItens[[#This Row],[Recentes]]</f>
        <v>2183</v>
      </c>
      <c r="AX76" s="319">
        <v>785</v>
      </c>
      <c r="AY76" s="319">
        <v>4</v>
      </c>
      <c r="AZ76" s="319">
        <f>IF(ISBLANK(tabItens[[#This Row],[CÓDIGO]]),"",tabItens[[#This Row],[PontoMês]] * (AZ$2+tabItens[[#This Row],[PontoQtM]]))</f>
        <v>3140</v>
      </c>
      <c r="BA76" s="318">
        <f>tabItens[[#This Row],[PontoPed]] - tabItens[[#This Row],[Saldo]] + (1/10)</f>
        <v>957.1</v>
      </c>
      <c r="BB76" s="318">
        <f xml:space="preserve"> tabItens[[#This Row],[PontoMês]] * BB$2 - tabItens[[#This Row],[QTDE ATUAL]] - (1/10)</f>
        <v>501.9</v>
      </c>
      <c r="BC76" s="320">
        <f>IF( tabItens[[#This Row],[PontoPed]]&gt;0, IF(tabItens[[#This Row],[PontoPed]]&lt;1, 1, IF( tabItens[[#This Row],[Saldo]]&gt;tabItens[[#This Row],[PontoPed]], 0, (tabItens[[#This Row],[PontoPed]]-tabItens[[#This Row],[Saldo]])/tabItens[[#This Row],[PontoPed]] ) ), 0 )</f>
        <v>0.30477707006369426</v>
      </c>
      <c r="BD76" s="321">
        <f>ROUNDDOWN(IF( OR( AND(tabItens[[#This Row],[PontoPed]]&lt;tabItens[[#This Row],[Saldo]],tabItens[[#This Row],[Saldo]]&gt;0), tabItens[[#This Row],[PontoPed]]=0), 99, IF(AND(tabItens[[#This Row],[Saldo]]=0,tabItens[[#This Row],[PontoPed]]&gt;0), 0, (1-tabItens[[#This Row],[PctAb]])*10 ) ),0)</f>
        <v>6</v>
      </c>
      <c r="BE76" s="322">
        <f>MAX(ROUNDDOWN( IF(tabItens[[#This Row],[Abaixo]] &gt; 0,   tabItens[[#This Row],[Abaixo]] + (tabItens[[#This Row],[PontoMês]] * IF( OR( ISBLANK(tabItens[[#This Row],[ATA Nº/ANO]]), tabItens[[#This Row],[ATA Nº/ANO]] = ""),BE$2,BE$1)),0),0),0)</f>
        <v>3312</v>
      </c>
      <c r="BF7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23">
        <f>SUMIF(Consumo!$C$3:$C$869,tabItens[[#This Row],[CÓDIGO]],Consumo!$E$3:$E$869)</f>
        <v>56</v>
      </c>
      <c r="BH76" s="324">
        <f>IF(AND(tabItens[[#This Row],[Pend]] &gt; 0,tabItens[[#This Row],[Consumo]] &lt;&gt; 0), tabItens[[#This Row],[Pend]] / tabItens[[#This Row],[Consumo]], 0 )</f>
        <v>6.7478009398722737E-3</v>
      </c>
      <c r="BI76" s="323"/>
      <c r="BJ76" s="323"/>
      <c r="BK76" s="325" t="s">
        <v>2064</v>
      </c>
    </row>
    <row r="77" spans="1:63" x14ac:dyDescent="0.3">
      <c r="A77" s="396">
        <v>35554</v>
      </c>
      <c r="B77" s="397" t="s">
        <v>1260</v>
      </c>
      <c r="C77" s="398" t="s">
        <v>569</v>
      </c>
      <c r="D77" s="399">
        <v>0.5</v>
      </c>
      <c r="E77" s="290"/>
      <c r="F77" s="400"/>
      <c r="G77" s="400" t="s">
        <v>883</v>
      </c>
      <c r="H77" s="401">
        <v>0</v>
      </c>
      <c r="I77" s="292">
        <v>103003</v>
      </c>
      <c r="J77" s="293">
        <v>0.5</v>
      </c>
      <c r="K77" s="402">
        <v>48</v>
      </c>
      <c r="L77" s="403">
        <f>IF(tabItens[[#This Row],[Média]] &gt; 0, tabItens[[#This Row],[QTDE ATUAL]] / tabItens[[#This Row],[Média]],999.9)</f>
        <v>0</v>
      </c>
      <c r="M77" s="404">
        <v>0</v>
      </c>
      <c r="N77" s="405">
        <f>tabItens[[#This Row],[VALOR UNIT.]] * tabItens[[#This Row],[LC]]</f>
        <v>0</v>
      </c>
      <c r="O77" s="406" t="s">
        <v>2077</v>
      </c>
      <c r="P77" s="407"/>
      <c r="Q77" s="408"/>
      <c r="R77" s="297"/>
      <c r="S77" s="409"/>
      <c r="T77" s="410">
        <f>ROUNDDOWN(IFERROR(tabItens[[#This Row],[ATA DT.VALID.]] - $D$1,0) / 30,0)</f>
        <v>-1504</v>
      </c>
      <c r="U77" s="287" t="s">
        <v>994</v>
      </c>
      <c r="V77" s="303">
        <v>1</v>
      </c>
      <c r="W77" s="411" t="s">
        <v>2056</v>
      </c>
      <c r="X77" s="412">
        <v>83</v>
      </c>
      <c r="Y77" s="413">
        <v>2</v>
      </c>
      <c r="Z77" s="414">
        <v>2995</v>
      </c>
      <c r="AA77" s="415">
        <v>2023</v>
      </c>
      <c r="AB77" s="416">
        <v>20</v>
      </c>
      <c r="AC77" s="416"/>
      <c r="AD77" s="415"/>
      <c r="AE77" s="416"/>
      <c r="AF77" s="302"/>
      <c r="AG77" s="417" t="s">
        <v>2050</v>
      </c>
      <c r="AH77" s="418"/>
      <c r="AI77" s="302">
        <v>16</v>
      </c>
      <c r="AJ77" s="418">
        <v>43644</v>
      </c>
      <c r="AK77" s="311" t="s">
        <v>883</v>
      </c>
      <c r="AL77" s="311">
        <v>43622</v>
      </c>
      <c r="AM77" s="301"/>
      <c r="AN77" s="290"/>
      <c r="AO77" s="312" t="str">
        <f>_xlfn.IFNA(IF(VLOOKUP(tabItens[[#This Row],[CÓDIGO]],tabExcluirDoEstoque[#Data],1,FALSE),"sim",""),"")</f>
        <v/>
      </c>
      <c r="AP77" s="419" t="str">
        <f ca="1">IF(OR(ISBLANK(tabItens[[#This Row],[ATA DT.VALID.]]),tabItens[[#This Row],[ATA DT.VALID.]]="",tabItens[[#This Row],[ATA DT.VALID.]]=" "),"",IF(TYPE(tabItens[[#This Row],[ATA DT.VALID.]])=1,ROUNDUP((tabItens[[#This Row],[ATA DT.VALID.]]-TODAY())/7,0),""))</f>
        <v/>
      </c>
      <c r="AQ77" s="314">
        <v>0</v>
      </c>
      <c r="AR77" s="315" t="str">
        <f>IF(ISBLANK(tabItens[[#This Row],[CÓDIGO]]),"",IFERROR(VLOOKUP(tabItens[[#This Row],[CÓDIGO]],Consumo!$C$2:$AC$869,26,FALSE),0))</f>
        <v>04.2023</v>
      </c>
      <c r="AS77" s="316">
        <f>SUMIF(Consumo!$C$3:$C$869,tabItens[[#This Row],[CÓDIGO]],Consumo!$N$3:$N$869) + SUMIF(Consumo!$C$3:$C$869,tabItens[[#This Row],[CÓDIGO]],Consumo!$O$3:$O$869) + SUMIF(Consumo!$C$3:$C$869,tabItens[[#This Row],[CÓDIGO]],Consumo!$P$3:$P$869) + SUMIF(Consumo!$C$3:$C$869,tabItens[[#This Row],[CÓDIGO]],Consumo!$Q$3:$Q$869)</f>
        <v>5</v>
      </c>
      <c r="AT77" s="316">
        <f>SUMIF(Consumo!$C$3:$C$869,tabItens[[#This Row],[CÓDIGO]],Consumo!$Z$3:$Z$869)</f>
        <v>83</v>
      </c>
      <c r="AU77" s="317">
        <f>SUMIF(Consumo!$C$3:$C$869,tabItens[[#This Row],[CÓDIGO]],Consumo!$AA$3:$AA$869)</f>
        <v>22</v>
      </c>
      <c r="AV77" s="318">
        <f>SUMIF(Consumo!$C$3:$C$869,tabItens[[#This Row],[CÓDIGO]],Consumo!$Y$3:$Y$869)</f>
        <v>6.916666666666667</v>
      </c>
      <c r="AW77" s="401">
        <f>tabItens[[#This Row],[QTDE ATUAL]] + tabItens[[#This Row],[RC QTDE]] + tabItens[[#This Row],[AF SALDO]] + tabItens[[#This Row],[Recentes]]</f>
        <v>20</v>
      </c>
      <c r="AX77" s="420">
        <v>8</v>
      </c>
      <c r="AY77" s="420">
        <v>4</v>
      </c>
      <c r="AZ77" s="420">
        <f>IF(ISBLANK(tabItens[[#This Row],[CÓDIGO]]),"",tabItens[[#This Row],[PontoMês]] * (AZ$2+tabItens[[#This Row],[PontoQtM]]))</f>
        <v>32</v>
      </c>
      <c r="BA77" s="421">
        <f>tabItens[[#This Row],[PontoPed]] - tabItens[[#This Row],[Saldo]] + (1/10)</f>
        <v>12.1</v>
      </c>
      <c r="BB77" s="421">
        <f xml:space="preserve"> tabItens[[#This Row],[PontoMês]] * BB$2 - tabItens[[#This Row],[QTDE ATUAL]] - (1/10)</f>
        <v>7.9</v>
      </c>
      <c r="BC77" s="320">
        <f>IF( tabItens[[#This Row],[PontoPed]]&gt;0, IF(tabItens[[#This Row],[PontoPed]]&lt;1, 1, IF( tabItens[[#This Row],[Saldo]]&gt;tabItens[[#This Row],[PontoPed]], 0, (tabItens[[#This Row],[PontoPed]]-tabItens[[#This Row],[Saldo]])/tabItens[[#This Row],[PontoPed]] ) ), 0 )</f>
        <v>0.375</v>
      </c>
      <c r="BD77" s="422">
        <f>ROUNDDOWN(IF( OR( AND(tabItens[[#This Row],[PontoPed]]&lt;tabItens[[#This Row],[Saldo]],tabItens[[#This Row],[Saldo]]&gt;0), tabItens[[#This Row],[PontoPed]]=0), 99, IF(AND(tabItens[[#This Row],[Saldo]]=0,tabItens[[#This Row],[PontoPed]]&gt;0), 0, (1-tabItens[[#This Row],[PctAb]])*10 ) ),0)</f>
        <v>6</v>
      </c>
      <c r="BE77" s="423">
        <f>MAX(ROUNDDOWN( IF(tabItens[[#This Row],[Abaixo]] &gt; 0,   tabItens[[#This Row],[Abaixo]] + (tabItens[[#This Row],[PontoMês]] * IF( OR( ISBLANK(tabItens[[#This Row],[ATA Nº/ANO]]), tabItens[[#This Row],[ATA Nº/ANO]] = ""),BE$2,BE$1)),0),0),0)</f>
        <v>36</v>
      </c>
      <c r="BF7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23">
        <f>SUMIF(Consumo!$C$3:$C$869,tabItens[[#This Row],[CÓDIGO]],Consumo!$E$3:$E$869)</f>
        <v>35</v>
      </c>
      <c r="BH77" s="324">
        <f>IF(AND(tabItens[[#This Row],[Pend]] &gt; 0,tabItens[[#This Row],[Consumo]] &lt;&gt; 0), tabItens[[#This Row],[Pend]] / tabItens[[#This Row],[Consumo]], 0 )</f>
        <v>0.42168674698795183</v>
      </c>
      <c r="BI77" s="323"/>
      <c r="BJ77" s="424"/>
      <c r="BK77" s="425" t="s">
        <v>2064</v>
      </c>
    </row>
    <row r="78" spans="1:63" hidden="1" x14ac:dyDescent="0.3">
      <c r="A78" s="286">
        <v>28181</v>
      </c>
      <c r="B78" s="287" t="s">
        <v>1230</v>
      </c>
      <c r="C78" s="288" t="s">
        <v>256</v>
      </c>
      <c r="D78" s="289">
        <v>11.99</v>
      </c>
      <c r="E78" s="290"/>
      <c r="F78" s="290"/>
      <c r="G78" s="290" t="s">
        <v>883</v>
      </c>
      <c r="H78" s="291">
        <v>12</v>
      </c>
      <c r="I78" s="292">
        <v>103003</v>
      </c>
      <c r="J78" s="293">
        <v>11.99</v>
      </c>
      <c r="K78" s="294">
        <v>8</v>
      </c>
      <c r="L78" s="295">
        <f>IF(tabItens[[#This Row],[Média]] &gt; 0, tabItens[[#This Row],[QTDE ATUAL]] / tabItens[[#This Row],[Média]],999.9)</f>
        <v>24</v>
      </c>
      <c r="M78" s="296">
        <v>0</v>
      </c>
      <c r="N78" s="297">
        <f>tabItens[[#This Row],[VALOR UNIT.]] * tabItens[[#This Row],[LC]]</f>
        <v>0</v>
      </c>
      <c r="O78" s="298" t="s">
        <v>2117</v>
      </c>
      <c r="P78" s="299"/>
      <c r="Q78" s="300"/>
      <c r="R78" s="297"/>
      <c r="S78" s="301"/>
      <c r="T78" s="302">
        <f>ROUNDDOWN(IFERROR(tabItens[[#This Row],[ATA DT.VALID.]] - $D$1,0) / 30,0)</f>
        <v>-1504</v>
      </c>
      <c r="U78" s="287" t="s">
        <v>964</v>
      </c>
      <c r="V78" s="303">
        <v>1</v>
      </c>
      <c r="W78" s="304" t="s">
        <v>2054</v>
      </c>
      <c r="X78" s="305">
        <v>61</v>
      </c>
      <c r="Y78" s="306">
        <v>8</v>
      </c>
      <c r="Z78" s="307"/>
      <c r="AA78" s="308"/>
      <c r="AB78" s="309"/>
      <c r="AC78" s="309"/>
      <c r="AD78" s="308"/>
      <c r="AE78" s="309"/>
      <c r="AF78" s="302"/>
      <c r="AG78" s="310" t="s">
        <v>2050</v>
      </c>
      <c r="AH78" s="311"/>
      <c r="AI78" s="302">
        <v>2</v>
      </c>
      <c r="AJ78" s="311">
        <v>43798</v>
      </c>
      <c r="AK78" s="311" t="s">
        <v>883</v>
      </c>
      <c r="AL78" s="311">
        <v>44421</v>
      </c>
      <c r="AM78" s="301"/>
      <c r="AN78" s="290"/>
      <c r="AO78" s="312" t="str">
        <f>_xlfn.IFNA(IF(VLOOKUP(tabItens[[#This Row],[CÓDIGO]],tabExcluirDoEstoque[#Data],1,FALSE),"sim",""),"")</f>
        <v/>
      </c>
      <c r="AP78" s="313" t="str">
        <f ca="1">IF(OR(ISBLANK(tabItens[[#This Row],[ATA DT.VALID.]]),tabItens[[#This Row],[ATA DT.VALID.]]="",tabItens[[#This Row],[ATA DT.VALID.]]=" "),"",IF(TYPE(tabItens[[#This Row],[ATA DT.VALID.]])=1,ROUNDUP((tabItens[[#This Row],[ATA DT.VALID.]]-TODAY())/7,0),""))</f>
        <v/>
      </c>
      <c r="AQ78" s="314">
        <v>0</v>
      </c>
      <c r="AR78" s="315" t="str">
        <f>IF(ISBLANK(tabItens[[#This Row],[CÓDIGO]]),"",IFERROR(VLOOKUP(tabItens[[#This Row],[CÓDIGO]],Consumo!$C$2:$AC$869,26,FALSE),0))</f>
        <v>04.2023</v>
      </c>
      <c r="AS78" s="316">
        <f>SUMIF(Consumo!$C$3:$C$869,tabItens[[#This Row],[CÓDIGO]],Consumo!$N$3:$N$869) + SUMIF(Consumo!$C$3:$C$869,tabItens[[#This Row],[CÓDIGO]],Consumo!$O$3:$O$869) + SUMIF(Consumo!$C$3:$C$869,tabItens[[#This Row],[CÓDIGO]],Consumo!$P$3:$P$869) + SUMIF(Consumo!$C$3:$C$869,tabItens[[#This Row],[CÓDIGO]],Consumo!$Q$3:$Q$869)</f>
        <v>5</v>
      </c>
      <c r="AT78" s="316">
        <f>SUMIF(Consumo!$C$3:$C$869,tabItens[[#This Row],[CÓDIGO]],Consumo!$Z$3:$Z$869)</f>
        <v>8</v>
      </c>
      <c r="AU78" s="317">
        <f>SUMIF(Consumo!$C$3:$C$869,tabItens[[#This Row],[CÓDIGO]],Consumo!$AA$3:$AA$869)</f>
        <v>5</v>
      </c>
      <c r="AV78" s="318">
        <f>SUMIF(Consumo!$C$3:$C$869,tabItens[[#This Row],[CÓDIGO]],Consumo!$Y$3:$Y$869)</f>
        <v>0.5</v>
      </c>
      <c r="AW78" s="291">
        <f>tabItens[[#This Row],[QTDE ATUAL]] + tabItens[[#This Row],[RC QTDE]] + tabItens[[#This Row],[AF SALDO]] + tabItens[[#This Row],[Recentes]]</f>
        <v>12</v>
      </c>
      <c r="AX78" s="319">
        <v>5</v>
      </c>
      <c r="AY78" s="319">
        <v>4</v>
      </c>
      <c r="AZ78" s="319">
        <f>IF(ISBLANK(tabItens[[#This Row],[CÓDIGO]]),"",tabItens[[#This Row],[PontoMês]] * (AZ$2+tabItens[[#This Row],[PontoQtM]]))</f>
        <v>20</v>
      </c>
      <c r="BA78" s="318">
        <f>tabItens[[#This Row],[PontoPed]] - tabItens[[#This Row],[Saldo]] + (1/10)</f>
        <v>8.1</v>
      </c>
      <c r="BB78" s="318">
        <f xml:space="preserve"> tabItens[[#This Row],[PontoMês]] * BB$2 - tabItens[[#This Row],[QTDE ATUAL]] - (1/10)</f>
        <v>-7.1</v>
      </c>
      <c r="BC78" s="320">
        <f>IF( tabItens[[#This Row],[PontoPed]]&gt;0, IF(tabItens[[#This Row],[PontoPed]]&lt;1, 1, IF( tabItens[[#This Row],[Saldo]]&gt;tabItens[[#This Row],[PontoPed]], 0, (tabItens[[#This Row],[PontoPed]]-tabItens[[#This Row],[Saldo]])/tabItens[[#This Row],[PontoPed]] ) ), 0 )</f>
        <v>0.4</v>
      </c>
      <c r="BD78" s="321">
        <f>ROUNDDOWN(IF( OR( AND(tabItens[[#This Row],[PontoPed]]&lt;tabItens[[#This Row],[Saldo]],tabItens[[#This Row],[Saldo]]&gt;0), tabItens[[#This Row],[PontoPed]]=0), 99, IF(AND(tabItens[[#This Row],[Saldo]]=0,tabItens[[#This Row],[PontoPed]]&gt;0), 0, (1-tabItens[[#This Row],[PctAb]])*10 ) ),0)</f>
        <v>6</v>
      </c>
      <c r="BE78" s="322">
        <f>MAX(ROUNDDOWN( IF(tabItens[[#This Row],[Abaixo]] &gt; 0,   tabItens[[#This Row],[Abaixo]] + (tabItens[[#This Row],[PontoMês]] * IF( OR( ISBLANK(tabItens[[#This Row],[ATA Nº/ANO]]), tabItens[[#This Row],[ATA Nº/ANO]] = ""),BE$2,BE$1)),0),0),0)</f>
        <v>23</v>
      </c>
      <c r="BF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23">
        <f>SUMIF(Consumo!$C$3:$C$869,tabItens[[#This Row],[CÓDIGO]],Consumo!$E$3:$E$869)</f>
        <v>0</v>
      </c>
      <c r="BH78" s="324">
        <f>IF(AND(tabItens[[#This Row],[Pend]] &gt; 0,tabItens[[#This Row],[Consumo]] &lt;&gt; 0), tabItens[[#This Row],[Pend]] / tabItens[[#This Row],[Consumo]], 0 )</f>
        <v>0</v>
      </c>
      <c r="BI78" s="323"/>
      <c r="BJ78" s="323"/>
      <c r="BK78" s="325" t="s">
        <v>2064</v>
      </c>
    </row>
    <row r="79" spans="1:63" hidden="1" x14ac:dyDescent="0.3">
      <c r="A79" s="286">
        <v>129961</v>
      </c>
      <c r="B79" s="287" t="s">
        <v>1788</v>
      </c>
      <c r="C79" s="288" t="s">
        <v>256</v>
      </c>
      <c r="D79" s="289">
        <v>574.29999999999995</v>
      </c>
      <c r="E79" s="290"/>
      <c r="F79" s="290"/>
      <c r="G79" s="290" t="s">
        <v>883</v>
      </c>
      <c r="H79" s="291">
        <v>5</v>
      </c>
      <c r="I79" s="292">
        <v>103003</v>
      </c>
      <c r="J79" s="293">
        <v>574.29999999999995</v>
      </c>
      <c r="K79" s="294">
        <v>1</v>
      </c>
      <c r="L79" s="295">
        <f>IF(tabItens[[#This Row],[Média]] &gt; 0, tabItens[[#This Row],[QTDE ATUAL]] / tabItens[[#This Row],[Média]],999.9)</f>
        <v>999.9</v>
      </c>
      <c r="M79" s="296">
        <v>0</v>
      </c>
      <c r="N79" s="297">
        <f>tabItens[[#This Row],[VALOR UNIT.]] * tabItens[[#This Row],[LC]]</f>
        <v>0</v>
      </c>
      <c r="O79" s="298" t="s">
        <v>2145</v>
      </c>
      <c r="P79" s="299"/>
      <c r="Q79" s="300"/>
      <c r="R79" s="297"/>
      <c r="S79" s="301"/>
      <c r="T79" s="302">
        <f>ROUNDDOWN(IFERROR(tabItens[[#This Row],[ATA DT.VALID.]] - $D$1,0) / 30,0)</f>
        <v>-1504</v>
      </c>
      <c r="U79" s="287" t="s">
        <v>1491</v>
      </c>
      <c r="V79" s="303">
        <v>1</v>
      </c>
      <c r="W79" s="304" t="s">
        <v>2055</v>
      </c>
      <c r="X79" s="305">
        <v>55</v>
      </c>
      <c r="Y79" s="306">
        <v>26</v>
      </c>
      <c r="Z79" s="307"/>
      <c r="AA79" s="308"/>
      <c r="AB79" s="309"/>
      <c r="AC79" s="309"/>
      <c r="AD79" s="308"/>
      <c r="AE79" s="309"/>
      <c r="AF79" s="302"/>
      <c r="AG79" s="310" t="s">
        <v>2050</v>
      </c>
      <c r="AH79" s="311"/>
      <c r="AI79" s="302">
        <v>0</v>
      </c>
      <c r="AJ79" s="311">
        <v>43790</v>
      </c>
      <c r="AK79" s="311">
        <v>42046</v>
      </c>
      <c r="AL79" s="311">
        <v>43783</v>
      </c>
      <c r="AM79" s="301"/>
      <c r="AN79" s="290"/>
      <c r="AO79" s="312" t="str">
        <f>_xlfn.IFNA(IF(VLOOKUP(tabItens[[#This Row],[CÓDIGO]],tabExcluirDoEstoque[#Data],1,FALSE),"sim",""),"")</f>
        <v/>
      </c>
      <c r="AP79" s="313" t="str">
        <f ca="1">IF(OR(ISBLANK(tabItens[[#This Row],[ATA DT.VALID.]]),tabItens[[#This Row],[ATA DT.VALID.]]="",tabItens[[#This Row],[ATA DT.VALID.]]=" "),"",IF(TYPE(tabItens[[#This Row],[ATA DT.VALID.]])=1,ROUNDUP((tabItens[[#This Row],[ATA DT.VALID.]]-TODAY())/7,0),""))</f>
        <v/>
      </c>
      <c r="AQ79" s="314">
        <v>0</v>
      </c>
      <c r="AR79" s="315" t="str">
        <f>IF(ISBLANK(tabItens[[#This Row],[CÓDIGO]]),"",IFERROR(VLOOKUP(tabItens[[#This Row],[CÓDIGO]],Consumo!$C$2:$AC$869,26,FALSE),0))</f>
        <v>08.2022</v>
      </c>
      <c r="AS79" s="316">
        <f>SUMIF(Consumo!$C$3:$C$869,tabItens[[#This Row],[CÓDIGO]],Consumo!$N$3:$N$869) + SUMIF(Consumo!$C$3:$C$869,tabItens[[#This Row],[CÓDIGO]],Consumo!$O$3:$O$869) + SUMIF(Consumo!$C$3:$C$869,tabItens[[#This Row],[CÓDIGO]],Consumo!$P$3:$P$869) + SUMIF(Consumo!$C$3:$C$869,tabItens[[#This Row],[CÓDIGO]],Consumo!$Q$3:$Q$869)</f>
        <v>0</v>
      </c>
      <c r="AT79" s="316">
        <f>SUMIF(Consumo!$C$3:$C$869,tabItens[[#This Row],[CÓDIGO]],Consumo!$Z$3:$Z$869)</f>
        <v>1</v>
      </c>
      <c r="AU79" s="317">
        <f>SUMIF(Consumo!$C$3:$C$869,tabItens[[#This Row],[CÓDIGO]],Consumo!$AA$3:$AA$869)</f>
        <v>1</v>
      </c>
      <c r="AV79" s="318">
        <f>SUMIF(Consumo!$C$3:$C$869,tabItens[[#This Row],[CÓDIGO]],Consumo!$Y$3:$Y$869)</f>
        <v>0</v>
      </c>
      <c r="AW79" s="291">
        <f>tabItens[[#This Row],[QTDE ATUAL]] + tabItens[[#This Row],[RC QTDE]] + tabItens[[#This Row],[AF SALDO]] + tabItens[[#This Row],[Recentes]]</f>
        <v>5</v>
      </c>
      <c r="AX79" s="319">
        <v>1.9</v>
      </c>
      <c r="AY79" s="319">
        <v>4</v>
      </c>
      <c r="AZ79" s="319">
        <f>IF(ISBLANK(tabItens[[#This Row],[CÓDIGO]]),"",tabItens[[#This Row],[PontoMês]] * (AZ$2+tabItens[[#This Row],[PontoQtM]]))</f>
        <v>7.6</v>
      </c>
      <c r="BA79" s="318">
        <f>tabItens[[#This Row],[PontoPed]] - tabItens[[#This Row],[Saldo]] + (1/10)</f>
        <v>2.6999999999999997</v>
      </c>
      <c r="BB79" s="318">
        <f xml:space="preserve"> tabItens[[#This Row],[PontoMês]] * BB$2 - tabItens[[#This Row],[QTDE ATUAL]] - (1/10)</f>
        <v>-3.2</v>
      </c>
      <c r="BC79" s="320">
        <f>IF( tabItens[[#This Row],[PontoPed]]&gt;0, IF(tabItens[[#This Row],[PontoPed]]&lt;1, 1, IF( tabItens[[#This Row],[Saldo]]&gt;tabItens[[#This Row],[PontoPed]], 0, (tabItens[[#This Row],[PontoPed]]-tabItens[[#This Row],[Saldo]])/tabItens[[#This Row],[PontoPed]] ) ), 0 )</f>
        <v>0.34210526315789469</v>
      </c>
      <c r="BD79" s="321">
        <f>ROUNDDOWN(IF( OR( AND(tabItens[[#This Row],[PontoPed]]&lt;tabItens[[#This Row],[Saldo]],tabItens[[#This Row],[Saldo]]&gt;0), tabItens[[#This Row],[PontoPed]]=0), 99, IF(AND(tabItens[[#This Row],[Saldo]]=0,tabItens[[#This Row],[PontoPed]]&gt;0), 0, (1-tabItens[[#This Row],[PctAb]])*10 ) ),0)</f>
        <v>6</v>
      </c>
      <c r="BE79" s="322">
        <f>MAX(ROUNDDOWN( IF(tabItens[[#This Row],[Abaixo]] &gt; 0,   tabItens[[#This Row],[Abaixo]] + (tabItens[[#This Row],[PontoMês]] * IF( OR( ISBLANK(tabItens[[#This Row],[ATA Nº/ANO]]), tabItens[[#This Row],[ATA Nº/ANO]] = ""),BE$2,BE$1)),0),0),0)</f>
        <v>8</v>
      </c>
      <c r="BF7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323">
        <f>SUMIF(Consumo!$C$3:$C$869,tabItens[[#This Row],[CÓDIGO]],Consumo!$E$3:$E$869)</f>
        <v>0</v>
      </c>
      <c r="BH79" s="324">
        <f>IF(AND(tabItens[[#This Row],[Pend]] &gt; 0,tabItens[[#This Row],[Consumo]] &lt;&gt; 0), tabItens[[#This Row],[Pend]] / tabItens[[#This Row],[Consumo]], 0 )</f>
        <v>0</v>
      </c>
      <c r="BI79" s="323"/>
      <c r="BJ79" s="323"/>
      <c r="BK79" s="325" t="s">
        <v>2064</v>
      </c>
    </row>
    <row r="80" spans="1:63" hidden="1" x14ac:dyDescent="0.3">
      <c r="A80" s="286">
        <v>15267</v>
      </c>
      <c r="B80" s="287" t="s">
        <v>1084</v>
      </c>
      <c r="C80" s="288" t="s">
        <v>256</v>
      </c>
      <c r="D80" s="289">
        <v>2.38</v>
      </c>
      <c r="E80" s="290"/>
      <c r="F80" s="290"/>
      <c r="G80" s="290" t="s">
        <v>883</v>
      </c>
      <c r="H80" s="291">
        <v>23</v>
      </c>
      <c r="I80" s="292">
        <v>103003</v>
      </c>
      <c r="J80" s="293">
        <v>2.38</v>
      </c>
      <c r="K80" s="294">
        <v>30</v>
      </c>
      <c r="L80" s="295">
        <f>IF(tabItens[[#This Row],[Média]] &gt; 0, tabItens[[#This Row],[QTDE ATUAL]] / tabItens[[#This Row],[Média]],999.9)</f>
        <v>14.526315789473685</v>
      </c>
      <c r="M80" s="296">
        <v>0</v>
      </c>
      <c r="N80" s="297">
        <f>tabItens[[#This Row],[VALOR UNIT.]] * tabItens[[#This Row],[LC]]</f>
        <v>0</v>
      </c>
      <c r="O80" s="298" t="s">
        <v>2096</v>
      </c>
      <c r="P80" s="299"/>
      <c r="Q80" s="300"/>
      <c r="R80" s="297"/>
      <c r="S80" s="301"/>
      <c r="T80" s="302">
        <f>ROUNDDOWN(IFERROR(tabItens[[#This Row],[ATA DT.VALID.]] - $D$1,0) / 30,0)</f>
        <v>-1504</v>
      </c>
      <c r="U80" s="287" t="s">
        <v>1085</v>
      </c>
      <c r="V80" s="303">
        <v>1</v>
      </c>
      <c r="W80" s="304" t="s">
        <v>2055</v>
      </c>
      <c r="X80" s="305">
        <v>55</v>
      </c>
      <c r="Y80" s="306">
        <v>34</v>
      </c>
      <c r="Z80" s="307">
        <v>2956</v>
      </c>
      <c r="AA80" s="308">
        <v>2023</v>
      </c>
      <c r="AB80" s="309">
        <v>20</v>
      </c>
      <c r="AC80" s="309"/>
      <c r="AD80" s="308"/>
      <c r="AE80" s="309"/>
      <c r="AF80" s="302"/>
      <c r="AG80" s="310" t="s">
        <v>2050</v>
      </c>
      <c r="AH80" s="311"/>
      <c r="AI80" s="302">
        <v>12</v>
      </c>
      <c r="AJ80" s="311">
        <v>43664</v>
      </c>
      <c r="AK80" s="311" t="s">
        <v>883</v>
      </c>
      <c r="AL80" s="311">
        <v>43623</v>
      </c>
      <c r="AM80" s="301"/>
      <c r="AN80" s="290"/>
      <c r="AO80" s="312" t="str">
        <f>_xlfn.IFNA(IF(VLOOKUP(tabItens[[#This Row],[CÓDIGO]],tabExcluirDoEstoque[#Data],1,FALSE),"sim",""),"")</f>
        <v/>
      </c>
      <c r="AP80" s="313" t="str">
        <f ca="1">IF(OR(ISBLANK(tabItens[[#This Row],[ATA DT.VALID.]]),tabItens[[#This Row],[ATA DT.VALID.]]="",tabItens[[#This Row],[ATA DT.VALID.]]=" "),"",IF(TYPE(tabItens[[#This Row],[ATA DT.VALID.]])=1,ROUNDUP((tabItens[[#This Row],[ATA DT.VALID.]]-TODAY())/7,0),""))</f>
        <v/>
      </c>
      <c r="AQ80" s="314">
        <v>0</v>
      </c>
      <c r="AR80" s="315" t="str">
        <f>IF(ISBLANK(tabItens[[#This Row],[CÓDIGO]]),"",IFERROR(VLOOKUP(tabItens[[#This Row],[CÓDIGO]],Consumo!$C$2:$AC$869,26,FALSE),0))</f>
        <v>06.2023</v>
      </c>
      <c r="AS80" s="316">
        <f>SUMIF(Consumo!$C$3:$C$869,tabItens[[#This Row],[CÓDIGO]],Consumo!$N$3:$N$869) + SUMIF(Consumo!$C$3:$C$869,tabItens[[#This Row],[CÓDIGO]],Consumo!$O$3:$O$869) + SUMIF(Consumo!$C$3:$C$869,tabItens[[#This Row],[CÓDIGO]],Consumo!$P$3:$P$869) + SUMIF(Consumo!$C$3:$C$869,tabItens[[#This Row],[CÓDIGO]],Consumo!$Q$3:$Q$869)</f>
        <v>30</v>
      </c>
      <c r="AT80" s="316">
        <f>SUMIF(Consumo!$C$3:$C$869,tabItens[[#This Row],[CÓDIGO]],Consumo!$Z$3:$Z$869)</f>
        <v>30</v>
      </c>
      <c r="AU80" s="317">
        <f>SUMIF(Consumo!$C$3:$C$869,tabItens[[#This Row],[CÓDIGO]],Consumo!$AA$3:$AA$869)</f>
        <v>30</v>
      </c>
      <c r="AV80" s="318">
        <f>SUMIF(Consumo!$C$3:$C$869,tabItens[[#This Row],[CÓDIGO]],Consumo!$Y$3:$Y$869)</f>
        <v>1.5833333333333333</v>
      </c>
      <c r="AW80" s="291">
        <f>tabItens[[#This Row],[QTDE ATUAL]] + tabItens[[#This Row],[RC QTDE]] + tabItens[[#This Row],[AF SALDO]] + tabItens[[#This Row],[Recentes]]</f>
        <v>43</v>
      </c>
      <c r="AX80" s="319">
        <v>17</v>
      </c>
      <c r="AY80" s="319">
        <v>4</v>
      </c>
      <c r="AZ80" s="319">
        <f>IF(ISBLANK(tabItens[[#This Row],[CÓDIGO]]),"",tabItens[[#This Row],[PontoMês]] * (AZ$2+tabItens[[#This Row],[PontoQtM]]))</f>
        <v>68</v>
      </c>
      <c r="BA80" s="318">
        <f>tabItens[[#This Row],[PontoPed]] - tabItens[[#This Row],[Saldo]] + (1/10)</f>
        <v>25.1</v>
      </c>
      <c r="BB80" s="318">
        <f xml:space="preserve"> tabItens[[#This Row],[PontoMês]] * BB$2 - tabItens[[#This Row],[QTDE ATUAL]] - (1/10)</f>
        <v>-6.1</v>
      </c>
      <c r="BC80" s="320">
        <f>IF( tabItens[[#This Row],[PontoPed]]&gt;0, IF(tabItens[[#This Row],[PontoPed]]&lt;1, 1, IF( tabItens[[#This Row],[Saldo]]&gt;tabItens[[#This Row],[PontoPed]], 0, (tabItens[[#This Row],[PontoPed]]-tabItens[[#This Row],[Saldo]])/tabItens[[#This Row],[PontoPed]] ) ), 0 )</f>
        <v>0.36764705882352944</v>
      </c>
      <c r="BD80" s="321">
        <f>ROUNDDOWN(IF( OR( AND(tabItens[[#This Row],[PontoPed]]&lt;tabItens[[#This Row],[Saldo]],tabItens[[#This Row],[Saldo]]&gt;0), tabItens[[#This Row],[PontoPed]]=0), 99, IF(AND(tabItens[[#This Row],[Saldo]]=0,tabItens[[#This Row],[PontoPed]]&gt;0), 0, (1-tabItens[[#This Row],[PctAb]])*10 ) ),0)</f>
        <v>6</v>
      </c>
      <c r="BE80" s="322">
        <f>MAX(ROUNDDOWN( IF(tabItens[[#This Row],[Abaixo]] &gt; 0,   tabItens[[#This Row],[Abaixo]] + (tabItens[[#This Row],[PontoMês]] * IF( OR( ISBLANK(tabItens[[#This Row],[ATA Nº/ANO]]), tabItens[[#This Row],[ATA Nº/ANO]] = ""),BE$2,BE$1)),0),0),0)</f>
        <v>76</v>
      </c>
      <c r="BF8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323">
        <f>SUMIF(Consumo!$C$3:$C$869,tabItens[[#This Row],[CÓDIGO]],Consumo!$E$3:$E$869)</f>
        <v>0</v>
      </c>
      <c r="BH80" s="324">
        <f>IF(AND(tabItens[[#This Row],[Pend]] &gt; 0,tabItens[[#This Row],[Consumo]] &lt;&gt; 0), tabItens[[#This Row],[Pend]] / tabItens[[#This Row],[Consumo]], 0 )</f>
        <v>0</v>
      </c>
      <c r="BI80" s="323"/>
      <c r="BJ80" s="323"/>
      <c r="BK80" s="325" t="s">
        <v>2064</v>
      </c>
    </row>
    <row r="81" spans="1:63" hidden="1" x14ac:dyDescent="0.3">
      <c r="A81" s="286">
        <v>81455</v>
      </c>
      <c r="B81" s="287" t="s">
        <v>1465</v>
      </c>
      <c r="C81" s="288" t="s">
        <v>256</v>
      </c>
      <c r="D81" s="289">
        <v>4.97</v>
      </c>
      <c r="E81" s="290"/>
      <c r="F81" s="290"/>
      <c r="G81" s="290" t="s">
        <v>883</v>
      </c>
      <c r="H81" s="291">
        <v>1</v>
      </c>
      <c r="I81" s="292">
        <v>103003</v>
      </c>
      <c r="J81" s="293">
        <v>4.97</v>
      </c>
      <c r="K81" s="294">
        <v>642</v>
      </c>
      <c r="L81" s="295">
        <f>IF(tabItens[[#This Row],[Média]] &gt; 0, tabItens[[#This Row],[QTDE ATUAL]] / tabItens[[#This Row],[Média]],999.9)</f>
        <v>1.8181818181818181E-2</v>
      </c>
      <c r="M81" s="296">
        <v>0</v>
      </c>
      <c r="N81" s="297">
        <f>tabItens[[#This Row],[VALOR UNIT.]] * tabItens[[#This Row],[LC]]</f>
        <v>0</v>
      </c>
      <c r="O81" s="298" t="s">
        <v>2078</v>
      </c>
      <c r="P81" s="299"/>
      <c r="Q81" s="300"/>
      <c r="R81" s="297"/>
      <c r="S81" s="301"/>
      <c r="T81" s="302">
        <f>ROUNDDOWN(IFERROR(tabItens[[#This Row],[ATA DT.VALID.]] - $D$1,0) / 30,0)</f>
        <v>-1504</v>
      </c>
      <c r="U81" s="287" t="s">
        <v>1275</v>
      </c>
      <c r="V81" s="303">
        <v>1</v>
      </c>
      <c r="W81" s="304" t="s">
        <v>2056</v>
      </c>
      <c r="X81" s="305">
        <v>83</v>
      </c>
      <c r="Y81" s="306">
        <v>4</v>
      </c>
      <c r="Z81" s="307">
        <v>2516</v>
      </c>
      <c r="AA81" s="308">
        <v>2023</v>
      </c>
      <c r="AB81" s="309">
        <v>80</v>
      </c>
      <c r="AC81" s="309"/>
      <c r="AD81" s="308"/>
      <c r="AE81" s="309"/>
      <c r="AF81" s="302"/>
      <c r="AG81" s="310" t="s">
        <v>2050</v>
      </c>
      <c r="AH81" s="311"/>
      <c r="AI81" s="302">
        <v>214</v>
      </c>
      <c r="AJ81" s="311">
        <v>44944</v>
      </c>
      <c r="AK81" s="311">
        <v>38223</v>
      </c>
      <c r="AL81" s="311">
        <v>44915</v>
      </c>
      <c r="AM81" s="301"/>
      <c r="AN81" s="290"/>
      <c r="AO81" s="312" t="str">
        <f>_xlfn.IFNA(IF(VLOOKUP(tabItens[[#This Row],[CÓDIGO]],tabExcluirDoEstoque[#Data],1,FALSE),"sim",""),"")</f>
        <v/>
      </c>
      <c r="AP81" s="313" t="str">
        <f ca="1">IF(OR(ISBLANK(tabItens[[#This Row],[ATA DT.VALID.]]),tabItens[[#This Row],[ATA DT.VALID.]]="",tabItens[[#This Row],[ATA DT.VALID.]]=" "),"",IF(TYPE(tabItens[[#This Row],[ATA DT.VALID.]])=1,ROUNDUP((tabItens[[#This Row],[ATA DT.VALID.]]-TODAY())/7,0),""))</f>
        <v/>
      </c>
      <c r="AQ81" s="314">
        <v>0</v>
      </c>
      <c r="AR81" s="315" t="str">
        <f>IF(ISBLANK(tabItens[[#This Row],[CÓDIGO]]),"",IFERROR(VLOOKUP(tabItens[[#This Row],[CÓDIGO]],Consumo!$C$2:$AC$869,26,FALSE),0))</f>
        <v>05.2023</v>
      </c>
      <c r="AS81" s="316">
        <f>SUMIF(Consumo!$C$3:$C$869,tabItens[[#This Row],[CÓDIGO]],Consumo!$N$3:$N$869) + SUMIF(Consumo!$C$3:$C$869,tabItens[[#This Row],[CÓDIGO]],Consumo!$O$3:$O$869) + SUMIF(Consumo!$C$3:$C$869,tabItens[[#This Row],[CÓDIGO]],Consumo!$P$3:$P$869) + SUMIF(Consumo!$C$3:$C$869,tabItens[[#This Row],[CÓDIGO]],Consumo!$Q$3:$Q$869)</f>
        <v>132</v>
      </c>
      <c r="AT81" s="316">
        <f>SUMIF(Consumo!$C$3:$C$869,tabItens[[#This Row],[CÓDIGO]],Consumo!$Z$3:$Z$869)</f>
        <v>710</v>
      </c>
      <c r="AU81" s="317">
        <f>SUMIF(Consumo!$C$3:$C$869,tabItens[[#This Row],[CÓDIGO]],Consumo!$AA$3:$AA$869)</f>
        <v>270</v>
      </c>
      <c r="AV81" s="318">
        <f>SUMIF(Consumo!$C$3:$C$869,tabItens[[#This Row],[CÓDIGO]],Consumo!$Y$3:$Y$869)</f>
        <v>55</v>
      </c>
      <c r="AW81" s="291">
        <f>tabItens[[#This Row],[QTDE ATUAL]] + tabItens[[#This Row],[RC QTDE]] + tabItens[[#This Row],[AF SALDO]] + tabItens[[#This Row],[Recentes]]</f>
        <v>81</v>
      </c>
      <c r="AX81" s="319">
        <v>30</v>
      </c>
      <c r="AY81" s="319">
        <v>4</v>
      </c>
      <c r="AZ81" s="319">
        <f>IF(ISBLANK(tabItens[[#This Row],[CÓDIGO]]),"",tabItens[[#This Row],[PontoMês]] * (AZ$2+tabItens[[#This Row],[PontoQtM]]))</f>
        <v>120</v>
      </c>
      <c r="BA81" s="318">
        <f>tabItens[[#This Row],[PontoPed]] - tabItens[[#This Row],[Saldo]] + (1/10)</f>
        <v>39.1</v>
      </c>
      <c r="BB81" s="318">
        <f xml:space="preserve"> tabItens[[#This Row],[PontoMês]] * BB$2 - tabItens[[#This Row],[QTDE ATUAL]] - (1/10)</f>
        <v>28.9</v>
      </c>
      <c r="BC81" s="320">
        <f>IF( tabItens[[#This Row],[PontoPed]]&gt;0, IF(tabItens[[#This Row],[PontoPed]]&lt;1, 1, IF( tabItens[[#This Row],[Saldo]]&gt;tabItens[[#This Row],[PontoPed]], 0, (tabItens[[#This Row],[PontoPed]]-tabItens[[#This Row],[Saldo]])/tabItens[[#This Row],[PontoPed]] ) ), 0 )</f>
        <v>0.32500000000000001</v>
      </c>
      <c r="BD81" s="321">
        <f>ROUNDDOWN(IF( OR( AND(tabItens[[#This Row],[PontoPed]]&lt;tabItens[[#This Row],[Saldo]],tabItens[[#This Row],[Saldo]]&gt;0), tabItens[[#This Row],[PontoPed]]=0), 99, IF(AND(tabItens[[#This Row],[Saldo]]=0,tabItens[[#This Row],[PontoPed]]&gt;0), 0, (1-tabItens[[#This Row],[PctAb]])*10 ) ),0)</f>
        <v>6</v>
      </c>
      <c r="BE81" s="322">
        <f>MAX(ROUNDDOWN( IF(tabItens[[#This Row],[Abaixo]] &gt; 0,   tabItens[[#This Row],[Abaixo]] + (tabItens[[#This Row],[PontoMês]] * IF( OR( ISBLANK(tabItens[[#This Row],[ATA Nº/ANO]]), tabItens[[#This Row],[ATA Nº/ANO]] = ""),BE$2,BE$1)),0),0),0)</f>
        <v>129</v>
      </c>
      <c r="BF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323">
        <f>SUMIF(Consumo!$C$3:$C$869,tabItens[[#This Row],[CÓDIGO]],Consumo!$E$3:$E$869)</f>
        <v>68</v>
      </c>
      <c r="BH81" s="324">
        <f>IF(AND(tabItens[[#This Row],[Pend]] &gt; 0,tabItens[[#This Row],[Consumo]] &lt;&gt; 0), tabItens[[#This Row],[Pend]] / tabItens[[#This Row],[Consumo]], 0 )</f>
        <v>9.5774647887323941E-2</v>
      </c>
      <c r="BI81" s="323"/>
      <c r="BJ81" s="323"/>
      <c r="BK81" s="325" t="s">
        <v>2064</v>
      </c>
    </row>
    <row r="82" spans="1:63" hidden="1" x14ac:dyDescent="0.3">
      <c r="A82" s="286">
        <v>63591</v>
      </c>
      <c r="B82" s="287" t="s">
        <v>1360</v>
      </c>
      <c r="C82" s="288" t="s">
        <v>569</v>
      </c>
      <c r="D82" s="289">
        <v>0.46</v>
      </c>
      <c r="E82" s="290"/>
      <c r="F82" s="290"/>
      <c r="G82" s="290" t="s">
        <v>883</v>
      </c>
      <c r="H82" s="291">
        <v>1728</v>
      </c>
      <c r="I82" s="292">
        <v>103003</v>
      </c>
      <c r="J82" s="293">
        <v>0.46</v>
      </c>
      <c r="K82" s="294">
        <v>5295</v>
      </c>
      <c r="L82" s="295">
        <f>IF(tabItens[[#This Row],[Média]] &gt; 0, tabItens[[#This Row],[QTDE ATUAL]] / tabItens[[#This Row],[Média]],999.9)</f>
        <v>2.6268051684823917</v>
      </c>
      <c r="M82" s="296">
        <v>0</v>
      </c>
      <c r="N82" s="297">
        <f>tabItens[[#This Row],[VALOR UNIT.]] * tabItens[[#This Row],[LC]]</f>
        <v>0</v>
      </c>
      <c r="O82" s="298" t="s">
        <v>2092</v>
      </c>
      <c r="P82" s="299"/>
      <c r="Q82" s="300"/>
      <c r="R82" s="297"/>
      <c r="S82" s="301"/>
      <c r="T82" s="302">
        <f>ROUNDDOWN(IFERROR(tabItens[[#This Row],[ATA DT.VALID.]] - $D$1,0) / 30,0)</f>
        <v>-1504</v>
      </c>
      <c r="U82" s="287" t="s">
        <v>1135</v>
      </c>
      <c r="V82" s="303">
        <v>1</v>
      </c>
      <c r="W82" s="304" t="s">
        <v>2052</v>
      </c>
      <c r="X82" s="305">
        <v>57</v>
      </c>
      <c r="Y82" s="306">
        <v>2</v>
      </c>
      <c r="Z82" s="307">
        <v>6216</v>
      </c>
      <c r="AA82" s="308">
        <v>2023</v>
      </c>
      <c r="AB82" s="309">
        <v>1000</v>
      </c>
      <c r="AC82" s="309"/>
      <c r="AD82" s="308"/>
      <c r="AE82" s="309"/>
      <c r="AF82" s="302"/>
      <c r="AG82" s="310" t="s">
        <v>2050</v>
      </c>
      <c r="AH82" s="311"/>
      <c r="AI82" s="302">
        <v>2632</v>
      </c>
      <c r="AJ82" s="311">
        <v>44586</v>
      </c>
      <c r="AK82" s="311" t="s">
        <v>883</v>
      </c>
      <c r="AL82" s="311">
        <v>44551</v>
      </c>
      <c r="AM82" s="301"/>
      <c r="AN82" s="290"/>
      <c r="AO82" s="312" t="str">
        <f>_xlfn.IFNA(IF(VLOOKUP(tabItens[[#This Row],[CÓDIGO]],tabExcluirDoEstoque[#Data],1,FALSE),"sim",""),"")</f>
        <v/>
      </c>
      <c r="AP82" s="313" t="str">
        <f ca="1">IF(OR(ISBLANK(tabItens[[#This Row],[ATA DT.VALID.]]),tabItens[[#This Row],[ATA DT.VALID.]]="",tabItens[[#This Row],[ATA DT.VALID.]]=" "),"",IF(TYPE(tabItens[[#This Row],[ATA DT.VALID.]])=1,ROUNDUP((tabItens[[#This Row],[ATA DT.VALID.]]-TODAY())/7,0),""))</f>
        <v/>
      </c>
      <c r="AQ82" s="314">
        <v>0</v>
      </c>
      <c r="AR82" s="315" t="str">
        <f>IF(ISBLANK(tabItens[[#This Row],[CÓDIGO]]),"",IFERROR(VLOOKUP(tabItens[[#This Row],[CÓDIGO]],Consumo!$C$2:$AC$869,26,FALSE),0))</f>
        <v>07.2023</v>
      </c>
      <c r="AS82" s="316">
        <f>SUMIF(Consumo!$C$3:$C$869,tabItens[[#This Row],[CÓDIGO]],Consumo!$N$3:$N$869) + SUMIF(Consumo!$C$3:$C$869,tabItens[[#This Row],[CÓDIGO]],Consumo!$O$3:$O$869) + SUMIF(Consumo!$C$3:$C$869,tabItens[[#This Row],[CÓDIGO]],Consumo!$P$3:$P$869) + SUMIF(Consumo!$C$3:$C$869,tabItens[[#This Row],[CÓDIGO]],Consumo!$Q$3:$Q$869)</f>
        <v>3286</v>
      </c>
      <c r="AT82" s="316">
        <f>SUMIF(Consumo!$C$3:$C$869,tabItens[[#This Row],[CÓDIGO]],Consumo!$Z$3:$Z$869)</f>
        <v>7975</v>
      </c>
      <c r="AU82" s="317">
        <f>SUMIF(Consumo!$C$3:$C$869,tabItens[[#This Row],[CÓDIGO]],Consumo!$AA$3:$AA$869)</f>
        <v>1399</v>
      </c>
      <c r="AV82" s="318">
        <f>SUMIF(Consumo!$C$3:$C$869,tabItens[[#This Row],[CÓDIGO]],Consumo!$Y$3:$Y$869)</f>
        <v>657.83333333333337</v>
      </c>
      <c r="AW82" s="291">
        <f>tabItens[[#This Row],[QTDE ATUAL]] + tabItens[[#This Row],[RC QTDE]] + tabItens[[#This Row],[AF SALDO]] + tabItens[[#This Row],[Recentes]]</f>
        <v>2728</v>
      </c>
      <c r="AX82" s="319">
        <v>1000</v>
      </c>
      <c r="AY82" s="319">
        <v>4</v>
      </c>
      <c r="AZ82" s="319">
        <f>IF(ISBLANK(tabItens[[#This Row],[CÓDIGO]]),"",tabItens[[#This Row],[PontoMês]] * (AZ$2+tabItens[[#This Row],[PontoQtM]]))</f>
        <v>4000</v>
      </c>
      <c r="BA82" s="318">
        <f>tabItens[[#This Row],[PontoPed]] - tabItens[[#This Row],[Saldo]] + (1/10)</f>
        <v>1272.0999999999999</v>
      </c>
      <c r="BB82" s="318">
        <f xml:space="preserve"> tabItens[[#This Row],[PontoMês]] * BB$2 - tabItens[[#This Row],[QTDE ATUAL]] - (1/10)</f>
        <v>-728.1</v>
      </c>
      <c r="BC82" s="320">
        <f>IF( tabItens[[#This Row],[PontoPed]]&gt;0, IF(tabItens[[#This Row],[PontoPed]]&lt;1, 1, IF( tabItens[[#This Row],[Saldo]]&gt;tabItens[[#This Row],[PontoPed]], 0, (tabItens[[#This Row],[PontoPed]]-tabItens[[#This Row],[Saldo]])/tabItens[[#This Row],[PontoPed]] ) ), 0 )</f>
        <v>0.318</v>
      </c>
      <c r="BD82" s="321">
        <f>ROUNDDOWN(IF( OR( AND(tabItens[[#This Row],[PontoPed]]&lt;tabItens[[#This Row],[Saldo]],tabItens[[#This Row],[Saldo]]&gt;0), tabItens[[#This Row],[PontoPed]]=0), 99, IF(AND(tabItens[[#This Row],[Saldo]]=0,tabItens[[#This Row],[PontoPed]]&gt;0), 0, (1-tabItens[[#This Row],[PctAb]])*10 ) ),0)</f>
        <v>6</v>
      </c>
      <c r="BE82" s="322">
        <f>MAX(ROUNDDOWN( IF(tabItens[[#This Row],[Abaixo]] &gt; 0,   tabItens[[#This Row],[Abaixo]] + (tabItens[[#This Row],[PontoMês]] * IF( OR( ISBLANK(tabItens[[#This Row],[ATA Nº/ANO]]), tabItens[[#This Row],[ATA Nº/ANO]] = ""),BE$2,BE$1)),0),0),0)</f>
        <v>4272</v>
      </c>
      <c r="BF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323">
        <f>SUMIF(Consumo!$C$3:$C$869,tabItens[[#This Row],[CÓDIGO]],Consumo!$E$3:$E$869)</f>
        <v>80</v>
      </c>
      <c r="BH82" s="324">
        <f>IF(AND(tabItens[[#This Row],[Pend]] &gt; 0,tabItens[[#This Row],[Consumo]] &lt;&gt; 0), tabItens[[#This Row],[Pend]] / tabItens[[#This Row],[Consumo]], 0 )</f>
        <v>1.0031347962382446E-2</v>
      </c>
      <c r="BI82" s="323"/>
      <c r="BJ82" s="323"/>
      <c r="BK82" s="325" t="s">
        <v>2064</v>
      </c>
    </row>
    <row r="83" spans="1:63" hidden="1" x14ac:dyDescent="0.3">
      <c r="A83" s="286">
        <v>15299</v>
      </c>
      <c r="B83" s="287" t="s">
        <v>1088</v>
      </c>
      <c r="C83" s="288" t="s">
        <v>256</v>
      </c>
      <c r="D83" s="289">
        <v>4.2</v>
      </c>
      <c r="E83" s="290"/>
      <c r="F83" s="290"/>
      <c r="G83" s="290" t="s">
        <v>883</v>
      </c>
      <c r="H83" s="291">
        <v>46</v>
      </c>
      <c r="I83" s="292">
        <v>103003</v>
      </c>
      <c r="J83" s="293">
        <v>4.2</v>
      </c>
      <c r="K83" s="294">
        <v>324</v>
      </c>
      <c r="L83" s="295">
        <f>IF(tabItens[[#This Row],[Média]] &gt; 0, tabItens[[#This Row],[QTDE ATUAL]] / tabItens[[#This Row],[Média]],999.9)</f>
        <v>1.3697270471464018</v>
      </c>
      <c r="M83" s="296">
        <v>0</v>
      </c>
      <c r="N83" s="297">
        <f>tabItens[[#This Row],[VALOR UNIT.]] * tabItens[[#This Row],[LC]]</f>
        <v>0</v>
      </c>
      <c r="O83" s="298" t="s">
        <v>2082</v>
      </c>
      <c r="P83" s="299"/>
      <c r="Q83" s="300"/>
      <c r="R83" s="297"/>
      <c r="S83" s="301"/>
      <c r="T83" s="302">
        <f>ROUNDDOWN(IFERROR(tabItens[[#This Row],[ATA DT.VALID.]] - $D$1,0) / 30,0)</f>
        <v>-1504</v>
      </c>
      <c r="U83" s="287" t="s">
        <v>985</v>
      </c>
      <c r="V83" s="303">
        <v>1</v>
      </c>
      <c r="W83" s="304" t="s">
        <v>2055</v>
      </c>
      <c r="X83" s="305">
        <v>55</v>
      </c>
      <c r="Y83" s="306">
        <v>7</v>
      </c>
      <c r="Z83" s="307">
        <v>2442</v>
      </c>
      <c r="AA83" s="308">
        <v>2023</v>
      </c>
      <c r="AB83" s="309">
        <v>100</v>
      </c>
      <c r="AC83" s="309"/>
      <c r="AD83" s="308"/>
      <c r="AE83" s="309"/>
      <c r="AF83" s="302"/>
      <c r="AG83" s="310" t="s">
        <v>2050</v>
      </c>
      <c r="AH83" s="311"/>
      <c r="AI83" s="302">
        <v>136</v>
      </c>
      <c r="AJ83" s="311">
        <v>44336</v>
      </c>
      <c r="AK83" s="311" t="s">
        <v>883</v>
      </c>
      <c r="AL83" s="311">
        <v>44722</v>
      </c>
      <c r="AM83" s="301"/>
      <c r="AN83" s="290"/>
      <c r="AO83" s="312" t="str">
        <f>_xlfn.IFNA(IF(VLOOKUP(tabItens[[#This Row],[CÓDIGO]],tabExcluirDoEstoque[#Data],1,FALSE),"sim",""),"")</f>
        <v/>
      </c>
      <c r="AP83" s="313" t="str">
        <f ca="1">IF(OR(ISBLANK(tabItens[[#This Row],[ATA DT.VALID.]]),tabItens[[#This Row],[ATA DT.VALID.]]="",tabItens[[#This Row],[ATA DT.VALID.]]=" "),"",IF(TYPE(tabItens[[#This Row],[ATA DT.VALID.]])=1,ROUNDUP((tabItens[[#This Row],[ATA DT.VALID.]]-TODAY())/7,0),""))</f>
        <v/>
      </c>
      <c r="AQ83" s="314">
        <v>0</v>
      </c>
      <c r="AR83" s="315" t="str">
        <f>IF(ISBLANK(tabItens[[#This Row],[CÓDIGO]]),"",IFERROR(VLOOKUP(tabItens[[#This Row],[CÓDIGO]],Consumo!$C$2:$AC$869,26,FALSE),0))</f>
        <v>07.2023</v>
      </c>
      <c r="AS83" s="316">
        <f>SUMIF(Consumo!$C$3:$C$869,tabItens[[#This Row],[CÓDIGO]],Consumo!$N$3:$N$869) + SUMIF(Consumo!$C$3:$C$869,tabItens[[#This Row],[CÓDIGO]],Consumo!$O$3:$O$869) + SUMIF(Consumo!$C$3:$C$869,tabItens[[#This Row],[CÓDIGO]],Consumo!$P$3:$P$869) + SUMIF(Consumo!$C$3:$C$869,tabItens[[#This Row],[CÓDIGO]],Consumo!$Q$3:$Q$869)</f>
        <v>94</v>
      </c>
      <c r="AT83" s="316">
        <f>SUMIF(Consumo!$C$3:$C$869,tabItens[[#This Row],[CÓDIGO]],Consumo!$Z$3:$Z$869)</f>
        <v>403</v>
      </c>
      <c r="AU83" s="317">
        <f>SUMIF(Consumo!$C$3:$C$869,tabItens[[#This Row],[CÓDIGO]],Consumo!$AA$3:$AA$869)</f>
        <v>66</v>
      </c>
      <c r="AV83" s="318">
        <f>SUMIF(Consumo!$C$3:$C$869,tabItens[[#This Row],[CÓDIGO]],Consumo!$Y$3:$Y$869)</f>
        <v>33.583333333333336</v>
      </c>
      <c r="AW83" s="291">
        <f>tabItens[[#This Row],[QTDE ATUAL]] + tabItens[[#This Row],[RC QTDE]] + tabItens[[#This Row],[AF SALDO]] + tabItens[[#This Row],[Recentes]]</f>
        <v>146</v>
      </c>
      <c r="AX83" s="319">
        <v>50</v>
      </c>
      <c r="AY83" s="319">
        <v>4</v>
      </c>
      <c r="AZ83" s="319">
        <f>IF(ISBLANK(tabItens[[#This Row],[CÓDIGO]]),"",tabItens[[#This Row],[PontoMês]] * (AZ$2+tabItens[[#This Row],[PontoQtM]]))</f>
        <v>200</v>
      </c>
      <c r="BA83" s="318">
        <f>tabItens[[#This Row],[PontoPed]] - tabItens[[#This Row],[Saldo]] + (1/10)</f>
        <v>54.1</v>
      </c>
      <c r="BB83" s="318">
        <f xml:space="preserve"> tabItens[[#This Row],[PontoMês]] * BB$2 - tabItens[[#This Row],[QTDE ATUAL]] - (1/10)</f>
        <v>3.9</v>
      </c>
      <c r="BC83" s="320">
        <f>IF( tabItens[[#This Row],[PontoPed]]&gt;0, IF(tabItens[[#This Row],[PontoPed]]&lt;1, 1, IF( tabItens[[#This Row],[Saldo]]&gt;tabItens[[#This Row],[PontoPed]], 0, (tabItens[[#This Row],[PontoPed]]-tabItens[[#This Row],[Saldo]])/tabItens[[#This Row],[PontoPed]] ) ), 0 )</f>
        <v>0.27</v>
      </c>
      <c r="BD83" s="321">
        <f>ROUNDDOWN(IF( OR( AND(tabItens[[#This Row],[PontoPed]]&lt;tabItens[[#This Row],[Saldo]],tabItens[[#This Row],[Saldo]]&gt;0), tabItens[[#This Row],[PontoPed]]=0), 99, IF(AND(tabItens[[#This Row],[Saldo]]=0,tabItens[[#This Row],[PontoPed]]&gt;0), 0, (1-tabItens[[#This Row],[PctAb]])*10 ) ),0)</f>
        <v>7</v>
      </c>
      <c r="BE83" s="322">
        <f>MAX(ROUNDDOWN( IF(tabItens[[#This Row],[Abaixo]] &gt; 0,   tabItens[[#This Row],[Abaixo]] + (tabItens[[#This Row],[PontoMês]] * IF( OR( ISBLANK(tabItens[[#This Row],[ATA Nº/ANO]]), tabItens[[#This Row],[ATA Nº/ANO]] = ""),BE$2,BE$1)),0),0),0)</f>
        <v>204</v>
      </c>
      <c r="BF8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323">
        <f>SUMIF(Consumo!$C$3:$C$869,tabItens[[#This Row],[CÓDIGO]],Consumo!$E$3:$E$869)</f>
        <v>0</v>
      </c>
      <c r="BH83" s="324">
        <f>IF(AND(tabItens[[#This Row],[Pend]] &gt; 0,tabItens[[#This Row],[Consumo]] &lt;&gt; 0), tabItens[[#This Row],[Pend]] / tabItens[[#This Row],[Consumo]], 0 )</f>
        <v>0</v>
      </c>
      <c r="BI83" s="323"/>
      <c r="BJ83" s="323"/>
      <c r="BK83" s="325" t="s">
        <v>2064</v>
      </c>
    </row>
    <row r="84" spans="1:63" hidden="1" x14ac:dyDescent="0.3">
      <c r="A84" s="286">
        <v>119621</v>
      </c>
      <c r="B84" s="287" t="s">
        <v>1734</v>
      </c>
      <c r="C84" s="288" t="s">
        <v>406</v>
      </c>
      <c r="D84" s="289">
        <v>200.76</v>
      </c>
      <c r="E84" s="290"/>
      <c r="F84" s="290"/>
      <c r="G84" s="290" t="s">
        <v>883</v>
      </c>
      <c r="H84" s="291">
        <v>298</v>
      </c>
      <c r="I84" s="292">
        <v>103003</v>
      </c>
      <c r="J84" s="293">
        <v>200.76</v>
      </c>
      <c r="K84" s="294">
        <v>369</v>
      </c>
      <c r="L84" s="295">
        <f>IF(tabItens[[#This Row],[Média]] &gt; 0, tabItens[[#This Row],[QTDE ATUAL]] / tabItens[[#This Row],[Média]],999.9)</f>
        <v>8.3747072599531602</v>
      </c>
      <c r="M84" s="296">
        <v>0</v>
      </c>
      <c r="N84" s="297">
        <f>tabItens[[#This Row],[VALOR UNIT.]] * tabItens[[#This Row],[LC]]</f>
        <v>0</v>
      </c>
      <c r="O84" s="298" t="s">
        <v>2135</v>
      </c>
      <c r="P84" s="299"/>
      <c r="Q84" s="300"/>
      <c r="R84" s="297"/>
      <c r="S84" s="301"/>
      <c r="T84" s="302">
        <f>ROUNDDOWN(IFERROR(tabItens[[#This Row],[ATA DT.VALID.]] - $D$1,0) / 30,0)</f>
        <v>-1504</v>
      </c>
      <c r="U84" s="287" t="s">
        <v>1209</v>
      </c>
      <c r="V84" s="303">
        <v>1</v>
      </c>
      <c r="W84" s="304" t="s">
        <v>2057</v>
      </c>
      <c r="X84" s="305">
        <v>74</v>
      </c>
      <c r="Y84" s="306">
        <v>9</v>
      </c>
      <c r="Z84" s="307">
        <v>2982</v>
      </c>
      <c r="AA84" s="308">
        <v>2023</v>
      </c>
      <c r="AB84" s="309">
        <v>100</v>
      </c>
      <c r="AC84" s="309"/>
      <c r="AD84" s="308"/>
      <c r="AE84" s="309"/>
      <c r="AF84" s="302"/>
      <c r="AG84" s="310" t="s">
        <v>2050</v>
      </c>
      <c r="AH84" s="311"/>
      <c r="AI84" s="302">
        <v>148</v>
      </c>
      <c r="AJ84" s="311">
        <v>44244</v>
      </c>
      <c r="AK84" s="311">
        <v>40641</v>
      </c>
      <c r="AL84" s="311">
        <v>44133</v>
      </c>
      <c r="AM84" s="301"/>
      <c r="AN84" s="290"/>
      <c r="AO84" s="312" t="str">
        <f>_xlfn.IFNA(IF(VLOOKUP(tabItens[[#This Row],[CÓDIGO]],tabExcluirDoEstoque[#Data],1,FALSE),"sim",""),"")</f>
        <v/>
      </c>
      <c r="AP84" s="313" t="str">
        <f ca="1">IF(OR(ISBLANK(tabItens[[#This Row],[ATA DT.VALID.]]),tabItens[[#This Row],[ATA DT.VALID.]]="",tabItens[[#This Row],[ATA DT.VALID.]]=" "),"",IF(TYPE(tabItens[[#This Row],[ATA DT.VALID.]])=1,ROUNDUP((tabItens[[#This Row],[ATA DT.VALID.]]-TODAY())/7,0),""))</f>
        <v/>
      </c>
      <c r="AQ84" s="314">
        <v>0</v>
      </c>
      <c r="AR84" s="315" t="str">
        <f>IF(ISBLANK(tabItens[[#This Row],[CÓDIGO]]),"",IFERROR(VLOOKUP(tabItens[[#This Row],[CÓDIGO]],Consumo!$C$2:$AC$869,26,FALSE),0))</f>
        <v>07.2023</v>
      </c>
      <c r="AS84" s="316">
        <f>SUMIF(Consumo!$C$3:$C$869,tabItens[[#This Row],[CÓDIGO]],Consumo!$N$3:$N$869) + SUMIF(Consumo!$C$3:$C$869,tabItens[[#This Row],[CÓDIGO]],Consumo!$O$3:$O$869) + SUMIF(Consumo!$C$3:$C$869,tabItens[[#This Row],[CÓDIGO]],Consumo!$P$3:$P$869) + SUMIF(Consumo!$C$3:$C$869,tabItens[[#This Row],[CÓDIGO]],Consumo!$Q$3:$Q$869)</f>
        <v>195</v>
      </c>
      <c r="AT84" s="316">
        <f>SUMIF(Consumo!$C$3:$C$869,tabItens[[#This Row],[CÓDIGO]],Consumo!$Z$3:$Z$869)</f>
        <v>444</v>
      </c>
      <c r="AU84" s="317">
        <f>SUMIF(Consumo!$C$3:$C$869,tabItens[[#This Row],[CÓDIGO]],Consumo!$AA$3:$AA$869)</f>
        <v>123</v>
      </c>
      <c r="AV84" s="318">
        <f>SUMIF(Consumo!$C$3:$C$869,tabItens[[#This Row],[CÓDIGO]],Consumo!$Y$3:$Y$869)</f>
        <v>35.583333333333336</v>
      </c>
      <c r="AW84" s="291">
        <f>tabItens[[#This Row],[QTDE ATUAL]] + tabItens[[#This Row],[RC QTDE]] + tabItens[[#This Row],[AF SALDO]] + tabItens[[#This Row],[Recentes]]</f>
        <v>398</v>
      </c>
      <c r="AX84" s="319">
        <v>125</v>
      </c>
      <c r="AY84" s="319">
        <v>4</v>
      </c>
      <c r="AZ84" s="319">
        <f>IF(ISBLANK(tabItens[[#This Row],[CÓDIGO]]),"",tabItens[[#This Row],[PontoMês]] * (AZ$2+tabItens[[#This Row],[PontoQtM]]))</f>
        <v>500</v>
      </c>
      <c r="BA84" s="318">
        <f>tabItens[[#This Row],[PontoPed]] - tabItens[[#This Row],[Saldo]] + (1/10)</f>
        <v>102.1</v>
      </c>
      <c r="BB84" s="318">
        <f xml:space="preserve"> tabItens[[#This Row],[PontoMês]] * BB$2 - tabItens[[#This Row],[QTDE ATUAL]] - (1/10)</f>
        <v>-173.1</v>
      </c>
      <c r="BC84" s="320">
        <f>IF( tabItens[[#This Row],[PontoPed]]&gt;0, IF(tabItens[[#This Row],[PontoPed]]&lt;1, 1, IF( tabItens[[#This Row],[Saldo]]&gt;tabItens[[#This Row],[PontoPed]], 0, (tabItens[[#This Row],[PontoPed]]-tabItens[[#This Row],[Saldo]])/tabItens[[#This Row],[PontoPed]] ) ), 0 )</f>
        <v>0.20399999999999999</v>
      </c>
      <c r="BD84" s="321">
        <f>ROUNDDOWN(IF( OR( AND(tabItens[[#This Row],[PontoPed]]&lt;tabItens[[#This Row],[Saldo]],tabItens[[#This Row],[Saldo]]&gt;0), tabItens[[#This Row],[PontoPed]]=0), 99, IF(AND(tabItens[[#This Row],[Saldo]]=0,tabItens[[#This Row],[PontoPed]]&gt;0), 0, (1-tabItens[[#This Row],[PctAb]])*10 ) ),0)</f>
        <v>7</v>
      </c>
      <c r="BE84" s="322">
        <f>MAX(ROUNDDOWN( IF(tabItens[[#This Row],[Abaixo]] &gt; 0,   tabItens[[#This Row],[Abaixo]] + (tabItens[[#This Row],[PontoMês]] * IF( OR( ISBLANK(tabItens[[#This Row],[ATA Nº/ANO]]), tabItens[[#This Row],[ATA Nº/ANO]] = ""),BE$2,BE$1)),0),0),0)</f>
        <v>477</v>
      </c>
      <c r="BF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323">
        <f>SUMIF(Consumo!$C$3:$C$869,tabItens[[#This Row],[CÓDIGO]],Consumo!$E$3:$E$869)</f>
        <v>0</v>
      </c>
      <c r="BH84" s="324">
        <f>IF(AND(tabItens[[#This Row],[Pend]] &gt; 0,tabItens[[#This Row],[Consumo]] &lt;&gt; 0), tabItens[[#This Row],[Pend]] / tabItens[[#This Row],[Consumo]], 0 )</f>
        <v>0</v>
      </c>
      <c r="BI84" s="323"/>
      <c r="BJ84" s="323"/>
      <c r="BK84" s="325" t="s">
        <v>2064</v>
      </c>
    </row>
    <row r="85" spans="1:63" hidden="1" x14ac:dyDescent="0.3">
      <c r="A85" s="286">
        <v>23989</v>
      </c>
      <c r="B85" s="287" t="s">
        <v>1188</v>
      </c>
      <c r="C85" s="288" t="s">
        <v>281</v>
      </c>
      <c r="D85" s="289">
        <v>1.71</v>
      </c>
      <c r="E85" s="290"/>
      <c r="F85" s="290"/>
      <c r="G85" s="290" t="s">
        <v>883</v>
      </c>
      <c r="H85" s="291">
        <v>2384</v>
      </c>
      <c r="I85" s="292">
        <v>103003</v>
      </c>
      <c r="J85" s="293">
        <v>1.71</v>
      </c>
      <c r="K85" s="294">
        <v>5014</v>
      </c>
      <c r="L85" s="295">
        <f>IF(tabItens[[#This Row],[Média]] &gt; 0, tabItens[[#This Row],[QTDE ATUAL]] / tabItens[[#This Row],[Média]],999.9)</f>
        <v>3.7637153006183399</v>
      </c>
      <c r="M85" s="296">
        <v>0</v>
      </c>
      <c r="N85" s="297">
        <f>tabItens[[#This Row],[VALOR UNIT.]] * tabItens[[#This Row],[LC]]</f>
        <v>0</v>
      </c>
      <c r="O85" s="298" t="s">
        <v>2066</v>
      </c>
      <c r="P85" s="299"/>
      <c r="Q85" s="300"/>
      <c r="R85" s="297"/>
      <c r="S85" s="301"/>
      <c r="T85" s="302">
        <f>ROUNDDOWN(IFERROR(tabItens[[#This Row],[ATA DT.VALID.]] - $D$1,0) / 30,0)</f>
        <v>-1504</v>
      </c>
      <c r="U85" s="287" t="s">
        <v>1135</v>
      </c>
      <c r="V85" s="303">
        <v>1</v>
      </c>
      <c r="W85" s="304" t="s">
        <v>2052</v>
      </c>
      <c r="X85" s="305">
        <v>57</v>
      </c>
      <c r="Y85" s="306">
        <v>2</v>
      </c>
      <c r="Z85" s="307"/>
      <c r="AA85" s="308"/>
      <c r="AB85" s="309"/>
      <c r="AC85" s="309"/>
      <c r="AD85" s="308"/>
      <c r="AE85" s="309"/>
      <c r="AF85" s="302"/>
      <c r="AG85" s="310" t="s">
        <v>2050</v>
      </c>
      <c r="AH85" s="311"/>
      <c r="AI85" s="302">
        <v>2536</v>
      </c>
      <c r="AJ85" s="311">
        <v>44966</v>
      </c>
      <c r="AK85" s="311" t="s">
        <v>883</v>
      </c>
      <c r="AL85" s="311">
        <v>45083</v>
      </c>
      <c r="AM85" s="301"/>
      <c r="AN85" s="290"/>
      <c r="AO85" s="312" t="str">
        <f>_xlfn.IFNA(IF(VLOOKUP(tabItens[[#This Row],[CÓDIGO]],tabExcluirDoEstoque[#Data],1,FALSE),"sim",""),"")</f>
        <v/>
      </c>
      <c r="AP85" s="313" t="str">
        <f ca="1">IF(OR(ISBLANK(tabItens[[#This Row],[ATA DT.VALID.]]),tabItens[[#This Row],[ATA DT.VALID.]]="",tabItens[[#This Row],[ATA DT.VALID.]]=" "),"",IF(TYPE(tabItens[[#This Row],[ATA DT.VALID.]])=1,ROUNDUP((tabItens[[#This Row],[ATA DT.VALID.]]-TODAY())/7,0),""))</f>
        <v/>
      </c>
      <c r="AQ85" s="314">
        <v>0</v>
      </c>
      <c r="AR85" s="315" t="str">
        <f>IF(ISBLANK(tabItens[[#This Row],[CÓDIGO]]),"",IFERROR(VLOOKUP(tabItens[[#This Row],[CÓDIGO]],Consumo!$C$2:$AC$869,26,FALSE),0))</f>
        <v>07.2023</v>
      </c>
      <c r="AS85" s="316">
        <f>SUMIF(Consumo!$C$3:$C$869,tabItens[[#This Row],[CÓDIGO]],Consumo!$N$3:$N$869) + SUMIF(Consumo!$C$3:$C$869,tabItens[[#This Row],[CÓDIGO]],Consumo!$O$3:$O$869) + SUMIF(Consumo!$C$3:$C$869,tabItens[[#This Row],[CÓDIGO]],Consumo!$P$3:$P$869) + SUMIF(Consumo!$C$3:$C$869,tabItens[[#This Row],[CÓDIGO]],Consumo!$Q$3:$Q$869)</f>
        <v>3355</v>
      </c>
      <c r="AT85" s="316">
        <f>SUMIF(Consumo!$C$3:$C$869,tabItens[[#This Row],[CÓDIGO]],Consumo!$Z$3:$Z$869)</f>
        <v>7601</v>
      </c>
      <c r="AU85" s="317">
        <f>SUMIF(Consumo!$C$3:$C$869,tabItens[[#This Row],[CÓDIGO]],Consumo!$AA$3:$AA$869)</f>
        <v>1110</v>
      </c>
      <c r="AV85" s="318">
        <f>SUMIF(Consumo!$C$3:$C$869,tabItens[[#This Row],[CÓDIGO]],Consumo!$Y$3:$Y$869)</f>
        <v>633.41666666666663</v>
      </c>
      <c r="AW85" s="291">
        <f>tabItens[[#This Row],[QTDE ATUAL]] + tabItens[[#This Row],[RC QTDE]] + tabItens[[#This Row],[AF SALDO]] + tabItens[[#This Row],[Recentes]]</f>
        <v>2384</v>
      </c>
      <c r="AX85" s="319">
        <v>834</v>
      </c>
      <c r="AY85" s="319">
        <v>4</v>
      </c>
      <c r="AZ85" s="319">
        <f>IF(ISBLANK(tabItens[[#This Row],[CÓDIGO]]),"",tabItens[[#This Row],[PontoMês]] * (AZ$2+tabItens[[#This Row],[PontoQtM]]))</f>
        <v>3336</v>
      </c>
      <c r="BA85" s="318">
        <f>tabItens[[#This Row],[PontoPed]] - tabItens[[#This Row],[Saldo]] + (1/10)</f>
        <v>952.1</v>
      </c>
      <c r="BB85" s="318">
        <f xml:space="preserve"> tabItens[[#This Row],[PontoMês]] * BB$2 - tabItens[[#This Row],[QTDE ATUAL]] - (1/10)</f>
        <v>-1550.1</v>
      </c>
      <c r="BC85" s="320">
        <f>IF( tabItens[[#This Row],[PontoPed]]&gt;0, IF(tabItens[[#This Row],[PontoPed]]&lt;1, 1, IF( tabItens[[#This Row],[Saldo]]&gt;tabItens[[#This Row],[PontoPed]], 0, (tabItens[[#This Row],[PontoPed]]-tabItens[[#This Row],[Saldo]])/tabItens[[#This Row],[PontoPed]] ) ), 0 )</f>
        <v>0.28537170263788969</v>
      </c>
      <c r="BD85" s="321">
        <f>ROUNDDOWN(IF( OR( AND(tabItens[[#This Row],[PontoPed]]&lt;tabItens[[#This Row],[Saldo]],tabItens[[#This Row],[Saldo]]&gt;0), tabItens[[#This Row],[PontoPed]]=0), 99, IF(AND(tabItens[[#This Row],[Saldo]]=0,tabItens[[#This Row],[PontoPed]]&gt;0), 0, (1-tabItens[[#This Row],[PctAb]])*10 ) ),0)</f>
        <v>7</v>
      </c>
      <c r="BE85" s="322">
        <f>MAX(ROUNDDOWN( IF(tabItens[[#This Row],[Abaixo]] &gt; 0,   tabItens[[#This Row],[Abaixo]] + (tabItens[[#This Row],[PontoMês]] * IF( OR( ISBLANK(tabItens[[#This Row],[ATA Nº/ANO]]), tabItens[[#This Row],[ATA Nº/ANO]] = ""),BE$2,BE$1)),0),0),0)</f>
        <v>3454</v>
      </c>
      <c r="BF8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23">
        <f>SUMIF(Consumo!$C$3:$C$869,tabItens[[#This Row],[CÓDIGO]],Consumo!$E$3:$E$869)</f>
        <v>65</v>
      </c>
      <c r="BH85" s="324">
        <f>IF(AND(tabItens[[#This Row],[Pend]] &gt; 0,tabItens[[#This Row],[Consumo]] &lt;&gt; 0), tabItens[[#This Row],[Pend]] / tabItens[[#This Row],[Consumo]], 0 )</f>
        <v>8.5515063807393762E-3</v>
      </c>
      <c r="BI85" s="323"/>
      <c r="BJ85" s="323"/>
      <c r="BK85" s="325" t="s">
        <v>2064</v>
      </c>
    </row>
    <row r="86" spans="1:63" hidden="1" x14ac:dyDescent="0.3">
      <c r="A86" s="286">
        <v>93332</v>
      </c>
      <c r="B86" s="287" t="s">
        <v>1531</v>
      </c>
      <c r="C86" s="288" t="s">
        <v>569</v>
      </c>
      <c r="D86" s="289">
        <v>0.34</v>
      </c>
      <c r="E86" s="290"/>
      <c r="F86" s="290"/>
      <c r="G86" s="290" t="s">
        <v>883</v>
      </c>
      <c r="H86" s="291">
        <v>423</v>
      </c>
      <c r="I86" s="292">
        <v>103003</v>
      </c>
      <c r="J86" s="293">
        <v>0.34</v>
      </c>
      <c r="K86" s="294">
        <v>4657</v>
      </c>
      <c r="L86" s="295">
        <f>IF(tabItens[[#This Row],[Média]] &gt; 0, tabItens[[#This Row],[QTDE ATUAL]] / tabItens[[#This Row],[Média]],999.9)</f>
        <v>0.75322748182222876</v>
      </c>
      <c r="M86" s="296">
        <v>0</v>
      </c>
      <c r="N86" s="297">
        <f>tabItens[[#This Row],[VALOR UNIT.]] * tabItens[[#This Row],[LC]]</f>
        <v>0</v>
      </c>
      <c r="O86" s="298" t="s">
        <v>2066</v>
      </c>
      <c r="P86" s="299"/>
      <c r="Q86" s="300"/>
      <c r="R86" s="297"/>
      <c r="S86" s="301"/>
      <c r="T86" s="302">
        <f>ROUNDDOWN(IFERROR(tabItens[[#This Row],[ATA DT.VALID.]] - $D$1,0) / 30,0)</f>
        <v>-1504</v>
      </c>
      <c r="U86" s="287" t="s">
        <v>1135</v>
      </c>
      <c r="V86" s="303">
        <v>1</v>
      </c>
      <c r="W86" s="304" t="s">
        <v>2052</v>
      </c>
      <c r="X86" s="305">
        <v>57</v>
      </c>
      <c r="Y86" s="306">
        <v>2</v>
      </c>
      <c r="Z86" s="307">
        <v>6216</v>
      </c>
      <c r="AA86" s="308">
        <v>2023</v>
      </c>
      <c r="AB86" s="309">
        <v>2000</v>
      </c>
      <c r="AC86" s="309"/>
      <c r="AD86" s="308"/>
      <c r="AE86" s="309"/>
      <c r="AF86" s="302"/>
      <c r="AG86" s="310" t="s">
        <v>2050</v>
      </c>
      <c r="AH86" s="311"/>
      <c r="AI86" s="302">
        <v>2234</v>
      </c>
      <c r="AJ86" s="311">
        <v>44967</v>
      </c>
      <c r="AK86" s="311">
        <v>38919</v>
      </c>
      <c r="AL86" s="311">
        <v>45118</v>
      </c>
      <c r="AM86" s="301"/>
      <c r="AN86" s="290"/>
      <c r="AO86" s="312" t="str">
        <f>_xlfn.IFNA(IF(VLOOKUP(tabItens[[#This Row],[CÓDIGO]],tabExcluirDoEstoque[#Data],1,FALSE),"sim",""),"")</f>
        <v/>
      </c>
      <c r="AP86" s="313" t="str">
        <f ca="1">IF(OR(ISBLANK(tabItens[[#This Row],[ATA DT.VALID.]]),tabItens[[#This Row],[ATA DT.VALID.]]="",tabItens[[#This Row],[ATA DT.VALID.]]=" "),"",IF(TYPE(tabItens[[#This Row],[ATA DT.VALID.]])=1,ROUNDUP((tabItens[[#This Row],[ATA DT.VALID.]]-TODAY())/7,0),""))</f>
        <v/>
      </c>
      <c r="AQ86" s="314">
        <v>0</v>
      </c>
      <c r="AR86" s="315" t="str">
        <f>IF(ISBLANK(tabItens[[#This Row],[CÓDIGO]]),"",IFERROR(VLOOKUP(tabItens[[#This Row],[CÓDIGO]],Consumo!$C$2:$AC$869,26,FALSE),0))</f>
        <v>07.2023</v>
      </c>
      <c r="AS86" s="316">
        <f>SUMIF(Consumo!$C$3:$C$869,tabItens[[#This Row],[CÓDIGO]],Consumo!$N$3:$N$869) + SUMIF(Consumo!$C$3:$C$869,tabItens[[#This Row],[CÓDIGO]],Consumo!$O$3:$O$869) + SUMIF(Consumo!$C$3:$C$869,tabItens[[#This Row],[CÓDIGO]],Consumo!$P$3:$P$869) + SUMIF(Consumo!$C$3:$C$869,tabItens[[#This Row],[CÓDIGO]],Consumo!$Q$3:$Q$869)</f>
        <v>3328</v>
      </c>
      <c r="AT86" s="316">
        <f>SUMIF(Consumo!$C$3:$C$869,tabItens[[#This Row],[CÓDIGO]],Consumo!$Z$3:$Z$869)</f>
        <v>6744</v>
      </c>
      <c r="AU86" s="317">
        <f>SUMIF(Consumo!$C$3:$C$869,tabItens[[#This Row],[CÓDIGO]],Consumo!$AA$3:$AA$869)</f>
        <v>1207</v>
      </c>
      <c r="AV86" s="318">
        <f>SUMIF(Consumo!$C$3:$C$869,tabItens[[#This Row],[CÓDIGO]],Consumo!$Y$3:$Y$869)</f>
        <v>561.58333333333337</v>
      </c>
      <c r="AW86" s="291">
        <f>tabItens[[#This Row],[QTDE ATUAL]] + tabItens[[#This Row],[RC QTDE]] + tabItens[[#This Row],[AF SALDO]] + tabItens[[#This Row],[Recentes]]</f>
        <v>2423</v>
      </c>
      <c r="AX86" s="319">
        <v>834</v>
      </c>
      <c r="AY86" s="319">
        <v>4</v>
      </c>
      <c r="AZ86" s="319">
        <f>IF(ISBLANK(tabItens[[#This Row],[CÓDIGO]]),"",tabItens[[#This Row],[PontoMês]] * (AZ$2+tabItens[[#This Row],[PontoQtM]]))</f>
        <v>3336</v>
      </c>
      <c r="BA86" s="318">
        <f>tabItens[[#This Row],[PontoPed]] - tabItens[[#This Row],[Saldo]] + (1/10)</f>
        <v>913.1</v>
      </c>
      <c r="BB86" s="318">
        <f xml:space="preserve"> tabItens[[#This Row],[PontoMês]] * BB$2 - tabItens[[#This Row],[QTDE ATUAL]] - (1/10)</f>
        <v>410.9</v>
      </c>
      <c r="BC86" s="320">
        <f>IF( tabItens[[#This Row],[PontoPed]]&gt;0, IF(tabItens[[#This Row],[PontoPed]]&lt;1, 1, IF( tabItens[[#This Row],[Saldo]]&gt;tabItens[[#This Row],[PontoPed]], 0, (tabItens[[#This Row],[PontoPed]]-tabItens[[#This Row],[Saldo]])/tabItens[[#This Row],[PontoPed]] ) ), 0 )</f>
        <v>0.27368105515587532</v>
      </c>
      <c r="BD86" s="321">
        <f>ROUNDDOWN(IF( OR( AND(tabItens[[#This Row],[PontoPed]]&lt;tabItens[[#This Row],[Saldo]],tabItens[[#This Row],[Saldo]]&gt;0), tabItens[[#This Row],[PontoPed]]=0), 99, IF(AND(tabItens[[#This Row],[Saldo]]=0,tabItens[[#This Row],[PontoPed]]&gt;0), 0, (1-tabItens[[#This Row],[PctAb]])*10 ) ),0)</f>
        <v>7</v>
      </c>
      <c r="BE86" s="322">
        <f>MAX(ROUNDDOWN( IF(tabItens[[#This Row],[Abaixo]] &gt; 0,   tabItens[[#This Row],[Abaixo]] + (tabItens[[#This Row],[PontoMês]] * IF( OR( ISBLANK(tabItens[[#This Row],[ATA Nº/ANO]]), tabItens[[#This Row],[ATA Nº/ANO]] = ""),BE$2,BE$1)),0),0),0)</f>
        <v>3415</v>
      </c>
      <c r="BF8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23">
        <f>SUMIF(Consumo!$C$3:$C$869,tabItens[[#This Row],[CÓDIGO]],Consumo!$E$3:$E$869)</f>
        <v>40</v>
      </c>
      <c r="BH86" s="324">
        <f>IF(AND(tabItens[[#This Row],[Pend]] &gt; 0,tabItens[[#This Row],[Consumo]] &lt;&gt; 0), tabItens[[#This Row],[Pend]] / tabItens[[#This Row],[Consumo]], 0 )</f>
        <v>5.9311981020166073E-3</v>
      </c>
      <c r="BI86" s="323"/>
      <c r="BJ86" s="323"/>
      <c r="BK86" s="325" t="s">
        <v>2064</v>
      </c>
    </row>
    <row r="87" spans="1:63" hidden="1" x14ac:dyDescent="0.3">
      <c r="A87" s="286">
        <v>29956</v>
      </c>
      <c r="B87" s="287" t="s">
        <v>1239</v>
      </c>
      <c r="C87" s="288" t="s">
        <v>569</v>
      </c>
      <c r="D87" s="289">
        <v>1</v>
      </c>
      <c r="E87" s="290"/>
      <c r="F87" s="290"/>
      <c r="G87" s="290" t="s">
        <v>883</v>
      </c>
      <c r="H87" s="291">
        <v>1870</v>
      </c>
      <c r="I87" s="292">
        <v>103003</v>
      </c>
      <c r="J87" s="293">
        <v>1</v>
      </c>
      <c r="K87" s="294">
        <v>4651</v>
      </c>
      <c r="L87" s="295">
        <f>IF(tabItens[[#This Row],[Média]] &gt; 0, tabItens[[#This Row],[QTDE ATUAL]] / tabItens[[#This Row],[Média]],999.9)</f>
        <v>3.0824175824175826</v>
      </c>
      <c r="M87" s="296">
        <v>0</v>
      </c>
      <c r="N87" s="297">
        <f>tabItens[[#This Row],[VALOR UNIT.]] * tabItens[[#This Row],[LC]]</f>
        <v>0</v>
      </c>
      <c r="O87" s="298" t="s">
        <v>2066</v>
      </c>
      <c r="P87" s="299"/>
      <c r="Q87" s="300"/>
      <c r="R87" s="297"/>
      <c r="S87" s="301"/>
      <c r="T87" s="302">
        <f>ROUNDDOWN(IFERROR(tabItens[[#This Row],[ATA DT.VALID.]] - $D$1,0) / 30,0)</f>
        <v>-1504</v>
      </c>
      <c r="U87" s="287" t="s">
        <v>1129</v>
      </c>
      <c r="V87" s="303">
        <v>1</v>
      </c>
      <c r="W87" s="304" t="s">
        <v>2052</v>
      </c>
      <c r="X87" s="305">
        <v>57</v>
      </c>
      <c r="Y87" s="306">
        <v>15</v>
      </c>
      <c r="Z87" s="307">
        <v>6984</v>
      </c>
      <c r="AA87" s="308">
        <v>2023</v>
      </c>
      <c r="AB87" s="309">
        <v>500</v>
      </c>
      <c r="AC87" s="309"/>
      <c r="AD87" s="308"/>
      <c r="AE87" s="309"/>
      <c r="AF87" s="302"/>
      <c r="AG87" s="310" t="s">
        <v>2050</v>
      </c>
      <c r="AH87" s="311"/>
      <c r="AI87" s="302">
        <v>2424</v>
      </c>
      <c r="AJ87" s="311">
        <v>44994</v>
      </c>
      <c r="AK87" s="311" t="s">
        <v>883</v>
      </c>
      <c r="AL87" s="311">
        <v>44959</v>
      </c>
      <c r="AM87" s="301"/>
      <c r="AN87" s="290"/>
      <c r="AO87" s="312" t="str">
        <f>_xlfn.IFNA(IF(VLOOKUP(tabItens[[#This Row],[CÓDIGO]],tabExcluirDoEstoque[#Data],1,FALSE),"sim",""),"")</f>
        <v/>
      </c>
      <c r="AP87" s="313" t="str">
        <f ca="1">IF(OR(ISBLANK(tabItens[[#This Row],[ATA DT.VALID.]]),tabItens[[#This Row],[ATA DT.VALID.]]="",tabItens[[#This Row],[ATA DT.VALID.]]=" "),"",IF(TYPE(tabItens[[#This Row],[ATA DT.VALID.]])=1,ROUNDUP((tabItens[[#This Row],[ATA DT.VALID.]]-TODAY())/7,0),""))</f>
        <v/>
      </c>
      <c r="AQ87" s="314">
        <v>0</v>
      </c>
      <c r="AR87" s="315" t="str">
        <f>IF(ISBLANK(tabItens[[#This Row],[CÓDIGO]]),"",IFERROR(VLOOKUP(tabItens[[#This Row],[CÓDIGO]],Consumo!$C$2:$AC$869,26,FALSE),0))</f>
        <v>07.2023</v>
      </c>
      <c r="AS87" s="316">
        <f>SUMIF(Consumo!$C$3:$C$869,tabItens[[#This Row],[CÓDIGO]],Consumo!$N$3:$N$869) + SUMIF(Consumo!$C$3:$C$869,tabItens[[#This Row],[CÓDIGO]],Consumo!$O$3:$O$869) + SUMIF(Consumo!$C$3:$C$869,tabItens[[#This Row],[CÓDIGO]],Consumo!$P$3:$P$869) + SUMIF(Consumo!$C$3:$C$869,tabItens[[#This Row],[CÓDIGO]],Consumo!$Q$3:$Q$869)</f>
        <v>2928</v>
      </c>
      <c r="AT87" s="316">
        <f>SUMIF(Consumo!$C$3:$C$869,tabItens[[#This Row],[CÓDIGO]],Consumo!$Z$3:$Z$869)</f>
        <v>7280</v>
      </c>
      <c r="AU87" s="317">
        <f>SUMIF(Consumo!$C$3:$C$869,tabItens[[#This Row],[CÓDIGO]],Consumo!$AA$3:$AA$869)</f>
        <v>1120</v>
      </c>
      <c r="AV87" s="318">
        <f>SUMIF(Consumo!$C$3:$C$869,tabItens[[#This Row],[CÓDIGO]],Consumo!$Y$3:$Y$869)</f>
        <v>606.66666666666663</v>
      </c>
      <c r="AW87" s="291">
        <f>tabItens[[#This Row],[QTDE ATUAL]] + tabItens[[#This Row],[RC QTDE]] + tabItens[[#This Row],[AF SALDO]] + tabItens[[#This Row],[Recentes]]</f>
        <v>2370</v>
      </c>
      <c r="AX87" s="319">
        <v>834</v>
      </c>
      <c r="AY87" s="319">
        <v>4</v>
      </c>
      <c r="AZ87" s="319">
        <f>IF(ISBLANK(tabItens[[#This Row],[CÓDIGO]]),"",tabItens[[#This Row],[PontoMês]] * (AZ$2+tabItens[[#This Row],[PontoQtM]]))</f>
        <v>3336</v>
      </c>
      <c r="BA87" s="318">
        <f>tabItens[[#This Row],[PontoPed]] - tabItens[[#This Row],[Saldo]] + (1/10)</f>
        <v>966.1</v>
      </c>
      <c r="BB87" s="318">
        <f xml:space="preserve"> tabItens[[#This Row],[PontoMês]] * BB$2 - tabItens[[#This Row],[QTDE ATUAL]] - (1/10)</f>
        <v>-1036.0999999999999</v>
      </c>
      <c r="BC87" s="320">
        <f>IF( tabItens[[#This Row],[PontoPed]]&gt;0, IF(tabItens[[#This Row],[PontoPed]]&lt;1, 1, IF( tabItens[[#This Row],[Saldo]]&gt;tabItens[[#This Row],[PontoPed]], 0, (tabItens[[#This Row],[PontoPed]]-tabItens[[#This Row],[Saldo]])/tabItens[[#This Row],[PontoPed]] ) ), 0 )</f>
        <v>0.28956834532374098</v>
      </c>
      <c r="BD87" s="321">
        <f>ROUNDDOWN(IF( OR( AND(tabItens[[#This Row],[PontoPed]]&lt;tabItens[[#This Row],[Saldo]],tabItens[[#This Row],[Saldo]]&gt;0), tabItens[[#This Row],[PontoPed]]=0), 99, IF(AND(tabItens[[#This Row],[Saldo]]=0,tabItens[[#This Row],[PontoPed]]&gt;0), 0, (1-tabItens[[#This Row],[PctAb]])*10 ) ),0)</f>
        <v>7</v>
      </c>
      <c r="BE87" s="322">
        <f>MAX(ROUNDDOWN( IF(tabItens[[#This Row],[Abaixo]] &gt; 0,   tabItens[[#This Row],[Abaixo]] + (tabItens[[#This Row],[PontoMês]] * IF( OR( ISBLANK(tabItens[[#This Row],[ATA Nº/ANO]]), tabItens[[#This Row],[ATA Nº/ANO]] = ""),BE$2,BE$1)),0),0),0)</f>
        <v>3468</v>
      </c>
      <c r="BF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23">
        <f>SUMIF(Consumo!$C$3:$C$869,tabItens[[#This Row],[CÓDIGO]],Consumo!$E$3:$E$869)</f>
        <v>10</v>
      </c>
      <c r="BH87" s="324">
        <f>IF(AND(tabItens[[#This Row],[Pend]] &gt; 0,tabItens[[#This Row],[Consumo]] &lt;&gt; 0), tabItens[[#This Row],[Pend]] / tabItens[[#This Row],[Consumo]], 0 )</f>
        <v>1.3736263736263737E-3</v>
      </c>
      <c r="BI87" s="323"/>
      <c r="BJ87" s="323"/>
      <c r="BK87" s="325" t="s">
        <v>2064</v>
      </c>
    </row>
    <row r="88" spans="1:63" x14ac:dyDescent="0.3">
      <c r="A88" s="396">
        <v>23846</v>
      </c>
      <c r="B88" s="397" t="s">
        <v>1184</v>
      </c>
      <c r="C88" s="398" t="s">
        <v>569</v>
      </c>
      <c r="D88" s="399">
        <v>1.5</v>
      </c>
      <c r="E88" s="290"/>
      <c r="F88" s="400"/>
      <c r="G88" s="400" t="s">
        <v>883</v>
      </c>
      <c r="H88" s="401">
        <v>0</v>
      </c>
      <c r="I88" s="292">
        <v>103003</v>
      </c>
      <c r="J88" s="293">
        <v>1.5</v>
      </c>
      <c r="K88" s="402">
        <v>9077</v>
      </c>
      <c r="L88" s="403">
        <f>IF(tabItens[[#This Row],[Média]] &gt; 0, tabItens[[#This Row],[QTDE ATUAL]] / tabItens[[#This Row],[Média]],999.9)</f>
        <v>0</v>
      </c>
      <c r="M88" s="404">
        <v>0</v>
      </c>
      <c r="N88" s="405">
        <f>tabItens[[#This Row],[VALOR UNIT.]] * tabItens[[#This Row],[LC]]</f>
        <v>0</v>
      </c>
      <c r="O88" s="406" t="s">
        <v>2066</v>
      </c>
      <c r="P88" s="407"/>
      <c r="Q88" s="408"/>
      <c r="R88" s="297"/>
      <c r="S88" s="409"/>
      <c r="T88" s="410">
        <f>ROUNDDOWN(IFERROR(tabItens[[#This Row],[ATA DT.VALID.]] - $D$1,0) / 30,0)</f>
        <v>-1504</v>
      </c>
      <c r="U88" s="287" t="s">
        <v>941</v>
      </c>
      <c r="V88" s="303">
        <v>1</v>
      </c>
      <c r="W88" s="411" t="s">
        <v>2052</v>
      </c>
      <c r="X88" s="412">
        <v>57</v>
      </c>
      <c r="Y88" s="413">
        <v>16</v>
      </c>
      <c r="Z88" s="414">
        <v>6984</v>
      </c>
      <c r="AA88" s="415">
        <v>2023</v>
      </c>
      <c r="AB88" s="416">
        <v>6300</v>
      </c>
      <c r="AC88" s="416"/>
      <c r="AD88" s="415"/>
      <c r="AE88" s="416"/>
      <c r="AF88" s="302"/>
      <c r="AG88" s="417" t="s">
        <v>2050</v>
      </c>
      <c r="AH88" s="418"/>
      <c r="AI88" s="302">
        <v>5258</v>
      </c>
      <c r="AJ88" s="418">
        <v>44960</v>
      </c>
      <c r="AK88" s="311" t="s">
        <v>883</v>
      </c>
      <c r="AL88" s="311">
        <v>45054</v>
      </c>
      <c r="AM88" s="301"/>
      <c r="AN88" s="290"/>
      <c r="AO88" s="312" t="str">
        <f>_xlfn.IFNA(IF(VLOOKUP(tabItens[[#This Row],[CÓDIGO]],tabExcluirDoEstoque[#Data],1,FALSE),"sim",""),"")</f>
        <v/>
      </c>
      <c r="AP88" s="419" t="str">
        <f ca="1">IF(OR(ISBLANK(tabItens[[#This Row],[ATA DT.VALID.]]),tabItens[[#This Row],[ATA DT.VALID.]]="",tabItens[[#This Row],[ATA DT.VALID.]]=" "),"",IF(TYPE(tabItens[[#This Row],[ATA DT.VALID.]])=1,ROUNDUP((tabItens[[#This Row],[ATA DT.VALID.]]-TODAY())/7,0),""))</f>
        <v/>
      </c>
      <c r="AQ88" s="314">
        <v>0</v>
      </c>
      <c r="AR88" s="315" t="str">
        <f>IF(ISBLANK(tabItens[[#This Row],[CÓDIGO]]),"",IFERROR(VLOOKUP(tabItens[[#This Row],[CÓDIGO]],Consumo!$C$2:$AC$869,26,FALSE),0))</f>
        <v>07.2023</v>
      </c>
      <c r="AS88" s="316">
        <f>SUMIF(Consumo!$C$3:$C$869,tabItens[[#This Row],[CÓDIGO]],Consumo!$N$3:$N$869) + SUMIF(Consumo!$C$3:$C$869,tabItens[[#This Row],[CÓDIGO]],Consumo!$O$3:$O$869) + SUMIF(Consumo!$C$3:$C$869,tabItens[[#This Row],[CÓDIGO]],Consumo!$P$3:$P$869) + SUMIF(Consumo!$C$3:$C$869,tabItens[[#This Row],[CÓDIGO]],Consumo!$Q$3:$Q$869)</f>
        <v>4596</v>
      </c>
      <c r="AT88" s="316">
        <f>SUMIF(Consumo!$C$3:$C$869,tabItens[[#This Row],[CÓDIGO]],Consumo!$Z$3:$Z$869)</f>
        <v>14371</v>
      </c>
      <c r="AU88" s="317">
        <f>SUMIF(Consumo!$C$3:$C$869,tabItens[[#This Row],[CÓDIGO]],Consumo!$AA$3:$AA$869)</f>
        <v>2275</v>
      </c>
      <c r="AV88" s="318">
        <f>SUMIF(Consumo!$C$3:$C$869,tabItens[[#This Row],[CÓDIGO]],Consumo!$Y$3:$Y$869)</f>
        <v>1195.6666666666667</v>
      </c>
      <c r="AW88" s="401">
        <f>tabItens[[#This Row],[QTDE ATUAL]] + tabItens[[#This Row],[RC QTDE]] + tabItens[[#This Row],[AF SALDO]] + tabItens[[#This Row],[Recentes]]</f>
        <v>6300</v>
      </c>
      <c r="AX88" s="420">
        <v>2084</v>
      </c>
      <c r="AY88" s="420">
        <v>4</v>
      </c>
      <c r="AZ88" s="420">
        <f>IF(ISBLANK(tabItens[[#This Row],[CÓDIGO]]),"",tabItens[[#This Row],[PontoMês]] * (AZ$2+tabItens[[#This Row],[PontoQtM]]))</f>
        <v>8336</v>
      </c>
      <c r="BA88" s="421">
        <f>tabItens[[#This Row],[PontoPed]] - tabItens[[#This Row],[Saldo]] + (1/10)</f>
        <v>2036.1</v>
      </c>
      <c r="BB88" s="421">
        <f xml:space="preserve"> tabItens[[#This Row],[PontoMês]] * BB$2 - tabItens[[#This Row],[QTDE ATUAL]] - (1/10)</f>
        <v>2083.9</v>
      </c>
      <c r="BC88" s="320">
        <f>IF( tabItens[[#This Row],[PontoPed]]&gt;0, IF(tabItens[[#This Row],[PontoPed]]&lt;1, 1, IF( tabItens[[#This Row],[Saldo]]&gt;tabItens[[#This Row],[PontoPed]], 0, (tabItens[[#This Row],[PontoPed]]-tabItens[[#This Row],[Saldo]])/tabItens[[#This Row],[PontoPed]] ) ), 0 )</f>
        <v>0.24424184261036469</v>
      </c>
      <c r="BD88" s="422">
        <f>ROUNDDOWN(IF( OR( AND(tabItens[[#This Row],[PontoPed]]&lt;tabItens[[#This Row],[Saldo]],tabItens[[#This Row],[Saldo]]&gt;0), tabItens[[#This Row],[PontoPed]]=0), 99, IF(AND(tabItens[[#This Row],[Saldo]]=0,tabItens[[#This Row],[PontoPed]]&gt;0), 0, (1-tabItens[[#This Row],[PctAb]])*10 ) ),0)</f>
        <v>7</v>
      </c>
      <c r="BE88" s="423">
        <f>MAX(ROUNDDOWN( IF(tabItens[[#This Row],[Abaixo]] &gt; 0,   tabItens[[#This Row],[Abaixo]] + (tabItens[[#This Row],[PontoMês]] * IF( OR( ISBLANK(tabItens[[#This Row],[ATA Nº/ANO]]), tabItens[[#This Row],[ATA Nº/ANO]] = ""),BE$2,BE$1)),0),0),0)</f>
        <v>8288</v>
      </c>
      <c r="BF8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23">
        <f>SUMIF(Consumo!$C$3:$C$869,tabItens[[#This Row],[CÓDIGO]],Consumo!$E$3:$E$869)</f>
        <v>600</v>
      </c>
      <c r="BH88" s="324">
        <f>IF(AND(tabItens[[#This Row],[Pend]] &gt; 0,tabItens[[#This Row],[Consumo]] &lt;&gt; 0), tabItens[[#This Row],[Pend]] / tabItens[[#This Row],[Consumo]], 0 )</f>
        <v>4.1750748034235612E-2</v>
      </c>
      <c r="BI88" s="323"/>
      <c r="BJ88" s="424"/>
      <c r="BK88" s="425" t="s">
        <v>2064</v>
      </c>
    </row>
    <row r="89" spans="1:63" hidden="1" x14ac:dyDescent="0.3">
      <c r="A89" s="286">
        <v>133844</v>
      </c>
      <c r="B89" s="287" t="s">
        <v>1852</v>
      </c>
      <c r="C89" s="288" t="s">
        <v>569</v>
      </c>
      <c r="D89" s="289">
        <v>0.69</v>
      </c>
      <c r="E89" s="290"/>
      <c r="F89" s="290"/>
      <c r="G89" s="290" t="s">
        <v>883</v>
      </c>
      <c r="H89" s="291">
        <v>2047</v>
      </c>
      <c r="I89" s="292">
        <v>103003</v>
      </c>
      <c r="J89" s="293">
        <v>0.69</v>
      </c>
      <c r="K89" s="294">
        <v>11357</v>
      </c>
      <c r="L89" s="295">
        <f>IF(tabItens[[#This Row],[Média]] &gt; 0, tabItens[[#This Row],[QTDE ATUAL]] / tabItens[[#This Row],[Média]],999.9)</f>
        <v>1.2986518636003173</v>
      </c>
      <c r="M89" s="296">
        <v>0</v>
      </c>
      <c r="N89" s="297">
        <f>tabItens[[#This Row],[VALOR UNIT.]] * tabItens[[#This Row],[LC]]</f>
        <v>0</v>
      </c>
      <c r="O89" s="298" t="s">
        <v>2066</v>
      </c>
      <c r="P89" s="299"/>
      <c r="Q89" s="300"/>
      <c r="R89" s="297"/>
      <c r="S89" s="301"/>
      <c r="T89" s="302">
        <f>ROUNDDOWN(IFERROR(tabItens[[#This Row],[ATA DT.VALID.]] - $D$1,0) / 30,0)</f>
        <v>-1504</v>
      </c>
      <c r="U89" s="287" t="s">
        <v>941</v>
      </c>
      <c r="V89" s="303">
        <v>1</v>
      </c>
      <c r="W89" s="304" t="s">
        <v>2052</v>
      </c>
      <c r="X89" s="305">
        <v>57</v>
      </c>
      <c r="Y89" s="306">
        <v>16</v>
      </c>
      <c r="Z89" s="307">
        <v>6985</v>
      </c>
      <c r="AA89" s="308">
        <v>2023</v>
      </c>
      <c r="AB89" s="309">
        <v>4300</v>
      </c>
      <c r="AC89" s="309"/>
      <c r="AD89" s="308"/>
      <c r="AE89" s="309"/>
      <c r="AF89" s="302"/>
      <c r="AG89" s="310" t="s">
        <v>2050</v>
      </c>
      <c r="AH89" s="311"/>
      <c r="AI89" s="302">
        <v>6300</v>
      </c>
      <c r="AJ89" s="311">
        <v>44973</v>
      </c>
      <c r="AK89" s="311">
        <v>43074</v>
      </c>
      <c r="AL89" s="311">
        <v>44959</v>
      </c>
      <c r="AM89" s="301"/>
      <c r="AN89" s="290"/>
      <c r="AO89" s="312" t="str">
        <f>_xlfn.IFNA(IF(VLOOKUP(tabItens[[#This Row],[CÓDIGO]],tabExcluirDoEstoque[#Data],1,FALSE),"sim",""),"")</f>
        <v/>
      </c>
      <c r="AP89" s="313" t="str">
        <f ca="1">IF(OR(ISBLANK(tabItens[[#This Row],[ATA DT.VALID.]]),tabItens[[#This Row],[ATA DT.VALID.]]="",tabItens[[#This Row],[ATA DT.VALID.]]=" "),"",IF(TYPE(tabItens[[#This Row],[ATA DT.VALID.]])=1,ROUNDUP((tabItens[[#This Row],[ATA DT.VALID.]]-TODAY())/7,0),""))</f>
        <v/>
      </c>
      <c r="AQ89" s="314">
        <v>0</v>
      </c>
      <c r="AR89" s="315" t="str">
        <f>IF(ISBLANK(tabItens[[#This Row],[CÓDIGO]]),"",IFERROR(VLOOKUP(tabItens[[#This Row],[CÓDIGO]],Consumo!$C$2:$AC$869,26,FALSE),0))</f>
        <v>07.2023</v>
      </c>
      <c r="AS89" s="316">
        <f>SUMIF(Consumo!$C$3:$C$869,tabItens[[#This Row],[CÓDIGO]],Consumo!$N$3:$N$869) + SUMIF(Consumo!$C$3:$C$869,tabItens[[#This Row],[CÓDIGO]],Consumo!$O$3:$O$869) + SUMIF(Consumo!$C$3:$C$869,tabItens[[#This Row],[CÓDIGO]],Consumo!$P$3:$P$869) + SUMIF(Consumo!$C$3:$C$869,tabItens[[#This Row],[CÓDIGO]],Consumo!$Q$3:$Q$869)</f>
        <v>6533</v>
      </c>
      <c r="AT89" s="316">
        <f>SUMIF(Consumo!$C$3:$C$869,tabItens[[#This Row],[CÓDIGO]],Consumo!$Z$3:$Z$869)</f>
        <v>18915</v>
      </c>
      <c r="AU89" s="317">
        <f>SUMIF(Consumo!$C$3:$C$869,tabItens[[#This Row],[CÓDIGO]],Consumo!$AA$3:$AA$869)</f>
        <v>2515</v>
      </c>
      <c r="AV89" s="318">
        <f>SUMIF(Consumo!$C$3:$C$869,tabItens[[#This Row],[CÓDIGO]],Consumo!$Y$3:$Y$869)</f>
        <v>1576.25</v>
      </c>
      <c r="AW89" s="291">
        <f>tabItens[[#This Row],[QTDE ATUAL]] + tabItens[[#This Row],[RC QTDE]] + tabItens[[#This Row],[AF SALDO]] + tabItens[[#This Row],[Recentes]]</f>
        <v>6347</v>
      </c>
      <c r="AX89" s="319">
        <v>2084</v>
      </c>
      <c r="AY89" s="319">
        <v>4</v>
      </c>
      <c r="AZ89" s="319">
        <f>IF(ISBLANK(tabItens[[#This Row],[CÓDIGO]]),"",tabItens[[#This Row],[PontoMês]] * (AZ$2+tabItens[[#This Row],[PontoQtM]]))</f>
        <v>8336</v>
      </c>
      <c r="BA89" s="318">
        <f>tabItens[[#This Row],[PontoPed]] - tabItens[[#This Row],[Saldo]] + (1/10)</f>
        <v>1989.1</v>
      </c>
      <c r="BB89" s="318">
        <f xml:space="preserve"> tabItens[[#This Row],[PontoMês]] * BB$2 - tabItens[[#This Row],[QTDE ATUAL]] - (1/10)</f>
        <v>36.9</v>
      </c>
      <c r="BC89" s="320">
        <f>IF( tabItens[[#This Row],[PontoPed]]&gt;0, IF(tabItens[[#This Row],[PontoPed]]&lt;1, 1, IF( tabItens[[#This Row],[Saldo]]&gt;tabItens[[#This Row],[PontoPed]], 0, (tabItens[[#This Row],[PontoPed]]-tabItens[[#This Row],[Saldo]])/tabItens[[#This Row],[PontoPed]] ) ), 0 )</f>
        <v>0.23860364683301344</v>
      </c>
      <c r="BD89" s="321">
        <f>ROUNDDOWN(IF( OR( AND(tabItens[[#This Row],[PontoPed]]&lt;tabItens[[#This Row],[Saldo]],tabItens[[#This Row],[Saldo]]&gt;0), tabItens[[#This Row],[PontoPed]]=0), 99, IF(AND(tabItens[[#This Row],[Saldo]]=0,tabItens[[#This Row],[PontoPed]]&gt;0), 0, (1-tabItens[[#This Row],[PctAb]])*10 ) ),0)</f>
        <v>7</v>
      </c>
      <c r="BE89" s="322">
        <f>MAX(ROUNDDOWN( IF(tabItens[[#This Row],[Abaixo]] &gt; 0,   tabItens[[#This Row],[Abaixo]] + (tabItens[[#This Row],[PontoMês]] * IF( OR( ISBLANK(tabItens[[#This Row],[ATA Nº/ANO]]), tabItens[[#This Row],[ATA Nº/ANO]] = ""),BE$2,BE$1)),0),0),0)</f>
        <v>8241</v>
      </c>
      <c r="BF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23">
        <f>SUMIF(Consumo!$C$3:$C$869,tabItens[[#This Row],[CÓDIGO]],Consumo!$E$3:$E$869)</f>
        <v>15</v>
      </c>
      <c r="BH89" s="324">
        <f>IF(AND(tabItens[[#This Row],[Pend]] &gt; 0,tabItens[[#This Row],[Consumo]] &lt;&gt; 0), tabItens[[#This Row],[Pend]] / tabItens[[#This Row],[Consumo]], 0 )</f>
        <v>7.9302141157811261E-4</v>
      </c>
      <c r="BI89" s="323"/>
      <c r="BJ89" s="323"/>
      <c r="BK89" s="325" t="s">
        <v>2064</v>
      </c>
    </row>
    <row r="90" spans="1:63" hidden="1" x14ac:dyDescent="0.3">
      <c r="A90" s="286">
        <v>133845</v>
      </c>
      <c r="B90" s="287" t="s">
        <v>1853</v>
      </c>
      <c r="C90" s="288" t="s">
        <v>569</v>
      </c>
      <c r="D90" s="289">
        <v>0.69</v>
      </c>
      <c r="E90" s="290"/>
      <c r="F90" s="290"/>
      <c r="G90" s="290" t="s">
        <v>883</v>
      </c>
      <c r="H90" s="291">
        <v>5647</v>
      </c>
      <c r="I90" s="292">
        <v>103003</v>
      </c>
      <c r="J90" s="293">
        <v>0.69</v>
      </c>
      <c r="K90" s="294">
        <v>10165</v>
      </c>
      <c r="L90" s="295">
        <f>IF(tabItens[[#This Row],[Média]] &gt; 0, tabItens[[#This Row],[QTDE ATUAL]] / tabItens[[#This Row],[Média]],999.9)</f>
        <v>4.0158824226620835</v>
      </c>
      <c r="M90" s="296">
        <v>0</v>
      </c>
      <c r="N90" s="297">
        <f>tabItens[[#This Row],[VALOR UNIT.]] * tabItens[[#This Row],[LC]]</f>
        <v>0</v>
      </c>
      <c r="O90" s="298" t="s">
        <v>2066</v>
      </c>
      <c r="P90" s="299"/>
      <c r="Q90" s="300"/>
      <c r="R90" s="297"/>
      <c r="S90" s="301"/>
      <c r="T90" s="302">
        <f>ROUNDDOWN(IFERROR(tabItens[[#This Row],[ATA DT.VALID.]] - $D$1,0) / 30,0)</f>
        <v>-1504</v>
      </c>
      <c r="U90" s="287" t="s">
        <v>941</v>
      </c>
      <c r="V90" s="303">
        <v>1</v>
      </c>
      <c r="W90" s="304" t="s">
        <v>2052</v>
      </c>
      <c r="X90" s="305">
        <v>57</v>
      </c>
      <c r="Y90" s="306">
        <v>16</v>
      </c>
      <c r="Z90" s="307">
        <v>6216</v>
      </c>
      <c r="AA90" s="308">
        <v>2023</v>
      </c>
      <c r="AB90" s="309">
        <v>1000</v>
      </c>
      <c r="AC90" s="309"/>
      <c r="AD90" s="308"/>
      <c r="AE90" s="309"/>
      <c r="AF90" s="302"/>
      <c r="AG90" s="310" t="s">
        <v>2050</v>
      </c>
      <c r="AH90" s="311"/>
      <c r="AI90" s="302">
        <v>5644</v>
      </c>
      <c r="AJ90" s="311">
        <v>44973</v>
      </c>
      <c r="AK90" s="311">
        <v>43074</v>
      </c>
      <c r="AL90" s="311">
        <v>44959</v>
      </c>
      <c r="AM90" s="301"/>
      <c r="AN90" s="290"/>
      <c r="AO90" s="312" t="str">
        <f>_xlfn.IFNA(IF(VLOOKUP(tabItens[[#This Row],[CÓDIGO]],tabExcluirDoEstoque[#Data],1,FALSE),"sim",""),"")</f>
        <v/>
      </c>
      <c r="AP90" s="313" t="str">
        <f ca="1">IF(OR(ISBLANK(tabItens[[#This Row],[ATA DT.VALID.]]),tabItens[[#This Row],[ATA DT.VALID.]]="",tabItens[[#This Row],[ATA DT.VALID.]]=" "),"",IF(TYPE(tabItens[[#This Row],[ATA DT.VALID.]])=1,ROUNDUP((tabItens[[#This Row],[ATA DT.VALID.]]-TODAY())/7,0),""))</f>
        <v/>
      </c>
      <c r="AQ90" s="314">
        <v>0</v>
      </c>
      <c r="AR90" s="315" t="str">
        <f>IF(ISBLANK(tabItens[[#This Row],[CÓDIGO]]),"",IFERROR(VLOOKUP(tabItens[[#This Row],[CÓDIGO]],Consumo!$C$2:$AC$869,26,FALSE),0))</f>
        <v>07.2023</v>
      </c>
      <c r="AS90" s="316">
        <f>SUMIF(Consumo!$C$3:$C$869,tabItens[[#This Row],[CÓDIGO]],Consumo!$N$3:$N$869) + SUMIF(Consumo!$C$3:$C$869,tabItens[[#This Row],[CÓDIGO]],Consumo!$O$3:$O$869) + SUMIF(Consumo!$C$3:$C$869,tabItens[[#This Row],[CÓDIGO]],Consumo!$P$3:$P$869) + SUMIF(Consumo!$C$3:$C$869,tabItens[[#This Row],[CÓDIGO]],Consumo!$Q$3:$Q$869)</f>
        <v>5990</v>
      </c>
      <c r="AT90" s="316">
        <f>SUMIF(Consumo!$C$3:$C$869,tabItens[[#This Row],[CÓDIGO]],Consumo!$Z$3:$Z$869)</f>
        <v>16874</v>
      </c>
      <c r="AU90" s="317">
        <f>SUMIF(Consumo!$C$3:$C$869,tabItens[[#This Row],[CÓDIGO]],Consumo!$AA$3:$AA$869)</f>
        <v>2325</v>
      </c>
      <c r="AV90" s="318">
        <f>SUMIF(Consumo!$C$3:$C$869,tabItens[[#This Row],[CÓDIGO]],Consumo!$Y$3:$Y$869)</f>
        <v>1406.1666666666667</v>
      </c>
      <c r="AW90" s="291">
        <f>tabItens[[#This Row],[QTDE ATUAL]] + tabItens[[#This Row],[RC QTDE]] + tabItens[[#This Row],[AF SALDO]] + tabItens[[#This Row],[Recentes]]</f>
        <v>6647</v>
      </c>
      <c r="AX90" s="319">
        <v>2084</v>
      </c>
      <c r="AY90" s="319">
        <v>4</v>
      </c>
      <c r="AZ90" s="319">
        <f>IF(ISBLANK(tabItens[[#This Row],[CÓDIGO]]),"",tabItens[[#This Row],[PontoMês]] * (AZ$2+tabItens[[#This Row],[PontoQtM]]))</f>
        <v>8336</v>
      </c>
      <c r="BA90" s="318">
        <f>tabItens[[#This Row],[PontoPed]] - tabItens[[#This Row],[Saldo]] + (1/10)</f>
        <v>1689.1</v>
      </c>
      <c r="BB90" s="318">
        <f xml:space="preserve"> tabItens[[#This Row],[PontoMês]] * BB$2 - tabItens[[#This Row],[QTDE ATUAL]] - (1/10)</f>
        <v>-3563.1</v>
      </c>
      <c r="BC90" s="320">
        <f>IF( tabItens[[#This Row],[PontoPed]]&gt;0, IF(tabItens[[#This Row],[PontoPed]]&lt;1, 1, IF( tabItens[[#This Row],[Saldo]]&gt;tabItens[[#This Row],[PontoPed]], 0, (tabItens[[#This Row],[PontoPed]]-tabItens[[#This Row],[Saldo]])/tabItens[[#This Row],[PontoPed]] ) ), 0 )</f>
        <v>0.20261516314779271</v>
      </c>
      <c r="BD90" s="321">
        <f>ROUNDDOWN(IF( OR( AND(tabItens[[#This Row],[PontoPed]]&lt;tabItens[[#This Row],[Saldo]],tabItens[[#This Row],[Saldo]]&gt;0), tabItens[[#This Row],[PontoPed]]=0), 99, IF(AND(tabItens[[#This Row],[Saldo]]=0,tabItens[[#This Row],[PontoPed]]&gt;0), 0, (1-tabItens[[#This Row],[PctAb]])*10 ) ),0)</f>
        <v>7</v>
      </c>
      <c r="BE90" s="322">
        <f>MAX(ROUNDDOWN( IF(tabItens[[#This Row],[Abaixo]] &gt; 0,   tabItens[[#This Row],[Abaixo]] + (tabItens[[#This Row],[PontoMês]] * IF( OR( ISBLANK(tabItens[[#This Row],[ATA Nº/ANO]]), tabItens[[#This Row],[ATA Nº/ANO]] = ""),BE$2,BE$1)),0),0),0)</f>
        <v>7941</v>
      </c>
      <c r="BF9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23">
        <f>SUMIF(Consumo!$C$3:$C$869,tabItens[[#This Row],[CÓDIGO]],Consumo!$E$3:$E$869)</f>
        <v>15</v>
      </c>
      <c r="BH90" s="324">
        <f>IF(AND(tabItens[[#This Row],[Pend]] &gt; 0,tabItens[[#This Row],[Consumo]] &lt;&gt; 0), tabItens[[#This Row],[Pend]] / tabItens[[#This Row],[Consumo]], 0 )</f>
        <v>8.8894156690766857E-4</v>
      </c>
      <c r="BI90" s="323"/>
      <c r="BJ90" s="323"/>
      <c r="BK90" s="325" t="s">
        <v>2064</v>
      </c>
    </row>
    <row r="91" spans="1:63" x14ac:dyDescent="0.3">
      <c r="A91" s="396">
        <v>133847</v>
      </c>
      <c r="B91" s="397" t="s">
        <v>1855</v>
      </c>
      <c r="C91" s="398" t="s">
        <v>569</v>
      </c>
      <c r="D91" s="399">
        <v>0.69</v>
      </c>
      <c r="E91" s="290"/>
      <c r="F91" s="400"/>
      <c r="G91" s="400" t="s">
        <v>883</v>
      </c>
      <c r="H91" s="401">
        <v>0</v>
      </c>
      <c r="I91" s="292">
        <v>103003</v>
      </c>
      <c r="J91" s="293">
        <v>0.69</v>
      </c>
      <c r="K91" s="402">
        <v>12335</v>
      </c>
      <c r="L91" s="403">
        <f>IF(tabItens[[#This Row],[Média]] &gt; 0, tabItens[[#This Row],[QTDE ATUAL]] / tabItens[[#This Row],[Média]],999.9)</f>
        <v>0</v>
      </c>
      <c r="M91" s="404">
        <v>0</v>
      </c>
      <c r="N91" s="405">
        <f>tabItens[[#This Row],[VALOR UNIT.]] * tabItens[[#This Row],[LC]]</f>
        <v>0</v>
      </c>
      <c r="O91" s="406" t="s">
        <v>2066</v>
      </c>
      <c r="P91" s="407"/>
      <c r="Q91" s="408"/>
      <c r="R91" s="297"/>
      <c r="S91" s="409"/>
      <c r="T91" s="410">
        <f>ROUNDDOWN(IFERROR(tabItens[[#This Row],[ATA DT.VALID.]] - $D$1,0) / 30,0)</f>
        <v>-1504</v>
      </c>
      <c r="U91" s="287" t="s">
        <v>941</v>
      </c>
      <c r="V91" s="303">
        <v>1</v>
      </c>
      <c r="W91" s="411" t="s">
        <v>2052</v>
      </c>
      <c r="X91" s="412">
        <v>57</v>
      </c>
      <c r="Y91" s="413">
        <v>16</v>
      </c>
      <c r="Z91" s="414">
        <v>6984</v>
      </c>
      <c r="AA91" s="415">
        <v>2023</v>
      </c>
      <c r="AB91" s="416">
        <v>6500</v>
      </c>
      <c r="AC91" s="416"/>
      <c r="AD91" s="415"/>
      <c r="AE91" s="416"/>
      <c r="AF91" s="302"/>
      <c r="AG91" s="417" t="s">
        <v>2050</v>
      </c>
      <c r="AH91" s="418"/>
      <c r="AI91" s="302">
        <v>5998</v>
      </c>
      <c r="AJ91" s="418">
        <v>44970</v>
      </c>
      <c r="AK91" s="311">
        <v>43074</v>
      </c>
      <c r="AL91" s="311">
        <v>44910</v>
      </c>
      <c r="AM91" s="301"/>
      <c r="AN91" s="290"/>
      <c r="AO91" s="312" t="str">
        <f>_xlfn.IFNA(IF(VLOOKUP(tabItens[[#This Row],[CÓDIGO]],tabExcluirDoEstoque[#Data],1,FALSE),"sim",""),"")</f>
        <v/>
      </c>
      <c r="AP91" s="419" t="str">
        <f ca="1">IF(OR(ISBLANK(tabItens[[#This Row],[ATA DT.VALID.]]),tabItens[[#This Row],[ATA DT.VALID.]]="",tabItens[[#This Row],[ATA DT.VALID.]]=" "),"",IF(TYPE(tabItens[[#This Row],[ATA DT.VALID.]])=1,ROUNDUP((tabItens[[#This Row],[ATA DT.VALID.]]-TODAY())/7,0),""))</f>
        <v/>
      </c>
      <c r="AQ91" s="314">
        <v>0</v>
      </c>
      <c r="AR91" s="315" t="str">
        <f>IF(ISBLANK(tabItens[[#This Row],[CÓDIGO]]),"",IFERROR(VLOOKUP(tabItens[[#This Row],[CÓDIGO]],Consumo!$C$2:$AC$869,26,FALSE),0))</f>
        <v>07.2023</v>
      </c>
      <c r="AS91" s="316">
        <f>SUMIF(Consumo!$C$3:$C$869,tabItens[[#This Row],[CÓDIGO]],Consumo!$N$3:$N$869) + SUMIF(Consumo!$C$3:$C$869,tabItens[[#This Row],[CÓDIGO]],Consumo!$O$3:$O$869) + SUMIF(Consumo!$C$3:$C$869,tabItens[[#This Row],[CÓDIGO]],Consumo!$P$3:$P$869) + SUMIF(Consumo!$C$3:$C$869,tabItens[[#This Row],[CÓDIGO]],Consumo!$Q$3:$Q$869)</f>
        <v>6885</v>
      </c>
      <c r="AT91" s="316">
        <f>SUMIF(Consumo!$C$3:$C$869,tabItens[[#This Row],[CÓDIGO]],Consumo!$Z$3:$Z$869)</f>
        <v>18858</v>
      </c>
      <c r="AU91" s="317">
        <f>SUMIF(Consumo!$C$3:$C$869,tabItens[[#This Row],[CÓDIGO]],Consumo!$AA$3:$AA$869)</f>
        <v>2700</v>
      </c>
      <c r="AV91" s="318">
        <f>SUMIF(Consumo!$C$3:$C$869,tabItens[[#This Row],[CÓDIGO]],Consumo!$Y$3:$Y$869)</f>
        <v>1571.5</v>
      </c>
      <c r="AW91" s="401">
        <f>tabItens[[#This Row],[QTDE ATUAL]] + tabItens[[#This Row],[RC QTDE]] + tabItens[[#This Row],[AF SALDO]] + tabItens[[#This Row],[Recentes]]</f>
        <v>6500</v>
      </c>
      <c r="AX91" s="420">
        <v>2084</v>
      </c>
      <c r="AY91" s="420">
        <v>4</v>
      </c>
      <c r="AZ91" s="420">
        <f>IF(ISBLANK(tabItens[[#This Row],[CÓDIGO]]),"",tabItens[[#This Row],[PontoMês]] * (AZ$2+tabItens[[#This Row],[PontoQtM]]))</f>
        <v>8336</v>
      </c>
      <c r="BA91" s="421">
        <f>tabItens[[#This Row],[PontoPed]] - tabItens[[#This Row],[Saldo]] + (1/10)</f>
        <v>1836.1</v>
      </c>
      <c r="BB91" s="421">
        <f xml:space="preserve"> tabItens[[#This Row],[PontoMês]] * BB$2 - tabItens[[#This Row],[QTDE ATUAL]] - (1/10)</f>
        <v>2083.9</v>
      </c>
      <c r="BC91" s="320">
        <f>IF( tabItens[[#This Row],[PontoPed]]&gt;0, IF(tabItens[[#This Row],[PontoPed]]&lt;1, 1, IF( tabItens[[#This Row],[Saldo]]&gt;tabItens[[#This Row],[PontoPed]], 0, (tabItens[[#This Row],[PontoPed]]-tabItens[[#This Row],[Saldo]])/tabItens[[#This Row],[PontoPed]] ) ), 0 )</f>
        <v>0.22024952015355087</v>
      </c>
      <c r="BD91" s="422">
        <f>ROUNDDOWN(IF( OR( AND(tabItens[[#This Row],[PontoPed]]&lt;tabItens[[#This Row],[Saldo]],tabItens[[#This Row],[Saldo]]&gt;0), tabItens[[#This Row],[PontoPed]]=0), 99, IF(AND(tabItens[[#This Row],[Saldo]]=0,tabItens[[#This Row],[PontoPed]]&gt;0), 0, (1-tabItens[[#This Row],[PctAb]])*10 ) ),0)</f>
        <v>7</v>
      </c>
      <c r="BE91" s="423">
        <f>MAX(ROUNDDOWN( IF(tabItens[[#This Row],[Abaixo]] &gt; 0,   tabItens[[#This Row],[Abaixo]] + (tabItens[[#This Row],[PontoMês]] * IF( OR( ISBLANK(tabItens[[#This Row],[ATA Nº/ANO]]), tabItens[[#This Row],[ATA Nº/ANO]] = ""),BE$2,BE$1)),0),0),0)</f>
        <v>8088</v>
      </c>
      <c r="BF9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23">
        <f>SUMIF(Consumo!$C$3:$C$869,tabItens[[#This Row],[CÓDIGO]],Consumo!$E$3:$E$869)</f>
        <v>865</v>
      </c>
      <c r="BH91" s="324">
        <f>IF(AND(tabItens[[#This Row],[Pend]] &gt; 0,tabItens[[#This Row],[Consumo]] &lt;&gt; 0), tabItens[[#This Row],[Pend]] / tabItens[[#This Row],[Consumo]], 0 )</f>
        <v>4.5869127160886626E-2</v>
      </c>
      <c r="BI91" s="323"/>
      <c r="BJ91" s="424"/>
      <c r="BK91" s="425" t="s">
        <v>2064</v>
      </c>
    </row>
    <row r="92" spans="1:63" x14ac:dyDescent="0.3">
      <c r="A92" s="396">
        <v>133848</v>
      </c>
      <c r="B92" s="397" t="s">
        <v>1856</v>
      </c>
      <c r="C92" s="398" t="s">
        <v>569</v>
      </c>
      <c r="D92" s="399">
        <v>0.53</v>
      </c>
      <c r="E92" s="290"/>
      <c r="F92" s="400"/>
      <c r="G92" s="400" t="s">
        <v>883</v>
      </c>
      <c r="H92" s="401">
        <v>0</v>
      </c>
      <c r="I92" s="292">
        <v>103003</v>
      </c>
      <c r="J92" s="293">
        <v>0.53</v>
      </c>
      <c r="K92" s="402">
        <v>9195</v>
      </c>
      <c r="L92" s="403">
        <f>IF(tabItens[[#This Row],[Média]] &gt; 0, tabItens[[#This Row],[QTDE ATUAL]] / tabItens[[#This Row],[Média]],999.9)</f>
        <v>0</v>
      </c>
      <c r="M92" s="404">
        <v>0</v>
      </c>
      <c r="N92" s="405">
        <f>tabItens[[#This Row],[VALOR UNIT.]] * tabItens[[#This Row],[LC]]</f>
        <v>0</v>
      </c>
      <c r="O92" s="406" t="s">
        <v>2066</v>
      </c>
      <c r="P92" s="407"/>
      <c r="Q92" s="408"/>
      <c r="R92" s="297"/>
      <c r="S92" s="409"/>
      <c r="T92" s="410">
        <f>ROUNDDOWN(IFERROR(tabItens[[#This Row],[ATA DT.VALID.]] - $D$1,0) / 30,0)</f>
        <v>-1504</v>
      </c>
      <c r="U92" s="287" t="s">
        <v>941</v>
      </c>
      <c r="V92" s="303">
        <v>1</v>
      </c>
      <c r="W92" s="411" t="s">
        <v>2052</v>
      </c>
      <c r="X92" s="412">
        <v>57</v>
      </c>
      <c r="Y92" s="413">
        <v>16</v>
      </c>
      <c r="Z92" s="414">
        <v>6984</v>
      </c>
      <c r="AA92" s="415">
        <v>2023</v>
      </c>
      <c r="AB92" s="416">
        <v>6200</v>
      </c>
      <c r="AC92" s="416"/>
      <c r="AD92" s="415"/>
      <c r="AE92" s="416"/>
      <c r="AF92" s="302"/>
      <c r="AG92" s="417" t="s">
        <v>2050</v>
      </c>
      <c r="AH92" s="418"/>
      <c r="AI92" s="302">
        <v>4988</v>
      </c>
      <c r="AJ92" s="418">
        <v>44441</v>
      </c>
      <c r="AK92" s="311">
        <v>43074</v>
      </c>
      <c r="AL92" s="311">
        <v>44412</v>
      </c>
      <c r="AM92" s="301"/>
      <c r="AN92" s="290"/>
      <c r="AO92" s="312" t="str">
        <f>_xlfn.IFNA(IF(VLOOKUP(tabItens[[#This Row],[CÓDIGO]],tabExcluirDoEstoque[#Data],1,FALSE),"sim",""),"")</f>
        <v/>
      </c>
      <c r="AP92" s="419" t="str">
        <f ca="1">IF(OR(ISBLANK(tabItens[[#This Row],[ATA DT.VALID.]]),tabItens[[#This Row],[ATA DT.VALID.]]="",tabItens[[#This Row],[ATA DT.VALID.]]=" "),"",IF(TYPE(tabItens[[#This Row],[ATA DT.VALID.]])=1,ROUNDUP((tabItens[[#This Row],[ATA DT.VALID.]]-TODAY())/7,0),""))</f>
        <v/>
      </c>
      <c r="AQ92" s="314">
        <v>0</v>
      </c>
      <c r="AR92" s="315" t="str">
        <f>IF(ISBLANK(tabItens[[#This Row],[CÓDIGO]]),"",IFERROR(VLOOKUP(tabItens[[#This Row],[CÓDIGO]],Consumo!$C$2:$AC$869,26,FALSE),0))</f>
        <v>07.2023</v>
      </c>
      <c r="AS92" s="316">
        <f>SUMIF(Consumo!$C$3:$C$869,tabItens[[#This Row],[CÓDIGO]],Consumo!$N$3:$N$869) + SUMIF(Consumo!$C$3:$C$869,tabItens[[#This Row],[CÓDIGO]],Consumo!$O$3:$O$869) + SUMIF(Consumo!$C$3:$C$869,tabItens[[#This Row],[CÓDIGO]],Consumo!$P$3:$P$869) + SUMIF(Consumo!$C$3:$C$869,tabItens[[#This Row],[CÓDIGO]],Consumo!$Q$3:$Q$869)</f>
        <v>4423</v>
      </c>
      <c r="AT92" s="316">
        <f>SUMIF(Consumo!$C$3:$C$869,tabItens[[#This Row],[CÓDIGO]],Consumo!$Z$3:$Z$869)</f>
        <v>15147</v>
      </c>
      <c r="AU92" s="317">
        <f>SUMIF(Consumo!$C$3:$C$869,tabItens[[#This Row],[CÓDIGO]],Consumo!$AA$3:$AA$869)</f>
        <v>2020</v>
      </c>
      <c r="AV92" s="318">
        <f>SUMIF(Consumo!$C$3:$C$869,tabItens[[#This Row],[CÓDIGO]],Consumo!$Y$3:$Y$869)</f>
        <v>1262.25</v>
      </c>
      <c r="AW92" s="401">
        <f>tabItens[[#This Row],[QTDE ATUAL]] + tabItens[[#This Row],[RC QTDE]] + tabItens[[#This Row],[AF SALDO]] + tabItens[[#This Row],[Recentes]]</f>
        <v>6200</v>
      </c>
      <c r="AX92" s="420">
        <v>2084</v>
      </c>
      <c r="AY92" s="420">
        <v>4</v>
      </c>
      <c r="AZ92" s="420">
        <f>IF(ISBLANK(tabItens[[#This Row],[CÓDIGO]]),"",tabItens[[#This Row],[PontoMês]] * (AZ$2+tabItens[[#This Row],[PontoQtM]]))</f>
        <v>8336</v>
      </c>
      <c r="BA92" s="421">
        <f>tabItens[[#This Row],[PontoPed]] - tabItens[[#This Row],[Saldo]] + (1/10)</f>
        <v>2136.1</v>
      </c>
      <c r="BB92" s="421">
        <f xml:space="preserve"> tabItens[[#This Row],[PontoMês]] * BB$2 - tabItens[[#This Row],[QTDE ATUAL]] - (1/10)</f>
        <v>2083.9</v>
      </c>
      <c r="BC92" s="320">
        <f>IF( tabItens[[#This Row],[PontoPed]]&gt;0, IF(tabItens[[#This Row],[PontoPed]]&lt;1, 1, IF( tabItens[[#This Row],[Saldo]]&gt;tabItens[[#This Row],[PontoPed]], 0, (tabItens[[#This Row],[PontoPed]]-tabItens[[#This Row],[Saldo]])/tabItens[[#This Row],[PontoPed]] ) ), 0 )</f>
        <v>0.2562380038387716</v>
      </c>
      <c r="BD92" s="422">
        <f>ROUNDDOWN(IF( OR( AND(tabItens[[#This Row],[PontoPed]]&lt;tabItens[[#This Row],[Saldo]],tabItens[[#This Row],[Saldo]]&gt;0), tabItens[[#This Row],[PontoPed]]=0), 99, IF(AND(tabItens[[#This Row],[Saldo]]=0,tabItens[[#This Row],[PontoPed]]&gt;0), 0, (1-tabItens[[#This Row],[PctAb]])*10 ) ),0)</f>
        <v>7</v>
      </c>
      <c r="BE92" s="423">
        <f>MAX(ROUNDDOWN( IF(tabItens[[#This Row],[Abaixo]] &gt; 0,   tabItens[[#This Row],[Abaixo]] + (tabItens[[#This Row],[PontoMês]] * IF( OR( ISBLANK(tabItens[[#This Row],[ATA Nº/ANO]]), tabItens[[#This Row],[ATA Nº/ANO]] = ""),BE$2,BE$1)),0),0),0)</f>
        <v>8388</v>
      </c>
      <c r="BF92"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23">
        <f>SUMIF(Consumo!$C$3:$C$869,tabItens[[#This Row],[CÓDIGO]],Consumo!$E$3:$E$869)</f>
        <v>620</v>
      </c>
      <c r="BH92" s="324">
        <f>IF(AND(tabItens[[#This Row],[Pend]] &gt; 0,tabItens[[#This Row],[Consumo]] &lt;&gt; 0), tabItens[[#This Row],[Pend]] / tabItens[[#This Row],[Consumo]], 0 )</f>
        <v>4.0932197794942893E-2</v>
      </c>
      <c r="BI92" s="323"/>
      <c r="BJ92" s="424"/>
      <c r="BK92" s="425" t="s">
        <v>2064</v>
      </c>
    </row>
    <row r="93" spans="1:63" hidden="1" x14ac:dyDescent="0.3">
      <c r="A93" s="286">
        <v>83839</v>
      </c>
      <c r="B93" s="287" t="s">
        <v>1482</v>
      </c>
      <c r="C93" s="288" t="s">
        <v>413</v>
      </c>
      <c r="D93" s="289">
        <v>20.85</v>
      </c>
      <c r="E93" s="290"/>
      <c r="F93" s="290"/>
      <c r="G93" s="290" t="s">
        <v>883</v>
      </c>
      <c r="H93" s="291">
        <v>1193</v>
      </c>
      <c r="I93" s="292">
        <v>103003</v>
      </c>
      <c r="J93" s="293">
        <v>20.85</v>
      </c>
      <c r="K93" s="294">
        <v>3249</v>
      </c>
      <c r="L93" s="295">
        <f>IF(tabItens[[#This Row],[Média]] &gt; 0, tabItens[[#This Row],[QTDE ATUAL]] / tabItens[[#This Row],[Média]],999.9)</f>
        <v>2.6267889908256881</v>
      </c>
      <c r="M93" s="296"/>
      <c r="N93" s="297">
        <f>tabItens[[#This Row],[VALOR UNIT.]] * tabItens[[#This Row],[LC]]</f>
        <v>0</v>
      </c>
      <c r="O93" s="298" t="s">
        <v>2144</v>
      </c>
      <c r="P93" s="299"/>
      <c r="Q93" s="300"/>
      <c r="R93" s="297"/>
      <c r="S93" s="301"/>
      <c r="T93" s="302">
        <f>ROUNDDOWN(IFERROR(tabItens[[#This Row],[ATA DT.VALID.]] - $D$1,0) / 30,0)</f>
        <v>-1504</v>
      </c>
      <c r="U93" s="287" t="s">
        <v>1481</v>
      </c>
      <c r="V93" s="303">
        <v>1</v>
      </c>
      <c r="W93" s="304" t="s">
        <v>2058</v>
      </c>
      <c r="X93" s="305">
        <v>54</v>
      </c>
      <c r="Y93" s="306">
        <v>4</v>
      </c>
      <c r="Z93" s="307"/>
      <c r="AA93" s="308"/>
      <c r="AB93" s="309"/>
      <c r="AC93" s="309"/>
      <c r="AD93" s="308"/>
      <c r="AE93" s="309"/>
      <c r="AF93" s="302"/>
      <c r="AG93" s="310" t="s">
        <v>2050</v>
      </c>
      <c r="AH93" s="311"/>
      <c r="AI93" s="302">
        <v>1862</v>
      </c>
      <c r="AJ93" s="311">
        <v>44558</v>
      </c>
      <c r="AK93" s="311">
        <v>38384</v>
      </c>
      <c r="AL93" s="311">
        <v>44538</v>
      </c>
      <c r="AM93" s="301"/>
      <c r="AN93" s="290"/>
      <c r="AO93" s="312" t="str">
        <f>_xlfn.IFNA(IF(VLOOKUP(tabItens[[#This Row],[CÓDIGO]],tabExcluirDoEstoque[#Data],1,FALSE),"sim",""),"")</f>
        <v/>
      </c>
      <c r="AP93" s="313" t="str">
        <f ca="1">IF(OR(ISBLANK(tabItens[[#This Row],[ATA DT.VALID.]]),tabItens[[#This Row],[ATA DT.VALID.]]="",tabItens[[#This Row],[ATA DT.VALID.]]=" "),"",IF(TYPE(tabItens[[#This Row],[ATA DT.VALID.]])=1,ROUNDUP((tabItens[[#This Row],[ATA DT.VALID.]]-TODAY())/7,0),""))</f>
        <v/>
      </c>
      <c r="AQ93" s="314">
        <v>0</v>
      </c>
      <c r="AR93" s="315" t="str">
        <f>IF(ISBLANK(tabItens[[#This Row],[CÓDIGO]]),"",IFERROR(VLOOKUP(tabItens[[#This Row],[CÓDIGO]],Consumo!$C$2:$AC$869,26,FALSE),0))</f>
        <v>07.2023</v>
      </c>
      <c r="AS93" s="316">
        <f>SUMIF(Consumo!$C$3:$C$869,tabItens[[#This Row],[CÓDIGO]],Consumo!$N$3:$N$869) + SUMIF(Consumo!$C$3:$C$869,tabItens[[#This Row],[CÓDIGO]],Consumo!$O$3:$O$869) + SUMIF(Consumo!$C$3:$C$869,tabItens[[#This Row],[CÓDIGO]],Consumo!$P$3:$P$869) + SUMIF(Consumo!$C$3:$C$869,tabItens[[#This Row],[CÓDIGO]],Consumo!$Q$3:$Q$869)</f>
        <v>1922</v>
      </c>
      <c r="AT93" s="316">
        <f>SUMIF(Consumo!$C$3:$C$869,tabItens[[#This Row],[CÓDIGO]],Consumo!$Z$3:$Z$869)</f>
        <v>5450</v>
      </c>
      <c r="AU93" s="317">
        <f>SUMIF(Consumo!$C$3:$C$869,tabItens[[#This Row],[CÓDIGO]],Consumo!$AA$3:$AA$869)</f>
        <v>726</v>
      </c>
      <c r="AV93" s="318">
        <f>SUMIF(Consumo!$C$3:$C$869,tabItens[[#This Row],[CÓDIGO]],Consumo!$Y$3:$Y$869)</f>
        <v>454.16666666666669</v>
      </c>
      <c r="AW93" s="291">
        <f>tabItens[[#This Row],[QTDE ATUAL]] + tabItens[[#This Row],[RC QTDE]] + tabItens[[#This Row],[AF SALDO]] + tabItens[[#This Row],[Recentes]]</f>
        <v>1193</v>
      </c>
      <c r="AX93" s="319">
        <v>382</v>
      </c>
      <c r="AY93" s="319">
        <v>4</v>
      </c>
      <c r="AZ93" s="319">
        <f>IF(ISBLANK(tabItens[[#This Row],[CÓDIGO]]),"",tabItens[[#This Row],[PontoMês]] * (AZ$2+tabItens[[#This Row],[PontoQtM]]))</f>
        <v>1528</v>
      </c>
      <c r="BA93" s="318">
        <f>tabItens[[#This Row],[PontoPed]] - tabItens[[#This Row],[Saldo]] + (1/10)</f>
        <v>335.1</v>
      </c>
      <c r="BB93" s="318">
        <f xml:space="preserve"> tabItens[[#This Row],[PontoMês]] * BB$2 - tabItens[[#This Row],[QTDE ATUAL]] - (1/10)</f>
        <v>-811.1</v>
      </c>
      <c r="BC93" s="320">
        <f>IF( tabItens[[#This Row],[PontoPed]]&gt;0, IF(tabItens[[#This Row],[PontoPed]]&lt;1, 1, IF( tabItens[[#This Row],[Saldo]]&gt;tabItens[[#This Row],[PontoPed]], 0, (tabItens[[#This Row],[PontoPed]]-tabItens[[#This Row],[Saldo]])/tabItens[[#This Row],[PontoPed]] ) ), 0 )</f>
        <v>0.21924083769633507</v>
      </c>
      <c r="BD93" s="321">
        <f>ROUNDDOWN(IF( OR( AND(tabItens[[#This Row],[PontoPed]]&lt;tabItens[[#This Row],[Saldo]],tabItens[[#This Row],[Saldo]]&gt;0), tabItens[[#This Row],[PontoPed]]=0), 99, IF(AND(tabItens[[#This Row],[Saldo]]=0,tabItens[[#This Row],[PontoPed]]&gt;0), 0, (1-tabItens[[#This Row],[PctAb]])*10 ) ),0)</f>
        <v>7</v>
      </c>
      <c r="BE93" s="322">
        <f>MAX(ROUNDDOWN( IF(tabItens[[#This Row],[Abaixo]] &gt; 0,   tabItens[[#This Row],[Abaixo]] + (tabItens[[#This Row],[PontoMês]] * IF( OR( ISBLANK(tabItens[[#This Row],[ATA Nº/ANO]]), tabItens[[#This Row],[ATA Nº/ANO]] = ""),BE$2,BE$1)),0),0),0)</f>
        <v>1481</v>
      </c>
      <c r="BF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23">
        <f>SUMIF(Consumo!$C$3:$C$869,tabItens[[#This Row],[CÓDIGO]],Consumo!$E$3:$E$869)</f>
        <v>1</v>
      </c>
      <c r="BH93" s="324">
        <f>IF(AND(tabItens[[#This Row],[Pend]] &gt; 0,tabItens[[#This Row],[Consumo]] &lt;&gt; 0), tabItens[[#This Row],[Pend]] / tabItens[[#This Row],[Consumo]], 0 )</f>
        <v>1.8348623853211009E-4</v>
      </c>
      <c r="BI93" s="323"/>
      <c r="BJ93" s="323"/>
      <c r="BK93" s="325" t="s">
        <v>2064</v>
      </c>
    </row>
    <row r="94" spans="1:63" hidden="1" x14ac:dyDescent="0.3">
      <c r="A94" s="286">
        <v>88732</v>
      </c>
      <c r="B94" s="287" t="s">
        <v>1498</v>
      </c>
      <c r="C94" s="288" t="s">
        <v>256</v>
      </c>
      <c r="D94" s="289">
        <v>19.5</v>
      </c>
      <c r="E94" s="290"/>
      <c r="F94" s="290"/>
      <c r="G94" s="290" t="s">
        <v>883</v>
      </c>
      <c r="H94" s="291">
        <v>24</v>
      </c>
      <c r="I94" s="292">
        <v>103003</v>
      </c>
      <c r="J94" s="293">
        <v>19.5</v>
      </c>
      <c r="K94" s="294">
        <v>36</v>
      </c>
      <c r="L94" s="295">
        <f>IF(tabItens[[#This Row],[Média]] &gt; 0, tabItens[[#This Row],[QTDE ATUAL]] / tabItens[[#This Row],[Média]],999.9)</f>
        <v>8</v>
      </c>
      <c r="M94" s="296">
        <v>0</v>
      </c>
      <c r="N94" s="297">
        <f>tabItens[[#This Row],[VALOR UNIT.]] * tabItens[[#This Row],[LC]]</f>
        <v>0</v>
      </c>
      <c r="O94" s="298" t="s">
        <v>2100</v>
      </c>
      <c r="P94" s="299"/>
      <c r="Q94" s="300"/>
      <c r="R94" s="297"/>
      <c r="S94" s="301"/>
      <c r="T94" s="302">
        <f>ROUNDDOWN(IFERROR(tabItens[[#This Row],[ATA DT.VALID.]] - $D$1,0) / 30,0)</f>
        <v>-1504</v>
      </c>
      <c r="U94" s="287" t="s">
        <v>1491</v>
      </c>
      <c r="V94" s="303">
        <v>1</v>
      </c>
      <c r="W94" s="304" t="s">
        <v>2055</v>
      </c>
      <c r="X94" s="305">
        <v>55</v>
      </c>
      <c r="Y94" s="306">
        <v>26</v>
      </c>
      <c r="Z94" s="307">
        <v>2442</v>
      </c>
      <c r="AA94" s="308">
        <v>2023</v>
      </c>
      <c r="AB94" s="309">
        <v>10</v>
      </c>
      <c r="AC94" s="309"/>
      <c r="AD94" s="308"/>
      <c r="AE94" s="309"/>
      <c r="AF94" s="302"/>
      <c r="AG94" s="310" t="s">
        <v>2050</v>
      </c>
      <c r="AH94" s="311"/>
      <c r="AI94" s="302">
        <v>12</v>
      </c>
      <c r="AJ94" s="311">
        <v>43903</v>
      </c>
      <c r="AK94" s="311">
        <v>38656</v>
      </c>
      <c r="AL94" s="311">
        <v>43892</v>
      </c>
      <c r="AM94" s="301"/>
      <c r="AN94" s="290"/>
      <c r="AO94" s="312" t="str">
        <f>_xlfn.IFNA(IF(VLOOKUP(tabItens[[#This Row],[CÓDIGO]],tabExcluirDoEstoque[#Data],1,FALSE),"sim",""),"")</f>
        <v/>
      </c>
      <c r="AP94" s="313" t="str">
        <f ca="1">IF(OR(ISBLANK(tabItens[[#This Row],[ATA DT.VALID.]]),tabItens[[#This Row],[ATA DT.VALID.]]="",tabItens[[#This Row],[ATA DT.VALID.]]=" "),"",IF(TYPE(tabItens[[#This Row],[ATA DT.VALID.]])=1,ROUNDUP((tabItens[[#This Row],[ATA DT.VALID.]]-TODAY())/7,0),""))</f>
        <v/>
      </c>
      <c r="AQ94" s="314">
        <v>0</v>
      </c>
      <c r="AR94" s="315" t="str">
        <f>IF(ISBLANK(tabItens[[#This Row],[CÓDIGO]]),"",IFERROR(VLOOKUP(tabItens[[#This Row],[CÓDIGO]],Consumo!$C$2:$AC$869,26,FALSE),0))</f>
        <v>04.2023</v>
      </c>
      <c r="AS94" s="316">
        <f>SUMIF(Consumo!$C$3:$C$869,tabItens[[#This Row],[CÓDIGO]],Consumo!$N$3:$N$869) + SUMIF(Consumo!$C$3:$C$869,tabItens[[#This Row],[CÓDIGO]],Consumo!$O$3:$O$869) + SUMIF(Consumo!$C$3:$C$869,tabItens[[#This Row],[CÓDIGO]],Consumo!$P$3:$P$869) + SUMIF(Consumo!$C$3:$C$869,tabItens[[#This Row],[CÓDIGO]],Consumo!$Q$3:$Q$869)</f>
        <v>10</v>
      </c>
      <c r="AT94" s="316">
        <f>SUMIF(Consumo!$C$3:$C$869,tabItens[[#This Row],[CÓDIGO]],Consumo!$Z$3:$Z$869)</f>
        <v>36</v>
      </c>
      <c r="AU94" s="317">
        <f>SUMIF(Consumo!$C$3:$C$869,tabItens[[#This Row],[CÓDIGO]],Consumo!$AA$3:$AA$869)</f>
        <v>10</v>
      </c>
      <c r="AV94" s="318">
        <f>SUMIF(Consumo!$C$3:$C$869,tabItens[[#This Row],[CÓDIGO]],Consumo!$Y$3:$Y$869)</f>
        <v>3</v>
      </c>
      <c r="AW94" s="291">
        <f>tabItens[[#This Row],[QTDE ATUAL]] + tabItens[[#This Row],[RC QTDE]] + tabItens[[#This Row],[AF SALDO]] + tabItens[[#This Row],[Recentes]]</f>
        <v>34</v>
      </c>
      <c r="AX94" s="319">
        <v>11</v>
      </c>
      <c r="AY94" s="319">
        <v>4</v>
      </c>
      <c r="AZ94" s="319">
        <f>IF(ISBLANK(tabItens[[#This Row],[CÓDIGO]]),"",tabItens[[#This Row],[PontoMês]] * (AZ$2+tabItens[[#This Row],[PontoQtM]]))</f>
        <v>44</v>
      </c>
      <c r="BA94" s="318">
        <f>tabItens[[#This Row],[PontoPed]] - tabItens[[#This Row],[Saldo]] + (1/10)</f>
        <v>10.1</v>
      </c>
      <c r="BB94" s="318">
        <f xml:space="preserve"> tabItens[[#This Row],[PontoMês]] * BB$2 - tabItens[[#This Row],[QTDE ATUAL]] - (1/10)</f>
        <v>-13.1</v>
      </c>
      <c r="BC94" s="320">
        <f>IF( tabItens[[#This Row],[PontoPed]]&gt;0, IF(tabItens[[#This Row],[PontoPed]]&lt;1, 1, IF( tabItens[[#This Row],[Saldo]]&gt;tabItens[[#This Row],[PontoPed]], 0, (tabItens[[#This Row],[PontoPed]]-tabItens[[#This Row],[Saldo]])/tabItens[[#This Row],[PontoPed]] ) ), 0 )</f>
        <v>0.22727272727272727</v>
      </c>
      <c r="BD94" s="321">
        <f>ROUNDDOWN(IF( OR( AND(tabItens[[#This Row],[PontoPed]]&lt;tabItens[[#This Row],[Saldo]],tabItens[[#This Row],[Saldo]]&gt;0), tabItens[[#This Row],[PontoPed]]=0), 99, IF(AND(tabItens[[#This Row],[Saldo]]=0,tabItens[[#This Row],[PontoPed]]&gt;0), 0, (1-tabItens[[#This Row],[PctAb]])*10 ) ),0)</f>
        <v>7</v>
      </c>
      <c r="BE94" s="322">
        <f>MAX(ROUNDDOWN( IF(tabItens[[#This Row],[Abaixo]] &gt; 0,   tabItens[[#This Row],[Abaixo]] + (tabItens[[#This Row],[PontoMês]] * IF( OR( ISBLANK(tabItens[[#This Row],[ATA Nº/ANO]]), tabItens[[#This Row],[ATA Nº/ANO]] = ""),BE$2,BE$1)),0),0),0)</f>
        <v>43</v>
      </c>
      <c r="BF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23">
        <f>SUMIF(Consumo!$C$3:$C$869,tabItens[[#This Row],[CÓDIGO]],Consumo!$E$3:$E$869)</f>
        <v>0</v>
      </c>
      <c r="BH94" s="324">
        <f>IF(AND(tabItens[[#This Row],[Pend]] &gt; 0,tabItens[[#This Row],[Consumo]] &lt;&gt; 0), tabItens[[#This Row],[Pend]] / tabItens[[#This Row],[Consumo]], 0 )</f>
        <v>0</v>
      </c>
      <c r="BI94" s="323"/>
      <c r="BJ94" s="323"/>
      <c r="BK94" s="325" t="s">
        <v>2064</v>
      </c>
    </row>
    <row r="95" spans="1:63" hidden="1" x14ac:dyDescent="0.3">
      <c r="A95" s="286">
        <v>110888</v>
      </c>
      <c r="B95" s="287" t="s">
        <v>1664</v>
      </c>
      <c r="C95" s="288" t="s">
        <v>256</v>
      </c>
      <c r="D95" s="289">
        <v>280</v>
      </c>
      <c r="E95" s="290"/>
      <c r="F95" s="290"/>
      <c r="G95" s="290" t="s">
        <v>883</v>
      </c>
      <c r="H95" s="291">
        <v>1</v>
      </c>
      <c r="I95" s="292">
        <v>103003</v>
      </c>
      <c r="J95" s="293">
        <v>280</v>
      </c>
      <c r="K95" s="294">
        <v>3</v>
      </c>
      <c r="L95" s="295">
        <f>IF(tabItens[[#This Row],[Média]] &gt; 0, tabItens[[#This Row],[QTDE ATUAL]] / tabItens[[#This Row],[Média]],999.9)</f>
        <v>6</v>
      </c>
      <c r="M95" s="296">
        <v>0</v>
      </c>
      <c r="N95" s="297">
        <f>tabItens[[#This Row],[VALOR UNIT.]] * tabItens[[#This Row],[LC]]</f>
        <v>0</v>
      </c>
      <c r="O95" s="298" t="s">
        <v>2100</v>
      </c>
      <c r="P95" s="299"/>
      <c r="Q95" s="300"/>
      <c r="R95" s="297"/>
      <c r="S95" s="301"/>
      <c r="T95" s="302">
        <f>ROUNDDOWN(IFERROR(tabItens[[#This Row],[ATA DT.VALID.]] - $D$1,0) / 30,0)</f>
        <v>-1504</v>
      </c>
      <c r="U95" s="287" t="s">
        <v>1491</v>
      </c>
      <c r="V95" s="303">
        <v>1</v>
      </c>
      <c r="W95" s="304" t="s">
        <v>2055</v>
      </c>
      <c r="X95" s="305">
        <v>55</v>
      </c>
      <c r="Y95" s="306">
        <v>26</v>
      </c>
      <c r="Z95" s="307">
        <v>2560</v>
      </c>
      <c r="AA95" s="308">
        <v>2023</v>
      </c>
      <c r="AB95" s="309">
        <v>2</v>
      </c>
      <c r="AC95" s="309"/>
      <c r="AD95" s="308"/>
      <c r="AE95" s="309"/>
      <c r="AF95" s="302"/>
      <c r="AG95" s="310" t="s">
        <v>2050</v>
      </c>
      <c r="AH95" s="311"/>
      <c r="AI95" s="302">
        <v>2</v>
      </c>
      <c r="AJ95" s="311">
        <v>44874</v>
      </c>
      <c r="AK95" s="311">
        <v>39944</v>
      </c>
      <c r="AL95" s="311">
        <v>44845</v>
      </c>
      <c r="AM95" s="301"/>
      <c r="AN95" s="290"/>
      <c r="AO95" s="312" t="str">
        <f>_xlfn.IFNA(IF(VLOOKUP(tabItens[[#This Row],[CÓDIGO]],tabExcluirDoEstoque[#Data],1,FALSE),"sim",""),"")</f>
        <v/>
      </c>
      <c r="AP95" s="313" t="str">
        <f ca="1">IF(OR(ISBLANK(tabItens[[#This Row],[ATA DT.VALID.]]),tabItens[[#This Row],[ATA DT.VALID.]]="",tabItens[[#This Row],[ATA DT.VALID.]]=" "),"",IF(TYPE(tabItens[[#This Row],[ATA DT.VALID.]])=1,ROUNDUP((tabItens[[#This Row],[ATA DT.VALID.]]-TODAY())/7,0),""))</f>
        <v/>
      </c>
      <c r="AQ95" s="314">
        <v>0</v>
      </c>
      <c r="AR95" s="315" t="str">
        <f>IF(ISBLANK(tabItens[[#This Row],[CÓDIGO]]),"",IFERROR(VLOOKUP(tabItens[[#This Row],[CÓDIGO]],Consumo!$C$2:$AC$869,26,FALSE),0))</f>
        <v>04.2023</v>
      </c>
      <c r="AS95" s="316">
        <f>SUMIF(Consumo!$C$3:$C$869,tabItens[[#This Row],[CÓDIGO]],Consumo!$N$3:$N$869) + SUMIF(Consumo!$C$3:$C$869,tabItens[[#This Row],[CÓDIGO]],Consumo!$O$3:$O$869) + SUMIF(Consumo!$C$3:$C$869,tabItens[[#This Row],[CÓDIGO]],Consumo!$P$3:$P$869) + SUMIF(Consumo!$C$3:$C$869,tabItens[[#This Row],[CÓDIGO]],Consumo!$Q$3:$Q$869)</f>
        <v>1</v>
      </c>
      <c r="AT95" s="316">
        <f>SUMIF(Consumo!$C$3:$C$869,tabItens[[#This Row],[CÓDIGO]],Consumo!$Z$3:$Z$869)</f>
        <v>3</v>
      </c>
      <c r="AU95" s="317">
        <f>SUMIF(Consumo!$C$3:$C$869,tabItens[[#This Row],[CÓDIGO]],Consumo!$AA$3:$AA$869)</f>
        <v>2</v>
      </c>
      <c r="AV95" s="318">
        <f>SUMIF(Consumo!$C$3:$C$869,tabItens[[#This Row],[CÓDIGO]],Consumo!$Y$3:$Y$869)</f>
        <v>0.16666666666666666</v>
      </c>
      <c r="AW95" s="291">
        <f>tabItens[[#This Row],[QTDE ATUAL]] + tabItens[[#This Row],[RC QTDE]] + tabItens[[#This Row],[AF SALDO]] + tabItens[[#This Row],[Recentes]]</f>
        <v>3</v>
      </c>
      <c r="AX95" s="319">
        <v>1</v>
      </c>
      <c r="AY95" s="319">
        <v>4</v>
      </c>
      <c r="AZ95" s="319">
        <f>IF(ISBLANK(tabItens[[#This Row],[CÓDIGO]]),"",tabItens[[#This Row],[PontoMês]] * (AZ$2+tabItens[[#This Row],[PontoQtM]]))</f>
        <v>4</v>
      </c>
      <c r="BA95" s="318">
        <f>tabItens[[#This Row],[PontoPed]] - tabItens[[#This Row],[Saldo]] + (1/10)</f>
        <v>1.1000000000000001</v>
      </c>
      <c r="BB95" s="318">
        <f xml:space="preserve"> tabItens[[#This Row],[PontoMês]] * BB$2 - tabItens[[#This Row],[QTDE ATUAL]] - (1/10)</f>
        <v>-0.1</v>
      </c>
      <c r="BC95" s="320">
        <f>IF( tabItens[[#This Row],[PontoPed]]&gt;0, IF(tabItens[[#This Row],[PontoPed]]&lt;1, 1, IF( tabItens[[#This Row],[Saldo]]&gt;tabItens[[#This Row],[PontoPed]], 0, (tabItens[[#This Row],[PontoPed]]-tabItens[[#This Row],[Saldo]])/tabItens[[#This Row],[PontoPed]] ) ), 0 )</f>
        <v>0.25</v>
      </c>
      <c r="BD95" s="321">
        <f>ROUNDDOWN(IF( OR( AND(tabItens[[#This Row],[PontoPed]]&lt;tabItens[[#This Row],[Saldo]],tabItens[[#This Row],[Saldo]]&gt;0), tabItens[[#This Row],[PontoPed]]=0), 99, IF(AND(tabItens[[#This Row],[Saldo]]=0,tabItens[[#This Row],[PontoPed]]&gt;0), 0, (1-tabItens[[#This Row],[PctAb]])*10 ) ),0)</f>
        <v>7</v>
      </c>
      <c r="BE95" s="322">
        <f>MAX(ROUNDDOWN( IF(tabItens[[#This Row],[Abaixo]] &gt; 0,   tabItens[[#This Row],[Abaixo]] + (tabItens[[#This Row],[PontoMês]] * IF( OR( ISBLANK(tabItens[[#This Row],[ATA Nº/ANO]]), tabItens[[#This Row],[ATA Nº/ANO]] = ""),BE$2,BE$1)),0),0),0)</f>
        <v>4</v>
      </c>
      <c r="BF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23">
        <f>SUMIF(Consumo!$C$3:$C$869,tabItens[[#This Row],[CÓDIGO]],Consumo!$E$3:$E$869)</f>
        <v>0</v>
      </c>
      <c r="BH95" s="324">
        <f>IF(AND(tabItens[[#This Row],[Pend]] &gt; 0,tabItens[[#This Row],[Consumo]] &lt;&gt; 0), tabItens[[#This Row],[Pend]] / tabItens[[#This Row],[Consumo]], 0 )</f>
        <v>0</v>
      </c>
      <c r="BI95" s="323"/>
      <c r="BJ95" s="323"/>
      <c r="BK95" s="325" t="s">
        <v>2064</v>
      </c>
    </row>
    <row r="96" spans="1:63" hidden="1" x14ac:dyDescent="0.3">
      <c r="A96" s="286">
        <v>11109</v>
      </c>
      <c r="B96" s="287" t="s">
        <v>926</v>
      </c>
      <c r="C96" s="288" t="s">
        <v>413</v>
      </c>
      <c r="D96" s="289">
        <v>1.2</v>
      </c>
      <c r="E96" s="290"/>
      <c r="F96" s="290"/>
      <c r="G96" s="290" t="s">
        <v>883</v>
      </c>
      <c r="H96" s="291">
        <v>393</v>
      </c>
      <c r="I96" s="292">
        <v>103003</v>
      </c>
      <c r="J96" s="293">
        <v>1.2</v>
      </c>
      <c r="K96" s="294">
        <v>2306</v>
      </c>
      <c r="L96" s="295">
        <f>IF(tabItens[[#This Row],[Média]] &gt; 0, tabItens[[#This Row],[QTDE ATUAL]] / tabItens[[#This Row],[Média]],999.9)</f>
        <v>1.3821805392731537</v>
      </c>
      <c r="M96" s="296">
        <v>0</v>
      </c>
      <c r="N96" s="297">
        <f>tabItens[[#This Row],[VALOR UNIT.]] * tabItens[[#This Row],[LC]]</f>
        <v>0</v>
      </c>
      <c r="O96" s="298" t="s">
        <v>2067</v>
      </c>
      <c r="P96" s="299"/>
      <c r="Q96" s="300"/>
      <c r="R96" s="297"/>
      <c r="S96" s="301"/>
      <c r="T96" s="302">
        <f>ROUNDDOWN(IFERROR(tabItens[[#This Row],[ATA DT.VALID.]] - $D$1,0) / 30,0)</f>
        <v>-1504</v>
      </c>
      <c r="U96" s="287" t="s">
        <v>925</v>
      </c>
      <c r="V96" s="303">
        <v>1</v>
      </c>
      <c r="W96" s="304" t="s">
        <v>2051</v>
      </c>
      <c r="X96" s="305">
        <v>45</v>
      </c>
      <c r="Y96" s="306">
        <v>12</v>
      </c>
      <c r="Z96" s="307">
        <v>6978</v>
      </c>
      <c r="AA96" s="308">
        <v>2023</v>
      </c>
      <c r="AB96" s="309">
        <v>600</v>
      </c>
      <c r="AC96" s="309"/>
      <c r="AD96" s="308"/>
      <c r="AE96" s="309"/>
      <c r="AF96" s="302"/>
      <c r="AG96" s="310" t="s">
        <v>2050</v>
      </c>
      <c r="AH96" s="311"/>
      <c r="AI96" s="302">
        <v>1062</v>
      </c>
      <c r="AJ96" s="311">
        <v>45014</v>
      </c>
      <c r="AK96" s="311" t="s">
        <v>883</v>
      </c>
      <c r="AL96" s="311">
        <v>45107</v>
      </c>
      <c r="AM96" s="301"/>
      <c r="AN96" s="290"/>
      <c r="AO96" s="312" t="str">
        <f>_xlfn.IFNA(IF(VLOOKUP(tabItens[[#This Row],[CÓDIGO]],tabExcluirDoEstoque[#Data],1,FALSE),"sim",""),"")</f>
        <v/>
      </c>
      <c r="AP96" s="313" t="str">
        <f ca="1">IF(OR(ISBLANK(tabItens[[#This Row],[ATA DT.VALID.]]),tabItens[[#This Row],[ATA DT.VALID.]]="",tabItens[[#This Row],[ATA DT.VALID.]]=" "),"",IF(TYPE(tabItens[[#This Row],[ATA DT.VALID.]])=1,ROUNDUP((tabItens[[#This Row],[ATA DT.VALID.]]-TODAY())/7,0),""))</f>
        <v/>
      </c>
      <c r="AQ96" s="314">
        <v>0</v>
      </c>
      <c r="AR96" s="315" t="str">
        <f>IF(ISBLANK(tabItens[[#This Row],[CÓDIGO]]),"",IFERROR(VLOOKUP(tabItens[[#This Row],[CÓDIGO]],Consumo!$C$2:$AC$869,26,FALSE),0))</f>
        <v>07.2023</v>
      </c>
      <c r="AS96" s="316">
        <f>SUMIF(Consumo!$C$3:$C$869,tabItens[[#This Row],[CÓDIGO]],Consumo!$N$3:$N$869) + SUMIF(Consumo!$C$3:$C$869,tabItens[[#This Row],[CÓDIGO]],Consumo!$O$3:$O$869) + SUMIF(Consumo!$C$3:$C$869,tabItens[[#This Row],[CÓDIGO]],Consumo!$P$3:$P$869) + SUMIF(Consumo!$C$3:$C$869,tabItens[[#This Row],[CÓDIGO]],Consumo!$Q$3:$Q$869)</f>
        <v>1589</v>
      </c>
      <c r="AT96" s="316">
        <f>SUMIF(Consumo!$C$3:$C$869,tabItens[[#This Row],[CÓDIGO]],Consumo!$Z$3:$Z$869)</f>
        <v>3412</v>
      </c>
      <c r="AU96" s="317">
        <f>SUMIF(Consumo!$C$3:$C$869,tabItens[[#This Row],[CÓDIGO]],Consumo!$AA$3:$AA$869)</f>
        <v>462</v>
      </c>
      <c r="AV96" s="318">
        <f>SUMIF(Consumo!$C$3:$C$869,tabItens[[#This Row],[CÓDIGO]],Consumo!$Y$3:$Y$869)</f>
        <v>284.33333333333331</v>
      </c>
      <c r="AW96" s="291">
        <f>tabItens[[#This Row],[QTDE ATUAL]] + tabItens[[#This Row],[RC QTDE]] + tabItens[[#This Row],[AF SALDO]] + tabItens[[#This Row],[Recentes]]</f>
        <v>993</v>
      </c>
      <c r="AX96" s="319">
        <v>329</v>
      </c>
      <c r="AY96" s="319">
        <v>4</v>
      </c>
      <c r="AZ96" s="319">
        <f>IF(ISBLANK(tabItens[[#This Row],[CÓDIGO]]),"",tabItens[[#This Row],[PontoMês]] * (AZ$2+tabItens[[#This Row],[PontoQtM]]))</f>
        <v>1316</v>
      </c>
      <c r="BA96" s="318">
        <f>tabItens[[#This Row],[PontoPed]] - tabItens[[#This Row],[Saldo]] + (1/10)</f>
        <v>323.10000000000002</v>
      </c>
      <c r="BB96" s="318">
        <f xml:space="preserve"> tabItens[[#This Row],[PontoMês]] * BB$2 - tabItens[[#This Row],[QTDE ATUAL]] - (1/10)</f>
        <v>-64.099999999999994</v>
      </c>
      <c r="BC96" s="320">
        <f>IF( tabItens[[#This Row],[PontoPed]]&gt;0, IF(tabItens[[#This Row],[PontoPed]]&lt;1, 1, IF( tabItens[[#This Row],[Saldo]]&gt;tabItens[[#This Row],[PontoPed]], 0, (tabItens[[#This Row],[PontoPed]]-tabItens[[#This Row],[Saldo]])/tabItens[[#This Row],[PontoPed]] ) ), 0 )</f>
        <v>0.24544072948328269</v>
      </c>
      <c r="BD96" s="321">
        <f>ROUNDDOWN(IF( OR( AND(tabItens[[#This Row],[PontoPed]]&lt;tabItens[[#This Row],[Saldo]],tabItens[[#This Row],[Saldo]]&gt;0), tabItens[[#This Row],[PontoPed]]=0), 99, IF(AND(tabItens[[#This Row],[Saldo]]=0,tabItens[[#This Row],[PontoPed]]&gt;0), 0, (1-tabItens[[#This Row],[PctAb]])*10 ) ),0)</f>
        <v>7</v>
      </c>
      <c r="BE96" s="322">
        <f>MAX(ROUNDDOWN( IF(tabItens[[#This Row],[Abaixo]] &gt; 0,   tabItens[[#This Row],[Abaixo]] + (tabItens[[#This Row],[PontoMês]] * IF( OR( ISBLANK(tabItens[[#This Row],[ATA Nº/ANO]]), tabItens[[#This Row],[ATA Nº/ANO]] = ""),BE$2,BE$1)),0),0),0)</f>
        <v>1310</v>
      </c>
      <c r="BF9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23">
        <f>SUMIF(Consumo!$C$3:$C$869,tabItens[[#This Row],[CÓDIGO]],Consumo!$E$3:$E$869)</f>
        <v>326</v>
      </c>
      <c r="BH96" s="324">
        <f>IF(AND(tabItens[[#This Row],[Pend]] &gt; 0,tabItens[[#This Row],[Consumo]] &lt;&gt; 0), tabItens[[#This Row],[Pend]] / tabItens[[#This Row],[Consumo]], 0 )</f>
        <v>9.5545134818288399E-2</v>
      </c>
      <c r="BI96" s="323"/>
      <c r="BJ96" s="323"/>
      <c r="BK96" s="325" t="s">
        <v>2064</v>
      </c>
    </row>
    <row r="97" spans="1:63" hidden="1" x14ac:dyDescent="0.3">
      <c r="A97" s="286">
        <v>17371</v>
      </c>
      <c r="B97" s="287" t="s">
        <v>1131</v>
      </c>
      <c r="C97" s="288" t="s">
        <v>569</v>
      </c>
      <c r="D97" s="289">
        <v>1.35</v>
      </c>
      <c r="E97" s="290"/>
      <c r="F97" s="290"/>
      <c r="G97" s="290" t="s">
        <v>883</v>
      </c>
      <c r="H97" s="291">
        <v>221</v>
      </c>
      <c r="I97" s="292">
        <v>103003</v>
      </c>
      <c r="J97" s="293">
        <v>1.35</v>
      </c>
      <c r="K97" s="294">
        <v>5751</v>
      </c>
      <c r="L97" s="295">
        <f>IF(tabItens[[#This Row],[Média]] &gt; 0, tabItens[[#This Row],[QTDE ATUAL]] / tabItens[[#This Row],[Média]],999.9)</f>
        <v>0.32129876423552217</v>
      </c>
      <c r="M97" s="296">
        <v>0</v>
      </c>
      <c r="N97" s="297">
        <f>tabItens[[#This Row],[VALOR UNIT.]] * tabItens[[#This Row],[LC]]</f>
        <v>0</v>
      </c>
      <c r="O97" s="298" t="s">
        <v>2067</v>
      </c>
      <c r="P97" s="299"/>
      <c r="Q97" s="300"/>
      <c r="R97" s="297"/>
      <c r="S97" s="301"/>
      <c r="T97" s="302">
        <f>ROUNDDOWN(IFERROR(tabItens[[#This Row],[ATA DT.VALID.]] - $D$1,0) / 30,0)</f>
        <v>-1504</v>
      </c>
      <c r="U97" s="287" t="s">
        <v>1129</v>
      </c>
      <c r="V97" s="303">
        <v>1</v>
      </c>
      <c r="W97" s="304" t="s">
        <v>2052</v>
      </c>
      <c r="X97" s="305">
        <v>57</v>
      </c>
      <c r="Y97" s="306">
        <v>15</v>
      </c>
      <c r="Z97" s="307">
        <v>6989</v>
      </c>
      <c r="AA97" s="308">
        <v>2023</v>
      </c>
      <c r="AB97" s="309">
        <v>1900</v>
      </c>
      <c r="AC97" s="309"/>
      <c r="AD97" s="308"/>
      <c r="AE97" s="309"/>
      <c r="AF97" s="302"/>
      <c r="AG97" s="310" t="s">
        <v>2050</v>
      </c>
      <c r="AH97" s="311"/>
      <c r="AI97" s="302">
        <v>2676</v>
      </c>
      <c r="AJ97" s="311">
        <v>44967</v>
      </c>
      <c r="AK97" s="311" t="s">
        <v>883</v>
      </c>
      <c r="AL97" s="311">
        <v>44959</v>
      </c>
      <c r="AM97" s="301"/>
      <c r="AN97" s="290"/>
      <c r="AO97" s="312" t="str">
        <f>_xlfn.IFNA(IF(VLOOKUP(tabItens[[#This Row],[CÓDIGO]],tabExcluirDoEstoque[#Data],1,FALSE),"sim",""),"")</f>
        <v/>
      </c>
      <c r="AP97" s="313" t="str">
        <f ca="1">IF(OR(ISBLANK(tabItens[[#This Row],[ATA DT.VALID.]]),tabItens[[#This Row],[ATA DT.VALID.]]="",tabItens[[#This Row],[ATA DT.VALID.]]=" "),"",IF(TYPE(tabItens[[#This Row],[ATA DT.VALID.]])=1,ROUNDUP((tabItens[[#This Row],[ATA DT.VALID.]]-TODAY())/7,0),""))</f>
        <v/>
      </c>
      <c r="AQ97" s="314">
        <v>0</v>
      </c>
      <c r="AR97" s="315" t="str">
        <f>IF(ISBLANK(tabItens[[#This Row],[CÓDIGO]]),"",IFERROR(VLOOKUP(tabItens[[#This Row],[CÓDIGO]],Consumo!$C$2:$AC$869,26,FALSE),0))</f>
        <v>07.2023</v>
      </c>
      <c r="AS97" s="316">
        <f>SUMIF(Consumo!$C$3:$C$869,tabItens[[#This Row],[CÓDIGO]],Consumo!$N$3:$N$869) + SUMIF(Consumo!$C$3:$C$869,tabItens[[#This Row],[CÓDIGO]],Consumo!$O$3:$O$869) + SUMIF(Consumo!$C$3:$C$869,tabItens[[#This Row],[CÓDIGO]],Consumo!$P$3:$P$869) + SUMIF(Consumo!$C$3:$C$869,tabItens[[#This Row],[CÓDIGO]],Consumo!$Q$3:$Q$869)</f>
        <v>3609</v>
      </c>
      <c r="AT97" s="316">
        <f>SUMIF(Consumo!$C$3:$C$869,tabItens[[#This Row],[CÓDIGO]],Consumo!$Z$3:$Z$869)</f>
        <v>8254</v>
      </c>
      <c r="AU97" s="317">
        <f>SUMIF(Consumo!$C$3:$C$869,tabItens[[#This Row],[CÓDIGO]],Consumo!$AA$3:$AA$869)</f>
        <v>1173</v>
      </c>
      <c r="AV97" s="318">
        <f>SUMIF(Consumo!$C$3:$C$869,tabItens[[#This Row],[CÓDIGO]],Consumo!$Y$3:$Y$869)</f>
        <v>687.83333333333337</v>
      </c>
      <c r="AW97" s="291">
        <f>tabItens[[#This Row],[QTDE ATUAL]] + tabItens[[#This Row],[RC QTDE]] + tabItens[[#This Row],[AF SALDO]] + tabItens[[#This Row],[Recentes]]</f>
        <v>2121</v>
      </c>
      <c r="AX97" s="319">
        <v>750</v>
      </c>
      <c r="AY97" s="319">
        <v>4</v>
      </c>
      <c r="AZ97" s="319">
        <f>IF(ISBLANK(tabItens[[#This Row],[CÓDIGO]]),"",tabItens[[#This Row],[PontoMês]] * (AZ$2+tabItens[[#This Row],[PontoQtM]]))</f>
        <v>3000</v>
      </c>
      <c r="BA97" s="318">
        <f>tabItens[[#This Row],[PontoPed]] - tabItens[[#This Row],[Saldo]] + (1/10)</f>
        <v>879.1</v>
      </c>
      <c r="BB97" s="318">
        <f xml:space="preserve"> tabItens[[#This Row],[PontoMês]] * BB$2 - tabItens[[#This Row],[QTDE ATUAL]] - (1/10)</f>
        <v>528.9</v>
      </c>
      <c r="BC97" s="320">
        <f>IF( tabItens[[#This Row],[PontoPed]]&gt;0, IF(tabItens[[#This Row],[PontoPed]]&lt;1, 1, IF( tabItens[[#This Row],[Saldo]]&gt;tabItens[[#This Row],[PontoPed]], 0, (tabItens[[#This Row],[PontoPed]]-tabItens[[#This Row],[Saldo]])/tabItens[[#This Row],[PontoPed]] ) ), 0 )</f>
        <v>0.29299999999999998</v>
      </c>
      <c r="BD97" s="321">
        <f>ROUNDDOWN(IF( OR( AND(tabItens[[#This Row],[PontoPed]]&lt;tabItens[[#This Row],[Saldo]],tabItens[[#This Row],[Saldo]]&gt;0), tabItens[[#This Row],[PontoPed]]=0), 99, IF(AND(tabItens[[#This Row],[Saldo]]=0,tabItens[[#This Row],[PontoPed]]&gt;0), 0, (1-tabItens[[#This Row],[PctAb]])*10 ) ),0)</f>
        <v>7</v>
      </c>
      <c r="BE97" s="322">
        <f>MAX(ROUNDDOWN( IF(tabItens[[#This Row],[Abaixo]] &gt; 0,   tabItens[[#This Row],[Abaixo]] + (tabItens[[#This Row],[PontoMês]] * IF( OR( ISBLANK(tabItens[[#This Row],[ATA Nº/ANO]]), tabItens[[#This Row],[ATA Nº/ANO]] = ""),BE$2,BE$1)),0),0),0)</f>
        <v>3129</v>
      </c>
      <c r="BF9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323">
        <f>SUMIF(Consumo!$C$3:$C$869,tabItens[[#This Row],[CÓDIGO]],Consumo!$E$3:$E$869)</f>
        <v>226</v>
      </c>
      <c r="BH97" s="324">
        <f>IF(AND(tabItens[[#This Row],[Pend]] &gt; 0,tabItens[[#This Row],[Consumo]] &lt;&gt; 0), tabItens[[#This Row],[Pend]] / tabItens[[#This Row],[Consumo]], 0 )</f>
        <v>2.7380663920523383E-2</v>
      </c>
      <c r="BI97" s="323"/>
      <c r="BJ97" s="323"/>
      <c r="BK97" s="325" t="s">
        <v>2064</v>
      </c>
    </row>
    <row r="98" spans="1:63" hidden="1" x14ac:dyDescent="0.3">
      <c r="A98" s="286">
        <v>32927</v>
      </c>
      <c r="B98" s="287" t="s">
        <v>1248</v>
      </c>
      <c r="C98" s="288" t="s">
        <v>569</v>
      </c>
      <c r="D98" s="289">
        <v>0.53</v>
      </c>
      <c r="E98" s="290"/>
      <c r="F98" s="290"/>
      <c r="G98" s="290" t="s">
        <v>883</v>
      </c>
      <c r="H98" s="291">
        <v>163</v>
      </c>
      <c r="I98" s="292">
        <v>103003</v>
      </c>
      <c r="J98" s="293">
        <v>0.53</v>
      </c>
      <c r="K98" s="294">
        <v>5839</v>
      </c>
      <c r="L98" s="295">
        <f>IF(tabItens[[#This Row],[Média]] &gt; 0, tabItens[[#This Row],[QTDE ATUAL]] / tabItens[[#This Row],[Média]],999.9)</f>
        <v>0.22973925299506695</v>
      </c>
      <c r="M98" s="296">
        <v>0</v>
      </c>
      <c r="N98" s="297">
        <f>tabItens[[#This Row],[VALOR UNIT.]] * tabItens[[#This Row],[LC]]</f>
        <v>0</v>
      </c>
      <c r="O98" s="298" t="s">
        <v>2067</v>
      </c>
      <c r="P98" s="299"/>
      <c r="Q98" s="300"/>
      <c r="R98" s="297"/>
      <c r="S98" s="301"/>
      <c r="T98" s="302">
        <f>ROUNDDOWN(IFERROR(tabItens[[#This Row],[ATA DT.VALID.]] - $D$1,0) / 30,0)</f>
        <v>-1504</v>
      </c>
      <c r="U98" s="287" t="s">
        <v>1129</v>
      </c>
      <c r="V98" s="303">
        <v>1</v>
      </c>
      <c r="W98" s="304" t="s">
        <v>2052</v>
      </c>
      <c r="X98" s="305">
        <v>57</v>
      </c>
      <c r="Y98" s="306">
        <v>15</v>
      </c>
      <c r="Z98" s="307">
        <v>6989</v>
      </c>
      <c r="AA98" s="308">
        <v>2023</v>
      </c>
      <c r="AB98" s="309">
        <v>2100</v>
      </c>
      <c r="AC98" s="309"/>
      <c r="AD98" s="308"/>
      <c r="AE98" s="309"/>
      <c r="AF98" s="302"/>
      <c r="AG98" s="310" t="s">
        <v>2050</v>
      </c>
      <c r="AH98" s="311"/>
      <c r="AI98" s="302">
        <v>2820</v>
      </c>
      <c r="AJ98" s="311">
        <v>44967</v>
      </c>
      <c r="AK98" s="311" t="s">
        <v>883</v>
      </c>
      <c r="AL98" s="311">
        <v>44959</v>
      </c>
      <c r="AM98" s="301"/>
      <c r="AN98" s="290"/>
      <c r="AO98" s="312" t="str">
        <f>_xlfn.IFNA(IF(VLOOKUP(tabItens[[#This Row],[CÓDIGO]],tabExcluirDoEstoque[#Data],1,FALSE),"sim",""),"")</f>
        <v/>
      </c>
      <c r="AP98" s="313" t="str">
        <f ca="1">IF(OR(ISBLANK(tabItens[[#This Row],[ATA DT.VALID.]]),tabItens[[#This Row],[ATA DT.VALID.]]="",tabItens[[#This Row],[ATA DT.VALID.]]=" "),"",IF(TYPE(tabItens[[#This Row],[ATA DT.VALID.]])=1,ROUNDUP((tabItens[[#This Row],[ATA DT.VALID.]]-TODAY())/7,0),""))</f>
        <v/>
      </c>
      <c r="AQ98" s="314">
        <v>0</v>
      </c>
      <c r="AR98" s="315" t="str">
        <f>IF(ISBLANK(tabItens[[#This Row],[CÓDIGO]]),"",IFERROR(VLOOKUP(tabItens[[#This Row],[CÓDIGO]],Consumo!$C$2:$AC$869,26,FALSE),0))</f>
        <v>07.2023</v>
      </c>
      <c r="AS98" s="316">
        <f>SUMIF(Consumo!$C$3:$C$869,tabItens[[#This Row],[CÓDIGO]],Consumo!$N$3:$N$869) + SUMIF(Consumo!$C$3:$C$869,tabItens[[#This Row],[CÓDIGO]],Consumo!$O$3:$O$869) + SUMIF(Consumo!$C$3:$C$869,tabItens[[#This Row],[CÓDIGO]],Consumo!$P$3:$P$869) + SUMIF(Consumo!$C$3:$C$869,tabItens[[#This Row],[CÓDIGO]],Consumo!$Q$3:$Q$869)</f>
        <v>3586</v>
      </c>
      <c r="AT98" s="316">
        <f>SUMIF(Consumo!$C$3:$C$869,tabItens[[#This Row],[CÓDIGO]],Consumo!$Z$3:$Z$869)</f>
        <v>8514</v>
      </c>
      <c r="AU98" s="317">
        <f>SUMIF(Consumo!$C$3:$C$869,tabItens[[#This Row],[CÓDIGO]],Consumo!$AA$3:$AA$869)</f>
        <v>1193</v>
      </c>
      <c r="AV98" s="318">
        <f>SUMIF(Consumo!$C$3:$C$869,tabItens[[#This Row],[CÓDIGO]],Consumo!$Y$3:$Y$869)</f>
        <v>709.5</v>
      </c>
      <c r="AW98" s="291">
        <f>tabItens[[#This Row],[QTDE ATUAL]] + tabItens[[#This Row],[RC QTDE]] + tabItens[[#This Row],[AF SALDO]] + tabItens[[#This Row],[Recentes]]</f>
        <v>2263</v>
      </c>
      <c r="AX98" s="319">
        <v>793</v>
      </c>
      <c r="AY98" s="319">
        <v>4</v>
      </c>
      <c r="AZ98" s="319">
        <f>IF(ISBLANK(tabItens[[#This Row],[CÓDIGO]]),"",tabItens[[#This Row],[PontoMês]] * (AZ$2+tabItens[[#This Row],[PontoQtM]]))</f>
        <v>3172</v>
      </c>
      <c r="BA98" s="318">
        <f>tabItens[[#This Row],[PontoPed]] - tabItens[[#This Row],[Saldo]] + (1/10)</f>
        <v>909.1</v>
      </c>
      <c r="BB98" s="318">
        <f xml:space="preserve"> tabItens[[#This Row],[PontoMês]] * BB$2 - tabItens[[#This Row],[QTDE ATUAL]] - (1/10)</f>
        <v>629.9</v>
      </c>
      <c r="BC98" s="320">
        <f>IF( tabItens[[#This Row],[PontoPed]]&gt;0, IF(tabItens[[#This Row],[PontoPed]]&lt;1, 1, IF( tabItens[[#This Row],[Saldo]]&gt;tabItens[[#This Row],[PontoPed]], 0, (tabItens[[#This Row],[PontoPed]]-tabItens[[#This Row],[Saldo]])/tabItens[[#This Row],[PontoPed]] ) ), 0 )</f>
        <v>0.2865699873896595</v>
      </c>
      <c r="BD98" s="321">
        <f>ROUNDDOWN(IF( OR( AND(tabItens[[#This Row],[PontoPed]]&lt;tabItens[[#This Row],[Saldo]],tabItens[[#This Row],[Saldo]]&gt;0), tabItens[[#This Row],[PontoPed]]=0), 99, IF(AND(tabItens[[#This Row],[Saldo]]=0,tabItens[[#This Row],[PontoPed]]&gt;0), 0, (1-tabItens[[#This Row],[PctAb]])*10 ) ),0)</f>
        <v>7</v>
      </c>
      <c r="BE98" s="322">
        <f>MAX(ROUNDDOWN( IF(tabItens[[#This Row],[Abaixo]] &gt; 0,   tabItens[[#This Row],[Abaixo]] + (tabItens[[#This Row],[PontoMês]] * IF( OR( ISBLANK(tabItens[[#This Row],[ATA Nº/ANO]]), tabItens[[#This Row],[ATA Nº/ANO]] = ""),BE$2,BE$1)),0),0),0)</f>
        <v>3288</v>
      </c>
      <c r="BF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323">
        <f>SUMIF(Consumo!$C$3:$C$869,tabItens[[#This Row],[CÓDIGO]],Consumo!$E$3:$E$869)</f>
        <v>57</v>
      </c>
      <c r="BH98" s="324">
        <f>IF(AND(tabItens[[#This Row],[Pend]] &gt; 0,tabItens[[#This Row],[Consumo]] &lt;&gt; 0), tabItens[[#This Row],[Pend]] / tabItens[[#This Row],[Consumo]], 0 )</f>
        <v>6.6948555320648345E-3</v>
      </c>
      <c r="BI98" s="323"/>
      <c r="BJ98" s="323"/>
      <c r="BK98" s="325" t="s">
        <v>2064</v>
      </c>
    </row>
    <row r="99" spans="1:63" hidden="1" x14ac:dyDescent="0.3">
      <c r="A99" s="286">
        <v>13199</v>
      </c>
      <c r="B99" s="287" t="s">
        <v>1027</v>
      </c>
      <c r="C99" s="288" t="s">
        <v>256</v>
      </c>
      <c r="D99" s="289">
        <v>1.9</v>
      </c>
      <c r="E99" s="290"/>
      <c r="F99" s="290"/>
      <c r="G99" s="290" t="s">
        <v>883</v>
      </c>
      <c r="H99" s="291">
        <v>47</v>
      </c>
      <c r="I99" s="292">
        <v>103003</v>
      </c>
      <c r="J99" s="293">
        <v>1.9</v>
      </c>
      <c r="K99" s="294">
        <v>124</v>
      </c>
      <c r="L99" s="295">
        <f>IF(tabItens[[#This Row],[Média]] &gt; 0, tabItens[[#This Row],[QTDE ATUAL]] / tabItens[[#This Row],[Média]],999.9)</f>
        <v>5.0810810810810807</v>
      </c>
      <c r="M99" s="296">
        <v>0</v>
      </c>
      <c r="N99" s="297">
        <f>tabItens[[#This Row],[VALOR UNIT.]] * tabItens[[#This Row],[LC]]</f>
        <v>0</v>
      </c>
      <c r="O99" s="298" t="s">
        <v>2088</v>
      </c>
      <c r="P99" s="299"/>
      <c r="Q99" s="300"/>
      <c r="R99" s="297"/>
      <c r="S99" s="301"/>
      <c r="T99" s="302">
        <f>ROUNDDOWN(IFERROR(tabItens[[#This Row],[ATA DT.VALID.]] - $D$1,0) / 30,0)</f>
        <v>-1504</v>
      </c>
      <c r="U99" s="287" t="s">
        <v>1026</v>
      </c>
      <c r="V99" s="303">
        <v>1</v>
      </c>
      <c r="W99" s="304" t="s">
        <v>2049</v>
      </c>
      <c r="X99" s="305">
        <v>51</v>
      </c>
      <c r="Y99" s="306">
        <v>8</v>
      </c>
      <c r="Z99" s="307">
        <v>3002</v>
      </c>
      <c r="AA99" s="308">
        <v>2023</v>
      </c>
      <c r="AB99" s="309">
        <v>30</v>
      </c>
      <c r="AC99" s="309"/>
      <c r="AD99" s="308"/>
      <c r="AE99" s="309"/>
      <c r="AF99" s="302"/>
      <c r="AG99" s="310" t="s">
        <v>2050</v>
      </c>
      <c r="AH99" s="311"/>
      <c r="AI99" s="302">
        <v>42</v>
      </c>
      <c r="AJ99" s="311">
        <v>43320</v>
      </c>
      <c r="AK99" s="311" t="s">
        <v>883</v>
      </c>
      <c r="AL99" s="311">
        <v>45105</v>
      </c>
      <c r="AM99" s="301"/>
      <c r="AN99" s="290"/>
      <c r="AO99" s="312" t="str">
        <f>_xlfn.IFNA(IF(VLOOKUP(tabItens[[#This Row],[CÓDIGO]],tabExcluirDoEstoque[#Data],1,FALSE),"sim",""),"")</f>
        <v/>
      </c>
      <c r="AP99" s="313" t="str">
        <f ca="1">IF(OR(ISBLANK(tabItens[[#This Row],[ATA DT.VALID.]]),tabItens[[#This Row],[ATA DT.VALID.]]="",tabItens[[#This Row],[ATA DT.VALID.]]=" "),"",IF(TYPE(tabItens[[#This Row],[ATA DT.VALID.]])=1,ROUNDUP((tabItens[[#This Row],[ATA DT.VALID.]]-TODAY())/7,0),""))</f>
        <v/>
      </c>
      <c r="AQ99" s="314">
        <v>0</v>
      </c>
      <c r="AR99" s="315" t="str">
        <f>IF(ISBLANK(tabItens[[#This Row],[CÓDIGO]]),"",IFERROR(VLOOKUP(tabItens[[#This Row],[CÓDIGO]],Consumo!$C$2:$AC$869,26,FALSE),0))</f>
        <v>05.2023</v>
      </c>
      <c r="AS99" s="316">
        <f>SUMIF(Consumo!$C$3:$C$869,tabItens[[#This Row],[CÓDIGO]],Consumo!$N$3:$N$869) + SUMIF(Consumo!$C$3:$C$869,tabItens[[#This Row],[CÓDIGO]],Consumo!$O$3:$O$869) + SUMIF(Consumo!$C$3:$C$869,tabItens[[#This Row],[CÓDIGO]],Consumo!$P$3:$P$869) + SUMIF(Consumo!$C$3:$C$869,tabItens[[#This Row],[CÓDIGO]],Consumo!$Q$3:$Q$869)</f>
        <v>70</v>
      </c>
      <c r="AT99" s="316">
        <f>SUMIF(Consumo!$C$3:$C$869,tabItens[[#This Row],[CÓDIGO]],Consumo!$Z$3:$Z$869)</f>
        <v>124</v>
      </c>
      <c r="AU99" s="317">
        <f>SUMIF(Consumo!$C$3:$C$869,tabItens[[#This Row],[CÓDIGO]],Consumo!$AA$3:$AA$869)</f>
        <v>70</v>
      </c>
      <c r="AV99" s="318">
        <f>SUMIF(Consumo!$C$3:$C$869,tabItens[[#This Row],[CÓDIGO]],Consumo!$Y$3:$Y$869)</f>
        <v>9.25</v>
      </c>
      <c r="AW99" s="291">
        <f>tabItens[[#This Row],[QTDE ATUAL]] + tabItens[[#This Row],[RC QTDE]] + tabItens[[#This Row],[AF SALDO]] + tabItens[[#This Row],[Recentes]]</f>
        <v>77</v>
      </c>
      <c r="AX99" s="319">
        <v>25</v>
      </c>
      <c r="AY99" s="319">
        <v>4</v>
      </c>
      <c r="AZ99" s="319">
        <f>IF(ISBLANK(tabItens[[#This Row],[CÓDIGO]]),"",tabItens[[#This Row],[PontoMês]] * (AZ$2+tabItens[[#This Row],[PontoQtM]]))</f>
        <v>100</v>
      </c>
      <c r="BA99" s="318">
        <f>tabItens[[#This Row],[PontoPed]] - tabItens[[#This Row],[Saldo]] + (1/10)</f>
        <v>23.1</v>
      </c>
      <c r="BB99" s="318">
        <f xml:space="preserve"> tabItens[[#This Row],[PontoMês]] * BB$2 - tabItens[[#This Row],[QTDE ATUAL]] - (1/10)</f>
        <v>-22.1</v>
      </c>
      <c r="BC99" s="320">
        <f>IF( tabItens[[#This Row],[PontoPed]]&gt;0, IF(tabItens[[#This Row],[PontoPed]]&lt;1, 1, IF( tabItens[[#This Row],[Saldo]]&gt;tabItens[[#This Row],[PontoPed]], 0, (tabItens[[#This Row],[PontoPed]]-tabItens[[#This Row],[Saldo]])/tabItens[[#This Row],[PontoPed]] ) ), 0 )</f>
        <v>0.23</v>
      </c>
      <c r="BD99" s="321">
        <f>ROUNDDOWN(IF( OR( AND(tabItens[[#This Row],[PontoPed]]&lt;tabItens[[#This Row],[Saldo]],tabItens[[#This Row],[Saldo]]&gt;0), tabItens[[#This Row],[PontoPed]]=0), 99, IF(AND(tabItens[[#This Row],[Saldo]]=0,tabItens[[#This Row],[PontoPed]]&gt;0), 0, (1-tabItens[[#This Row],[PctAb]])*10 ) ),0)</f>
        <v>7</v>
      </c>
      <c r="BE99" s="322">
        <f>MAX(ROUNDDOWN( IF(tabItens[[#This Row],[Abaixo]] &gt; 0,   tabItens[[#This Row],[Abaixo]] + (tabItens[[#This Row],[PontoMês]] * IF( OR( ISBLANK(tabItens[[#This Row],[ATA Nº/ANO]]), tabItens[[#This Row],[ATA Nº/ANO]] = ""),BE$2,BE$1)),0),0),0)</f>
        <v>98</v>
      </c>
      <c r="BF9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323">
        <f>SUMIF(Consumo!$C$3:$C$869,tabItens[[#This Row],[CÓDIGO]],Consumo!$E$3:$E$869)</f>
        <v>0</v>
      </c>
      <c r="BH99" s="324">
        <f>IF(AND(tabItens[[#This Row],[Pend]] &gt; 0,tabItens[[#This Row],[Consumo]] &lt;&gt; 0), tabItens[[#This Row],[Pend]] / tabItens[[#This Row],[Consumo]], 0 )</f>
        <v>0</v>
      </c>
      <c r="BI99" s="323"/>
      <c r="BJ99" s="323"/>
      <c r="BK99" s="325" t="s">
        <v>2064</v>
      </c>
    </row>
    <row r="100" spans="1:63" hidden="1" x14ac:dyDescent="0.3">
      <c r="A100" s="286">
        <v>12884</v>
      </c>
      <c r="B100" s="287" t="s">
        <v>974</v>
      </c>
      <c r="C100" s="288" t="s">
        <v>256</v>
      </c>
      <c r="D100" s="289">
        <v>6.64</v>
      </c>
      <c r="E100" s="290"/>
      <c r="F100" s="290"/>
      <c r="G100" s="290" t="s">
        <v>883</v>
      </c>
      <c r="H100" s="291">
        <v>58</v>
      </c>
      <c r="I100" s="292">
        <v>103003</v>
      </c>
      <c r="J100" s="293">
        <v>6.64</v>
      </c>
      <c r="K100" s="294">
        <v>176</v>
      </c>
      <c r="L100" s="295">
        <f>IF(tabItens[[#This Row],[Média]] &gt; 0, tabItens[[#This Row],[QTDE ATUAL]] / tabItens[[#This Row],[Média]],999.9)</f>
        <v>3.0660792951541849</v>
      </c>
      <c r="M100" s="296">
        <v>0</v>
      </c>
      <c r="N100" s="297">
        <f>tabItens[[#This Row],[VALOR UNIT.]] * tabItens[[#This Row],[LC]]</f>
        <v>0</v>
      </c>
      <c r="O100" s="298" t="s">
        <v>2074</v>
      </c>
      <c r="P100" s="299"/>
      <c r="Q100" s="300"/>
      <c r="R100" s="297"/>
      <c r="S100" s="301"/>
      <c r="T100" s="302">
        <f>ROUNDDOWN(IFERROR(tabItens[[#This Row],[ATA DT.VALID.]] - $D$1,0) / 30,0)</f>
        <v>-1504</v>
      </c>
      <c r="U100" s="287" t="s">
        <v>964</v>
      </c>
      <c r="V100" s="303">
        <v>1</v>
      </c>
      <c r="W100" s="304" t="s">
        <v>2054</v>
      </c>
      <c r="X100" s="305">
        <v>61</v>
      </c>
      <c r="Y100" s="306">
        <v>8</v>
      </c>
      <c r="Z100" s="307">
        <v>2453</v>
      </c>
      <c r="AA100" s="308">
        <v>2023</v>
      </c>
      <c r="AB100" s="309">
        <v>50</v>
      </c>
      <c r="AC100" s="309"/>
      <c r="AD100" s="308"/>
      <c r="AE100" s="309"/>
      <c r="AF100" s="302"/>
      <c r="AG100" s="310" t="s">
        <v>2050</v>
      </c>
      <c r="AH100" s="311"/>
      <c r="AI100" s="302">
        <v>84</v>
      </c>
      <c r="AJ100" s="311">
        <v>44187</v>
      </c>
      <c r="AK100" s="311" t="s">
        <v>883</v>
      </c>
      <c r="AL100" s="311">
        <v>44813</v>
      </c>
      <c r="AM100" s="301"/>
      <c r="AN100" s="290"/>
      <c r="AO100" s="312" t="str">
        <f>_xlfn.IFNA(IF(VLOOKUP(tabItens[[#This Row],[CÓDIGO]],tabExcluirDoEstoque[#Data],1,FALSE),"sim",""),"")</f>
        <v/>
      </c>
      <c r="AP100" s="313" t="str">
        <f ca="1">IF(OR(ISBLANK(tabItens[[#This Row],[ATA DT.VALID.]]),tabItens[[#This Row],[ATA DT.VALID.]]="",tabItens[[#This Row],[ATA DT.VALID.]]=" "),"",IF(TYPE(tabItens[[#This Row],[ATA DT.VALID.]])=1,ROUNDUP((tabItens[[#This Row],[ATA DT.VALID.]]-TODAY())/7,0),""))</f>
        <v/>
      </c>
      <c r="AQ100" s="314">
        <v>0</v>
      </c>
      <c r="AR100" s="315" t="str">
        <f>IF(ISBLANK(tabItens[[#This Row],[CÓDIGO]]),"",IFERROR(VLOOKUP(tabItens[[#This Row],[CÓDIGO]],Consumo!$C$2:$AC$869,26,FALSE),0))</f>
        <v>07.2023</v>
      </c>
      <c r="AS100" s="316">
        <f>SUMIF(Consumo!$C$3:$C$869,tabItens[[#This Row],[CÓDIGO]],Consumo!$N$3:$N$869) + SUMIF(Consumo!$C$3:$C$869,tabItens[[#This Row],[CÓDIGO]],Consumo!$O$3:$O$869) + SUMIF(Consumo!$C$3:$C$869,tabItens[[#This Row],[CÓDIGO]],Consumo!$P$3:$P$869) + SUMIF(Consumo!$C$3:$C$869,tabItens[[#This Row],[CÓDIGO]],Consumo!$Q$3:$Q$869)</f>
        <v>86</v>
      </c>
      <c r="AT100" s="316">
        <f>SUMIF(Consumo!$C$3:$C$869,tabItens[[#This Row],[CÓDIGO]],Consumo!$Z$3:$Z$869)</f>
        <v>234</v>
      </c>
      <c r="AU100" s="317">
        <f>SUMIF(Consumo!$C$3:$C$869,tabItens[[#This Row],[CÓDIGO]],Consumo!$AA$3:$AA$869)</f>
        <v>56</v>
      </c>
      <c r="AV100" s="318">
        <f>SUMIF(Consumo!$C$3:$C$869,tabItens[[#This Row],[CÓDIGO]],Consumo!$Y$3:$Y$869)</f>
        <v>18.916666666666668</v>
      </c>
      <c r="AW100" s="291">
        <f>tabItens[[#This Row],[QTDE ATUAL]] + tabItens[[#This Row],[RC QTDE]] + tabItens[[#This Row],[AF SALDO]] + tabItens[[#This Row],[Recentes]]</f>
        <v>108</v>
      </c>
      <c r="AX100" s="319">
        <v>34</v>
      </c>
      <c r="AY100" s="319">
        <v>4</v>
      </c>
      <c r="AZ100" s="319">
        <f>IF(ISBLANK(tabItens[[#This Row],[CÓDIGO]]),"",tabItens[[#This Row],[PontoMês]] * (AZ$2+tabItens[[#This Row],[PontoQtM]]))</f>
        <v>136</v>
      </c>
      <c r="BA100" s="318">
        <f>tabItens[[#This Row],[PontoPed]] - tabItens[[#This Row],[Saldo]] + (1/10)</f>
        <v>28.1</v>
      </c>
      <c r="BB100" s="318">
        <f xml:space="preserve"> tabItens[[#This Row],[PontoMês]] * BB$2 - tabItens[[#This Row],[QTDE ATUAL]] - (1/10)</f>
        <v>-24.1</v>
      </c>
      <c r="BC100" s="320">
        <f>IF( tabItens[[#This Row],[PontoPed]]&gt;0, IF(tabItens[[#This Row],[PontoPed]]&lt;1, 1, IF( tabItens[[#This Row],[Saldo]]&gt;tabItens[[#This Row],[PontoPed]], 0, (tabItens[[#This Row],[PontoPed]]-tabItens[[#This Row],[Saldo]])/tabItens[[#This Row],[PontoPed]] ) ), 0 )</f>
        <v>0.20588235294117646</v>
      </c>
      <c r="BD100" s="321">
        <f>ROUNDDOWN(IF( OR( AND(tabItens[[#This Row],[PontoPed]]&lt;tabItens[[#This Row],[Saldo]],tabItens[[#This Row],[Saldo]]&gt;0), tabItens[[#This Row],[PontoPed]]=0), 99, IF(AND(tabItens[[#This Row],[Saldo]]=0,tabItens[[#This Row],[PontoPed]]&gt;0), 0, (1-tabItens[[#This Row],[PctAb]])*10 ) ),0)</f>
        <v>7</v>
      </c>
      <c r="BE100" s="322">
        <f>MAX(ROUNDDOWN( IF(tabItens[[#This Row],[Abaixo]] &gt; 0,   tabItens[[#This Row],[Abaixo]] + (tabItens[[#This Row],[PontoMês]] * IF( OR( ISBLANK(tabItens[[#This Row],[ATA Nº/ANO]]), tabItens[[#This Row],[ATA Nº/ANO]] = ""),BE$2,BE$1)),0),0),0)</f>
        <v>130</v>
      </c>
      <c r="BF10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323">
        <f>SUMIF(Consumo!$C$3:$C$869,tabItens[[#This Row],[CÓDIGO]],Consumo!$E$3:$E$869)</f>
        <v>0</v>
      </c>
      <c r="BH100" s="324">
        <f>IF(AND(tabItens[[#This Row],[Pend]] &gt; 0,tabItens[[#This Row],[Consumo]] &lt;&gt; 0), tabItens[[#This Row],[Pend]] / tabItens[[#This Row],[Consumo]], 0 )</f>
        <v>0</v>
      </c>
      <c r="BI100" s="323"/>
      <c r="BJ100" s="323"/>
      <c r="BK100" s="325" t="s">
        <v>2064</v>
      </c>
    </row>
    <row r="101" spans="1:63" x14ac:dyDescent="0.3">
      <c r="A101" s="396">
        <v>13178</v>
      </c>
      <c r="B101" s="397" t="s">
        <v>1015</v>
      </c>
      <c r="C101" s="398" t="s">
        <v>256</v>
      </c>
      <c r="D101" s="399">
        <v>0.03</v>
      </c>
      <c r="E101" s="290"/>
      <c r="F101" s="400"/>
      <c r="G101" s="400" t="s">
        <v>883</v>
      </c>
      <c r="H101" s="401">
        <v>0</v>
      </c>
      <c r="I101" s="292">
        <v>103003</v>
      </c>
      <c r="J101" s="293">
        <v>0.03</v>
      </c>
      <c r="K101" s="402">
        <v>15133</v>
      </c>
      <c r="L101" s="403">
        <f>IF(tabItens[[#This Row],[Média]] &gt; 0, tabItens[[#This Row],[QTDE ATUAL]] / tabItens[[#This Row],[Média]],999.9)</f>
        <v>0</v>
      </c>
      <c r="M101" s="404">
        <v>0</v>
      </c>
      <c r="N101" s="405">
        <f>tabItens[[#This Row],[VALOR UNIT.]] * tabItens[[#This Row],[LC]]</f>
        <v>0</v>
      </c>
      <c r="O101" s="406" t="s">
        <v>2087</v>
      </c>
      <c r="P101" s="407"/>
      <c r="Q101" s="408"/>
      <c r="R101" s="297"/>
      <c r="S101" s="409"/>
      <c r="T101" s="410">
        <f>ROUNDDOWN(IFERROR(tabItens[[#This Row],[ATA DT.VALID.]] - $D$1,0) / 30,0)</f>
        <v>-1504</v>
      </c>
      <c r="U101" s="287" t="s">
        <v>1016</v>
      </c>
      <c r="V101" s="303">
        <v>1</v>
      </c>
      <c r="W101" s="411" t="s">
        <v>2049</v>
      </c>
      <c r="X101" s="412">
        <v>67</v>
      </c>
      <c r="Y101" s="413">
        <v>9</v>
      </c>
      <c r="Z101" s="414">
        <v>2483</v>
      </c>
      <c r="AA101" s="415">
        <v>2023</v>
      </c>
      <c r="AB101" s="416">
        <v>2000</v>
      </c>
      <c r="AC101" s="416"/>
      <c r="AD101" s="415"/>
      <c r="AE101" s="416"/>
      <c r="AF101" s="302"/>
      <c r="AG101" s="417" t="s">
        <v>2050</v>
      </c>
      <c r="AH101" s="418"/>
      <c r="AI101" s="302">
        <v>6448</v>
      </c>
      <c r="AJ101" s="418">
        <v>44607</v>
      </c>
      <c r="AK101" s="311" t="s">
        <v>883</v>
      </c>
      <c r="AL101" s="311">
        <v>44592</v>
      </c>
      <c r="AM101" s="301"/>
      <c r="AN101" s="290"/>
      <c r="AO101" s="312" t="str">
        <f>_xlfn.IFNA(IF(VLOOKUP(tabItens[[#This Row],[CÓDIGO]],tabExcluirDoEstoque[#Data],1,FALSE),"sim",""),"")</f>
        <v/>
      </c>
      <c r="AP101" s="419" t="str">
        <f ca="1">IF(OR(ISBLANK(tabItens[[#This Row],[ATA DT.VALID.]]),tabItens[[#This Row],[ATA DT.VALID.]]="",tabItens[[#This Row],[ATA DT.VALID.]]=" "),"",IF(TYPE(tabItens[[#This Row],[ATA DT.VALID.]])=1,ROUNDUP((tabItens[[#This Row],[ATA DT.VALID.]]-TODAY())/7,0),""))</f>
        <v/>
      </c>
      <c r="AQ101" s="314">
        <v>0</v>
      </c>
      <c r="AR101" s="315" t="str">
        <f>IF(ISBLANK(tabItens[[#This Row],[CÓDIGO]]),"",IFERROR(VLOOKUP(tabItens[[#This Row],[CÓDIGO]],Consumo!$C$2:$AC$869,26,FALSE),0))</f>
        <v>06.2023</v>
      </c>
      <c r="AS101" s="316">
        <f>SUMIF(Consumo!$C$3:$C$869,tabItens[[#This Row],[CÓDIGO]],Consumo!$N$3:$N$869) + SUMIF(Consumo!$C$3:$C$869,tabItens[[#This Row],[CÓDIGO]],Consumo!$O$3:$O$869) + SUMIF(Consumo!$C$3:$C$869,tabItens[[#This Row],[CÓDIGO]],Consumo!$P$3:$P$869) + SUMIF(Consumo!$C$3:$C$869,tabItens[[#This Row],[CÓDIGO]],Consumo!$Q$3:$Q$869)</f>
        <v>10873</v>
      </c>
      <c r="AT101" s="316">
        <f>SUMIF(Consumo!$C$3:$C$869,tabItens[[#This Row],[CÓDIGO]],Consumo!$Z$3:$Z$869)</f>
        <v>19990</v>
      </c>
      <c r="AU101" s="317">
        <f>SUMIF(Consumo!$C$3:$C$869,tabItens[[#This Row],[CÓDIGO]],Consumo!$AA$3:$AA$869)</f>
        <v>6900</v>
      </c>
      <c r="AV101" s="318">
        <f>SUMIF(Consumo!$C$3:$C$869,tabItens[[#This Row],[CÓDIGO]],Consumo!$Y$3:$Y$869)</f>
        <v>1518.25</v>
      </c>
      <c r="AW101" s="401">
        <f>tabItens[[#This Row],[QTDE ATUAL]] + tabItens[[#This Row],[RC QTDE]] + tabItens[[#This Row],[AF SALDO]] + tabItens[[#This Row],[Recentes]]</f>
        <v>2000</v>
      </c>
      <c r="AX101" s="420">
        <v>662</v>
      </c>
      <c r="AY101" s="420">
        <v>4</v>
      </c>
      <c r="AZ101" s="420">
        <f>IF(ISBLANK(tabItens[[#This Row],[CÓDIGO]]),"",tabItens[[#This Row],[PontoMês]] * (AZ$2+tabItens[[#This Row],[PontoQtM]]))</f>
        <v>2648</v>
      </c>
      <c r="BA101" s="421">
        <f>tabItens[[#This Row],[PontoPed]] - tabItens[[#This Row],[Saldo]] + (1/10)</f>
        <v>648.1</v>
      </c>
      <c r="BB101" s="421">
        <f xml:space="preserve"> tabItens[[#This Row],[PontoMês]] * BB$2 - tabItens[[#This Row],[QTDE ATUAL]] - (1/10)</f>
        <v>661.9</v>
      </c>
      <c r="BC101" s="320">
        <f>IF( tabItens[[#This Row],[PontoPed]]&gt;0, IF(tabItens[[#This Row],[PontoPed]]&lt;1, 1, IF( tabItens[[#This Row],[Saldo]]&gt;tabItens[[#This Row],[PontoPed]], 0, (tabItens[[#This Row],[PontoPed]]-tabItens[[#This Row],[Saldo]])/tabItens[[#This Row],[PontoPed]] ) ), 0 )</f>
        <v>0.24471299093655588</v>
      </c>
      <c r="BD101" s="422">
        <f>ROUNDDOWN(IF( OR( AND(tabItens[[#This Row],[PontoPed]]&lt;tabItens[[#This Row],[Saldo]],tabItens[[#This Row],[Saldo]]&gt;0), tabItens[[#This Row],[PontoPed]]=0), 99, IF(AND(tabItens[[#This Row],[Saldo]]=0,tabItens[[#This Row],[PontoPed]]&gt;0), 0, (1-tabItens[[#This Row],[PctAb]])*10 ) ),0)</f>
        <v>7</v>
      </c>
      <c r="BE101" s="423">
        <f>MAX(ROUNDDOWN( IF(tabItens[[#This Row],[Abaixo]] &gt; 0,   tabItens[[#This Row],[Abaixo]] + (tabItens[[#This Row],[PontoMês]] * IF( OR( ISBLANK(tabItens[[#This Row],[ATA Nº/ANO]]), tabItens[[#This Row],[ATA Nº/ANO]] = ""),BE$2,BE$1)),0),0),0)</f>
        <v>2634</v>
      </c>
      <c r="BF10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323">
        <f>SUMIF(Consumo!$C$3:$C$869,tabItens[[#This Row],[CÓDIGO]],Consumo!$E$3:$E$869)</f>
        <v>647</v>
      </c>
      <c r="BH101" s="324">
        <f>IF(AND(tabItens[[#This Row],[Pend]] &gt; 0,tabItens[[#This Row],[Consumo]] &lt;&gt; 0), tabItens[[#This Row],[Pend]] / tabItens[[#This Row],[Consumo]], 0 )</f>
        <v>3.2366183091545771E-2</v>
      </c>
      <c r="BI101" s="323"/>
      <c r="BJ101" s="424"/>
      <c r="BK101" s="425" t="s">
        <v>2064</v>
      </c>
    </row>
    <row r="102" spans="1:63" hidden="1" x14ac:dyDescent="0.3">
      <c r="A102" s="286">
        <v>93334</v>
      </c>
      <c r="B102" s="287" t="s">
        <v>1532</v>
      </c>
      <c r="C102" s="288" t="s">
        <v>569</v>
      </c>
      <c r="D102" s="289">
        <v>0.45</v>
      </c>
      <c r="E102" s="290"/>
      <c r="F102" s="290"/>
      <c r="G102" s="290" t="s">
        <v>883</v>
      </c>
      <c r="H102" s="291">
        <v>724</v>
      </c>
      <c r="I102" s="292">
        <v>103003</v>
      </c>
      <c r="J102" s="293">
        <v>0.45</v>
      </c>
      <c r="K102" s="294">
        <v>4660</v>
      </c>
      <c r="L102" s="295">
        <f>IF(tabItens[[#This Row],[Média]] &gt; 0, tabItens[[#This Row],[QTDE ATUAL]] / tabItens[[#This Row],[Média]],999.9)</f>
        <v>1.2890207715133533</v>
      </c>
      <c r="M102" s="296">
        <v>0</v>
      </c>
      <c r="N102" s="297">
        <f>tabItens[[#This Row],[VALOR UNIT.]] * tabItens[[#This Row],[LC]]</f>
        <v>0</v>
      </c>
      <c r="O102" s="298" t="s">
        <v>2066</v>
      </c>
      <c r="P102" s="299"/>
      <c r="Q102" s="300"/>
      <c r="R102" s="297"/>
      <c r="S102" s="301"/>
      <c r="T102" s="302">
        <f>ROUNDDOWN(IFERROR(tabItens[[#This Row],[ATA DT.VALID.]] - $D$1,0) / 30,0)</f>
        <v>-1504</v>
      </c>
      <c r="U102" s="287" t="s">
        <v>1135</v>
      </c>
      <c r="V102" s="303">
        <v>1</v>
      </c>
      <c r="W102" s="304" t="s">
        <v>2052</v>
      </c>
      <c r="X102" s="305">
        <v>57</v>
      </c>
      <c r="Y102" s="306">
        <v>2</v>
      </c>
      <c r="Z102" s="307">
        <v>6216</v>
      </c>
      <c r="AA102" s="308">
        <v>2023</v>
      </c>
      <c r="AB102" s="309">
        <v>2000</v>
      </c>
      <c r="AC102" s="309"/>
      <c r="AD102" s="308"/>
      <c r="AE102" s="309"/>
      <c r="AF102" s="302"/>
      <c r="AG102" s="310" t="s">
        <v>2050</v>
      </c>
      <c r="AH102" s="311"/>
      <c r="AI102" s="302">
        <v>2234</v>
      </c>
      <c r="AJ102" s="311">
        <v>44974</v>
      </c>
      <c r="AK102" s="311">
        <v>38919</v>
      </c>
      <c r="AL102" s="311">
        <v>45049</v>
      </c>
      <c r="AM102" s="301"/>
      <c r="AN102" s="290"/>
      <c r="AO102" s="312" t="str">
        <f>_xlfn.IFNA(IF(VLOOKUP(tabItens[[#This Row],[CÓDIGO]],tabExcluirDoEstoque[#Data],1,FALSE),"sim",""),"")</f>
        <v/>
      </c>
      <c r="AP102" s="313" t="str">
        <f ca="1">IF(OR(ISBLANK(tabItens[[#This Row],[ATA DT.VALID.]]),tabItens[[#This Row],[ATA DT.VALID.]]="",tabItens[[#This Row],[ATA DT.VALID.]]=" "),"",IF(TYPE(tabItens[[#This Row],[ATA DT.VALID.]])=1,ROUNDUP((tabItens[[#This Row],[ATA DT.VALID.]]-TODAY())/7,0),""))</f>
        <v/>
      </c>
      <c r="AQ102" s="314">
        <v>0</v>
      </c>
      <c r="AR102" s="315" t="str">
        <f>IF(ISBLANK(tabItens[[#This Row],[CÓDIGO]]),"",IFERROR(VLOOKUP(tabItens[[#This Row],[CÓDIGO]],Consumo!$C$2:$AC$869,26,FALSE),0))</f>
        <v>07.2023</v>
      </c>
      <c r="AS102" s="316">
        <f>SUMIF(Consumo!$C$3:$C$869,tabItens[[#This Row],[CÓDIGO]],Consumo!$N$3:$N$869) + SUMIF(Consumo!$C$3:$C$869,tabItens[[#This Row],[CÓDIGO]],Consumo!$O$3:$O$869) + SUMIF(Consumo!$C$3:$C$869,tabItens[[#This Row],[CÓDIGO]],Consumo!$P$3:$P$869) + SUMIF(Consumo!$C$3:$C$869,tabItens[[#This Row],[CÓDIGO]],Consumo!$Q$3:$Q$869)</f>
        <v>3336</v>
      </c>
      <c r="AT102" s="316">
        <f>SUMIF(Consumo!$C$3:$C$869,tabItens[[#This Row],[CÓDIGO]],Consumo!$Z$3:$Z$869)</f>
        <v>6743</v>
      </c>
      <c r="AU102" s="317">
        <f>SUMIF(Consumo!$C$3:$C$869,tabItens[[#This Row],[CÓDIGO]],Consumo!$AA$3:$AA$869)</f>
        <v>1205</v>
      </c>
      <c r="AV102" s="318">
        <f>SUMIF(Consumo!$C$3:$C$869,tabItens[[#This Row],[CÓDIGO]],Consumo!$Y$3:$Y$869)</f>
        <v>561.66666666666663</v>
      </c>
      <c r="AW102" s="291">
        <f>tabItens[[#This Row],[QTDE ATUAL]] + tabItens[[#This Row],[RC QTDE]] + tabItens[[#This Row],[AF SALDO]] + tabItens[[#This Row],[Recentes]]</f>
        <v>2724</v>
      </c>
      <c r="AX102" s="319">
        <v>834</v>
      </c>
      <c r="AY102" s="319">
        <v>4</v>
      </c>
      <c r="AZ102" s="319">
        <f>IF(ISBLANK(tabItens[[#This Row],[CÓDIGO]]),"",tabItens[[#This Row],[PontoMês]] * (AZ$2+tabItens[[#This Row],[PontoQtM]]))</f>
        <v>3336</v>
      </c>
      <c r="BA102" s="318">
        <f>tabItens[[#This Row],[PontoPed]] - tabItens[[#This Row],[Saldo]] + (1/10)</f>
        <v>612.1</v>
      </c>
      <c r="BB102" s="318">
        <f xml:space="preserve"> tabItens[[#This Row],[PontoMês]] * BB$2 - tabItens[[#This Row],[QTDE ATUAL]] - (1/10)</f>
        <v>109.9</v>
      </c>
      <c r="BC102" s="320">
        <f>IF( tabItens[[#This Row],[PontoPed]]&gt;0, IF(tabItens[[#This Row],[PontoPed]]&lt;1, 1, IF( tabItens[[#This Row],[Saldo]]&gt;tabItens[[#This Row],[PontoPed]], 0, (tabItens[[#This Row],[PontoPed]]-tabItens[[#This Row],[Saldo]])/tabItens[[#This Row],[PontoPed]] ) ), 0 )</f>
        <v>0.18345323741007194</v>
      </c>
      <c r="BD102" s="321">
        <f>ROUNDDOWN(IF( OR( AND(tabItens[[#This Row],[PontoPed]]&lt;tabItens[[#This Row],[Saldo]],tabItens[[#This Row],[Saldo]]&gt;0), tabItens[[#This Row],[PontoPed]]=0), 99, IF(AND(tabItens[[#This Row],[Saldo]]=0,tabItens[[#This Row],[PontoPed]]&gt;0), 0, (1-tabItens[[#This Row],[PctAb]])*10 ) ),0)</f>
        <v>8</v>
      </c>
      <c r="BE102" s="322">
        <f>MAX(ROUNDDOWN( IF(tabItens[[#This Row],[Abaixo]] &gt; 0,   tabItens[[#This Row],[Abaixo]] + (tabItens[[#This Row],[PontoMês]] * IF( OR( ISBLANK(tabItens[[#This Row],[ATA Nº/ANO]]), tabItens[[#This Row],[ATA Nº/ANO]] = ""),BE$2,BE$1)),0),0),0)</f>
        <v>3114</v>
      </c>
      <c r="BF1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323">
        <f>SUMIF(Consumo!$C$3:$C$869,tabItens[[#This Row],[CÓDIGO]],Consumo!$E$3:$E$869)</f>
        <v>40</v>
      </c>
      <c r="BH102" s="324">
        <f>IF(AND(tabItens[[#This Row],[Pend]] &gt; 0,tabItens[[#This Row],[Consumo]] &lt;&gt; 0), tabItens[[#This Row],[Pend]] / tabItens[[#This Row],[Consumo]], 0 )</f>
        <v>5.9320777102180042E-3</v>
      </c>
      <c r="BI102" s="323"/>
      <c r="BJ102" s="323"/>
      <c r="BK102" s="325" t="s">
        <v>2064</v>
      </c>
    </row>
    <row r="103" spans="1:63" hidden="1" x14ac:dyDescent="0.3">
      <c r="A103" s="286">
        <v>124261</v>
      </c>
      <c r="B103" s="287" t="s">
        <v>1755</v>
      </c>
      <c r="C103" s="288" t="s">
        <v>569</v>
      </c>
      <c r="D103" s="289">
        <v>0.86</v>
      </c>
      <c r="E103" s="290"/>
      <c r="F103" s="290"/>
      <c r="G103" s="290" t="s">
        <v>883</v>
      </c>
      <c r="H103" s="291">
        <v>2460</v>
      </c>
      <c r="I103" s="292">
        <v>103003</v>
      </c>
      <c r="J103" s="293">
        <v>0.86</v>
      </c>
      <c r="K103" s="294">
        <v>4902</v>
      </c>
      <c r="L103" s="295">
        <f>IF(tabItens[[#This Row],[Média]] &gt; 0, tabItens[[#This Row],[QTDE ATUAL]] / tabItens[[#This Row],[Média]],999.9)</f>
        <v>3.818393480791618</v>
      </c>
      <c r="M103" s="296">
        <v>0</v>
      </c>
      <c r="N103" s="297">
        <f>tabItens[[#This Row],[VALOR UNIT.]] * tabItens[[#This Row],[LC]]</f>
        <v>0</v>
      </c>
      <c r="O103" s="298" t="s">
        <v>2066</v>
      </c>
      <c r="P103" s="299"/>
      <c r="Q103" s="300"/>
      <c r="R103" s="297"/>
      <c r="S103" s="301"/>
      <c r="T103" s="302">
        <f>ROUNDDOWN(IFERROR(tabItens[[#This Row],[ATA DT.VALID.]] - $D$1,0) / 30,0)</f>
        <v>-1504</v>
      </c>
      <c r="U103" s="287" t="s">
        <v>1129</v>
      </c>
      <c r="V103" s="303">
        <v>1</v>
      </c>
      <c r="W103" s="304" t="s">
        <v>2052</v>
      </c>
      <c r="X103" s="305">
        <v>57</v>
      </c>
      <c r="Y103" s="306">
        <v>15</v>
      </c>
      <c r="Z103" s="307">
        <v>6216</v>
      </c>
      <c r="AA103" s="308">
        <v>2023</v>
      </c>
      <c r="AB103" s="309">
        <v>500</v>
      </c>
      <c r="AC103" s="309"/>
      <c r="AD103" s="308"/>
      <c r="AE103" s="309"/>
      <c r="AF103" s="302"/>
      <c r="AG103" s="310" t="s">
        <v>2050</v>
      </c>
      <c r="AH103" s="311"/>
      <c r="AI103" s="302">
        <v>2584</v>
      </c>
      <c r="AJ103" s="311">
        <v>44974</v>
      </c>
      <c r="AK103" s="311">
        <v>41170</v>
      </c>
      <c r="AL103" s="311">
        <v>44959</v>
      </c>
      <c r="AM103" s="301"/>
      <c r="AN103" s="290"/>
      <c r="AO103" s="312" t="str">
        <f>_xlfn.IFNA(IF(VLOOKUP(tabItens[[#This Row],[CÓDIGO]],tabExcluirDoEstoque[#Data],1,FALSE),"sim",""),"")</f>
        <v/>
      </c>
      <c r="AP103" s="313" t="str">
        <f ca="1">IF(OR(ISBLANK(tabItens[[#This Row],[ATA DT.VALID.]]),tabItens[[#This Row],[ATA DT.VALID.]]="",tabItens[[#This Row],[ATA DT.VALID.]]=" "),"",IF(TYPE(tabItens[[#This Row],[ATA DT.VALID.]])=1,ROUNDUP((tabItens[[#This Row],[ATA DT.VALID.]]-TODAY())/7,0),""))</f>
        <v/>
      </c>
      <c r="AQ103" s="314">
        <v>0</v>
      </c>
      <c r="AR103" s="315" t="str">
        <f>IF(ISBLANK(tabItens[[#This Row],[CÓDIGO]]),"",IFERROR(VLOOKUP(tabItens[[#This Row],[CÓDIGO]],Consumo!$C$2:$AC$869,26,FALSE),0))</f>
        <v>07.2023</v>
      </c>
      <c r="AS103" s="316">
        <f>SUMIF(Consumo!$C$3:$C$869,tabItens[[#This Row],[CÓDIGO]],Consumo!$N$3:$N$869) + SUMIF(Consumo!$C$3:$C$869,tabItens[[#This Row],[CÓDIGO]],Consumo!$O$3:$O$869) + SUMIF(Consumo!$C$3:$C$869,tabItens[[#This Row],[CÓDIGO]],Consumo!$P$3:$P$869) + SUMIF(Consumo!$C$3:$C$869,tabItens[[#This Row],[CÓDIGO]],Consumo!$Q$3:$Q$869)</f>
        <v>3098</v>
      </c>
      <c r="AT103" s="316">
        <f>SUMIF(Consumo!$C$3:$C$869,tabItens[[#This Row],[CÓDIGO]],Consumo!$Z$3:$Z$869)</f>
        <v>7731</v>
      </c>
      <c r="AU103" s="317">
        <f>SUMIF(Consumo!$C$3:$C$869,tabItens[[#This Row],[CÓDIGO]],Consumo!$AA$3:$AA$869)</f>
        <v>1171</v>
      </c>
      <c r="AV103" s="318">
        <f>SUMIF(Consumo!$C$3:$C$869,tabItens[[#This Row],[CÓDIGO]],Consumo!$Y$3:$Y$869)</f>
        <v>644.25</v>
      </c>
      <c r="AW103" s="291">
        <f>tabItens[[#This Row],[QTDE ATUAL]] + tabItens[[#This Row],[RC QTDE]] + tabItens[[#This Row],[AF SALDO]] + tabItens[[#This Row],[Recentes]]</f>
        <v>2960</v>
      </c>
      <c r="AX103" s="319">
        <v>834</v>
      </c>
      <c r="AY103" s="319">
        <v>4</v>
      </c>
      <c r="AZ103" s="319">
        <f>IF(ISBLANK(tabItens[[#This Row],[CÓDIGO]]),"",tabItens[[#This Row],[PontoMês]] * (AZ$2+tabItens[[#This Row],[PontoQtM]]))</f>
        <v>3336</v>
      </c>
      <c r="BA103" s="318">
        <f>tabItens[[#This Row],[PontoPed]] - tabItens[[#This Row],[Saldo]] + (1/10)</f>
        <v>376.1</v>
      </c>
      <c r="BB103" s="318">
        <f xml:space="preserve"> tabItens[[#This Row],[PontoMês]] * BB$2 - tabItens[[#This Row],[QTDE ATUAL]] - (1/10)</f>
        <v>-1626.1</v>
      </c>
      <c r="BC103" s="320">
        <f>IF( tabItens[[#This Row],[PontoPed]]&gt;0, IF(tabItens[[#This Row],[PontoPed]]&lt;1, 1, IF( tabItens[[#This Row],[Saldo]]&gt;tabItens[[#This Row],[PontoPed]], 0, (tabItens[[#This Row],[PontoPed]]-tabItens[[#This Row],[Saldo]])/tabItens[[#This Row],[PontoPed]] ) ), 0 )</f>
        <v>0.11270983213429256</v>
      </c>
      <c r="BD103" s="321">
        <f>ROUNDDOWN(IF( OR( AND(tabItens[[#This Row],[PontoPed]]&lt;tabItens[[#This Row],[Saldo]],tabItens[[#This Row],[Saldo]]&gt;0), tabItens[[#This Row],[PontoPed]]=0), 99, IF(AND(tabItens[[#This Row],[Saldo]]=0,tabItens[[#This Row],[PontoPed]]&gt;0), 0, (1-tabItens[[#This Row],[PctAb]])*10 ) ),0)</f>
        <v>8</v>
      </c>
      <c r="BE103" s="322">
        <f>MAX(ROUNDDOWN( IF(tabItens[[#This Row],[Abaixo]] &gt; 0,   tabItens[[#This Row],[Abaixo]] + (tabItens[[#This Row],[PontoMês]] * IF( OR( ISBLANK(tabItens[[#This Row],[ATA Nº/ANO]]), tabItens[[#This Row],[ATA Nº/ANO]] = ""),BE$2,BE$1)),0),0),0)</f>
        <v>2878</v>
      </c>
      <c r="BF10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323">
        <f>SUMIF(Consumo!$C$3:$C$869,tabItens[[#This Row],[CÓDIGO]],Consumo!$E$3:$E$869)</f>
        <v>10</v>
      </c>
      <c r="BH103" s="324">
        <f>IF(AND(tabItens[[#This Row],[Pend]] &gt; 0,tabItens[[#This Row],[Consumo]] &lt;&gt; 0), tabItens[[#This Row],[Pend]] / tabItens[[#This Row],[Consumo]], 0 )</f>
        <v>1.2934937265554262E-3</v>
      </c>
      <c r="BI103" s="323"/>
      <c r="BJ103" s="323"/>
      <c r="BK103" s="325" t="s">
        <v>2064</v>
      </c>
    </row>
    <row r="104" spans="1:63" x14ac:dyDescent="0.3">
      <c r="A104" s="396">
        <v>30165</v>
      </c>
      <c r="B104" s="397" t="s">
        <v>1244</v>
      </c>
      <c r="C104" s="398" t="s">
        <v>569</v>
      </c>
      <c r="D104" s="399">
        <v>0.98</v>
      </c>
      <c r="E104" s="290"/>
      <c r="F104" s="400"/>
      <c r="G104" s="400" t="s">
        <v>883</v>
      </c>
      <c r="H104" s="401">
        <v>0</v>
      </c>
      <c r="I104" s="292">
        <v>103003</v>
      </c>
      <c r="J104" s="293">
        <v>0.98</v>
      </c>
      <c r="K104" s="402">
        <v>9717</v>
      </c>
      <c r="L104" s="403">
        <f>IF(tabItens[[#This Row],[Média]] &gt; 0, tabItens[[#This Row],[QTDE ATUAL]] / tabItens[[#This Row],[Média]],999.9)</f>
        <v>0</v>
      </c>
      <c r="M104" s="404">
        <v>0</v>
      </c>
      <c r="N104" s="405">
        <f>tabItens[[#This Row],[VALOR UNIT.]] * tabItens[[#This Row],[LC]]</f>
        <v>0</v>
      </c>
      <c r="O104" s="406" t="s">
        <v>2066</v>
      </c>
      <c r="P104" s="407"/>
      <c r="Q104" s="408"/>
      <c r="R104" s="297"/>
      <c r="S104" s="409"/>
      <c r="T104" s="410">
        <f>ROUNDDOWN(IFERROR(tabItens[[#This Row],[ATA DT.VALID.]] - $D$1,0) / 30,0)</f>
        <v>-1504</v>
      </c>
      <c r="U104" s="287" t="s">
        <v>941</v>
      </c>
      <c r="V104" s="303">
        <v>1</v>
      </c>
      <c r="W104" s="411" t="s">
        <v>2052</v>
      </c>
      <c r="X104" s="412">
        <v>57</v>
      </c>
      <c r="Y104" s="413">
        <v>16</v>
      </c>
      <c r="Z104" s="414">
        <v>6984</v>
      </c>
      <c r="AA104" s="415">
        <v>2023</v>
      </c>
      <c r="AB104" s="416">
        <v>7300</v>
      </c>
      <c r="AC104" s="416"/>
      <c r="AD104" s="415"/>
      <c r="AE104" s="416"/>
      <c r="AF104" s="302"/>
      <c r="AG104" s="417" t="s">
        <v>2050</v>
      </c>
      <c r="AH104" s="418"/>
      <c r="AI104" s="302">
        <v>4982</v>
      </c>
      <c r="AJ104" s="418">
        <v>44960</v>
      </c>
      <c r="AK104" s="311" t="s">
        <v>883</v>
      </c>
      <c r="AL104" s="311">
        <v>44910</v>
      </c>
      <c r="AM104" s="301"/>
      <c r="AN104" s="290"/>
      <c r="AO104" s="312" t="str">
        <f>_xlfn.IFNA(IF(VLOOKUP(tabItens[[#This Row],[CÓDIGO]],tabExcluirDoEstoque[#Data],1,FALSE),"sim",""),"")</f>
        <v/>
      </c>
      <c r="AP104" s="419" t="str">
        <f ca="1">IF(OR(ISBLANK(tabItens[[#This Row],[ATA DT.VALID.]]),tabItens[[#This Row],[ATA DT.VALID.]]="",tabItens[[#This Row],[ATA DT.VALID.]]=" "),"",IF(TYPE(tabItens[[#This Row],[ATA DT.VALID.]])=1,ROUNDUP((tabItens[[#This Row],[ATA DT.VALID.]]-TODAY())/7,0),""))</f>
        <v/>
      </c>
      <c r="AQ104" s="314">
        <v>0</v>
      </c>
      <c r="AR104" s="315" t="str">
        <f>IF(ISBLANK(tabItens[[#This Row],[CÓDIGO]]),"",IFERROR(VLOOKUP(tabItens[[#This Row],[CÓDIGO]],Consumo!$C$2:$AC$869,26,FALSE),0))</f>
        <v>07.2023</v>
      </c>
      <c r="AS104" s="316">
        <f>SUMIF(Consumo!$C$3:$C$869,tabItens[[#This Row],[CÓDIGO]],Consumo!$N$3:$N$869) + SUMIF(Consumo!$C$3:$C$869,tabItens[[#This Row],[CÓDIGO]],Consumo!$O$3:$O$869) + SUMIF(Consumo!$C$3:$C$869,tabItens[[#This Row],[CÓDIGO]],Consumo!$P$3:$P$869) + SUMIF(Consumo!$C$3:$C$869,tabItens[[#This Row],[CÓDIGO]],Consumo!$Q$3:$Q$869)</f>
        <v>4016</v>
      </c>
      <c r="AT104" s="316">
        <f>SUMIF(Consumo!$C$3:$C$869,tabItens[[#This Row],[CÓDIGO]],Consumo!$Z$3:$Z$869)</f>
        <v>14255</v>
      </c>
      <c r="AU104" s="317">
        <f>SUMIF(Consumo!$C$3:$C$869,tabItens[[#This Row],[CÓDIGO]],Consumo!$AA$3:$AA$869)</f>
        <v>2435</v>
      </c>
      <c r="AV104" s="318">
        <f>SUMIF(Consumo!$C$3:$C$869,tabItens[[#This Row],[CÓDIGO]],Consumo!$Y$3:$Y$869)</f>
        <v>1187.9166666666667</v>
      </c>
      <c r="AW104" s="401">
        <f>tabItens[[#This Row],[QTDE ATUAL]] + tabItens[[#This Row],[RC QTDE]] + tabItens[[#This Row],[AF SALDO]] + tabItens[[#This Row],[Recentes]]</f>
        <v>7300</v>
      </c>
      <c r="AX104" s="420">
        <v>2084</v>
      </c>
      <c r="AY104" s="420">
        <v>4</v>
      </c>
      <c r="AZ104" s="420">
        <f>IF(ISBLANK(tabItens[[#This Row],[CÓDIGO]]),"",tabItens[[#This Row],[PontoMês]] * (AZ$2+tabItens[[#This Row],[PontoQtM]]))</f>
        <v>8336</v>
      </c>
      <c r="BA104" s="421">
        <f>tabItens[[#This Row],[PontoPed]] - tabItens[[#This Row],[Saldo]] + (1/10)</f>
        <v>1036.0999999999999</v>
      </c>
      <c r="BB104" s="421">
        <f xml:space="preserve"> tabItens[[#This Row],[PontoMês]] * BB$2 - tabItens[[#This Row],[QTDE ATUAL]] - (1/10)</f>
        <v>2083.9</v>
      </c>
      <c r="BC104" s="320">
        <f>IF( tabItens[[#This Row],[PontoPed]]&gt;0, IF(tabItens[[#This Row],[PontoPed]]&lt;1, 1, IF( tabItens[[#This Row],[Saldo]]&gt;tabItens[[#This Row],[PontoPed]], 0, (tabItens[[#This Row],[PontoPed]]-tabItens[[#This Row],[Saldo]])/tabItens[[#This Row],[PontoPed]] ) ), 0 )</f>
        <v>0.12428023032629558</v>
      </c>
      <c r="BD104" s="422">
        <f>ROUNDDOWN(IF( OR( AND(tabItens[[#This Row],[PontoPed]]&lt;tabItens[[#This Row],[Saldo]],tabItens[[#This Row],[Saldo]]&gt;0), tabItens[[#This Row],[PontoPed]]=0), 99, IF(AND(tabItens[[#This Row],[Saldo]]=0,tabItens[[#This Row],[PontoPed]]&gt;0), 0, (1-tabItens[[#This Row],[PctAb]])*10 ) ),0)</f>
        <v>8</v>
      </c>
      <c r="BE104" s="423">
        <f>MAX(ROUNDDOWN( IF(tabItens[[#This Row],[Abaixo]] &gt; 0,   tabItens[[#This Row],[Abaixo]] + (tabItens[[#This Row],[PontoMês]] * IF( OR( ISBLANK(tabItens[[#This Row],[ATA Nº/ANO]]), tabItens[[#This Row],[ATA Nº/ANO]] = ""),BE$2,BE$1)),0),0),0)</f>
        <v>7288</v>
      </c>
      <c r="BF10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323">
        <f>SUMIF(Consumo!$C$3:$C$869,tabItens[[#This Row],[CÓDIGO]],Consumo!$E$3:$E$869)</f>
        <v>909</v>
      </c>
      <c r="BH104" s="324">
        <f>IF(AND(tabItens[[#This Row],[Pend]] &gt; 0,tabItens[[#This Row],[Consumo]] &lt;&gt; 0), tabItens[[#This Row],[Pend]] / tabItens[[#This Row],[Consumo]], 0 )</f>
        <v>6.3767099263416352E-2</v>
      </c>
      <c r="BI104" s="323"/>
      <c r="BJ104" s="424"/>
      <c r="BK104" s="425" t="s">
        <v>2064</v>
      </c>
    </row>
    <row r="105" spans="1:63" hidden="1" x14ac:dyDescent="0.3">
      <c r="A105" s="286">
        <v>88729</v>
      </c>
      <c r="B105" s="287" t="s">
        <v>1495</v>
      </c>
      <c r="C105" s="288" t="s">
        <v>256</v>
      </c>
      <c r="D105" s="289">
        <v>27.87</v>
      </c>
      <c r="E105" s="290"/>
      <c r="F105" s="290"/>
      <c r="G105" s="290" t="s">
        <v>883</v>
      </c>
      <c r="H105" s="291">
        <v>17</v>
      </c>
      <c r="I105" s="292">
        <v>103003</v>
      </c>
      <c r="J105" s="293">
        <v>27.87</v>
      </c>
      <c r="K105" s="294">
        <v>49</v>
      </c>
      <c r="L105" s="295">
        <f>IF(tabItens[[#This Row],[Média]] &gt; 0, tabItens[[#This Row],[QTDE ATUAL]] / tabItens[[#This Row],[Média]],999.9)</f>
        <v>4.08</v>
      </c>
      <c r="M105" s="296">
        <v>0</v>
      </c>
      <c r="N105" s="297">
        <f>tabItens[[#This Row],[VALOR UNIT.]] * tabItens[[#This Row],[LC]]</f>
        <v>0</v>
      </c>
      <c r="O105" s="298" t="s">
        <v>2100</v>
      </c>
      <c r="P105" s="299"/>
      <c r="Q105" s="300"/>
      <c r="R105" s="297"/>
      <c r="S105" s="301"/>
      <c r="T105" s="302">
        <f>ROUNDDOWN(IFERROR(tabItens[[#This Row],[ATA DT.VALID.]] - $D$1,0) / 30,0)</f>
        <v>-1504</v>
      </c>
      <c r="U105" s="287" t="s">
        <v>1491</v>
      </c>
      <c r="V105" s="303">
        <v>1</v>
      </c>
      <c r="W105" s="304" t="s">
        <v>2055</v>
      </c>
      <c r="X105" s="305">
        <v>55</v>
      </c>
      <c r="Y105" s="306">
        <v>26</v>
      </c>
      <c r="Z105" s="307">
        <v>2442</v>
      </c>
      <c r="AA105" s="308">
        <v>2023</v>
      </c>
      <c r="AB105" s="309">
        <v>15</v>
      </c>
      <c r="AC105" s="309"/>
      <c r="AD105" s="308"/>
      <c r="AE105" s="309"/>
      <c r="AF105" s="302"/>
      <c r="AG105" s="310" t="s">
        <v>2050</v>
      </c>
      <c r="AH105" s="311"/>
      <c r="AI105" s="302">
        <v>18</v>
      </c>
      <c r="AJ105" s="311">
        <v>44175</v>
      </c>
      <c r="AK105" s="311">
        <v>38656</v>
      </c>
      <c r="AL105" s="311">
        <v>44865</v>
      </c>
      <c r="AM105" s="301"/>
      <c r="AN105" s="290"/>
      <c r="AO105" s="312" t="str">
        <f>_xlfn.IFNA(IF(VLOOKUP(tabItens[[#This Row],[CÓDIGO]],tabExcluirDoEstoque[#Data],1,FALSE),"sim",""),"")</f>
        <v/>
      </c>
      <c r="AP105" s="313" t="str">
        <f ca="1">IF(OR(ISBLANK(tabItens[[#This Row],[ATA DT.VALID.]]),tabItens[[#This Row],[ATA DT.VALID.]]="",tabItens[[#This Row],[ATA DT.VALID.]]=" "),"",IF(TYPE(tabItens[[#This Row],[ATA DT.VALID.]])=1,ROUNDUP((tabItens[[#This Row],[ATA DT.VALID.]]-TODAY())/7,0),""))</f>
        <v/>
      </c>
      <c r="AQ105" s="314">
        <v>0</v>
      </c>
      <c r="AR105" s="315" t="str">
        <f>IF(ISBLANK(tabItens[[#This Row],[CÓDIGO]]),"",IFERROR(VLOOKUP(tabItens[[#This Row],[CÓDIGO]],Consumo!$C$2:$AC$869,26,FALSE),0))</f>
        <v>06.2023</v>
      </c>
      <c r="AS105" s="316">
        <f>SUMIF(Consumo!$C$3:$C$869,tabItens[[#This Row],[CÓDIGO]],Consumo!$N$3:$N$869) + SUMIF(Consumo!$C$3:$C$869,tabItens[[#This Row],[CÓDIGO]],Consumo!$O$3:$O$869) + SUMIF(Consumo!$C$3:$C$869,tabItens[[#This Row],[CÓDIGO]],Consumo!$P$3:$P$869) + SUMIF(Consumo!$C$3:$C$869,tabItens[[#This Row],[CÓDIGO]],Consumo!$Q$3:$Q$869)</f>
        <v>30</v>
      </c>
      <c r="AT105" s="316">
        <f>SUMIF(Consumo!$C$3:$C$869,tabItens[[#This Row],[CÓDIGO]],Consumo!$Z$3:$Z$869)</f>
        <v>54</v>
      </c>
      <c r="AU105" s="317">
        <f>SUMIF(Consumo!$C$3:$C$869,tabItens[[#This Row],[CÓDIGO]],Consumo!$AA$3:$AA$869)</f>
        <v>20</v>
      </c>
      <c r="AV105" s="318">
        <f>SUMIF(Consumo!$C$3:$C$869,tabItens[[#This Row],[CÓDIGO]],Consumo!$Y$3:$Y$869)</f>
        <v>4.166666666666667</v>
      </c>
      <c r="AW105" s="291">
        <f>tabItens[[#This Row],[QTDE ATUAL]] + tabItens[[#This Row],[RC QTDE]] + tabItens[[#This Row],[AF SALDO]] + tabItens[[#This Row],[Recentes]]</f>
        <v>32</v>
      </c>
      <c r="AX105" s="319">
        <v>9</v>
      </c>
      <c r="AY105" s="319">
        <v>4</v>
      </c>
      <c r="AZ105" s="319">
        <f>IF(ISBLANK(tabItens[[#This Row],[CÓDIGO]]),"",tabItens[[#This Row],[PontoMês]] * (AZ$2+tabItens[[#This Row],[PontoQtM]]))</f>
        <v>36</v>
      </c>
      <c r="BA105" s="318">
        <f>tabItens[[#This Row],[PontoPed]] - tabItens[[#This Row],[Saldo]] + (1/10)</f>
        <v>4.0999999999999996</v>
      </c>
      <c r="BB105" s="318">
        <f xml:space="preserve"> tabItens[[#This Row],[PontoMês]] * BB$2 - tabItens[[#This Row],[QTDE ATUAL]] - (1/10)</f>
        <v>-8.1</v>
      </c>
      <c r="BC105" s="320">
        <f>IF( tabItens[[#This Row],[PontoPed]]&gt;0, IF(tabItens[[#This Row],[PontoPed]]&lt;1, 1, IF( tabItens[[#This Row],[Saldo]]&gt;tabItens[[#This Row],[PontoPed]], 0, (tabItens[[#This Row],[PontoPed]]-tabItens[[#This Row],[Saldo]])/tabItens[[#This Row],[PontoPed]] ) ), 0 )</f>
        <v>0.1111111111111111</v>
      </c>
      <c r="BD105" s="321">
        <f>ROUNDDOWN(IF( OR( AND(tabItens[[#This Row],[PontoPed]]&lt;tabItens[[#This Row],[Saldo]],tabItens[[#This Row],[Saldo]]&gt;0), tabItens[[#This Row],[PontoPed]]=0), 99, IF(AND(tabItens[[#This Row],[Saldo]]=0,tabItens[[#This Row],[PontoPed]]&gt;0), 0, (1-tabItens[[#This Row],[PctAb]])*10 ) ),0)</f>
        <v>8</v>
      </c>
      <c r="BE105" s="322">
        <f>MAX(ROUNDDOWN( IF(tabItens[[#This Row],[Abaixo]] &gt; 0,   tabItens[[#This Row],[Abaixo]] + (tabItens[[#This Row],[PontoMês]] * IF( OR( ISBLANK(tabItens[[#This Row],[ATA Nº/ANO]]), tabItens[[#This Row],[ATA Nº/ANO]] = ""),BE$2,BE$1)),0),0),0)</f>
        <v>31</v>
      </c>
      <c r="BF10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323">
        <f>SUMIF(Consumo!$C$3:$C$869,tabItens[[#This Row],[CÓDIGO]],Consumo!$E$3:$E$869)</f>
        <v>0</v>
      </c>
      <c r="BH105" s="324">
        <f>IF(AND(tabItens[[#This Row],[Pend]] &gt; 0,tabItens[[#This Row],[Consumo]] &lt;&gt; 0), tabItens[[#This Row],[Pend]] / tabItens[[#This Row],[Consumo]], 0 )</f>
        <v>0</v>
      </c>
      <c r="BI105" s="323"/>
      <c r="BJ105" s="323"/>
      <c r="BK105" s="325" t="s">
        <v>2064</v>
      </c>
    </row>
    <row r="106" spans="1:63" x14ac:dyDescent="0.3">
      <c r="A106" s="396">
        <v>88733</v>
      </c>
      <c r="B106" s="397" t="s">
        <v>1499</v>
      </c>
      <c r="C106" s="398" t="s">
        <v>256</v>
      </c>
      <c r="D106" s="399">
        <v>28.2</v>
      </c>
      <c r="E106" s="290"/>
      <c r="F106" s="400"/>
      <c r="G106" s="400" t="s">
        <v>883</v>
      </c>
      <c r="H106" s="401">
        <v>0</v>
      </c>
      <c r="I106" s="292">
        <v>103003</v>
      </c>
      <c r="J106" s="293">
        <v>28.2</v>
      </c>
      <c r="K106" s="402">
        <v>56</v>
      </c>
      <c r="L106" s="403">
        <f>IF(tabItens[[#This Row],[Média]] &gt; 0, tabItens[[#This Row],[QTDE ATUAL]] / tabItens[[#This Row],[Média]],999.9)</f>
        <v>0</v>
      </c>
      <c r="M106" s="404">
        <v>0</v>
      </c>
      <c r="N106" s="405">
        <f>tabItens[[#This Row],[VALOR UNIT.]] * tabItens[[#This Row],[LC]]</f>
        <v>0</v>
      </c>
      <c r="O106" s="406" t="s">
        <v>2100</v>
      </c>
      <c r="P106" s="407"/>
      <c r="Q106" s="408"/>
      <c r="R106" s="297"/>
      <c r="S106" s="409"/>
      <c r="T106" s="410">
        <f>ROUNDDOWN(IFERROR(tabItens[[#This Row],[ATA DT.VALID.]] - $D$1,0) / 30,0)</f>
        <v>-1504</v>
      </c>
      <c r="U106" s="287" t="s">
        <v>1491</v>
      </c>
      <c r="V106" s="303">
        <v>1</v>
      </c>
      <c r="W106" s="411" t="s">
        <v>2055</v>
      </c>
      <c r="X106" s="412">
        <v>55</v>
      </c>
      <c r="Y106" s="413">
        <v>26</v>
      </c>
      <c r="Z106" s="414">
        <v>2956</v>
      </c>
      <c r="AA106" s="415">
        <v>2023</v>
      </c>
      <c r="AB106" s="416">
        <v>20</v>
      </c>
      <c r="AC106" s="416"/>
      <c r="AD106" s="415"/>
      <c r="AE106" s="416"/>
      <c r="AF106" s="302"/>
      <c r="AG106" s="417" t="s">
        <v>2050</v>
      </c>
      <c r="AH106" s="418"/>
      <c r="AI106" s="302">
        <v>20</v>
      </c>
      <c r="AJ106" s="418">
        <v>44175</v>
      </c>
      <c r="AK106" s="311">
        <v>38656</v>
      </c>
      <c r="AL106" s="311">
        <v>44167</v>
      </c>
      <c r="AM106" s="301"/>
      <c r="AN106" s="290"/>
      <c r="AO106" s="312" t="str">
        <f>_xlfn.IFNA(IF(VLOOKUP(tabItens[[#This Row],[CÓDIGO]],tabExcluirDoEstoque[#Data],1,FALSE),"sim",""),"")</f>
        <v/>
      </c>
      <c r="AP106" s="419" t="str">
        <f ca="1">IF(OR(ISBLANK(tabItens[[#This Row],[ATA DT.VALID.]]),tabItens[[#This Row],[ATA DT.VALID.]]="",tabItens[[#This Row],[ATA DT.VALID.]]=" "),"",IF(TYPE(tabItens[[#This Row],[ATA DT.VALID.]])=1,ROUNDUP((tabItens[[#This Row],[ATA DT.VALID.]]-TODAY())/7,0),""))</f>
        <v/>
      </c>
      <c r="AQ106" s="314">
        <v>0</v>
      </c>
      <c r="AR106" s="315" t="str">
        <f>IF(ISBLANK(tabItens[[#This Row],[CÓDIGO]]),"",IFERROR(VLOOKUP(tabItens[[#This Row],[CÓDIGO]],Consumo!$C$2:$AC$869,26,FALSE),0))</f>
        <v>04.2023</v>
      </c>
      <c r="AS106" s="316">
        <f>SUMIF(Consumo!$C$3:$C$869,tabItens[[#This Row],[CÓDIGO]],Consumo!$N$3:$N$869) + SUMIF(Consumo!$C$3:$C$869,tabItens[[#This Row],[CÓDIGO]],Consumo!$O$3:$O$869) + SUMIF(Consumo!$C$3:$C$869,tabItens[[#This Row],[CÓDIGO]],Consumo!$P$3:$P$869) + SUMIF(Consumo!$C$3:$C$869,tabItens[[#This Row],[CÓDIGO]],Consumo!$Q$3:$Q$869)</f>
        <v>9</v>
      </c>
      <c r="AT106" s="316">
        <f>SUMIF(Consumo!$C$3:$C$869,tabItens[[#This Row],[CÓDIGO]],Consumo!$Z$3:$Z$869)</f>
        <v>61</v>
      </c>
      <c r="AU106" s="317">
        <f>SUMIF(Consumo!$C$3:$C$869,tabItens[[#This Row],[CÓDIGO]],Consumo!$AA$3:$AA$869)</f>
        <v>20</v>
      </c>
      <c r="AV106" s="318">
        <f>SUMIF(Consumo!$C$3:$C$869,tabItens[[#This Row],[CÓDIGO]],Consumo!$Y$3:$Y$869)</f>
        <v>4.833333333333333</v>
      </c>
      <c r="AW106" s="401">
        <f>tabItens[[#This Row],[QTDE ATUAL]] + tabItens[[#This Row],[RC QTDE]] + tabItens[[#This Row],[AF SALDO]] + tabItens[[#This Row],[Recentes]]</f>
        <v>20</v>
      </c>
      <c r="AX106" s="420">
        <v>6</v>
      </c>
      <c r="AY106" s="420">
        <v>4</v>
      </c>
      <c r="AZ106" s="420">
        <f>IF(ISBLANK(tabItens[[#This Row],[CÓDIGO]]),"",tabItens[[#This Row],[PontoMês]] * (AZ$2+tabItens[[#This Row],[PontoQtM]]))</f>
        <v>24</v>
      </c>
      <c r="BA106" s="421">
        <f>tabItens[[#This Row],[PontoPed]] - tabItens[[#This Row],[Saldo]] + (1/10)</f>
        <v>4.0999999999999996</v>
      </c>
      <c r="BB106" s="421">
        <f xml:space="preserve"> tabItens[[#This Row],[PontoMês]] * BB$2 - tabItens[[#This Row],[QTDE ATUAL]] - (1/10)</f>
        <v>5.9</v>
      </c>
      <c r="BC106" s="320">
        <f>IF( tabItens[[#This Row],[PontoPed]]&gt;0, IF(tabItens[[#This Row],[PontoPed]]&lt;1, 1, IF( tabItens[[#This Row],[Saldo]]&gt;tabItens[[#This Row],[PontoPed]], 0, (tabItens[[#This Row],[PontoPed]]-tabItens[[#This Row],[Saldo]])/tabItens[[#This Row],[PontoPed]] ) ), 0 )</f>
        <v>0.16666666666666666</v>
      </c>
      <c r="BD106" s="422">
        <f>ROUNDDOWN(IF( OR( AND(tabItens[[#This Row],[PontoPed]]&lt;tabItens[[#This Row],[Saldo]],tabItens[[#This Row],[Saldo]]&gt;0), tabItens[[#This Row],[PontoPed]]=0), 99, IF(AND(tabItens[[#This Row],[Saldo]]=0,tabItens[[#This Row],[PontoPed]]&gt;0), 0, (1-tabItens[[#This Row],[PctAb]])*10 ) ),0)</f>
        <v>8</v>
      </c>
      <c r="BE106" s="423">
        <f>MAX(ROUNDDOWN( IF(tabItens[[#This Row],[Abaixo]] &gt; 0,   tabItens[[#This Row],[Abaixo]] + (tabItens[[#This Row],[PontoMês]] * IF( OR( ISBLANK(tabItens[[#This Row],[ATA Nº/ANO]]), tabItens[[#This Row],[ATA Nº/ANO]] = ""),BE$2,BE$1)),0),0),0)</f>
        <v>22</v>
      </c>
      <c r="BF10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23">
        <f>SUMIF(Consumo!$C$3:$C$869,tabItens[[#This Row],[CÓDIGO]],Consumo!$E$3:$E$869)</f>
        <v>2</v>
      </c>
      <c r="BH106" s="324">
        <f>IF(AND(tabItens[[#This Row],[Pend]] &gt; 0,tabItens[[#This Row],[Consumo]] &lt;&gt; 0), tabItens[[#This Row],[Pend]] / tabItens[[#This Row],[Consumo]], 0 )</f>
        <v>3.2786885245901641E-2</v>
      </c>
      <c r="BI106" s="323"/>
      <c r="BJ106" s="424"/>
      <c r="BK106" s="425" t="s">
        <v>2064</v>
      </c>
    </row>
    <row r="107" spans="1:63" x14ac:dyDescent="0.3">
      <c r="A107" s="396">
        <v>16053</v>
      </c>
      <c r="B107" s="397" t="s">
        <v>1109</v>
      </c>
      <c r="C107" s="398" t="s">
        <v>1067</v>
      </c>
      <c r="D107" s="399">
        <v>206</v>
      </c>
      <c r="E107" s="290"/>
      <c r="F107" s="400"/>
      <c r="G107" s="400" t="s">
        <v>883</v>
      </c>
      <c r="H107" s="401">
        <v>0</v>
      </c>
      <c r="I107" s="292">
        <v>103003</v>
      </c>
      <c r="J107" s="293">
        <v>206</v>
      </c>
      <c r="K107" s="402">
        <v>114</v>
      </c>
      <c r="L107" s="403">
        <f>IF(tabItens[[#This Row],[Média]] &gt; 0, tabItens[[#This Row],[QTDE ATUAL]] / tabItens[[#This Row],[Média]],999.9)</f>
        <v>0</v>
      </c>
      <c r="M107" s="404">
        <v>0</v>
      </c>
      <c r="N107" s="405">
        <f>tabItens[[#This Row],[VALOR UNIT.]] * tabItens[[#This Row],[LC]]</f>
        <v>0</v>
      </c>
      <c r="O107" s="406" t="s">
        <v>2094</v>
      </c>
      <c r="P107" s="407"/>
      <c r="Q107" s="408"/>
      <c r="R107" s="297"/>
      <c r="S107" s="409"/>
      <c r="T107" s="410">
        <f>ROUNDDOWN(IFERROR(tabItens[[#This Row],[ATA DT.VALID.]] - $D$1,0) / 30,0)</f>
        <v>-1504</v>
      </c>
      <c r="U107" s="287" t="s">
        <v>1110</v>
      </c>
      <c r="V107" s="303">
        <v>1</v>
      </c>
      <c r="W107" s="411" t="s">
        <v>2049</v>
      </c>
      <c r="X107" s="412">
        <v>51</v>
      </c>
      <c r="Y107" s="413">
        <v>33</v>
      </c>
      <c r="Z107" s="414">
        <v>2568</v>
      </c>
      <c r="AA107" s="415">
        <v>2023</v>
      </c>
      <c r="AB107" s="416">
        <v>30</v>
      </c>
      <c r="AC107" s="416"/>
      <c r="AD107" s="415"/>
      <c r="AE107" s="416"/>
      <c r="AF107" s="302"/>
      <c r="AG107" s="417" t="s">
        <v>2050</v>
      </c>
      <c r="AH107" s="418"/>
      <c r="AI107" s="302">
        <v>68</v>
      </c>
      <c r="AJ107" s="418">
        <v>44637</v>
      </c>
      <c r="AK107" s="311" t="s">
        <v>883</v>
      </c>
      <c r="AL107" s="311">
        <v>45117</v>
      </c>
      <c r="AM107" s="301"/>
      <c r="AN107" s="290"/>
      <c r="AO107" s="312" t="str">
        <f>_xlfn.IFNA(IF(VLOOKUP(tabItens[[#This Row],[CÓDIGO]],tabExcluirDoEstoque[#Data],1,FALSE),"sim",""),"")</f>
        <v/>
      </c>
      <c r="AP107" s="419" t="str">
        <f ca="1">IF(OR(ISBLANK(tabItens[[#This Row],[ATA DT.VALID.]]),tabItens[[#This Row],[ATA DT.VALID.]]="",tabItens[[#This Row],[ATA DT.VALID.]]=" "),"",IF(TYPE(tabItens[[#This Row],[ATA DT.VALID.]])=1,ROUNDUP((tabItens[[#This Row],[ATA DT.VALID.]]-TODAY())/7,0),""))</f>
        <v/>
      </c>
      <c r="AQ107" s="314">
        <v>0</v>
      </c>
      <c r="AR107" s="315" t="str">
        <f>IF(ISBLANK(tabItens[[#This Row],[CÓDIGO]]),"",IFERROR(VLOOKUP(tabItens[[#This Row],[CÓDIGO]],Consumo!$C$2:$AC$869,26,FALSE),0))</f>
        <v>07.2023</v>
      </c>
      <c r="AS107" s="316">
        <f>SUMIF(Consumo!$C$3:$C$869,tabItens[[#This Row],[CÓDIGO]],Consumo!$N$3:$N$869) + SUMIF(Consumo!$C$3:$C$869,tabItens[[#This Row],[CÓDIGO]],Consumo!$O$3:$O$869) + SUMIF(Consumo!$C$3:$C$869,tabItens[[#This Row],[CÓDIGO]],Consumo!$P$3:$P$869) + SUMIF(Consumo!$C$3:$C$869,tabItens[[#This Row],[CÓDIGO]],Consumo!$Q$3:$Q$869)</f>
        <v>52</v>
      </c>
      <c r="AT107" s="316">
        <f>SUMIF(Consumo!$C$3:$C$869,tabItens[[#This Row],[CÓDIGO]],Consumo!$Z$3:$Z$869)</f>
        <v>177</v>
      </c>
      <c r="AU107" s="317">
        <f>SUMIF(Consumo!$C$3:$C$869,tabItens[[#This Row],[CÓDIGO]],Consumo!$AA$3:$AA$869)</f>
        <v>22</v>
      </c>
      <c r="AV107" s="318">
        <f>SUMIF(Consumo!$C$3:$C$869,tabItens[[#This Row],[CÓDIGO]],Consumo!$Y$3:$Y$869)</f>
        <v>14.75</v>
      </c>
      <c r="AW107" s="401">
        <f>tabItens[[#This Row],[QTDE ATUAL]] + tabItens[[#This Row],[RC QTDE]] + tabItens[[#This Row],[AF SALDO]] + tabItens[[#This Row],[Recentes]]</f>
        <v>30</v>
      </c>
      <c r="AX107" s="420">
        <v>9</v>
      </c>
      <c r="AY107" s="420">
        <v>4</v>
      </c>
      <c r="AZ107" s="420">
        <f>IF(ISBLANK(tabItens[[#This Row],[CÓDIGO]]),"",tabItens[[#This Row],[PontoMês]] * (AZ$2+tabItens[[#This Row],[PontoQtM]]))</f>
        <v>36</v>
      </c>
      <c r="BA107" s="421">
        <f>tabItens[[#This Row],[PontoPed]] - tabItens[[#This Row],[Saldo]] + (1/10)</f>
        <v>6.1</v>
      </c>
      <c r="BB107" s="421">
        <f xml:space="preserve"> tabItens[[#This Row],[PontoMês]] * BB$2 - tabItens[[#This Row],[QTDE ATUAL]] - (1/10)</f>
        <v>8.9</v>
      </c>
      <c r="BC107" s="320">
        <f>IF( tabItens[[#This Row],[PontoPed]]&gt;0, IF(tabItens[[#This Row],[PontoPed]]&lt;1, 1, IF( tabItens[[#This Row],[Saldo]]&gt;tabItens[[#This Row],[PontoPed]], 0, (tabItens[[#This Row],[PontoPed]]-tabItens[[#This Row],[Saldo]])/tabItens[[#This Row],[PontoPed]] ) ), 0 )</f>
        <v>0.16666666666666666</v>
      </c>
      <c r="BD107" s="422">
        <f>ROUNDDOWN(IF( OR( AND(tabItens[[#This Row],[PontoPed]]&lt;tabItens[[#This Row],[Saldo]],tabItens[[#This Row],[Saldo]]&gt;0), tabItens[[#This Row],[PontoPed]]=0), 99, IF(AND(tabItens[[#This Row],[Saldo]]=0,tabItens[[#This Row],[PontoPed]]&gt;0), 0, (1-tabItens[[#This Row],[PctAb]])*10 ) ),0)</f>
        <v>8</v>
      </c>
      <c r="BE107" s="423">
        <f>MAX(ROUNDDOWN( IF(tabItens[[#This Row],[Abaixo]] &gt; 0,   tabItens[[#This Row],[Abaixo]] + (tabItens[[#This Row],[PontoMês]] * IF( OR( ISBLANK(tabItens[[#This Row],[ATA Nº/ANO]]), tabItens[[#This Row],[ATA Nº/ANO]] = ""),BE$2,BE$1)),0),0),0)</f>
        <v>33</v>
      </c>
      <c r="BF10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23">
        <f>SUMIF(Consumo!$C$3:$C$869,tabItens[[#This Row],[CÓDIGO]],Consumo!$E$3:$E$869)</f>
        <v>16</v>
      </c>
      <c r="BH107" s="324">
        <f>IF(AND(tabItens[[#This Row],[Pend]] &gt; 0,tabItens[[#This Row],[Consumo]] &lt;&gt; 0), tabItens[[#This Row],[Pend]] / tabItens[[#This Row],[Consumo]], 0 )</f>
        <v>9.03954802259887E-2</v>
      </c>
      <c r="BI107" s="323"/>
      <c r="BJ107" s="424"/>
      <c r="BK107" s="425" t="s">
        <v>2064</v>
      </c>
    </row>
    <row r="108" spans="1:63" hidden="1" x14ac:dyDescent="0.3">
      <c r="A108" s="286">
        <v>13768</v>
      </c>
      <c r="B108" s="287" t="s">
        <v>1046</v>
      </c>
      <c r="C108" s="288" t="s">
        <v>256</v>
      </c>
      <c r="D108" s="289">
        <v>4.29</v>
      </c>
      <c r="E108" s="290"/>
      <c r="F108" s="290"/>
      <c r="G108" s="290" t="s">
        <v>883</v>
      </c>
      <c r="H108" s="291">
        <v>1097</v>
      </c>
      <c r="I108" s="292">
        <v>103003</v>
      </c>
      <c r="J108" s="293">
        <v>4.29</v>
      </c>
      <c r="K108" s="294">
        <v>2585</v>
      </c>
      <c r="L108" s="295">
        <f>IF(tabItens[[#This Row],[Média]] &gt; 0, tabItens[[#This Row],[QTDE ATUAL]] / tabItens[[#This Row],[Média]],999.9)</f>
        <v>3.0366782006920414</v>
      </c>
      <c r="M108" s="296">
        <v>0</v>
      </c>
      <c r="N108" s="297">
        <f>tabItens[[#This Row],[VALOR UNIT.]] * tabItens[[#This Row],[LC]]</f>
        <v>0</v>
      </c>
      <c r="O108" s="298" t="s">
        <v>2067</v>
      </c>
      <c r="P108" s="299"/>
      <c r="Q108" s="300"/>
      <c r="R108" s="297"/>
      <c r="S108" s="301"/>
      <c r="T108" s="302">
        <f>ROUNDDOWN(IFERROR(tabItens[[#This Row],[ATA DT.VALID.]] - $D$1,0) / 30,0)</f>
        <v>-1504</v>
      </c>
      <c r="U108" s="287" t="s">
        <v>935</v>
      </c>
      <c r="V108" s="303">
        <v>1</v>
      </c>
      <c r="W108" s="304" t="s">
        <v>2052</v>
      </c>
      <c r="X108" s="305">
        <v>45</v>
      </c>
      <c r="Y108" s="306">
        <v>11</v>
      </c>
      <c r="Z108" s="307">
        <v>6982</v>
      </c>
      <c r="AA108" s="308">
        <v>2023</v>
      </c>
      <c r="AB108" s="309">
        <v>800</v>
      </c>
      <c r="AC108" s="309"/>
      <c r="AD108" s="308"/>
      <c r="AE108" s="309"/>
      <c r="AF108" s="302"/>
      <c r="AG108" s="310" t="s">
        <v>2050</v>
      </c>
      <c r="AH108" s="311"/>
      <c r="AI108" s="302">
        <v>1436</v>
      </c>
      <c r="AJ108" s="311">
        <v>44573</v>
      </c>
      <c r="AK108" s="311" t="s">
        <v>883</v>
      </c>
      <c r="AL108" s="311">
        <v>44999</v>
      </c>
      <c r="AM108" s="301"/>
      <c r="AN108" s="290"/>
      <c r="AO108" s="312" t="str">
        <f>_xlfn.IFNA(IF(VLOOKUP(tabItens[[#This Row],[CÓDIGO]],tabExcluirDoEstoque[#Data],1,FALSE),"sim",""),"")</f>
        <v/>
      </c>
      <c r="AP108" s="313" t="str">
        <f ca="1">IF(OR(ISBLANK(tabItens[[#This Row],[ATA DT.VALID.]]),tabItens[[#This Row],[ATA DT.VALID.]]="",tabItens[[#This Row],[ATA DT.VALID.]]=" "),"",IF(TYPE(tabItens[[#This Row],[ATA DT.VALID.]])=1,ROUNDUP((tabItens[[#This Row],[ATA DT.VALID.]]-TODAY())/7,0),""))</f>
        <v/>
      </c>
      <c r="AQ108" s="314">
        <v>0</v>
      </c>
      <c r="AR108" s="315" t="str">
        <f>IF(ISBLANK(tabItens[[#This Row],[CÓDIGO]]),"",IFERROR(VLOOKUP(tabItens[[#This Row],[CÓDIGO]],Consumo!$C$2:$AC$869,26,FALSE),0))</f>
        <v>07.2023</v>
      </c>
      <c r="AS108" s="316">
        <f>SUMIF(Consumo!$C$3:$C$869,tabItens[[#This Row],[CÓDIGO]],Consumo!$N$3:$N$869) + SUMIF(Consumo!$C$3:$C$869,tabItens[[#This Row],[CÓDIGO]],Consumo!$O$3:$O$869) + SUMIF(Consumo!$C$3:$C$869,tabItens[[#This Row],[CÓDIGO]],Consumo!$P$3:$P$869) + SUMIF(Consumo!$C$3:$C$869,tabItens[[#This Row],[CÓDIGO]],Consumo!$Q$3:$Q$869)</f>
        <v>1215</v>
      </c>
      <c r="AT108" s="316">
        <f>SUMIF(Consumo!$C$3:$C$869,tabItens[[#This Row],[CÓDIGO]],Consumo!$Z$3:$Z$869)</f>
        <v>4335</v>
      </c>
      <c r="AU108" s="317">
        <f>SUMIF(Consumo!$C$3:$C$869,tabItens[[#This Row],[CÓDIGO]],Consumo!$AA$3:$AA$869)</f>
        <v>605</v>
      </c>
      <c r="AV108" s="318">
        <f>SUMIF(Consumo!$C$3:$C$869,tabItens[[#This Row],[CÓDIGO]],Consumo!$Y$3:$Y$869)</f>
        <v>361.25</v>
      </c>
      <c r="AW108" s="291">
        <f>tabItens[[#This Row],[QTDE ATUAL]] + tabItens[[#This Row],[RC QTDE]] + tabItens[[#This Row],[AF SALDO]] + tabItens[[#This Row],[Recentes]]</f>
        <v>1897</v>
      </c>
      <c r="AX108" s="319">
        <v>580</v>
      </c>
      <c r="AY108" s="319">
        <v>4</v>
      </c>
      <c r="AZ108" s="319">
        <f>IF(ISBLANK(tabItens[[#This Row],[CÓDIGO]]),"",tabItens[[#This Row],[PontoMês]] * (AZ$2+tabItens[[#This Row],[PontoQtM]]))</f>
        <v>2320</v>
      </c>
      <c r="BA108" s="318">
        <f>tabItens[[#This Row],[PontoPed]] - tabItens[[#This Row],[Saldo]] + (1/10)</f>
        <v>423.1</v>
      </c>
      <c r="BB108" s="318">
        <f xml:space="preserve"> tabItens[[#This Row],[PontoMês]] * BB$2 - tabItens[[#This Row],[QTDE ATUAL]] - (1/10)</f>
        <v>-517.1</v>
      </c>
      <c r="BC108" s="320">
        <f>IF( tabItens[[#This Row],[PontoPed]]&gt;0, IF(tabItens[[#This Row],[PontoPed]]&lt;1, 1, IF( tabItens[[#This Row],[Saldo]]&gt;tabItens[[#This Row],[PontoPed]], 0, (tabItens[[#This Row],[PontoPed]]-tabItens[[#This Row],[Saldo]])/tabItens[[#This Row],[PontoPed]] ) ), 0 )</f>
        <v>0.18232758620689654</v>
      </c>
      <c r="BD108" s="321">
        <f>ROUNDDOWN(IF( OR( AND(tabItens[[#This Row],[PontoPed]]&lt;tabItens[[#This Row],[Saldo]],tabItens[[#This Row],[Saldo]]&gt;0), tabItens[[#This Row],[PontoPed]]=0), 99, IF(AND(tabItens[[#This Row],[Saldo]]=0,tabItens[[#This Row],[PontoPed]]&gt;0), 0, (1-tabItens[[#This Row],[PctAb]])*10 ) ),0)</f>
        <v>8</v>
      </c>
      <c r="BE108" s="322">
        <f>MAX(ROUNDDOWN( IF(tabItens[[#This Row],[Abaixo]] &gt; 0,   tabItens[[#This Row],[Abaixo]] + (tabItens[[#This Row],[PontoMês]] * IF( OR( ISBLANK(tabItens[[#This Row],[ATA Nº/ANO]]), tabItens[[#This Row],[ATA Nº/ANO]] = ""),BE$2,BE$1)),0),0),0)</f>
        <v>2163</v>
      </c>
      <c r="BF1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23">
        <f>SUMIF(Consumo!$C$3:$C$869,tabItens[[#This Row],[CÓDIGO]],Consumo!$E$3:$E$869)</f>
        <v>25</v>
      </c>
      <c r="BH108" s="324">
        <f>IF(AND(tabItens[[#This Row],[Pend]] &gt; 0,tabItens[[#This Row],[Consumo]] &lt;&gt; 0), tabItens[[#This Row],[Pend]] / tabItens[[#This Row],[Consumo]], 0 )</f>
        <v>5.7670126874279125E-3</v>
      </c>
      <c r="BI108" s="323"/>
      <c r="BJ108" s="323"/>
      <c r="BK108" s="325" t="s">
        <v>2064</v>
      </c>
    </row>
    <row r="109" spans="1:63" hidden="1" x14ac:dyDescent="0.3">
      <c r="A109" s="286">
        <v>132297</v>
      </c>
      <c r="B109" s="287" t="s">
        <v>1816</v>
      </c>
      <c r="C109" s="288" t="s">
        <v>281</v>
      </c>
      <c r="D109" s="289">
        <v>3.57</v>
      </c>
      <c r="E109" s="290"/>
      <c r="F109" s="290"/>
      <c r="G109" s="290" t="s">
        <v>883</v>
      </c>
      <c r="H109" s="291">
        <v>3707</v>
      </c>
      <c r="I109" s="292">
        <v>103003</v>
      </c>
      <c r="J109" s="293">
        <v>3.14</v>
      </c>
      <c r="K109" s="294">
        <v>15864</v>
      </c>
      <c r="L109" s="295">
        <f>IF(tabItens[[#This Row],[Média]] &gt; 0, tabItens[[#This Row],[QTDE ATUAL]] / tabItens[[#This Row],[Média]],999.9)</f>
        <v>2.041018582243634</v>
      </c>
      <c r="M109" s="296">
        <v>0</v>
      </c>
      <c r="N109" s="297">
        <f>tabItens[[#This Row],[VALOR UNIT.]] * tabItens[[#This Row],[LC]]</f>
        <v>0</v>
      </c>
      <c r="O109" s="298" t="s">
        <v>2067</v>
      </c>
      <c r="P109" s="299"/>
      <c r="Q109" s="300"/>
      <c r="R109" s="297"/>
      <c r="S109" s="301"/>
      <c r="T109" s="302">
        <f>ROUNDDOWN(IFERROR(tabItens[[#This Row],[ATA DT.VALID.]] - $D$1,0) / 30,0)</f>
        <v>-1504</v>
      </c>
      <c r="U109" s="287" t="s">
        <v>911</v>
      </c>
      <c r="V109" s="303">
        <v>1</v>
      </c>
      <c r="W109" s="304" t="s">
        <v>2052</v>
      </c>
      <c r="X109" s="305">
        <v>45</v>
      </c>
      <c r="Y109" s="306">
        <v>14</v>
      </c>
      <c r="Z109" s="307">
        <v>6982</v>
      </c>
      <c r="AA109" s="308">
        <v>2023</v>
      </c>
      <c r="AB109" s="309">
        <v>4000</v>
      </c>
      <c r="AC109" s="309"/>
      <c r="AD109" s="308"/>
      <c r="AE109" s="309"/>
      <c r="AF109" s="302"/>
      <c r="AG109" s="310" t="s">
        <v>2050</v>
      </c>
      <c r="AH109" s="311"/>
      <c r="AI109" s="302">
        <v>10388</v>
      </c>
      <c r="AJ109" s="311">
        <v>45019</v>
      </c>
      <c r="AK109" s="311">
        <v>42685</v>
      </c>
      <c r="AL109" s="311">
        <v>44999</v>
      </c>
      <c r="AM109" s="301"/>
      <c r="AN109" s="290"/>
      <c r="AO109" s="312" t="str">
        <f>_xlfn.IFNA(IF(VLOOKUP(tabItens[[#This Row],[CÓDIGO]],tabExcluirDoEstoque[#Data],1,FALSE),"sim",""),"")</f>
        <v/>
      </c>
      <c r="AP109" s="313" t="str">
        <f ca="1">IF(OR(ISBLANK(tabItens[[#This Row],[ATA DT.VALID.]]),tabItens[[#This Row],[ATA DT.VALID.]]="",tabItens[[#This Row],[ATA DT.VALID.]]=" "),"",IF(TYPE(tabItens[[#This Row],[ATA DT.VALID.]])=1,ROUNDUP((tabItens[[#This Row],[ATA DT.VALID.]]-TODAY())/7,0),""))</f>
        <v/>
      </c>
      <c r="AQ109" s="314">
        <v>0</v>
      </c>
      <c r="AR109" s="315" t="str">
        <f>IF(ISBLANK(tabItens[[#This Row],[CÓDIGO]]),"",IFERROR(VLOOKUP(tabItens[[#This Row],[CÓDIGO]],Consumo!$C$2:$AC$869,26,FALSE),0))</f>
        <v>07.2023</v>
      </c>
      <c r="AS109" s="316">
        <f>SUMIF(Consumo!$C$3:$C$869,tabItens[[#This Row],[CÓDIGO]],Consumo!$N$3:$N$869) + SUMIF(Consumo!$C$3:$C$869,tabItens[[#This Row],[CÓDIGO]],Consumo!$O$3:$O$869) + SUMIF(Consumo!$C$3:$C$869,tabItens[[#This Row],[CÓDIGO]],Consumo!$P$3:$P$869) + SUMIF(Consumo!$C$3:$C$869,tabItens[[#This Row],[CÓDIGO]],Consumo!$Q$3:$Q$869)</f>
        <v>6190</v>
      </c>
      <c r="AT109" s="316">
        <f>SUMIF(Consumo!$C$3:$C$869,tabItens[[#This Row],[CÓDIGO]],Consumo!$Z$3:$Z$869)</f>
        <v>23996</v>
      </c>
      <c r="AU109" s="317">
        <f>SUMIF(Consumo!$C$3:$C$869,tabItens[[#This Row],[CÓDIGO]],Consumo!$AA$3:$AA$869)</f>
        <v>7873</v>
      </c>
      <c r="AV109" s="318">
        <f>SUMIF(Consumo!$C$3:$C$869,tabItens[[#This Row],[CÓDIGO]],Consumo!$Y$3:$Y$869)</f>
        <v>1816.25</v>
      </c>
      <c r="AW109" s="291">
        <f>tabItens[[#This Row],[QTDE ATUAL]] + tabItens[[#This Row],[RC QTDE]] + tabItens[[#This Row],[AF SALDO]] + tabItens[[#This Row],[Recentes]]</f>
        <v>7707</v>
      </c>
      <c r="AX109" s="319">
        <v>2358</v>
      </c>
      <c r="AY109" s="319">
        <v>4</v>
      </c>
      <c r="AZ109" s="319">
        <f>IF(ISBLANK(tabItens[[#This Row],[CÓDIGO]]),"",tabItens[[#This Row],[PontoMês]] * (AZ$2+tabItens[[#This Row],[PontoQtM]]))</f>
        <v>9432</v>
      </c>
      <c r="BA109" s="318">
        <f>tabItens[[#This Row],[PontoPed]] - tabItens[[#This Row],[Saldo]] + (1/10)</f>
        <v>1725.1</v>
      </c>
      <c r="BB109" s="318">
        <f xml:space="preserve"> tabItens[[#This Row],[PontoMês]] * BB$2 - tabItens[[#This Row],[QTDE ATUAL]] - (1/10)</f>
        <v>-1349.1</v>
      </c>
      <c r="BC109" s="320">
        <f>IF( tabItens[[#This Row],[PontoPed]]&gt;0, IF(tabItens[[#This Row],[PontoPed]]&lt;1, 1, IF( tabItens[[#This Row],[Saldo]]&gt;tabItens[[#This Row],[PontoPed]], 0, (tabItens[[#This Row],[PontoPed]]-tabItens[[#This Row],[Saldo]])/tabItens[[#This Row],[PontoPed]] ) ), 0 )</f>
        <v>0.1828880407124682</v>
      </c>
      <c r="BD109" s="321">
        <f>ROUNDDOWN(IF( OR( AND(tabItens[[#This Row],[PontoPed]]&lt;tabItens[[#This Row],[Saldo]],tabItens[[#This Row],[Saldo]]&gt;0), tabItens[[#This Row],[PontoPed]]=0), 99, IF(AND(tabItens[[#This Row],[Saldo]]=0,tabItens[[#This Row],[PontoPed]]&gt;0), 0, (1-tabItens[[#This Row],[PctAb]])*10 ) ),0)</f>
        <v>8</v>
      </c>
      <c r="BE109" s="322">
        <f>MAX(ROUNDDOWN( IF(tabItens[[#This Row],[Abaixo]] &gt; 0,   tabItens[[#This Row],[Abaixo]] + (tabItens[[#This Row],[PontoMês]] * IF( OR( ISBLANK(tabItens[[#This Row],[ATA Nº/ANO]]), tabItens[[#This Row],[ATA Nº/ANO]] = ""),BE$2,BE$1)),0),0),0)</f>
        <v>8799</v>
      </c>
      <c r="BF1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23">
        <f>SUMIF(Consumo!$C$3:$C$869,tabItens[[#This Row],[CÓDIGO]],Consumo!$E$3:$E$869)</f>
        <v>831</v>
      </c>
      <c r="BH109" s="324">
        <f>IF(AND(tabItens[[#This Row],[Pend]] &gt; 0,tabItens[[#This Row],[Consumo]] &lt;&gt; 0), tabItens[[#This Row],[Pend]] / tabItens[[#This Row],[Consumo]], 0 )</f>
        <v>3.463077179529922E-2</v>
      </c>
      <c r="BI109" s="323"/>
      <c r="BJ109" s="323"/>
      <c r="BK109" s="325" t="s">
        <v>2064</v>
      </c>
    </row>
    <row r="110" spans="1:63" hidden="1" x14ac:dyDescent="0.3">
      <c r="A110" s="286">
        <v>20144</v>
      </c>
      <c r="B110" s="287" t="s">
        <v>1163</v>
      </c>
      <c r="C110" s="288" t="s">
        <v>256</v>
      </c>
      <c r="D110" s="289">
        <v>3.43</v>
      </c>
      <c r="E110" s="290"/>
      <c r="F110" s="290"/>
      <c r="G110" s="290" t="s">
        <v>883</v>
      </c>
      <c r="H110" s="291">
        <v>117</v>
      </c>
      <c r="I110" s="292">
        <v>103003</v>
      </c>
      <c r="J110" s="293">
        <v>3.43</v>
      </c>
      <c r="K110" s="294">
        <v>223</v>
      </c>
      <c r="L110" s="295">
        <f>IF(tabItens[[#This Row],[Média]] &gt; 0, tabItens[[#This Row],[QTDE ATUAL]] / tabItens[[#This Row],[Média]],999.9)</f>
        <v>4.7272727272727275</v>
      </c>
      <c r="M110" s="296">
        <v>0</v>
      </c>
      <c r="N110" s="297">
        <f>tabItens[[#This Row],[VALOR UNIT.]] * tabItens[[#This Row],[LC]]</f>
        <v>0</v>
      </c>
      <c r="O110" s="298" t="s">
        <v>2112</v>
      </c>
      <c r="P110" s="299"/>
      <c r="Q110" s="300"/>
      <c r="R110" s="297"/>
      <c r="S110" s="301"/>
      <c r="T110" s="302">
        <f>ROUNDDOWN(IFERROR(tabItens[[#This Row],[ATA DT.VALID.]] - $D$1,0) / 30,0)</f>
        <v>-1504</v>
      </c>
      <c r="U110" s="287" t="s">
        <v>1151</v>
      </c>
      <c r="V110" s="303">
        <v>1</v>
      </c>
      <c r="W110" s="304" t="s">
        <v>2056</v>
      </c>
      <c r="X110" s="305">
        <v>70</v>
      </c>
      <c r="Y110" s="306">
        <v>31</v>
      </c>
      <c r="Z110" s="307">
        <v>2683</v>
      </c>
      <c r="AA110" s="308">
        <v>2023</v>
      </c>
      <c r="AB110" s="309">
        <v>100</v>
      </c>
      <c r="AC110" s="309"/>
      <c r="AD110" s="308"/>
      <c r="AE110" s="309"/>
      <c r="AF110" s="302"/>
      <c r="AG110" s="310" t="s">
        <v>2050</v>
      </c>
      <c r="AH110" s="311"/>
      <c r="AI110" s="302">
        <v>100</v>
      </c>
      <c r="AJ110" s="311">
        <v>44202</v>
      </c>
      <c r="AK110" s="311" t="s">
        <v>883</v>
      </c>
      <c r="AL110" s="311">
        <v>44231</v>
      </c>
      <c r="AM110" s="301"/>
      <c r="AN110" s="290"/>
      <c r="AO110" s="312" t="str">
        <f>_xlfn.IFNA(IF(VLOOKUP(tabItens[[#This Row],[CÓDIGO]],tabExcluirDoEstoque[#Data],1,FALSE),"sim",""),"")</f>
        <v/>
      </c>
      <c r="AP110" s="313" t="str">
        <f ca="1">IF(OR(ISBLANK(tabItens[[#This Row],[ATA DT.VALID.]]),tabItens[[#This Row],[ATA DT.VALID.]]="",tabItens[[#This Row],[ATA DT.VALID.]]=" "),"",IF(TYPE(tabItens[[#This Row],[ATA DT.VALID.]])=1,ROUNDUP((tabItens[[#This Row],[ATA DT.VALID.]]-TODAY())/7,0),""))</f>
        <v/>
      </c>
      <c r="AQ110" s="314">
        <v>0</v>
      </c>
      <c r="AR110" s="315" t="str">
        <f>IF(ISBLANK(tabItens[[#This Row],[CÓDIGO]]),"",IFERROR(VLOOKUP(tabItens[[#This Row],[CÓDIGO]],Consumo!$C$2:$AC$869,26,FALSE),0))</f>
        <v>06.2023</v>
      </c>
      <c r="AS110" s="316">
        <f>SUMIF(Consumo!$C$3:$C$869,tabItens[[#This Row],[CÓDIGO]],Consumo!$N$3:$N$869) + SUMIF(Consumo!$C$3:$C$869,tabItens[[#This Row],[CÓDIGO]],Consumo!$O$3:$O$869) + SUMIF(Consumo!$C$3:$C$869,tabItens[[#This Row],[CÓDIGO]],Consumo!$P$3:$P$869) + SUMIF(Consumo!$C$3:$C$869,tabItens[[#This Row],[CÓDIGO]],Consumo!$Q$3:$Q$869)</f>
        <v>109</v>
      </c>
      <c r="AT110" s="316">
        <f>SUMIF(Consumo!$C$3:$C$869,tabItens[[#This Row],[CÓDIGO]],Consumo!$Z$3:$Z$869)</f>
        <v>297</v>
      </c>
      <c r="AU110" s="317">
        <f>SUMIF(Consumo!$C$3:$C$869,tabItens[[#This Row],[CÓDIGO]],Consumo!$AA$3:$AA$869)</f>
        <v>50</v>
      </c>
      <c r="AV110" s="318">
        <f>SUMIF(Consumo!$C$3:$C$869,tabItens[[#This Row],[CÓDIGO]],Consumo!$Y$3:$Y$869)</f>
        <v>24.75</v>
      </c>
      <c r="AW110" s="291">
        <f>tabItens[[#This Row],[QTDE ATUAL]] + tabItens[[#This Row],[RC QTDE]] + tabItens[[#This Row],[AF SALDO]] + tabItens[[#This Row],[Recentes]]</f>
        <v>217</v>
      </c>
      <c r="AX110" s="319">
        <v>67</v>
      </c>
      <c r="AY110" s="319">
        <v>4</v>
      </c>
      <c r="AZ110" s="319">
        <f>IF(ISBLANK(tabItens[[#This Row],[CÓDIGO]]),"",tabItens[[#This Row],[PontoMês]] * (AZ$2+tabItens[[#This Row],[PontoQtM]]))</f>
        <v>268</v>
      </c>
      <c r="BA110" s="318">
        <f>tabItens[[#This Row],[PontoPed]] - tabItens[[#This Row],[Saldo]] + (1/10)</f>
        <v>51.1</v>
      </c>
      <c r="BB110" s="318">
        <f xml:space="preserve"> tabItens[[#This Row],[PontoMês]] * BB$2 - tabItens[[#This Row],[QTDE ATUAL]] - (1/10)</f>
        <v>-50.1</v>
      </c>
      <c r="BC110" s="320">
        <f>IF( tabItens[[#This Row],[PontoPed]]&gt;0, IF(tabItens[[#This Row],[PontoPed]]&lt;1, 1, IF( tabItens[[#This Row],[Saldo]]&gt;tabItens[[#This Row],[PontoPed]], 0, (tabItens[[#This Row],[PontoPed]]-tabItens[[#This Row],[Saldo]])/tabItens[[#This Row],[PontoPed]] ) ), 0 )</f>
        <v>0.19029850746268656</v>
      </c>
      <c r="BD110" s="321">
        <f>ROUNDDOWN(IF( OR( AND(tabItens[[#This Row],[PontoPed]]&lt;tabItens[[#This Row],[Saldo]],tabItens[[#This Row],[Saldo]]&gt;0), tabItens[[#This Row],[PontoPed]]=0), 99, IF(AND(tabItens[[#This Row],[Saldo]]=0,tabItens[[#This Row],[PontoPed]]&gt;0), 0, (1-tabItens[[#This Row],[PctAb]])*10 ) ),0)</f>
        <v>8</v>
      </c>
      <c r="BE110" s="322">
        <f>MAX(ROUNDDOWN( IF(tabItens[[#This Row],[Abaixo]] &gt; 0,   tabItens[[#This Row],[Abaixo]] + (tabItens[[#This Row],[PontoMês]] * IF( OR( ISBLANK(tabItens[[#This Row],[ATA Nº/ANO]]), tabItens[[#This Row],[ATA Nº/ANO]] = ""),BE$2,BE$1)),0),0),0)</f>
        <v>252</v>
      </c>
      <c r="BF1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23">
        <f>SUMIF(Consumo!$C$3:$C$869,tabItens[[#This Row],[CÓDIGO]],Consumo!$E$3:$E$869)</f>
        <v>0</v>
      </c>
      <c r="BH110" s="324">
        <f>IF(AND(tabItens[[#This Row],[Pend]] &gt; 0,tabItens[[#This Row],[Consumo]] &lt;&gt; 0), tabItens[[#This Row],[Pend]] / tabItens[[#This Row],[Consumo]], 0 )</f>
        <v>0</v>
      </c>
      <c r="BI110" s="323"/>
      <c r="BJ110" s="323"/>
      <c r="BK110" s="325" t="s">
        <v>2064</v>
      </c>
    </row>
    <row r="111" spans="1:63" hidden="1" x14ac:dyDescent="0.3">
      <c r="A111" s="286">
        <v>141270</v>
      </c>
      <c r="B111" s="287" t="s">
        <v>2019</v>
      </c>
      <c r="C111" s="288" t="s">
        <v>596</v>
      </c>
      <c r="D111" s="289">
        <v>88.73</v>
      </c>
      <c r="E111" s="290"/>
      <c r="F111" s="290"/>
      <c r="G111" s="290" t="s">
        <v>883</v>
      </c>
      <c r="H111" s="291"/>
      <c r="I111" s="292">
        <v>103003</v>
      </c>
      <c r="J111" s="293">
        <v>88.73</v>
      </c>
      <c r="K111" s="294">
        <v>40</v>
      </c>
      <c r="L111" s="295">
        <f>IF(tabItens[[#This Row],[Média]] &gt; 0, tabItens[[#This Row],[QTDE ATUAL]] / tabItens[[#This Row],[Média]],999.9)</f>
        <v>0</v>
      </c>
      <c r="M111" s="296">
        <v>0</v>
      </c>
      <c r="N111" s="297">
        <f>tabItens[[#This Row],[VALOR UNIT.]] * tabItens[[#This Row],[LC]]</f>
        <v>0</v>
      </c>
      <c r="O111" s="298"/>
      <c r="P111" s="299"/>
      <c r="Q111" s="300"/>
      <c r="R111" s="297"/>
      <c r="S111" s="301"/>
      <c r="T111" s="302">
        <f>ROUNDDOWN(IFERROR(tabItens[[#This Row],[ATA DT.VALID.]] - $D$1,0) / 30,0)</f>
        <v>-1504</v>
      </c>
      <c r="U111" s="287" t="s">
        <v>1068</v>
      </c>
      <c r="V111" s="303">
        <v>1</v>
      </c>
      <c r="W111" s="304" t="s">
        <v>2053</v>
      </c>
      <c r="X111" s="305">
        <v>76</v>
      </c>
      <c r="Y111" s="306">
        <v>5</v>
      </c>
      <c r="Z111" s="307" t="s">
        <v>2062</v>
      </c>
      <c r="AA111" s="308">
        <v>2023</v>
      </c>
      <c r="AB111" s="309">
        <v>50</v>
      </c>
      <c r="AC111" s="309"/>
      <c r="AD111" s="308"/>
      <c r="AE111" s="309"/>
      <c r="AF111" s="302"/>
      <c r="AG111" s="310" t="s">
        <v>2050</v>
      </c>
      <c r="AH111" s="311"/>
      <c r="AI111" s="302">
        <v>14</v>
      </c>
      <c r="AJ111" s="311">
        <v>44889</v>
      </c>
      <c r="AK111" s="311">
        <v>44355</v>
      </c>
      <c r="AL111" s="311">
        <v>45117</v>
      </c>
      <c r="AM111" s="301"/>
      <c r="AN111" s="290"/>
      <c r="AO111" s="312" t="str">
        <f>_xlfn.IFNA(IF(VLOOKUP(tabItens[[#This Row],[CÓDIGO]],tabExcluirDoEstoque[#Data],1,FALSE),"sim",""),"")</f>
        <v/>
      </c>
      <c r="AP111" s="313" t="str">
        <f ca="1">IF(OR(ISBLANK(tabItens[[#This Row],[ATA DT.VALID.]]),tabItens[[#This Row],[ATA DT.VALID.]]="",tabItens[[#This Row],[ATA DT.VALID.]]=" "),"",IF(TYPE(tabItens[[#This Row],[ATA DT.VALID.]])=1,ROUNDUP((tabItens[[#This Row],[ATA DT.VALID.]]-TODAY())/7,0),""))</f>
        <v/>
      </c>
      <c r="AQ111" s="314"/>
      <c r="AR111" s="315" t="str">
        <f>IF(ISBLANK(tabItens[[#This Row],[CÓDIGO]]),"",IFERROR(VLOOKUP(tabItens[[#This Row],[CÓDIGO]],Consumo!$C$2:$AC$869,26,FALSE),0))</f>
        <v>02.2023</v>
      </c>
      <c r="AS111" s="316">
        <f>SUMIF(Consumo!$C$3:$C$869,tabItens[[#This Row],[CÓDIGO]],Consumo!$N$3:$N$869) + SUMIF(Consumo!$C$3:$C$869,tabItens[[#This Row],[CÓDIGO]],Consumo!$O$3:$O$869) + SUMIF(Consumo!$C$3:$C$869,tabItens[[#This Row],[CÓDIGO]],Consumo!$P$3:$P$869) + SUMIF(Consumo!$C$3:$C$869,tabItens[[#This Row],[CÓDIGO]],Consumo!$Q$3:$Q$869)</f>
        <v>0</v>
      </c>
      <c r="AT111" s="316">
        <f>SUMIF(Consumo!$C$3:$C$869,tabItens[[#This Row],[CÓDIGO]],Consumo!$Z$3:$Z$869)</f>
        <v>40</v>
      </c>
      <c r="AU111" s="317">
        <f>SUMIF(Consumo!$C$3:$C$869,tabItens[[#This Row],[CÓDIGO]],Consumo!$AA$3:$AA$869)</f>
        <v>38</v>
      </c>
      <c r="AV111" s="318">
        <f>SUMIF(Consumo!$C$3:$C$869,tabItens[[#This Row],[CÓDIGO]],Consumo!$Y$3:$Y$869)</f>
        <v>2.25</v>
      </c>
      <c r="AW111" s="291">
        <f>tabItens[[#This Row],[QTDE ATUAL]] + tabItens[[#This Row],[RC QTDE]] + tabItens[[#This Row],[AF SALDO]] + tabItens[[#This Row],[Recentes]]</f>
        <v>50</v>
      </c>
      <c r="AX111" s="319">
        <v>15</v>
      </c>
      <c r="AY111" s="319">
        <v>4</v>
      </c>
      <c r="AZ111" s="319">
        <f>IF(ISBLANK(tabItens[[#This Row],[CÓDIGO]]),"",tabItens[[#This Row],[PontoMês]] * (AZ$2+tabItens[[#This Row],[PontoQtM]]))</f>
        <v>60</v>
      </c>
      <c r="BA111" s="318">
        <f>tabItens[[#This Row],[PontoPed]] - tabItens[[#This Row],[Saldo]] + (1/10)</f>
        <v>10.1</v>
      </c>
      <c r="BB111" s="318">
        <f xml:space="preserve"> tabItens[[#This Row],[PontoMês]] * BB$2 - tabItens[[#This Row],[QTDE ATUAL]] - (1/10)</f>
        <v>14.9</v>
      </c>
      <c r="BC111" s="320">
        <f>IF( tabItens[[#This Row],[PontoPed]]&gt;0, IF(tabItens[[#This Row],[PontoPed]]&lt;1, 1, IF( tabItens[[#This Row],[Saldo]]&gt;tabItens[[#This Row],[PontoPed]], 0, (tabItens[[#This Row],[PontoPed]]-tabItens[[#This Row],[Saldo]])/tabItens[[#This Row],[PontoPed]] ) ), 0 )</f>
        <v>0.16666666666666666</v>
      </c>
      <c r="BD111" s="321">
        <f>ROUNDDOWN(IF( OR( AND(tabItens[[#This Row],[PontoPed]]&lt;tabItens[[#This Row],[Saldo]],tabItens[[#This Row],[Saldo]]&gt;0), tabItens[[#This Row],[PontoPed]]=0), 99, IF(AND(tabItens[[#This Row],[Saldo]]=0,tabItens[[#This Row],[PontoPed]]&gt;0), 0, (1-tabItens[[#This Row],[PctAb]])*10 ) ),0)</f>
        <v>8</v>
      </c>
      <c r="BE111" s="322">
        <f>MAX(ROUNDDOWN( IF(tabItens[[#This Row],[Abaixo]] &gt; 0,   tabItens[[#This Row],[Abaixo]] + (tabItens[[#This Row],[PontoMês]] * IF( OR( ISBLANK(tabItens[[#This Row],[ATA Nº/ANO]]), tabItens[[#This Row],[ATA Nº/ANO]] = ""),BE$2,BE$1)),0),0),0)</f>
        <v>100</v>
      </c>
      <c r="BF11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100</v>
      </c>
      <c r="BG111" s="323">
        <f>SUMIF(Consumo!$C$3:$C$869,tabItens[[#This Row],[CÓDIGO]],Consumo!$E$3:$E$869)</f>
        <v>0</v>
      </c>
      <c r="BH111" s="324">
        <f>IF(AND(tabItens[[#This Row],[Pend]] &gt; 0,tabItens[[#This Row],[Consumo]] &lt;&gt; 0), tabItens[[#This Row],[Pend]] / tabItens[[#This Row],[Consumo]], 0 )</f>
        <v>0</v>
      </c>
      <c r="BI111" s="323"/>
      <c r="BJ111" s="323"/>
      <c r="BK111" s="325" t="s">
        <v>2064</v>
      </c>
    </row>
    <row r="112" spans="1:63" hidden="1" x14ac:dyDescent="0.3">
      <c r="A112" s="286">
        <v>15467</v>
      </c>
      <c r="B112" s="287" t="s">
        <v>1093</v>
      </c>
      <c r="C112" s="288" t="s">
        <v>256</v>
      </c>
      <c r="D112" s="289">
        <v>3.8</v>
      </c>
      <c r="E112" s="290"/>
      <c r="F112" s="290"/>
      <c r="G112" s="290" t="s">
        <v>883</v>
      </c>
      <c r="H112" s="291">
        <v>37</v>
      </c>
      <c r="I112" s="292">
        <v>103003</v>
      </c>
      <c r="J112" s="293">
        <v>3.8</v>
      </c>
      <c r="K112" s="294">
        <v>26</v>
      </c>
      <c r="L112" s="295">
        <f>IF(tabItens[[#This Row],[Média]] &gt; 0, tabItens[[#This Row],[QTDE ATUAL]] / tabItens[[#This Row],[Média]],999.9)</f>
        <v>24.666666666666668</v>
      </c>
      <c r="M112" s="296">
        <v>0</v>
      </c>
      <c r="N112" s="297">
        <f>tabItens[[#This Row],[VALOR UNIT.]] * tabItens[[#This Row],[LC]]</f>
        <v>0</v>
      </c>
      <c r="O112" s="298" t="s">
        <v>2083</v>
      </c>
      <c r="P112" s="299"/>
      <c r="Q112" s="300"/>
      <c r="R112" s="297"/>
      <c r="S112" s="301"/>
      <c r="T112" s="302">
        <f>ROUNDDOWN(IFERROR(tabItens[[#This Row],[ATA DT.VALID.]] - $D$1,0) / 30,0)</f>
        <v>-1504</v>
      </c>
      <c r="U112" s="287" t="s">
        <v>1085</v>
      </c>
      <c r="V112" s="303">
        <v>1</v>
      </c>
      <c r="W112" s="304" t="s">
        <v>2055</v>
      </c>
      <c r="X112" s="305">
        <v>55</v>
      </c>
      <c r="Y112" s="306">
        <v>34</v>
      </c>
      <c r="Z112" s="307"/>
      <c r="AA112" s="308"/>
      <c r="AB112" s="309"/>
      <c r="AC112" s="309"/>
      <c r="AD112" s="308"/>
      <c r="AE112" s="309"/>
      <c r="AF112" s="302"/>
      <c r="AG112" s="310" t="s">
        <v>2050</v>
      </c>
      <c r="AH112" s="311"/>
      <c r="AI112" s="302">
        <v>8</v>
      </c>
      <c r="AJ112" s="311">
        <v>42076</v>
      </c>
      <c r="AK112" s="311" t="s">
        <v>883</v>
      </c>
      <c r="AL112" s="311">
        <v>43004</v>
      </c>
      <c r="AM112" s="301"/>
      <c r="AN112" s="290"/>
      <c r="AO112" s="312" t="str">
        <f>_xlfn.IFNA(IF(VLOOKUP(tabItens[[#This Row],[CÓDIGO]],tabExcluirDoEstoque[#Data],1,FALSE),"sim",""),"")</f>
        <v/>
      </c>
      <c r="AP112" s="313" t="str">
        <f ca="1">IF(OR(ISBLANK(tabItens[[#This Row],[ATA DT.VALID.]]),tabItens[[#This Row],[ATA DT.VALID.]]="",tabItens[[#This Row],[ATA DT.VALID.]]=" "),"",IF(TYPE(tabItens[[#This Row],[ATA DT.VALID.]])=1,ROUNDUP((tabItens[[#This Row],[ATA DT.VALID.]]-TODAY())/7,0),""))</f>
        <v/>
      </c>
      <c r="AQ112" s="314">
        <v>0</v>
      </c>
      <c r="AR112" s="315" t="str">
        <f>IF(ISBLANK(tabItens[[#This Row],[CÓDIGO]]),"",IFERROR(VLOOKUP(tabItens[[#This Row],[CÓDIGO]],Consumo!$C$2:$AC$869,26,FALSE),0))</f>
        <v>06.2023</v>
      </c>
      <c r="AS112" s="316">
        <f>SUMIF(Consumo!$C$3:$C$869,tabItens[[#This Row],[CÓDIGO]],Consumo!$N$3:$N$869) + SUMIF(Consumo!$C$3:$C$869,tabItens[[#This Row],[CÓDIGO]],Consumo!$O$3:$O$869) + SUMIF(Consumo!$C$3:$C$869,tabItens[[#This Row],[CÓDIGO]],Consumo!$P$3:$P$869) + SUMIF(Consumo!$C$3:$C$869,tabItens[[#This Row],[CÓDIGO]],Consumo!$Q$3:$Q$869)</f>
        <v>23</v>
      </c>
      <c r="AT112" s="316">
        <f>SUMIF(Consumo!$C$3:$C$869,tabItens[[#This Row],[CÓDIGO]],Consumo!$Z$3:$Z$869)</f>
        <v>26</v>
      </c>
      <c r="AU112" s="317">
        <f>SUMIF(Consumo!$C$3:$C$869,tabItens[[#This Row],[CÓDIGO]],Consumo!$AA$3:$AA$869)</f>
        <v>23</v>
      </c>
      <c r="AV112" s="318">
        <f>SUMIF(Consumo!$C$3:$C$869,tabItens[[#This Row],[CÓDIGO]],Consumo!$Y$3:$Y$869)</f>
        <v>1.5</v>
      </c>
      <c r="AW112" s="291">
        <f>tabItens[[#This Row],[QTDE ATUAL]] + tabItens[[#This Row],[RC QTDE]] + tabItens[[#This Row],[AF SALDO]] + tabItens[[#This Row],[Recentes]]</f>
        <v>37</v>
      </c>
      <c r="AX112" s="319">
        <v>10</v>
      </c>
      <c r="AY112" s="319">
        <v>4</v>
      </c>
      <c r="AZ112" s="319">
        <f>IF(ISBLANK(tabItens[[#This Row],[CÓDIGO]]),"",tabItens[[#This Row],[PontoMês]] * (AZ$2+tabItens[[#This Row],[PontoQtM]]))</f>
        <v>40</v>
      </c>
      <c r="BA112" s="318">
        <f>tabItens[[#This Row],[PontoPed]] - tabItens[[#This Row],[Saldo]] + (1/10)</f>
        <v>3.1</v>
      </c>
      <c r="BB112" s="318">
        <f xml:space="preserve"> tabItens[[#This Row],[PontoMês]] * BB$2 - tabItens[[#This Row],[QTDE ATUAL]] - (1/10)</f>
        <v>-27.1</v>
      </c>
      <c r="BC112" s="320">
        <f>IF( tabItens[[#This Row],[PontoPed]]&gt;0, IF(tabItens[[#This Row],[PontoPed]]&lt;1, 1, IF( tabItens[[#This Row],[Saldo]]&gt;tabItens[[#This Row],[PontoPed]], 0, (tabItens[[#This Row],[PontoPed]]-tabItens[[#This Row],[Saldo]])/tabItens[[#This Row],[PontoPed]] ) ), 0 )</f>
        <v>7.4999999999999997E-2</v>
      </c>
      <c r="BD112" s="321">
        <f>ROUNDDOWN(IF( OR( AND(tabItens[[#This Row],[PontoPed]]&lt;tabItens[[#This Row],[Saldo]],tabItens[[#This Row],[Saldo]]&gt;0), tabItens[[#This Row],[PontoPed]]=0), 99, IF(AND(tabItens[[#This Row],[Saldo]]=0,tabItens[[#This Row],[PontoPed]]&gt;0), 0, (1-tabItens[[#This Row],[PctAb]])*10 ) ),0)</f>
        <v>9</v>
      </c>
      <c r="BE112" s="322">
        <f>MAX(ROUNDDOWN( IF(tabItens[[#This Row],[Abaixo]] &gt; 0,   tabItens[[#This Row],[Abaixo]] + (tabItens[[#This Row],[PontoMês]] * IF( OR( ISBLANK(tabItens[[#This Row],[ATA Nº/ANO]]), tabItens[[#This Row],[ATA Nº/ANO]] = ""),BE$2,BE$1)),0),0),0)</f>
        <v>33</v>
      </c>
      <c r="BF1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23">
        <f>SUMIF(Consumo!$C$3:$C$869,tabItens[[#This Row],[CÓDIGO]],Consumo!$E$3:$E$869)</f>
        <v>0</v>
      </c>
      <c r="BH112" s="324">
        <f>IF(AND(tabItens[[#This Row],[Pend]] &gt; 0,tabItens[[#This Row],[Consumo]] &lt;&gt; 0), tabItens[[#This Row],[Pend]] / tabItens[[#This Row],[Consumo]], 0 )</f>
        <v>0</v>
      </c>
      <c r="BI112" s="323"/>
      <c r="BJ112" s="323"/>
      <c r="BK112" s="325" t="s">
        <v>2064</v>
      </c>
    </row>
    <row r="113" spans="1:63" hidden="1" x14ac:dyDescent="0.3">
      <c r="A113" s="286">
        <v>139957</v>
      </c>
      <c r="B113" s="287" t="s">
        <v>1979</v>
      </c>
      <c r="C113" s="288" t="s">
        <v>629</v>
      </c>
      <c r="D113" s="289">
        <v>57.9</v>
      </c>
      <c r="E113" s="290"/>
      <c r="F113" s="290"/>
      <c r="G113" s="290" t="s">
        <v>883</v>
      </c>
      <c r="H113" s="291">
        <v>988</v>
      </c>
      <c r="I113" s="292">
        <v>103003</v>
      </c>
      <c r="J113" s="293">
        <v>57.899990000000003</v>
      </c>
      <c r="K113" s="294">
        <v>2144.58</v>
      </c>
      <c r="L113" s="295">
        <f>IF(tabItens[[#This Row],[Média]] &gt; 0, tabItens[[#This Row],[QTDE ATUAL]] / tabItens[[#This Row],[Média]],999.9)</f>
        <v>5.8461538461538458</v>
      </c>
      <c r="M113" s="296">
        <v>0</v>
      </c>
      <c r="N113" s="297">
        <f>tabItens[[#This Row],[VALOR UNIT.]] * tabItens[[#This Row],[LC]]</f>
        <v>0</v>
      </c>
      <c r="O113" s="298" t="s">
        <v>2072</v>
      </c>
      <c r="P113" s="299"/>
      <c r="Q113" s="300"/>
      <c r="R113" s="297"/>
      <c r="S113" s="301"/>
      <c r="T113" s="302">
        <f>ROUNDDOWN(IFERROR(tabItens[[#This Row],[ATA DT.VALID.]] - $D$1,0) / 30,0)</f>
        <v>-1504</v>
      </c>
      <c r="U113" s="287" t="s">
        <v>1723</v>
      </c>
      <c r="V113" s="303">
        <v>1</v>
      </c>
      <c r="W113" s="304" t="s">
        <v>2049</v>
      </c>
      <c r="X113" s="305">
        <v>51</v>
      </c>
      <c r="Y113" s="306">
        <v>21</v>
      </c>
      <c r="Z113" s="307"/>
      <c r="AA113" s="308"/>
      <c r="AB113" s="309"/>
      <c r="AC113" s="309"/>
      <c r="AD113" s="308"/>
      <c r="AE113" s="309"/>
      <c r="AF113" s="302"/>
      <c r="AG113" s="310" t="s">
        <v>2050</v>
      </c>
      <c r="AH113" s="311"/>
      <c r="AI113" s="302">
        <v>1908</v>
      </c>
      <c r="AJ113" s="311">
        <v>44922</v>
      </c>
      <c r="AK113" s="311">
        <v>44075</v>
      </c>
      <c r="AL113" s="311">
        <v>44887</v>
      </c>
      <c r="AM113" s="301"/>
      <c r="AN113" s="290"/>
      <c r="AO113" s="312" t="str">
        <f>_xlfn.IFNA(IF(VLOOKUP(tabItens[[#This Row],[CÓDIGO]],tabExcluirDoEstoque[#Data],1,FALSE),"sim",""),"")</f>
        <v/>
      </c>
      <c r="AP113" s="313" t="str">
        <f ca="1">IF(OR(ISBLANK(tabItens[[#This Row],[ATA DT.VALID.]]),tabItens[[#This Row],[ATA DT.VALID.]]="",tabItens[[#This Row],[ATA DT.VALID.]]=" "),"",IF(TYPE(tabItens[[#This Row],[ATA DT.VALID.]])=1,ROUNDUP((tabItens[[#This Row],[ATA DT.VALID.]]-TODAY())/7,0),""))</f>
        <v/>
      </c>
      <c r="AQ113" s="314">
        <v>0</v>
      </c>
      <c r="AR113" s="315" t="str">
        <f>IF(ISBLANK(tabItens[[#This Row],[CÓDIGO]]),"",IFERROR(VLOOKUP(tabItens[[#This Row],[CÓDIGO]],Consumo!$C$2:$AC$869,26,FALSE),0))</f>
        <v>06.2023</v>
      </c>
      <c r="AS113" s="316">
        <f>SUMIF(Consumo!$C$3:$C$869,tabItens[[#This Row],[CÓDIGO]],Consumo!$N$3:$N$869) + SUMIF(Consumo!$C$3:$C$869,tabItens[[#This Row],[CÓDIGO]],Consumo!$O$3:$O$869) + SUMIF(Consumo!$C$3:$C$869,tabItens[[#This Row],[CÓDIGO]],Consumo!$P$3:$P$869) + SUMIF(Consumo!$C$3:$C$869,tabItens[[#This Row],[CÓDIGO]],Consumo!$Q$3:$Q$869)</f>
        <v>10</v>
      </c>
      <c r="AT113" s="316">
        <f>SUMIF(Consumo!$C$3:$C$869,tabItens[[#This Row],[CÓDIGO]],Consumo!$Z$3:$Z$869)</f>
        <v>2192</v>
      </c>
      <c r="AU113" s="317">
        <f>SUMIF(Consumo!$C$3:$C$869,tabItens[[#This Row],[CÓDIGO]],Consumo!$AA$3:$AA$869)</f>
        <v>998</v>
      </c>
      <c r="AV113" s="318">
        <f>SUMIF(Consumo!$C$3:$C$869,tabItens[[#This Row],[CÓDIGO]],Consumo!$Y$3:$Y$869)</f>
        <v>169</v>
      </c>
      <c r="AW113" s="291">
        <f>tabItens[[#This Row],[QTDE ATUAL]] + tabItens[[#This Row],[RC QTDE]] + tabItens[[#This Row],[AF SALDO]] + tabItens[[#This Row],[Recentes]]</f>
        <v>988</v>
      </c>
      <c r="AX113" s="319">
        <v>266</v>
      </c>
      <c r="AY113" s="319">
        <v>4</v>
      </c>
      <c r="AZ113" s="319">
        <f>IF(ISBLANK(tabItens[[#This Row],[CÓDIGO]]),"",tabItens[[#This Row],[PontoMês]] * (AZ$2+tabItens[[#This Row],[PontoQtM]]))</f>
        <v>1064</v>
      </c>
      <c r="BA113" s="318">
        <f>tabItens[[#This Row],[PontoPed]] - tabItens[[#This Row],[Saldo]] + (1/10)</f>
        <v>76.099999999999994</v>
      </c>
      <c r="BB113" s="318">
        <f xml:space="preserve"> tabItens[[#This Row],[PontoMês]] * BB$2 - tabItens[[#This Row],[QTDE ATUAL]] - (1/10)</f>
        <v>-722.1</v>
      </c>
      <c r="BC113" s="320">
        <f>IF( tabItens[[#This Row],[PontoPed]]&gt;0, IF(tabItens[[#This Row],[PontoPed]]&lt;1, 1, IF( tabItens[[#This Row],[Saldo]]&gt;tabItens[[#This Row],[PontoPed]], 0, (tabItens[[#This Row],[PontoPed]]-tabItens[[#This Row],[Saldo]])/tabItens[[#This Row],[PontoPed]] ) ), 0 )</f>
        <v>7.1428571428571425E-2</v>
      </c>
      <c r="BD113" s="321">
        <f>ROUNDDOWN(IF( OR( AND(tabItens[[#This Row],[PontoPed]]&lt;tabItens[[#This Row],[Saldo]],tabItens[[#This Row],[Saldo]]&gt;0), tabItens[[#This Row],[PontoPed]]=0), 99, IF(AND(tabItens[[#This Row],[Saldo]]=0,tabItens[[#This Row],[PontoPed]]&gt;0), 0, (1-tabItens[[#This Row],[PctAb]])*10 ) ),0)</f>
        <v>9</v>
      </c>
      <c r="BE113" s="322">
        <f>MAX(ROUNDDOWN( IF(tabItens[[#This Row],[Abaixo]] &gt; 0,   tabItens[[#This Row],[Abaixo]] + (tabItens[[#This Row],[PontoMês]] * IF( OR( ISBLANK(tabItens[[#This Row],[ATA Nº/ANO]]), tabItens[[#This Row],[ATA Nº/ANO]] = ""),BE$2,BE$1)),0),0),0)</f>
        <v>874</v>
      </c>
      <c r="BF11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23">
        <f>SUMIF(Consumo!$C$3:$C$869,tabItens[[#This Row],[CÓDIGO]],Consumo!$E$3:$E$869)</f>
        <v>46.42</v>
      </c>
      <c r="BH113" s="324">
        <f>IF(AND(tabItens[[#This Row],[Pend]] &gt; 0,tabItens[[#This Row],[Consumo]] &lt;&gt; 0), tabItens[[#This Row],[Pend]] / tabItens[[#This Row],[Consumo]], 0 )</f>
        <v>2.1177007299270075E-2</v>
      </c>
      <c r="BI113" s="323"/>
      <c r="BJ113" s="323"/>
      <c r="BK113" s="325" t="s">
        <v>2064</v>
      </c>
    </row>
    <row r="114" spans="1:63" hidden="1" x14ac:dyDescent="0.3">
      <c r="A114" s="286">
        <v>13094</v>
      </c>
      <c r="B114" s="287" t="s">
        <v>1002</v>
      </c>
      <c r="C114" s="288" t="s">
        <v>256</v>
      </c>
      <c r="D114" s="289">
        <v>3.32</v>
      </c>
      <c r="E114" s="290"/>
      <c r="F114" s="290"/>
      <c r="G114" s="290" t="s">
        <v>883</v>
      </c>
      <c r="H114" s="291">
        <v>323</v>
      </c>
      <c r="I114" s="292">
        <v>103003</v>
      </c>
      <c r="J114" s="293">
        <v>3.32</v>
      </c>
      <c r="K114" s="294">
        <v>608</v>
      </c>
      <c r="L114" s="295">
        <f>IF(tabItens[[#This Row],[Média]] &gt; 0, tabItens[[#This Row],[QTDE ATUAL]] / tabItens[[#This Row],[Média]],999.9)</f>
        <v>5.811094452773613</v>
      </c>
      <c r="M114" s="296">
        <v>0</v>
      </c>
      <c r="N114" s="297">
        <f>tabItens[[#This Row],[VALOR UNIT.]] * tabItens[[#This Row],[LC]]</f>
        <v>0</v>
      </c>
      <c r="O114" s="298" t="s">
        <v>2085</v>
      </c>
      <c r="P114" s="299"/>
      <c r="Q114" s="300"/>
      <c r="R114" s="297"/>
      <c r="S114" s="301"/>
      <c r="T114" s="302">
        <f>ROUNDDOWN(IFERROR(tabItens[[#This Row],[ATA DT.VALID.]] - $D$1,0) / 30,0)</f>
        <v>-1504</v>
      </c>
      <c r="U114" s="287" t="s">
        <v>1003</v>
      </c>
      <c r="V114" s="303">
        <v>1</v>
      </c>
      <c r="W114" s="304" t="s">
        <v>2057</v>
      </c>
      <c r="X114" s="305">
        <v>51</v>
      </c>
      <c r="Y114" s="306">
        <v>11</v>
      </c>
      <c r="Z114" s="307">
        <v>2980</v>
      </c>
      <c r="AA114" s="308">
        <v>2023</v>
      </c>
      <c r="AB114" s="309">
        <v>100</v>
      </c>
      <c r="AC114" s="309"/>
      <c r="AD114" s="308"/>
      <c r="AE114" s="309"/>
      <c r="AF114" s="302"/>
      <c r="AG114" s="310" t="s">
        <v>2050</v>
      </c>
      <c r="AH114" s="311"/>
      <c r="AI114" s="302">
        <v>242</v>
      </c>
      <c r="AJ114" s="311">
        <v>44602</v>
      </c>
      <c r="AK114" s="311" t="s">
        <v>883</v>
      </c>
      <c r="AL114" s="311">
        <v>44592</v>
      </c>
      <c r="AM114" s="301"/>
      <c r="AN114" s="290"/>
      <c r="AO114" s="312" t="str">
        <f>_xlfn.IFNA(IF(VLOOKUP(tabItens[[#This Row],[CÓDIGO]],tabExcluirDoEstoque[#Data],1,FALSE),"sim",""),"")</f>
        <v/>
      </c>
      <c r="AP114" s="313" t="str">
        <f ca="1">IF(OR(ISBLANK(tabItens[[#This Row],[ATA DT.VALID.]]),tabItens[[#This Row],[ATA DT.VALID.]]="",tabItens[[#This Row],[ATA DT.VALID.]]=" "),"",IF(TYPE(tabItens[[#This Row],[ATA DT.VALID.]])=1,ROUNDUP((tabItens[[#This Row],[ATA DT.VALID.]]-TODAY())/7,0),""))</f>
        <v/>
      </c>
      <c r="AQ114" s="314">
        <v>0</v>
      </c>
      <c r="AR114" s="315" t="str">
        <f>IF(ISBLANK(tabItens[[#This Row],[CÓDIGO]]),"",IFERROR(VLOOKUP(tabItens[[#This Row],[CÓDIGO]],Consumo!$C$2:$AC$869,26,FALSE),0))</f>
        <v>07.2023</v>
      </c>
      <c r="AS114" s="316">
        <f>SUMIF(Consumo!$C$3:$C$869,tabItens[[#This Row],[CÓDIGO]],Consumo!$N$3:$N$869) + SUMIF(Consumo!$C$3:$C$869,tabItens[[#This Row],[CÓDIGO]],Consumo!$O$3:$O$869) + SUMIF(Consumo!$C$3:$C$869,tabItens[[#This Row],[CÓDIGO]],Consumo!$P$3:$P$869) + SUMIF(Consumo!$C$3:$C$869,tabItens[[#This Row],[CÓDIGO]],Consumo!$Q$3:$Q$869)</f>
        <v>200</v>
      </c>
      <c r="AT114" s="316">
        <f>SUMIF(Consumo!$C$3:$C$869,tabItens[[#This Row],[CÓDIGO]],Consumo!$Z$3:$Z$869)</f>
        <v>723</v>
      </c>
      <c r="AU114" s="317">
        <f>SUMIF(Consumo!$C$3:$C$869,tabItens[[#This Row],[CÓDIGO]],Consumo!$AA$3:$AA$869)</f>
        <v>253</v>
      </c>
      <c r="AV114" s="318">
        <f>SUMIF(Consumo!$C$3:$C$869,tabItens[[#This Row],[CÓDIGO]],Consumo!$Y$3:$Y$869)</f>
        <v>55.583333333333336</v>
      </c>
      <c r="AW114" s="291">
        <f>tabItens[[#This Row],[QTDE ATUAL]] + tabItens[[#This Row],[RC QTDE]] + tabItens[[#This Row],[AF SALDO]] + tabItens[[#This Row],[Recentes]]</f>
        <v>423</v>
      </c>
      <c r="AX114" s="319">
        <v>117</v>
      </c>
      <c r="AY114" s="319">
        <v>4</v>
      </c>
      <c r="AZ114" s="319">
        <f>IF(ISBLANK(tabItens[[#This Row],[CÓDIGO]]),"",tabItens[[#This Row],[PontoMês]] * (AZ$2+tabItens[[#This Row],[PontoQtM]]))</f>
        <v>468</v>
      </c>
      <c r="BA114" s="318">
        <f>tabItens[[#This Row],[PontoPed]] - tabItens[[#This Row],[Saldo]] + (1/10)</f>
        <v>45.1</v>
      </c>
      <c r="BB114" s="318">
        <f xml:space="preserve"> tabItens[[#This Row],[PontoMês]] * BB$2 - tabItens[[#This Row],[QTDE ATUAL]] - (1/10)</f>
        <v>-206.1</v>
      </c>
      <c r="BC114" s="320">
        <f>IF( tabItens[[#This Row],[PontoPed]]&gt;0, IF(tabItens[[#This Row],[PontoPed]]&lt;1, 1, IF( tabItens[[#This Row],[Saldo]]&gt;tabItens[[#This Row],[PontoPed]], 0, (tabItens[[#This Row],[PontoPed]]-tabItens[[#This Row],[Saldo]])/tabItens[[#This Row],[PontoPed]] ) ), 0 )</f>
        <v>9.6153846153846159E-2</v>
      </c>
      <c r="BD114" s="321">
        <f>ROUNDDOWN(IF( OR( AND(tabItens[[#This Row],[PontoPed]]&lt;tabItens[[#This Row],[Saldo]],tabItens[[#This Row],[Saldo]]&gt;0), tabItens[[#This Row],[PontoPed]]=0), 99, IF(AND(tabItens[[#This Row],[Saldo]]=0,tabItens[[#This Row],[PontoPed]]&gt;0), 0, (1-tabItens[[#This Row],[PctAb]])*10 ) ),0)</f>
        <v>9</v>
      </c>
      <c r="BE114" s="322">
        <f>MAX(ROUNDDOWN( IF(tabItens[[#This Row],[Abaixo]] &gt; 0,   tabItens[[#This Row],[Abaixo]] + (tabItens[[#This Row],[PontoMês]] * IF( OR( ISBLANK(tabItens[[#This Row],[ATA Nº/ANO]]), tabItens[[#This Row],[ATA Nº/ANO]] = ""),BE$2,BE$1)),0),0),0)</f>
        <v>396</v>
      </c>
      <c r="BF1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23">
        <f>SUMIF(Consumo!$C$3:$C$869,tabItens[[#This Row],[CÓDIGO]],Consumo!$E$3:$E$869)</f>
        <v>0</v>
      </c>
      <c r="BH114" s="324">
        <f>IF(AND(tabItens[[#This Row],[Pend]] &gt; 0,tabItens[[#This Row],[Consumo]] &lt;&gt; 0), tabItens[[#This Row],[Pend]] / tabItens[[#This Row],[Consumo]], 0 )</f>
        <v>0</v>
      </c>
      <c r="BI114" s="323"/>
      <c r="BJ114" s="323"/>
      <c r="BK114" s="325" t="s">
        <v>2064</v>
      </c>
    </row>
    <row r="115" spans="1:63" hidden="1" x14ac:dyDescent="0.3">
      <c r="A115" s="286">
        <v>23993</v>
      </c>
      <c r="B115" s="287" t="s">
        <v>1189</v>
      </c>
      <c r="C115" s="288" t="s">
        <v>281</v>
      </c>
      <c r="D115" s="289">
        <v>1.71</v>
      </c>
      <c r="E115" s="290"/>
      <c r="F115" s="290"/>
      <c r="G115" s="290" t="s">
        <v>883</v>
      </c>
      <c r="H115" s="291">
        <v>3165</v>
      </c>
      <c r="I115" s="292">
        <v>103003</v>
      </c>
      <c r="J115" s="293">
        <v>1.71</v>
      </c>
      <c r="K115" s="294">
        <v>4773</v>
      </c>
      <c r="L115" s="295">
        <f>IF(tabItens[[#This Row],[Média]] &gt; 0, tabItens[[#This Row],[QTDE ATUAL]] / tabItens[[#This Row],[Média]],999.9)</f>
        <v>5.2364538811526264</v>
      </c>
      <c r="M115" s="296">
        <v>0</v>
      </c>
      <c r="N115" s="297">
        <f>tabItens[[#This Row],[VALOR UNIT.]] * tabItens[[#This Row],[LC]]</f>
        <v>0</v>
      </c>
      <c r="O115" s="298" t="s">
        <v>2066</v>
      </c>
      <c r="P115" s="299"/>
      <c r="Q115" s="300"/>
      <c r="R115" s="297"/>
      <c r="S115" s="301"/>
      <c r="T115" s="302">
        <f>ROUNDDOWN(IFERROR(tabItens[[#This Row],[ATA DT.VALID.]] - $D$1,0) / 30,0)</f>
        <v>-1504</v>
      </c>
      <c r="U115" s="287" t="s">
        <v>1135</v>
      </c>
      <c r="V115" s="303">
        <v>1</v>
      </c>
      <c r="W115" s="304" t="s">
        <v>2052</v>
      </c>
      <c r="X115" s="305">
        <v>57</v>
      </c>
      <c r="Y115" s="306">
        <v>2</v>
      </c>
      <c r="Z115" s="307"/>
      <c r="AA115" s="308"/>
      <c r="AB115" s="309"/>
      <c r="AC115" s="309"/>
      <c r="AD115" s="308"/>
      <c r="AE115" s="309"/>
      <c r="AF115" s="302"/>
      <c r="AG115" s="310" t="s">
        <v>2050</v>
      </c>
      <c r="AH115" s="311"/>
      <c r="AI115" s="302">
        <v>2412</v>
      </c>
      <c r="AJ115" s="311">
        <v>44966</v>
      </c>
      <c r="AK115" s="311" t="s">
        <v>883</v>
      </c>
      <c r="AL115" s="311">
        <v>45083</v>
      </c>
      <c r="AM115" s="301"/>
      <c r="AN115" s="290"/>
      <c r="AO115" s="312" t="str">
        <f>_xlfn.IFNA(IF(VLOOKUP(tabItens[[#This Row],[CÓDIGO]],tabExcluirDoEstoque[#Data],1,FALSE),"sim",""),"")</f>
        <v/>
      </c>
      <c r="AP115" s="313" t="str">
        <f ca="1">IF(OR(ISBLANK(tabItens[[#This Row],[ATA DT.VALID.]]),tabItens[[#This Row],[ATA DT.VALID.]]="",tabItens[[#This Row],[ATA DT.VALID.]]=" "),"",IF(TYPE(tabItens[[#This Row],[ATA DT.VALID.]])=1,ROUNDUP((tabItens[[#This Row],[ATA DT.VALID.]]-TODAY())/7,0),""))</f>
        <v/>
      </c>
      <c r="AQ115" s="314">
        <v>0</v>
      </c>
      <c r="AR115" s="315" t="str">
        <f>IF(ISBLANK(tabItens[[#This Row],[CÓDIGO]]),"",IFERROR(VLOOKUP(tabItens[[#This Row],[CÓDIGO]],Consumo!$C$2:$AC$869,26,FALSE),0))</f>
        <v>07.2023</v>
      </c>
      <c r="AS115" s="316">
        <f>SUMIF(Consumo!$C$3:$C$869,tabItens[[#This Row],[CÓDIGO]],Consumo!$N$3:$N$869) + SUMIF(Consumo!$C$3:$C$869,tabItens[[#This Row],[CÓDIGO]],Consumo!$O$3:$O$869) + SUMIF(Consumo!$C$3:$C$869,tabItens[[#This Row],[CÓDIGO]],Consumo!$P$3:$P$869) + SUMIF(Consumo!$C$3:$C$869,tabItens[[#This Row],[CÓDIGO]],Consumo!$Q$3:$Q$869)</f>
        <v>3189</v>
      </c>
      <c r="AT115" s="316">
        <f>SUMIF(Consumo!$C$3:$C$869,tabItens[[#This Row],[CÓDIGO]],Consumo!$Z$3:$Z$869)</f>
        <v>7253</v>
      </c>
      <c r="AU115" s="317">
        <f>SUMIF(Consumo!$C$3:$C$869,tabItens[[#This Row],[CÓDIGO]],Consumo!$AA$3:$AA$869)</f>
        <v>1070</v>
      </c>
      <c r="AV115" s="318">
        <f>SUMIF(Consumo!$C$3:$C$869,tabItens[[#This Row],[CÓDIGO]],Consumo!$Y$3:$Y$869)</f>
        <v>604.41666666666663</v>
      </c>
      <c r="AW115" s="291">
        <f>tabItens[[#This Row],[QTDE ATUAL]] + tabItens[[#This Row],[RC QTDE]] + tabItens[[#This Row],[AF SALDO]] + tabItens[[#This Row],[Recentes]]</f>
        <v>3165</v>
      </c>
      <c r="AX115" s="319">
        <v>834</v>
      </c>
      <c r="AY115" s="319">
        <v>4</v>
      </c>
      <c r="AZ115" s="319">
        <f>IF(ISBLANK(tabItens[[#This Row],[CÓDIGO]]),"",tabItens[[#This Row],[PontoMês]] * (AZ$2+tabItens[[#This Row],[PontoQtM]]))</f>
        <v>3336</v>
      </c>
      <c r="BA115" s="318">
        <f>tabItens[[#This Row],[PontoPed]] - tabItens[[#This Row],[Saldo]] + (1/10)</f>
        <v>171.1</v>
      </c>
      <c r="BB115" s="318">
        <f xml:space="preserve"> tabItens[[#This Row],[PontoMês]] * BB$2 - tabItens[[#This Row],[QTDE ATUAL]] - (1/10)</f>
        <v>-2331.1</v>
      </c>
      <c r="BC115" s="320">
        <f>IF( tabItens[[#This Row],[PontoPed]]&gt;0, IF(tabItens[[#This Row],[PontoPed]]&lt;1, 1, IF( tabItens[[#This Row],[Saldo]]&gt;tabItens[[#This Row],[PontoPed]], 0, (tabItens[[#This Row],[PontoPed]]-tabItens[[#This Row],[Saldo]])/tabItens[[#This Row],[PontoPed]] ) ), 0 )</f>
        <v>5.1258992805755396E-2</v>
      </c>
      <c r="BD115" s="321">
        <f>ROUNDDOWN(IF( OR( AND(tabItens[[#This Row],[PontoPed]]&lt;tabItens[[#This Row],[Saldo]],tabItens[[#This Row],[Saldo]]&gt;0), tabItens[[#This Row],[PontoPed]]=0), 99, IF(AND(tabItens[[#This Row],[Saldo]]=0,tabItens[[#This Row],[PontoPed]]&gt;0), 0, (1-tabItens[[#This Row],[PctAb]])*10 ) ),0)</f>
        <v>9</v>
      </c>
      <c r="BE115" s="322">
        <f>MAX(ROUNDDOWN( IF(tabItens[[#This Row],[Abaixo]] &gt; 0,   tabItens[[#This Row],[Abaixo]] + (tabItens[[#This Row],[PontoMês]] * IF( OR( ISBLANK(tabItens[[#This Row],[ATA Nº/ANO]]), tabItens[[#This Row],[ATA Nº/ANO]] = ""),BE$2,BE$1)),0),0),0)</f>
        <v>2673</v>
      </c>
      <c r="BF1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23">
        <f>SUMIF(Consumo!$C$3:$C$869,tabItens[[#This Row],[CÓDIGO]],Consumo!$E$3:$E$869)</f>
        <v>15</v>
      </c>
      <c r="BH115" s="324">
        <f>IF(AND(tabItens[[#This Row],[Pend]] &gt; 0,tabItens[[#This Row],[Consumo]] &lt;&gt; 0), tabItens[[#This Row],[Pend]] / tabItens[[#This Row],[Consumo]], 0 )</f>
        <v>2.0681097476906106E-3</v>
      </c>
      <c r="BI115" s="323"/>
      <c r="BJ115" s="323"/>
      <c r="BK115" s="325" t="s">
        <v>2064</v>
      </c>
    </row>
    <row r="116" spans="1:63" hidden="1" x14ac:dyDescent="0.3">
      <c r="A116" s="286">
        <v>23996</v>
      </c>
      <c r="B116" s="287" t="s">
        <v>1190</v>
      </c>
      <c r="C116" s="288" t="s">
        <v>281</v>
      </c>
      <c r="D116" s="289">
        <v>1.55</v>
      </c>
      <c r="E116" s="290"/>
      <c r="F116" s="290"/>
      <c r="G116" s="290" t="s">
        <v>883</v>
      </c>
      <c r="H116" s="291">
        <v>1181</v>
      </c>
      <c r="I116" s="292">
        <v>103003</v>
      </c>
      <c r="J116" s="293">
        <v>1.55</v>
      </c>
      <c r="K116" s="294">
        <v>5207</v>
      </c>
      <c r="L116" s="295">
        <f>IF(tabItens[[#This Row],[Média]] &gt; 0, tabItens[[#This Row],[QTDE ATUAL]] / tabItens[[#This Row],[Média]],999.9)</f>
        <v>1.7912032355915064</v>
      </c>
      <c r="M116" s="296">
        <v>0</v>
      </c>
      <c r="N116" s="297">
        <f>tabItens[[#This Row],[VALOR UNIT.]] * tabItens[[#This Row],[LC]]</f>
        <v>0</v>
      </c>
      <c r="O116" s="298" t="s">
        <v>2066</v>
      </c>
      <c r="P116" s="299"/>
      <c r="Q116" s="300"/>
      <c r="R116" s="297"/>
      <c r="S116" s="301"/>
      <c r="T116" s="302">
        <f>ROUNDDOWN(IFERROR(tabItens[[#This Row],[ATA DT.VALID.]] - $D$1,0) / 30,0)</f>
        <v>-1504</v>
      </c>
      <c r="U116" s="287" t="s">
        <v>1135</v>
      </c>
      <c r="V116" s="303">
        <v>1</v>
      </c>
      <c r="W116" s="304" t="s">
        <v>2052</v>
      </c>
      <c r="X116" s="305">
        <v>57</v>
      </c>
      <c r="Y116" s="306">
        <v>2</v>
      </c>
      <c r="Z116" s="307">
        <v>6216</v>
      </c>
      <c r="AA116" s="308">
        <v>2023</v>
      </c>
      <c r="AB116" s="309">
        <v>2000</v>
      </c>
      <c r="AC116" s="309"/>
      <c r="AD116" s="308"/>
      <c r="AE116" s="309"/>
      <c r="AF116" s="302"/>
      <c r="AG116" s="310" t="s">
        <v>2050</v>
      </c>
      <c r="AH116" s="311"/>
      <c r="AI116" s="302">
        <v>2612</v>
      </c>
      <c r="AJ116" s="311">
        <v>44966</v>
      </c>
      <c r="AK116" s="311" t="s">
        <v>883</v>
      </c>
      <c r="AL116" s="311">
        <v>45049</v>
      </c>
      <c r="AM116" s="301"/>
      <c r="AN116" s="290"/>
      <c r="AO116" s="312" t="str">
        <f>_xlfn.IFNA(IF(VLOOKUP(tabItens[[#This Row],[CÓDIGO]],tabExcluirDoEstoque[#Data],1,FALSE),"sim",""),"")</f>
        <v/>
      </c>
      <c r="AP116" s="313" t="str">
        <f ca="1">IF(OR(ISBLANK(tabItens[[#This Row],[ATA DT.VALID.]]),tabItens[[#This Row],[ATA DT.VALID.]]="",tabItens[[#This Row],[ATA DT.VALID.]]=" "),"",IF(TYPE(tabItens[[#This Row],[ATA DT.VALID.]])=1,ROUNDUP((tabItens[[#This Row],[ATA DT.VALID.]]-TODAY())/7,0),""))</f>
        <v/>
      </c>
      <c r="AQ116" s="314">
        <v>0</v>
      </c>
      <c r="AR116" s="315" t="str">
        <f>IF(ISBLANK(tabItens[[#This Row],[CÓDIGO]]),"",IFERROR(VLOOKUP(tabItens[[#This Row],[CÓDIGO]],Consumo!$C$2:$AC$869,26,FALSE),0))</f>
        <v>07.2023</v>
      </c>
      <c r="AS116" s="316">
        <f>SUMIF(Consumo!$C$3:$C$869,tabItens[[#This Row],[CÓDIGO]],Consumo!$N$3:$N$869) + SUMIF(Consumo!$C$3:$C$869,tabItens[[#This Row],[CÓDIGO]],Consumo!$O$3:$O$869) + SUMIF(Consumo!$C$3:$C$869,tabItens[[#This Row],[CÓDIGO]],Consumo!$P$3:$P$869) + SUMIF(Consumo!$C$3:$C$869,tabItens[[#This Row],[CÓDIGO]],Consumo!$Q$3:$Q$869)</f>
        <v>3523</v>
      </c>
      <c r="AT116" s="316">
        <f>SUMIF(Consumo!$C$3:$C$869,tabItens[[#This Row],[CÓDIGO]],Consumo!$Z$3:$Z$869)</f>
        <v>7912</v>
      </c>
      <c r="AU116" s="317">
        <f>SUMIF(Consumo!$C$3:$C$869,tabItens[[#This Row],[CÓDIGO]],Consumo!$AA$3:$AA$869)</f>
        <v>1131</v>
      </c>
      <c r="AV116" s="318">
        <f>SUMIF(Consumo!$C$3:$C$869,tabItens[[#This Row],[CÓDIGO]],Consumo!$Y$3:$Y$869)</f>
        <v>659.33333333333337</v>
      </c>
      <c r="AW116" s="291">
        <f>tabItens[[#This Row],[QTDE ATUAL]] + tabItens[[#This Row],[RC QTDE]] + tabItens[[#This Row],[AF SALDO]] + tabItens[[#This Row],[Recentes]]</f>
        <v>3181</v>
      </c>
      <c r="AX116" s="319">
        <v>834</v>
      </c>
      <c r="AY116" s="319">
        <v>4</v>
      </c>
      <c r="AZ116" s="319">
        <f>IF(ISBLANK(tabItens[[#This Row],[CÓDIGO]]),"",tabItens[[#This Row],[PontoMês]] * (AZ$2+tabItens[[#This Row],[PontoQtM]]))</f>
        <v>3336</v>
      </c>
      <c r="BA116" s="318">
        <f>tabItens[[#This Row],[PontoPed]] - tabItens[[#This Row],[Saldo]] + (1/10)</f>
        <v>155.1</v>
      </c>
      <c r="BB116" s="318">
        <f xml:space="preserve"> tabItens[[#This Row],[PontoMês]] * BB$2 - tabItens[[#This Row],[QTDE ATUAL]] - (1/10)</f>
        <v>-347.1</v>
      </c>
      <c r="BC116" s="320">
        <f>IF( tabItens[[#This Row],[PontoPed]]&gt;0, IF(tabItens[[#This Row],[PontoPed]]&lt;1, 1, IF( tabItens[[#This Row],[Saldo]]&gt;tabItens[[#This Row],[PontoPed]], 0, (tabItens[[#This Row],[PontoPed]]-tabItens[[#This Row],[Saldo]])/tabItens[[#This Row],[PontoPed]] ) ), 0 )</f>
        <v>4.6462829736211034E-2</v>
      </c>
      <c r="BD116" s="321">
        <f>ROUNDDOWN(IF( OR( AND(tabItens[[#This Row],[PontoPed]]&lt;tabItens[[#This Row],[Saldo]],tabItens[[#This Row],[Saldo]]&gt;0), tabItens[[#This Row],[PontoPed]]=0), 99, IF(AND(tabItens[[#This Row],[Saldo]]=0,tabItens[[#This Row],[PontoPed]]&gt;0), 0, (1-tabItens[[#This Row],[PctAb]])*10 ) ),0)</f>
        <v>9</v>
      </c>
      <c r="BE116" s="322">
        <f>MAX(ROUNDDOWN( IF(tabItens[[#This Row],[Abaixo]] &gt; 0,   tabItens[[#This Row],[Abaixo]] + (tabItens[[#This Row],[PontoMês]] * IF( OR( ISBLANK(tabItens[[#This Row],[ATA Nº/ANO]]), tabItens[[#This Row],[ATA Nº/ANO]] = ""),BE$2,BE$1)),0),0),0)</f>
        <v>2657</v>
      </c>
      <c r="BF1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23">
        <f>SUMIF(Consumo!$C$3:$C$869,tabItens[[#This Row],[CÓDIGO]],Consumo!$E$3:$E$869)</f>
        <v>75</v>
      </c>
      <c r="BH116" s="324">
        <f>IF(AND(tabItens[[#This Row],[Pend]] &gt; 0,tabItens[[#This Row],[Consumo]] &lt;&gt; 0), tabItens[[#This Row],[Pend]] / tabItens[[#This Row],[Consumo]], 0 )</f>
        <v>9.4792719919110213E-3</v>
      </c>
      <c r="BI116" s="323"/>
      <c r="BJ116" s="323"/>
      <c r="BK116" s="325" t="s">
        <v>2064</v>
      </c>
    </row>
    <row r="117" spans="1:63" x14ac:dyDescent="0.3">
      <c r="A117" s="396">
        <v>93453</v>
      </c>
      <c r="B117" s="397" t="s">
        <v>1534</v>
      </c>
      <c r="C117" s="398" t="s">
        <v>569</v>
      </c>
      <c r="D117" s="399">
        <v>0.24</v>
      </c>
      <c r="E117" s="290"/>
      <c r="F117" s="400"/>
      <c r="G117" s="400" t="s">
        <v>883</v>
      </c>
      <c r="H117" s="401">
        <v>0</v>
      </c>
      <c r="I117" s="292">
        <v>103003</v>
      </c>
      <c r="J117" s="293">
        <v>0.24</v>
      </c>
      <c r="K117" s="402">
        <v>4673</v>
      </c>
      <c r="L117" s="403">
        <f>IF(tabItens[[#This Row],[Média]] &gt; 0, tabItens[[#This Row],[QTDE ATUAL]] / tabItens[[#This Row],[Média]],999.9)</f>
        <v>0</v>
      </c>
      <c r="M117" s="404">
        <v>0</v>
      </c>
      <c r="N117" s="405">
        <f>tabItens[[#This Row],[VALOR UNIT.]] * tabItens[[#This Row],[LC]]</f>
        <v>0</v>
      </c>
      <c r="O117" s="406" t="s">
        <v>2066</v>
      </c>
      <c r="P117" s="407"/>
      <c r="Q117" s="408"/>
      <c r="R117" s="297"/>
      <c r="S117" s="409"/>
      <c r="T117" s="410">
        <f>ROUNDDOWN(IFERROR(tabItens[[#This Row],[ATA DT.VALID.]] - $D$1,0) / 30,0)</f>
        <v>-1504</v>
      </c>
      <c r="U117" s="287" t="s">
        <v>1135</v>
      </c>
      <c r="V117" s="303">
        <v>1</v>
      </c>
      <c r="W117" s="411" t="s">
        <v>2052</v>
      </c>
      <c r="X117" s="412">
        <v>57</v>
      </c>
      <c r="Y117" s="413">
        <v>2</v>
      </c>
      <c r="Z117" s="414">
        <v>6985</v>
      </c>
      <c r="AA117" s="415">
        <v>2023</v>
      </c>
      <c r="AB117" s="416">
        <v>3300</v>
      </c>
      <c r="AC117" s="416"/>
      <c r="AD117" s="415"/>
      <c r="AE117" s="416"/>
      <c r="AF117" s="302"/>
      <c r="AG117" s="417" t="s">
        <v>2050</v>
      </c>
      <c r="AH117" s="418"/>
      <c r="AI117" s="302">
        <v>2318</v>
      </c>
      <c r="AJ117" s="418">
        <v>44147</v>
      </c>
      <c r="AK117" s="311">
        <v>38930</v>
      </c>
      <c r="AL117" s="311">
        <v>44126</v>
      </c>
      <c r="AM117" s="301"/>
      <c r="AN117" s="290"/>
      <c r="AO117" s="312" t="str">
        <f>_xlfn.IFNA(IF(VLOOKUP(tabItens[[#This Row],[CÓDIGO]],tabExcluirDoEstoque[#Data],1,FALSE),"sim",""),"")</f>
        <v/>
      </c>
      <c r="AP117" s="419" t="str">
        <f ca="1">IF(OR(ISBLANK(tabItens[[#This Row],[ATA DT.VALID.]]),tabItens[[#This Row],[ATA DT.VALID.]]="",tabItens[[#This Row],[ATA DT.VALID.]]=" "),"",IF(TYPE(tabItens[[#This Row],[ATA DT.VALID.]])=1,ROUNDUP((tabItens[[#This Row],[ATA DT.VALID.]]-TODAY())/7,0),""))</f>
        <v/>
      </c>
      <c r="AQ117" s="314">
        <v>0</v>
      </c>
      <c r="AR117" s="315" t="str">
        <f>IF(ISBLANK(tabItens[[#This Row],[CÓDIGO]]),"",IFERROR(VLOOKUP(tabItens[[#This Row],[CÓDIGO]],Consumo!$C$2:$AC$869,26,FALSE),0))</f>
        <v>07.2023</v>
      </c>
      <c r="AS117" s="316">
        <f>SUMIF(Consumo!$C$3:$C$869,tabItens[[#This Row],[CÓDIGO]],Consumo!$N$3:$N$869) + SUMIF(Consumo!$C$3:$C$869,tabItens[[#This Row],[CÓDIGO]],Consumo!$O$3:$O$869) + SUMIF(Consumo!$C$3:$C$869,tabItens[[#This Row],[CÓDIGO]],Consumo!$P$3:$P$869) + SUMIF(Consumo!$C$3:$C$869,tabItens[[#This Row],[CÓDIGO]],Consumo!$Q$3:$Q$869)</f>
        <v>2190</v>
      </c>
      <c r="AT117" s="316">
        <f>SUMIF(Consumo!$C$3:$C$869,tabItens[[#This Row],[CÓDIGO]],Consumo!$Z$3:$Z$869)</f>
        <v>7651</v>
      </c>
      <c r="AU117" s="317">
        <f>SUMIF(Consumo!$C$3:$C$869,tabItens[[#This Row],[CÓDIGO]],Consumo!$AA$3:$AA$869)</f>
        <v>1239</v>
      </c>
      <c r="AV117" s="318">
        <f>SUMIF(Consumo!$C$3:$C$869,tabItens[[#This Row],[CÓDIGO]],Consumo!$Y$3:$Y$869)</f>
        <v>635.08333333333337</v>
      </c>
      <c r="AW117" s="401">
        <f>tabItens[[#This Row],[QTDE ATUAL]] + tabItens[[#This Row],[RC QTDE]] + tabItens[[#This Row],[AF SALDO]] + tabItens[[#This Row],[Recentes]]</f>
        <v>3300</v>
      </c>
      <c r="AX117" s="420">
        <v>850</v>
      </c>
      <c r="AY117" s="420">
        <v>4</v>
      </c>
      <c r="AZ117" s="420">
        <f>IF(ISBLANK(tabItens[[#This Row],[CÓDIGO]]),"",tabItens[[#This Row],[PontoMês]] * (AZ$2+tabItens[[#This Row],[PontoQtM]]))</f>
        <v>3400</v>
      </c>
      <c r="BA117" s="421">
        <f>tabItens[[#This Row],[PontoPed]] - tabItens[[#This Row],[Saldo]] + (1/10)</f>
        <v>100.1</v>
      </c>
      <c r="BB117" s="421">
        <f xml:space="preserve"> tabItens[[#This Row],[PontoMês]] * BB$2 - tabItens[[#This Row],[QTDE ATUAL]] - (1/10)</f>
        <v>849.9</v>
      </c>
      <c r="BC117" s="320">
        <f>IF( tabItens[[#This Row],[PontoPed]]&gt;0, IF(tabItens[[#This Row],[PontoPed]]&lt;1, 1, IF( tabItens[[#This Row],[Saldo]]&gt;tabItens[[#This Row],[PontoPed]], 0, (tabItens[[#This Row],[PontoPed]]-tabItens[[#This Row],[Saldo]])/tabItens[[#This Row],[PontoPed]] ) ), 0 )</f>
        <v>2.9411764705882353E-2</v>
      </c>
      <c r="BD117" s="422">
        <f>ROUNDDOWN(IF( OR( AND(tabItens[[#This Row],[PontoPed]]&lt;tabItens[[#This Row],[Saldo]],tabItens[[#This Row],[Saldo]]&gt;0), tabItens[[#This Row],[PontoPed]]=0), 99, IF(AND(tabItens[[#This Row],[Saldo]]=0,tabItens[[#This Row],[PontoPed]]&gt;0), 0, (1-tabItens[[#This Row],[PctAb]])*10 ) ),0)</f>
        <v>9</v>
      </c>
      <c r="BE117" s="423">
        <f>MAX(ROUNDDOWN( IF(tabItens[[#This Row],[Abaixo]] &gt; 0,   tabItens[[#This Row],[Abaixo]] + (tabItens[[#This Row],[PontoMês]] * IF( OR( ISBLANK(tabItens[[#This Row],[ATA Nº/ANO]]), tabItens[[#This Row],[ATA Nº/ANO]] = ""),BE$2,BE$1)),0),0),0)</f>
        <v>2650</v>
      </c>
      <c r="BF11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23">
        <f>SUMIF(Consumo!$C$3:$C$869,tabItens[[#This Row],[CÓDIGO]],Consumo!$E$3:$E$869)</f>
        <v>696</v>
      </c>
      <c r="BH117" s="324">
        <f>IF(AND(tabItens[[#This Row],[Pend]] &gt; 0,tabItens[[#This Row],[Consumo]] &lt;&gt; 0), tabItens[[#This Row],[Pend]] / tabItens[[#This Row],[Consumo]], 0 )</f>
        <v>9.0968500849562151E-2</v>
      </c>
      <c r="BI117" s="323"/>
      <c r="BJ117" s="424"/>
      <c r="BK117" s="425" t="s">
        <v>2064</v>
      </c>
    </row>
    <row r="118" spans="1:63" x14ac:dyDescent="0.3">
      <c r="A118" s="396">
        <v>93462</v>
      </c>
      <c r="B118" s="397" t="s">
        <v>1538</v>
      </c>
      <c r="C118" s="398" t="s">
        <v>569</v>
      </c>
      <c r="D118" s="399">
        <v>0.24</v>
      </c>
      <c r="E118" s="290"/>
      <c r="F118" s="400"/>
      <c r="G118" s="400" t="s">
        <v>883</v>
      </c>
      <c r="H118" s="401">
        <v>0</v>
      </c>
      <c r="I118" s="292">
        <v>103003</v>
      </c>
      <c r="J118" s="293">
        <v>0.24</v>
      </c>
      <c r="K118" s="402">
        <v>4653</v>
      </c>
      <c r="L118" s="403">
        <f>IF(tabItens[[#This Row],[Média]] &gt; 0, tabItens[[#This Row],[QTDE ATUAL]] / tabItens[[#This Row],[Média]],999.9)</f>
        <v>0</v>
      </c>
      <c r="M118" s="404">
        <v>0</v>
      </c>
      <c r="N118" s="405">
        <f>tabItens[[#This Row],[VALOR UNIT.]] * tabItens[[#This Row],[LC]]</f>
        <v>0</v>
      </c>
      <c r="O118" s="406" t="s">
        <v>2066</v>
      </c>
      <c r="P118" s="407"/>
      <c r="Q118" s="408"/>
      <c r="R118" s="297"/>
      <c r="S118" s="409"/>
      <c r="T118" s="410">
        <f>ROUNDDOWN(IFERROR(tabItens[[#This Row],[ATA DT.VALID.]] - $D$1,0) / 30,0)</f>
        <v>-1504</v>
      </c>
      <c r="U118" s="287" t="s">
        <v>1135</v>
      </c>
      <c r="V118" s="303">
        <v>1</v>
      </c>
      <c r="W118" s="411" t="s">
        <v>2052</v>
      </c>
      <c r="X118" s="412">
        <v>57</v>
      </c>
      <c r="Y118" s="413">
        <v>2</v>
      </c>
      <c r="Z118" s="414">
        <v>6985</v>
      </c>
      <c r="AA118" s="415">
        <v>2023</v>
      </c>
      <c r="AB118" s="416">
        <v>3300</v>
      </c>
      <c r="AC118" s="416"/>
      <c r="AD118" s="415"/>
      <c r="AE118" s="416"/>
      <c r="AF118" s="302"/>
      <c r="AG118" s="417" t="s">
        <v>2050</v>
      </c>
      <c r="AH118" s="418"/>
      <c r="AI118" s="302">
        <v>2262</v>
      </c>
      <c r="AJ118" s="418">
        <v>44147</v>
      </c>
      <c r="AK118" s="311">
        <v>38930</v>
      </c>
      <c r="AL118" s="311">
        <v>44126</v>
      </c>
      <c r="AM118" s="301"/>
      <c r="AN118" s="290"/>
      <c r="AO118" s="312" t="str">
        <f>_xlfn.IFNA(IF(VLOOKUP(tabItens[[#This Row],[CÓDIGO]],tabExcluirDoEstoque[#Data],1,FALSE),"sim",""),"")</f>
        <v/>
      </c>
      <c r="AP118" s="419" t="str">
        <f ca="1">IF(OR(ISBLANK(tabItens[[#This Row],[ATA DT.VALID.]]),tabItens[[#This Row],[ATA DT.VALID.]]="",tabItens[[#This Row],[ATA DT.VALID.]]=" "),"",IF(TYPE(tabItens[[#This Row],[ATA DT.VALID.]])=1,ROUNDUP((tabItens[[#This Row],[ATA DT.VALID.]]-TODAY())/7,0),""))</f>
        <v/>
      </c>
      <c r="AQ118" s="314">
        <v>0</v>
      </c>
      <c r="AR118" s="315" t="str">
        <f>IF(ISBLANK(tabItens[[#This Row],[CÓDIGO]]),"",IFERROR(VLOOKUP(tabItens[[#This Row],[CÓDIGO]],Consumo!$C$2:$AC$869,26,FALSE),0))</f>
        <v>07.2023</v>
      </c>
      <c r="AS118" s="316">
        <f>SUMIF(Consumo!$C$3:$C$869,tabItens[[#This Row],[CÓDIGO]],Consumo!$N$3:$N$869) + SUMIF(Consumo!$C$3:$C$869,tabItens[[#This Row],[CÓDIGO]],Consumo!$O$3:$O$869) + SUMIF(Consumo!$C$3:$C$869,tabItens[[#This Row],[CÓDIGO]],Consumo!$P$3:$P$869) + SUMIF(Consumo!$C$3:$C$869,tabItens[[#This Row],[CÓDIGO]],Consumo!$Q$3:$Q$869)</f>
        <v>2055</v>
      </c>
      <c r="AT118" s="316">
        <f>SUMIF(Consumo!$C$3:$C$869,tabItens[[#This Row],[CÓDIGO]],Consumo!$Z$3:$Z$869)</f>
        <v>7219</v>
      </c>
      <c r="AU118" s="317">
        <f>SUMIF(Consumo!$C$3:$C$869,tabItens[[#This Row],[CÓDIGO]],Consumo!$AA$3:$AA$869)</f>
        <v>1233</v>
      </c>
      <c r="AV118" s="318">
        <f>SUMIF(Consumo!$C$3:$C$869,tabItens[[#This Row],[CÓDIGO]],Consumo!$Y$3:$Y$869)</f>
        <v>600.08333333333337</v>
      </c>
      <c r="AW118" s="401">
        <f>tabItens[[#This Row],[QTDE ATUAL]] + tabItens[[#This Row],[RC QTDE]] + tabItens[[#This Row],[AF SALDO]] + tabItens[[#This Row],[Recentes]]</f>
        <v>3300</v>
      </c>
      <c r="AX118" s="420">
        <v>850</v>
      </c>
      <c r="AY118" s="420">
        <v>4</v>
      </c>
      <c r="AZ118" s="420">
        <f>IF(ISBLANK(tabItens[[#This Row],[CÓDIGO]]),"",tabItens[[#This Row],[PontoMês]] * (AZ$2+tabItens[[#This Row],[PontoQtM]]))</f>
        <v>3400</v>
      </c>
      <c r="BA118" s="421">
        <f>tabItens[[#This Row],[PontoPed]] - tabItens[[#This Row],[Saldo]] + (1/10)</f>
        <v>100.1</v>
      </c>
      <c r="BB118" s="421">
        <f xml:space="preserve"> tabItens[[#This Row],[PontoMês]] * BB$2 - tabItens[[#This Row],[QTDE ATUAL]] - (1/10)</f>
        <v>849.9</v>
      </c>
      <c r="BC118" s="320">
        <f>IF( tabItens[[#This Row],[PontoPed]]&gt;0, IF(tabItens[[#This Row],[PontoPed]]&lt;1, 1, IF( tabItens[[#This Row],[Saldo]]&gt;tabItens[[#This Row],[PontoPed]], 0, (tabItens[[#This Row],[PontoPed]]-tabItens[[#This Row],[Saldo]])/tabItens[[#This Row],[PontoPed]] ) ), 0 )</f>
        <v>2.9411764705882353E-2</v>
      </c>
      <c r="BD118" s="422">
        <f>ROUNDDOWN(IF( OR( AND(tabItens[[#This Row],[PontoPed]]&lt;tabItens[[#This Row],[Saldo]],tabItens[[#This Row],[Saldo]]&gt;0), tabItens[[#This Row],[PontoPed]]=0), 99, IF(AND(tabItens[[#This Row],[Saldo]]=0,tabItens[[#This Row],[PontoPed]]&gt;0), 0, (1-tabItens[[#This Row],[PctAb]])*10 ) ),0)</f>
        <v>9</v>
      </c>
      <c r="BE118" s="423">
        <f>MAX(ROUNDDOWN( IF(tabItens[[#This Row],[Abaixo]] &gt; 0,   tabItens[[#This Row],[Abaixo]] + (tabItens[[#This Row],[PontoMês]] * IF( OR( ISBLANK(tabItens[[#This Row],[ATA Nº/ANO]]), tabItens[[#This Row],[ATA Nº/ANO]] = ""),BE$2,BE$1)),0),0),0)</f>
        <v>2650</v>
      </c>
      <c r="BF11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23">
        <f>SUMIF(Consumo!$C$3:$C$869,tabItens[[#This Row],[CÓDIGO]],Consumo!$E$3:$E$869)</f>
        <v>432</v>
      </c>
      <c r="BH118" s="324">
        <f>IF(AND(tabItens[[#This Row],[Pend]] &gt; 0,tabItens[[#This Row],[Consumo]] &lt;&gt; 0), tabItens[[#This Row],[Pend]] / tabItens[[#This Row],[Consumo]], 0 )</f>
        <v>5.984208339105139E-2</v>
      </c>
      <c r="BI118" s="323"/>
      <c r="BJ118" s="424"/>
      <c r="BK118" s="425" t="s">
        <v>2064</v>
      </c>
    </row>
    <row r="119" spans="1:63" hidden="1" x14ac:dyDescent="0.3">
      <c r="A119" s="286">
        <v>133849</v>
      </c>
      <c r="B119" s="287" t="s">
        <v>1857</v>
      </c>
      <c r="C119" s="288" t="s">
        <v>569</v>
      </c>
      <c r="D119" s="289">
        <v>0.69</v>
      </c>
      <c r="E119" s="290"/>
      <c r="F119" s="290"/>
      <c r="G119" s="290" t="s">
        <v>883</v>
      </c>
      <c r="H119" s="291">
        <v>5240</v>
      </c>
      <c r="I119" s="292">
        <v>103003</v>
      </c>
      <c r="J119" s="293">
        <v>0.69</v>
      </c>
      <c r="K119" s="294">
        <v>10565</v>
      </c>
      <c r="L119" s="295">
        <f>IF(tabItens[[#This Row],[Média]] &gt; 0, tabItens[[#This Row],[QTDE ATUAL]] / tabItens[[#This Row],[Média]],999.9)</f>
        <v>3.5571646772642418</v>
      </c>
      <c r="M119" s="296">
        <v>0</v>
      </c>
      <c r="N119" s="297">
        <f>tabItens[[#This Row],[VALOR UNIT.]] * tabItens[[#This Row],[LC]]</f>
        <v>0</v>
      </c>
      <c r="O119" s="298" t="s">
        <v>2066</v>
      </c>
      <c r="P119" s="299"/>
      <c r="Q119" s="300"/>
      <c r="R119" s="297"/>
      <c r="S119" s="301"/>
      <c r="T119" s="302">
        <f>ROUNDDOWN(IFERROR(tabItens[[#This Row],[ATA DT.VALID.]] - $D$1,0) / 30,0)</f>
        <v>-1504</v>
      </c>
      <c r="U119" s="287" t="s">
        <v>941</v>
      </c>
      <c r="V119" s="303">
        <v>1</v>
      </c>
      <c r="W119" s="304" t="s">
        <v>2052</v>
      </c>
      <c r="X119" s="305">
        <v>57</v>
      </c>
      <c r="Y119" s="306">
        <v>16</v>
      </c>
      <c r="Z119" s="307">
        <v>6217</v>
      </c>
      <c r="AA119" s="308">
        <v>2023</v>
      </c>
      <c r="AB119" s="309">
        <v>2500</v>
      </c>
      <c r="AC119" s="309"/>
      <c r="AD119" s="308"/>
      <c r="AE119" s="309"/>
      <c r="AF119" s="302"/>
      <c r="AG119" s="310" t="s">
        <v>2050</v>
      </c>
      <c r="AH119" s="311"/>
      <c r="AI119" s="302">
        <v>5892</v>
      </c>
      <c r="AJ119" s="311">
        <v>44973</v>
      </c>
      <c r="AK119" s="311">
        <v>43074</v>
      </c>
      <c r="AL119" s="311">
        <v>44959</v>
      </c>
      <c r="AM119" s="301"/>
      <c r="AN119" s="290"/>
      <c r="AO119" s="312" t="str">
        <f>_xlfn.IFNA(IF(VLOOKUP(tabItens[[#This Row],[CÓDIGO]],tabExcluirDoEstoque[#Data],1,FALSE),"sim",""),"")</f>
        <v/>
      </c>
      <c r="AP119" s="313" t="str">
        <f ca="1">IF(OR(ISBLANK(tabItens[[#This Row],[ATA DT.VALID.]]),tabItens[[#This Row],[ATA DT.VALID.]]="",tabItens[[#This Row],[ATA DT.VALID.]]=" "),"",IF(TYPE(tabItens[[#This Row],[ATA DT.VALID.]])=1,ROUNDUP((tabItens[[#This Row],[ATA DT.VALID.]]-TODAY())/7,0),""))</f>
        <v/>
      </c>
      <c r="AQ119" s="314">
        <v>0</v>
      </c>
      <c r="AR119" s="315" t="str">
        <f>IF(ISBLANK(tabItens[[#This Row],[CÓDIGO]]),"",IFERROR(VLOOKUP(tabItens[[#This Row],[CÓDIGO]],Consumo!$C$2:$AC$869,26,FALSE),0))</f>
        <v>07.2023</v>
      </c>
      <c r="AS119" s="316">
        <f>SUMIF(Consumo!$C$3:$C$869,tabItens[[#This Row],[CÓDIGO]],Consumo!$N$3:$N$869) + SUMIF(Consumo!$C$3:$C$869,tabItens[[#This Row],[CÓDIGO]],Consumo!$O$3:$O$869) + SUMIF(Consumo!$C$3:$C$869,tabItens[[#This Row],[CÓDIGO]],Consumo!$P$3:$P$869) + SUMIF(Consumo!$C$3:$C$869,tabItens[[#This Row],[CÓDIGO]],Consumo!$Q$3:$Q$869)</f>
        <v>6082</v>
      </c>
      <c r="AT119" s="316">
        <f>SUMIF(Consumo!$C$3:$C$869,tabItens[[#This Row],[CÓDIGO]],Consumo!$Z$3:$Z$869)</f>
        <v>17677</v>
      </c>
      <c r="AU119" s="317">
        <f>SUMIF(Consumo!$C$3:$C$869,tabItens[[#This Row],[CÓDIGO]],Consumo!$AA$3:$AA$869)</f>
        <v>2320</v>
      </c>
      <c r="AV119" s="318">
        <f>SUMIF(Consumo!$C$3:$C$869,tabItens[[#This Row],[CÓDIGO]],Consumo!$Y$3:$Y$869)</f>
        <v>1473.0833333333333</v>
      </c>
      <c r="AW119" s="291">
        <f>tabItens[[#This Row],[QTDE ATUAL]] + tabItens[[#This Row],[RC QTDE]] + tabItens[[#This Row],[AF SALDO]] + tabItens[[#This Row],[Recentes]]</f>
        <v>7740</v>
      </c>
      <c r="AX119" s="319">
        <v>2084</v>
      </c>
      <c r="AY119" s="319">
        <v>4</v>
      </c>
      <c r="AZ119" s="319">
        <f>IF(ISBLANK(tabItens[[#This Row],[CÓDIGO]]),"",tabItens[[#This Row],[PontoMês]] * (AZ$2+tabItens[[#This Row],[PontoQtM]]))</f>
        <v>8336</v>
      </c>
      <c r="BA119" s="318">
        <f>tabItens[[#This Row],[PontoPed]] - tabItens[[#This Row],[Saldo]] + (1/10)</f>
        <v>596.1</v>
      </c>
      <c r="BB119" s="318">
        <f xml:space="preserve"> tabItens[[#This Row],[PontoMês]] * BB$2 - tabItens[[#This Row],[QTDE ATUAL]] - (1/10)</f>
        <v>-3156.1</v>
      </c>
      <c r="BC119" s="320">
        <f>IF( tabItens[[#This Row],[PontoPed]]&gt;0, IF(tabItens[[#This Row],[PontoPed]]&lt;1, 1, IF( tabItens[[#This Row],[Saldo]]&gt;tabItens[[#This Row],[PontoPed]], 0, (tabItens[[#This Row],[PontoPed]]-tabItens[[#This Row],[Saldo]])/tabItens[[#This Row],[PontoPed]] ) ), 0 )</f>
        <v>7.1497120921305182E-2</v>
      </c>
      <c r="BD119" s="321">
        <f>ROUNDDOWN(IF( OR( AND(tabItens[[#This Row],[PontoPed]]&lt;tabItens[[#This Row],[Saldo]],tabItens[[#This Row],[Saldo]]&gt;0), tabItens[[#This Row],[PontoPed]]=0), 99, IF(AND(tabItens[[#This Row],[Saldo]]=0,tabItens[[#This Row],[PontoPed]]&gt;0), 0, (1-tabItens[[#This Row],[PctAb]])*10 ) ),0)</f>
        <v>9</v>
      </c>
      <c r="BE119" s="322">
        <f>MAX(ROUNDDOWN( IF(tabItens[[#This Row],[Abaixo]] &gt; 0,   tabItens[[#This Row],[Abaixo]] + (tabItens[[#This Row],[PontoMês]] * IF( OR( ISBLANK(tabItens[[#This Row],[ATA Nº/ANO]]), tabItens[[#This Row],[ATA Nº/ANO]] = ""),BE$2,BE$1)),0),0),0)</f>
        <v>6848</v>
      </c>
      <c r="BF11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23">
        <f>SUMIF(Consumo!$C$3:$C$869,tabItens[[#This Row],[CÓDIGO]],Consumo!$E$3:$E$869)</f>
        <v>5</v>
      </c>
      <c r="BH119" s="324">
        <f>IF(AND(tabItens[[#This Row],[Pend]] &gt; 0,tabItens[[#This Row],[Consumo]] &lt;&gt; 0), tabItens[[#This Row],[Pend]] / tabItens[[#This Row],[Consumo]], 0 )</f>
        <v>2.8285342535498107E-4</v>
      </c>
      <c r="BI119" s="323"/>
      <c r="BJ119" s="323"/>
      <c r="BK119" s="325" t="s">
        <v>2064</v>
      </c>
    </row>
    <row r="120" spans="1:63" hidden="1" x14ac:dyDescent="0.3">
      <c r="A120" s="286">
        <v>35555</v>
      </c>
      <c r="B120" s="287" t="s">
        <v>1261</v>
      </c>
      <c r="C120" s="288" t="s">
        <v>569</v>
      </c>
      <c r="D120" s="289">
        <v>0.4</v>
      </c>
      <c r="E120" s="290"/>
      <c r="F120" s="290"/>
      <c r="G120" s="290" t="s">
        <v>883</v>
      </c>
      <c r="H120" s="291">
        <v>63</v>
      </c>
      <c r="I120" s="292">
        <v>103003</v>
      </c>
      <c r="J120" s="293">
        <v>0.4</v>
      </c>
      <c r="K120" s="294">
        <v>75</v>
      </c>
      <c r="L120" s="295">
        <f>IF(tabItens[[#This Row],[Média]] &gt; 0, tabItens[[#This Row],[QTDE ATUAL]] / tabItens[[#This Row],[Média]],999.9)</f>
        <v>12.813559322033898</v>
      </c>
      <c r="M120" s="296">
        <v>0</v>
      </c>
      <c r="N120" s="297">
        <f>tabItens[[#This Row],[VALOR UNIT.]] * tabItens[[#This Row],[LC]]</f>
        <v>0</v>
      </c>
      <c r="O120" s="298" t="s">
        <v>2077</v>
      </c>
      <c r="P120" s="299"/>
      <c r="Q120" s="300"/>
      <c r="R120" s="297"/>
      <c r="S120" s="301"/>
      <c r="T120" s="302">
        <f>ROUNDDOWN(IFERROR(tabItens[[#This Row],[ATA DT.VALID.]] - $D$1,0) / 30,0)</f>
        <v>-1504</v>
      </c>
      <c r="U120" s="287" t="s">
        <v>994</v>
      </c>
      <c r="V120" s="303">
        <v>1</v>
      </c>
      <c r="W120" s="304" t="s">
        <v>2056</v>
      </c>
      <c r="X120" s="305">
        <v>83</v>
      </c>
      <c r="Y120" s="306">
        <v>2</v>
      </c>
      <c r="Z120" s="307"/>
      <c r="AA120" s="308"/>
      <c r="AB120" s="309"/>
      <c r="AC120" s="309"/>
      <c r="AD120" s="308"/>
      <c r="AE120" s="309"/>
      <c r="AF120" s="302"/>
      <c r="AG120" s="310" t="s">
        <v>2050</v>
      </c>
      <c r="AH120" s="311"/>
      <c r="AI120" s="302">
        <v>26</v>
      </c>
      <c r="AJ120" s="311">
        <v>43257</v>
      </c>
      <c r="AK120" s="311" t="s">
        <v>883</v>
      </c>
      <c r="AL120" s="311">
        <v>43217</v>
      </c>
      <c r="AM120" s="301"/>
      <c r="AN120" s="290"/>
      <c r="AO120" s="312" t="str">
        <f>_xlfn.IFNA(IF(VLOOKUP(tabItens[[#This Row],[CÓDIGO]],tabExcluirDoEstoque[#Data],1,FALSE),"sim",""),"")</f>
        <v/>
      </c>
      <c r="AP120" s="313" t="str">
        <f ca="1">IF(OR(ISBLANK(tabItens[[#This Row],[ATA DT.VALID.]]),tabItens[[#This Row],[ATA DT.VALID.]]="",tabItens[[#This Row],[ATA DT.VALID.]]=" "),"",IF(TYPE(tabItens[[#This Row],[ATA DT.VALID.]])=1,ROUNDUP((tabItens[[#This Row],[ATA DT.VALID.]]-TODAY())/7,0),""))</f>
        <v/>
      </c>
      <c r="AQ120" s="314">
        <v>0</v>
      </c>
      <c r="AR120" s="315" t="str">
        <f>IF(ISBLANK(tabItens[[#This Row],[CÓDIGO]]),"",IFERROR(VLOOKUP(tabItens[[#This Row],[CÓDIGO]],Consumo!$C$2:$AC$869,26,FALSE),0))</f>
        <v>04.2023</v>
      </c>
      <c r="AS120" s="316">
        <f>SUMIF(Consumo!$C$3:$C$869,tabItens[[#This Row],[CÓDIGO]],Consumo!$N$3:$N$869) + SUMIF(Consumo!$C$3:$C$869,tabItens[[#This Row],[CÓDIGO]],Consumo!$O$3:$O$869) + SUMIF(Consumo!$C$3:$C$869,tabItens[[#This Row],[CÓDIGO]],Consumo!$P$3:$P$869) + SUMIF(Consumo!$C$3:$C$869,tabItens[[#This Row],[CÓDIGO]],Consumo!$Q$3:$Q$869)</f>
        <v>55</v>
      </c>
      <c r="AT120" s="316">
        <f>SUMIF(Consumo!$C$3:$C$869,tabItens[[#This Row],[CÓDIGO]],Consumo!$Z$3:$Z$869)</f>
        <v>75</v>
      </c>
      <c r="AU120" s="317">
        <f>SUMIF(Consumo!$C$3:$C$869,tabItens[[#This Row],[CÓDIGO]],Consumo!$AA$3:$AA$869)</f>
        <v>55</v>
      </c>
      <c r="AV120" s="318">
        <f>SUMIF(Consumo!$C$3:$C$869,tabItens[[#This Row],[CÓDIGO]],Consumo!$Y$3:$Y$869)</f>
        <v>4.916666666666667</v>
      </c>
      <c r="AW120" s="291">
        <f>tabItens[[#This Row],[QTDE ATUAL]] + tabItens[[#This Row],[RC QTDE]] + tabItens[[#This Row],[AF SALDO]] + tabItens[[#This Row],[Recentes]]</f>
        <v>63</v>
      </c>
      <c r="AX120" s="319">
        <v>17</v>
      </c>
      <c r="AY120" s="319">
        <v>4</v>
      </c>
      <c r="AZ120" s="319">
        <f>IF(ISBLANK(tabItens[[#This Row],[CÓDIGO]]),"",tabItens[[#This Row],[PontoMês]] * (AZ$2+tabItens[[#This Row],[PontoQtM]]))</f>
        <v>68</v>
      </c>
      <c r="BA120" s="318">
        <f>tabItens[[#This Row],[PontoPed]] - tabItens[[#This Row],[Saldo]] + (1/10)</f>
        <v>5.0999999999999996</v>
      </c>
      <c r="BB120" s="318">
        <f xml:space="preserve"> tabItens[[#This Row],[PontoMês]] * BB$2 - tabItens[[#This Row],[QTDE ATUAL]] - (1/10)</f>
        <v>-46.1</v>
      </c>
      <c r="BC120" s="320">
        <f>IF( tabItens[[#This Row],[PontoPed]]&gt;0, IF(tabItens[[#This Row],[PontoPed]]&lt;1, 1, IF( tabItens[[#This Row],[Saldo]]&gt;tabItens[[#This Row],[PontoPed]], 0, (tabItens[[#This Row],[PontoPed]]-tabItens[[#This Row],[Saldo]])/tabItens[[#This Row],[PontoPed]] ) ), 0 )</f>
        <v>7.3529411764705885E-2</v>
      </c>
      <c r="BD120" s="321">
        <f>ROUNDDOWN(IF( OR( AND(tabItens[[#This Row],[PontoPed]]&lt;tabItens[[#This Row],[Saldo]],tabItens[[#This Row],[Saldo]]&gt;0), tabItens[[#This Row],[PontoPed]]=0), 99, IF(AND(tabItens[[#This Row],[Saldo]]=0,tabItens[[#This Row],[PontoPed]]&gt;0), 0, (1-tabItens[[#This Row],[PctAb]])*10 ) ),0)</f>
        <v>9</v>
      </c>
      <c r="BE120" s="322">
        <f>MAX(ROUNDDOWN( IF(tabItens[[#This Row],[Abaixo]] &gt; 0,   tabItens[[#This Row],[Abaixo]] + (tabItens[[#This Row],[PontoMês]] * IF( OR( ISBLANK(tabItens[[#This Row],[ATA Nº/ANO]]), tabItens[[#This Row],[ATA Nº/ANO]] = ""),BE$2,BE$1)),0),0),0)</f>
        <v>56</v>
      </c>
      <c r="BF12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23">
        <f>SUMIF(Consumo!$C$3:$C$869,tabItens[[#This Row],[CÓDIGO]],Consumo!$E$3:$E$869)</f>
        <v>0</v>
      </c>
      <c r="BH120" s="324">
        <f>IF(AND(tabItens[[#This Row],[Pend]] &gt; 0,tabItens[[#This Row],[Consumo]] &lt;&gt; 0), tabItens[[#This Row],[Pend]] / tabItens[[#This Row],[Consumo]], 0 )</f>
        <v>0</v>
      </c>
      <c r="BI120" s="323"/>
      <c r="BJ120" s="323"/>
      <c r="BK120" s="325" t="s">
        <v>2064</v>
      </c>
    </row>
    <row r="121" spans="1:63" hidden="1" x14ac:dyDescent="0.3">
      <c r="A121" s="286">
        <v>134373</v>
      </c>
      <c r="B121" s="287" t="s">
        <v>1869</v>
      </c>
      <c r="C121" s="288" t="s">
        <v>31</v>
      </c>
      <c r="D121" s="289">
        <v>18.88</v>
      </c>
      <c r="E121" s="290"/>
      <c r="F121" s="290"/>
      <c r="G121" s="290" t="s">
        <v>883</v>
      </c>
      <c r="H121" s="291">
        <v>898</v>
      </c>
      <c r="I121" s="292">
        <v>103003</v>
      </c>
      <c r="J121" s="293">
        <v>18.88</v>
      </c>
      <c r="K121" s="294">
        <v>4371</v>
      </c>
      <c r="L121" s="295">
        <f>IF(tabItens[[#This Row],[Média]] &gt; 0, tabItens[[#This Row],[QTDE ATUAL]] / tabItens[[#This Row],[Média]],999.9)</f>
        <v>1.7714943284563538</v>
      </c>
      <c r="M121" s="296">
        <v>0</v>
      </c>
      <c r="N121" s="297">
        <f>tabItens[[#This Row],[VALOR UNIT.]] * tabItens[[#This Row],[LC]]</f>
        <v>0</v>
      </c>
      <c r="O121" s="298" t="s">
        <v>2177</v>
      </c>
      <c r="P121" s="299"/>
      <c r="Q121" s="300"/>
      <c r="R121" s="297"/>
      <c r="S121" s="301"/>
      <c r="T121" s="302">
        <f>ROUNDDOWN(IFERROR(tabItens[[#This Row],[ATA DT.VALID.]] - $D$1,0) / 30,0)</f>
        <v>-1504</v>
      </c>
      <c r="U121" s="287" t="s">
        <v>1870</v>
      </c>
      <c r="V121" s="303">
        <v>1</v>
      </c>
      <c r="W121" s="304" t="s">
        <v>2055</v>
      </c>
      <c r="X121" s="305">
        <v>55</v>
      </c>
      <c r="Y121" s="306">
        <v>66</v>
      </c>
      <c r="Z121" s="307">
        <v>2376</v>
      </c>
      <c r="AA121" s="308">
        <v>2023</v>
      </c>
      <c r="AB121" s="309">
        <v>3000</v>
      </c>
      <c r="AC121" s="309"/>
      <c r="AD121" s="308"/>
      <c r="AE121" s="309"/>
      <c r="AF121" s="302"/>
      <c r="AG121" s="310" t="s">
        <v>2050</v>
      </c>
      <c r="AH121" s="311"/>
      <c r="AI121" s="302">
        <v>2064</v>
      </c>
      <c r="AJ121" s="311">
        <v>44522</v>
      </c>
      <c r="AK121" s="311">
        <v>43154</v>
      </c>
      <c r="AL121" s="311">
        <v>44917</v>
      </c>
      <c r="AM121" s="301"/>
      <c r="AN121" s="290"/>
      <c r="AO121" s="312" t="str">
        <f>_xlfn.IFNA(IF(VLOOKUP(tabItens[[#This Row],[CÓDIGO]],tabExcluirDoEstoque[#Data],1,FALSE),"sim",""),"")</f>
        <v/>
      </c>
      <c r="AP121" s="313" t="str">
        <f ca="1">IF(OR(ISBLANK(tabItens[[#This Row],[ATA DT.VALID.]]),tabItens[[#This Row],[ATA DT.VALID.]]="",tabItens[[#This Row],[ATA DT.VALID.]]=" "),"",IF(TYPE(tabItens[[#This Row],[ATA DT.VALID.]])=1,ROUNDUP((tabItens[[#This Row],[ATA DT.VALID.]]-TODAY())/7,0),""))</f>
        <v/>
      </c>
      <c r="AQ121" s="314">
        <v>0</v>
      </c>
      <c r="AR121" s="315" t="str">
        <f>IF(ISBLANK(tabItens[[#This Row],[CÓDIGO]]),"",IFERROR(VLOOKUP(tabItens[[#This Row],[CÓDIGO]],Consumo!$C$2:$AC$869,26,FALSE),0))</f>
        <v>07.2023</v>
      </c>
      <c r="AS121" s="316">
        <f>SUMIF(Consumo!$C$3:$C$869,tabItens[[#This Row],[CÓDIGO]],Consumo!$N$3:$N$869) + SUMIF(Consumo!$C$3:$C$869,tabItens[[#This Row],[CÓDIGO]],Consumo!$O$3:$O$869) + SUMIF(Consumo!$C$3:$C$869,tabItens[[#This Row],[CÓDIGO]],Consumo!$P$3:$P$869) + SUMIF(Consumo!$C$3:$C$869,tabItens[[#This Row],[CÓDIGO]],Consumo!$Q$3:$Q$869)</f>
        <v>2000</v>
      </c>
      <c r="AT121" s="316">
        <f>SUMIF(Consumo!$C$3:$C$869,tabItens[[#This Row],[CÓDIGO]],Consumo!$Z$3:$Z$869)</f>
        <v>6083</v>
      </c>
      <c r="AU121" s="317">
        <f>SUMIF(Consumo!$C$3:$C$869,tabItens[[#This Row],[CÓDIGO]],Consumo!$AA$3:$AA$869)</f>
        <v>925</v>
      </c>
      <c r="AV121" s="318">
        <f>SUMIF(Consumo!$C$3:$C$869,tabItens[[#This Row],[CÓDIGO]],Consumo!$Y$3:$Y$869)</f>
        <v>506.91666666666669</v>
      </c>
      <c r="AW121" s="291">
        <f>tabItens[[#This Row],[QTDE ATUAL]] + tabItens[[#This Row],[RC QTDE]] + tabItens[[#This Row],[AF SALDO]] + tabItens[[#This Row],[Recentes]]</f>
        <v>3898</v>
      </c>
      <c r="AX121" s="319">
        <v>1000</v>
      </c>
      <c r="AY121" s="319">
        <v>4</v>
      </c>
      <c r="AZ121" s="319">
        <f>IF(ISBLANK(tabItens[[#This Row],[CÓDIGO]]),"",tabItens[[#This Row],[PontoMês]] * (AZ$2+tabItens[[#This Row],[PontoQtM]]))</f>
        <v>4000</v>
      </c>
      <c r="BA121" s="318">
        <f>tabItens[[#This Row],[PontoPed]] - tabItens[[#This Row],[Saldo]] + (1/10)</f>
        <v>102.1</v>
      </c>
      <c r="BB121" s="318">
        <f xml:space="preserve"> tabItens[[#This Row],[PontoMês]] * BB$2 - tabItens[[#This Row],[QTDE ATUAL]] - (1/10)</f>
        <v>101.9</v>
      </c>
      <c r="BC121" s="320">
        <f>IF( tabItens[[#This Row],[PontoPed]]&gt;0, IF(tabItens[[#This Row],[PontoPed]]&lt;1, 1, IF( tabItens[[#This Row],[Saldo]]&gt;tabItens[[#This Row],[PontoPed]], 0, (tabItens[[#This Row],[PontoPed]]-tabItens[[#This Row],[Saldo]])/tabItens[[#This Row],[PontoPed]] ) ), 0 )</f>
        <v>2.5499999999999998E-2</v>
      </c>
      <c r="BD121" s="321">
        <f>ROUNDDOWN(IF( OR( AND(tabItens[[#This Row],[PontoPed]]&lt;tabItens[[#This Row],[Saldo]],tabItens[[#This Row],[Saldo]]&gt;0), tabItens[[#This Row],[PontoPed]]=0), 99, IF(AND(tabItens[[#This Row],[Saldo]]=0,tabItens[[#This Row],[PontoPed]]&gt;0), 0, (1-tabItens[[#This Row],[PctAb]])*10 ) ),0)</f>
        <v>9</v>
      </c>
      <c r="BE121" s="322">
        <f>MAX(ROUNDDOWN( IF(tabItens[[#This Row],[Abaixo]] &gt; 0,   tabItens[[#This Row],[Abaixo]] + (tabItens[[#This Row],[PontoMês]] * IF( OR( ISBLANK(tabItens[[#This Row],[ATA Nº/ANO]]), tabItens[[#This Row],[ATA Nº/ANO]] = ""),BE$2,BE$1)),0),0),0)</f>
        <v>3102</v>
      </c>
      <c r="BF12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23">
        <f>SUMIF(Consumo!$C$3:$C$869,tabItens[[#This Row],[CÓDIGO]],Consumo!$E$3:$E$869)</f>
        <v>0</v>
      </c>
      <c r="BH121" s="324">
        <f>IF(AND(tabItens[[#This Row],[Pend]] &gt; 0,tabItens[[#This Row],[Consumo]] &lt;&gt; 0), tabItens[[#This Row],[Pend]] / tabItens[[#This Row],[Consumo]], 0 )</f>
        <v>0</v>
      </c>
      <c r="BI121" s="323"/>
      <c r="BJ121" s="323"/>
      <c r="BK121" s="325" t="s">
        <v>2064</v>
      </c>
    </row>
    <row r="122" spans="1:63" hidden="1" x14ac:dyDescent="0.3">
      <c r="A122" s="286">
        <v>140028</v>
      </c>
      <c r="B122" s="287" t="s">
        <v>1981</v>
      </c>
      <c r="C122" s="288" t="s">
        <v>281</v>
      </c>
      <c r="D122" s="289">
        <v>104.15</v>
      </c>
      <c r="E122" s="290"/>
      <c r="F122" s="290"/>
      <c r="G122" s="290" t="s">
        <v>883</v>
      </c>
      <c r="H122" s="291">
        <v>849</v>
      </c>
      <c r="I122" s="292">
        <v>103003</v>
      </c>
      <c r="J122" s="293">
        <v>104.15</v>
      </c>
      <c r="K122" s="294">
        <v>51</v>
      </c>
      <c r="L122" s="295">
        <f>IF(tabItens[[#This Row],[Média]] &gt; 0, tabItens[[#This Row],[QTDE ATUAL]] / tabItens[[#This Row],[Média]],999.9)</f>
        <v>164.32258064516128</v>
      </c>
      <c r="M122" s="296">
        <v>0</v>
      </c>
      <c r="N122" s="297">
        <f>tabItens[[#This Row],[VALOR UNIT.]] * tabItens[[#This Row],[LC]]</f>
        <v>0</v>
      </c>
      <c r="O122" s="298" t="s">
        <v>2184</v>
      </c>
      <c r="P122" s="299"/>
      <c r="Q122" s="300"/>
      <c r="R122" s="297"/>
      <c r="S122" s="301"/>
      <c r="T122" s="302">
        <f>ROUNDDOWN(IFERROR(tabItens[[#This Row],[ATA DT.VALID.]] - $D$1,0) / 30,0)</f>
        <v>-1504</v>
      </c>
      <c r="U122" s="287" t="s">
        <v>1666</v>
      </c>
      <c r="V122" s="303">
        <v>1</v>
      </c>
      <c r="W122" s="304" t="s">
        <v>2055</v>
      </c>
      <c r="X122" s="305">
        <v>55</v>
      </c>
      <c r="Y122" s="306">
        <v>19</v>
      </c>
      <c r="Z122" s="307"/>
      <c r="AA122" s="308"/>
      <c r="AB122" s="309"/>
      <c r="AC122" s="309"/>
      <c r="AD122" s="308"/>
      <c r="AE122" s="309"/>
      <c r="AF122" s="302"/>
      <c r="AG122" s="310" t="s">
        <v>2050</v>
      </c>
      <c r="AH122" s="311"/>
      <c r="AI122" s="302">
        <v>22</v>
      </c>
      <c r="AJ122" s="311" t="s">
        <v>883</v>
      </c>
      <c r="AK122" s="311">
        <v>44096</v>
      </c>
      <c r="AL122" s="311">
        <v>44700</v>
      </c>
      <c r="AM122" s="301"/>
      <c r="AN122" s="290"/>
      <c r="AO122" s="312" t="str">
        <f>_xlfn.IFNA(IF(VLOOKUP(tabItens[[#This Row],[CÓDIGO]],tabExcluirDoEstoque[#Data],1,FALSE),"sim",""),"")</f>
        <v/>
      </c>
      <c r="AP122" s="313" t="str">
        <f ca="1">IF(OR(ISBLANK(tabItens[[#This Row],[ATA DT.VALID.]]),tabItens[[#This Row],[ATA DT.VALID.]]="",tabItens[[#This Row],[ATA DT.VALID.]]=" "),"",IF(TYPE(tabItens[[#This Row],[ATA DT.VALID.]])=1,ROUNDUP((tabItens[[#This Row],[ATA DT.VALID.]]-TODAY())/7,0),""))</f>
        <v/>
      </c>
      <c r="AQ122" s="314">
        <v>0</v>
      </c>
      <c r="AR122" s="315" t="str">
        <f>IF(ISBLANK(tabItens[[#This Row],[CÓDIGO]]),"",IFERROR(VLOOKUP(tabItens[[#This Row],[CÓDIGO]],Consumo!$C$2:$AC$869,26,FALSE),0))</f>
        <v>07.2023</v>
      </c>
      <c r="AS122" s="316">
        <f>SUMIF(Consumo!$C$3:$C$869,tabItens[[#This Row],[CÓDIGO]],Consumo!$N$3:$N$869) + SUMIF(Consumo!$C$3:$C$869,tabItens[[#This Row],[CÓDIGO]],Consumo!$O$3:$O$869) + SUMIF(Consumo!$C$3:$C$869,tabItens[[#This Row],[CÓDIGO]],Consumo!$P$3:$P$869) + SUMIF(Consumo!$C$3:$C$869,tabItens[[#This Row],[CÓDIGO]],Consumo!$Q$3:$Q$869)</f>
        <v>13</v>
      </c>
      <c r="AT122" s="316">
        <f>SUMIF(Consumo!$C$3:$C$869,tabItens[[#This Row],[CÓDIGO]],Consumo!$Z$3:$Z$869)</f>
        <v>64</v>
      </c>
      <c r="AU122" s="317">
        <f>SUMIF(Consumo!$C$3:$C$869,tabItens[[#This Row],[CÓDIGO]],Consumo!$AA$3:$AA$869)</f>
        <v>16</v>
      </c>
      <c r="AV122" s="318">
        <f>SUMIF(Consumo!$C$3:$C$869,tabItens[[#This Row],[CÓDIGO]],Consumo!$Y$3:$Y$869)</f>
        <v>5.166666666666667</v>
      </c>
      <c r="AW122" s="291">
        <f>tabItens[[#This Row],[QTDE ATUAL]] + tabItens[[#This Row],[RC QTDE]] + tabItens[[#This Row],[AF SALDO]] + tabItens[[#This Row],[Recentes]]</f>
        <v>849</v>
      </c>
      <c r="AX122" s="319">
        <v>234</v>
      </c>
      <c r="AY122" s="319">
        <v>4</v>
      </c>
      <c r="AZ122" s="319">
        <f>IF(ISBLANK(tabItens[[#This Row],[CÓDIGO]]),"",tabItens[[#This Row],[PontoMês]] * (AZ$2+tabItens[[#This Row],[PontoQtM]]))</f>
        <v>936</v>
      </c>
      <c r="BA122" s="318">
        <f>tabItens[[#This Row],[PontoPed]] - tabItens[[#This Row],[Saldo]] + (1/10)</f>
        <v>87.1</v>
      </c>
      <c r="BB122" s="318">
        <f xml:space="preserve"> tabItens[[#This Row],[PontoMês]] * BB$2 - tabItens[[#This Row],[QTDE ATUAL]] - (1/10)</f>
        <v>-615.1</v>
      </c>
      <c r="BC122" s="320">
        <f>IF( tabItens[[#This Row],[PontoPed]]&gt;0, IF(tabItens[[#This Row],[PontoPed]]&lt;1, 1, IF( tabItens[[#This Row],[Saldo]]&gt;tabItens[[#This Row],[PontoPed]], 0, (tabItens[[#This Row],[PontoPed]]-tabItens[[#This Row],[Saldo]])/tabItens[[#This Row],[PontoPed]] ) ), 0 )</f>
        <v>9.2948717948717952E-2</v>
      </c>
      <c r="BD122" s="321">
        <f>ROUNDDOWN(IF( OR( AND(tabItens[[#This Row],[PontoPed]]&lt;tabItens[[#This Row],[Saldo]],tabItens[[#This Row],[Saldo]]&gt;0), tabItens[[#This Row],[PontoPed]]=0), 99, IF(AND(tabItens[[#This Row],[Saldo]]=0,tabItens[[#This Row],[PontoPed]]&gt;0), 0, (1-tabItens[[#This Row],[PctAb]])*10 ) ),0)</f>
        <v>9</v>
      </c>
      <c r="BE122" s="322">
        <f>MAX(ROUNDDOWN( IF(tabItens[[#This Row],[Abaixo]] &gt; 0,   tabItens[[#This Row],[Abaixo]] + (tabItens[[#This Row],[PontoMês]] * IF( OR( ISBLANK(tabItens[[#This Row],[ATA Nº/ANO]]), tabItens[[#This Row],[ATA Nº/ANO]] = ""),BE$2,BE$1)),0),0),0)</f>
        <v>789</v>
      </c>
      <c r="BF12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23">
        <f>SUMIF(Consumo!$C$3:$C$869,tabItens[[#This Row],[CÓDIGO]],Consumo!$E$3:$E$869)</f>
        <v>0</v>
      </c>
      <c r="BH122" s="324">
        <f>IF(AND(tabItens[[#This Row],[Pend]] &gt; 0,tabItens[[#This Row],[Consumo]] &lt;&gt; 0), tabItens[[#This Row],[Pend]] / tabItens[[#This Row],[Consumo]], 0 )</f>
        <v>0</v>
      </c>
      <c r="BI122" s="323"/>
      <c r="BJ122" s="323"/>
      <c r="BK122" s="325" t="s">
        <v>2064</v>
      </c>
    </row>
    <row r="123" spans="1:63" hidden="1" x14ac:dyDescent="0.3">
      <c r="A123" s="286">
        <v>109944</v>
      </c>
      <c r="B123" s="287" t="s">
        <v>1656</v>
      </c>
      <c r="C123" s="288" t="s">
        <v>256</v>
      </c>
      <c r="D123" s="289">
        <v>290</v>
      </c>
      <c r="E123" s="290"/>
      <c r="F123" s="290"/>
      <c r="G123" s="290" t="s">
        <v>883</v>
      </c>
      <c r="H123" s="291">
        <v>190</v>
      </c>
      <c r="I123" s="292">
        <v>103003</v>
      </c>
      <c r="J123" s="293">
        <v>290</v>
      </c>
      <c r="K123" s="294">
        <v>420</v>
      </c>
      <c r="L123" s="295">
        <f>IF(tabItens[[#This Row],[Média]] &gt; 0, tabItens[[#This Row],[QTDE ATUAL]] / tabItens[[#This Row],[Média]],999.9)</f>
        <v>5.6999999999999993</v>
      </c>
      <c r="M123" s="296">
        <v>0</v>
      </c>
      <c r="N123" s="297">
        <f>tabItens[[#This Row],[VALOR UNIT.]] * tabItens[[#This Row],[LC]]</f>
        <v>0</v>
      </c>
      <c r="O123" s="298" t="s">
        <v>2113</v>
      </c>
      <c r="P123" s="299"/>
      <c r="Q123" s="300"/>
      <c r="R123" s="297"/>
      <c r="S123" s="301"/>
      <c r="T123" s="302">
        <f>ROUNDDOWN(IFERROR(tabItens[[#This Row],[ATA DT.VALID.]] - $D$1,0) / 30,0)</f>
        <v>-1504</v>
      </c>
      <c r="U123" s="287" t="s">
        <v>1112</v>
      </c>
      <c r="V123" s="303">
        <v>1</v>
      </c>
      <c r="W123" s="304" t="s">
        <v>2057</v>
      </c>
      <c r="X123" s="305">
        <v>74</v>
      </c>
      <c r="Y123" s="306">
        <v>8</v>
      </c>
      <c r="Z123" s="307"/>
      <c r="AA123" s="308"/>
      <c r="AB123" s="309"/>
      <c r="AC123" s="309"/>
      <c r="AD123" s="308"/>
      <c r="AE123" s="309"/>
      <c r="AF123" s="302"/>
      <c r="AG123" s="310" t="s">
        <v>2050</v>
      </c>
      <c r="AH123" s="311"/>
      <c r="AI123" s="302">
        <v>150</v>
      </c>
      <c r="AJ123" s="311">
        <v>44546</v>
      </c>
      <c r="AK123" s="311">
        <v>39875</v>
      </c>
      <c r="AL123" s="311">
        <v>44511</v>
      </c>
      <c r="AM123" s="301"/>
      <c r="AN123" s="290"/>
      <c r="AO123" s="312" t="str">
        <f>_xlfn.IFNA(IF(VLOOKUP(tabItens[[#This Row],[CÓDIGO]],tabExcluirDoEstoque[#Data],1,FALSE),"sim",""),"")</f>
        <v/>
      </c>
      <c r="AP123" s="313" t="str">
        <f ca="1">IF(OR(ISBLANK(tabItens[[#This Row],[ATA DT.VALID.]]),tabItens[[#This Row],[ATA DT.VALID.]]="",tabItens[[#This Row],[ATA DT.VALID.]]=" "),"",IF(TYPE(tabItens[[#This Row],[ATA DT.VALID.]])=1,ROUNDUP((tabItens[[#This Row],[ATA DT.VALID.]]-TODAY())/7,0),""))</f>
        <v/>
      </c>
      <c r="AQ123" s="314">
        <v>0</v>
      </c>
      <c r="AR123" s="315" t="str">
        <f>IF(ISBLANK(tabItens[[#This Row],[CÓDIGO]]),"",IFERROR(VLOOKUP(tabItens[[#This Row],[CÓDIGO]],Consumo!$C$2:$AC$869,26,FALSE),0))</f>
        <v>05.2023</v>
      </c>
      <c r="AS123" s="316">
        <f>SUMIF(Consumo!$C$3:$C$869,tabItens[[#This Row],[CÓDIGO]],Consumo!$N$3:$N$869) + SUMIF(Consumo!$C$3:$C$869,tabItens[[#This Row],[CÓDIGO]],Consumo!$O$3:$O$869) + SUMIF(Consumo!$C$3:$C$869,tabItens[[#This Row],[CÓDIGO]],Consumo!$P$3:$P$869) + SUMIF(Consumo!$C$3:$C$869,tabItens[[#This Row],[CÓDIGO]],Consumo!$Q$3:$Q$869)</f>
        <v>70</v>
      </c>
      <c r="AT123" s="316">
        <f>SUMIF(Consumo!$C$3:$C$869,tabItens[[#This Row],[CÓDIGO]],Consumo!$Z$3:$Z$869)</f>
        <v>450</v>
      </c>
      <c r="AU123" s="317">
        <f>SUMIF(Consumo!$C$3:$C$869,tabItens[[#This Row],[CÓDIGO]],Consumo!$AA$3:$AA$869)</f>
        <v>200</v>
      </c>
      <c r="AV123" s="318">
        <f>SUMIF(Consumo!$C$3:$C$869,tabItens[[#This Row],[CÓDIGO]],Consumo!$Y$3:$Y$869)</f>
        <v>33.333333333333336</v>
      </c>
      <c r="AW123" s="291">
        <f>tabItens[[#This Row],[QTDE ATUAL]] + tabItens[[#This Row],[RC QTDE]] + tabItens[[#This Row],[AF SALDO]] + tabItens[[#This Row],[Recentes]]</f>
        <v>190</v>
      </c>
      <c r="AX123" s="319">
        <v>50</v>
      </c>
      <c r="AY123" s="319">
        <v>4</v>
      </c>
      <c r="AZ123" s="319">
        <f>IF(ISBLANK(tabItens[[#This Row],[CÓDIGO]]),"",tabItens[[#This Row],[PontoMês]] * (AZ$2+tabItens[[#This Row],[PontoQtM]]))</f>
        <v>200</v>
      </c>
      <c r="BA123" s="318">
        <f>tabItens[[#This Row],[PontoPed]] - tabItens[[#This Row],[Saldo]] + (1/10)</f>
        <v>10.1</v>
      </c>
      <c r="BB123" s="318">
        <f xml:space="preserve"> tabItens[[#This Row],[PontoMês]] * BB$2 - tabItens[[#This Row],[QTDE ATUAL]] - (1/10)</f>
        <v>-140.1</v>
      </c>
      <c r="BC123" s="320">
        <f>IF( tabItens[[#This Row],[PontoPed]]&gt;0, IF(tabItens[[#This Row],[PontoPed]]&lt;1, 1, IF( tabItens[[#This Row],[Saldo]]&gt;tabItens[[#This Row],[PontoPed]], 0, (tabItens[[#This Row],[PontoPed]]-tabItens[[#This Row],[Saldo]])/tabItens[[#This Row],[PontoPed]] ) ), 0 )</f>
        <v>0.05</v>
      </c>
      <c r="BD123" s="321">
        <f>ROUNDDOWN(IF( OR( AND(tabItens[[#This Row],[PontoPed]]&lt;tabItens[[#This Row],[Saldo]],tabItens[[#This Row],[Saldo]]&gt;0), tabItens[[#This Row],[PontoPed]]=0), 99, IF(AND(tabItens[[#This Row],[Saldo]]=0,tabItens[[#This Row],[PontoPed]]&gt;0), 0, (1-tabItens[[#This Row],[PctAb]])*10 ) ),0)</f>
        <v>9</v>
      </c>
      <c r="BE123" s="322">
        <f>MAX(ROUNDDOWN( IF(tabItens[[#This Row],[Abaixo]] &gt; 0,   tabItens[[#This Row],[Abaixo]] + (tabItens[[#This Row],[PontoMês]] * IF( OR( ISBLANK(tabItens[[#This Row],[ATA Nº/ANO]]), tabItens[[#This Row],[ATA Nº/ANO]] = ""),BE$2,BE$1)),0),0),0)</f>
        <v>160</v>
      </c>
      <c r="BF12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23">
        <f>SUMIF(Consumo!$C$3:$C$869,tabItens[[#This Row],[CÓDIGO]],Consumo!$E$3:$E$869)</f>
        <v>0</v>
      </c>
      <c r="BH123" s="324">
        <f>IF(AND(tabItens[[#This Row],[Pend]] &gt; 0,tabItens[[#This Row],[Consumo]] &lt;&gt; 0), tabItens[[#This Row],[Pend]] / tabItens[[#This Row],[Consumo]], 0 )</f>
        <v>0</v>
      </c>
      <c r="BI123" s="323"/>
      <c r="BJ123" s="323"/>
      <c r="BK123" s="325" t="s">
        <v>2064</v>
      </c>
    </row>
    <row r="124" spans="1:63" hidden="1" x14ac:dyDescent="0.3">
      <c r="A124" s="286">
        <v>136408</v>
      </c>
      <c r="B124" s="287" t="s">
        <v>1912</v>
      </c>
      <c r="C124" s="288" t="s">
        <v>31</v>
      </c>
      <c r="D124" s="289">
        <v>1.47</v>
      </c>
      <c r="E124" s="290"/>
      <c r="F124" s="290"/>
      <c r="G124" s="290" t="s">
        <v>883</v>
      </c>
      <c r="H124" s="291"/>
      <c r="I124" s="292">
        <v>103003</v>
      </c>
      <c r="J124" s="293">
        <v>1.47</v>
      </c>
      <c r="K124" s="294">
        <v>25867</v>
      </c>
      <c r="L124" s="295">
        <f>IF(tabItens[[#This Row],[Média]] &gt; 0, tabItens[[#This Row],[QTDE ATUAL]] / tabItens[[#This Row],[Média]],999.9)</f>
        <v>0</v>
      </c>
      <c r="M124" s="296">
        <v>0</v>
      </c>
      <c r="N124" s="297">
        <f>tabItens[[#This Row],[VALOR UNIT.]] * tabItens[[#This Row],[LC]]</f>
        <v>0</v>
      </c>
      <c r="O124" s="298"/>
      <c r="P124" s="299"/>
      <c r="Q124" s="300"/>
      <c r="R124" s="297"/>
      <c r="S124" s="301"/>
      <c r="T124" s="302">
        <f>ROUNDDOWN(IFERROR(tabItens[[#This Row],[ATA DT.VALID.]] - $D$1,0) / 30,0)</f>
        <v>-1504</v>
      </c>
      <c r="U124" s="287" t="s">
        <v>911</v>
      </c>
      <c r="V124" s="303">
        <v>1</v>
      </c>
      <c r="W124" s="304" t="s">
        <v>2052</v>
      </c>
      <c r="X124" s="305">
        <v>45</v>
      </c>
      <c r="Y124" s="306">
        <v>14</v>
      </c>
      <c r="Z124" s="307">
        <v>6982</v>
      </c>
      <c r="AA124" s="308">
        <v>2023</v>
      </c>
      <c r="AB124" s="309">
        <v>11700</v>
      </c>
      <c r="AC124" s="309"/>
      <c r="AD124" s="308"/>
      <c r="AE124" s="309"/>
      <c r="AF124" s="302"/>
      <c r="AG124" s="310" t="s">
        <v>2050</v>
      </c>
      <c r="AH124" s="311"/>
      <c r="AI124" s="302">
        <v>12232</v>
      </c>
      <c r="AJ124" s="311">
        <v>44924</v>
      </c>
      <c r="AK124" s="311">
        <v>43500</v>
      </c>
      <c r="AL124" s="311">
        <v>44910</v>
      </c>
      <c r="AM124" s="301"/>
      <c r="AN124" s="290"/>
      <c r="AO124" s="312" t="str">
        <f>_xlfn.IFNA(IF(VLOOKUP(tabItens[[#This Row],[CÓDIGO]],tabExcluirDoEstoque[#Data],1,FALSE),"sim",""),"")</f>
        <v/>
      </c>
      <c r="AP124" s="313" t="str">
        <f ca="1">IF(OR(ISBLANK(tabItens[[#This Row],[ATA DT.VALID.]]),tabItens[[#This Row],[ATA DT.VALID.]]="",tabItens[[#This Row],[ATA DT.VALID.]]=" "),"",IF(TYPE(tabItens[[#This Row],[ATA DT.VALID.]])=1,ROUNDUP((tabItens[[#This Row],[ATA DT.VALID.]]-TODAY())/7,0),""))</f>
        <v/>
      </c>
      <c r="AQ124" s="314"/>
      <c r="AR124" s="315" t="str">
        <f>IF(ISBLANK(tabItens[[#This Row],[CÓDIGO]]),"",IFERROR(VLOOKUP(tabItens[[#This Row],[CÓDIGO]],Consumo!$C$2:$AC$869,26,FALSE),0))</f>
        <v>07.2023</v>
      </c>
      <c r="AS124" s="316">
        <f>SUMIF(Consumo!$C$3:$C$869,tabItens[[#This Row],[CÓDIGO]],Consumo!$N$3:$N$869) + SUMIF(Consumo!$C$3:$C$869,tabItens[[#This Row],[CÓDIGO]],Consumo!$O$3:$O$869) + SUMIF(Consumo!$C$3:$C$869,tabItens[[#This Row],[CÓDIGO]],Consumo!$P$3:$P$869) + SUMIF(Consumo!$C$3:$C$869,tabItens[[#This Row],[CÓDIGO]],Consumo!$Q$3:$Q$869)</f>
        <v>757</v>
      </c>
      <c r="AT124" s="316">
        <f>SUMIF(Consumo!$C$3:$C$869,tabItens[[#This Row],[CÓDIGO]],Consumo!$Z$3:$Z$869)</f>
        <v>28650</v>
      </c>
      <c r="AU124" s="317">
        <f>SUMIF(Consumo!$C$3:$C$869,tabItens[[#This Row],[CÓDIGO]],Consumo!$AA$3:$AA$869)</f>
        <v>20690</v>
      </c>
      <c r="AV124" s="318">
        <f>SUMIF(Consumo!$C$3:$C$869,tabItens[[#This Row],[CÓDIGO]],Consumo!$Y$3:$Y$869)</f>
        <v>1790.5</v>
      </c>
      <c r="AW124" s="291">
        <f>tabItens[[#This Row],[QTDE ATUAL]] + tabItens[[#This Row],[RC QTDE]] + tabItens[[#This Row],[AF SALDO]] + tabItens[[#This Row],[Recentes]]</f>
        <v>11700</v>
      </c>
      <c r="AX124" s="319">
        <v>3036</v>
      </c>
      <c r="AY124" s="319">
        <v>4</v>
      </c>
      <c r="AZ124" s="319">
        <f>IF(ISBLANK(tabItens[[#This Row],[CÓDIGO]]),"",tabItens[[#This Row],[PontoMês]] * (AZ$2+tabItens[[#This Row],[PontoQtM]]))</f>
        <v>12144</v>
      </c>
      <c r="BA124" s="318">
        <f>tabItens[[#This Row],[PontoPed]] - tabItens[[#This Row],[Saldo]] + (1/10)</f>
        <v>444.1</v>
      </c>
      <c r="BB124" s="318">
        <f xml:space="preserve"> tabItens[[#This Row],[PontoMês]] * BB$2 - tabItens[[#This Row],[QTDE ATUAL]] - (1/10)</f>
        <v>3035.9</v>
      </c>
      <c r="BC124" s="320">
        <f>IF( tabItens[[#This Row],[PontoPed]]&gt;0, IF(tabItens[[#This Row],[PontoPed]]&lt;1, 1, IF( tabItens[[#This Row],[Saldo]]&gt;tabItens[[#This Row],[PontoPed]], 0, (tabItens[[#This Row],[PontoPed]]-tabItens[[#This Row],[Saldo]])/tabItens[[#This Row],[PontoPed]] ) ), 0 )</f>
        <v>3.6561264822134384E-2</v>
      </c>
      <c r="BD124" s="321">
        <f>ROUNDDOWN(IF( OR( AND(tabItens[[#This Row],[PontoPed]]&lt;tabItens[[#This Row],[Saldo]],tabItens[[#This Row],[Saldo]]&gt;0), tabItens[[#This Row],[PontoPed]]=0), 99, IF(AND(tabItens[[#This Row],[Saldo]]=0,tabItens[[#This Row],[PontoPed]]&gt;0), 0, (1-tabItens[[#This Row],[PctAb]])*10 ) ),0)</f>
        <v>9</v>
      </c>
      <c r="BE124" s="322">
        <f>MAX(ROUNDDOWN( IF(tabItens[[#This Row],[Abaixo]] &gt; 0,   tabItens[[#This Row],[Abaixo]] + (tabItens[[#This Row],[PontoMês]] * IF( OR( ISBLANK(tabItens[[#This Row],[ATA Nº/ANO]]), tabItens[[#This Row],[ATA Nº/ANO]] = ""),BE$2,BE$1)),0),0),0)</f>
        <v>18660</v>
      </c>
      <c r="BF12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124" s="323">
        <f>SUMIF(Consumo!$C$3:$C$869,tabItens[[#This Row],[CÓDIGO]],Consumo!$E$3:$E$869)</f>
        <v>952</v>
      </c>
      <c r="BH124" s="324">
        <f>IF(AND(tabItens[[#This Row],[Pend]] &gt; 0,tabItens[[#This Row],[Consumo]] &lt;&gt; 0), tabItens[[#This Row],[Pend]] / tabItens[[#This Row],[Consumo]], 0 )</f>
        <v>3.3228621291448518E-2</v>
      </c>
      <c r="BI124" s="323"/>
      <c r="BJ124" s="323"/>
      <c r="BK124" s="325" t="s">
        <v>2064</v>
      </c>
    </row>
    <row r="125" spans="1:63" hidden="1" x14ac:dyDescent="0.3">
      <c r="A125" s="286">
        <v>82452</v>
      </c>
      <c r="B125" s="287" t="s">
        <v>1476</v>
      </c>
      <c r="C125" s="288" t="s">
        <v>256</v>
      </c>
      <c r="D125" s="289">
        <v>6.87</v>
      </c>
      <c r="E125" s="290"/>
      <c r="F125" s="290"/>
      <c r="G125" s="290" t="s">
        <v>883</v>
      </c>
      <c r="H125" s="291">
        <v>2</v>
      </c>
      <c r="I125" s="292">
        <v>103003</v>
      </c>
      <c r="J125" s="293">
        <v>6.87</v>
      </c>
      <c r="K125" s="294">
        <v>147</v>
      </c>
      <c r="L125" s="295">
        <f>IF(tabItens[[#This Row],[Média]] &gt; 0, tabItens[[#This Row],[QTDE ATUAL]] / tabItens[[#This Row],[Média]],999.9)</f>
        <v>0.16</v>
      </c>
      <c r="M125" s="296">
        <v>0</v>
      </c>
      <c r="N125" s="297">
        <f>tabItens[[#This Row],[VALOR UNIT.]] * tabItens[[#This Row],[LC]]</f>
        <v>0</v>
      </c>
      <c r="O125" s="298" t="s">
        <v>2080</v>
      </c>
      <c r="P125" s="299"/>
      <c r="Q125" s="300"/>
      <c r="R125" s="297"/>
      <c r="S125" s="301"/>
      <c r="T125" s="302">
        <f>ROUNDDOWN(IFERROR(tabItens[[#This Row],[ATA DT.VALID.]] - $D$1,0) / 30,0)</f>
        <v>-1504</v>
      </c>
      <c r="U125" s="287" t="s">
        <v>964</v>
      </c>
      <c r="V125" s="303">
        <v>1</v>
      </c>
      <c r="W125" s="304" t="s">
        <v>2054</v>
      </c>
      <c r="X125" s="305">
        <v>61</v>
      </c>
      <c r="Y125" s="306">
        <v>8</v>
      </c>
      <c r="Z125" s="307">
        <v>2453</v>
      </c>
      <c r="AA125" s="308">
        <v>2023</v>
      </c>
      <c r="AB125" s="309">
        <v>50</v>
      </c>
      <c r="AC125" s="309"/>
      <c r="AD125" s="308"/>
      <c r="AE125" s="309"/>
      <c r="AF125" s="302"/>
      <c r="AG125" s="310" t="s">
        <v>2050</v>
      </c>
      <c r="AH125" s="311"/>
      <c r="AI125" s="302">
        <v>52</v>
      </c>
      <c r="AJ125" s="311">
        <v>44946</v>
      </c>
      <c r="AK125" s="311">
        <v>38296</v>
      </c>
      <c r="AL125" s="311">
        <v>44942</v>
      </c>
      <c r="AM125" s="301"/>
      <c r="AN125" s="290"/>
      <c r="AO125" s="312" t="str">
        <f>_xlfn.IFNA(IF(VLOOKUP(tabItens[[#This Row],[CÓDIGO]],tabExcluirDoEstoque[#Data],1,FALSE),"sim",""),"")</f>
        <v/>
      </c>
      <c r="AP125" s="313" t="str">
        <f ca="1">IF(OR(ISBLANK(tabItens[[#This Row],[ATA DT.VALID.]]),tabItens[[#This Row],[ATA DT.VALID.]]="",tabItens[[#This Row],[ATA DT.VALID.]]=" "),"",IF(TYPE(tabItens[[#This Row],[ATA DT.VALID.]])=1,ROUNDUP((tabItens[[#This Row],[ATA DT.VALID.]]-TODAY())/7,0),""))</f>
        <v/>
      </c>
      <c r="AQ125" s="314">
        <v>0</v>
      </c>
      <c r="AR125" s="315" t="str">
        <f>IF(ISBLANK(tabItens[[#This Row],[CÓDIGO]]),"",IFERROR(VLOOKUP(tabItens[[#This Row],[CÓDIGO]],Consumo!$C$2:$AC$869,26,FALSE),0))</f>
        <v>04.2023</v>
      </c>
      <c r="AS125" s="316">
        <f>SUMIF(Consumo!$C$3:$C$869,tabItens[[#This Row],[CÓDIGO]],Consumo!$N$3:$N$869) + SUMIF(Consumo!$C$3:$C$869,tabItens[[#This Row],[CÓDIGO]],Consumo!$O$3:$O$869) + SUMIF(Consumo!$C$3:$C$869,tabItens[[#This Row],[CÓDIGO]],Consumo!$P$3:$P$869) + SUMIF(Consumo!$C$3:$C$869,tabItens[[#This Row],[CÓDIGO]],Consumo!$Q$3:$Q$869)</f>
        <v>20</v>
      </c>
      <c r="AT125" s="316">
        <f>SUMIF(Consumo!$C$3:$C$869,tabItens[[#This Row],[CÓDIGO]],Consumo!$Z$3:$Z$869)</f>
        <v>157</v>
      </c>
      <c r="AU125" s="317">
        <f>SUMIF(Consumo!$C$3:$C$869,tabItens[[#This Row],[CÓDIGO]],Consumo!$AA$3:$AA$869)</f>
        <v>50</v>
      </c>
      <c r="AV125" s="318">
        <f>SUMIF(Consumo!$C$3:$C$869,tabItens[[#This Row],[CÓDIGO]],Consumo!$Y$3:$Y$869)</f>
        <v>12.5</v>
      </c>
      <c r="AW125" s="291">
        <f>tabItens[[#This Row],[QTDE ATUAL]] + tabItens[[#This Row],[RC QTDE]] + tabItens[[#This Row],[AF SALDO]] + tabItens[[#This Row],[Recentes]]</f>
        <v>52</v>
      </c>
      <c r="AX125" s="319">
        <v>13</v>
      </c>
      <c r="AY125" s="319">
        <v>4</v>
      </c>
      <c r="AZ125" s="319">
        <f>IF(ISBLANK(tabItens[[#This Row],[CÓDIGO]]),"",tabItens[[#This Row],[PontoMês]] * (AZ$2+tabItens[[#This Row],[PontoQtM]]))</f>
        <v>52</v>
      </c>
      <c r="BA125" s="318">
        <f>tabItens[[#This Row],[PontoPed]] - tabItens[[#This Row],[Saldo]] + (1/10)</f>
        <v>0.1</v>
      </c>
      <c r="BB125" s="318">
        <f xml:space="preserve"> tabItens[[#This Row],[PontoMês]] * BB$2 - tabItens[[#This Row],[QTDE ATUAL]] - (1/10)</f>
        <v>10.9</v>
      </c>
      <c r="BC125" s="320">
        <f>IF( tabItens[[#This Row],[PontoPed]]&gt;0, IF(tabItens[[#This Row],[PontoPed]]&lt;1, 1, IF( tabItens[[#This Row],[Saldo]]&gt;tabItens[[#This Row],[PontoPed]], 0, (tabItens[[#This Row],[PontoPed]]-tabItens[[#This Row],[Saldo]])/tabItens[[#This Row],[PontoPed]] ) ), 0 )</f>
        <v>0</v>
      </c>
      <c r="BD125" s="321">
        <f>ROUNDDOWN(IF( OR( AND(tabItens[[#This Row],[PontoPed]]&lt;tabItens[[#This Row],[Saldo]],tabItens[[#This Row],[Saldo]]&gt;0), tabItens[[#This Row],[PontoPed]]=0), 99, IF(AND(tabItens[[#This Row],[Saldo]]=0,tabItens[[#This Row],[PontoPed]]&gt;0), 0, (1-tabItens[[#This Row],[PctAb]])*10 ) ),0)</f>
        <v>10</v>
      </c>
      <c r="BE125" s="322">
        <f>MAX(ROUNDDOWN( IF(tabItens[[#This Row],[Abaixo]] &gt; 0,   tabItens[[#This Row],[Abaixo]] + (tabItens[[#This Row],[PontoMês]] * IF( OR( ISBLANK(tabItens[[#This Row],[ATA Nº/ANO]]), tabItens[[#This Row],[ATA Nº/ANO]] = ""),BE$2,BE$1)),0),0),0)</f>
        <v>39</v>
      </c>
      <c r="BF1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23">
        <f>SUMIF(Consumo!$C$3:$C$869,tabItens[[#This Row],[CÓDIGO]],Consumo!$E$3:$E$869)</f>
        <v>0</v>
      </c>
      <c r="BH125" s="324">
        <f>IF(AND(tabItens[[#This Row],[Pend]] &gt; 0,tabItens[[#This Row],[Consumo]] &lt;&gt; 0), tabItens[[#This Row],[Pend]] / tabItens[[#This Row],[Consumo]], 0 )</f>
        <v>0</v>
      </c>
      <c r="BI125" s="323"/>
      <c r="BJ125" s="323"/>
      <c r="BK125" s="325" t="s">
        <v>2064</v>
      </c>
    </row>
    <row r="126" spans="1:63" x14ac:dyDescent="0.3">
      <c r="A126" s="396">
        <v>134581</v>
      </c>
      <c r="B126" s="397" t="s">
        <v>1893</v>
      </c>
      <c r="C126" s="398" t="s">
        <v>256</v>
      </c>
      <c r="D126" s="399">
        <v>55</v>
      </c>
      <c r="E126" s="290"/>
      <c r="F126" s="400"/>
      <c r="G126" s="400" t="s">
        <v>883</v>
      </c>
      <c r="H126" s="401">
        <v>0</v>
      </c>
      <c r="I126" s="292">
        <v>103003</v>
      </c>
      <c r="J126" s="293">
        <v>55</v>
      </c>
      <c r="K126" s="402">
        <v>60</v>
      </c>
      <c r="L126" s="403">
        <f>IF(tabItens[[#This Row],[Média]] &gt; 0, tabItens[[#This Row],[QTDE ATUAL]] / tabItens[[#This Row],[Média]],999.9)</f>
        <v>0</v>
      </c>
      <c r="M126" s="404">
        <v>0</v>
      </c>
      <c r="N126" s="405">
        <f>tabItens[[#This Row],[VALOR UNIT.]] * tabItens[[#This Row],[LC]]</f>
        <v>0</v>
      </c>
      <c r="O126" s="406" t="s">
        <v>2081</v>
      </c>
      <c r="P126" s="407"/>
      <c r="Q126" s="408"/>
      <c r="R126" s="297"/>
      <c r="S126" s="409"/>
      <c r="T126" s="410">
        <f>ROUNDDOWN(IFERROR(tabItens[[#This Row],[ATA DT.VALID.]] - $D$1,0) / 30,0)</f>
        <v>-1504</v>
      </c>
      <c r="U126" s="287" t="s">
        <v>1013</v>
      </c>
      <c r="V126" s="303">
        <v>1</v>
      </c>
      <c r="W126" s="411" t="s">
        <v>2054</v>
      </c>
      <c r="X126" s="412">
        <v>61</v>
      </c>
      <c r="Y126" s="413">
        <v>14</v>
      </c>
      <c r="Z126" s="414">
        <v>2605</v>
      </c>
      <c r="AA126" s="415">
        <v>2023</v>
      </c>
      <c r="AB126" s="416">
        <v>20</v>
      </c>
      <c r="AC126" s="416"/>
      <c r="AD126" s="415"/>
      <c r="AE126" s="416"/>
      <c r="AF126" s="302"/>
      <c r="AG126" s="417" t="s">
        <v>2050</v>
      </c>
      <c r="AH126" s="418"/>
      <c r="AI126" s="302">
        <v>22</v>
      </c>
      <c r="AJ126" s="418">
        <v>44651</v>
      </c>
      <c r="AK126" s="311">
        <v>43174</v>
      </c>
      <c r="AL126" s="311">
        <v>44607</v>
      </c>
      <c r="AM126" s="301"/>
      <c r="AN126" s="290"/>
      <c r="AO126" s="312" t="str">
        <f>_xlfn.IFNA(IF(VLOOKUP(tabItens[[#This Row],[CÓDIGO]],tabExcluirDoEstoque[#Data],1,FALSE),"sim",""),"")</f>
        <v/>
      </c>
      <c r="AP126" s="419" t="str">
        <f ca="1">IF(OR(ISBLANK(tabItens[[#This Row],[ATA DT.VALID.]]),tabItens[[#This Row],[ATA DT.VALID.]]="",tabItens[[#This Row],[ATA DT.VALID.]]=" "),"",IF(TYPE(tabItens[[#This Row],[ATA DT.VALID.]])=1,ROUNDUP((tabItens[[#This Row],[ATA DT.VALID.]]-TODAY())/7,0),""))</f>
        <v/>
      </c>
      <c r="AQ126" s="314">
        <v>0</v>
      </c>
      <c r="AR126" s="315" t="str">
        <f>IF(ISBLANK(tabItens[[#This Row],[CÓDIGO]]),"",IFERROR(VLOOKUP(tabItens[[#This Row],[CÓDIGO]],Consumo!$C$2:$AC$869,26,FALSE),0))</f>
        <v>04.2023</v>
      </c>
      <c r="AS126" s="316">
        <f>SUMIF(Consumo!$C$3:$C$869,tabItens[[#This Row],[CÓDIGO]],Consumo!$N$3:$N$869) + SUMIF(Consumo!$C$3:$C$869,tabItens[[#This Row],[CÓDIGO]],Consumo!$O$3:$O$869) + SUMIF(Consumo!$C$3:$C$869,tabItens[[#This Row],[CÓDIGO]],Consumo!$P$3:$P$869) + SUMIF(Consumo!$C$3:$C$869,tabItens[[#This Row],[CÓDIGO]],Consumo!$Q$3:$Q$869)</f>
        <v>22</v>
      </c>
      <c r="AT126" s="316">
        <f>SUMIF(Consumo!$C$3:$C$869,tabItens[[#This Row],[CÓDIGO]],Consumo!$Z$3:$Z$869)</f>
        <v>77</v>
      </c>
      <c r="AU126" s="317">
        <f>SUMIF(Consumo!$C$3:$C$869,tabItens[[#This Row],[CÓDIGO]],Consumo!$AA$3:$AA$869)</f>
        <v>22</v>
      </c>
      <c r="AV126" s="318">
        <f>SUMIF(Consumo!$C$3:$C$869,tabItens[[#This Row],[CÓDIGO]],Consumo!$Y$3:$Y$869)</f>
        <v>6.166666666666667</v>
      </c>
      <c r="AW126" s="401">
        <f>tabItens[[#This Row],[QTDE ATUAL]] + tabItens[[#This Row],[RC QTDE]] + tabItens[[#This Row],[AF SALDO]] + tabItens[[#This Row],[Recentes]]</f>
        <v>20</v>
      </c>
      <c r="AX126" s="420">
        <v>5</v>
      </c>
      <c r="AY126" s="420">
        <v>4</v>
      </c>
      <c r="AZ126" s="420">
        <f>IF(ISBLANK(tabItens[[#This Row],[CÓDIGO]]),"",tabItens[[#This Row],[PontoMês]] * (AZ$2+tabItens[[#This Row],[PontoQtM]]))</f>
        <v>20</v>
      </c>
      <c r="BA126" s="421">
        <f>tabItens[[#This Row],[PontoPed]] - tabItens[[#This Row],[Saldo]] + (1/10)</f>
        <v>0.1</v>
      </c>
      <c r="BB126" s="421">
        <f xml:space="preserve"> tabItens[[#This Row],[PontoMês]] * BB$2 - tabItens[[#This Row],[QTDE ATUAL]] - (1/10)</f>
        <v>4.9000000000000004</v>
      </c>
      <c r="BC126" s="320">
        <f>IF( tabItens[[#This Row],[PontoPed]]&gt;0, IF(tabItens[[#This Row],[PontoPed]]&lt;1, 1, IF( tabItens[[#This Row],[Saldo]]&gt;tabItens[[#This Row],[PontoPed]], 0, (tabItens[[#This Row],[PontoPed]]-tabItens[[#This Row],[Saldo]])/tabItens[[#This Row],[PontoPed]] ) ), 0 )</f>
        <v>0</v>
      </c>
      <c r="BD126" s="422">
        <f>ROUNDDOWN(IF( OR( AND(tabItens[[#This Row],[PontoPed]]&lt;tabItens[[#This Row],[Saldo]],tabItens[[#This Row],[Saldo]]&gt;0), tabItens[[#This Row],[PontoPed]]=0), 99, IF(AND(tabItens[[#This Row],[Saldo]]=0,tabItens[[#This Row],[PontoPed]]&gt;0), 0, (1-tabItens[[#This Row],[PctAb]])*10 ) ),0)</f>
        <v>10</v>
      </c>
      <c r="BE126" s="423">
        <f>MAX(ROUNDDOWN( IF(tabItens[[#This Row],[Abaixo]] &gt; 0,   tabItens[[#This Row],[Abaixo]] + (tabItens[[#This Row],[PontoMês]] * IF( OR( ISBLANK(tabItens[[#This Row],[ATA Nº/ANO]]), tabItens[[#This Row],[ATA Nº/ANO]] = ""),BE$2,BE$1)),0),0),0)</f>
        <v>15</v>
      </c>
      <c r="BF12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23">
        <f>SUMIF(Consumo!$C$3:$C$869,tabItens[[#This Row],[CÓDIGO]],Consumo!$E$3:$E$869)</f>
        <v>11</v>
      </c>
      <c r="BH126" s="324">
        <f>IF(AND(tabItens[[#This Row],[Pend]] &gt; 0,tabItens[[#This Row],[Consumo]] &lt;&gt; 0), tabItens[[#This Row],[Pend]] / tabItens[[#This Row],[Consumo]], 0 )</f>
        <v>0.14285714285714285</v>
      </c>
      <c r="BI126" s="323"/>
      <c r="BJ126" s="424"/>
      <c r="BK126" s="425" t="s">
        <v>2064</v>
      </c>
    </row>
    <row r="127" spans="1:63" hidden="1" x14ac:dyDescent="0.3">
      <c r="A127" s="286">
        <v>134247</v>
      </c>
      <c r="B127" s="287" t="s">
        <v>1866</v>
      </c>
      <c r="C127" s="288" t="s">
        <v>1860</v>
      </c>
      <c r="D127" s="289">
        <v>109.73</v>
      </c>
      <c r="E127" s="290"/>
      <c r="F127" s="290" t="s">
        <v>1862</v>
      </c>
      <c r="G127" s="290" t="s">
        <v>1867</v>
      </c>
      <c r="H127" s="291">
        <v>117.39</v>
      </c>
      <c r="I127" s="292">
        <v>103003</v>
      </c>
      <c r="J127" s="293">
        <v>133.28201999999999</v>
      </c>
      <c r="K127" s="294">
        <v>310.95999999999998</v>
      </c>
      <c r="L127" s="295">
        <f>IF(tabItens[[#This Row],[Média]] &gt; 0, tabItens[[#This Row],[QTDE ATUAL]] / tabItens[[#This Row],[Média]],999.9)</f>
        <v>3.3067605633802817</v>
      </c>
      <c r="M127" s="296">
        <v>0</v>
      </c>
      <c r="N127" s="297">
        <f>tabItens[[#This Row],[VALOR UNIT.]] * tabItens[[#This Row],[LC]]</f>
        <v>0</v>
      </c>
      <c r="O127" s="298" t="s">
        <v>1868</v>
      </c>
      <c r="P127" s="299">
        <v>0</v>
      </c>
      <c r="Q127" s="300">
        <v>0</v>
      </c>
      <c r="R127" s="297">
        <v>0</v>
      </c>
      <c r="S127" s="301">
        <v>45173</v>
      </c>
      <c r="T127" s="302">
        <f>ROUNDDOWN(IFERROR(tabItens[[#This Row],[ATA DT.VALID.]] - $D$1,0) / 30,0)</f>
        <v>1</v>
      </c>
      <c r="U127" s="287" t="s">
        <v>1865</v>
      </c>
      <c r="V127" s="303">
        <v>1</v>
      </c>
      <c r="W127" s="304" t="s">
        <v>2049</v>
      </c>
      <c r="X127" s="305">
        <v>51</v>
      </c>
      <c r="Y127" s="306">
        <v>2</v>
      </c>
      <c r="Z127" s="307"/>
      <c r="AA127" s="308"/>
      <c r="AB127" s="309"/>
      <c r="AC127" s="309">
        <v>4827</v>
      </c>
      <c r="AD127" s="308">
        <v>2023</v>
      </c>
      <c r="AE127" s="309">
        <v>61.679951701</v>
      </c>
      <c r="AF127" s="302">
        <v>200</v>
      </c>
      <c r="AG127" s="310" t="s">
        <v>2048</v>
      </c>
      <c r="AH127" s="311">
        <v>45072</v>
      </c>
      <c r="AI127" s="302">
        <v>148</v>
      </c>
      <c r="AJ127" s="311">
        <v>45098</v>
      </c>
      <c r="AK127" s="311">
        <v>43138</v>
      </c>
      <c r="AL127" s="311">
        <v>45072</v>
      </c>
      <c r="AM127" s="301"/>
      <c r="AN127" s="290"/>
      <c r="AO127" s="312" t="str">
        <f>_xlfn.IFNA(IF(VLOOKUP(tabItens[[#This Row],[CÓDIGO]],tabExcluirDoEstoque[#Data],1,FALSE),"sim",""),"")</f>
        <v/>
      </c>
      <c r="AP127" s="313">
        <f ca="1">IF(OR(ISBLANK(tabItens[[#This Row],[ATA DT.VALID.]]),tabItens[[#This Row],[ATA DT.VALID.]]="",tabItens[[#This Row],[ATA DT.VALID.]]=" "),"",IF(TYPE(tabItens[[#This Row],[ATA DT.VALID.]])=1,ROUNDUP((tabItens[[#This Row],[ATA DT.VALID.]]-TODAY())/7,0),""))</f>
        <v>-12</v>
      </c>
      <c r="AQ127" s="314">
        <v>0</v>
      </c>
      <c r="AR127" s="315" t="str">
        <f>IF(ISBLANK(tabItens[[#This Row],[CÓDIGO]]),"",IFERROR(VLOOKUP(tabItens[[#This Row],[CÓDIGO]],Consumo!$C$2:$AC$869,26,FALSE),0))</f>
        <v>07.2023</v>
      </c>
      <c r="AS127" s="316">
        <f>SUMIF(Consumo!$C$3:$C$869,tabItens[[#This Row],[CÓDIGO]],Consumo!$N$3:$N$869) + SUMIF(Consumo!$C$3:$C$869,tabItens[[#This Row],[CÓDIGO]],Consumo!$O$3:$O$869) + SUMIF(Consumo!$C$3:$C$869,tabItens[[#This Row],[CÓDIGO]],Consumo!$P$3:$P$869) + SUMIF(Consumo!$C$3:$C$869,tabItens[[#This Row],[CÓDIGO]],Consumo!$Q$3:$Q$869)</f>
        <v>201.42000000000002</v>
      </c>
      <c r="AT127" s="316">
        <f>SUMIF(Consumo!$C$3:$C$869,tabItens[[#This Row],[CÓDIGO]],Consumo!$Z$3:$Z$869)</f>
        <v>434</v>
      </c>
      <c r="AU127" s="317">
        <f>SUMIF(Consumo!$C$3:$C$869,tabItens[[#This Row],[CÓDIGO]],Consumo!$AA$3:$AA$869)</f>
        <v>91</v>
      </c>
      <c r="AV127" s="318">
        <f>SUMIF(Consumo!$C$3:$C$869,tabItens[[#This Row],[CÓDIGO]],Consumo!$Y$3:$Y$869)</f>
        <v>35.5</v>
      </c>
      <c r="AW127" s="291">
        <f>tabItens[[#This Row],[QTDE ATUAL]] + tabItens[[#This Row],[RC QTDE]] + tabItens[[#This Row],[AF SALDO]] + tabItens[[#This Row],[Recentes]]</f>
        <v>179.06995170100001</v>
      </c>
      <c r="AX127" s="319">
        <v>42</v>
      </c>
      <c r="AY127" s="319">
        <v>3</v>
      </c>
      <c r="AZ127" s="319">
        <f>IF(ISBLANK(tabItens[[#This Row],[CÓDIGO]]),"",tabItens[[#This Row],[PontoMês]] * (AZ$2+tabItens[[#This Row],[PontoQtM]]))</f>
        <v>126</v>
      </c>
      <c r="BA127" s="318">
        <f>tabItens[[#This Row],[PontoPed]] - tabItens[[#This Row],[Saldo]] + (1/10)</f>
        <v>-52.969951701000006</v>
      </c>
      <c r="BB127" s="318">
        <f xml:space="preserve"> tabItens[[#This Row],[PontoMês]] * BB$2 - tabItens[[#This Row],[QTDE ATUAL]] - (1/10)</f>
        <v>-75.489999999999995</v>
      </c>
      <c r="BC127" s="320">
        <f>IF( tabItens[[#This Row],[PontoPed]]&gt;0, IF(tabItens[[#This Row],[PontoPed]]&lt;1, 1, IF( tabItens[[#This Row],[Saldo]]&gt;tabItens[[#This Row],[PontoPed]], 0, (tabItens[[#This Row],[PontoPed]]-tabItens[[#This Row],[Saldo]])/tabItens[[#This Row],[PontoPed]] ) ), 0 )</f>
        <v>0</v>
      </c>
      <c r="BD127" s="321">
        <f>ROUNDDOWN(IF( OR( AND(tabItens[[#This Row],[PontoPed]]&lt;tabItens[[#This Row],[Saldo]],tabItens[[#This Row],[Saldo]]&gt;0), tabItens[[#This Row],[PontoPed]]=0), 99, IF(AND(tabItens[[#This Row],[Saldo]]=0,tabItens[[#This Row],[PontoPed]]&gt;0), 0, (1-tabItens[[#This Row],[PctAb]])*10 ) ),0)</f>
        <v>99</v>
      </c>
      <c r="BE127" s="322">
        <f>MAX(ROUNDDOWN( IF(tabItens[[#This Row],[Abaixo]] &gt; 0,   tabItens[[#This Row],[Abaixo]] + (tabItens[[#This Row],[PontoMês]] * IF( OR( ISBLANK(tabItens[[#This Row],[ATA Nº/ANO]]), tabItens[[#This Row],[ATA Nº/ANO]] = ""),BE$2,BE$1)),0),0),0)</f>
        <v>0</v>
      </c>
      <c r="BF12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23">
        <f>SUMIF(Consumo!$C$3:$C$869,tabItens[[#This Row],[CÓDIGO]],Consumo!$E$3:$E$869)</f>
        <v>36.04</v>
      </c>
      <c r="BH127" s="324">
        <f>IF(AND(tabItens[[#This Row],[Pend]] &gt; 0,tabItens[[#This Row],[Consumo]] &lt;&gt; 0), tabItens[[#This Row],[Pend]] / tabItens[[#This Row],[Consumo]], 0 )</f>
        <v>8.3041474654377875E-2</v>
      </c>
      <c r="BI127" s="323"/>
      <c r="BJ127" s="323"/>
      <c r="BK127" s="325" t="s">
        <v>2064</v>
      </c>
    </row>
    <row r="128" spans="1:63" hidden="1" x14ac:dyDescent="0.3">
      <c r="A128" s="286">
        <v>130024</v>
      </c>
      <c r="B128" s="287" t="s">
        <v>1791</v>
      </c>
      <c r="C128" s="288" t="s">
        <v>413</v>
      </c>
      <c r="D128" s="289">
        <v>3.12</v>
      </c>
      <c r="E128" s="290" t="s">
        <v>1792</v>
      </c>
      <c r="F128" s="290" t="s">
        <v>951</v>
      </c>
      <c r="G128" s="290" t="s">
        <v>952</v>
      </c>
      <c r="H128" s="291">
        <v>1398</v>
      </c>
      <c r="I128" s="292">
        <v>103003</v>
      </c>
      <c r="J128" s="293">
        <v>3.12</v>
      </c>
      <c r="K128" s="294">
        <v>2281</v>
      </c>
      <c r="L128" s="295">
        <f>IF(tabItens[[#This Row],[Média]] &gt; 0, tabItens[[#This Row],[QTDE ATUAL]] / tabItens[[#This Row],[Média]],999.9)</f>
        <v>4.4275534441805222</v>
      </c>
      <c r="M128" s="296">
        <v>0</v>
      </c>
      <c r="N128" s="297">
        <f>tabItens[[#This Row],[VALOR UNIT.]] * tabItens[[#This Row],[LC]]</f>
        <v>0</v>
      </c>
      <c r="O128" s="298" t="s">
        <v>953</v>
      </c>
      <c r="P128" s="299">
        <v>0</v>
      </c>
      <c r="Q128" s="300">
        <v>6640</v>
      </c>
      <c r="R128" s="297">
        <v>20716.8</v>
      </c>
      <c r="S128" s="301">
        <v>45189</v>
      </c>
      <c r="T128" s="302">
        <f>ROUNDDOWN(IFERROR(tabItens[[#This Row],[ATA DT.VALID.]] - $D$1,0) / 30,0)</f>
        <v>1</v>
      </c>
      <c r="U128" s="287" t="s">
        <v>1793</v>
      </c>
      <c r="V128" s="303">
        <v>1</v>
      </c>
      <c r="W128" s="304" t="s">
        <v>2051</v>
      </c>
      <c r="X128" s="305">
        <v>52</v>
      </c>
      <c r="Y128" s="306">
        <v>8</v>
      </c>
      <c r="Z128" s="307"/>
      <c r="AA128" s="308"/>
      <c r="AB128" s="309"/>
      <c r="AC128" s="309"/>
      <c r="AD128" s="308"/>
      <c r="AE128" s="309"/>
      <c r="AF128" s="302"/>
      <c r="AG128" s="310" t="s">
        <v>2050</v>
      </c>
      <c r="AH128" s="311"/>
      <c r="AI128" s="302">
        <v>1258</v>
      </c>
      <c r="AJ128" s="311">
        <v>45117</v>
      </c>
      <c r="AK128" s="311">
        <v>42065</v>
      </c>
      <c r="AL128" s="311">
        <v>45098</v>
      </c>
      <c r="AM128" s="301"/>
      <c r="AN128" s="290"/>
      <c r="AO128" s="312" t="str">
        <f>_xlfn.IFNA(IF(VLOOKUP(tabItens[[#This Row],[CÓDIGO]],tabExcluirDoEstoque[#Data],1,FALSE),"sim",""),"")</f>
        <v/>
      </c>
      <c r="AP128" s="313">
        <f ca="1">IF(OR(ISBLANK(tabItens[[#This Row],[ATA DT.VALID.]]),tabItens[[#This Row],[ATA DT.VALID.]]="",tabItens[[#This Row],[ATA DT.VALID.]]=" "),"",IF(TYPE(tabItens[[#This Row],[ATA DT.VALID.]])=1,ROUNDUP((tabItens[[#This Row],[ATA DT.VALID.]]-TODAY())/7,0),""))</f>
        <v>-10</v>
      </c>
      <c r="AQ128" s="314">
        <v>0</v>
      </c>
      <c r="AR128" s="315" t="str">
        <f>IF(ISBLANK(tabItens[[#This Row],[CÓDIGO]]),"",IFERROR(VLOOKUP(tabItens[[#This Row],[CÓDIGO]],Consumo!$C$2:$AC$869,26,FALSE),0))</f>
        <v>07.2023</v>
      </c>
      <c r="AS128" s="316">
        <f>SUMIF(Consumo!$C$3:$C$869,tabItens[[#This Row],[CÓDIGO]],Consumo!$N$3:$N$869) + SUMIF(Consumo!$C$3:$C$869,tabItens[[#This Row],[CÓDIGO]],Consumo!$O$3:$O$869) + SUMIF(Consumo!$C$3:$C$869,tabItens[[#This Row],[CÓDIGO]],Consumo!$P$3:$P$869) + SUMIF(Consumo!$C$3:$C$869,tabItens[[#This Row],[CÓDIGO]],Consumo!$Q$3:$Q$869)</f>
        <v>1417</v>
      </c>
      <c r="AT128" s="316">
        <f>SUMIF(Consumo!$C$3:$C$869,tabItens[[#This Row],[CÓDIGO]],Consumo!$Z$3:$Z$869)</f>
        <v>3789</v>
      </c>
      <c r="AU128" s="317">
        <f>SUMIF(Consumo!$C$3:$C$869,tabItens[[#This Row],[CÓDIGO]],Consumo!$AA$3:$AA$869)</f>
        <v>469</v>
      </c>
      <c r="AV128" s="318">
        <f>SUMIF(Consumo!$C$3:$C$869,tabItens[[#This Row],[CÓDIGO]],Consumo!$Y$3:$Y$869)</f>
        <v>315.75</v>
      </c>
      <c r="AW128" s="291">
        <f>tabItens[[#This Row],[QTDE ATUAL]] + tabItens[[#This Row],[RC QTDE]] + tabItens[[#This Row],[AF SALDO]] + tabItens[[#This Row],[Recentes]]</f>
        <v>1398</v>
      </c>
      <c r="AX128" s="319">
        <v>265</v>
      </c>
      <c r="AY128" s="319">
        <v>4</v>
      </c>
      <c r="AZ128" s="319">
        <f>IF(ISBLANK(tabItens[[#This Row],[CÓDIGO]]),"",tabItens[[#This Row],[PontoMês]] * (AZ$2+tabItens[[#This Row],[PontoQtM]]))</f>
        <v>1060</v>
      </c>
      <c r="BA128" s="318">
        <f>tabItens[[#This Row],[PontoPed]] - tabItens[[#This Row],[Saldo]] + (1/10)</f>
        <v>-337.9</v>
      </c>
      <c r="BB128" s="318">
        <f xml:space="preserve"> tabItens[[#This Row],[PontoMês]] * BB$2 - tabItens[[#This Row],[QTDE ATUAL]] - (1/10)</f>
        <v>-1133.0999999999999</v>
      </c>
      <c r="BC128" s="320">
        <f>IF( tabItens[[#This Row],[PontoPed]]&gt;0, IF(tabItens[[#This Row],[PontoPed]]&lt;1, 1, IF( tabItens[[#This Row],[Saldo]]&gt;tabItens[[#This Row],[PontoPed]], 0, (tabItens[[#This Row],[PontoPed]]-tabItens[[#This Row],[Saldo]])/tabItens[[#This Row],[PontoPed]] ) ), 0 )</f>
        <v>0</v>
      </c>
      <c r="BD128" s="321">
        <f>ROUNDDOWN(IF( OR( AND(tabItens[[#This Row],[PontoPed]]&lt;tabItens[[#This Row],[Saldo]],tabItens[[#This Row],[Saldo]]&gt;0), tabItens[[#This Row],[PontoPed]]=0), 99, IF(AND(tabItens[[#This Row],[Saldo]]=0,tabItens[[#This Row],[PontoPed]]&gt;0), 0, (1-tabItens[[#This Row],[PctAb]])*10 ) ),0)</f>
        <v>99</v>
      </c>
      <c r="BE128" s="322">
        <f>MAX(ROUNDDOWN( IF(tabItens[[#This Row],[Abaixo]] &gt; 0,   tabItens[[#This Row],[Abaixo]] + (tabItens[[#This Row],[PontoMês]] * IF( OR( ISBLANK(tabItens[[#This Row],[ATA Nº/ANO]]), tabItens[[#This Row],[ATA Nº/ANO]] = ""),BE$2,BE$1)),0),0),0)</f>
        <v>0</v>
      </c>
      <c r="BF12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23">
        <f>SUMIF(Consumo!$C$3:$C$869,tabItens[[#This Row],[CÓDIGO]],Consumo!$E$3:$E$869)</f>
        <v>15</v>
      </c>
      <c r="BH128" s="324">
        <f>IF(AND(tabItens[[#This Row],[Pend]] &gt; 0,tabItens[[#This Row],[Consumo]] &lt;&gt; 0), tabItens[[#This Row],[Pend]] / tabItens[[#This Row],[Consumo]], 0 )</f>
        <v>3.95882818685669E-3</v>
      </c>
      <c r="BI128" s="323"/>
      <c r="BJ128" s="323"/>
      <c r="BK128" s="325" t="s">
        <v>2064</v>
      </c>
    </row>
    <row r="129" spans="1:63" hidden="1" x14ac:dyDescent="0.3">
      <c r="A129" s="286">
        <v>119595</v>
      </c>
      <c r="B129" s="287" t="s">
        <v>1730</v>
      </c>
      <c r="C129" s="288" t="s">
        <v>281</v>
      </c>
      <c r="D129" s="289">
        <v>4.33</v>
      </c>
      <c r="E129" s="290" t="s">
        <v>1731</v>
      </c>
      <c r="F129" s="290" t="s">
        <v>1732</v>
      </c>
      <c r="G129" s="290" t="s">
        <v>952</v>
      </c>
      <c r="H129" s="291">
        <v>317</v>
      </c>
      <c r="I129" s="292">
        <v>103003</v>
      </c>
      <c r="J129" s="293">
        <v>4.33</v>
      </c>
      <c r="K129" s="294">
        <v>34</v>
      </c>
      <c r="L129" s="295">
        <f>IF(tabItens[[#This Row],[Média]] &gt; 0, tabItens[[#This Row],[QTDE ATUAL]] / tabItens[[#This Row],[Média]],999.9)</f>
        <v>108.6857142857143</v>
      </c>
      <c r="M129" s="296">
        <v>0</v>
      </c>
      <c r="N129" s="297">
        <f>tabItens[[#This Row],[VALOR UNIT.]] * tabItens[[#This Row],[LC]]</f>
        <v>0</v>
      </c>
      <c r="O129" s="298" t="s">
        <v>953</v>
      </c>
      <c r="P129" s="299">
        <v>0</v>
      </c>
      <c r="Q129" s="300">
        <v>44840</v>
      </c>
      <c r="R129" s="297">
        <v>194157.2</v>
      </c>
      <c r="S129" s="301">
        <v>45189</v>
      </c>
      <c r="T129" s="302">
        <f>ROUNDDOWN(IFERROR(tabItens[[#This Row],[ATA DT.VALID.]] - $D$1,0) / 30,0)</f>
        <v>1</v>
      </c>
      <c r="U129" s="287" t="s">
        <v>1733</v>
      </c>
      <c r="V129" s="303">
        <v>1</v>
      </c>
      <c r="W129" s="304" t="s">
        <v>2051</v>
      </c>
      <c r="X129" s="305">
        <v>62</v>
      </c>
      <c r="Y129" s="306">
        <v>26</v>
      </c>
      <c r="Z129" s="307"/>
      <c r="AA129" s="308"/>
      <c r="AB129" s="309"/>
      <c r="AC129" s="309"/>
      <c r="AD129" s="308"/>
      <c r="AE129" s="309"/>
      <c r="AF129" s="302"/>
      <c r="AG129" s="310" t="s">
        <v>2050</v>
      </c>
      <c r="AH129" s="311"/>
      <c r="AI129" s="302">
        <v>12</v>
      </c>
      <c r="AJ129" s="311">
        <v>44145</v>
      </c>
      <c r="AK129" s="311">
        <v>40638</v>
      </c>
      <c r="AL129" s="311">
        <v>44958</v>
      </c>
      <c r="AM129" s="301"/>
      <c r="AN129" s="290"/>
      <c r="AO129" s="312" t="str">
        <f>_xlfn.IFNA(IF(VLOOKUP(tabItens[[#This Row],[CÓDIGO]],tabExcluirDoEstoque[#Data],1,FALSE),"sim",""),"")</f>
        <v/>
      </c>
      <c r="AP129" s="313">
        <f ca="1">IF(OR(ISBLANK(tabItens[[#This Row],[ATA DT.VALID.]]),tabItens[[#This Row],[ATA DT.VALID.]]="",tabItens[[#This Row],[ATA DT.VALID.]]=" "),"",IF(TYPE(tabItens[[#This Row],[ATA DT.VALID.]])=1,ROUNDUP((tabItens[[#This Row],[ATA DT.VALID.]]-TODAY())/7,0),""))</f>
        <v>-10</v>
      </c>
      <c r="AQ129" s="314">
        <v>0</v>
      </c>
      <c r="AR129" s="315" t="str">
        <f>IF(ISBLANK(tabItens[[#This Row],[CÓDIGO]]),"",IFERROR(VLOOKUP(tabItens[[#This Row],[CÓDIGO]],Consumo!$C$2:$AC$869,26,FALSE),0))</f>
        <v>07.2023</v>
      </c>
      <c r="AS129" s="316">
        <f>SUMIF(Consumo!$C$3:$C$869,tabItens[[#This Row],[CÓDIGO]],Consumo!$N$3:$N$869) + SUMIF(Consumo!$C$3:$C$869,tabItens[[#This Row],[CÓDIGO]],Consumo!$O$3:$O$869) + SUMIF(Consumo!$C$3:$C$869,tabItens[[#This Row],[CÓDIGO]],Consumo!$P$3:$P$869) + SUMIF(Consumo!$C$3:$C$869,tabItens[[#This Row],[CÓDIGO]],Consumo!$Q$3:$Q$869)</f>
        <v>8</v>
      </c>
      <c r="AT129" s="316">
        <f>SUMIF(Consumo!$C$3:$C$869,tabItens[[#This Row],[CÓDIGO]],Consumo!$Z$3:$Z$869)</f>
        <v>37</v>
      </c>
      <c r="AU129" s="317">
        <f>SUMIF(Consumo!$C$3:$C$869,tabItens[[#This Row],[CÓDIGO]],Consumo!$AA$3:$AA$869)</f>
        <v>12</v>
      </c>
      <c r="AV129" s="318">
        <f>SUMIF(Consumo!$C$3:$C$869,tabItens[[#This Row],[CÓDIGO]],Consumo!$Y$3:$Y$869)</f>
        <v>2.9166666666666665</v>
      </c>
      <c r="AW129" s="291">
        <f>tabItens[[#This Row],[QTDE ATUAL]] + tabItens[[#This Row],[RC QTDE]] + tabItens[[#This Row],[AF SALDO]] + tabItens[[#This Row],[Recentes]]</f>
        <v>317</v>
      </c>
      <c r="AX129" s="319">
        <v>50</v>
      </c>
      <c r="AY129" s="319">
        <v>4</v>
      </c>
      <c r="AZ129" s="319">
        <f>IF(ISBLANK(tabItens[[#This Row],[CÓDIGO]]),"",tabItens[[#This Row],[PontoMês]] * (AZ$2+tabItens[[#This Row],[PontoQtM]]))</f>
        <v>200</v>
      </c>
      <c r="BA129" s="318">
        <f>tabItens[[#This Row],[PontoPed]] - tabItens[[#This Row],[Saldo]] + (1/10)</f>
        <v>-116.9</v>
      </c>
      <c r="BB129" s="318">
        <f xml:space="preserve"> tabItens[[#This Row],[PontoMês]] * BB$2 - tabItens[[#This Row],[QTDE ATUAL]] - (1/10)</f>
        <v>-267.10000000000002</v>
      </c>
      <c r="BC129" s="320">
        <f>IF( tabItens[[#This Row],[PontoPed]]&gt;0, IF(tabItens[[#This Row],[PontoPed]]&lt;1, 1, IF( tabItens[[#This Row],[Saldo]]&gt;tabItens[[#This Row],[PontoPed]], 0, (tabItens[[#This Row],[PontoPed]]-tabItens[[#This Row],[Saldo]])/tabItens[[#This Row],[PontoPed]] ) ), 0 )</f>
        <v>0</v>
      </c>
      <c r="BD129" s="321">
        <f>ROUNDDOWN(IF( OR( AND(tabItens[[#This Row],[PontoPed]]&lt;tabItens[[#This Row],[Saldo]],tabItens[[#This Row],[Saldo]]&gt;0), tabItens[[#This Row],[PontoPed]]=0), 99, IF(AND(tabItens[[#This Row],[Saldo]]=0,tabItens[[#This Row],[PontoPed]]&gt;0), 0, (1-tabItens[[#This Row],[PctAb]])*10 ) ),0)</f>
        <v>99</v>
      </c>
      <c r="BE129" s="322">
        <f>MAX(ROUNDDOWN( IF(tabItens[[#This Row],[Abaixo]] &gt; 0,   tabItens[[#This Row],[Abaixo]] + (tabItens[[#This Row],[PontoMês]] * IF( OR( ISBLANK(tabItens[[#This Row],[ATA Nº/ANO]]), tabItens[[#This Row],[ATA Nº/ANO]] = ""),BE$2,BE$1)),0),0),0)</f>
        <v>0</v>
      </c>
      <c r="BF12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323">
        <f>SUMIF(Consumo!$C$3:$C$869,tabItens[[#This Row],[CÓDIGO]],Consumo!$E$3:$E$869)</f>
        <v>0</v>
      </c>
      <c r="BH129" s="324">
        <f>IF(AND(tabItens[[#This Row],[Pend]] &gt; 0,tabItens[[#This Row],[Consumo]] &lt;&gt; 0), tabItens[[#This Row],[Pend]] / tabItens[[#This Row],[Consumo]], 0 )</f>
        <v>0</v>
      </c>
      <c r="BI129" s="323"/>
      <c r="BJ129" s="323"/>
      <c r="BK129" s="325" t="s">
        <v>2064</v>
      </c>
    </row>
    <row r="130" spans="1:63" hidden="1" x14ac:dyDescent="0.3">
      <c r="A130" s="286">
        <v>125641</v>
      </c>
      <c r="B130" s="287" t="s">
        <v>1762</v>
      </c>
      <c r="C130" s="288" t="s">
        <v>281</v>
      </c>
      <c r="D130" s="289">
        <v>1.02</v>
      </c>
      <c r="E130" s="290" t="s">
        <v>1763</v>
      </c>
      <c r="F130" s="290" t="s">
        <v>1732</v>
      </c>
      <c r="G130" s="290" t="s">
        <v>952</v>
      </c>
      <c r="H130" s="291">
        <v>15600</v>
      </c>
      <c r="I130" s="292">
        <v>103003</v>
      </c>
      <c r="J130" s="293">
        <v>1.02</v>
      </c>
      <c r="K130" s="294">
        <v>18283</v>
      </c>
      <c r="L130" s="295">
        <f>IF(tabItens[[#This Row],[Média]] &gt; 0, tabItens[[#This Row],[QTDE ATUAL]] / tabItens[[#This Row],[Média]],999.9)</f>
        <v>6.0566843535654202</v>
      </c>
      <c r="M130" s="296">
        <v>0</v>
      </c>
      <c r="N130" s="297">
        <f>tabItens[[#This Row],[VALOR UNIT.]] * tabItens[[#This Row],[LC]]</f>
        <v>0</v>
      </c>
      <c r="O130" s="298" t="s">
        <v>953</v>
      </c>
      <c r="P130" s="299">
        <v>0</v>
      </c>
      <c r="Q130" s="300">
        <v>198700</v>
      </c>
      <c r="R130" s="297">
        <v>202674</v>
      </c>
      <c r="S130" s="301">
        <v>45189</v>
      </c>
      <c r="T130" s="302">
        <f>ROUNDDOWN(IFERROR(tabItens[[#This Row],[ATA DT.VALID.]] - $D$1,0) / 30,0)</f>
        <v>1</v>
      </c>
      <c r="U130" s="287" t="s">
        <v>1733</v>
      </c>
      <c r="V130" s="303">
        <v>1</v>
      </c>
      <c r="W130" s="304" t="s">
        <v>2051</v>
      </c>
      <c r="X130" s="305">
        <v>62</v>
      </c>
      <c r="Y130" s="306">
        <v>26</v>
      </c>
      <c r="Z130" s="307"/>
      <c r="AA130" s="308"/>
      <c r="AB130" s="309"/>
      <c r="AC130" s="309"/>
      <c r="AD130" s="308"/>
      <c r="AE130" s="309"/>
      <c r="AF130" s="302"/>
      <c r="AG130" s="310" t="s">
        <v>2050</v>
      </c>
      <c r="AH130" s="311"/>
      <c r="AI130" s="302">
        <v>10302</v>
      </c>
      <c r="AJ130" s="311">
        <v>44949</v>
      </c>
      <c r="AK130" s="311">
        <v>41439</v>
      </c>
      <c r="AL130" s="311">
        <v>45082</v>
      </c>
      <c r="AM130" s="301"/>
      <c r="AN130" s="290"/>
      <c r="AO130" s="312" t="str">
        <f>_xlfn.IFNA(IF(VLOOKUP(tabItens[[#This Row],[CÓDIGO]],tabExcluirDoEstoque[#Data],1,FALSE),"sim",""),"")</f>
        <v/>
      </c>
      <c r="AP130" s="313">
        <f ca="1">IF(OR(ISBLANK(tabItens[[#This Row],[ATA DT.VALID.]]),tabItens[[#This Row],[ATA DT.VALID.]]="",tabItens[[#This Row],[ATA DT.VALID.]]=" "),"",IF(TYPE(tabItens[[#This Row],[ATA DT.VALID.]])=1,ROUNDUP((tabItens[[#This Row],[ATA DT.VALID.]]-TODAY())/7,0),""))</f>
        <v>-10</v>
      </c>
      <c r="AQ130" s="314">
        <v>0</v>
      </c>
      <c r="AR130" s="315" t="str">
        <f>IF(ISBLANK(tabItens[[#This Row],[CÓDIGO]]),"",IFERROR(VLOOKUP(tabItens[[#This Row],[CÓDIGO]],Consumo!$C$2:$AC$869,26,FALSE),0))</f>
        <v>07.2023</v>
      </c>
      <c r="AS130" s="316">
        <f>SUMIF(Consumo!$C$3:$C$869,tabItens[[#This Row],[CÓDIGO]],Consumo!$N$3:$N$869) + SUMIF(Consumo!$C$3:$C$869,tabItens[[#This Row],[CÓDIGO]],Consumo!$O$3:$O$869) + SUMIF(Consumo!$C$3:$C$869,tabItens[[#This Row],[CÓDIGO]],Consumo!$P$3:$P$869) + SUMIF(Consumo!$C$3:$C$869,tabItens[[#This Row],[CÓDIGO]],Consumo!$Q$3:$Q$869)</f>
        <v>10981</v>
      </c>
      <c r="AT130" s="316">
        <f>SUMIF(Consumo!$C$3:$C$869,tabItens[[#This Row],[CÓDIGO]],Consumo!$Z$3:$Z$869)</f>
        <v>30908</v>
      </c>
      <c r="AU130" s="317">
        <f>SUMIF(Consumo!$C$3:$C$869,tabItens[[#This Row],[CÓDIGO]],Consumo!$AA$3:$AA$869)</f>
        <v>3232</v>
      </c>
      <c r="AV130" s="318">
        <f>SUMIF(Consumo!$C$3:$C$869,tabItens[[#This Row],[CÓDIGO]],Consumo!$Y$3:$Y$869)</f>
        <v>2575.6666666666665</v>
      </c>
      <c r="AW130" s="291">
        <f>tabItens[[#This Row],[QTDE ATUAL]] + tabItens[[#This Row],[RC QTDE]] + tabItens[[#This Row],[AF SALDO]] + tabItens[[#This Row],[Recentes]]</f>
        <v>15600</v>
      </c>
      <c r="AX130" s="319">
        <v>1131</v>
      </c>
      <c r="AY130" s="319">
        <v>4</v>
      </c>
      <c r="AZ130" s="319">
        <f>IF(ISBLANK(tabItens[[#This Row],[CÓDIGO]]),"",tabItens[[#This Row],[PontoMês]] * (AZ$2+tabItens[[#This Row],[PontoQtM]]))</f>
        <v>4524</v>
      </c>
      <c r="BA130" s="318">
        <f>tabItens[[#This Row],[PontoPed]] - tabItens[[#This Row],[Saldo]] + (1/10)</f>
        <v>-11075.9</v>
      </c>
      <c r="BB130" s="318">
        <f xml:space="preserve"> tabItens[[#This Row],[PontoMês]] * BB$2 - tabItens[[#This Row],[QTDE ATUAL]] - (1/10)</f>
        <v>-14469.1</v>
      </c>
      <c r="BC130" s="320">
        <f>IF( tabItens[[#This Row],[PontoPed]]&gt;0, IF(tabItens[[#This Row],[PontoPed]]&lt;1, 1, IF( tabItens[[#This Row],[Saldo]]&gt;tabItens[[#This Row],[PontoPed]], 0, (tabItens[[#This Row],[PontoPed]]-tabItens[[#This Row],[Saldo]])/tabItens[[#This Row],[PontoPed]] ) ), 0 )</f>
        <v>0</v>
      </c>
      <c r="BD130" s="321">
        <f>ROUNDDOWN(IF( OR( AND(tabItens[[#This Row],[PontoPed]]&lt;tabItens[[#This Row],[Saldo]],tabItens[[#This Row],[Saldo]]&gt;0), tabItens[[#This Row],[PontoPed]]=0), 99, IF(AND(tabItens[[#This Row],[Saldo]]=0,tabItens[[#This Row],[PontoPed]]&gt;0), 0, (1-tabItens[[#This Row],[PctAb]])*10 ) ),0)</f>
        <v>99</v>
      </c>
      <c r="BE130" s="322">
        <f>MAX(ROUNDDOWN( IF(tabItens[[#This Row],[Abaixo]] &gt; 0,   tabItens[[#This Row],[Abaixo]] + (tabItens[[#This Row],[PontoMês]] * IF( OR( ISBLANK(tabItens[[#This Row],[ATA Nº/ANO]]), tabItens[[#This Row],[ATA Nº/ANO]] = ""),BE$2,BE$1)),0),0),0)</f>
        <v>0</v>
      </c>
      <c r="BF13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323">
        <f>SUMIF(Consumo!$C$3:$C$869,tabItens[[#This Row],[CÓDIGO]],Consumo!$E$3:$E$869)</f>
        <v>0</v>
      </c>
      <c r="BH130" s="324">
        <f>IF(AND(tabItens[[#This Row],[Pend]] &gt; 0,tabItens[[#This Row],[Consumo]] &lt;&gt; 0), tabItens[[#This Row],[Pend]] / tabItens[[#This Row],[Consumo]], 0 )</f>
        <v>0</v>
      </c>
      <c r="BI130" s="323"/>
      <c r="BJ130" s="323"/>
      <c r="BK130" s="325" t="s">
        <v>2064</v>
      </c>
    </row>
    <row r="131" spans="1:63" hidden="1" x14ac:dyDescent="0.3">
      <c r="A131" s="286">
        <v>12659</v>
      </c>
      <c r="B131" s="287" t="s">
        <v>949</v>
      </c>
      <c r="C131" s="288" t="s">
        <v>31</v>
      </c>
      <c r="D131" s="289">
        <v>3.53</v>
      </c>
      <c r="E131" s="290" t="s">
        <v>950</v>
      </c>
      <c r="F131" s="290" t="s">
        <v>951</v>
      </c>
      <c r="G131" s="290" t="s">
        <v>952</v>
      </c>
      <c r="H131" s="291">
        <v>1371</v>
      </c>
      <c r="I131" s="292">
        <v>103003</v>
      </c>
      <c r="J131" s="293">
        <v>3.53</v>
      </c>
      <c r="K131" s="294">
        <v>2286</v>
      </c>
      <c r="L131" s="295">
        <f>IF(tabItens[[#This Row],[Média]] &gt; 0, tabItens[[#This Row],[QTDE ATUAL]] / tabItens[[#This Row],[Média]],999.9)</f>
        <v>4.6435224386113463</v>
      </c>
      <c r="M131" s="296">
        <v>0</v>
      </c>
      <c r="N131" s="297">
        <f>tabItens[[#This Row],[VALOR UNIT.]] * tabItens[[#This Row],[LC]]</f>
        <v>0</v>
      </c>
      <c r="O131" s="298" t="s">
        <v>953</v>
      </c>
      <c r="P131" s="299">
        <v>0</v>
      </c>
      <c r="Q131" s="300">
        <v>1150</v>
      </c>
      <c r="R131" s="297">
        <v>4059.5</v>
      </c>
      <c r="S131" s="301">
        <v>45189</v>
      </c>
      <c r="T131" s="302">
        <f>ROUNDDOWN(IFERROR(tabItens[[#This Row],[ATA DT.VALID.]] - $D$1,0) / 30,0)</f>
        <v>1</v>
      </c>
      <c r="U131" s="287" t="s">
        <v>954</v>
      </c>
      <c r="V131" s="303">
        <v>1</v>
      </c>
      <c r="W131" s="304" t="s">
        <v>2051</v>
      </c>
      <c r="X131" s="305">
        <v>72</v>
      </c>
      <c r="Y131" s="306">
        <v>7</v>
      </c>
      <c r="Z131" s="307"/>
      <c r="AA131" s="308"/>
      <c r="AB131" s="309"/>
      <c r="AC131" s="309"/>
      <c r="AD131" s="308"/>
      <c r="AE131" s="309"/>
      <c r="AF131" s="302"/>
      <c r="AG131" s="310" t="s">
        <v>2050</v>
      </c>
      <c r="AH131" s="311"/>
      <c r="AI131" s="302">
        <v>1180</v>
      </c>
      <c r="AJ131" s="311">
        <v>45051</v>
      </c>
      <c r="AK131" s="311" t="s">
        <v>883</v>
      </c>
      <c r="AL131" s="311">
        <v>45114</v>
      </c>
      <c r="AM131" s="301"/>
      <c r="AN131" s="290"/>
      <c r="AO131" s="312" t="str">
        <f>_xlfn.IFNA(IF(VLOOKUP(tabItens[[#This Row],[CÓDIGO]],tabExcluirDoEstoque[#Data],1,FALSE),"sim",""),"")</f>
        <v/>
      </c>
      <c r="AP131" s="313">
        <f ca="1">IF(OR(ISBLANK(tabItens[[#This Row],[ATA DT.VALID.]]),tabItens[[#This Row],[ATA DT.VALID.]]="",tabItens[[#This Row],[ATA DT.VALID.]]=" "),"",IF(TYPE(tabItens[[#This Row],[ATA DT.VALID.]])=1,ROUNDUP((tabItens[[#This Row],[ATA DT.VALID.]]-TODAY())/7,0),""))</f>
        <v>-10</v>
      </c>
      <c r="AQ131" s="314">
        <v>0</v>
      </c>
      <c r="AR131" s="315" t="str">
        <f>IF(ISBLANK(tabItens[[#This Row],[CÓDIGO]]),"",IFERROR(VLOOKUP(tabItens[[#This Row],[CÓDIGO]],Consumo!$C$2:$AC$869,26,FALSE),0))</f>
        <v>07.2023</v>
      </c>
      <c r="AS131" s="316">
        <f>SUMIF(Consumo!$C$3:$C$869,tabItens[[#This Row],[CÓDIGO]],Consumo!$N$3:$N$869) + SUMIF(Consumo!$C$3:$C$869,tabItens[[#This Row],[CÓDIGO]],Consumo!$O$3:$O$869) + SUMIF(Consumo!$C$3:$C$869,tabItens[[#This Row],[CÓDIGO]],Consumo!$P$3:$P$869) + SUMIF(Consumo!$C$3:$C$869,tabItens[[#This Row],[CÓDIGO]],Consumo!$Q$3:$Q$869)</f>
        <v>1545</v>
      </c>
      <c r="AT131" s="316">
        <f>SUMIF(Consumo!$C$3:$C$869,tabItens[[#This Row],[CÓDIGO]],Consumo!$Z$3:$Z$869)</f>
        <v>3543</v>
      </c>
      <c r="AU131" s="317">
        <f>SUMIF(Consumo!$C$3:$C$869,tabItens[[#This Row],[CÓDIGO]],Consumo!$AA$3:$AA$869)</f>
        <v>541</v>
      </c>
      <c r="AV131" s="318">
        <f>SUMIF(Consumo!$C$3:$C$869,tabItens[[#This Row],[CÓDIGO]],Consumo!$Y$3:$Y$869)</f>
        <v>295.25</v>
      </c>
      <c r="AW131" s="291">
        <f>tabItens[[#This Row],[QTDE ATUAL]] + tabItens[[#This Row],[RC QTDE]] + tabItens[[#This Row],[AF SALDO]] + tabItens[[#This Row],[Recentes]]</f>
        <v>1371</v>
      </c>
      <c r="AX131" s="319">
        <v>178</v>
      </c>
      <c r="AY131" s="319">
        <v>4</v>
      </c>
      <c r="AZ131" s="319">
        <f>IF(ISBLANK(tabItens[[#This Row],[CÓDIGO]]),"",tabItens[[#This Row],[PontoMês]] * (AZ$2+tabItens[[#This Row],[PontoQtM]]))</f>
        <v>712</v>
      </c>
      <c r="BA131" s="318">
        <f>tabItens[[#This Row],[PontoPed]] - tabItens[[#This Row],[Saldo]] + (1/10)</f>
        <v>-658.9</v>
      </c>
      <c r="BB131" s="318">
        <f xml:space="preserve"> tabItens[[#This Row],[PontoMês]] * BB$2 - tabItens[[#This Row],[QTDE ATUAL]] - (1/10)</f>
        <v>-1193.0999999999999</v>
      </c>
      <c r="BC131" s="320">
        <f>IF( tabItens[[#This Row],[PontoPed]]&gt;0, IF(tabItens[[#This Row],[PontoPed]]&lt;1, 1, IF( tabItens[[#This Row],[Saldo]]&gt;tabItens[[#This Row],[PontoPed]], 0, (tabItens[[#This Row],[PontoPed]]-tabItens[[#This Row],[Saldo]])/tabItens[[#This Row],[PontoPed]] ) ), 0 )</f>
        <v>0</v>
      </c>
      <c r="BD131" s="321">
        <f>ROUNDDOWN(IF( OR( AND(tabItens[[#This Row],[PontoPed]]&lt;tabItens[[#This Row],[Saldo]],tabItens[[#This Row],[Saldo]]&gt;0), tabItens[[#This Row],[PontoPed]]=0), 99, IF(AND(tabItens[[#This Row],[Saldo]]=0,tabItens[[#This Row],[PontoPed]]&gt;0), 0, (1-tabItens[[#This Row],[PctAb]])*10 ) ),0)</f>
        <v>99</v>
      </c>
      <c r="BE131" s="322">
        <f>MAX(ROUNDDOWN( IF(tabItens[[#This Row],[Abaixo]] &gt; 0,   tabItens[[#This Row],[Abaixo]] + (tabItens[[#This Row],[PontoMês]] * IF( OR( ISBLANK(tabItens[[#This Row],[ATA Nº/ANO]]), tabItens[[#This Row],[ATA Nº/ANO]] = ""),BE$2,BE$1)),0),0),0)</f>
        <v>0</v>
      </c>
      <c r="BF1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323">
        <f>SUMIF(Consumo!$C$3:$C$869,tabItens[[#This Row],[CÓDIGO]],Consumo!$E$3:$E$869)</f>
        <v>1</v>
      </c>
      <c r="BH131" s="324">
        <f>IF(AND(tabItens[[#This Row],[Pend]] &gt; 0,tabItens[[#This Row],[Consumo]] &lt;&gt; 0), tabItens[[#This Row],[Pend]] / tabItens[[#This Row],[Consumo]], 0 )</f>
        <v>2.8224668360146769E-4</v>
      </c>
      <c r="BI131" s="323"/>
      <c r="BJ131" s="323"/>
      <c r="BK131" s="325" t="s">
        <v>2064</v>
      </c>
    </row>
    <row r="132" spans="1:63" hidden="1" x14ac:dyDescent="0.3">
      <c r="A132" s="286">
        <v>110578</v>
      </c>
      <c r="B132" s="287" t="s">
        <v>1658</v>
      </c>
      <c r="C132" s="288" t="s">
        <v>1659</v>
      </c>
      <c r="D132" s="289">
        <v>5.09</v>
      </c>
      <c r="E132" s="290" t="s">
        <v>1660</v>
      </c>
      <c r="F132" s="290" t="s">
        <v>1661</v>
      </c>
      <c r="G132" s="290" t="s">
        <v>952</v>
      </c>
      <c r="H132" s="291">
        <v>79</v>
      </c>
      <c r="I132" s="292">
        <v>103003</v>
      </c>
      <c r="J132" s="293">
        <v>5.09</v>
      </c>
      <c r="K132" s="294">
        <v>135</v>
      </c>
      <c r="L132" s="295">
        <f>IF(tabItens[[#This Row],[Média]] &gt; 0, tabItens[[#This Row],[QTDE ATUAL]] / tabItens[[#This Row],[Média]],999.9)</f>
        <v>4.2511210762331837</v>
      </c>
      <c r="M132" s="296">
        <v>0</v>
      </c>
      <c r="N132" s="297">
        <f>tabItens[[#This Row],[VALOR UNIT.]] * tabItens[[#This Row],[LC]]</f>
        <v>0</v>
      </c>
      <c r="O132" s="298" t="s">
        <v>953</v>
      </c>
      <c r="P132" s="299">
        <v>0</v>
      </c>
      <c r="Q132" s="300">
        <v>15375</v>
      </c>
      <c r="R132" s="297">
        <v>78258.75</v>
      </c>
      <c r="S132" s="301">
        <v>45189</v>
      </c>
      <c r="T132" s="302">
        <f>ROUNDDOWN(IFERROR(tabItens[[#This Row],[ATA DT.VALID.]] - $D$1,0) / 30,0)</f>
        <v>1</v>
      </c>
      <c r="U132" s="287" t="s">
        <v>1523</v>
      </c>
      <c r="V132" s="303">
        <v>1</v>
      </c>
      <c r="W132" s="304" t="s">
        <v>2051</v>
      </c>
      <c r="X132" s="305">
        <v>72</v>
      </c>
      <c r="Y132" s="306">
        <v>9</v>
      </c>
      <c r="Z132" s="307"/>
      <c r="AA132" s="308"/>
      <c r="AB132" s="309"/>
      <c r="AC132" s="309">
        <v>7217</v>
      </c>
      <c r="AD132" s="308">
        <v>2023</v>
      </c>
      <c r="AE132" s="309">
        <v>95</v>
      </c>
      <c r="AF132" s="302">
        <v>95</v>
      </c>
      <c r="AG132" s="310" t="s">
        <v>2045</v>
      </c>
      <c r="AH132" s="311">
        <v>45131</v>
      </c>
      <c r="AI132" s="302">
        <v>120</v>
      </c>
      <c r="AJ132" s="311">
        <v>45064</v>
      </c>
      <c r="AK132" s="311">
        <v>39916</v>
      </c>
      <c r="AL132" s="311">
        <v>45098</v>
      </c>
      <c r="AM132" s="301"/>
      <c r="AN132" s="290"/>
      <c r="AO132" s="312" t="str">
        <f>_xlfn.IFNA(IF(VLOOKUP(tabItens[[#This Row],[CÓDIGO]],tabExcluirDoEstoque[#Data],1,FALSE),"sim",""),"")</f>
        <v/>
      </c>
      <c r="AP132" s="313">
        <f ca="1">IF(OR(ISBLANK(tabItens[[#This Row],[ATA DT.VALID.]]),tabItens[[#This Row],[ATA DT.VALID.]]="",tabItens[[#This Row],[ATA DT.VALID.]]=" "),"",IF(TYPE(tabItens[[#This Row],[ATA DT.VALID.]])=1,ROUNDUP((tabItens[[#This Row],[ATA DT.VALID.]]-TODAY())/7,0),""))</f>
        <v>-10</v>
      </c>
      <c r="AQ132" s="314">
        <v>0</v>
      </c>
      <c r="AR132" s="315" t="str">
        <f>IF(ISBLANK(tabItens[[#This Row],[CÓDIGO]]),"",IFERROR(VLOOKUP(tabItens[[#This Row],[CÓDIGO]],Consumo!$C$2:$AC$869,26,FALSE),0))</f>
        <v>07.2023</v>
      </c>
      <c r="AS132" s="316">
        <f>SUMIF(Consumo!$C$3:$C$869,tabItens[[#This Row],[CÓDIGO]],Consumo!$N$3:$N$869) + SUMIF(Consumo!$C$3:$C$869,tabItens[[#This Row],[CÓDIGO]],Consumo!$O$3:$O$869) + SUMIF(Consumo!$C$3:$C$869,tabItens[[#This Row],[CÓDIGO]],Consumo!$P$3:$P$869) + SUMIF(Consumo!$C$3:$C$869,tabItens[[#This Row],[CÓDIGO]],Consumo!$Q$3:$Q$869)</f>
        <v>72</v>
      </c>
      <c r="AT132" s="316">
        <f>SUMIF(Consumo!$C$3:$C$869,tabItens[[#This Row],[CÓDIGO]],Consumo!$Z$3:$Z$869)</f>
        <v>224</v>
      </c>
      <c r="AU132" s="317">
        <f>SUMIF(Consumo!$C$3:$C$869,tabItens[[#This Row],[CÓDIGO]],Consumo!$AA$3:$AA$869)</f>
        <v>30</v>
      </c>
      <c r="AV132" s="318">
        <f>SUMIF(Consumo!$C$3:$C$869,tabItens[[#This Row],[CÓDIGO]],Consumo!$Y$3:$Y$869)</f>
        <v>18.583333333333332</v>
      </c>
      <c r="AW132" s="291">
        <f>tabItens[[#This Row],[QTDE ATUAL]] + tabItens[[#This Row],[RC QTDE]] + tabItens[[#This Row],[AF SALDO]] + tabItens[[#This Row],[Recentes]]</f>
        <v>174</v>
      </c>
      <c r="AX132" s="319">
        <v>31</v>
      </c>
      <c r="AY132" s="319">
        <v>4</v>
      </c>
      <c r="AZ132" s="319">
        <f>IF(ISBLANK(tabItens[[#This Row],[CÓDIGO]]),"",tabItens[[#This Row],[PontoMês]] * (AZ$2+tabItens[[#This Row],[PontoQtM]]))</f>
        <v>124</v>
      </c>
      <c r="BA132" s="318">
        <f>tabItens[[#This Row],[PontoPed]] - tabItens[[#This Row],[Saldo]] + (1/10)</f>
        <v>-49.9</v>
      </c>
      <c r="BB132" s="318">
        <f xml:space="preserve"> tabItens[[#This Row],[PontoMês]] * BB$2 - tabItens[[#This Row],[QTDE ATUAL]] - (1/10)</f>
        <v>-48.1</v>
      </c>
      <c r="BC132" s="320">
        <f>IF( tabItens[[#This Row],[PontoPed]]&gt;0, IF(tabItens[[#This Row],[PontoPed]]&lt;1, 1, IF( tabItens[[#This Row],[Saldo]]&gt;tabItens[[#This Row],[PontoPed]], 0, (tabItens[[#This Row],[PontoPed]]-tabItens[[#This Row],[Saldo]])/tabItens[[#This Row],[PontoPed]] ) ), 0 )</f>
        <v>0</v>
      </c>
      <c r="BD132" s="321">
        <f>ROUNDDOWN(IF( OR( AND(tabItens[[#This Row],[PontoPed]]&lt;tabItens[[#This Row],[Saldo]],tabItens[[#This Row],[Saldo]]&gt;0), tabItens[[#This Row],[PontoPed]]=0), 99, IF(AND(tabItens[[#This Row],[Saldo]]=0,tabItens[[#This Row],[PontoPed]]&gt;0), 0, (1-tabItens[[#This Row],[PctAb]])*10 ) ),0)</f>
        <v>99</v>
      </c>
      <c r="BE132" s="322">
        <f>MAX(ROUNDDOWN( IF(tabItens[[#This Row],[Abaixo]] &gt; 0,   tabItens[[#This Row],[Abaixo]] + (tabItens[[#This Row],[PontoMês]] * IF( OR( ISBLANK(tabItens[[#This Row],[ATA Nº/ANO]]), tabItens[[#This Row],[ATA Nº/ANO]] = ""),BE$2,BE$1)),0),0),0)</f>
        <v>0</v>
      </c>
      <c r="BF13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323">
        <f>SUMIF(Consumo!$C$3:$C$869,tabItens[[#This Row],[CÓDIGO]],Consumo!$E$3:$E$869)</f>
        <v>0</v>
      </c>
      <c r="BH132" s="324">
        <f>IF(AND(tabItens[[#This Row],[Pend]] &gt; 0,tabItens[[#This Row],[Consumo]] &lt;&gt; 0), tabItens[[#This Row],[Pend]] / tabItens[[#This Row],[Consumo]], 0 )</f>
        <v>0</v>
      </c>
      <c r="BI132" s="323"/>
      <c r="BJ132" s="323"/>
      <c r="BK132" s="325" t="s">
        <v>2064</v>
      </c>
    </row>
    <row r="133" spans="1:63" hidden="1" x14ac:dyDescent="0.3">
      <c r="A133" s="286">
        <v>130695</v>
      </c>
      <c r="B133" s="287" t="s">
        <v>1799</v>
      </c>
      <c r="C133" s="288" t="s">
        <v>413</v>
      </c>
      <c r="D133" s="289">
        <v>18.989999999999998</v>
      </c>
      <c r="E133" s="290" t="s">
        <v>1800</v>
      </c>
      <c r="F133" s="290" t="s">
        <v>1801</v>
      </c>
      <c r="G133" s="290" t="s">
        <v>1802</v>
      </c>
      <c r="H133" s="291">
        <v>2834</v>
      </c>
      <c r="I133" s="292">
        <v>103003</v>
      </c>
      <c r="J133" s="293">
        <v>18.989999999999998</v>
      </c>
      <c r="K133" s="294">
        <v>3007</v>
      </c>
      <c r="L133" s="295">
        <f>IF(tabItens[[#This Row],[Média]] &gt; 0, tabItens[[#This Row],[QTDE ATUAL]] / tabItens[[#This Row],[Média]],999.9)</f>
        <v>7.8904872389791176</v>
      </c>
      <c r="M133" s="296">
        <v>0</v>
      </c>
      <c r="N133" s="297">
        <f>tabItens[[#This Row],[VALOR UNIT.]] * tabItens[[#This Row],[LC]]</f>
        <v>0</v>
      </c>
      <c r="O133" s="298" t="s">
        <v>1803</v>
      </c>
      <c r="P133" s="299">
        <v>0</v>
      </c>
      <c r="Q133" s="300">
        <v>0</v>
      </c>
      <c r="R133" s="297">
        <v>0</v>
      </c>
      <c r="S133" s="301">
        <v>45238</v>
      </c>
      <c r="T133" s="302">
        <f>ROUNDDOWN(IFERROR(tabItens[[#This Row],[ATA DT.VALID.]] - $D$1,0) / 30,0)</f>
        <v>3</v>
      </c>
      <c r="U133" s="287" t="s">
        <v>1733</v>
      </c>
      <c r="V133" s="303">
        <v>1</v>
      </c>
      <c r="W133" s="304" t="s">
        <v>2051</v>
      </c>
      <c r="X133" s="305">
        <v>62</v>
      </c>
      <c r="Y133" s="306">
        <v>26</v>
      </c>
      <c r="Z133" s="307"/>
      <c r="AA133" s="308"/>
      <c r="AB133" s="309"/>
      <c r="AC133" s="309">
        <v>5519</v>
      </c>
      <c r="AD133" s="308">
        <v>2023</v>
      </c>
      <c r="AE133" s="309">
        <v>130</v>
      </c>
      <c r="AF133" s="302">
        <v>3000</v>
      </c>
      <c r="AG133" s="310" t="s">
        <v>2047</v>
      </c>
      <c r="AH133" s="311">
        <v>45089</v>
      </c>
      <c r="AI133" s="302">
        <v>1554</v>
      </c>
      <c r="AJ133" s="311">
        <v>45138</v>
      </c>
      <c r="AK133" s="311">
        <v>42230</v>
      </c>
      <c r="AL133" s="311">
        <v>45113</v>
      </c>
      <c r="AM133" s="301"/>
      <c r="AN133" s="290"/>
      <c r="AO133" s="312" t="str">
        <f>_xlfn.IFNA(IF(VLOOKUP(tabItens[[#This Row],[CÓDIGO]],tabExcluirDoEstoque[#Data],1,FALSE),"sim",""),"")</f>
        <v/>
      </c>
      <c r="AP133" s="313">
        <f ca="1">IF(OR(ISBLANK(tabItens[[#This Row],[ATA DT.VALID.]]),tabItens[[#This Row],[ATA DT.VALID.]]="",tabItens[[#This Row],[ATA DT.VALID.]]=" "),"",IF(TYPE(tabItens[[#This Row],[ATA DT.VALID.]])=1,ROUNDUP((tabItens[[#This Row],[ATA DT.VALID.]]-TODAY())/7,0),""))</f>
        <v>-3</v>
      </c>
      <c r="AQ133" s="314">
        <v>2000</v>
      </c>
      <c r="AR133" s="315" t="str">
        <f>IF(ISBLANK(tabItens[[#This Row],[CÓDIGO]]),"",IFERROR(VLOOKUP(tabItens[[#This Row],[CÓDIGO]],Consumo!$C$2:$AC$869,26,FALSE),0))</f>
        <v>07.2023</v>
      </c>
      <c r="AS133" s="316">
        <f>SUMIF(Consumo!$C$3:$C$869,tabItens[[#This Row],[CÓDIGO]],Consumo!$N$3:$N$869) + SUMIF(Consumo!$C$3:$C$869,tabItens[[#This Row],[CÓDIGO]],Consumo!$O$3:$O$869) + SUMIF(Consumo!$C$3:$C$869,tabItens[[#This Row],[CÓDIGO]],Consumo!$P$3:$P$869) + SUMIF(Consumo!$C$3:$C$869,tabItens[[#This Row],[CÓDIGO]],Consumo!$Q$3:$Q$869)</f>
        <v>1277</v>
      </c>
      <c r="AT133" s="316">
        <f>SUMIF(Consumo!$C$3:$C$869,tabItens[[#This Row],[CÓDIGO]],Consumo!$Z$3:$Z$869)</f>
        <v>4600</v>
      </c>
      <c r="AU133" s="317">
        <f>SUMIF(Consumo!$C$3:$C$869,tabItens[[#This Row],[CÓDIGO]],Consumo!$AA$3:$AA$869)</f>
        <v>1244</v>
      </c>
      <c r="AV133" s="318">
        <f>SUMIF(Consumo!$C$3:$C$869,tabItens[[#This Row],[CÓDIGO]],Consumo!$Y$3:$Y$869)</f>
        <v>359.16666666666669</v>
      </c>
      <c r="AW133" s="291">
        <f>tabItens[[#This Row],[QTDE ATUAL]] + tabItens[[#This Row],[RC QTDE]] + tabItens[[#This Row],[AF SALDO]] + tabItens[[#This Row],[Recentes]]</f>
        <v>4964</v>
      </c>
      <c r="AX133" s="319">
        <v>266</v>
      </c>
      <c r="AY133" s="319">
        <v>4</v>
      </c>
      <c r="AZ133" s="319">
        <f>IF(ISBLANK(tabItens[[#This Row],[CÓDIGO]]),"",tabItens[[#This Row],[PontoMês]] * (AZ$2+tabItens[[#This Row],[PontoQtM]]))</f>
        <v>1064</v>
      </c>
      <c r="BA133" s="318">
        <f>tabItens[[#This Row],[PontoPed]] - tabItens[[#This Row],[Saldo]] + (1/10)</f>
        <v>-3899.9</v>
      </c>
      <c r="BB133" s="318">
        <f xml:space="preserve"> tabItens[[#This Row],[PontoMês]] * BB$2 - tabItens[[#This Row],[QTDE ATUAL]] - (1/10)</f>
        <v>-2568.1</v>
      </c>
      <c r="BC133" s="320">
        <f>IF( tabItens[[#This Row],[PontoPed]]&gt;0, IF(tabItens[[#This Row],[PontoPed]]&lt;1, 1, IF( tabItens[[#This Row],[Saldo]]&gt;tabItens[[#This Row],[PontoPed]], 0, (tabItens[[#This Row],[PontoPed]]-tabItens[[#This Row],[Saldo]])/tabItens[[#This Row],[PontoPed]] ) ), 0 )</f>
        <v>0</v>
      </c>
      <c r="BD133" s="321">
        <f>ROUNDDOWN(IF( OR( AND(tabItens[[#This Row],[PontoPed]]&lt;tabItens[[#This Row],[Saldo]],tabItens[[#This Row],[Saldo]]&gt;0), tabItens[[#This Row],[PontoPed]]=0), 99, IF(AND(tabItens[[#This Row],[Saldo]]=0,tabItens[[#This Row],[PontoPed]]&gt;0), 0, (1-tabItens[[#This Row],[PctAb]])*10 ) ),0)</f>
        <v>99</v>
      </c>
      <c r="BE133" s="322">
        <f>MAX(ROUNDDOWN( IF(tabItens[[#This Row],[Abaixo]] &gt; 0,   tabItens[[#This Row],[Abaixo]] + (tabItens[[#This Row],[PontoMês]] * IF( OR( ISBLANK(tabItens[[#This Row],[ATA Nº/ANO]]), tabItens[[#This Row],[ATA Nº/ANO]] = ""),BE$2,BE$1)),0),0),0)</f>
        <v>0</v>
      </c>
      <c r="BF13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323">
        <f>SUMIF(Consumo!$C$3:$C$869,tabItens[[#This Row],[CÓDIGO]],Consumo!$E$3:$E$869)</f>
        <v>29</v>
      </c>
      <c r="BH133" s="324">
        <f>IF(AND(tabItens[[#This Row],[Pend]] &gt; 0,tabItens[[#This Row],[Consumo]] &lt;&gt; 0), tabItens[[#This Row],[Pend]] / tabItens[[#This Row],[Consumo]], 0 )</f>
        <v>6.3043478260869567E-3</v>
      </c>
      <c r="BI133" s="323"/>
      <c r="BJ133" s="323"/>
      <c r="BK133" s="325" t="s">
        <v>2064</v>
      </c>
    </row>
    <row r="134" spans="1:63" hidden="1" x14ac:dyDescent="0.3">
      <c r="A134" s="286">
        <v>10359</v>
      </c>
      <c r="B134" s="287" t="s">
        <v>896</v>
      </c>
      <c r="C134" s="288" t="s">
        <v>400</v>
      </c>
      <c r="D134" s="289">
        <v>35</v>
      </c>
      <c r="E134" s="290" t="s">
        <v>897</v>
      </c>
      <c r="F134" s="290" t="s">
        <v>898</v>
      </c>
      <c r="G134" s="290" t="s">
        <v>899</v>
      </c>
      <c r="H134" s="291">
        <v>914</v>
      </c>
      <c r="I134" s="292">
        <v>103003</v>
      </c>
      <c r="J134" s="293">
        <v>35</v>
      </c>
      <c r="K134" s="294">
        <v>1433</v>
      </c>
      <c r="L134" s="295">
        <f>IF(tabItens[[#This Row],[Média]] &gt; 0, tabItens[[#This Row],[QTDE ATUAL]] / tabItens[[#This Row],[Média]],999.9)</f>
        <v>4.2233346168656141</v>
      </c>
      <c r="M134" s="296">
        <v>0</v>
      </c>
      <c r="N134" s="297">
        <f>tabItens[[#This Row],[VALOR UNIT.]] * tabItens[[#This Row],[LC]]</f>
        <v>0</v>
      </c>
      <c r="O134" s="298" t="s">
        <v>900</v>
      </c>
      <c r="P134" s="299">
        <v>0</v>
      </c>
      <c r="Q134" s="300">
        <v>162308</v>
      </c>
      <c r="R134" s="297">
        <v>5680780</v>
      </c>
      <c r="S134" s="301">
        <v>45250</v>
      </c>
      <c r="T134" s="302">
        <f>ROUNDDOWN(IFERROR(tabItens[[#This Row],[ATA DT.VALID.]] - $D$1,0) / 30,0)</f>
        <v>3</v>
      </c>
      <c r="U134" s="287" t="s">
        <v>901</v>
      </c>
      <c r="V134" s="303">
        <v>1</v>
      </c>
      <c r="W134" s="304" t="s">
        <v>2051</v>
      </c>
      <c r="X134" s="305">
        <v>71</v>
      </c>
      <c r="Y134" s="306">
        <v>7</v>
      </c>
      <c r="Z134" s="307"/>
      <c r="AA134" s="308"/>
      <c r="AB134" s="309"/>
      <c r="AC134" s="309"/>
      <c r="AD134" s="308"/>
      <c r="AE134" s="309"/>
      <c r="AF134" s="302"/>
      <c r="AG134" s="310" t="s">
        <v>2050</v>
      </c>
      <c r="AH134" s="311"/>
      <c r="AI134" s="302">
        <v>866</v>
      </c>
      <c r="AJ134" s="311">
        <v>45127</v>
      </c>
      <c r="AK134" s="311" t="s">
        <v>883</v>
      </c>
      <c r="AL134" s="311">
        <v>45117</v>
      </c>
      <c r="AM134" s="301"/>
      <c r="AN134" s="290"/>
      <c r="AO134" s="312" t="str">
        <f>_xlfn.IFNA(IF(VLOOKUP(tabItens[[#This Row],[CÓDIGO]],tabExcluirDoEstoque[#Data],1,FALSE),"sim",""),"")</f>
        <v/>
      </c>
      <c r="AP134" s="313">
        <f ca="1">IF(OR(ISBLANK(tabItens[[#This Row],[ATA DT.VALID.]]),tabItens[[#This Row],[ATA DT.VALID.]]="",tabItens[[#This Row],[ATA DT.VALID.]]=" "),"",IF(TYPE(tabItens[[#This Row],[ATA DT.VALID.]])=1,ROUNDUP((tabItens[[#This Row],[ATA DT.VALID.]]-TODAY())/7,0),""))</f>
        <v>-1</v>
      </c>
      <c r="AQ134" s="314">
        <v>0</v>
      </c>
      <c r="AR134" s="315" t="str">
        <f>IF(ISBLANK(tabItens[[#This Row],[CÓDIGO]]),"",IFERROR(VLOOKUP(tabItens[[#This Row],[CÓDIGO]],Consumo!$C$2:$AC$869,26,FALSE),0))</f>
        <v>07.2023</v>
      </c>
      <c r="AS134" s="316">
        <f>SUMIF(Consumo!$C$3:$C$869,tabItens[[#This Row],[CÓDIGO]],Consumo!$N$3:$N$869) + SUMIF(Consumo!$C$3:$C$869,tabItens[[#This Row],[CÓDIGO]],Consumo!$O$3:$O$869) + SUMIF(Consumo!$C$3:$C$869,tabItens[[#This Row],[CÓDIGO]],Consumo!$P$3:$P$869) + SUMIF(Consumo!$C$3:$C$869,tabItens[[#This Row],[CÓDIGO]],Consumo!$Q$3:$Q$869)</f>
        <v>950</v>
      </c>
      <c r="AT134" s="316">
        <f>SUMIF(Consumo!$C$3:$C$869,tabItens[[#This Row],[CÓDIGO]],Consumo!$Z$3:$Z$869)</f>
        <v>2597</v>
      </c>
      <c r="AU134" s="317">
        <f>SUMIF(Consumo!$C$3:$C$869,tabItens[[#This Row],[CÓDIGO]],Consumo!$AA$3:$AA$869)</f>
        <v>260</v>
      </c>
      <c r="AV134" s="318">
        <f>SUMIF(Consumo!$C$3:$C$869,tabItens[[#This Row],[CÓDIGO]],Consumo!$Y$3:$Y$869)</f>
        <v>216.41666666666666</v>
      </c>
      <c r="AW134" s="291">
        <f>tabItens[[#This Row],[QTDE ATUAL]] + tabItens[[#This Row],[RC QTDE]] + tabItens[[#This Row],[AF SALDO]] + tabItens[[#This Row],[Recentes]]</f>
        <v>914</v>
      </c>
      <c r="AX134" s="319">
        <v>166</v>
      </c>
      <c r="AY134" s="319">
        <v>4</v>
      </c>
      <c r="AZ134" s="319">
        <f>IF(ISBLANK(tabItens[[#This Row],[CÓDIGO]]),"",tabItens[[#This Row],[PontoMês]] * (AZ$2+tabItens[[#This Row],[PontoQtM]]))</f>
        <v>664</v>
      </c>
      <c r="BA134" s="318">
        <f>tabItens[[#This Row],[PontoPed]] - tabItens[[#This Row],[Saldo]] + (1/10)</f>
        <v>-249.9</v>
      </c>
      <c r="BB134" s="318">
        <f xml:space="preserve"> tabItens[[#This Row],[PontoMês]] * BB$2 - tabItens[[#This Row],[QTDE ATUAL]] - (1/10)</f>
        <v>-748.1</v>
      </c>
      <c r="BC134" s="320">
        <f>IF( tabItens[[#This Row],[PontoPed]]&gt;0, IF(tabItens[[#This Row],[PontoPed]]&lt;1, 1, IF( tabItens[[#This Row],[Saldo]]&gt;tabItens[[#This Row],[PontoPed]], 0, (tabItens[[#This Row],[PontoPed]]-tabItens[[#This Row],[Saldo]])/tabItens[[#This Row],[PontoPed]] ) ), 0 )</f>
        <v>0</v>
      </c>
      <c r="BD134" s="321">
        <f>ROUNDDOWN(IF( OR( AND(tabItens[[#This Row],[PontoPed]]&lt;tabItens[[#This Row],[Saldo]],tabItens[[#This Row],[Saldo]]&gt;0), tabItens[[#This Row],[PontoPed]]=0), 99, IF(AND(tabItens[[#This Row],[Saldo]]=0,tabItens[[#This Row],[PontoPed]]&gt;0), 0, (1-tabItens[[#This Row],[PctAb]])*10 ) ),0)</f>
        <v>99</v>
      </c>
      <c r="BE134" s="322">
        <f>MAX(ROUNDDOWN( IF(tabItens[[#This Row],[Abaixo]] &gt; 0,   tabItens[[#This Row],[Abaixo]] + (tabItens[[#This Row],[PontoMês]] * IF( OR( ISBLANK(tabItens[[#This Row],[ATA Nº/ANO]]), tabItens[[#This Row],[ATA Nº/ANO]] = ""),BE$2,BE$1)),0),0),0)</f>
        <v>0</v>
      </c>
      <c r="BF13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4" s="323">
        <f>SUMIF(Consumo!$C$3:$C$869,tabItens[[#This Row],[CÓDIGO]],Consumo!$E$3:$E$869)</f>
        <v>0</v>
      </c>
      <c r="BH134" s="324">
        <f>IF(AND(tabItens[[#This Row],[Pend]] &gt; 0,tabItens[[#This Row],[Consumo]] &lt;&gt; 0), tabItens[[#This Row],[Pend]] / tabItens[[#This Row],[Consumo]], 0 )</f>
        <v>0</v>
      </c>
      <c r="BI134" s="323"/>
      <c r="BJ134" s="323"/>
      <c r="BK134" s="325" t="s">
        <v>2064</v>
      </c>
    </row>
    <row r="135" spans="1:63" hidden="1" x14ac:dyDescent="0.3">
      <c r="A135" s="286">
        <v>14662</v>
      </c>
      <c r="B135" s="287" t="s">
        <v>1061</v>
      </c>
      <c r="C135" s="288" t="s">
        <v>411</v>
      </c>
      <c r="D135" s="289">
        <v>41.42</v>
      </c>
      <c r="E135" s="290" t="s">
        <v>1062</v>
      </c>
      <c r="F135" s="290" t="s">
        <v>1063</v>
      </c>
      <c r="G135" s="290" t="s">
        <v>1064</v>
      </c>
      <c r="H135" s="291">
        <v>262</v>
      </c>
      <c r="I135" s="292">
        <v>103003</v>
      </c>
      <c r="J135" s="293">
        <v>41.42</v>
      </c>
      <c r="K135" s="294">
        <v>3250</v>
      </c>
      <c r="L135" s="295">
        <f>IF(tabItens[[#This Row],[Média]] &gt; 0, tabItens[[#This Row],[QTDE ATUAL]] / tabItens[[#This Row],[Média]],999.9)</f>
        <v>0.55109553023663449</v>
      </c>
      <c r="M135" s="296">
        <v>0</v>
      </c>
      <c r="N135" s="297">
        <f>tabItens[[#This Row],[VALOR UNIT.]] * tabItens[[#This Row],[LC]]</f>
        <v>0</v>
      </c>
      <c r="O135" s="298" t="s">
        <v>1065</v>
      </c>
      <c r="P135" s="299">
        <v>0</v>
      </c>
      <c r="Q135" s="300">
        <v>2653</v>
      </c>
      <c r="R135" s="297">
        <v>109887.26</v>
      </c>
      <c r="S135" s="301">
        <v>45267</v>
      </c>
      <c r="T135" s="302">
        <f>ROUNDDOWN(IFERROR(tabItens[[#This Row],[ATA DT.VALID.]] - $D$1,0) / 30,0)</f>
        <v>4</v>
      </c>
      <c r="U135" s="287" t="s">
        <v>961</v>
      </c>
      <c r="V135" s="303">
        <v>1</v>
      </c>
      <c r="W135" s="304" t="s">
        <v>2049</v>
      </c>
      <c r="X135" s="305">
        <v>51</v>
      </c>
      <c r="Y135" s="306">
        <v>3</v>
      </c>
      <c r="Z135" s="307"/>
      <c r="AA135" s="308"/>
      <c r="AB135" s="309"/>
      <c r="AC135" s="309">
        <v>8596</v>
      </c>
      <c r="AD135" s="308">
        <v>2023</v>
      </c>
      <c r="AE135" s="309">
        <v>1500</v>
      </c>
      <c r="AF135" s="302">
        <v>1500</v>
      </c>
      <c r="AG135" s="310" t="s">
        <v>2037</v>
      </c>
      <c r="AH135" s="311">
        <v>45138</v>
      </c>
      <c r="AI135" s="302">
        <v>2540</v>
      </c>
      <c r="AJ135" s="311">
        <v>45140</v>
      </c>
      <c r="AK135" s="311" t="s">
        <v>883</v>
      </c>
      <c r="AL135" s="311">
        <v>45124</v>
      </c>
      <c r="AM135" s="301"/>
      <c r="AN135" s="290"/>
      <c r="AO135" s="312" t="str">
        <f>_xlfn.IFNA(IF(VLOOKUP(tabItens[[#This Row],[CÓDIGO]],tabExcluirDoEstoque[#Data],1,FALSE),"sim",""),"")</f>
        <v/>
      </c>
      <c r="AP135" s="313">
        <f ca="1">IF(OR(ISBLANK(tabItens[[#This Row],[ATA DT.VALID.]]),tabItens[[#This Row],[ATA DT.VALID.]]="",tabItens[[#This Row],[ATA DT.VALID.]]=" "),"",IF(TYPE(tabItens[[#This Row],[ATA DT.VALID.]])=1,ROUNDUP((tabItens[[#This Row],[ATA DT.VALID.]]-TODAY())/7,0),""))</f>
        <v>2</v>
      </c>
      <c r="AQ135" s="314">
        <v>0</v>
      </c>
      <c r="AR135" s="315" t="str">
        <f>IF(ISBLANK(tabItens[[#This Row],[CÓDIGO]]),"",IFERROR(VLOOKUP(tabItens[[#This Row],[CÓDIGO]],Consumo!$C$2:$AC$869,26,FALSE),0))</f>
        <v>07.2023</v>
      </c>
      <c r="AS135" s="316">
        <f>SUMIF(Consumo!$C$3:$C$869,tabItens[[#This Row],[CÓDIGO]],Consumo!$N$3:$N$869) + SUMIF(Consumo!$C$3:$C$869,tabItens[[#This Row],[CÓDIGO]],Consumo!$O$3:$O$869) + SUMIF(Consumo!$C$3:$C$869,tabItens[[#This Row],[CÓDIGO]],Consumo!$P$3:$P$869) + SUMIF(Consumo!$C$3:$C$869,tabItens[[#This Row],[CÓDIGO]],Consumo!$Q$3:$Q$869)</f>
        <v>2033</v>
      </c>
      <c r="AT135" s="316">
        <f>SUMIF(Consumo!$C$3:$C$869,tabItens[[#This Row],[CÓDIGO]],Consumo!$Z$3:$Z$869)</f>
        <v>5705</v>
      </c>
      <c r="AU135" s="317">
        <f>SUMIF(Consumo!$C$3:$C$869,tabItens[[#This Row],[CÓDIGO]],Consumo!$AA$3:$AA$869)</f>
        <v>653</v>
      </c>
      <c r="AV135" s="318">
        <f>SUMIF(Consumo!$C$3:$C$869,tabItens[[#This Row],[CÓDIGO]],Consumo!$Y$3:$Y$869)</f>
        <v>475.41666666666669</v>
      </c>
      <c r="AW135" s="291">
        <f>tabItens[[#This Row],[QTDE ATUAL]] + tabItens[[#This Row],[RC QTDE]] + tabItens[[#This Row],[AF SALDO]] + tabItens[[#This Row],[Recentes]]</f>
        <v>1762</v>
      </c>
      <c r="AX135" s="319">
        <v>480</v>
      </c>
      <c r="AY135" s="319">
        <v>2</v>
      </c>
      <c r="AZ135" s="319">
        <f>IF(ISBLANK(tabItens[[#This Row],[CÓDIGO]]),"",tabItens[[#This Row],[PontoMês]] * (AZ$2+tabItens[[#This Row],[PontoQtM]]))</f>
        <v>960</v>
      </c>
      <c r="BA135" s="318">
        <f>tabItens[[#This Row],[PontoPed]] - tabItens[[#This Row],[Saldo]] + (1/10)</f>
        <v>-801.9</v>
      </c>
      <c r="BB135" s="318">
        <f xml:space="preserve"> tabItens[[#This Row],[PontoMês]] * BB$2 - tabItens[[#This Row],[QTDE ATUAL]] - (1/10)</f>
        <v>217.9</v>
      </c>
      <c r="BC135" s="320">
        <f>IF( tabItens[[#This Row],[PontoPed]]&gt;0, IF(tabItens[[#This Row],[PontoPed]]&lt;1, 1, IF( tabItens[[#This Row],[Saldo]]&gt;tabItens[[#This Row],[PontoPed]], 0, (tabItens[[#This Row],[PontoPed]]-tabItens[[#This Row],[Saldo]])/tabItens[[#This Row],[PontoPed]] ) ), 0 )</f>
        <v>0</v>
      </c>
      <c r="BD135" s="321">
        <f>ROUNDDOWN(IF( OR( AND(tabItens[[#This Row],[PontoPed]]&lt;tabItens[[#This Row],[Saldo]],tabItens[[#This Row],[Saldo]]&gt;0), tabItens[[#This Row],[PontoPed]]=0), 99, IF(AND(tabItens[[#This Row],[Saldo]]=0,tabItens[[#This Row],[PontoPed]]&gt;0), 0, (1-tabItens[[#This Row],[PctAb]])*10 ) ),0)</f>
        <v>99</v>
      </c>
      <c r="BE135" s="322">
        <f>MAX(ROUNDDOWN( IF(tabItens[[#This Row],[Abaixo]] &gt; 0,   tabItens[[#This Row],[Abaixo]] + (tabItens[[#This Row],[PontoMês]] * IF( OR( ISBLANK(tabItens[[#This Row],[ATA Nº/ANO]]), tabItens[[#This Row],[ATA Nº/ANO]] = ""),BE$2,BE$1)),0),0),0)</f>
        <v>0</v>
      </c>
      <c r="BF13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5" s="323">
        <f>SUMIF(Consumo!$C$3:$C$869,tabItens[[#This Row],[CÓDIGO]],Consumo!$E$3:$E$869)</f>
        <v>146</v>
      </c>
      <c r="BH135" s="324">
        <f>IF(AND(tabItens[[#This Row],[Pend]] &gt; 0,tabItens[[#This Row],[Consumo]] &lt;&gt; 0), tabItens[[#This Row],[Pend]] / tabItens[[#This Row],[Consumo]], 0 )</f>
        <v>2.5591586327782648E-2</v>
      </c>
      <c r="BI135" s="323"/>
      <c r="BJ135" s="323"/>
      <c r="BK135" s="325" t="s">
        <v>2064</v>
      </c>
    </row>
    <row r="136" spans="1:63" hidden="1" x14ac:dyDescent="0.3">
      <c r="A136" s="286">
        <v>10867</v>
      </c>
      <c r="B136" s="287" t="s">
        <v>918</v>
      </c>
      <c r="C136" s="288" t="s">
        <v>268</v>
      </c>
      <c r="D136" s="289">
        <v>3.55</v>
      </c>
      <c r="E136" s="290" t="s">
        <v>919</v>
      </c>
      <c r="F136" s="290" t="s">
        <v>920</v>
      </c>
      <c r="G136" s="290" t="s">
        <v>921</v>
      </c>
      <c r="H136" s="291">
        <v>22834</v>
      </c>
      <c r="I136" s="292">
        <v>103003</v>
      </c>
      <c r="J136" s="293">
        <v>3.55</v>
      </c>
      <c r="K136" s="294">
        <v>23157</v>
      </c>
      <c r="L136" s="295">
        <f>IF(tabItens[[#This Row],[Média]] &gt; 0, tabItens[[#This Row],[QTDE ATUAL]] / tabItens[[#This Row],[Média]],999.9)</f>
        <v>6.8969266782451104</v>
      </c>
      <c r="M136" s="296">
        <v>0</v>
      </c>
      <c r="N136" s="297">
        <f>tabItens[[#This Row],[VALOR UNIT.]] * tabItens[[#This Row],[LC]]</f>
        <v>0</v>
      </c>
      <c r="O136" s="298" t="s">
        <v>922</v>
      </c>
      <c r="P136" s="299">
        <v>0</v>
      </c>
      <c r="Q136" s="300">
        <v>33100</v>
      </c>
      <c r="R136" s="297">
        <v>117505</v>
      </c>
      <c r="S136" s="301">
        <v>45268</v>
      </c>
      <c r="T136" s="302">
        <f>ROUNDDOWN(IFERROR(tabItens[[#This Row],[ATA DT.VALID.]] - $D$1,0) / 30,0)</f>
        <v>4</v>
      </c>
      <c r="U136" s="287" t="s">
        <v>923</v>
      </c>
      <c r="V136" s="303">
        <v>1</v>
      </c>
      <c r="W136" s="304" t="s">
        <v>2051</v>
      </c>
      <c r="X136" s="305">
        <v>71</v>
      </c>
      <c r="Y136" s="306">
        <v>20</v>
      </c>
      <c r="Z136" s="307"/>
      <c r="AA136" s="308"/>
      <c r="AB136" s="309"/>
      <c r="AC136" s="309"/>
      <c r="AD136" s="308"/>
      <c r="AE136" s="309"/>
      <c r="AF136" s="302"/>
      <c r="AG136" s="310" t="s">
        <v>2050</v>
      </c>
      <c r="AH136" s="311"/>
      <c r="AI136" s="302">
        <v>15858</v>
      </c>
      <c r="AJ136" s="311">
        <v>45048</v>
      </c>
      <c r="AK136" s="311" t="s">
        <v>883</v>
      </c>
      <c r="AL136" s="311">
        <v>45117</v>
      </c>
      <c r="AM136" s="301"/>
      <c r="AN136" s="290"/>
      <c r="AO136" s="312" t="str">
        <f>_xlfn.IFNA(IF(VLOOKUP(tabItens[[#This Row],[CÓDIGO]],tabExcluirDoEstoque[#Data],1,FALSE),"sim",""),"")</f>
        <v/>
      </c>
      <c r="AP136" s="313">
        <f ca="1">IF(OR(ISBLANK(tabItens[[#This Row],[ATA DT.VALID.]]),tabItens[[#This Row],[ATA DT.VALID.]]="",tabItens[[#This Row],[ATA DT.VALID.]]=" "),"",IF(TYPE(tabItens[[#This Row],[ATA DT.VALID.]])=1,ROUNDUP((tabItens[[#This Row],[ATA DT.VALID.]]-TODAY())/7,0),""))</f>
        <v>2</v>
      </c>
      <c r="AQ136" s="314">
        <v>0</v>
      </c>
      <c r="AR136" s="315" t="str">
        <f>IF(ISBLANK(tabItens[[#This Row],[CÓDIGO]]),"",IFERROR(VLOOKUP(tabItens[[#This Row],[CÓDIGO]],Consumo!$C$2:$AC$869,26,FALSE),0))</f>
        <v>07.2023</v>
      </c>
      <c r="AS136" s="316">
        <f>SUMIF(Consumo!$C$3:$C$869,tabItens[[#This Row],[CÓDIGO]],Consumo!$N$3:$N$869) + SUMIF(Consumo!$C$3:$C$869,tabItens[[#This Row],[CÓDIGO]],Consumo!$O$3:$O$869) + SUMIF(Consumo!$C$3:$C$869,tabItens[[#This Row],[CÓDIGO]],Consumo!$P$3:$P$869) + SUMIF(Consumo!$C$3:$C$869,tabItens[[#This Row],[CÓDIGO]],Consumo!$Q$3:$Q$869)</f>
        <v>13941</v>
      </c>
      <c r="AT136" s="316">
        <f>SUMIF(Consumo!$C$3:$C$869,tabItens[[#This Row],[CÓDIGO]],Consumo!$Z$3:$Z$869)</f>
        <v>39729</v>
      </c>
      <c r="AU136" s="317">
        <f>SUMIF(Consumo!$C$3:$C$869,tabItens[[#This Row],[CÓDIGO]],Consumo!$AA$3:$AA$869)</f>
        <v>4414</v>
      </c>
      <c r="AV136" s="318">
        <f>SUMIF(Consumo!$C$3:$C$869,tabItens[[#This Row],[CÓDIGO]],Consumo!$Y$3:$Y$869)</f>
        <v>3310.75</v>
      </c>
      <c r="AW136" s="291">
        <f>tabItens[[#This Row],[QTDE ATUAL]] + tabItens[[#This Row],[RC QTDE]] + tabItens[[#This Row],[AF SALDO]] + tabItens[[#This Row],[Recentes]]</f>
        <v>22834</v>
      </c>
      <c r="AX136" s="319">
        <v>2776</v>
      </c>
      <c r="AY136" s="319">
        <v>3</v>
      </c>
      <c r="AZ136" s="319">
        <f>IF(ISBLANK(tabItens[[#This Row],[CÓDIGO]]),"",tabItens[[#This Row],[PontoMês]] * (AZ$2+tabItens[[#This Row],[PontoQtM]]))</f>
        <v>8328</v>
      </c>
      <c r="BA136" s="318">
        <f>tabItens[[#This Row],[PontoPed]] - tabItens[[#This Row],[Saldo]] + (1/10)</f>
        <v>-14505.9</v>
      </c>
      <c r="BB136" s="318">
        <f xml:space="preserve"> tabItens[[#This Row],[PontoMês]] * BB$2 - tabItens[[#This Row],[QTDE ATUAL]] - (1/10)</f>
        <v>-20058.099999999999</v>
      </c>
      <c r="BC136" s="320">
        <f>IF( tabItens[[#This Row],[PontoPed]]&gt;0, IF(tabItens[[#This Row],[PontoPed]]&lt;1, 1, IF( tabItens[[#This Row],[Saldo]]&gt;tabItens[[#This Row],[PontoPed]], 0, (tabItens[[#This Row],[PontoPed]]-tabItens[[#This Row],[Saldo]])/tabItens[[#This Row],[PontoPed]] ) ), 0 )</f>
        <v>0</v>
      </c>
      <c r="BD136" s="321">
        <f>ROUNDDOWN(IF( OR( AND(tabItens[[#This Row],[PontoPed]]&lt;tabItens[[#This Row],[Saldo]],tabItens[[#This Row],[Saldo]]&gt;0), tabItens[[#This Row],[PontoPed]]=0), 99, IF(AND(tabItens[[#This Row],[Saldo]]=0,tabItens[[#This Row],[PontoPed]]&gt;0), 0, (1-tabItens[[#This Row],[PctAb]])*10 ) ),0)</f>
        <v>99</v>
      </c>
      <c r="BE136" s="322">
        <f>MAX(ROUNDDOWN( IF(tabItens[[#This Row],[Abaixo]] &gt; 0,   tabItens[[#This Row],[Abaixo]] + (tabItens[[#This Row],[PontoMês]] * IF( OR( ISBLANK(tabItens[[#This Row],[ATA Nº/ANO]]), tabItens[[#This Row],[ATA Nº/ANO]] = ""),BE$2,BE$1)),0),0),0)</f>
        <v>0</v>
      </c>
      <c r="BF13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6" s="323">
        <f>SUMIF(Consumo!$C$3:$C$869,tabItens[[#This Row],[CÓDIGO]],Consumo!$E$3:$E$869)</f>
        <v>164</v>
      </c>
      <c r="BH136" s="324">
        <f>IF(AND(tabItens[[#This Row],[Pend]] &gt; 0,tabItens[[#This Row],[Consumo]] &lt;&gt; 0), tabItens[[#This Row],[Pend]] / tabItens[[#This Row],[Consumo]], 0 )</f>
        <v>4.1279669762641896E-3</v>
      </c>
      <c r="BI136" s="323"/>
      <c r="BJ136" s="323"/>
      <c r="BK136" s="325" t="s">
        <v>2064</v>
      </c>
    </row>
    <row r="137" spans="1:63" hidden="1" x14ac:dyDescent="0.3">
      <c r="A137" s="286">
        <v>24371</v>
      </c>
      <c r="B137" s="287" t="s">
        <v>1194</v>
      </c>
      <c r="C137" s="288" t="s">
        <v>256</v>
      </c>
      <c r="D137" s="289">
        <v>2.96</v>
      </c>
      <c r="E137" s="290"/>
      <c r="F137" s="290" t="s">
        <v>1063</v>
      </c>
      <c r="G137" s="290" t="s">
        <v>1195</v>
      </c>
      <c r="H137" s="291">
        <v>20086</v>
      </c>
      <c r="I137" s="292">
        <v>103003</v>
      </c>
      <c r="J137" s="293">
        <v>2.96</v>
      </c>
      <c r="K137" s="294">
        <v>22280</v>
      </c>
      <c r="L137" s="295">
        <f>IF(tabItens[[#This Row],[Média]] &gt; 0, tabItens[[#This Row],[QTDE ATUAL]] / tabItens[[#This Row],[Média]],999.9)</f>
        <v>7.9923071821738843</v>
      </c>
      <c r="M137" s="296">
        <v>0</v>
      </c>
      <c r="N137" s="297">
        <f>tabItens[[#This Row],[VALOR UNIT.]] * tabItens[[#This Row],[LC]]</f>
        <v>0</v>
      </c>
      <c r="O137" s="298" t="s">
        <v>1196</v>
      </c>
      <c r="P137" s="299">
        <v>0</v>
      </c>
      <c r="Q137" s="300">
        <v>40900</v>
      </c>
      <c r="R137" s="297">
        <v>121064</v>
      </c>
      <c r="S137" s="301">
        <v>45327</v>
      </c>
      <c r="T137" s="302">
        <f>ROUNDDOWN(IFERROR(tabItens[[#This Row],[ATA DT.VALID.]] - $D$1,0) / 30,0)</f>
        <v>6</v>
      </c>
      <c r="U137" s="287" t="s">
        <v>1197</v>
      </c>
      <c r="V137" s="303">
        <v>1</v>
      </c>
      <c r="W137" s="304" t="s">
        <v>2049</v>
      </c>
      <c r="X137" s="305">
        <v>51</v>
      </c>
      <c r="Y137" s="306">
        <v>7</v>
      </c>
      <c r="Z137" s="307"/>
      <c r="AA137" s="308"/>
      <c r="AB137" s="309"/>
      <c r="AC137" s="309">
        <v>6436</v>
      </c>
      <c r="AD137" s="308">
        <v>2023</v>
      </c>
      <c r="AE137" s="309">
        <v>2068</v>
      </c>
      <c r="AF137" s="302">
        <v>5000</v>
      </c>
      <c r="AG137" s="310" t="s">
        <v>2037</v>
      </c>
      <c r="AH137" s="311">
        <v>45099</v>
      </c>
      <c r="AI137" s="302">
        <v>10052</v>
      </c>
      <c r="AJ137" s="311">
        <v>45132</v>
      </c>
      <c r="AK137" s="311" t="s">
        <v>883</v>
      </c>
      <c r="AL137" s="311">
        <v>45076</v>
      </c>
      <c r="AM137" s="301"/>
      <c r="AN137" s="290"/>
      <c r="AO137" s="312" t="str">
        <f>_xlfn.IFNA(IF(VLOOKUP(tabItens[[#This Row],[CÓDIGO]],tabExcluirDoEstoque[#Data],1,FALSE),"sim",""),"")</f>
        <v/>
      </c>
      <c r="AP137" s="313">
        <f ca="1">IF(OR(ISBLANK(tabItens[[#This Row],[ATA DT.VALID.]]),tabItens[[#This Row],[ATA DT.VALID.]]="",tabItens[[#This Row],[ATA DT.VALID.]]=" "),"",IF(TYPE(tabItens[[#This Row],[ATA DT.VALID.]])=1,ROUNDUP((tabItens[[#This Row],[ATA DT.VALID.]]-TODAY())/7,0),""))</f>
        <v>11</v>
      </c>
      <c r="AQ137" s="314">
        <v>0</v>
      </c>
      <c r="AR137" s="315" t="str">
        <f>IF(ISBLANK(tabItens[[#This Row],[CÓDIGO]]),"",IFERROR(VLOOKUP(tabItens[[#This Row],[CÓDIGO]],Consumo!$C$2:$AC$869,26,FALSE),0))</f>
        <v>07.2023</v>
      </c>
      <c r="AS137" s="316">
        <f>SUMIF(Consumo!$C$3:$C$869,tabItens[[#This Row],[CÓDIGO]],Consumo!$N$3:$N$869) + SUMIF(Consumo!$C$3:$C$869,tabItens[[#This Row],[CÓDIGO]],Consumo!$O$3:$O$869) + SUMIF(Consumo!$C$3:$C$869,tabItens[[#This Row],[CÓDIGO]],Consumo!$P$3:$P$869) + SUMIF(Consumo!$C$3:$C$869,tabItens[[#This Row],[CÓDIGO]],Consumo!$Q$3:$Q$869)</f>
        <v>13194</v>
      </c>
      <c r="AT137" s="316">
        <f>SUMIF(Consumo!$C$3:$C$869,tabItens[[#This Row],[CÓDIGO]],Consumo!$Z$3:$Z$869)</f>
        <v>30158</v>
      </c>
      <c r="AU137" s="317">
        <f>SUMIF(Consumo!$C$3:$C$869,tabItens[[#This Row],[CÓDIGO]],Consumo!$AA$3:$AA$869)</f>
        <v>5184</v>
      </c>
      <c r="AV137" s="318">
        <f>SUMIF(Consumo!$C$3:$C$869,tabItens[[#This Row],[CÓDIGO]],Consumo!$Y$3:$Y$869)</f>
        <v>2513.1666666666665</v>
      </c>
      <c r="AW137" s="291">
        <f>tabItens[[#This Row],[QTDE ATUAL]] + tabItens[[#This Row],[RC QTDE]] + tabItens[[#This Row],[AF SALDO]] + tabItens[[#This Row],[Recentes]]</f>
        <v>22154</v>
      </c>
      <c r="AX137" s="319">
        <v>2138</v>
      </c>
      <c r="AY137" s="319">
        <v>4</v>
      </c>
      <c r="AZ137" s="319">
        <f>IF(ISBLANK(tabItens[[#This Row],[CÓDIGO]]),"",tabItens[[#This Row],[PontoMês]] * (AZ$2+tabItens[[#This Row],[PontoQtM]]))</f>
        <v>8552</v>
      </c>
      <c r="BA137" s="318">
        <f>tabItens[[#This Row],[PontoPed]] - tabItens[[#This Row],[Saldo]] + (1/10)</f>
        <v>-13601.9</v>
      </c>
      <c r="BB137" s="318">
        <f xml:space="preserve"> tabItens[[#This Row],[PontoMês]] * BB$2 - tabItens[[#This Row],[QTDE ATUAL]] - (1/10)</f>
        <v>-17948.099999999999</v>
      </c>
      <c r="BC137" s="320">
        <f>IF( tabItens[[#This Row],[PontoPed]]&gt;0, IF(tabItens[[#This Row],[PontoPed]]&lt;1, 1, IF( tabItens[[#This Row],[Saldo]]&gt;tabItens[[#This Row],[PontoPed]], 0, (tabItens[[#This Row],[PontoPed]]-tabItens[[#This Row],[Saldo]])/tabItens[[#This Row],[PontoPed]] ) ), 0 )</f>
        <v>0</v>
      </c>
      <c r="BD137" s="321">
        <f>ROUNDDOWN(IF( OR( AND(tabItens[[#This Row],[PontoPed]]&lt;tabItens[[#This Row],[Saldo]],tabItens[[#This Row],[Saldo]]&gt;0), tabItens[[#This Row],[PontoPed]]=0), 99, IF(AND(tabItens[[#This Row],[Saldo]]=0,tabItens[[#This Row],[PontoPed]]&gt;0), 0, (1-tabItens[[#This Row],[PctAb]])*10 ) ),0)</f>
        <v>99</v>
      </c>
      <c r="BE137" s="322">
        <f>MAX(ROUNDDOWN( IF(tabItens[[#This Row],[Abaixo]] &gt; 0,   tabItens[[#This Row],[Abaixo]] + (tabItens[[#This Row],[PontoMês]] * IF( OR( ISBLANK(tabItens[[#This Row],[ATA Nº/ANO]]), tabItens[[#This Row],[ATA Nº/ANO]] = ""),BE$2,BE$1)),0),0),0)</f>
        <v>0</v>
      </c>
      <c r="BF13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7" s="323">
        <f>SUMIF(Consumo!$C$3:$C$869,tabItens[[#This Row],[CÓDIGO]],Consumo!$E$3:$E$869)</f>
        <v>0</v>
      </c>
      <c r="BH137" s="324">
        <f>IF(AND(tabItens[[#This Row],[Pend]] &gt; 0,tabItens[[#This Row],[Consumo]] &lt;&gt; 0), tabItens[[#This Row],[Pend]] / tabItens[[#This Row],[Consumo]], 0 )</f>
        <v>0</v>
      </c>
      <c r="BI137" s="323"/>
      <c r="BJ137" s="323"/>
      <c r="BK137" s="325" t="s">
        <v>2064</v>
      </c>
    </row>
    <row r="138" spans="1:63" hidden="1" x14ac:dyDescent="0.3">
      <c r="A138" s="286">
        <v>32534</v>
      </c>
      <c r="B138" s="287" t="s">
        <v>1247</v>
      </c>
      <c r="C138" s="288" t="s">
        <v>256</v>
      </c>
      <c r="D138" s="289">
        <v>3.97</v>
      </c>
      <c r="E138" s="290"/>
      <c r="F138" s="290" t="s">
        <v>1063</v>
      </c>
      <c r="G138" s="290" t="s">
        <v>1195</v>
      </c>
      <c r="H138" s="291">
        <v>4399</v>
      </c>
      <c r="I138" s="292">
        <v>103003</v>
      </c>
      <c r="J138" s="293">
        <v>3.97</v>
      </c>
      <c r="K138" s="294">
        <v>3452</v>
      </c>
      <c r="L138" s="295">
        <f>IF(tabItens[[#This Row],[Média]] &gt; 0, tabItens[[#This Row],[QTDE ATUAL]] / tabItens[[#This Row],[Média]],999.9)</f>
        <v>16.455112219451372</v>
      </c>
      <c r="M138" s="296">
        <v>0</v>
      </c>
      <c r="N138" s="297">
        <f>tabItens[[#This Row],[VALOR UNIT.]] * tabItens[[#This Row],[LC]]</f>
        <v>0</v>
      </c>
      <c r="O138" s="298" t="s">
        <v>1196</v>
      </c>
      <c r="P138" s="299">
        <v>0</v>
      </c>
      <c r="Q138" s="300">
        <v>13600</v>
      </c>
      <c r="R138" s="297">
        <v>53992</v>
      </c>
      <c r="S138" s="301">
        <v>45327</v>
      </c>
      <c r="T138" s="302">
        <f>ROUNDDOWN(IFERROR(tabItens[[#This Row],[ATA DT.VALID.]] - $D$1,0) / 30,0)</f>
        <v>6</v>
      </c>
      <c r="U138" s="287" t="s">
        <v>1197</v>
      </c>
      <c r="V138" s="303">
        <v>1</v>
      </c>
      <c r="W138" s="304" t="s">
        <v>2049</v>
      </c>
      <c r="X138" s="305">
        <v>51</v>
      </c>
      <c r="Y138" s="306">
        <v>7</v>
      </c>
      <c r="Z138" s="307"/>
      <c r="AA138" s="308"/>
      <c r="AB138" s="309"/>
      <c r="AC138" s="309"/>
      <c r="AD138" s="308"/>
      <c r="AE138" s="309"/>
      <c r="AF138" s="302"/>
      <c r="AG138" s="310" t="s">
        <v>2050</v>
      </c>
      <c r="AH138" s="311"/>
      <c r="AI138" s="302">
        <v>1186</v>
      </c>
      <c r="AJ138" s="311">
        <v>45132</v>
      </c>
      <c r="AK138" s="311" t="s">
        <v>883</v>
      </c>
      <c r="AL138" s="311">
        <v>45076</v>
      </c>
      <c r="AM138" s="301"/>
      <c r="AN138" s="290"/>
      <c r="AO138" s="312" t="str">
        <f>_xlfn.IFNA(IF(VLOOKUP(tabItens[[#This Row],[CÓDIGO]],tabExcluirDoEstoque[#Data],1,FALSE),"sim",""),"")</f>
        <v/>
      </c>
      <c r="AP138" s="313">
        <f ca="1">IF(OR(ISBLANK(tabItens[[#This Row],[ATA DT.VALID.]]),tabItens[[#This Row],[ATA DT.VALID.]]="",tabItens[[#This Row],[ATA DT.VALID.]]=" "),"",IF(TYPE(tabItens[[#This Row],[ATA DT.VALID.]])=1,ROUNDUP((tabItens[[#This Row],[ATA DT.VALID.]]-TODAY())/7,0),""))</f>
        <v>11</v>
      </c>
      <c r="AQ138" s="314">
        <v>0</v>
      </c>
      <c r="AR138" s="315" t="str">
        <f>IF(ISBLANK(tabItens[[#This Row],[CÓDIGO]]),"",IFERROR(VLOOKUP(tabItens[[#This Row],[CÓDIGO]],Consumo!$C$2:$AC$869,26,FALSE),0))</f>
        <v>06.2023</v>
      </c>
      <c r="AS138" s="316">
        <f>SUMIF(Consumo!$C$3:$C$869,tabItens[[#This Row],[CÓDIGO]],Consumo!$N$3:$N$869) + SUMIF(Consumo!$C$3:$C$869,tabItens[[#This Row],[CÓDIGO]],Consumo!$O$3:$O$869) + SUMIF(Consumo!$C$3:$C$869,tabItens[[#This Row],[CÓDIGO]],Consumo!$P$3:$P$869) + SUMIF(Consumo!$C$3:$C$869,tabItens[[#This Row],[CÓDIGO]],Consumo!$Q$3:$Q$869)</f>
        <v>728</v>
      </c>
      <c r="AT138" s="316">
        <f>SUMIF(Consumo!$C$3:$C$869,tabItens[[#This Row],[CÓDIGO]],Consumo!$Z$3:$Z$869)</f>
        <v>3557</v>
      </c>
      <c r="AU138" s="317">
        <f>SUMIF(Consumo!$C$3:$C$869,tabItens[[#This Row],[CÓDIGO]],Consumo!$AA$3:$AA$869)</f>
        <v>1540</v>
      </c>
      <c r="AV138" s="318">
        <f>SUMIF(Consumo!$C$3:$C$869,tabItens[[#This Row],[CÓDIGO]],Consumo!$Y$3:$Y$869)</f>
        <v>267.33333333333331</v>
      </c>
      <c r="AW138" s="291">
        <f>tabItens[[#This Row],[QTDE ATUAL]] + tabItens[[#This Row],[RC QTDE]] + tabItens[[#This Row],[AF SALDO]] + tabItens[[#This Row],[Recentes]]</f>
        <v>4399</v>
      </c>
      <c r="AX138" s="319">
        <v>125</v>
      </c>
      <c r="AY138" s="319">
        <v>4</v>
      </c>
      <c r="AZ138" s="319">
        <f>IF(ISBLANK(tabItens[[#This Row],[CÓDIGO]]),"",tabItens[[#This Row],[PontoMês]] * (AZ$2+tabItens[[#This Row],[PontoQtM]]))</f>
        <v>500</v>
      </c>
      <c r="BA138" s="318">
        <f>tabItens[[#This Row],[PontoPed]] - tabItens[[#This Row],[Saldo]] + (1/10)</f>
        <v>-3898.9</v>
      </c>
      <c r="BB138" s="318">
        <f xml:space="preserve"> tabItens[[#This Row],[PontoMês]] * BB$2 - tabItens[[#This Row],[QTDE ATUAL]] - (1/10)</f>
        <v>-4274.1000000000004</v>
      </c>
      <c r="BC138" s="320">
        <f>IF( tabItens[[#This Row],[PontoPed]]&gt;0, IF(tabItens[[#This Row],[PontoPed]]&lt;1, 1, IF( tabItens[[#This Row],[Saldo]]&gt;tabItens[[#This Row],[PontoPed]], 0, (tabItens[[#This Row],[PontoPed]]-tabItens[[#This Row],[Saldo]])/tabItens[[#This Row],[PontoPed]] ) ), 0 )</f>
        <v>0</v>
      </c>
      <c r="BD138" s="321">
        <f>ROUNDDOWN(IF( OR( AND(tabItens[[#This Row],[PontoPed]]&lt;tabItens[[#This Row],[Saldo]],tabItens[[#This Row],[Saldo]]&gt;0), tabItens[[#This Row],[PontoPed]]=0), 99, IF(AND(tabItens[[#This Row],[Saldo]]=0,tabItens[[#This Row],[PontoPed]]&gt;0), 0, (1-tabItens[[#This Row],[PctAb]])*10 ) ),0)</f>
        <v>99</v>
      </c>
      <c r="BE138" s="322">
        <f>MAX(ROUNDDOWN( IF(tabItens[[#This Row],[Abaixo]] &gt; 0,   tabItens[[#This Row],[Abaixo]] + (tabItens[[#This Row],[PontoMês]] * IF( OR( ISBLANK(tabItens[[#This Row],[ATA Nº/ANO]]), tabItens[[#This Row],[ATA Nº/ANO]] = ""),BE$2,BE$1)),0),0),0)</f>
        <v>0</v>
      </c>
      <c r="BF13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8" s="323">
        <f>SUMIF(Consumo!$C$3:$C$869,tabItens[[#This Row],[CÓDIGO]],Consumo!$E$3:$E$869)</f>
        <v>0</v>
      </c>
      <c r="BH138" s="324">
        <f>IF(AND(tabItens[[#This Row],[Pend]] &gt; 0,tabItens[[#This Row],[Consumo]] &lt;&gt; 0), tabItens[[#This Row],[Pend]] / tabItens[[#This Row],[Consumo]], 0 )</f>
        <v>0</v>
      </c>
      <c r="BI138" s="323"/>
      <c r="BJ138" s="323"/>
      <c r="BK138" s="325" t="s">
        <v>2064</v>
      </c>
    </row>
    <row r="139" spans="1:63" hidden="1" x14ac:dyDescent="0.3">
      <c r="A139" s="286">
        <v>34801</v>
      </c>
      <c r="B139" s="287" t="s">
        <v>1255</v>
      </c>
      <c r="C139" s="288" t="s">
        <v>256</v>
      </c>
      <c r="D139" s="289">
        <v>2.84</v>
      </c>
      <c r="E139" s="290"/>
      <c r="F139" s="290" t="s">
        <v>1063</v>
      </c>
      <c r="G139" s="290" t="s">
        <v>1195</v>
      </c>
      <c r="H139" s="291">
        <v>2971</v>
      </c>
      <c r="I139" s="292">
        <v>103003</v>
      </c>
      <c r="J139" s="293">
        <v>2.84</v>
      </c>
      <c r="K139" s="294">
        <v>2590</v>
      </c>
      <c r="L139" s="295">
        <f>IF(tabItens[[#This Row],[Média]] &gt; 0, tabItens[[#This Row],[QTDE ATUAL]] / tabItens[[#This Row],[Média]],999.9)</f>
        <v>12.931447225244831</v>
      </c>
      <c r="M139" s="296">
        <v>0</v>
      </c>
      <c r="N139" s="297">
        <f>tabItens[[#This Row],[VALOR UNIT.]] * tabItens[[#This Row],[LC]]</f>
        <v>0</v>
      </c>
      <c r="O139" s="298" t="s">
        <v>1196</v>
      </c>
      <c r="P139" s="299">
        <v>0</v>
      </c>
      <c r="Q139" s="300">
        <v>13100</v>
      </c>
      <c r="R139" s="297">
        <v>37204</v>
      </c>
      <c r="S139" s="301">
        <v>45327</v>
      </c>
      <c r="T139" s="302">
        <f>ROUNDDOWN(IFERROR(tabItens[[#This Row],[ATA DT.VALID.]] - $D$1,0) / 30,0)</f>
        <v>6</v>
      </c>
      <c r="U139" s="287" t="s">
        <v>1197</v>
      </c>
      <c r="V139" s="303">
        <v>1</v>
      </c>
      <c r="W139" s="304" t="s">
        <v>2049</v>
      </c>
      <c r="X139" s="305">
        <v>51</v>
      </c>
      <c r="Y139" s="306">
        <v>7</v>
      </c>
      <c r="Z139" s="307"/>
      <c r="AA139" s="308"/>
      <c r="AB139" s="309"/>
      <c r="AC139" s="309"/>
      <c r="AD139" s="308"/>
      <c r="AE139" s="309"/>
      <c r="AF139" s="302"/>
      <c r="AG139" s="310" t="s">
        <v>2050</v>
      </c>
      <c r="AH139" s="311"/>
      <c r="AI139" s="302">
        <v>960</v>
      </c>
      <c r="AJ139" s="311">
        <v>45132</v>
      </c>
      <c r="AK139" s="311" t="s">
        <v>883</v>
      </c>
      <c r="AL139" s="311">
        <v>45082</v>
      </c>
      <c r="AM139" s="301"/>
      <c r="AN139" s="290"/>
      <c r="AO139" s="312" t="str">
        <f>_xlfn.IFNA(IF(VLOOKUP(tabItens[[#This Row],[CÓDIGO]],tabExcluirDoEstoque[#Data],1,FALSE),"sim",""),"")</f>
        <v/>
      </c>
      <c r="AP139" s="313">
        <f ca="1">IF(OR(ISBLANK(tabItens[[#This Row],[ATA DT.VALID.]]),tabItens[[#This Row],[ATA DT.VALID.]]="",tabItens[[#This Row],[ATA DT.VALID.]]=" "),"",IF(TYPE(tabItens[[#This Row],[ATA DT.VALID.]])=1,ROUNDUP((tabItens[[#This Row],[ATA DT.VALID.]]-TODAY())/7,0),""))</f>
        <v>11</v>
      </c>
      <c r="AQ139" s="314">
        <v>0</v>
      </c>
      <c r="AR139" s="315" t="str">
        <f>IF(ISBLANK(tabItens[[#This Row],[CÓDIGO]]),"",IFERROR(VLOOKUP(tabItens[[#This Row],[CÓDIGO]],Consumo!$C$2:$AC$869,26,FALSE),0))</f>
        <v>07.2023</v>
      </c>
      <c r="AS139" s="316">
        <f>SUMIF(Consumo!$C$3:$C$869,tabItens[[#This Row],[CÓDIGO]],Consumo!$N$3:$N$869) + SUMIF(Consumo!$C$3:$C$869,tabItens[[#This Row],[CÓDIGO]],Consumo!$O$3:$O$869) + SUMIF(Consumo!$C$3:$C$869,tabItens[[#This Row],[CÓDIGO]],Consumo!$P$3:$P$869) + SUMIF(Consumo!$C$3:$C$869,tabItens[[#This Row],[CÓDIGO]],Consumo!$Q$3:$Q$869)</f>
        <v>1220</v>
      </c>
      <c r="AT139" s="316">
        <f>SUMIF(Consumo!$C$3:$C$869,tabItens[[#This Row],[CÓDIGO]],Consumo!$Z$3:$Z$869)</f>
        <v>2880</v>
      </c>
      <c r="AU139" s="317">
        <f>SUMIF(Consumo!$C$3:$C$869,tabItens[[#This Row],[CÓDIGO]],Consumo!$AA$3:$AA$869)</f>
        <v>890</v>
      </c>
      <c r="AV139" s="318">
        <f>SUMIF(Consumo!$C$3:$C$869,tabItens[[#This Row],[CÓDIGO]],Consumo!$Y$3:$Y$869)</f>
        <v>229.75</v>
      </c>
      <c r="AW139" s="291">
        <f>tabItens[[#This Row],[QTDE ATUAL]] + tabItens[[#This Row],[RC QTDE]] + tabItens[[#This Row],[AF SALDO]] + tabItens[[#This Row],[Recentes]]</f>
        <v>2971</v>
      </c>
      <c r="AX139" s="319">
        <v>417</v>
      </c>
      <c r="AY139" s="319">
        <v>3</v>
      </c>
      <c r="AZ139" s="319">
        <f>IF(ISBLANK(tabItens[[#This Row],[CÓDIGO]]),"",tabItens[[#This Row],[PontoMês]] * (AZ$2+tabItens[[#This Row],[PontoQtM]]))</f>
        <v>1251</v>
      </c>
      <c r="BA139" s="318">
        <f>tabItens[[#This Row],[PontoPed]] - tabItens[[#This Row],[Saldo]] + (1/10)</f>
        <v>-1719.9</v>
      </c>
      <c r="BB139" s="318">
        <f xml:space="preserve"> tabItens[[#This Row],[PontoMês]] * BB$2 - tabItens[[#This Row],[QTDE ATUAL]] - (1/10)</f>
        <v>-2554.1</v>
      </c>
      <c r="BC139" s="320">
        <f>IF( tabItens[[#This Row],[PontoPed]]&gt;0, IF(tabItens[[#This Row],[PontoPed]]&lt;1, 1, IF( tabItens[[#This Row],[Saldo]]&gt;tabItens[[#This Row],[PontoPed]], 0, (tabItens[[#This Row],[PontoPed]]-tabItens[[#This Row],[Saldo]])/tabItens[[#This Row],[PontoPed]] ) ), 0 )</f>
        <v>0</v>
      </c>
      <c r="BD139" s="321">
        <f>ROUNDDOWN(IF( OR( AND(tabItens[[#This Row],[PontoPed]]&lt;tabItens[[#This Row],[Saldo]],tabItens[[#This Row],[Saldo]]&gt;0), tabItens[[#This Row],[PontoPed]]=0), 99, IF(AND(tabItens[[#This Row],[Saldo]]=0,tabItens[[#This Row],[PontoPed]]&gt;0), 0, (1-tabItens[[#This Row],[PctAb]])*10 ) ),0)</f>
        <v>99</v>
      </c>
      <c r="BE139" s="322">
        <f>MAX(ROUNDDOWN( IF(tabItens[[#This Row],[Abaixo]] &gt; 0,   tabItens[[#This Row],[Abaixo]] + (tabItens[[#This Row],[PontoMês]] * IF( OR( ISBLANK(tabItens[[#This Row],[ATA Nº/ANO]]), tabItens[[#This Row],[ATA Nº/ANO]] = ""),BE$2,BE$1)),0),0),0)</f>
        <v>0</v>
      </c>
      <c r="BF13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9" s="323">
        <f>SUMIF(Consumo!$C$3:$C$869,tabItens[[#This Row],[CÓDIGO]],Consumo!$E$3:$E$869)</f>
        <v>0</v>
      </c>
      <c r="BH139" s="324">
        <f>IF(AND(tabItens[[#This Row],[Pend]] &gt; 0,tabItens[[#This Row],[Consumo]] &lt;&gt; 0), tabItens[[#This Row],[Pend]] / tabItens[[#This Row],[Consumo]], 0 )</f>
        <v>0</v>
      </c>
      <c r="BI139" s="323"/>
      <c r="BJ139" s="323"/>
      <c r="BK139" s="325" t="s">
        <v>2064</v>
      </c>
    </row>
    <row r="140" spans="1:63" hidden="1" x14ac:dyDescent="0.3">
      <c r="A140" s="286">
        <v>64044</v>
      </c>
      <c r="B140" s="287" t="s">
        <v>1364</v>
      </c>
      <c r="C140" s="288" t="s">
        <v>629</v>
      </c>
      <c r="D140" s="289">
        <v>38.31</v>
      </c>
      <c r="E140" s="290"/>
      <c r="F140" s="290" t="s">
        <v>1322</v>
      </c>
      <c r="G140" s="290" t="s">
        <v>1195</v>
      </c>
      <c r="H140" s="291">
        <v>320</v>
      </c>
      <c r="I140" s="292">
        <v>103003</v>
      </c>
      <c r="J140" s="293">
        <v>38.31</v>
      </c>
      <c r="K140" s="294">
        <v>210</v>
      </c>
      <c r="L140" s="295">
        <f>IF(tabItens[[#This Row],[Média]] &gt; 0, tabItens[[#This Row],[QTDE ATUAL]] / tabItens[[#This Row],[Média]],999.9)</f>
        <v>22.857142857142858</v>
      </c>
      <c r="M140" s="296">
        <v>0</v>
      </c>
      <c r="N140" s="297">
        <f>tabItens[[#This Row],[VALOR UNIT.]] * tabItens[[#This Row],[LC]]</f>
        <v>0</v>
      </c>
      <c r="O140" s="298" t="s">
        <v>1196</v>
      </c>
      <c r="P140" s="299">
        <v>0</v>
      </c>
      <c r="Q140" s="300">
        <v>3000</v>
      </c>
      <c r="R140" s="297">
        <v>114930</v>
      </c>
      <c r="S140" s="301">
        <v>45328</v>
      </c>
      <c r="T140" s="302">
        <f>ROUNDDOWN(IFERROR(tabItens[[#This Row],[ATA DT.VALID.]] - $D$1,0) / 30,0)</f>
        <v>6</v>
      </c>
      <c r="U140" s="287" t="s">
        <v>1323</v>
      </c>
      <c r="V140" s="303">
        <v>1</v>
      </c>
      <c r="W140" s="304" t="s">
        <v>2049</v>
      </c>
      <c r="X140" s="305">
        <v>51</v>
      </c>
      <c r="Y140" s="306">
        <v>30</v>
      </c>
      <c r="Z140" s="307"/>
      <c r="AA140" s="308"/>
      <c r="AB140" s="309"/>
      <c r="AC140" s="309"/>
      <c r="AD140" s="308"/>
      <c r="AE140" s="309"/>
      <c r="AF140" s="302"/>
      <c r="AG140" s="310" t="s">
        <v>2050</v>
      </c>
      <c r="AH140" s="311"/>
      <c r="AI140" s="302">
        <v>70</v>
      </c>
      <c r="AJ140" s="311">
        <v>45104</v>
      </c>
      <c r="AK140" s="311" t="s">
        <v>883</v>
      </c>
      <c r="AL140" s="311">
        <v>45033</v>
      </c>
      <c r="AM140" s="301"/>
      <c r="AN140" s="290"/>
      <c r="AO140" s="312" t="str">
        <f>_xlfn.IFNA(IF(VLOOKUP(tabItens[[#This Row],[CÓDIGO]],tabExcluirDoEstoque[#Data],1,FALSE),"sim",""),"")</f>
        <v/>
      </c>
      <c r="AP140" s="313">
        <f ca="1">IF(OR(ISBLANK(tabItens[[#This Row],[ATA DT.VALID.]]),tabItens[[#This Row],[ATA DT.VALID.]]="",tabItens[[#This Row],[ATA DT.VALID.]]=" "),"",IF(TYPE(tabItens[[#This Row],[ATA DT.VALID.]])=1,ROUNDUP((tabItens[[#This Row],[ATA DT.VALID.]]-TODAY())/7,0),""))</f>
        <v>11</v>
      </c>
      <c r="AQ140" s="314">
        <v>0</v>
      </c>
      <c r="AR140" s="315" t="str">
        <f>IF(ISBLANK(tabItens[[#This Row],[CÓDIGO]]),"",IFERROR(VLOOKUP(tabItens[[#This Row],[CÓDIGO]],Consumo!$C$2:$AC$869,26,FALSE),0))</f>
        <v>06.2023</v>
      </c>
      <c r="AS140" s="316">
        <f>SUMIF(Consumo!$C$3:$C$869,tabItens[[#This Row],[CÓDIGO]],Consumo!$N$3:$N$869) + SUMIF(Consumo!$C$3:$C$869,tabItens[[#This Row],[CÓDIGO]],Consumo!$O$3:$O$869) + SUMIF(Consumo!$C$3:$C$869,tabItens[[#This Row],[CÓDIGO]],Consumo!$P$3:$P$869) + SUMIF(Consumo!$C$3:$C$869,tabItens[[#This Row],[CÓDIGO]],Consumo!$Q$3:$Q$869)</f>
        <v>20</v>
      </c>
      <c r="AT140" s="316">
        <f>SUMIF(Consumo!$C$3:$C$869,tabItens[[#This Row],[CÓDIGO]],Consumo!$Z$3:$Z$869)</f>
        <v>210</v>
      </c>
      <c r="AU140" s="317">
        <f>SUMIF(Consumo!$C$3:$C$869,tabItens[[#This Row],[CÓDIGO]],Consumo!$AA$3:$AA$869)</f>
        <v>140</v>
      </c>
      <c r="AV140" s="318">
        <f>SUMIF(Consumo!$C$3:$C$869,tabItens[[#This Row],[CÓDIGO]],Consumo!$Y$3:$Y$869)</f>
        <v>14</v>
      </c>
      <c r="AW140" s="291">
        <f>tabItens[[#This Row],[QTDE ATUAL]] + tabItens[[#This Row],[RC QTDE]] + tabItens[[#This Row],[AF SALDO]] + tabItens[[#This Row],[Recentes]]</f>
        <v>320</v>
      </c>
      <c r="AX140" s="319">
        <v>10</v>
      </c>
      <c r="AY140" s="319">
        <v>4</v>
      </c>
      <c r="AZ140" s="319">
        <f>IF(ISBLANK(tabItens[[#This Row],[CÓDIGO]]),"",tabItens[[#This Row],[PontoMês]] * (AZ$2+tabItens[[#This Row],[PontoQtM]]))</f>
        <v>40</v>
      </c>
      <c r="BA140" s="318">
        <f>tabItens[[#This Row],[PontoPed]] - tabItens[[#This Row],[Saldo]] + (1/10)</f>
        <v>-279.89999999999998</v>
      </c>
      <c r="BB140" s="318">
        <f xml:space="preserve"> tabItens[[#This Row],[PontoMês]] * BB$2 - tabItens[[#This Row],[QTDE ATUAL]] - (1/10)</f>
        <v>-310.10000000000002</v>
      </c>
      <c r="BC140" s="320">
        <f>IF( tabItens[[#This Row],[PontoPed]]&gt;0, IF(tabItens[[#This Row],[PontoPed]]&lt;1, 1, IF( tabItens[[#This Row],[Saldo]]&gt;tabItens[[#This Row],[PontoPed]], 0, (tabItens[[#This Row],[PontoPed]]-tabItens[[#This Row],[Saldo]])/tabItens[[#This Row],[PontoPed]] ) ), 0 )</f>
        <v>0</v>
      </c>
      <c r="BD140" s="321">
        <f>ROUNDDOWN(IF( OR( AND(tabItens[[#This Row],[PontoPed]]&lt;tabItens[[#This Row],[Saldo]],tabItens[[#This Row],[Saldo]]&gt;0), tabItens[[#This Row],[PontoPed]]=0), 99, IF(AND(tabItens[[#This Row],[Saldo]]=0,tabItens[[#This Row],[PontoPed]]&gt;0), 0, (1-tabItens[[#This Row],[PctAb]])*10 ) ),0)</f>
        <v>99</v>
      </c>
      <c r="BE140" s="322">
        <f>MAX(ROUNDDOWN( IF(tabItens[[#This Row],[Abaixo]] &gt; 0,   tabItens[[#This Row],[Abaixo]] + (tabItens[[#This Row],[PontoMês]] * IF( OR( ISBLANK(tabItens[[#This Row],[ATA Nº/ANO]]), tabItens[[#This Row],[ATA Nº/ANO]] = ""),BE$2,BE$1)),0),0),0)</f>
        <v>0</v>
      </c>
      <c r="BF1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0" s="323">
        <f>SUMIF(Consumo!$C$3:$C$869,tabItens[[#This Row],[CÓDIGO]],Consumo!$E$3:$E$869)</f>
        <v>0</v>
      </c>
      <c r="BH140" s="324">
        <f>IF(AND(tabItens[[#This Row],[Pend]] &gt; 0,tabItens[[#This Row],[Consumo]] &lt;&gt; 0), tabItens[[#This Row],[Pend]] / tabItens[[#This Row],[Consumo]], 0 )</f>
        <v>0</v>
      </c>
      <c r="BI140" s="323"/>
      <c r="BJ140" s="323"/>
      <c r="BK140" s="325" t="s">
        <v>2064</v>
      </c>
    </row>
    <row r="141" spans="1:63" hidden="1" x14ac:dyDescent="0.3">
      <c r="A141" s="286">
        <v>27136</v>
      </c>
      <c r="B141" s="287" t="s">
        <v>1215</v>
      </c>
      <c r="C141" s="288" t="s">
        <v>256</v>
      </c>
      <c r="D141" s="289">
        <v>7.0000000000000007E-2</v>
      </c>
      <c r="E141" s="290" t="s">
        <v>1216</v>
      </c>
      <c r="F141" s="290" t="s">
        <v>1217</v>
      </c>
      <c r="G141" s="290" t="s">
        <v>890</v>
      </c>
      <c r="H141" s="291">
        <v>45286</v>
      </c>
      <c r="I141" s="292">
        <v>103003</v>
      </c>
      <c r="J141" s="293">
        <v>7.0000000000000007E-2</v>
      </c>
      <c r="K141" s="294">
        <v>140546</v>
      </c>
      <c r="L141" s="295">
        <f>IF(tabItens[[#This Row],[Média]] &gt; 0, tabItens[[#This Row],[QTDE ATUAL]] / tabItens[[#This Row],[Média]],999.9)</f>
        <v>3.4082724450437452</v>
      </c>
      <c r="M141" s="296">
        <v>0</v>
      </c>
      <c r="N141" s="297">
        <f>tabItens[[#This Row],[VALOR UNIT.]] * tabItens[[#This Row],[LC]]</f>
        <v>0</v>
      </c>
      <c r="O141" s="298" t="s">
        <v>891</v>
      </c>
      <c r="P141" s="299">
        <v>0</v>
      </c>
      <c r="Q141" s="300">
        <v>275000</v>
      </c>
      <c r="R141" s="297">
        <v>19250</v>
      </c>
      <c r="S141" s="301">
        <v>45377</v>
      </c>
      <c r="T141" s="302">
        <f>ROUNDDOWN(IFERROR(tabItens[[#This Row],[ATA DT.VALID.]] - $D$1,0) / 30,0)</f>
        <v>7</v>
      </c>
      <c r="U141" s="287" t="s">
        <v>1218</v>
      </c>
      <c r="V141" s="303">
        <v>1</v>
      </c>
      <c r="W141" s="304" t="s">
        <v>2058</v>
      </c>
      <c r="X141" s="305">
        <v>62</v>
      </c>
      <c r="Y141" s="306">
        <v>10</v>
      </c>
      <c r="Z141" s="307"/>
      <c r="AA141" s="308"/>
      <c r="AB141" s="309"/>
      <c r="AC141" s="309"/>
      <c r="AD141" s="308"/>
      <c r="AE141" s="309"/>
      <c r="AF141" s="302"/>
      <c r="AG141" s="310" t="s">
        <v>2050</v>
      </c>
      <c r="AH141" s="311"/>
      <c r="AI141" s="302">
        <v>46848</v>
      </c>
      <c r="AJ141" s="311">
        <v>45097</v>
      </c>
      <c r="AK141" s="311" t="s">
        <v>883</v>
      </c>
      <c r="AL141" s="311">
        <v>45064</v>
      </c>
      <c r="AM141" s="301"/>
      <c r="AN141" s="290"/>
      <c r="AO141" s="312" t="str">
        <f>_xlfn.IFNA(IF(VLOOKUP(tabItens[[#This Row],[CÓDIGO]],tabExcluirDoEstoque[#Data],1,FALSE),"sim",""),"")</f>
        <v/>
      </c>
      <c r="AP141" s="313">
        <f ca="1">IF(OR(ISBLANK(tabItens[[#This Row],[ATA DT.VALID.]]),tabItens[[#This Row],[ATA DT.VALID.]]="",tabItens[[#This Row],[ATA DT.VALID.]]=" "),"",IF(TYPE(tabItens[[#This Row],[ATA DT.VALID.]])=1,ROUNDUP((tabItens[[#This Row],[ATA DT.VALID.]]-TODAY())/7,0),""))</f>
        <v>18</v>
      </c>
      <c r="AQ141" s="314">
        <v>0</v>
      </c>
      <c r="AR141" s="315" t="str">
        <f>IF(ISBLANK(tabItens[[#This Row],[CÓDIGO]]),"",IFERROR(VLOOKUP(tabItens[[#This Row],[CÓDIGO]],Consumo!$C$2:$AC$869,26,FALSE),0))</f>
        <v>07.2023</v>
      </c>
      <c r="AS141" s="316">
        <f>SUMIF(Consumo!$C$3:$C$869,tabItens[[#This Row],[CÓDIGO]],Consumo!$N$3:$N$869) + SUMIF(Consumo!$C$3:$C$869,tabItens[[#This Row],[CÓDIGO]],Consumo!$O$3:$O$869) + SUMIF(Consumo!$C$3:$C$869,tabItens[[#This Row],[CÓDIGO]],Consumo!$P$3:$P$869) + SUMIF(Consumo!$C$3:$C$869,tabItens[[#This Row],[CÓDIGO]],Consumo!$Q$3:$Q$869)</f>
        <v>54614</v>
      </c>
      <c r="AT141" s="316">
        <f>SUMIF(Consumo!$C$3:$C$869,tabItens[[#This Row],[CÓDIGO]],Consumo!$Z$3:$Z$869)</f>
        <v>159445</v>
      </c>
      <c r="AU141" s="317">
        <f>SUMIF(Consumo!$C$3:$C$869,tabItens[[#This Row],[CÓDIGO]],Consumo!$AA$3:$AA$869)</f>
        <v>39614</v>
      </c>
      <c r="AV141" s="318">
        <f>SUMIF(Consumo!$C$3:$C$869,tabItens[[#This Row],[CÓDIGO]],Consumo!$Y$3:$Y$869)</f>
        <v>13287.083333333334</v>
      </c>
      <c r="AW141" s="291">
        <f>tabItens[[#This Row],[QTDE ATUAL]] + tabItens[[#This Row],[RC QTDE]] + tabItens[[#This Row],[AF SALDO]] + tabItens[[#This Row],[Recentes]]</f>
        <v>45286</v>
      </c>
      <c r="AX141" s="319">
        <v>9752</v>
      </c>
      <c r="AY141" s="319">
        <v>4</v>
      </c>
      <c r="AZ141" s="319">
        <f>IF(ISBLANK(tabItens[[#This Row],[CÓDIGO]]),"",tabItens[[#This Row],[PontoMês]] * (AZ$2+tabItens[[#This Row],[PontoQtM]]))</f>
        <v>39008</v>
      </c>
      <c r="BA141" s="318">
        <f>tabItens[[#This Row],[PontoPed]] - tabItens[[#This Row],[Saldo]] + (1/10)</f>
        <v>-6277.9</v>
      </c>
      <c r="BB141" s="318">
        <f xml:space="preserve"> tabItens[[#This Row],[PontoMês]] * BB$2 - tabItens[[#This Row],[QTDE ATUAL]] - (1/10)</f>
        <v>-35534.1</v>
      </c>
      <c r="BC141" s="320">
        <f>IF( tabItens[[#This Row],[PontoPed]]&gt;0, IF(tabItens[[#This Row],[PontoPed]]&lt;1, 1, IF( tabItens[[#This Row],[Saldo]]&gt;tabItens[[#This Row],[PontoPed]], 0, (tabItens[[#This Row],[PontoPed]]-tabItens[[#This Row],[Saldo]])/tabItens[[#This Row],[PontoPed]] ) ), 0 )</f>
        <v>0</v>
      </c>
      <c r="BD141" s="321">
        <f>ROUNDDOWN(IF( OR( AND(tabItens[[#This Row],[PontoPed]]&lt;tabItens[[#This Row],[Saldo]],tabItens[[#This Row],[Saldo]]&gt;0), tabItens[[#This Row],[PontoPed]]=0), 99, IF(AND(tabItens[[#This Row],[Saldo]]=0,tabItens[[#This Row],[PontoPed]]&gt;0), 0, (1-tabItens[[#This Row],[PctAb]])*10 ) ),0)</f>
        <v>99</v>
      </c>
      <c r="BE141" s="322">
        <f>MAX(ROUNDDOWN( IF(tabItens[[#This Row],[Abaixo]] &gt; 0,   tabItens[[#This Row],[Abaixo]] + (tabItens[[#This Row],[PontoMês]] * IF( OR( ISBLANK(tabItens[[#This Row],[ATA Nº/ANO]]), tabItens[[#This Row],[ATA Nº/ANO]] = ""),BE$2,BE$1)),0),0),0)</f>
        <v>0</v>
      </c>
      <c r="BF1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1" s="323">
        <f>SUMIF(Consumo!$C$3:$C$869,tabItens[[#This Row],[CÓDIGO]],Consumo!$E$3:$E$869)</f>
        <v>18899</v>
      </c>
      <c r="BH141" s="324">
        <f>IF(AND(tabItens[[#This Row],[Pend]] &gt; 0,tabItens[[#This Row],[Consumo]] &lt;&gt; 0), tabItens[[#This Row],[Pend]] / tabItens[[#This Row],[Consumo]], 0 )</f>
        <v>0.11852990059268086</v>
      </c>
      <c r="BI141" s="323"/>
      <c r="BJ141" s="323"/>
      <c r="BK141" s="325" t="s">
        <v>2064</v>
      </c>
    </row>
    <row r="142" spans="1:63" hidden="1" x14ac:dyDescent="0.3">
      <c r="A142" s="286">
        <v>87698</v>
      </c>
      <c r="B142" s="287" t="s">
        <v>1487</v>
      </c>
      <c r="C142" s="288" t="s">
        <v>256</v>
      </c>
      <c r="D142" s="289">
        <v>3.63</v>
      </c>
      <c r="E142" s="290" t="s">
        <v>1488</v>
      </c>
      <c r="F142" s="290" t="s">
        <v>1489</v>
      </c>
      <c r="G142" s="290" t="s">
        <v>890</v>
      </c>
      <c r="H142" s="291">
        <v>14</v>
      </c>
      <c r="I142" s="292">
        <v>103003</v>
      </c>
      <c r="J142" s="293">
        <v>3.63</v>
      </c>
      <c r="K142" s="294">
        <v>13</v>
      </c>
      <c r="L142" s="295">
        <f>IF(tabItens[[#This Row],[Média]] &gt; 0, tabItens[[#This Row],[QTDE ATUAL]] / tabItens[[#This Row],[Média]],999.9)</f>
        <v>10.5</v>
      </c>
      <c r="M142" s="296">
        <v>0</v>
      </c>
      <c r="N142" s="297">
        <f>tabItens[[#This Row],[VALOR UNIT.]] * tabItens[[#This Row],[LC]]</f>
        <v>0</v>
      </c>
      <c r="O142" s="298" t="s">
        <v>891</v>
      </c>
      <c r="P142" s="299">
        <v>0</v>
      </c>
      <c r="Q142" s="300">
        <v>330</v>
      </c>
      <c r="R142" s="297">
        <v>1197.9000000000001</v>
      </c>
      <c r="S142" s="301">
        <v>45377</v>
      </c>
      <c r="T142" s="302">
        <f>ROUNDDOWN(IFERROR(tabItens[[#This Row],[ATA DT.VALID.]] - $D$1,0) / 30,0)</f>
        <v>7</v>
      </c>
      <c r="U142" s="287" t="s">
        <v>1430</v>
      </c>
      <c r="V142" s="303">
        <v>1</v>
      </c>
      <c r="W142" s="304" t="s">
        <v>2051</v>
      </c>
      <c r="X142" s="305">
        <v>72</v>
      </c>
      <c r="Y142" s="306">
        <v>5</v>
      </c>
      <c r="Z142" s="307"/>
      <c r="AA142" s="308"/>
      <c r="AB142" s="309"/>
      <c r="AC142" s="309"/>
      <c r="AD142" s="308"/>
      <c r="AE142" s="309"/>
      <c r="AF142" s="302"/>
      <c r="AG142" s="310" t="s">
        <v>2050</v>
      </c>
      <c r="AH142" s="311"/>
      <c r="AI142" s="302">
        <v>4</v>
      </c>
      <c r="AJ142" s="311">
        <v>45075</v>
      </c>
      <c r="AK142" s="311">
        <v>38611</v>
      </c>
      <c r="AL142" s="311">
        <v>45051</v>
      </c>
      <c r="AM142" s="301"/>
      <c r="AN142" s="290"/>
      <c r="AO142" s="312" t="str">
        <f>_xlfn.IFNA(IF(VLOOKUP(tabItens[[#This Row],[CÓDIGO]],tabExcluirDoEstoque[#Data],1,FALSE),"sim",""),"")</f>
        <v/>
      </c>
      <c r="AP142" s="313">
        <f ca="1">IF(OR(ISBLANK(tabItens[[#This Row],[ATA DT.VALID.]]),tabItens[[#This Row],[ATA DT.VALID.]]="",tabItens[[#This Row],[ATA DT.VALID.]]=" "),"",IF(TYPE(tabItens[[#This Row],[ATA DT.VALID.]])=1,ROUNDUP((tabItens[[#This Row],[ATA DT.VALID.]]-TODAY())/7,0),""))</f>
        <v>18</v>
      </c>
      <c r="AQ142" s="314">
        <v>0</v>
      </c>
      <c r="AR142" s="315" t="str">
        <f>IF(ISBLANK(tabItens[[#This Row],[CÓDIGO]]),"",IFERROR(VLOOKUP(tabItens[[#This Row],[CÓDIGO]],Consumo!$C$2:$AC$869,26,FALSE),0))</f>
        <v>07.2023</v>
      </c>
      <c r="AS142" s="316">
        <f>SUMIF(Consumo!$C$3:$C$869,tabItens[[#This Row],[CÓDIGO]],Consumo!$N$3:$N$869) + SUMIF(Consumo!$C$3:$C$869,tabItens[[#This Row],[CÓDIGO]],Consumo!$O$3:$O$869) + SUMIF(Consumo!$C$3:$C$869,tabItens[[#This Row],[CÓDIGO]],Consumo!$P$3:$P$869) + SUMIF(Consumo!$C$3:$C$869,tabItens[[#This Row],[CÓDIGO]],Consumo!$Q$3:$Q$869)</f>
        <v>6</v>
      </c>
      <c r="AT142" s="316">
        <f>SUMIF(Consumo!$C$3:$C$869,tabItens[[#This Row],[CÓDIGO]],Consumo!$Z$3:$Z$869)</f>
        <v>16</v>
      </c>
      <c r="AU142" s="317">
        <f>SUMIF(Consumo!$C$3:$C$869,tabItens[[#This Row],[CÓDIGO]],Consumo!$AA$3:$AA$869)</f>
        <v>4</v>
      </c>
      <c r="AV142" s="318">
        <f>SUMIF(Consumo!$C$3:$C$869,tabItens[[#This Row],[CÓDIGO]],Consumo!$Y$3:$Y$869)</f>
        <v>1.3333333333333333</v>
      </c>
      <c r="AW142" s="291">
        <f>tabItens[[#This Row],[QTDE ATUAL]] + tabItens[[#This Row],[RC QTDE]] + tabItens[[#This Row],[AF SALDO]] + tabItens[[#This Row],[Recentes]]</f>
        <v>14</v>
      </c>
      <c r="AX142" s="319">
        <v>3</v>
      </c>
      <c r="AY142" s="319">
        <v>4</v>
      </c>
      <c r="AZ142" s="319">
        <f>IF(ISBLANK(tabItens[[#This Row],[CÓDIGO]]),"",tabItens[[#This Row],[PontoMês]] * (AZ$2+tabItens[[#This Row],[PontoQtM]]))</f>
        <v>12</v>
      </c>
      <c r="BA142" s="318">
        <f>tabItens[[#This Row],[PontoPed]] - tabItens[[#This Row],[Saldo]] + (1/10)</f>
        <v>-1.9</v>
      </c>
      <c r="BB142" s="318">
        <f xml:space="preserve"> tabItens[[#This Row],[PontoMês]] * BB$2 - tabItens[[#This Row],[QTDE ATUAL]] - (1/10)</f>
        <v>-11.1</v>
      </c>
      <c r="BC142" s="320">
        <f>IF( tabItens[[#This Row],[PontoPed]]&gt;0, IF(tabItens[[#This Row],[PontoPed]]&lt;1, 1, IF( tabItens[[#This Row],[Saldo]]&gt;tabItens[[#This Row],[PontoPed]], 0, (tabItens[[#This Row],[PontoPed]]-tabItens[[#This Row],[Saldo]])/tabItens[[#This Row],[PontoPed]] ) ), 0 )</f>
        <v>0</v>
      </c>
      <c r="BD142" s="321">
        <f>ROUNDDOWN(IF( OR( AND(tabItens[[#This Row],[PontoPed]]&lt;tabItens[[#This Row],[Saldo]],tabItens[[#This Row],[Saldo]]&gt;0), tabItens[[#This Row],[PontoPed]]=0), 99, IF(AND(tabItens[[#This Row],[Saldo]]=0,tabItens[[#This Row],[PontoPed]]&gt;0), 0, (1-tabItens[[#This Row],[PctAb]])*10 ) ),0)</f>
        <v>99</v>
      </c>
      <c r="BE142" s="322">
        <f>MAX(ROUNDDOWN( IF(tabItens[[#This Row],[Abaixo]] &gt; 0,   tabItens[[#This Row],[Abaixo]] + (tabItens[[#This Row],[PontoMês]] * IF( OR( ISBLANK(tabItens[[#This Row],[ATA Nº/ANO]]), tabItens[[#This Row],[ATA Nº/ANO]] = ""),BE$2,BE$1)),0),0),0)</f>
        <v>0</v>
      </c>
      <c r="BF1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2" s="323">
        <f>SUMIF(Consumo!$C$3:$C$869,tabItens[[#This Row],[CÓDIGO]],Consumo!$E$3:$E$869)</f>
        <v>3</v>
      </c>
      <c r="BH142" s="324">
        <f>IF(AND(tabItens[[#This Row],[Pend]] &gt; 0,tabItens[[#This Row],[Consumo]] &lt;&gt; 0), tabItens[[#This Row],[Pend]] / tabItens[[#This Row],[Consumo]], 0 )</f>
        <v>0.1875</v>
      </c>
      <c r="BI142" s="323"/>
      <c r="BJ142" s="323"/>
      <c r="BK142" s="325" t="s">
        <v>2064</v>
      </c>
    </row>
    <row r="143" spans="1:63" hidden="1" x14ac:dyDescent="0.3">
      <c r="A143" s="286">
        <v>87699</v>
      </c>
      <c r="B143" s="287" t="s">
        <v>1490</v>
      </c>
      <c r="C143" s="288" t="s">
        <v>256</v>
      </c>
      <c r="D143" s="289">
        <v>3.18</v>
      </c>
      <c r="E143" s="290" t="s">
        <v>1488</v>
      </c>
      <c r="F143" s="290" t="s">
        <v>1489</v>
      </c>
      <c r="G143" s="290" t="s">
        <v>890</v>
      </c>
      <c r="H143" s="291">
        <v>86</v>
      </c>
      <c r="I143" s="292">
        <v>103003</v>
      </c>
      <c r="J143" s="293">
        <v>3.18</v>
      </c>
      <c r="K143" s="294">
        <v>2</v>
      </c>
      <c r="L143" s="295">
        <f>IF(tabItens[[#This Row],[Média]] &gt; 0, tabItens[[#This Row],[QTDE ATUAL]] / tabItens[[#This Row],[Média]],999.9)</f>
        <v>999.9</v>
      </c>
      <c r="M143" s="296">
        <v>0</v>
      </c>
      <c r="N143" s="297">
        <f>tabItens[[#This Row],[VALOR UNIT.]] * tabItens[[#This Row],[LC]]</f>
        <v>0</v>
      </c>
      <c r="O143" s="298" t="s">
        <v>891</v>
      </c>
      <c r="P143" s="299">
        <v>0</v>
      </c>
      <c r="Q143" s="300">
        <v>330</v>
      </c>
      <c r="R143" s="297">
        <v>1049.4000000000001</v>
      </c>
      <c r="S143" s="301">
        <v>45377</v>
      </c>
      <c r="T143" s="302">
        <f>ROUNDDOWN(IFERROR(tabItens[[#This Row],[ATA DT.VALID.]] - $D$1,0) / 30,0)</f>
        <v>7</v>
      </c>
      <c r="U143" s="287" t="s">
        <v>1430</v>
      </c>
      <c r="V143" s="303">
        <v>1</v>
      </c>
      <c r="W143" s="304" t="s">
        <v>2051</v>
      </c>
      <c r="X143" s="305">
        <v>72</v>
      </c>
      <c r="Y143" s="306">
        <v>5</v>
      </c>
      <c r="Z143" s="307"/>
      <c r="AA143" s="308"/>
      <c r="AB143" s="309"/>
      <c r="AC143" s="309"/>
      <c r="AD143" s="308"/>
      <c r="AE143" s="309"/>
      <c r="AF143" s="302"/>
      <c r="AG143" s="310" t="s">
        <v>2050</v>
      </c>
      <c r="AH143" s="311"/>
      <c r="AI143" s="302">
        <v>0</v>
      </c>
      <c r="AJ143" s="311">
        <v>43279</v>
      </c>
      <c r="AK143" s="311">
        <v>38611</v>
      </c>
      <c r="AL143" s="311">
        <v>45041</v>
      </c>
      <c r="AM143" s="301"/>
      <c r="AN143" s="290"/>
      <c r="AO143" s="312" t="str">
        <f>_xlfn.IFNA(IF(VLOOKUP(tabItens[[#This Row],[CÓDIGO]],tabExcluirDoEstoque[#Data],1,FALSE),"sim",""),"")</f>
        <v/>
      </c>
      <c r="AP143" s="313">
        <f ca="1">IF(OR(ISBLANK(tabItens[[#This Row],[ATA DT.VALID.]]),tabItens[[#This Row],[ATA DT.VALID.]]="",tabItens[[#This Row],[ATA DT.VALID.]]=" "),"",IF(TYPE(tabItens[[#This Row],[ATA DT.VALID.]])=1,ROUNDUP((tabItens[[#This Row],[ATA DT.VALID.]]-TODAY())/7,0),""))</f>
        <v>18</v>
      </c>
      <c r="AQ143" s="314">
        <v>0</v>
      </c>
      <c r="AR143" s="315" t="str">
        <f>IF(ISBLANK(tabItens[[#This Row],[CÓDIGO]]),"",IFERROR(VLOOKUP(tabItens[[#This Row],[CÓDIGO]],Consumo!$C$2:$AC$869,26,FALSE),0))</f>
        <v>06.2023</v>
      </c>
      <c r="AS143" s="316">
        <f>SUMIF(Consumo!$C$3:$C$869,tabItens[[#This Row],[CÓDIGO]],Consumo!$N$3:$N$869) + SUMIF(Consumo!$C$3:$C$869,tabItens[[#This Row],[CÓDIGO]],Consumo!$O$3:$O$869) + SUMIF(Consumo!$C$3:$C$869,tabItens[[#This Row],[CÓDIGO]],Consumo!$P$3:$P$869) + SUMIF(Consumo!$C$3:$C$869,tabItens[[#This Row],[CÓDIGO]],Consumo!$Q$3:$Q$869)</f>
        <v>1</v>
      </c>
      <c r="AT143" s="316">
        <f>SUMIF(Consumo!$C$3:$C$869,tabItens[[#This Row],[CÓDIGO]],Consumo!$Z$3:$Z$869)</f>
        <v>2</v>
      </c>
      <c r="AU143" s="317">
        <f>SUMIF(Consumo!$C$3:$C$869,tabItens[[#This Row],[CÓDIGO]],Consumo!$AA$3:$AA$869)</f>
        <v>1</v>
      </c>
      <c r="AV143" s="318">
        <f>SUMIF(Consumo!$C$3:$C$869,tabItens[[#This Row],[CÓDIGO]],Consumo!$Y$3:$Y$869)</f>
        <v>0</v>
      </c>
      <c r="AW143" s="291">
        <f>tabItens[[#This Row],[QTDE ATUAL]] + tabItens[[#This Row],[RC QTDE]] + tabItens[[#This Row],[AF SALDO]] + tabItens[[#This Row],[Recentes]]</f>
        <v>86</v>
      </c>
      <c r="AX143" s="319">
        <v>6</v>
      </c>
      <c r="AY143" s="319">
        <v>4</v>
      </c>
      <c r="AZ143" s="319">
        <f>IF(ISBLANK(tabItens[[#This Row],[CÓDIGO]]),"",tabItens[[#This Row],[PontoMês]] * (AZ$2+tabItens[[#This Row],[PontoQtM]]))</f>
        <v>24</v>
      </c>
      <c r="BA143" s="318">
        <f>tabItens[[#This Row],[PontoPed]] - tabItens[[#This Row],[Saldo]] + (1/10)</f>
        <v>-61.9</v>
      </c>
      <c r="BB143" s="318">
        <f xml:space="preserve"> tabItens[[#This Row],[PontoMês]] * BB$2 - tabItens[[#This Row],[QTDE ATUAL]] - (1/10)</f>
        <v>-80.099999999999994</v>
      </c>
      <c r="BC143" s="320">
        <f>IF( tabItens[[#This Row],[PontoPed]]&gt;0, IF(tabItens[[#This Row],[PontoPed]]&lt;1, 1, IF( tabItens[[#This Row],[Saldo]]&gt;tabItens[[#This Row],[PontoPed]], 0, (tabItens[[#This Row],[PontoPed]]-tabItens[[#This Row],[Saldo]])/tabItens[[#This Row],[PontoPed]] ) ), 0 )</f>
        <v>0</v>
      </c>
      <c r="BD143" s="321">
        <f>ROUNDDOWN(IF( OR( AND(tabItens[[#This Row],[PontoPed]]&lt;tabItens[[#This Row],[Saldo]],tabItens[[#This Row],[Saldo]]&gt;0), tabItens[[#This Row],[PontoPed]]=0), 99, IF(AND(tabItens[[#This Row],[Saldo]]=0,tabItens[[#This Row],[PontoPed]]&gt;0), 0, (1-tabItens[[#This Row],[PctAb]])*10 ) ),0)</f>
        <v>99</v>
      </c>
      <c r="BE143" s="322">
        <f>MAX(ROUNDDOWN( IF(tabItens[[#This Row],[Abaixo]] &gt; 0,   tabItens[[#This Row],[Abaixo]] + (tabItens[[#This Row],[PontoMês]] * IF( OR( ISBLANK(tabItens[[#This Row],[ATA Nº/ANO]]), tabItens[[#This Row],[ATA Nº/ANO]] = ""),BE$2,BE$1)),0),0),0)</f>
        <v>0</v>
      </c>
      <c r="BF1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3" s="323">
        <f>SUMIF(Consumo!$C$3:$C$869,tabItens[[#This Row],[CÓDIGO]],Consumo!$E$3:$E$869)</f>
        <v>0</v>
      </c>
      <c r="BH143" s="324">
        <f>IF(AND(tabItens[[#This Row],[Pend]] &gt; 0,tabItens[[#This Row],[Consumo]] &lt;&gt; 0), tabItens[[#This Row],[Pend]] / tabItens[[#This Row],[Consumo]], 0 )</f>
        <v>0</v>
      </c>
      <c r="BI143" s="323"/>
      <c r="BJ143" s="323"/>
      <c r="BK143" s="325" t="s">
        <v>2064</v>
      </c>
    </row>
    <row r="144" spans="1:63" hidden="1" x14ac:dyDescent="0.3">
      <c r="A144" s="286">
        <v>9413</v>
      </c>
      <c r="B144" s="287" t="s">
        <v>887</v>
      </c>
      <c r="C144" s="288" t="s">
        <v>31</v>
      </c>
      <c r="D144" s="289">
        <v>0.67</v>
      </c>
      <c r="E144" s="290" t="s">
        <v>888</v>
      </c>
      <c r="F144" s="290" t="s">
        <v>889</v>
      </c>
      <c r="G144" s="290" t="s">
        <v>890</v>
      </c>
      <c r="H144" s="291">
        <v>9679</v>
      </c>
      <c r="I144" s="292">
        <v>103003</v>
      </c>
      <c r="J144" s="293">
        <v>0.67</v>
      </c>
      <c r="K144" s="294">
        <v>12397</v>
      </c>
      <c r="L144" s="295">
        <f>IF(tabItens[[#This Row],[Média]] &gt; 0, tabItens[[#This Row],[QTDE ATUAL]] / tabItens[[#This Row],[Média]],999.9)</f>
        <v>5.572518351484911</v>
      </c>
      <c r="M144" s="296">
        <v>0</v>
      </c>
      <c r="N144" s="297">
        <f>tabItens[[#This Row],[VALOR UNIT.]] * tabItens[[#This Row],[LC]]</f>
        <v>0</v>
      </c>
      <c r="O144" s="298" t="s">
        <v>891</v>
      </c>
      <c r="P144" s="299">
        <v>0</v>
      </c>
      <c r="Q144" s="300">
        <v>106700</v>
      </c>
      <c r="R144" s="297">
        <v>71489</v>
      </c>
      <c r="S144" s="301">
        <v>45377</v>
      </c>
      <c r="T144" s="302">
        <f>ROUNDDOWN(IFERROR(tabItens[[#This Row],[ATA DT.VALID.]] - $D$1,0) / 30,0)</f>
        <v>7</v>
      </c>
      <c r="U144" s="287" t="s">
        <v>892</v>
      </c>
      <c r="V144" s="303">
        <v>1</v>
      </c>
      <c r="W144" s="304" t="s">
        <v>2051</v>
      </c>
      <c r="X144" s="305">
        <v>72</v>
      </c>
      <c r="Y144" s="306">
        <v>6</v>
      </c>
      <c r="Z144" s="307"/>
      <c r="AA144" s="308"/>
      <c r="AB144" s="309"/>
      <c r="AC144" s="309"/>
      <c r="AD144" s="308"/>
      <c r="AE144" s="309"/>
      <c r="AF144" s="302"/>
      <c r="AG144" s="310" t="s">
        <v>2050</v>
      </c>
      <c r="AH144" s="311"/>
      <c r="AI144" s="302">
        <v>10282</v>
      </c>
      <c r="AJ144" s="311">
        <v>45098</v>
      </c>
      <c r="AK144" s="311" t="s">
        <v>883</v>
      </c>
      <c r="AL144" s="311">
        <v>45076</v>
      </c>
      <c r="AM144" s="301"/>
      <c r="AN144" s="290"/>
      <c r="AO144" s="312" t="str">
        <f>_xlfn.IFNA(IF(VLOOKUP(tabItens[[#This Row],[CÓDIGO]],tabExcluirDoEstoque[#Data],1,FALSE),"sim",""),"")</f>
        <v/>
      </c>
      <c r="AP144" s="313">
        <f ca="1">IF(OR(ISBLANK(tabItens[[#This Row],[ATA DT.VALID.]]),tabItens[[#This Row],[ATA DT.VALID.]]="",tabItens[[#This Row],[ATA DT.VALID.]]=" "),"",IF(TYPE(tabItens[[#This Row],[ATA DT.VALID.]])=1,ROUNDUP((tabItens[[#This Row],[ATA DT.VALID.]]-TODAY())/7,0),""))</f>
        <v>18</v>
      </c>
      <c r="AQ144" s="314">
        <v>0</v>
      </c>
      <c r="AR144" s="315" t="str">
        <f>IF(ISBLANK(tabItens[[#This Row],[CÓDIGO]]),"",IFERROR(VLOOKUP(tabItens[[#This Row],[CÓDIGO]],Consumo!$C$2:$AC$869,26,FALSE),0))</f>
        <v>07.2023</v>
      </c>
      <c r="AS144" s="316">
        <f>SUMIF(Consumo!$C$3:$C$869,tabItens[[#This Row],[CÓDIGO]],Consumo!$N$3:$N$869) + SUMIF(Consumo!$C$3:$C$869,tabItens[[#This Row],[CÓDIGO]],Consumo!$O$3:$O$869) + SUMIF(Consumo!$C$3:$C$869,tabItens[[#This Row],[CÓDIGO]],Consumo!$P$3:$P$869) + SUMIF(Consumo!$C$3:$C$869,tabItens[[#This Row],[CÓDIGO]],Consumo!$Q$3:$Q$869)</f>
        <v>6800</v>
      </c>
      <c r="AT144" s="316">
        <f>SUMIF(Consumo!$C$3:$C$869,tabItens[[#This Row],[CÓDIGO]],Consumo!$Z$3:$Z$869)</f>
        <v>20843</v>
      </c>
      <c r="AU144" s="317">
        <f>SUMIF(Consumo!$C$3:$C$869,tabItens[[#This Row],[CÓDIGO]],Consumo!$AA$3:$AA$869)</f>
        <v>2442</v>
      </c>
      <c r="AV144" s="318">
        <f>SUMIF(Consumo!$C$3:$C$869,tabItens[[#This Row],[CÓDIGO]],Consumo!$Y$3:$Y$869)</f>
        <v>1736.9166666666667</v>
      </c>
      <c r="AW144" s="291">
        <f>tabItens[[#This Row],[QTDE ATUAL]] + tabItens[[#This Row],[RC QTDE]] + tabItens[[#This Row],[AF SALDO]] + tabItens[[#This Row],[Recentes]]</f>
        <v>9679</v>
      </c>
      <c r="AX144" s="319">
        <v>1132</v>
      </c>
      <c r="AY144" s="319">
        <v>4</v>
      </c>
      <c r="AZ144" s="319">
        <f>IF(ISBLANK(tabItens[[#This Row],[CÓDIGO]]),"",tabItens[[#This Row],[PontoMês]] * (AZ$2+tabItens[[#This Row],[PontoQtM]]))</f>
        <v>4528</v>
      </c>
      <c r="BA144" s="318">
        <f>tabItens[[#This Row],[PontoPed]] - tabItens[[#This Row],[Saldo]] + (1/10)</f>
        <v>-5150.8999999999996</v>
      </c>
      <c r="BB144" s="318">
        <f xml:space="preserve"> tabItens[[#This Row],[PontoMês]] * BB$2 - tabItens[[#This Row],[QTDE ATUAL]] - (1/10)</f>
        <v>-8547.1</v>
      </c>
      <c r="BC144" s="320">
        <f>IF( tabItens[[#This Row],[PontoPed]]&gt;0, IF(tabItens[[#This Row],[PontoPed]]&lt;1, 1, IF( tabItens[[#This Row],[Saldo]]&gt;tabItens[[#This Row],[PontoPed]], 0, (tabItens[[#This Row],[PontoPed]]-tabItens[[#This Row],[Saldo]])/tabItens[[#This Row],[PontoPed]] ) ), 0 )</f>
        <v>0</v>
      </c>
      <c r="BD144" s="321">
        <f>ROUNDDOWN(IF( OR( AND(tabItens[[#This Row],[PontoPed]]&lt;tabItens[[#This Row],[Saldo]],tabItens[[#This Row],[Saldo]]&gt;0), tabItens[[#This Row],[PontoPed]]=0), 99, IF(AND(tabItens[[#This Row],[Saldo]]=0,tabItens[[#This Row],[PontoPed]]&gt;0), 0, (1-tabItens[[#This Row],[PctAb]])*10 ) ),0)</f>
        <v>99</v>
      </c>
      <c r="BE144" s="322">
        <f>MAX(ROUNDDOWN( IF(tabItens[[#This Row],[Abaixo]] &gt; 0,   tabItens[[#This Row],[Abaixo]] + (tabItens[[#This Row],[PontoMês]] * IF( OR( ISBLANK(tabItens[[#This Row],[ATA Nº/ANO]]), tabItens[[#This Row],[ATA Nº/ANO]] = ""),BE$2,BE$1)),0),0),0)</f>
        <v>0</v>
      </c>
      <c r="BF14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4" s="323">
        <f>SUMIF(Consumo!$C$3:$C$869,tabItens[[#This Row],[CÓDIGO]],Consumo!$E$3:$E$869)</f>
        <v>0</v>
      </c>
      <c r="BH144" s="324">
        <f>IF(AND(tabItens[[#This Row],[Pend]] &gt; 0,tabItens[[#This Row],[Consumo]] &lt;&gt; 0), tabItens[[#This Row],[Pend]] / tabItens[[#This Row],[Consumo]], 0 )</f>
        <v>0</v>
      </c>
      <c r="BI144" s="323"/>
      <c r="BJ144" s="323"/>
      <c r="BK144" s="325" t="s">
        <v>2064</v>
      </c>
    </row>
    <row r="145" spans="1:63" hidden="1" x14ac:dyDescent="0.3">
      <c r="A145" s="286">
        <v>91669</v>
      </c>
      <c r="B145" s="287" t="s">
        <v>1520</v>
      </c>
      <c r="C145" s="288" t="s">
        <v>31</v>
      </c>
      <c r="D145" s="289">
        <v>4.46</v>
      </c>
      <c r="E145" s="290" t="s">
        <v>1521</v>
      </c>
      <c r="F145" s="290" t="s">
        <v>1522</v>
      </c>
      <c r="G145" s="290" t="s">
        <v>890</v>
      </c>
      <c r="H145" s="291">
        <v>2293</v>
      </c>
      <c r="I145" s="292">
        <v>103003</v>
      </c>
      <c r="J145" s="293">
        <v>4.46</v>
      </c>
      <c r="K145" s="294">
        <v>4099</v>
      </c>
      <c r="L145" s="295">
        <f>IF(tabItens[[#This Row],[Média]] &gt; 0, tabItens[[#This Row],[QTDE ATUAL]] / tabItens[[#This Row],[Média]],999.9)</f>
        <v>4.419530999036299</v>
      </c>
      <c r="M145" s="296">
        <v>0</v>
      </c>
      <c r="N145" s="297">
        <f>tabItens[[#This Row],[VALOR UNIT.]] * tabItens[[#This Row],[LC]]</f>
        <v>0</v>
      </c>
      <c r="O145" s="298" t="s">
        <v>891</v>
      </c>
      <c r="P145" s="299">
        <v>0</v>
      </c>
      <c r="Q145" s="300">
        <v>4950</v>
      </c>
      <c r="R145" s="297">
        <v>22077</v>
      </c>
      <c r="S145" s="301">
        <v>45377</v>
      </c>
      <c r="T145" s="302">
        <f>ROUNDDOWN(IFERROR(tabItens[[#This Row],[ATA DT.VALID.]] - $D$1,0) / 30,0)</f>
        <v>7</v>
      </c>
      <c r="U145" s="287" t="s">
        <v>1523</v>
      </c>
      <c r="V145" s="303">
        <v>1</v>
      </c>
      <c r="W145" s="304" t="s">
        <v>2051</v>
      </c>
      <c r="X145" s="305">
        <v>72</v>
      </c>
      <c r="Y145" s="306">
        <v>9</v>
      </c>
      <c r="Z145" s="307"/>
      <c r="AA145" s="308"/>
      <c r="AB145" s="309"/>
      <c r="AC145" s="309"/>
      <c r="AD145" s="308"/>
      <c r="AE145" s="309"/>
      <c r="AF145" s="302"/>
      <c r="AG145" s="310" t="s">
        <v>2050</v>
      </c>
      <c r="AH145" s="311"/>
      <c r="AI145" s="302">
        <v>2136</v>
      </c>
      <c r="AJ145" s="311">
        <v>45092</v>
      </c>
      <c r="AK145" s="311">
        <v>38847</v>
      </c>
      <c r="AL145" s="311">
        <v>45077</v>
      </c>
      <c r="AM145" s="301"/>
      <c r="AN145" s="290"/>
      <c r="AO145" s="312" t="str">
        <f>_xlfn.IFNA(IF(VLOOKUP(tabItens[[#This Row],[CÓDIGO]],tabExcluirDoEstoque[#Data],1,FALSE),"sim",""),"")</f>
        <v/>
      </c>
      <c r="AP145" s="313">
        <f ca="1">IF(OR(ISBLANK(tabItens[[#This Row],[ATA DT.VALID.]]),tabItens[[#This Row],[ATA DT.VALID.]]="",tabItens[[#This Row],[ATA DT.VALID.]]=" "),"",IF(TYPE(tabItens[[#This Row],[ATA DT.VALID.]])=1,ROUNDUP((tabItens[[#This Row],[ATA DT.VALID.]]-TODAY())/7,0),""))</f>
        <v>18</v>
      </c>
      <c r="AQ145" s="314">
        <v>0</v>
      </c>
      <c r="AR145" s="315" t="str">
        <f>IF(ISBLANK(tabItens[[#This Row],[CÓDIGO]]),"",IFERROR(VLOOKUP(tabItens[[#This Row],[CÓDIGO]],Consumo!$C$2:$AC$869,26,FALSE),0))</f>
        <v>07.2023</v>
      </c>
      <c r="AS145" s="316">
        <f>SUMIF(Consumo!$C$3:$C$869,tabItens[[#This Row],[CÓDIGO]],Consumo!$N$3:$N$869) + SUMIF(Consumo!$C$3:$C$869,tabItens[[#This Row],[CÓDIGO]],Consumo!$O$3:$O$869) + SUMIF(Consumo!$C$3:$C$869,tabItens[[#This Row],[CÓDIGO]],Consumo!$P$3:$P$869) + SUMIF(Consumo!$C$3:$C$869,tabItens[[#This Row],[CÓDIGO]],Consumo!$Q$3:$Q$869)</f>
        <v>2283</v>
      </c>
      <c r="AT145" s="316">
        <f>SUMIF(Consumo!$C$3:$C$869,tabItens[[#This Row],[CÓDIGO]],Consumo!$Z$3:$Z$869)</f>
        <v>6408</v>
      </c>
      <c r="AU145" s="317">
        <f>SUMIF(Consumo!$C$3:$C$869,tabItens[[#This Row],[CÓDIGO]],Consumo!$AA$3:$AA$869)</f>
        <v>1256</v>
      </c>
      <c r="AV145" s="318">
        <f>SUMIF(Consumo!$C$3:$C$869,tabItens[[#This Row],[CÓDIGO]],Consumo!$Y$3:$Y$869)</f>
        <v>518.83333333333337</v>
      </c>
      <c r="AW145" s="291">
        <f>tabItens[[#This Row],[QTDE ATUAL]] + tabItens[[#This Row],[RC QTDE]] + tabItens[[#This Row],[AF SALDO]] + tabItens[[#This Row],[Recentes]]</f>
        <v>2293</v>
      </c>
      <c r="AX145" s="319">
        <v>391</v>
      </c>
      <c r="AY145" s="319">
        <v>4</v>
      </c>
      <c r="AZ145" s="319">
        <f>IF(ISBLANK(tabItens[[#This Row],[CÓDIGO]]),"",tabItens[[#This Row],[PontoMês]] * (AZ$2+tabItens[[#This Row],[PontoQtM]]))</f>
        <v>1564</v>
      </c>
      <c r="BA145" s="318">
        <f>tabItens[[#This Row],[PontoPed]] - tabItens[[#This Row],[Saldo]] + (1/10)</f>
        <v>-728.9</v>
      </c>
      <c r="BB145" s="318">
        <f xml:space="preserve"> tabItens[[#This Row],[PontoMês]] * BB$2 - tabItens[[#This Row],[QTDE ATUAL]] - (1/10)</f>
        <v>-1902.1</v>
      </c>
      <c r="BC145" s="320">
        <f>IF( tabItens[[#This Row],[PontoPed]]&gt;0, IF(tabItens[[#This Row],[PontoPed]]&lt;1, 1, IF( tabItens[[#This Row],[Saldo]]&gt;tabItens[[#This Row],[PontoPed]], 0, (tabItens[[#This Row],[PontoPed]]-tabItens[[#This Row],[Saldo]])/tabItens[[#This Row],[PontoPed]] ) ), 0 )</f>
        <v>0</v>
      </c>
      <c r="BD145" s="321">
        <f>ROUNDDOWN(IF( OR( AND(tabItens[[#This Row],[PontoPed]]&lt;tabItens[[#This Row],[Saldo]],tabItens[[#This Row],[Saldo]]&gt;0), tabItens[[#This Row],[PontoPed]]=0), 99, IF(AND(tabItens[[#This Row],[Saldo]]=0,tabItens[[#This Row],[PontoPed]]&gt;0), 0, (1-tabItens[[#This Row],[PctAb]])*10 ) ),0)</f>
        <v>99</v>
      </c>
      <c r="BE145" s="322">
        <f>MAX(ROUNDDOWN( IF(tabItens[[#This Row],[Abaixo]] &gt; 0,   tabItens[[#This Row],[Abaixo]] + (tabItens[[#This Row],[PontoMês]] * IF( OR( ISBLANK(tabItens[[#This Row],[ATA Nº/ANO]]), tabItens[[#This Row],[ATA Nº/ANO]] = ""),BE$2,BE$1)),0),0),0)</f>
        <v>0</v>
      </c>
      <c r="BF14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5" s="323">
        <f>SUMIF(Consumo!$C$3:$C$869,tabItens[[#This Row],[CÓDIGO]],Consumo!$E$3:$E$869)</f>
        <v>0</v>
      </c>
      <c r="BH145" s="324">
        <f>IF(AND(tabItens[[#This Row],[Pend]] &gt; 0,tabItens[[#This Row],[Consumo]] &lt;&gt; 0), tabItens[[#This Row],[Pend]] / tabItens[[#This Row],[Consumo]], 0 )</f>
        <v>0</v>
      </c>
      <c r="BI145" s="323"/>
      <c r="BJ145" s="323"/>
      <c r="BK145" s="325" t="s">
        <v>2064</v>
      </c>
    </row>
    <row r="146" spans="1:63" hidden="1" x14ac:dyDescent="0.3">
      <c r="A146" s="286">
        <v>10719</v>
      </c>
      <c r="B146" s="287" t="s">
        <v>912</v>
      </c>
      <c r="C146" s="288" t="s">
        <v>268</v>
      </c>
      <c r="D146" s="289">
        <v>11.99</v>
      </c>
      <c r="E146" s="290" t="s">
        <v>913</v>
      </c>
      <c r="F146" s="290" t="s">
        <v>914</v>
      </c>
      <c r="G146" s="290" t="s">
        <v>915</v>
      </c>
      <c r="H146" s="291">
        <v>2702</v>
      </c>
      <c r="I146" s="292">
        <v>103003</v>
      </c>
      <c r="J146" s="293">
        <v>11.99</v>
      </c>
      <c r="K146" s="294">
        <v>24696</v>
      </c>
      <c r="L146" s="295">
        <f>IF(tabItens[[#This Row],[Média]] &gt; 0, tabItens[[#This Row],[QTDE ATUAL]] / tabItens[[#This Row],[Média]],999.9)</f>
        <v>0.76046626169758658</v>
      </c>
      <c r="M146" s="296">
        <v>0</v>
      </c>
      <c r="N146" s="297">
        <f>tabItens[[#This Row],[VALOR UNIT.]] * tabItens[[#This Row],[LC]]</f>
        <v>0</v>
      </c>
      <c r="O146" s="298" t="s">
        <v>916</v>
      </c>
      <c r="P146" s="299">
        <v>0</v>
      </c>
      <c r="Q146" s="300">
        <v>121100</v>
      </c>
      <c r="R146" s="297">
        <v>1451989</v>
      </c>
      <c r="S146" s="301">
        <v>45422</v>
      </c>
      <c r="T146" s="302">
        <f>ROUNDDOWN(IFERROR(tabItens[[#This Row],[ATA DT.VALID.]] - $D$1,0) / 30,0)</f>
        <v>9</v>
      </c>
      <c r="U146" s="287" t="s">
        <v>917</v>
      </c>
      <c r="V146" s="303">
        <v>1</v>
      </c>
      <c r="W146" s="304" t="s">
        <v>2051</v>
      </c>
      <c r="X146" s="305">
        <v>71</v>
      </c>
      <c r="Y146" s="306">
        <v>26</v>
      </c>
      <c r="Z146" s="307"/>
      <c r="AA146" s="308"/>
      <c r="AB146" s="309"/>
      <c r="AC146" s="309">
        <v>7206</v>
      </c>
      <c r="AD146" s="308">
        <v>2023</v>
      </c>
      <c r="AE146" s="309">
        <v>10300</v>
      </c>
      <c r="AF146" s="302">
        <v>10300</v>
      </c>
      <c r="AG146" s="310" t="s">
        <v>2034</v>
      </c>
      <c r="AH146" s="311">
        <v>45110</v>
      </c>
      <c r="AI146" s="302">
        <v>14182</v>
      </c>
      <c r="AJ146" s="311">
        <v>44896</v>
      </c>
      <c r="AK146" s="311" t="s">
        <v>883</v>
      </c>
      <c r="AL146" s="311">
        <v>45097</v>
      </c>
      <c r="AM146" s="301"/>
      <c r="AN146" s="290"/>
      <c r="AO146" s="312" t="str">
        <f>_xlfn.IFNA(IF(VLOOKUP(tabItens[[#This Row],[CÓDIGO]],tabExcluirDoEstoque[#Data],1,FALSE),"sim",""),"")</f>
        <v/>
      </c>
      <c r="AP146" s="313">
        <f ca="1">IF(OR(ISBLANK(tabItens[[#This Row],[ATA DT.VALID.]]),tabItens[[#This Row],[ATA DT.VALID.]]="",tabItens[[#This Row],[ATA DT.VALID.]]=" "),"",IF(TYPE(tabItens[[#This Row],[ATA DT.VALID.]])=1,ROUNDUP((tabItens[[#This Row],[ATA DT.VALID.]]-TODAY())/7,0),""))</f>
        <v>24</v>
      </c>
      <c r="AQ146" s="314">
        <v>0</v>
      </c>
      <c r="AR146" s="315" t="str">
        <f>IF(ISBLANK(tabItens[[#This Row],[CÓDIGO]]),"",IFERROR(VLOOKUP(tabItens[[#This Row],[CÓDIGO]],Consumo!$C$2:$AC$869,26,FALSE),0))</f>
        <v>07.2023</v>
      </c>
      <c r="AS146" s="316">
        <f>SUMIF(Consumo!$C$3:$C$869,tabItens[[#This Row],[CÓDIGO]],Consumo!$N$3:$N$869) + SUMIF(Consumo!$C$3:$C$869,tabItens[[#This Row],[CÓDIGO]],Consumo!$O$3:$O$869) + SUMIF(Consumo!$C$3:$C$869,tabItens[[#This Row],[CÓDIGO]],Consumo!$P$3:$P$869) + SUMIF(Consumo!$C$3:$C$869,tabItens[[#This Row],[CÓDIGO]],Consumo!$Q$3:$Q$869)</f>
        <v>14748</v>
      </c>
      <c r="AT146" s="316">
        <f>SUMIF(Consumo!$C$3:$C$869,tabItens[[#This Row],[CÓDIGO]],Consumo!$Z$3:$Z$869)</f>
        <v>42637</v>
      </c>
      <c r="AU146" s="317">
        <f>SUMIF(Consumo!$C$3:$C$869,tabItens[[#This Row],[CÓDIGO]],Consumo!$AA$3:$AA$869)</f>
        <v>4731</v>
      </c>
      <c r="AV146" s="318">
        <f>SUMIF(Consumo!$C$3:$C$869,tabItens[[#This Row],[CÓDIGO]],Consumo!$Y$3:$Y$869)</f>
        <v>3553.0833333333335</v>
      </c>
      <c r="AW146" s="291">
        <f>tabItens[[#This Row],[QTDE ATUAL]] + tabItens[[#This Row],[RC QTDE]] + tabItens[[#This Row],[AF SALDO]] + tabItens[[#This Row],[Recentes]]</f>
        <v>13002</v>
      </c>
      <c r="AX146" s="319">
        <v>3498</v>
      </c>
      <c r="AY146" s="319">
        <v>3</v>
      </c>
      <c r="AZ146" s="319">
        <f>IF(ISBLANK(tabItens[[#This Row],[CÓDIGO]]),"",tabItens[[#This Row],[PontoMês]] * (AZ$2+tabItens[[#This Row],[PontoQtM]]))</f>
        <v>10494</v>
      </c>
      <c r="BA146" s="318">
        <f>tabItens[[#This Row],[PontoPed]] - tabItens[[#This Row],[Saldo]] + (1/10)</f>
        <v>-2507.9</v>
      </c>
      <c r="BB146" s="318">
        <f xml:space="preserve"> tabItens[[#This Row],[PontoMês]] * BB$2 - tabItens[[#This Row],[QTDE ATUAL]] - (1/10)</f>
        <v>795.9</v>
      </c>
      <c r="BC146" s="320">
        <f>IF( tabItens[[#This Row],[PontoPed]]&gt;0, IF(tabItens[[#This Row],[PontoPed]]&lt;1, 1, IF( tabItens[[#This Row],[Saldo]]&gt;tabItens[[#This Row],[PontoPed]], 0, (tabItens[[#This Row],[PontoPed]]-tabItens[[#This Row],[Saldo]])/tabItens[[#This Row],[PontoPed]] ) ), 0 )</f>
        <v>0</v>
      </c>
      <c r="BD146" s="321">
        <f>ROUNDDOWN(IF( OR( AND(tabItens[[#This Row],[PontoPed]]&lt;tabItens[[#This Row],[Saldo]],tabItens[[#This Row],[Saldo]]&gt;0), tabItens[[#This Row],[PontoPed]]=0), 99, IF(AND(tabItens[[#This Row],[Saldo]]=0,tabItens[[#This Row],[PontoPed]]&gt;0), 0, (1-tabItens[[#This Row],[PctAb]])*10 ) ),0)</f>
        <v>99</v>
      </c>
      <c r="BE146" s="322">
        <f>MAX(ROUNDDOWN( IF(tabItens[[#This Row],[Abaixo]] &gt; 0,   tabItens[[#This Row],[Abaixo]] + (tabItens[[#This Row],[PontoMês]] * IF( OR( ISBLANK(tabItens[[#This Row],[ATA Nº/ANO]]), tabItens[[#This Row],[ATA Nº/ANO]] = ""),BE$2,BE$1)),0),0),0)</f>
        <v>0</v>
      </c>
      <c r="BF14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6" s="323">
        <f>SUMIF(Consumo!$C$3:$C$869,tabItens[[#This Row],[CÓDIGO]],Consumo!$E$3:$E$869)</f>
        <v>89</v>
      </c>
      <c r="BH146" s="324">
        <f>IF(AND(tabItens[[#This Row],[Pend]] &gt; 0,tabItens[[#This Row],[Consumo]] &lt;&gt; 0), tabItens[[#This Row],[Pend]] / tabItens[[#This Row],[Consumo]], 0 )</f>
        <v>2.0873888875858997E-3</v>
      </c>
      <c r="BI146" s="323"/>
      <c r="BJ146" s="323"/>
      <c r="BK146" s="325" t="s">
        <v>2064</v>
      </c>
    </row>
    <row r="147" spans="1:63" hidden="1" x14ac:dyDescent="0.3">
      <c r="A147" s="286">
        <v>14121</v>
      </c>
      <c r="B147" s="287" t="s">
        <v>1054</v>
      </c>
      <c r="C147" s="288" t="s">
        <v>31</v>
      </c>
      <c r="D147" s="289">
        <v>0.33</v>
      </c>
      <c r="E147" s="290" t="s">
        <v>1055</v>
      </c>
      <c r="F147" s="290" t="s">
        <v>1056</v>
      </c>
      <c r="G147" s="290" t="s">
        <v>1057</v>
      </c>
      <c r="H147" s="291">
        <v>5883</v>
      </c>
      <c r="I147" s="292">
        <v>103003</v>
      </c>
      <c r="J147" s="293">
        <v>0.33</v>
      </c>
      <c r="K147" s="294">
        <v>4015</v>
      </c>
      <c r="L147" s="295">
        <f>IF(tabItens[[#This Row],[Média]] &gt; 0, tabItens[[#This Row],[QTDE ATUAL]] / tabItens[[#This Row],[Média]],999.9)</f>
        <v>11.601643385373871</v>
      </c>
      <c r="M147" s="296">
        <v>0</v>
      </c>
      <c r="N147" s="297">
        <f>tabItens[[#This Row],[VALOR UNIT.]] * tabItens[[#This Row],[LC]]</f>
        <v>0</v>
      </c>
      <c r="O147" s="298" t="s">
        <v>1058</v>
      </c>
      <c r="P147" s="299">
        <v>0</v>
      </c>
      <c r="Q147" s="300">
        <v>47000</v>
      </c>
      <c r="R147" s="297">
        <v>15510</v>
      </c>
      <c r="S147" s="301">
        <v>45446</v>
      </c>
      <c r="T147" s="302">
        <f>ROUNDDOWN(IFERROR(tabItens[[#This Row],[ATA DT.VALID.]] - $D$1,0) / 30,0)</f>
        <v>10</v>
      </c>
      <c r="U147" s="287" t="s">
        <v>892</v>
      </c>
      <c r="V147" s="303">
        <v>1</v>
      </c>
      <c r="W147" s="304" t="s">
        <v>2051</v>
      </c>
      <c r="X147" s="305">
        <v>72</v>
      </c>
      <c r="Y147" s="306">
        <v>6</v>
      </c>
      <c r="Z147" s="307"/>
      <c r="AA147" s="308"/>
      <c r="AB147" s="309"/>
      <c r="AC147" s="309"/>
      <c r="AD147" s="308"/>
      <c r="AE147" s="309"/>
      <c r="AF147" s="302"/>
      <c r="AG147" s="310" t="s">
        <v>2050</v>
      </c>
      <c r="AH147" s="311"/>
      <c r="AI147" s="302">
        <v>2028</v>
      </c>
      <c r="AJ147" s="311">
        <v>44865</v>
      </c>
      <c r="AK147" s="311" t="s">
        <v>883</v>
      </c>
      <c r="AL147" s="311">
        <v>45103</v>
      </c>
      <c r="AM147" s="301"/>
      <c r="AN147" s="290"/>
      <c r="AO147" s="312" t="str">
        <f>_xlfn.IFNA(IF(VLOOKUP(tabItens[[#This Row],[CÓDIGO]],tabExcluirDoEstoque[#Data],1,FALSE),"sim",""),"")</f>
        <v/>
      </c>
      <c r="AP147" s="313">
        <f ca="1">IF(OR(ISBLANK(tabItens[[#This Row],[ATA DT.VALID.]]),tabItens[[#This Row],[ATA DT.VALID.]]="",tabItens[[#This Row],[ATA DT.VALID.]]=" "),"",IF(TYPE(tabItens[[#This Row],[ATA DT.VALID.]])=1,ROUNDUP((tabItens[[#This Row],[ATA DT.VALID.]]-TODAY())/7,0),""))</f>
        <v>28</v>
      </c>
      <c r="AQ147" s="314">
        <v>0</v>
      </c>
      <c r="AR147" s="315" t="str">
        <f>IF(ISBLANK(tabItens[[#This Row],[CÓDIGO]]),"",IFERROR(VLOOKUP(tabItens[[#This Row],[CÓDIGO]],Consumo!$C$2:$AC$869,26,FALSE),0))</f>
        <v>07.2023</v>
      </c>
      <c r="AS147" s="316">
        <f>SUMIF(Consumo!$C$3:$C$869,tabItens[[#This Row],[CÓDIGO]],Consumo!$N$3:$N$869) + SUMIF(Consumo!$C$3:$C$869,tabItens[[#This Row],[CÓDIGO]],Consumo!$O$3:$O$869) + SUMIF(Consumo!$C$3:$C$869,tabItens[[#This Row],[CÓDIGO]],Consumo!$P$3:$P$869) + SUMIF(Consumo!$C$3:$C$869,tabItens[[#This Row],[CÓDIGO]],Consumo!$Q$3:$Q$869)</f>
        <v>2034</v>
      </c>
      <c r="AT147" s="316">
        <f>SUMIF(Consumo!$C$3:$C$869,tabItens[[#This Row],[CÓDIGO]],Consumo!$Z$3:$Z$869)</f>
        <v>6085</v>
      </c>
      <c r="AU147" s="317">
        <f>SUMIF(Consumo!$C$3:$C$869,tabItens[[#This Row],[CÓDIGO]],Consumo!$AA$3:$AA$869)</f>
        <v>762</v>
      </c>
      <c r="AV147" s="318">
        <f>SUMIF(Consumo!$C$3:$C$869,tabItens[[#This Row],[CÓDIGO]],Consumo!$Y$3:$Y$869)</f>
        <v>507.08333333333331</v>
      </c>
      <c r="AW147" s="291">
        <f>tabItens[[#This Row],[QTDE ATUAL]] + tabItens[[#This Row],[RC QTDE]] + tabItens[[#This Row],[AF SALDO]] + tabItens[[#This Row],[Recentes]]</f>
        <v>5883</v>
      </c>
      <c r="AX147" s="319">
        <v>401</v>
      </c>
      <c r="AY147" s="319">
        <v>4</v>
      </c>
      <c r="AZ147" s="319">
        <f>IF(ISBLANK(tabItens[[#This Row],[CÓDIGO]]),"",tabItens[[#This Row],[PontoMês]] * (AZ$2+tabItens[[#This Row],[PontoQtM]]))</f>
        <v>1604</v>
      </c>
      <c r="BA147" s="318">
        <f>tabItens[[#This Row],[PontoPed]] - tabItens[[#This Row],[Saldo]] + (1/10)</f>
        <v>-4278.8999999999996</v>
      </c>
      <c r="BB147" s="318">
        <f xml:space="preserve"> tabItens[[#This Row],[PontoMês]] * BB$2 - tabItens[[#This Row],[QTDE ATUAL]] - (1/10)</f>
        <v>-5482.1</v>
      </c>
      <c r="BC147" s="320">
        <f>IF( tabItens[[#This Row],[PontoPed]]&gt;0, IF(tabItens[[#This Row],[PontoPed]]&lt;1, 1, IF( tabItens[[#This Row],[Saldo]]&gt;tabItens[[#This Row],[PontoPed]], 0, (tabItens[[#This Row],[PontoPed]]-tabItens[[#This Row],[Saldo]])/tabItens[[#This Row],[PontoPed]] ) ), 0 )</f>
        <v>0</v>
      </c>
      <c r="BD147" s="321">
        <f>ROUNDDOWN(IF( OR( AND(tabItens[[#This Row],[PontoPed]]&lt;tabItens[[#This Row],[Saldo]],tabItens[[#This Row],[Saldo]]&gt;0), tabItens[[#This Row],[PontoPed]]=0), 99, IF(AND(tabItens[[#This Row],[Saldo]]=0,tabItens[[#This Row],[PontoPed]]&gt;0), 0, (1-tabItens[[#This Row],[PctAb]])*10 ) ),0)</f>
        <v>99</v>
      </c>
      <c r="BE147" s="322">
        <f>MAX(ROUNDDOWN( IF(tabItens[[#This Row],[Abaixo]] &gt; 0,   tabItens[[#This Row],[Abaixo]] + (tabItens[[#This Row],[PontoMês]] * IF( OR( ISBLANK(tabItens[[#This Row],[ATA Nº/ANO]]), tabItens[[#This Row],[ATA Nº/ANO]] = ""),BE$2,BE$1)),0),0),0)</f>
        <v>0</v>
      </c>
      <c r="BF14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7" s="323">
        <f>SUMIF(Consumo!$C$3:$C$869,tabItens[[#This Row],[CÓDIGO]],Consumo!$E$3:$E$869)</f>
        <v>0</v>
      </c>
      <c r="BH147" s="324">
        <f>IF(AND(tabItens[[#This Row],[Pend]] &gt; 0,tabItens[[#This Row],[Consumo]] &lt;&gt; 0), tabItens[[#This Row],[Pend]] / tabItens[[#This Row],[Consumo]], 0 )</f>
        <v>0</v>
      </c>
      <c r="BI147" s="323"/>
      <c r="BJ147" s="323"/>
      <c r="BK147" s="325" t="s">
        <v>2064</v>
      </c>
    </row>
    <row r="148" spans="1:63" hidden="1" x14ac:dyDescent="0.3">
      <c r="A148" s="286">
        <v>109251</v>
      </c>
      <c r="B148" s="287" t="s">
        <v>1653</v>
      </c>
      <c r="C148" s="288" t="s">
        <v>31</v>
      </c>
      <c r="D148" s="289">
        <v>0.52</v>
      </c>
      <c r="E148" s="290" t="s">
        <v>1055</v>
      </c>
      <c r="F148" s="290" t="s">
        <v>1056</v>
      </c>
      <c r="G148" s="290" t="s">
        <v>1057</v>
      </c>
      <c r="H148" s="291">
        <v>386</v>
      </c>
      <c r="I148" s="292">
        <v>103003</v>
      </c>
      <c r="J148" s="293">
        <v>0.66</v>
      </c>
      <c r="K148" s="294">
        <v>3</v>
      </c>
      <c r="L148" s="295">
        <f>IF(tabItens[[#This Row],[Média]] &gt; 0, tabItens[[#This Row],[QTDE ATUAL]] / tabItens[[#This Row],[Média]],999.9)</f>
        <v>4632</v>
      </c>
      <c r="M148" s="296">
        <v>0</v>
      </c>
      <c r="N148" s="297">
        <f>tabItens[[#This Row],[VALOR UNIT.]] * tabItens[[#This Row],[LC]]</f>
        <v>0</v>
      </c>
      <c r="O148" s="298" t="s">
        <v>1058</v>
      </c>
      <c r="P148" s="299">
        <v>0</v>
      </c>
      <c r="Q148" s="300">
        <v>309300</v>
      </c>
      <c r="R148" s="297">
        <v>160836</v>
      </c>
      <c r="S148" s="301">
        <v>45446</v>
      </c>
      <c r="T148" s="302">
        <f>ROUNDDOWN(IFERROR(tabItens[[#This Row],[ATA DT.VALID.]] - $D$1,0) / 30,0)</f>
        <v>10</v>
      </c>
      <c r="U148" s="287" t="s">
        <v>892</v>
      </c>
      <c r="V148" s="303">
        <v>1</v>
      </c>
      <c r="W148" s="304" t="s">
        <v>2051</v>
      </c>
      <c r="X148" s="305">
        <v>72</v>
      </c>
      <c r="Y148" s="306">
        <v>6</v>
      </c>
      <c r="Z148" s="307"/>
      <c r="AA148" s="308"/>
      <c r="AB148" s="309"/>
      <c r="AC148" s="309"/>
      <c r="AD148" s="308"/>
      <c r="AE148" s="309"/>
      <c r="AF148" s="302"/>
      <c r="AG148" s="310" t="s">
        <v>2050</v>
      </c>
      <c r="AH148" s="311"/>
      <c r="AI148" s="302">
        <v>574</v>
      </c>
      <c r="AJ148" s="311">
        <v>44337</v>
      </c>
      <c r="AK148" s="311">
        <v>39832</v>
      </c>
      <c r="AL148" s="311">
        <v>45133</v>
      </c>
      <c r="AM148" s="301"/>
      <c r="AN148" s="290"/>
      <c r="AO148" s="312" t="str">
        <f>_xlfn.IFNA(IF(VLOOKUP(tabItens[[#This Row],[CÓDIGO]],tabExcluirDoEstoque[#Data],1,FALSE),"sim",""),"")</f>
        <v/>
      </c>
      <c r="AP148" s="313">
        <f ca="1">IF(OR(ISBLANK(tabItens[[#This Row],[ATA DT.VALID.]]),tabItens[[#This Row],[ATA DT.VALID.]]="",tabItens[[#This Row],[ATA DT.VALID.]]=" "),"",IF(TYPE(tabItens[[#This Row],[ATA DT.VALID.]])=1,ROUNDUP((tabItens[[#This Row],[ATA DT.VALID.]]-TODAY())/7,0),""))</f>
        <v>28</v>
      </c>
      <c r="AQ148" s="314">
        <v>0</v>
      </c>
      <c r="AR148" s="315" t="str">
        <f>IF(ISBLANK(tabItens[[#This Row],[CÓDIGO]]),"",IFERROR(VLOOKUP(tabItens[[#This Row],[CÓDIGO]],Consumo!$C$2:$AC$869,26,FALSE),0))</f>
        <v>08.2022</v>
      </c>
      <c r="AS148" s="316">
        <f>SUMIF(Consumo!$C$3:$C$869,tabItens[[#This Row],[CÓDIGO]],Consumo!$N$3:$N$869) + SUMIF(Consumo!$C$3:$C$869,tabItens[[#This Row],[CÓDIGO]],Consumo!$O$3:$O$869) + SUMIF(Consumo!$C$3:$C$869,tabItens[[#This Row],[CÓDIGO]],Consumo!$P$3:$P$869) + SUMIF(Consumo!$C$3:$C$869,tabItens[[#This Row],[CÓDIGO]],Consumo!$Q$3:$Q$869)</f>
        <v>0</v>
      </c>
      <c r="AT148" s="316">
        <f>SUMIF(Consumo!$C$3:$C$869,tabItens[[#This Row],[CÓDIGO]],Consumo!$Z$3:$Z$869)</f>
        <v>3</v>
      </c>
      <c r="AU148" s="317">
        <f>SUMIF(Consumo!$C$3:$C$869,tabItens[[#This Row],[CÓDIGO]],Consumo!$AA$3:$AA$869)</f>
        <v>3</v>
      </c>
      <c r="AV148" s="318">
        <f>SUMIF(Consumo!$C$3:$C$869,tabItens[[#This Row],[CÓDIGO]],Consumo!$Y$3:$Y$869)</f>
        <v>8.3333333333333329E-2</v>
      </c>
      <c r="AW148" s="291">
        <f>tabItens[[#This Row],[QTDE ATUAL]] + tabItens[[#This Row],[RC QTDE]] + tabItens[[#This Row],[AF SALDO]] + tabItens[[#This Row],[Recentes]]</f>
        <v>386</v>
      </c>
      <c r="AX148" s="319">
        <v>67</v>
      </c>
      <c r="AY148" s="319">
        <v>4</v>
      </c>
      <c r="AZ148" s="319">
        <f>IF(ISBLANK(tabItens[[#This Row],[CÓDIGO]]),"",tabItens[[#This Row],[PontoMês]] * (AZ$2+tabItens[[#This Row],[PontoQtM]]))</f>
        <v>268</v>
      </c>
      <c r="BA148" s="318">
        <f>tabItens[[#This Row],[PontoPed]] - tabItens[[#This Row],[Saldo]] + (1/10)</f>
        <v>-117.9</v>
      </c>
      <c r="BB148" s="318">
        <f xml:space="preserve"> tabItens[[#This Row],[PontoMês]] * BB$2 - tabItens[[#This Row],[QTDE ATUAL]] - (1/10)</f>
        <v>-319.10000000000002</v>
      </c>
      <c r="BC148" s="320">
        <f>IF( tabItens[[#This Row],[PontoPed]]&gt;0, IF(tabItens[[#This Row],[PontoPed]]&lt;1, 1, IF( tabItens[[#This Row],[Saldo]]&gt;tabItens[[#This Row],[PontoPed]], 0, (tabItens[[#This Row],[PontoPed]]-tabItens[[#This Row],[Saldo]])/tabItens[[#This Row],[PontoPed]] ) ), 0 )</f>
        <v>0</v>
      </c>
      <c r="BD148" s="321">
        <f>ROUNDDOWN(IF( OR( AND(tabItens[[#This Row],[PontoPed]]&lt;tabItens[[#This Row],[Saldo]],tabItens[[#This Row],[Saldo]]&gt;0), tabItens[[#This Row],[PontoPed]]=0), 99, IF(AND(tabItens[[#This Row],[Saldo]]=0,tabItens[[#This Row],[PontoPed]]&gt;0), 0, (1-tabItens[[#This Row],[PctAb]])*10 ) ),0)</f>
        <v>99</v>
      </c>
      <c r="BE148" s="322">
        <f>MAX(ROUNDDOWN( IF(tabItens[[#This Row],[Abaixo]] &gt; 0,   tabItens[[#This Row],[Abaixo]] + (tabItens[[#This Row],[PontoMês]] * IF( OR( ISBLANK(tabItens[[#This Row],[ATA Nº/ANO]]), tabItens[[#This Row],[ATA Nº/ANO]] = ""),BE$2,BE$1)),0),0),0)</f>
        <v>0</v>
      </c>
      <c r="BF14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8" s="323">
        <f>SUMIF(Consumo!$C$3:$C$869,tabItens[[#This Row],[CÓDIGO]],Consumo!$E$3:$E$869)</f>
        <v>0</v>
      </c>
      <c r="BH148" s="324">
        <f>IF(AND(tabItens[[#This Row],[Pend]] &gt; 0,tabItens[[#This Row],[Consumo]] &lt;&gt; 0), tabItens[[#This Row],[Pend]] / tabItens[[#This Row],[Consumo]], 0 )</f>
        <v>0</v>
      </c>
      <c r="BI148" s="323"/>
      <c r="BJ148" s="323"/>
      <c r="BK148" s="325" t="s">
        <v>2064</v>
      </c>
    </row>
    <row r="149" spans="1:63" hidden="1" x14ac:dyDescent="0.3">
      <c r="A149" s="286">
        <v>96516</v>
      </c>
      <c r="B149" s="287" t="s">
        <v>1546</v>
      </c>
      <c r="C149" s="288" t="s">
        <v>301</v>
      </c>
      <c r="D149" s="289">
        <v>2.2799999999999998</v>
      </c>
      <c r="E149" s="290" t="s">
        <v>1547</v>
      </c>
      <c r="F149" s="290" t="s">
        <v>1548</v>
      </c>
      <c r="G149" s="290" t="s">
        <v>945</v>
      </c>
      <c r="H149" s="291">
        <v>3054</v>
      </c>
      <c r="I149" s="292">
        <v>103003</v>
      </c>
      <c r="J149" s="293">
        <v>2.2799999999999998</v>
      </c>
      <c r="K149" s="294">
        <v>263</v>
      </c>
      <c r="L149" s="295">
        <f>IF(tabItens[[#This Row],[Média]] &gt; 0, tabItens[[#This Row],[QTDE ATUAL]] / tabItens[[#This Row],[Média]],999.9)</f>
        <v>112.76307692307692</v>
      </c>
      <c r="M149" s="296">
        <v>0</v>
      </c>
      <c r="N149" s="297">
        <f>tabItens[[#This Row],[VALOR UNIT.]] * tabItens[[#This Row],[LC]]</f>
        <v>0</v>
      </c>
      <c r="O149" s="298" t="s">
        <v>946</v>
      </c>
      <c r="P149" s="299">
        <v>0</v>
      </c>
      <c r="Q149" s="300">
        <v>1220</v>
      </c>
      <c r="R149" s="297">
        <v>2781.6</v>
      </c>
      <c r="S149" s="301">
        <v>45454</v>
      </c>
      <c r="T149" s="302">
        <f>ROUNDDOWN(IFERROR(tabItens[[#This Row],[ATA DT.VALID.]] - $D$1,0) / 30,0)</f>
        <v>10</v>
      </c>
      <c r="U149" s="287" t="s">
        <v>1481</v>
      </c>
      <c r="V149" s="303">
        <v>1</v>
      </c>
      <c r="W149" s="304" t="s">
        <v>2058</v>
      </c>
      <c r="X149" s="305">
        <v>54</v>
      </c>
      <c r="Y149" s="306">
        <v>4</v>
      </c>
      <c r="Z149" s="307"/>
      <c r="AA149" s="308"/>
      <c r="AB149" s="309"/>
      <c r="AC149" s="309"/>
      <c r="AD149" s="308"/>
      <c r="AE149" s="309"/>
      <c r="AF149" s="302"/>
      <c r="AG149" s="310" t="s">
        <v>2050</v>
      </c>
      <c r="AH149" s="311"/>
      <c r="AI149" s="302">
        <v>118</v>
      </c>
      <c r="AJ149" s="311">
        <v>43759</v>
      </c>
      <c r="AK149" s="311">
        <v>39063</v>
      </c>
      <c r="AL149" s="311">
        <v>45104</v>
      </c>
      <c r="AM149" s="301"/>
      <c r="AN149" s="290"/>
      <c r="AO149" s="312" t="str">
        <f>_xlfn.IFNA(IF(VLOOKUP(tabItens[[#This Row],[CÓDIGO]],tabExcluirDoEstoque[#Data],1,FALSE),"sim",""),"")</f>
        <v/>
      </c>
      <c r="AP149" s="313">
        <f ca="1">IF(OR(ISBLANK(tabItens[[#This Row],[ATA DT.VALID.]]),tabItens[[#This Row],[ATA DT.VALID.]]="",tabItens[[#This Row],[ATA DT.VALID.]]=" "),"",IF(TYPE(tabItens[[#This Row],[ATA DT.VALID.]])=1,ROUNDUP((tabItens[[#This Row],[ATA DT.VALID.]]-TODAY())/7,0),""))</f>
        <v>29</v>
      </c>
      <c r="AQ149" s="314">
        <v>0</v>
      </c>
      <c r="AR149" s="315" t="str">
        <f>IF(ISBLANK(tabItens[[#This Row],[CÓDIGO]]),"",IFERROR(VLOOKUP(tabItens[[#This Row],[CÓDIGO]],Consumo!$C$2:$AC$869,26,FALSE),0))</f>
        <v>07.2023</v>
      </c>
      <c r="AS149" s="316">
        <f>SUMIF(Consumo!$C$3:$C$869,tabItens[[#This Row],[CÓDIGO]],Consumo!$N$3:$N$869) + SUMIF(Consumo!$C$3:$C$869,tabItens[[#This Row],[CÓDIGO]],Consumo!$O$3:$O$869) + SUMIF(Consumo!$C$3:$C$869,tabItens[[#This Row],[CÓDIGO]],Consumo!$P$3:$P$869) + SUMIF(Consumo!$C$3:$C$869,tabItens[[#This Row],[CÓDIGO]],Consumo!$Q$3:$Q$869)</f>
        <v>200</v>
      </c>
      <c r="AT149" s="316">
        <f>SUMIF(Consumo!$C$3:$C$869,tabItens[[#This Row],[CÓDIGO]],Consumo!$Z$3:$Z$869)</f>
        <v>352</v>
      </c>
      <c r="AU149" s="317">
        <f>SUMIF(Consumo!$C$3:$C$869,tabItens[[#This Row],[CÓDIGO]],Consumo!$AA$3:$AA$869)</f>
        <v>111</v>
      </c>
      <c r="AV149" s="318">
        <f>SUMIF(Consumo!$C$3:$C$869,tabItens[[#This Row],[CÓDIGO]],Consumo!$Y$3:$Y$869)</f>
        <v>27.083333333333332</v>
      </c>
      <c r="AW149" s="291">
        <f>tabItens[[#This Row],[QTDE ATUAL]] + tabItens[[#This Row],[RC QTDE]] + tabItens[[#This Row],[AF SALDO]] + tabItens[[#This Row],[Recentes]]</f>
        <v>3054</v>
      </c>
      <c r="AX149" s="319">
        <v>100</v>
      </c>
      <c r="AY149" s="319">
        <v>4</v>
      </c>
      <c r="AZ149" s="319">
        <f>IF(ISBLANK(tabItens[[#This Row],[CÓDIGO]]),"",tabItens[[#This Row],[PontoMês]] * (AZ$2+tabItens[[#This Row],[PontoQtM]]))</f>
        <v>400</v>
      </c>
      <c r="BA149" s="318">
        <f>tabItens[[#This Row],[PontoPed]] - tabItens[[#This Row],[Saldo]] + (1/10)</f>
        <v>-2653.9</v>
      </c>
      <c r="BB149" s="318">
        <f xml:space="preserve"> tabItens[[#This Row],[PontoMês]] * BB$2 - tabItens[[#This Row],[QTDE ATUAL]] - (1/10)</f>
        <v>-2954.1</v>
      </c>
      <c r="BC149" s="320">
        <f>IF( tabItens[[#This Row],[PontoPed]]&gt;0, IF(tabItens[[#This Row],[PontoPed]]&lt;1, 1, IF( tabItens[[#This Row],[Saldo]]&gt;tabItens[[#This Row],[PontoPed]], 0, (tabItens[[#This Row],[PontoPed]]-tabItens[[#This Row],[Saldo]])/tabItens[[#This Row],[PontoPed]] ) ), 0 )</f>
        <v>0</v>
      </c>
      <c r="BD149" s="321">
        <f>ROUNDDOWN(IF( OR( AND(tabItens[[#This Row],[PontoPed]]&lt;tabItens[[#This Row],[Saldo]],tabItens[[#This Row],[Saldo]]&gt;0), tabItens[[#This Row],[PontoPed]]=0), 99, IF(AND(tabItens[[#This Row],[Saldo]]=0,tabItens[[#This Row],[PontoPed]]&gt;0), 0, (1-tabItens[[#This Row],[PctAb]])*10 ) ),0)</f>
        <v>99</v>
      </c>
      <c r="BE149" s="322">
        <f>MAX(ROUNDDOWN( IF(tabItens[[#This Row],[Abaixo]] &gt; 0,   tabItens[[#This Row],[Abaixo]] + (tabItens[[#This Row],[PontoMês]] * IF( OR( ISBLANK(tabItens[[#This Row],[ATA Nº/ANO]]), tabItens[[#This Row],[ATA Nº/ANO]] = ""),BE$2,BE$1)),0),0),0)</f>
        <v>0</v>
      </c>
      <c r="BF14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9" s="323">
        <f>SUMIF(Consumo!$C$3:$C$869,tabItens[[#This Row],[CÓDIGO]],Consumo!$E$3:$E$869)</f>
        <v>0</v>
      </c>
      <c r="BH149" s="324">
        <f>IF(AND(tabItens[[#This Row],[Pend]] &gt; 0,tabItens[[#This Row],[Consumo]] &lt;&gt; 0), tabItens[[#This Row],[Pend]] / tabItens[[#This Row],[Consumo]], 0 )</f>
        <v>0</v>
      </c>
      <c r="BI149" s="323"/>
      <c r="BJ149" s="323"/>
      <c r="BK149" s="325" t="s">
        <v>2064</v>
      </c>
    </row>
    <row r="150" spans="1:63" hidden="1" x14ac:dyDescent="0.3">
      <c r="A150" s="286">
        <v>98080</v>
      </c>
      <c r="B150" s="287" t="s">
        <v>1549</v>
      </c>
      <c r="C150" s="288" t="s">
        <v>301</v>
      </c>
      <c r="D150" s="289">
        <v>2.27</v>
      </c>
      <c r="E150" s="290" t="s">
        <v>1547</v>
      </c>
      <c r="F150" s="290" t="s">
        <v>1548</v>
      </c>
      <c r="G150" s="290" t="s">
        <v>945</v>
      </c>
      <c r="H150" s="291">
        <v>2392</v>
      </c>
      <c r="I150" s="292">
        <v>103003</v>
      </c>
      <c r="J150" s="293">
        <v>2.27</v>
      </c>
      <c r="K150" s="294">
        <v>178</v>
      </c>
      <c r="L150" s="295">
        <f>IF(tabItens[[#This Row],[Média]] &gt; 0, tabItens[[#This Row],[QTDE ATUAL]] / tabItens[[#This Row],[Média]],999.9)</f>
        <v>111.25581395348837</v>
      </c>
      <c r="M150" s="296">
        <v>0</v>
      </c>
      <c r="N150" s="297">
        <f>tabItens[[#This Row],[VALOR UNIT.]] * tabItens[[#This Row],[LC]]</f>
        <v>0</v>
      </c>
      <c r="O150" s="298" t="s">
        <v>946</v>
      </c>
      <c r="P150" s="299">
        <v>0</v>
      </c>
      <c r="Q150" s="300">
        <v>1220</v>
      </c>
      <c r="R150" s="297">
        <v>2769.4</v>
      </c>
      <c r="S150" s="301">
        <v>45454</v>
      </c>
      <c r="T150" s="302">
        <f>ROUNDDOWN(IFERROR(tabItens[[#This Row],[ATA DT.VALID.]] - $D$1,0) / 30,0)</f>
        <v>10</v>
      </c>
      <c r="U150" s="287" t="s">
        <v>1550</v>
      </c>
      <c r="V150" s="303">
        <v>1</v>
      </c>
      <c r="W150" s="304" t="s">
        <v>2058</v>
      </c>
      <c r="X150" s="305">
        <v>54</v>
      </c>
      <c r="Y150" s="306">
        <v>19</v>
      </c>
      <c r="Z150" s="307"/>
      <c r="AA150" s="308"/>
      <c r="AB150" s="309"/>
      <c r="AC150" s="309"/>
      <c r="AD150" s="308"/>
      <c r="AE150" s="309"/>
      <c r="AF150" s="302"/>
      <c r="AG150" s="310" t="s">
        <v>2050</v>
      </c>
      <c r="AH150" s="311"/>
      <c r="AI150" s="302">
        <v>86</v>
      </c>
      <c r="AJ150" s="311">
        <v>43798</v>
      </c>
      <c r="AK150" s="311">
        <v>39154</v>
      </c>
      <c r="AL150" s="311">
        <v>45104</v>
      </c>
      <c r="AM150" s="301"/>
      <c r="AN150" s="290"/>
      <c r="AO150" s="312" t="str">
        <f>_xlfn.IFNA(IF(VLOOKUP(tabItens[[#This Row],[CÓDIGO]],tabExcluirDoEstoque[#Data],1,FALSE),"sim",""),"")</f>
        <v/>
      </c>
      <c r="AP150" s="313">
        <f ca="1">IF(OR(ISBLANK(tabItens[[#This Row],[ATA DT.VALID.]]),tabItens[[#This Row],[ATA DT.VALID.]]="",tabItens[[#This Row],[ATA DT.VALID.]]=" "),"",IF(TYPE(tabItens[[#This Row],[ATA DT.VALID.]])=1,ROUNDUP((tabItens[[#This Row],[ATA DT.VALID.]]-TODAY())/7,0),""))</f>
        <v>29</v>
      </c>
      <c r="AQ150" s="314">
        <v>0</v>
      </c>
      <c r="AR150" s="315" t="str">
        <f>IF(ISBLANK(tabItens[[#This Row],[CÓDIGO]]),"",IFERROR(VLOOKUP(tabItens[[#This Row],[CÓDIGO]],Consumo!$C$2:$AC$869,26,FALSE),0))</f>
        <v>07.2023</v>
      </c>
      <c r="AS150" s="316">
        <f>SUMIF(Consumo!$C$3:$C$869,tabItens[[#This Row],[CÓDIGO]],Consumo!$N$3:$N$869) + SUMIF(Consumo!$C$3:$C$869,tabItens[[#This Row],[CÓDIGO]],Consumo!$O$3:$O$869) + SUMIF(Consumo!$C$3:$C$869,tabItens[[#This Row],[CÓDIGO]],Consumo!$P$3:$P$869) + SUMIF(Consumo!$C$3:$C$869,tabItens[[#This Row],[CÓDIGO]],Consumo!$Q$3:$Q$869)</f>
        <v>115</v>
      </c>
      <c r="AT150" s="316">
        <f>SUMIF(Consumo!$C$3:$C$869,tabItens[[#This Row],[CÓDIGO]],Consumo!$Z$3:$Z$869)</f>
        <v>258</v>
      </c>
      <c r="AU150" s="317">
        <f>SUMIF(Consumo!$C$3:$C$869,tabItens[[#This Row],[CÓDIGO]],Consumo!$AA$3:$AA$869)</f>
        <v>35</v>
      </c>
      <c r="AV150" s="318">
        <f>SUMIF(Consumo!$C$3:$C$869,tabItens[[#This Row],[CÓDIGO]],Consumo!$Y$3:$Y$869)</f>
        <v>21.5</v>
      </c>
      <c r="AW150" s="291">
        <f>tabItens[[#This Row],[QTDE ATUAL]] + tabItens[[#This Row],[RC QTDE]] + tabItens[[#This Row],[AF SALDO]] + tabItens[[#This Row],[Recentes]]</f>
        <v>2392</v>
      </c>
      <c r="AX150" s="319">
        <v>100</v>
      </c>
      <c r="AY150" s="319">
        <v>4</v>
      </c>
      <c r="AZ150" s="319">
        <f>IF(ISBLANK(tabItens[[#This Row],[CÓDIGO]]),"",tabItens[[#This Row],[PontoMês]] * (AZ$2+tabItens[[#This Row],[PontoQtM]]))</f>
        <v>400</v>
      </c>
      <c r="BA150" s="318">
        <f>tabItens[[#This Row],[PontoPed]] - tabItens[[#This Row],[Saldo]] + (1/10)</f>
        <v>-1991.9</v>
      </c>
      <c r="BB150" s="318">
        <f xml:space="preserve"> tabItens[[#This Row],[PontoMês]] * BB$2 - tabItens[[#This Row],[QTDE ATUAL]] - (1/10)</f>
        <v>-2292.1</v>
      </c>
      <c r="BC150" s="320">
        <f>IF( tabItens[[#This Row],[PontoPed]]&gt;0, IF(tabItens[[#This Row],[PontoPed]]&lt;1, 1, IF( tabItens[[#This Row],[Saldo]]&gt;tabItens[[#This Row],[PontoPed]], 0, (tabItens[[#This Row],[PontoPed]]-tabItens[[#This Row],[Saldo]])/tabItens[[#This Row],[PontoPed]] ) ), 0 )</f>
        <v>0</v>
      </c>
      <c r="BD150" s="321">
        <f>ROUNDDOWN(IF( OR( AND(tabItens[[#This Row],[PontoPed]]&lt;tabItens[[#This Row],[Saldo]],tabItens[[#This Row],[Saldo]]&gt;0), tabItens[[#This Row],[PontoPed]]=0), 99, IF(AND(tabItens[[#This Row],[Saldo]]=0,tabItens[[#This Row],[PontoPed]]&gt;0), 0, (1-tabItens[[#This Row],[PctAb]])*10 ) ),0)</f>
        <v>99</v>
      </c>
      <c r="BE150" s="322">
        <f>MAX(ROUNDDOWN( IF(tabItens[[#This Row],[Abaixo]] &gt; 0,   tabItens[[#This Row],[Abaixo]] + (tabItens[[#This Row],[PontoMês]] * IF( OR( ISBLANK(tabItens[[#This Row],[ATA Nº/ANO]]), tabItens[[#This Row],[ATA Nº/ANO]] = ""),BE$2,BE$1)),0),0),0)</f>
        <v>0</v>
      </c>
      <c r="BF15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0" s="323">
        <f>SUMIF(Consumo!$C$3:$C$869,tabItens[[#This Row],[CÓDIGO]],Consumo!$E$3:$E$869)</f>
        <v>0</v>
      </c>
      <c r="BH150" s="324">
        <f>IF(AND(tabItens[[#This Row],[Pend]] &gt; 0,tabItens[[#This Row],[Consumo]] &lt;&gt; 0), tabItens[[#This Row],[Pend]] / tabItens[[#This Row],[Consumo]], 0 )</f>
        <v>0</v>
      </c>
      <c r="BI150" s="323"/>
      <c r="BJ150" s="323"/>
      <c r="BK150" s="325" t="s">
        <v>2064</v>
      </c>
    </row>
    <row r="151" spans="1:63" hidden="1" x14ac:dyDescent="0.3">
      <c r="A151" s="286">
        <v>39378</v>
      </c>
      <c r="B151" s="287" t="s">
        <v>1271</v>
      </c>
      <c r="C151" s="288" t="s">
        <v>256</v>
      </c>
      <c r="D151" s="289">
        <v>1.99</v>
      </c>
      <c r="E151" s="290"/>
      <c r="F151" s="290"/>
      <c r="G151" s="290" t="s">
        <v>883</v>
      </c>
      <c r="H151" s="291">
        <v>3962</v>
      </c>
      <c r="I151" s="292">
        <v>103003</v>
      </c>
      <c r="J151" s="293">
        <v>1.99</v>
      </c>
      <c r="K151" s="294"/>
      <c r="L151" s="295">
        <f>IF(tabItens[[#This Row],[Média]] &gt; 0, tabItens[[#This Row],[QTDE ATUAL]] / tabItens[[#This Row],[Média]],999.9)</f>
        <v>999.9</v>
      </c>
      <c r="M151" s="296">
        <v>0</v>
      </c>
      <c r="N151" s="297">
        <f>tabItens[[#This Row],[VALOR UNIT.]] * tabItens[[#This Row],[LC]]</f>
        <v>0</v>
      </c>
      <c r="O151" s="298" t="s">
        <v>2118</v>
      </c>
      <c r="P151" s="299"/>
      <c r="Q151" s="300"/>
      <c r="R151" s="297"/>
      <c r="S151" s="301"/>
      <c r="T151" s="302">
        <f>ROUNDDOWN(IFERROR(tabItens[[#This Row],[ATA DT.VALID.]] - $D$1,0) / 30,0)</f>
        <v>-1504</v>
      </c>
      <c r="U151" s="287" t="s">
        <v>1030</v>
      </c>
      <c r="V151" s="303">
        <v>1</v>
      </c>
      <c r="W151" s="304" t="s">
        <v>2049</v>
      </c>
      <c r="X151" s="305">
        <v>67</v>
      </c>
      <c r="Y151" s="306">
        <v>1</v>
      </c>
      <c r="Z151" s="307"/>
      <c r="AA151" s="308"/>
      <c r="AB151" s="309"/>
      <c r="AC151" s="309"/>
      <c r="AD151" s="308"/>
      <c r="AE151" s="309"/>
      <c r="AF151" s="302"/>
      <c r="AG151" s="310" t="s">
        <v>2050</v>
      </c>
      <c r="AH151" s="311"/>
      <c r="AI151" s="302">
        <v>0</v>
      </c>
      <c r="AJ151" s="311">
        <v>44600</v>
      </c>
      <c r="AK151" s="311" t="s">
        <v>883</v>
      </c>
      <c r="AL151" s="311">
        <v>44823</v>
      </c>
      <c r="AM151" s="301"/>
      <c r="AN151" s="290"/>
      <c r="AO151" s="312" t="str">
        <f>_xlfn.IFNA(IF(VLOOKUP(tabItens[[#This Row],[CÓDIGO]],tabExcluirDoEstoque[#Data],1,FALSE),"sim",""),"")</f>
        <v/>
      </c>
      <c r="AP151" s="313" t="str">
        <f ca="1">IF(OR(ISBLANK(tabItens[[#This Row],[ATA DT.VALID.]]),tabItens[[#This Row],[ATA DT.VALID.]]="",tabItens[[#This Row],[ATA DT.VALID.]]=" "),"",IF(TYPE(tabItens[[#This Row],[ATA DT.VALID.]])=1,ROUNDUP((tabItens[[#This Row],[ATA DT.VALID.]]-TODAY())/7,0),""))</f>
        <v/>
      </c>
      <c r="AQ151" s="314">
        <v>0</v>
      </c>
      <c r="AR151" s="315">
        <f>IF(ISBLANK(tabItens[[#This Row],[CÓDIGO]]),"",IFERROR(VLOOKUP(tabItens[[#This Row],[CÓDIGO]],Consumo!$C$2:$AC$869,26,FALSE),0))</f>
        <v>0</v>
      </c>
      <c r="AS151" s="316">
        <f>SUMIF(Consumo!$C$3:$C$869,tabItens[[#This Row],[CÓDIGO]],Consumo!$N$3:$N$869) + SUMIF(Consumo!$C$3:$C$869,tabItens[[#This Row],[CÓDIGO]],Consumo!$O$3:$O$869) + SUMIF(Consumo!$C$3:$C$869,tabItens[[#This Row],[CÓDIGO]],Consumo!$P$3:$P$869) + SUMIF(Consumo!$C$3:$C$869,tabItens[[#This Row],[CÓDIGO]],Consumo!$Q$3:$Q$869)</f>
        <v>0</v>
      </c>
      <c r="AT151" s="316">
        <f>SUMIF(Consumo!$C$3:$C$869,tabItens[[#This Row],[CÓDIGO]],Consumo!$Z$3:$Z$869)</f>
        <v>0</v>
      </c>
      <c r="AU151" s="317">
        <f>SUMIF(Consumo!$C$3:$C$869,tabItens[[#This Row],[CÓDIGO]],Consumo!$AA$3:$AA$869)</f>
        <v>0</v>
      </c>
      <c r="AV151" s="318">
        <f>SUMIF(Consumo!$C$3:$C$869,tabItens[[#This Row],[CÓDIGO]],Consumo!$Y$3:$Y$869)</f>
        <v>0</v>
      </c>
      <c r="AW151" s="291">
        <f>tabItens[[#This Row],[QTDE ATUAL]] + tabItens[[#This Row],[RC QTDE]] + tabItens[[#This Row],[AF SALDO]] + tabItens[[#This Row],[Recentes]]</f>
        <v>3962</v>
      </c>
      <c r="AX151" s="319">
        <v>119</v>
      </c>
      <c r="AY151" s="319">
        <v>4</v>
      </c>
      <c r="AZ151" s="319">
        <f>IF(ISBLANK(tabItens[[#This Row],[CÓDIGO]]),"",tabItens[[#This Row],[PontoMês]] * (AZ$2+tabItens[[#This Row],[PontoQtM]]))</f>
        <v>476</v>
      </c>
      <c r="BA151" s="318">
        <f>tabItens[[#This Row],[PontoPed]] - tabItens[[#This Row],[Saldo]] + (1/10)</f>
        <v>-3485.9</v>
      </c>
      <c r="BB151" s="318">
        <f xml:space="preserve"> tabItens[[#This Row],[PontoMês]] * BB$2 - tabItens[[#This Row],[QTDE ATUAL]] - (1/10)</f>
        <v>-3843.1</v>
      </c>
      <c r="BC151" s="320">
        <f>IF( tabItens[[#This Row],[PontoPed]]&gt;0, IF(tabItens[[#This Row],[PontoPed]]&lt;1, 1, IF( tabItens[[#This Row],[Saldo]]&gt;tabItens[[#This Row],[PontoPed]], 0, (tabItens[[#This Row],[PontoPed]]-tabItens[[#This Row],[Saldo]])/tabItens[[#This Row],[PontoPed]] ) ), 0 )</f>
        <v>0</v>
      </c>
      <c r="BD151" s="321">
        <f>ROUNDDOWN(IF( OR( AND(tabItens[[#This Row],[PontoPed]]&lt;tabItens[[#This Row],[Saldo]],tabItens[[#This Row],[Saldo]]&gt;0), tabItens[[#This Row],[PontoPed]]=0), 99, IF(AND(tabItens[[#This Row],[Saldo]]=0,tabItens[[#This Row],[PontoPed]]&gt;0), 0, (1-tabItens[[#This Row],[PctAb]])*10 ) ),0)</f>
        <v>99</v>
      </c>
      <c r="BE151" s="322">
        <f>MAX(ROUNDDOWN( IF(tabItens[[#This Row],[Abaixo]] &gt; 0,   tabItens[[#This Row],[Abaixo]] + (tabItens[[#This Row],[PontoMês]] * IF( OR( ISBLANK(tabItens[[#This Row],[ATA Nº/ANO]]), tabItens[[#This Row],[ATA Nº/ANO]] = ""),BE$2,BE$1)),0),0),0)</f>
        <v>0</v>
      </c>
      <c r="BF1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323">
        <f>SUMIF(Consumo!$C$3:$C$869,tabItens[[#This Row],[CÓDIGO]],Consumo!$E$3:$E$869)</f>
        <v>0</v>
      </c>
      <c r="BH151" s="324">
        <f>IF(AND(tabItens[[#This Row],[Pend]] &gt; 0,tabItens[[#This Row],[Consumo]] &lt;&gt; 0), tabItens[[#This Row],[Pend]] / tabItens[[#This Row],[Consumo]], 0 )</f>
        <v>0</v>
      </c>
      <c r="BI151" s="323"/>
      <c r="BJ151" s="323"/>
      <c r="BK151" s="325" t="s">
        <v>2064</v>
      </c>
    </row>
    <row r="152" spans="1:63" hidden="1" x14ac:dyDescent="0.3">
      <c r="A152" s="286">
        <v>11116</v>
      </c>
      <c r="B152" s="287" t="s">
        <v>927</v>
      </c>
      <c r="C152" s="288" t="s">
        <v>413</v>
      </c>
      <c r="D152" s="289">
        <v>3.79</v>
      </c>
      <c r="E152" s="290"/>
      <c r="F152" s="290"/>
      <c r="G152" s="290" t="s">
        <v>883</v>
      </c>
      <c r="H152" s="291">
        <v>1479</v>
      </c>
      <c r="I152" s="292">
        <v>103003</v>
      </c>
      <c r="J152" s="293">
        <v>3.79</v>
      </c>
      <c r="K152" s="294">
        <v>375</v>
      </c>
      <c r="L152" s="295">
        <f>IF(tabItens[[#This Row],[Média]] &gt; 0, tabItens[[#This Row],[QTDE ATUAL]] / tabItens[[#This Row],[Média]],999.9)</f>
        <v>28.261146496815286</v>
      </c>
      <c r="M152" s="296">
        <v>0</v>
      </c>
      <c r="N152" s="297">
        <f>tabItens[[#This Row],[VALOR UNIT.]] * tabItens[[#This Row],[LC]]</f>
        <v>0</v>
      </c>
      <c r="O152" s="298" t="s">
        <v>2068</v>
      </c>
      <c r="P152" s="299"/>
      <c r="Q152" s="300"/>
      <c r="R152" s="297"/>
      <c r="S152" s="301"/>
      <c r="T152" s="302">
        <f>ROUNDDOWN(IFERROR(tabItens[[#This Row],[ATA DT.VALID.]] - $D$1,0) / 30,0)</f>
        <v>-1504</v>
      </c>
      <c r="U152" s="287" t="s">
        <v>925</v>
      </c>
      <c r="V152" s="303">
        <v>1</v>
      </c>
      <c r="W152" s="304" t="s">
        <v>2051</v>
      </c>
      <c r="X152" s="305">
        <v>45</v>
      </c>
      <c r="Y152" s="306">
        <v>12</v>
      </c>
      <c r="Z152" s="307"/>
      <c r="AA152" s="308"/>
      <c r="AB152" s="309"/>
      <c r="AC152" s="309"/>
      <c r="AD152" s="308"/>
      <c r="AE152" s="309"/>
      <c r="AF152" s="302"/>
      <c r="AG152" s="310" t="s">
        <v>2050</v>
      </c>
      <c r="AH152" s="311"/>
      <c r="AI152" s="302">
        <v>210</v>
      </c>
      <c r="AJ152" s="311">
        <v>43521</v>
      </c>
      <c r="AK152" s="311" t="s">
        <v>883</v>
      </c>
      <c r="AL152" s="311">
        <v>45107</v>
      </c>
      <c r="AM152" s="301"/>
      <c r="AN152" s="290"/>
      <c r="AO152" s="312" t="str">
        <f>_xlfn.IFNA(IF(VLOOKUP(tabItens[[#This Row],[CÓDIGO]],tabExcluirDoEstoque[#Data],1,FALSE),"sim",""),"")</f>
        <v/>
      </c>
      <c r="AP152" s="313" t="str">
        <f ca="1">IF(OR(ISBLANK(tabItens[[#This Row],[ATA DT.VALID.]]),tabItens[[#This Row],[ATA DT.VALID.]]="",tabItens[[#This Row],[ATA DT.VALID.]]=" "),"",IF(TYPE(tabItens[[#This Row],[ATA DT.VALID.]])=1,ROUNDUP((tabItens[[#This Row],[ATA DT.VALID.]]-TODAY())/7,0),""))</f>
        <v/>
      </c>
      <c r="AQ152" s="314">
        <v>0</v>
      </c>
      <c r="AR152" s="315" t="str">
        <f>IF(ISBLANK(tabItens[[#This Row],[CÓDIGO]]),"",IFERROR(VLOOKUP(tabItens[[#This Row],[CÓDIGO]],Consumo!$C$2:$AC$869,26,FALSE),0))</f>
        <v>07.2023</v>
      </c>
      <c r="AS152" s="316">
        <f>SUMIF(Consumo!$C$3:$C$869,tabItens[[#This Row],[CÓDIGO]],Consumo!$N$3:$N$869) + SUMIF(Consumo!$C$3:$C$869,tabItens[[#This Row],[CÓDIGO]],Consumo!$O$3:$O$869) + SUMIF(Consumo!$C$3:$C$869,tabItens[[#This Row],[CÓDIGO]],Consumo!$P$3:$P$869) + SUMIF(Consumo!$C$3:$C$869,tabItens[[#This Row],[CÓDIGO]],Consumo!$Q$3:$Q$869)</f>
        <v>237</v>
      </c>
      <c r="AT152" s="316">
        <f>SUMIF(Consumo!$C$3:$C$869,tabItens[[#This Row],[CÓDIGO]],Consumo!$Z$3:$Z$869)</f>
        <v>628</v>
      </c>
      <c r="AU152" s="317">
        <f>SUMIF(Consumo!$C$3:$C$869,tabItens[[#This Row],[CÓDIGO]],Consumo!$AA$3:$AA$869)</f>
        <v>78</v>
      </c>
      <c r="AV152" s="318">
        <f>SUMIF(Consumo!$C$3:$C$869,tabItens[[#This Row],[CÓDIGO]],Consumo!$Y$3:$Y$869)</f>
        <v>52.333333333333336</v>
      </c>
      <c r="AW152" s="291">
        <f>tabItens[[#This Row],[QTDE ATUAL]] + tabItens[[#This Row],[RC QTDE]] + tabItens[[#This Row],[AF SALDO]] + tabItens[[#This Row],[Recentes]]</f>
        <v>1479</v>
      </c>
      <c r="AX152" s="319">
        <v>41</v>
      </c>
      <c r="AY152" s="319">
        <v>4</v>
      </c>
      <c r="AZ152" s="319">
        <f>IF(ISBLANK(tabItens[[#This Row],[CÓDIGO]]),"",tabItens[[#This Row],[PontoMês]] * (AZ$2+tabItens[[#This Row],[PontoQtM]]))</f>
        <v>164</v>
      </c>
      <c r="BA152" s="318">
        <f>tabItens[[#This Row],[PontoPed]] - tabItens[[#This Row],[Saldo]] + (1/10)</f>
        <v>-1314.9</v>
      </c>
      <c r="BB152" s="318">
        <f xml:space="preserve"> tabItens[[#This Row],[PontoMês]] * BB$2 - tabItens[[#This Row],[QTDE ATUAL]] - (1/10)</f>
        <v>-1438.1</v>
      </c>
      <c r="BC152" s="320">
        <f>IF( tabItens[[#This Row],[PontoPed]]&gt;0, IF(tabItens[[#This Row],[PontoPed]]&lt;1, 1, IF( tabItens[[#This Row],[Saldo]]&gt;tabItens[[#This Row],[PontoPed]], 0, (tabItens[[#This Row],[PontoPed]]-tabItens[[#This Row],[Saldo]])/tabItens[[#This Row],[PontoPed]] ) ), 0 )</f>
        <v>0</v>
      </c>
      <c r="BD152" s="321">
        <f>ROUNDDOWN(IF( OR( AND(tabItens[[#This Row],[PontoPed]]&lt;tabItens[[#This Row],[Saldo]],tabItens[[#This Row],[Saldo]]&gt;0), tabItens[[#This Row],[PontoPed]]=0), 99, IF(AND(tabItens[[#This Row],[Saldo]]=0,tabItens[[#This Row],[PontoPed]]&gt;0), 0, (1-tabItens[[#This Row],[PctAb]])*10 ) ),0)</f>
        <v>99</v>
      </c>
      <c r="BE152" s="322">
        <f>MAX(ROUNDDOWN( IF(tabItens[[#This Row],[Abaixo]] &gt; 0,   tabItens[[#This Row],[Abaixo]] + (tabItens[[#This Row],[PontoMês]] * IF( OR( ISBLANK(tabItens[[#This Row],[ATA Nº/ANO]]), tabItens[[#This Row],[ATA Nº/ANO]] = ""),BE$2,BE$1)),0),0),0)</f>
        <v>0</v>
      </c>
      <c r="BF1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23">
        <f>SUMIF(Consumo!$C$3:$C$869,tabItens[[#This Row],[CÓDIGO]],Consumo!$E$3:$E$869)</f>
        <v>0</v>
      </c>
      <c r="BH152" s="324">
        <f>IF(AND(tabItens[[#This Row],[Pend]] &gt; 0,tabItens[[#This Row],[Consumo]] &lt;&gt; 0), tabItens[[#This Row],[Pend]] / tabItens[[#This Row],[Consumo]], 0 )</f>
        <v>0</v>
      </c>
      <c r="BI152" s="323"/>
      <c r="BJ152" s="323"/>
      <c r="BK152" s="325" t="s">
        <v>2064</v>
      </c>
    </row>
    <row r="153" spans="1:63" hidden="1" x14ac:dyDescent="0.3">
      <c r="A153" s="286">
        <v>105709</v>
      </c>
      <c r="B153" s="287" t="s">
        <v>1615</v>
      </c>
      <c r="C153" s="288" t="s">
        <v>256</v>
      </c>
      <c r="D153" s="289">
        <v>25</v>
      </c>
      <c r="E153" s="290"/>
      <c r="F153" s="290"/>
      <c r="G153" s="290" t="s">
        <v>883</v>
      </c>
      <c r="H153" s="291">
        <v>12</v>
      </c>
      <c r="I153" s="292">
        <v>103003</v>
      </c>
      <c r="J153" s="293">
        <v>25</v>
      </c>
      <c r="K153" s="294"/>
      <c r="L153" s="295">
        <f>IF(tabItens[[#This Row],[Média]] &gt; 0, tabItens[[#This Row],[QTDE ATUAL]] / tabItens[[#This Row],[Média]],999.9)</f>
        <v>999.9</v>
      </c>
      <c r="M153" s="296">
        <v>0</v>
      </c>
      <c r="N153" s="297">
        <f>tabItens[[#This Row],[VALOR UNIT.]] * tabItens[[#This Row],[LC]]</f>
        <v>0</v>
      </c>
      <c r="O153" s="298" t="s">
        <v>2068</v>
      </c>
      <c r="P153" s="299"/>
      <c r="Q153" s="300"/>
      <c r="R153" s="297"/>
      <c r="S153" s="301"/>
      <c r="T153" s="302">
        <f>ROUNDDOWN(IFERROR(tabItens[[#This Row],[ATA DT.VALID.]] - $D$1,0) / 30,0)</f>
        <v>-1504</v>
      </c>
      <c r="U153" s="287" t="s">
        <v>1550</v>
      </c>
      <c r="V153" s="303">
        <v>1</v>
      </c>
      <c r="W153" s="304" t="s">
        <v>2058</v>
      </c>
      <c r="X153" s="305">
        <v>54</v>
      </c>
      <c r="Y153" s="306">
        <v>19</v>
      </c>
      <c r="Z153" s="307"/>
      <c r="AA153" s="308"/>
      <c r="AB153" s="309"/>
      <c r="AC153" s="309"/>
      <c r="AD153" s="308"/>
      <c r="AE153" s="309"/>
      <c r="AF153" s="302"/>
      <c r="AG153" s="310" t="s">
        <v>2050</v>
      </c>
      <c r="AH153" s="311"/>
      <c r="AI153" s="302">
        <v>0</v>
      </c>
      <c r="AJ153" s="311">
        <v>43698</v>
      </c>
      <c r="AK153" s="311">
        <v>39538</v>
      </c>
      <c r="AL153" s="311">
        <v>43557</v>
      </c>
      <c r="AM153" s="301"/>
      <c r="AN153" s="290"/>
      <c r="AO153" s="312" t="str">
        <f>_xlfn.IFNA(IF(VLOOKUP(tabItens[[#This Row],[CÓDIGO]],tabExcluirDoEstoque[#Data],1,FALSE),"sim",""),"")</f>
        <v/>
      </c>
      <c r="AP153" s="313" t="str">
        <f ca="1">IF(OR(ISBLANK(tabItens[[#This Row],[ATA DT.VALID.]]),tabItens[[#This Row],[ATA DT.VALID.]]="",tabItens[[#This Row],[ATA DT.VALID.]]=" "),"",IF(TYPE(tabItens[[#This Row],[ATA DT.VALID.]])=1,ROUNDUP((tabItens[[#This Row],[ATA DT.VALID.]]-TODAY())/7,0),""))</f>
        <v/>
      </c>
      <c r="AQ153" s="314">
        <v>0</v>
      </c>
      <c r="AR153" s="315">
        <f>IF(ISBLANK(tabItens[[#This Row],[CÓDIGO]]),"",IFERROR(VLOOKUP(tabItens[[#This Row],[CÓDIGO]],Consumo!$C$2:$AC$869,26,FALSE),0))</f>
        <v>0</v>
      </c>
      <c r="AS153" s="316">
        <f>SUMIF(Consumo!$C$3:$C$869,tabItens[[#This Row],[CÓDIGO]],Consumo!$N$3:$N$869) + SUMIF(Consumo!$C$3:$C$869,tabItens[[#This Row],[CÓDIGO]],Consumo!$O$3:$O$869) + SUMIF(Consumo!$C$3:$C$869,tabItens[[#This Row],[CÓDIGO]],Consumo!$P$3:$P$869) + SUMIF(Consumo!$C$3:$C$869,tabItens[[#This Row],[CÓDIGO]],Consumo!$Q$3:$Q$869)</f>
        <v>0</v>
      </c>
      <c r="AT153" s="316">
        <f>SUMIF(Consumo!$C$3:$C$869,tabItens[[#This Row],[CÓDIGO]],Consumo!$Z$3:$Z$869)</f>
        <v>0</v>
      </c>
      <c r="AU153" s="317">
        <f>SUMIF(Consumo!$C$3:$C$869,tabItens[[#This Row],[CÓDIGO]],Consumo!$AA$3:$AA$869)</f>
        <v>0</v>
      </c>
      <c r="AV153" s="318">
        <f>SUMIF(Consumo!$C$3:$C$869,tabItens[[#This Row],[CÓDIGO]],Consumo!$Y$3:$Y$869)</f>
        <v>0</v>
      </c>
      <c r="AW153" s="291">
        <f>tabItens[[#This Row],[QTDE ATUAL]] + tabItens[[#This Row],[RC QTDE]] + tabItens[[#This Row],[AF SALDO]] + tabItens[[#This Row],[Recentes]]</f>
        <v>12</v>
      </c>
      <c r="AX153" s="319">
        <v>0</v>
      </c>
      <c r="AY153" s="319">
        <v>4</v>
      </c>
      <c r="AZ153" s="319">
        <f>IF(ISBLANK(tabItens[[#This Row],[CÓDIGO]]),"",tabItens[[#This Row],[PontoMês]] * (AZ$2+tabItens[[#This Row],[PontoQtM]]))</f>
        <v>0</v>
      </c>
      <c r="BA153" s="318">
        <f>tabItens[[#This Row],[PontoPed]] - tabItens[[#This Row],[Saldo]] + (1/10)</f>
        <v>-11.9</v>
      </c>
      <c r="BB153" s="318">
        <f xml:space="preserve"> tabItens[[#This Row],[PontoMês]] * BB$2 - tabItens[[#This Row],[QTDE ATUAL]] - (1/10)</f>
        <v>-12.1</v>
      </c>
      <c r="BC153" s="320">
        <f>IF( tabItens[[#This Row],[PontoPed]]&gt;0, IF(tabItens[[#This Row],[PontoPed]]&lt;1, 1, IF( tabItens[[#This Row],[Saldo]]&gt;tabItens[[#This Row],[PontoPed]], 0, (tabItens[[#This Row],[PontoPed]]-tabItens[[#This Row],[Saldo]])/tabItens[[#This Row],[PontoPed]] ) ), 0 )</f>
        <v>0</v>
      </c>
      <c r="BD153" s="321">
        <f>ROUNDDOWN(IF( OR( AND(tabItens[[#This Row],[PontoPed]]&lt;tabItens[[#This Row],[Saldo]],tabItens[[#This Row],[Saldo]]&gt;0), tabItens[[#This Row],[PontoPed]]=0), 99, IF(AND(tabItens[[#This Row],[Saldo]]=0,tabItens[[#This Row],[PontoPed]]&gt;0), 0, (1-tabItens[[#This Row],[PctAb]])*10 ) ),0)</f>
        <v>99</v>
      </c>
      <c r="BE153" s="322">
        <f>MAX(ROUNDDOWN( IF(tabItens[[#This Row],[Abaixo]] &gt; 0,   tabItens[[#This Row],[Abaixo]] + (tabItens[[#This Row],[PontoMês]] * IF( OR( ISBLANK(tabItens[[#This Row],[ATA Nº/ANO]]), tabItens[[#This Row],[ATA Nº/ANO]] = ""),BE$2,BE$1)),0),0),0)</f>
        <v>0</v>
      </c>
      <c r="BF15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23">
        <f>SUMIF(Consumo!$C$3:$C$869,tabItens[[#This Row],[CÓDIGO]],Consumo!$E$3:$E$869)</f>
        <v>0</v>
      </c>
      <c r="BH153" s="324">
        <f>IF(AND(tabItens[[#This Row],[Pend]] &gt; 0,tabItens[[#This Row],[Consumo]] &lt;&gt; 0), tabItens[[#This Row],[Pend]] / tabItens[[#This Row],[Consumo]], 0 )</f>
        <v>0</v>
      </c>
      <c r="BI153" s="323"/>
      <c r="BJ153" s="323"/>
      <c r="BK153" s="325" t="s">
        <v>2064</v>
      </c>
    </row>
    <row r="154" spans="1:63" hidden="1" x14ac:dyDescent="0.3">
      <c r="A154" s="286">
        <v>45607</v>
      </c>
      <c r="B154" s="287" t="s">
        <v>1283</v>
      </c>
      <c r="C154" s="288" t="s">
        <v>256</v>
      </c>
      <c r="D154" s="289">
        <v>8.51</v>
      </c>
      <c r="E154" s="290"/>
      <c r="F154" s="290"/>
      <c r="G154" s="290" t="s">
        <v>883</v>
      </c>
      <c r="H154" s="291">
        <v>662</v>
      </c>
      <c r="I154" s="292">
        <v>103003</v>
      </c>
      <c r="J154" s="293">
        <v>8.51</v>
      </c>
      <c r="K154" s="294">
        <v>350</v>
      </c>
      <c r="L154" s="295">
        <f>IF(tabItens[[#This Row],[Média]] &gt; 0, tabItens[[#This Row],[QTDE ATUAL]] / tabItens[[#This Row],[Média]],999.9)</f>
        <v>17.732142857142858</v>
      </c>
      <c r="M154" s="296">
        <v>0</v>
      </c>
      <c r="N154" s="297">
        <f>tabItens[[#This Row],[VALOR UNIT.]] * tabItens[[#This Row],[LC]]</f>
        <v>0</v>
      </c>
      <c r="O154" s="298" t="s">
        <v>2068</v>
      </c>
      <c r="P154" s="299"/>
      <c r="Q154" s="300"/>
      <c r="R154" s="297"/>
      <c r="S154" s="301"/>
      <c r="T154" s="302">
        <f>ROUNDDOWN(IFERROR(tabItens[[#This Row],[ATA DT.VALID.]] - $D$1,0) / 30,0)</f>
        <v>-1504</v>
      </c>
      <c r="U154" s="287" t="s">
        <v>964</v>
      </c>
      <c r="V154" s="303">
        <v>1</v>
      </c>
      <c r="W154" s="304" t="s">
        <v>2054</v>
      </c>
      <c r="X154" s="305">
        <v>61</v>
      </c>
      <c r="Y154" s="306">
        <v>8</v>
      </c>
      <c r="Z154" s="307">
        <v>2517</v>
      </c>
      <c r="AA154" s="308">
        <v>2023</v>
      </c>
      <c r="AB154" s="309">
        <v>100</v>
      </c>
      <c r="AC154" s="309"/>
      <c r="AD154" s="308"/>
      <c r="AE154" s="309"/>
      <c r="AF154" s="302"/>
      <c r="AG154" s="310" t="s">
        <v>2050</v>
      </c>
      <c r="AH154" s="311"/>
      <c r="AI154" s="302">
        <v>150</v>
      </c>
      <c r="AJ154" s="311">
        <v>44833</v>
      </c>
      <c r="AK154" s="311" t="s">
        <v>883</v>
      </c>
      <c r="AL154" s="311">
        <v>44805</v>
      </c>
      <c r="AM154" s="301"/>
      <c r="AN154" s="290"/>
      <c r="AO154" s="312" t="str">
        <f>_xlfn.IFNA(IF(VLOOKUP(tabItens[[#This Row],[CÓDIGO]],tabExcluirDoEstoque[#Data],1,FALSE),"sim",""),"")</f>
        <v/>
      </c>
      <c r="AP154" s="313" t="str">
        <f ca="1">IF(OR(ISBLANK(tabItens[[#This Row],[ATA DT.VALID.]]),tabItens[[#This Row],[ATA DT.VALID.]]="",tabItens[[#This Row],[ATA DT.VALID.]]=" "),"",IF(TYPE(tabItens[[#This Row],[ATA DT.VALID.]])=1,ROUNDUP((tabItens[[#This Row],[ATA DT.VALID.]]-TODAY())/7,0),""))</f>
        <v/>
      </c>
      <c r="AQ154" s="314">
        <v>0</v>
      </c>
      <c r="AR154" s="315" t="str">
        <f>IF(ISBLANK(tabItens[[#This Row],[CÓDIGO]]),"",IFERROR(VLOOKUP(tabItens[[#This Row],[CÓDIGO]],Consumo!$C$2:$AC$869,26,FALSE),0))</f>
        <v>07.2023</v>
      </c>
      <c r="AS154" s="316">
        <f>SUMIF(Consumo!$C$3:$C$869,tabItens[[#This Row],[CÓDIGO]],Consumo!$N$3:$N$869) + SUMIF(Consumo!$C$3:$C$869,tabItens[[#This Row],[CÓDIGO]],Consumo!$O$3:$O$869) + SUMIF(Consumo!$C$3:$C$869,tabItens[[#This Row],[CÓDIGO]],Consumo!$P$3:$P$869) + SUMIF(Consumo!$C$3:$C$869,tabItens[[#This Row],[CÓDIGO]],Consumo!$Q$3:$Q$869)</f>
        <v>50</v>
      </c>
      <c r="AT154" s="316">
        <f>SUMIF(Consumo!$C$3:$C$869,tabItens[[#This Row],[CÓDIGO]],Consumo!$Z$3:$Z$869)</f>
        <v>448</v>
      </c>
      <c r="AU154" s="317">
        <f>SUMIF(Consumo!$C$3:$C$869,tabItens[[#This Row],[CÓDIGO]],Consumo!$AA$3:$AA$869)</f>
        <v>89</v>
      </c>
      <c r="AV154" s="318">
        <f>SUMIF(Consumo!$C$3:$C$869,tabItens[[#This Row],[CÓDIGO]],Consumo!$Y$3:$Y$869)</f>
        <v>37.333333333333336</v>
      </c>
      <c r="AW154" s="291">
        <f>tabItens[[#This Row],[QTDE ATUAL]] + tabItens[[#This Row],[RC QTDE]] + tabItens[[#This Row],[AF SALDO]] + tabItens[[#This Row],[Recentes]]</f>
        <v>762</v>
      </c>
      <c r="AX154" s="319">
        <v>57</v>
      </c>
      <c r="AY154" s="319">
        <v>4</v>
      </c>
      <c r="AZ154" s="319">
        <f>IF(ISBLANK(tabItens[[#This Row],[CÓDIGO]]),"",tabItens[[#This Row],[PontoMês]] * (AZ$2+tabItens[[#This Row],[PontoQtM]]))</f>
        <v>228</v>
      </c>
      <c r="BA154" s="318">
        <f>tabItens[[#This Row],[PontoPed]] - tabItens[[#This Row],[Saldo]] + (1/10)</f>
        <v>-533.9</v>
      </c>
      <c r="BB154" s="318">
        <f xml:space="preserve"> tabItens[[#This Row],[PontoMês]] * BB$2 - tabItens[[#This Row],[QTDE ATUAL]] - (1/10)</f>
        <v>-605.1</v>
      </c>
      <c r="BC154" s="320">
        <f>IF( tabItens[[#This Row],[PontoPed]]&gt;0, IF(tabItens[[#This Row],[PontoPed]]&lt;1, 1, IF( tabItens[[#This Row],[Saldo]]&gt;tabItens[[#This Row],[PontoPed]], 0, (tabItens[[#This Row],[PontoPed]]-tabItens[[#This Row],[Saldo]])/tabItens[[#This Row],[PontoPed]] ) ), 0 )</f>
        <v>0</v>
      </c>
      <c r="BD154" s="321">
        <f>ROUNDDOWN(IF( OR( AND(tabItens[[#This Row],[PontoPed]]&lt;tabItens[[#This Row],[Saldo]],tabItens[[#This Row],[Saldo]]&gt;0), tabItens[[#This Row],[PontoPed]]=0), 99, IF(AND(tabItens[[#This Row],[Saldo]]=0,tabItens[[#This Row],[PontoPed]]&gt;0), 0, (1-tabItens[[#This Row],[PctAb]])*10 ) ),0)</f>
        <v>99</v>
      </c>
      <c r="BE154" s="322">
        <f>MAX(ROUNDDOWN( IF(tabItens[[#This Row],[Abaixo]] &gt; 0,   tabItens[[#This Row],[Abaixo]] + (tabItens[[#This Row],[PontoMês]] * IF( OR( ISBLANK(tabItens[[#This Row],[ATA Nº/ANO]]), tabItens[[#This Row],[ATA Nº/ANO]] = ""),BE$2,BE$1)),0),0),0)</f>
        <v>0</v>
      </c>
      <c r="BF15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23">
        <f>SUMIF(Consumo!$C$3:$C$869,tabItens[[#This Row],[CÓDIGO]],Consumo!$E$3:$E$869)</f>
        <v>0</v>
      </c>
      <c r="BH154" s="324">
        <f>IF(AND(tabItens[[#This Row],[Pend]] &gt; 0,tabItens[[#This Row],[Consumo]] &lt;&gt; 0), tabItens[[#This Row],[Pend]] / tabItens[[#This Row],[Consumo]], 0 )</f>
        <v>0</v>
      </c>
      <c r="BI154" s="323"/>
      <c r="BJ154" s="323"/>
      <c r="BK154" s="325" t="s">
        <v>2064</v>
      </c>
    </row>
    <row r="155" spans="1:63" hidden="1" x14ac:dyDescent="0.3">
      <c r="A155" s="286">
        <v>138352</v>
      </c>
      <c r="B155" s="287" t="s">
        <v>1949</v>
      </c>
      <c r="C155" s="288" t="s">
        <v>625</v>
      </c>
      <c r="D155" s="289">
        <v>8.1199999999999992</v>
      </c>
      <c r="E155" s="290"/>
      <c r="F155" s="290"/>
      <c r="G155" s="290" t="s">
        <v>883</v>
      </c>
      <c r="H155" s="291">
        <v>69</v>
      </c>
      <c r="I155" s="292">
        <v>103003</v>
      </c>
      <c r="J155" s="293">
        <v>8.1199999999999992</v>
      </c>
      <c r="K155" s="294">
        <v>83</v>
      </c>
      <c r="L155" s="295">
        <f>IF(tabItens[[#This Row],[Média]] &gt; 0, tabItens[[#This Row],[QTDE ATUAL]] / tabItens[[#This Row],[Média]],999.9)</f>
        <v>6.5714285714285712</v>
      </c>
      <c r="M155" s="296">
        <v>0</v>
      </c>
      <c r="N155" s="297">
        <f>tabItens[[#This Row],[VALOR UNIT.]] * tabItens[[#This Row],[LC]]</f>
        <v>0</v>
      </c>
      <c r="O155" s="298" t="s">
        <v>2068</v>
      </c>
      <c r="P155" s="299"/>
      <c r="Q155" s="300"/>
      <c r="R155" s="297"/>
      <c r="S155" s="301"/>
      <c r="T155" s="302">
        <f>ROUNDDOWN(IFERROR(tabItens[[#This Row],[ATA DT.VALID.]] - $D$1,0) / 30,0)</f>
        <v>-1504</v>
      </c>
      <c r="U155" s="287" t="s">
        <v>1523</v>
      </c>
      <c r="V155" s="303">
        <v>1</v>
      </c>
      <c r="W155" s="304" t="s">
        <v>2051</v>
      </c>
      <c r="X155" s="305">
        <v>72</v>
      </c>
      <c r="Y155" s="306">
        <v>9</v>
      </c>
      <c r="Z155" s="307">
        <v>2499</v>
      </c>
      <c r="AA155" s="308">
        <v>2023</v>
      </c>
      <c r="AB155" s="309">
        <v>50</v>
      </c>
      <c r="AC155" s="309"/>
      <c r="AD155" s="308"/>
      <c r="AE155" s="309"/>
      <c r="AF155" s="302"/>
      <c r="AG155" s="310" t="s">
        <v>2050</v>
      </c>
      <c r="AH155" s="311"/>
      <c r="AI155" s="302">
        <v>42</v>
      </c>
      <c r="AJ155" s="311">
        <v>44592</v>
      </c>
      <c r="AK155" s="311">
        <v>43696</v>
      </c>
      <c r="AL155" s="311">
        <v>44582</v>
      </c>
      <c r="AM155" s="301"/>
      <c r="AN155" s="290"/>
      <c r="AO155" s="312" t="str">
        <f>_xlfn.IFNA(IF(VLOOKUP(tabItens[[#This Row],[CÓDIGO]],tabExcluirDoEstoque[#Data],1,FALSE),"sim",""),"")</f>
        <v/>
      </c>
      <c r="AP155" s="313" t="str">
        <f ca="1">IF(OR(ISBLANK(tabItens[[#This Row],[ATA DT.VALID.]]),tabItens[[#This Row],[ATA DT.VALID.]]="",tabItens[[#This Row],[ATA DT.VALID.]]=" "),"",IF(TYPE(tabItens[[#This Row],[ATA DT.VALID.]])=1,ROUNDUP((tabItens[[#This Row],[ATA DT.VALID.]]-TODAY())/7,0),""))</f>
        <v/>
      </c>
      <c r="AQ155" s="314">
        <v>0</v>
      </c>
      <c r="AR155" s="315" t="str">
        <f>IF(ISBLANK(tabItens[[#This Row],[CÓDIGO]]),"",IFERROR(VLOOKUP(tabItens[[#This Row],[CÓDIGO]],Consumo!$C$2:$AC$869,26,FALSE),0))</f>
        <v>07.2023</v>
      </c>
      <c r="AS155" s="316">
        <f>SUMIF(Consumo!$C$3:$C$869,tabItens[[#This Row],[CÓDIGO]],Consumo!$N$3:$N$869) + SUMIF(Consumo!$C$3:$C$869,tabItens[[#This Row],[CÓDIGO]],Consumo!$O$3:$O$869) + SUMIF(Consumo!$C$3:$C$869,tabItens[[#This Row],[CÓDIGO]],Consumo!$P$3:$P$869) + SUMIF(Consumo!$C$3:$C$869,tabItens[[#This Row],[CÓDIGO]],Consumo!$Q$3:$Q$869)</f>
        <v>29</v>
      </c>
      <c r="AT155" s="316">
        <f>SUMIF(Consumo!$C$3:$C$869,tabItens[[#This Row],[CÓDIGO]],Consumo!$Z$3:$Z$869)</f>
        <v>126</v>
      </c>
      <c r="AU155" s="317">
        <f>SUMIF(Consumo!$C$3:$C$869,tabItens[[#This Row],[CÓDIGO]],Consumo!$AA$3:$AA$869)</f>
        <v>17</v>
      </c>
      <c r="AV155" s="318">
        <f>SUMIF(Consumo!$C$3:$C$869,tabItens[[#This Row],[CÓDIGO]],Consumo!$Y$3:$Y$869)</f>
        <v>10.5</v>
      </c>
      <c r="AW155" s="291">
        <f>tabItens[[#This Row],[QTDE ATUAL]] + tabItens[[#This Row],[RC QTDE]] + tabItens[[#This Row],[AF SALDO]] + tabItens[[#This Row],[Recentes]]</f>
        <v>119</v>
      </c>
      <c r="AX155" s="319">
        <v>23</v>
      </c>
      <c r="AY155" s="319">
        <v>4</v>
      </c>
      <c r="AZ155" s="319">
        <f>IF(ISBLANK(tabItens[[#This Row],[CÓDIGO]]),"",tabItens[[#This Row],[PontoMês]] * (AZ$2+tabItens[[#This Row],[PontoQtM]]))</f>
        <v>92</v>
      </c>
      <c r="BA155" s="318">
        <f>tabItens[[#This Row],[PontoPed]] - tabItens[[#This Row],[Saldo]] + (1/10)</f>
        <v>-26.9</v>
      </c>
      <c r="BB155" s="318">
        <f xml:space="preserve"> tabItens[[#This Row],[PontoMês]] * BB$2 - tabItens[[#This Row],[QTDE ATUAL]] - (1/10)</f>
        <v>-46.1</v>
      </c>
      <c r="BC155" s="320">
        <f>IF( tabItens[[#This Row],[PontoPed]]&gt;0, IF(tabItens[[#This Row],[PontoPed]]&lt;1, 1, IF( tabItens[[#This Row],[Saldo]]&gt;tabItens[[#This Row],[PontoPed]], 0, (tabItens[[#This Row],[PontoPed]]-tabItens[[#This Row],[Saldo]])/tabItens[[#This Row],[PontoPed]] ) ), 0 )</f>
        <v>0</v>
      </c>
      <c r="BD155" s="321">
        <f>ROUNDDOWN(IF( OR( AND(tabItens[[#This Row],[PontoPed]]&lt;tabItens[[#This Row],[Saldo]],tabItens[[#This Row],[Saldo]]&gt;0), tabItens[[#This Row],[PontoPed]]=0), 99, IF(AND(tabItens[[#This Row],[Saldo]]=0,tabItens[[#This Row],[PontoPed]]&gt;0), 0, (1-tabItens[[#This Row],[PctAb]])*10 ) ),0)</f>
        <v>99</v>
      </c>
      <c r="BE155" s="322">
        <f>MAX(ROUNDDOWN( IF(tabItens[[#This Row],[Abaixo]] &gt; 0,   tabItens[[#This Row],[Abaixo]] + (tabItens[[#This Row],[PontoMês]] * IF( OR( ISBLANK(tabItens[[#This Row],[ATA Nº/ANO]]), tabItens[[#This Row],[ATA Nº/ANO]] = ""),BE$2,BE$1)),0),0),0)</f>
        <v>0</v>
      </c>
      <c r="BF15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23">
        <f>SUMIF(Consumo!$C$3:$C$869,tabItens[[#This Row],[CÓDIGO]],Consumo!$E$3:$E$869)</f>
        <v>0</v>
      </c>
      <c r="BH155" s="324">
        <f>IF(AND(tabItens[[#This Row],[Pend]] &gt; 0,tabItens[[#This Row],[Consumo]] &lt;&gt; 0), tabItens[[#This Row],[Pend]] / tabItens[[#This Row],[Consumo]], 0 )</f>
        <v>0</v>
      </c>
      <c r="BI155" s="323"/>
      <c r="BJ155" s="323"/>
      <c r="BK155" s="325" t="s">
        <v>2064</v>
      </c>
    </row>
    <row r="156" spans="1:63" hidden="1" x14ac:dyDescent="0.3">
      <c r="A156" s="286">
        <v>136881</v>
      </c>
      <c r="B156" s="287" t="s">
        <v>1937</v>
      </c>
      <c r="C156" s="288" t="s">
        <v>413</v>
      </c>
      <c r="D156" s="289">
        <v>43.38</v>
      </c>
      <c r="E156" s="290"/>
      <c r="F156" s="290"/>
      <c r="G156" s="290" t="s">
        <v>883</v>
      </c>
      <c r="H156" s="291">
        <v>29</v>
      </c>
      <c r="I156" s="292">
        <v>103003</v>
      </c>
      <c r="J156" s="293">
        <v>43.38</v>
      </c>
      <c r="K156" s="294">
        <v>157</v>
      </c>
      <c r="L156" s="295">
        <f>IF(tabItens[[#This Row],[Média]] &gt; 0, tabItens[[#This Row],[QTDE ATUAL]] / tabItens[[#This Row],[Média]],999.9)</f>
        <v>1.359375</v>
      </c>
      <c r="M156" s="296">
        <v>0</v>
      </c>
      <c r="N156" s="297">
        <f>tabItens[[#This Row],[VALOR UNIT.]] * tabItens[[#This Row],[LC]]</f>
        <v>0</v>
      </c>
      <c r="O156" s="298" t="s">
        <v>2181</v>
      </c>
      <c r="P156" s="299"/>
      <c r="Q156" s="300"/>
      <c r="R156" s="297"/>
      <c r="S156" s="301"/>
      <c r="T156" s="302">
        <f>ROUNDDOWN(IFERROR(tabItens[[#This Row],[ATA DT.VALID.]] - $D$1,0) / 30,0)</f>
        <v>-1504</v>
      </c>
      <c r="U156" s="287" t="s">
        <v>1481</v>
      </c>
      <c r="V156" s="303">
        <v>1</v>
      </c>
      <c r="W156" s="304" t="s">
        <v>2058</v>
      </c>
      <c r="X156" s="305">
        <v>54</v>
      </c>
      <c r="Y156" s="306">
        <v>4</v>
      </c>
      <c r="Z156" s="307">
        <v>2813</v>
      </c>
      <c r="AA156" s="308">
        <v>2023</v>
      </c>
      <c r="AB156" s="309">
        <v>200</v>
      </c>
      <c r="AC156" s="309"/>
      <c r="AD156" s="308"/>
      <c r="AE156" s="309"/>
      <c r="AF156" s="302"/>
      <c r="AG156" s="310" t="s">
        <v>2050</v>
      </c>
      <c r="AH156" s="311"/>
      <c r="AI156" s="302">
        <v>86</v>
      </c>
      <c r="AJ156" s="311">
        <v>44538</v>
      </c>
      <c r="AK156" s="311">
        <v>43580</v>
      </c>
      <c r="AL156" s="311">
        <v>44519</v>
      </c>
      <c r="AM156" s="301"/>
      <c r="AN156" s="290"/>
      <c r="AO156" s="312" t="str">
        <f>_xlfn.IFNA(IF(VLOOKUP(tabItens[[#This Row],[CÓDIGO]],tabExcluirDoEstoque[#Data],1,FALSE),"sim",""),"")</f>
        <v/>
      </c>
      <c r="AP156" s="313" t="str">
        <f ca="1">IF(OR(ISBLANK(tabItens[[#This Row],[ATA DT.VALID.]]),tabItens[[#This Row],[ATA DT.VALID.]]="",tabItens[[#This Row],[ATA DT.VALID.]]=" "),"",IF(TYPE(tabItens[[#This Row],[ATA DT.VALID.]])=1,ROUNDUP((tabItens[[#This Row],[ATA DT.VALID.]]-TODAY())/7,0),""))</f>
        <v/>
      </c>
      <c r="AQ156" s="314">
        <v>0</v>
      </c>
      <c r="AR156" s="315" t="str">
        <f>IF(ISBLANK(tabItens[[#This Row],[CÓDIGO]]),"",IFERROR(VLOOKUP(tabItens[[#This Row],[CÓDIGO]],Consumo!$C$2:$AC$869,26,FALSE),0))</f>
        <v>07.2023</v>
      </c>
      <c r="AS156" s="316">
        <f>SUMIF(Consumo!$C$3:$C$869,tabItens[[#This Row],[CÓDIGO]],Consumo!$N$3:$N$869) + SUMIF(Consumo!$C$3:$C$869,tabItens[[#This Row],[CÓDIGO]],Consumo!$O$3:$O$869) + SUMIF(Consumo!$C$3:$C$869,tabItens[[#This Row],[CÓDIGO]],Consumo!$P$3:$P$869) + SUMIF(Consumo!$C$3:$C$869,tabItens[[#This Row],[CÓDIGO]],Consumo!$Q$3:$Q$869)</f>
        <v>96</v>
      </c>
      <c r="AT156" s="316">
        <f>SUMIF(Consumo!$C$3:$C$869,tabItens[[#This Row],[CÓDIGO]],Consumo!$Z$3:$Z$869)</f>
        <v>256</v>
      </c>
      <c r="AU156" s="317">
        <f>SUMIF(Consumo!$C$3:$C$869,tabItens[[#This Row],[CÓDIGO]],Consumo!$AA$3:$AA$869)</f>
        <v>35</v>
      </c>
      <c r="AV156" s="318">
        <f>SUMIF(Consumo!$C$3:$C$869,tabItens[[#This Row],[CÓDIGO]],Consumo!$Y$3:$Y$869)</f>
        <v>21.333333333333332</v>
      </c>
      <c r="AW156" s="291">
        <f>tabItens[[#This Row],[QTDE ATUAL]] + tabItens[[#This Row],[RC QTDE]] + tabItens[[#This Row],[AF SALDO]] + tabItens[[#This Row],[Recentes]]</f>
        <v>229</v>
      </c>
      <c r="AX156" s="319">
        <v>0</v>
      </c>
      <c r="AY156" s="319">
        <v>4</v>
      </c>
      <c r="AZ156" s="319">
        <f>IF(ISBLANK(tabItens[[#This Row],[CÓDIGO]]),"",tabItens[[#This Row],[PontoMês]] * (AZ$2+tabItens[[#This Row],[PontoQtM]]))</f>
        <v>0</v>
      </c>
      <c r="BA156" s="318">
        <f>tabItens[[#This Row],[PontoPed]] - tabItens[[#This Row],[Saldo]] + (1/10)</f>
        <v>-228.9</v>
      </c>
      <c r="BB156" s="318">
        <f xml:space="preserve"> tabItens[[#This Row],[PontoMês]] * BB$2 - tabItens[[#This Row],[QTDE ATUAL]] - (1/10)</f>
        <v>-29.1</v>
      </c>
      <c r="BC156" s="320">
        <f>IF( tabItens[[#This Row],[PontoPed]]&gt;0, IF(tabItens[[#This Row],[PontoPed]]&lt;1, 1, IF( tabItens[[#This Row],[Saldo]]&gt;tabItens[[#This Row],[PontoPed]], 0, (tabItens[[#This Row],[PontoPed]]-tabItens[[#This Row],[Saldo]])/tabItens[[#This Row],[PontoPed]] ) ), 0 )</f>
        <v>0</v>
      </c>
      <c r="BD156" s="321">
        <f>ROUNDDOWN(IF( OR( AND(tabItens[[#This Row],[PontoPed]]&lt;tabItens[[#This Row],[Saldo]],tabItens[[#This Row],[Saldo]]&gt;0), tabItens[[#This Row],[PontoPed]]=0), 99, IF(AND(tabItens[[#This Row],[Saldo]]=0,tabItens[[#This Row],[PontoPed]]&gt;0), 0, (1-tabItens[[#This Row],[PctAb]])*10 ) ),0)</f>
        <v>99</v>
      </c>
      <c r="BE156" s="322">
        <f>MAX(ROUNDDOWN( IF(tabItens[[#This Row],[Abaixo]] &gt; 0,   tabItens[[#This Row],[Abaixo]] + (tabItens[[#This Row],[PontoMês]] * IF( OR( ISBLANK(tabItens[[#This Row],[ATA Nº/ANO]]), tabItens[[#This Row],[ATA Nº/ANO]] = ""),BE$2,BE$1)),0),0),0)</f>
        <v>0</v>
      </c>
      <c r="BF15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23">
        <f>SUMIF(Consumo!$C$3:$C$869,tabItens[[#This Row],[CÓDIGO]],Consumo!$E$3:$E$869)</f>
        <v>0</v>
      </c>
      <c r="BH156" s="324">
        <f>IF(AND(tabItens[[#This Row],[Pend]] &gt; 0,tabItens[[#This Row],[Consumo]] &lt;&gt; 0), tabItens[[#This Row],[Pend]] / tabItens[[#This Row],[Consumo]], 0 )</f>
        <v>0</v>
      </c>
      <c r="BI156" s="323"/>
      <c r="BJ156" s="323"/>
      <c r="BK156" s="325" t="s">
        <v>2064</v>
      </c>
    </row>
    <row r="157" spans="1:63" x14ac:dyDescent="0.3">
      <c r="A157" s="396">
        <v>106544</v>
      </c>
      <c r="B157" s="397" t="s">
        <v>1627</v>
      </c>
      <c r="C157" s="398" t="s">
        <v>256</v>
      </c>
      <c r="D157" s="399">
        <v>1.58</v>
      </c>
      <c r="E157" s="290"/>
      <c r="F157" s="400"/>
      <c r="G157" s="400" t="s">
        <v>883</v>
      </c>
      <c r="H157" s="401">
        <v>0</v>
      </c>
      <c r="I157" s="292">
        <v>103003</v>
      </c>
      <c r="J157" s="293">
        <v>1.58</v>
      </c>
      <c r="K157" s="402">
        <v>2289</v>
      </c>
      <c r="L157" s="403">
        <f>IF(tabItens[[#This Row],[Média]] &gt; 0, tabItens[[#This Row],[QTDE ATUAL]] / tabItens[[#This Row],[Média]],999.9)</f>
        <v>0</v>
      </c>
      <c r="M157" s="404">
        <v>0</v>
      </c>
      <c r="N157" s="405">
        <f>tabItens[[#This Row],[VALOR UNIT.]] * tabItens[[#This Row],[LC]]</f>
        <v>0</v>
      </c>
      <c r="O157" s="406" t="s">
        <v>2152</v>
      </c>
      <c r="P157" s="407"/>
      <c r="Q157" s="408"/>
      <c r="R157" s="297"/>
      <c r="S157" s="409"/>
      <c r="T157" s="410">
        <f>ROUNDDOWN(IFERROR(tabItens[[#This Row],[ATA DT.VALID.]] - $D$1,0) / 30,0)</f>
        <v>-1504</v>
      </c>
      <c r="U157" s="287" t="s">
        <v>1016</v>
      </c>
      <c r="V157" s="303">
        <v>1</v>
      </c>
      <c r="W157" s="411" t="s">
        <v>2049</v>
      </c>
      <c r="X157" s="412">
        <v>67</v>
      </c>
      <c r="Y157" s="413">
        <v>9</v>
      </c>
      <c r="Z157" s="414">
        <v>2520</v>
      </c>
      <c r="AA157" s="415">
        <v>2023</v>
      </c>
      <c r="AB157" s="416">
        <v>3000</v>
      </c>
      <c r="AC157" s="416"/>
      <c r="AD157" s="415"/>
      <c r="AE157" s="416"/>
      <c r="AF157" s="302"/>
      <c r="AG157" s="417" t="s">
        <v>2050</v>
      </c>
      <c r="AH157" s="418"/>
      <c r="AI157" s="302">
        <v>852</v>
      </c>
      <c r="AJ157" s="418">
        <v>43866</v>
      </c>
      <c r="AK157" s="311">
        <v>39589</v>
      </c>
      <c r="AL157" s="311">
        <v>45105</v>
      </c>
      <c r="AM157" s="301"/>
      <c r="AN157" s="290"/>
      <c r="AO157" s="312" t="str">
        <f>_xlfn.IFNA(IF(VLOOKUP(tabItens[[#This Row],[CÓDIGO]],tabExcluirDoEstoque[#Data],1,FALSE),"sim",""),"")</f>
        <v/>
      </c>
      <c r="AP157" s="419" t="str">
        <f ca="1">IF(OR(ISBLANK(tabItens[[#This Row],[ATA DT.VALID.]]),tabItens[[#This Row],[ATA DT.VALID.]]="",tabItens[[#This Row],[ATA DT.VALID.]]=" "),"",IF(TYPE(tabItens[[#This Row],[ATA DT.VALID.]])=1,ROUNDUP((tabItens[[#This Row],[ATA DT.VALID.]]-TODAY())/7,0),""))</f>
        <v/>
      </c>
      <c r="AQ157" s="314">
        <v>0</v>
      </c>
      <c r="AR157" s="315" t="str">
        <f>IF(ISBLANK(tabItens[[#This Row],[CÓDIGO]]),"",IFERROR(VLOOKUP(tabItens[[#This Row],[CÓDIGO]],Consumo!$C$2:$AC$869,26,FALSE),0))</f>
        <v>05.2023</v>
      </c>
      <c r="AS157" s="316">
        <f>SUMIF(Consumo!$C$3:$C$869,tabItens[[#This Row],[CÓDIGO]],Consumo!$N$3:$N$869) + SUMIF(Consumo!$C$3:$C$869,tabItens[[#This Row],[CÓDIGO]],Consumo!$O$3:$O$869) + SUMIF(Consumo!$C$3:$C$869,tabItens[[#This Row],[CÓDIGO]],Consumo!$P$3:$P$869) + SUMIF(Consumo!$C$3:$C$869,tabItens[[#This Row],[CÓDIGO]],Consumo!$Q$3:$Q$869)</f>
        <v>203</v>
      </c>
      <c r="AT157" s="316">
        <f>SUMIF(Consumo!$C$3:$C$869,tabItens[[#This Row],[CÓDIGO]],Consumo!$Z$3:$Z$869)</f>
        <v>2917</v>
      </c>
      <c r="AU157" s="317">
        <f>SUMIF(Consumo!$C$3:$C$869,tabItens[[#This Row],[CÓDIGO]],Consumo!$AA$3:$AA$869)</f>
        <v>666</v>
      </c>
      <c r="AV157" s="318">
        <f>SUMIF(Consumo!$C$3:$C$869,tabItens[[#This Row],[CÓDIGO]],Consumo!$Y$3:$Y$869)</f>
        <v>243.08333333333334</v>
      </c>
      <c r="AW157" s="401">
        <f>tabItens[[#This Row],[QTDE ATUAL]] + tabItens[[#This Row],[RC QTDE]] + tabItens[[#This Row],[AF SALDO]] + tabItens[[#This Row],[Recentes]]</f>
        <v>3000</v>
      </c>
      <c r="AX157" s="420">
        <v>142</v>
      </c>
      <c r="AY157" s="420">
        <v>4</v>
      </c>
      <c r="AZ157" s="420">
        <f>IF(ISBLANK(tabItens[[#This Row],[CÓDIGO]]),"",tabItens[[#This Row],[PontoMês]] * (AZ$2+tabItens[[#This Row],[PontoQtM]]))</f>
        <v>568</v>
      </c>
      <c r="BA157" s="421">
        <f>tabItens[[#This Row],[PontoPed]] - tabItens[[#This Row],[Saldo]] + (1/10)</f>
        <v>-2431.9</v>
      </c>
      <c r="BB157" s="421">
        <f xml:space="preserve"> tabItens[[#This Row],[PontoMês]] * BB$2 - tabItens[[#This Row],[QTDE ATUAL]] - (1/10)</f>
        <v>141.9</v>
      </c>
      <c r="BC157" s="320">
        <f>IF( tabItens[[#This Row],[PontoPed]]&gt;0, IF(tabItens[[#This Row],[PontoPed]]&lt;1, 1, IF( tabItens[[#This Row],[Saldo]]&gt;tabItens[[#This Row],[PontoPed]], 0, (tabItens[[#This Row],[PontoPed]]-tabItens[[#This Row],[Saldo]])/tabItens[[#This Row],[PontoPed]] ) ), 0 )</f>
        <v>0</v>
      </c>
      <c r="BD157" s="422">
        <f>ROUNDDOWN(IF( OR( AND(tabItens[[#This Row],[PontoPed]]&lt;tabItens[[#This Row],[Saldo]],tabItens[[#This Row],[Saldo]]&gt;0), tabItens[[#This Row],[PontoPed]]=0), 99, IF(AND(tabItens[[#This Row],[Saldo]]=0,tabItens[[#This Row],[PontoPed]]&gt;0), 0, (1-tabItens[[#This Row],[PctAb]])*10 ) ),0)</f>
        <v>99</v>
      </c>
      <c r="BE157" s="423">
        <f>MAX(ROUNDDOWN( IF(tabItens[[#This Row],[Abaixo]] &gt; 0,   tabItens[[#This Row],[Abaixo]] + (tabItens[[#This Row],[PontoMês]] * IF( OR( ISBLANK(tabItens[[#This Row],[ATA Nº/ANO]]), tabItens[[#This Row],[ATA Nº/ANO]] = ""),BE$2,BE$1)),0),0),0)</f>
        <v>0</v>
      </c>
      <c r="BF15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23">
        <f>SUMIF(Consumo!$C$3:$C$869,tabItens[[#This Row],[CÓDIGO]],Consumo!$E$3:$E$869)</f>
        <v>397</v>
      </c>
      <c r="BH157" s="324">
        <f>IF(AND(tabItens[[#This Row],[Pend]] &gt; 0,tabItens[[#This Row],[Consumo]] &lt;&gt; 0), tabItens[[#This Row],[Pend]] / tabItens[[#This Row],[Consumo]], 0 )</f>
        <v>0.13609873157353444</v>
      </c>
      <c r="BI157" s="323"/>
      <c r="BJ157" s="424"/>
      <c r="BK157" s="425" t="s">
        <v>2064</v>
      </c>
    </row>
    <row r="158" spans="1:63" hidden="1" x14ac:dyDescent="0.3">
      <c r="A158" s="286">
        <v>109986</v>
      </c>
      <c r="B158" s="287" t="s">
        <v>1657</v>
      </c>
      <c r="C158" s="288" t="s">
        <v>256</v>
      </c>
      <c r="D158" s="289">
        <v>14.5</v>
      </c>
      <c r="E158" s="290"/>
      <c r="F158" s="290"/>
      <c r="G158" s="290" t="s">
        <v>883</v>
      </c>
      <c r="H158" s="291">
        <v>98</v>
      </c>
      <c r="I158" s="292">
        <v>103003</v>
      </c>
      <c r="J158" s="293">
        <v>14.5</v>
      </c>
      <c r="K158" s="294"/>
      <c r="L158" s="295">
        <f>IF(tabItens[[#This Row],[Média]] &gt; 0, tabItens[[#This Row],[QTDE ATUAL]] / tabItens[[#This Row],[Média]],999.9)</f>
        <v>999.9</v>
      </c>
      <c r="M158" s="296">
        <v>0</v>
      </c>
      <c r="N158" s="297">
        <f>tabItens[[#This Row],[VALOR UNIT.]] * tabItens[[#This Row],[LC]]</f>
        <v>0</v>
      </c>
      <c r="O158" s="298" t="s">
        <v>2152</v>
      </c>
      <c r="P158" s="299"/>
      <c r="Q158" s="300"/>
      <c r="R158" s="297"/>
      <c r="S158" s="301"/>
      <c r="T158" s="302">
        <f>ROUNDDOWN(IFERROR(tabItens[[#This Row],[ATA DT.VALID.]] - $D$1,0) / 30,0)</f>
        <v>-1504</v>
      </c>
      <c r="U158" s="287" t="s">
        <v>1275</v>
      </c>
      <c r="V158" s="303">
        <v>1</v>
      </c>
      <c r="W158" s="304" t="s">
        <v>2056</v>
      </c>
      <c r="X158" s="305">
        <v>83</v>
      </c>
      <c r="Y158" s="306">
        <v>4</v>
      </c>
      <c r="Z158" s="307"/>
      <c r="AA158" s="308"/>
      <c r="AB158" s="309"/>
      <c r="AC158" s="309"/>
      <c r="AD158" s="308"/>
      <c r="AE158" s="309"/>
      <c r="AF158" s="302"/>
      <c r="AG158" s="310" t="s">
        <v>2050</v>
      </c>
      <c r="AH158" s="311"/>
      <c r="AI158" s="302">
        <v>0</v>
      </c>
      <c r="AJ158" s="311">
        <v>43614</v>
      </c>
      <c r="AK158" s="311">
        <v>39877</v>
      </c>
      <c r="AL158" s="311">
        <v>43588</v>
      </c>
      <c r="AM158" s="301"/>
      <c r="AN158" s="290"/>
      <c r="AO158" s="312" t="str">
        <f>_xlfn.IFNA(IF(VLOOKUP(tabItens[[#This Row],[CÓDIGO]],tabExcluirDoEstoque[#Data],1,FALSE),"sim",""),"")</f>
        <v/>
      </c>
      <c r="AP158" s="313" t="str">
        <f ca="1">IF(OR(ISBLANK(tabItens[[#This Row],[ATA DT.VALID.]]),tabItens[[#This Row],[ATA DT.VALID.]]="",tabItens[[#This Row],[ATA DT.VALID.]]=" "),"",IF(TYPE(tabItens[[#This Row],[ATA DT.VALID.]])=1,ROUNDUP((tabItens[[#This Row],[ATA DT.VALID.]]-TODAY())/7,0),""))</f>
        <v/>
      </c>
      <c r="AQ158" s="314">
        <v>0</v>
      </c>
      <c r="AR158" s="315">
        <f>IF(ISBLANK(tabItens[[#This Row],[CÓDIGO]]),"",IFERROR(VLOOKUP(tabItens[[#This Row],[CÓDIGO]],Consumo!$C$2:$AC$869,26,FALSE),0))</f>
        <v>0</v>
      </c>
      <c r="AS158" s="316">
        <f>SUMIF(Consumo!$C$3:$C$869,tabItens[[#This Row],[CÓDIGO]],Consumo!$N$3:$N$869) + SUMIF(Consumo!$C$3:$C$869,tabItens[[#This Row],[CÓDIGO]],Consumo!$O$3:$O$869) + SUMIF(Consumo!$C$3:$C$869,tabItens[[#This Row],[CÓDIGO]],Consumo!$P$3:$P$869) + SUMIF(Consumo!$C$3:$C$869,tabItens[[#This Row],[CÓDIGO]],Consumo!$Q$3:$Q$869)</f>
        <v>0</v>
      </c>
      <c r="AT158" s="316">
        <f>SUMIF(Consumo!$C$3:$C$869,tabItens[[#This Row],[CÓDIGO]],Consumo!$Z$3:$Z$869)</f>
        <v>0</v>
      </c>
      <c r="AU158" s="317">
        <f>SUMIF(Consumo!$C$3:$C$869,tabItens[[#This Row],[CÓDIGO]],Consumo!$AA$3:$AA$869)</f>
        <v>0</v>
      </c>
      <c r="AV158" s="318">
        <f>SUMIF(Consumo!$C$3:$C$869,tabItens[[#This Row],[CÓDIGO]],Consumo!$Y$3:$Y$869)</f>
        <v>0</v>
      </c>
      <c r="AW158" s="291">
        <f>tabItens[[#This Row],[QTDE ATUAL]] + tabItens[[#This Row],[RC QTDE]] + tabItens[[#This Row],[AF SALDO]] + tabItens[[#This Row],[Recentes]]</f>
        <v>98</v>
      </c>
      <c r="AX158" s="319">
        <v>10</v>
      </c>
      <c r="AY158" s="319">
        <v>4</v>
      </c>
      <c r="AZ158" s="319">
        <f>IF(ISBLANK(tabItens[[#This Row],[CÓDIGO]]),"",tabItens[[#This Row],[PontoMês]] * (AZ$2+tabItens[[#This Row],[PontoQtM]]))</f>
        <v>40</v>
      </c>
      <c r="BA158" s="318">
        <f>tabItens[[#This Row],[PontoPed]] - tabItens[[#This Row],[Saldo]] + (1/10)</f>
        <v>-57.9</v>
      </c>
      <c r="BB158" s="318">
        <f xml:space="preserve"> tabItens[[#This Row],[PontoMês]] * BB$2 - tabItens[[#This Row],[QTDE ATUAL]] - (1/10)</f>
        <v>-88.1</v>
      </c>
      <c r="BC158" s="320">
        <f>IF( tabItens[[#This Row],[PontoPed]]&gt;0, IF(tabItens[[#This Row],[PontoPed]]&lt;1, 1, IF( tabItens[[#This Row],[Saldo]]&gt;tabItens[[#This Row],[PontoPed]], 0, (tabItens[[#This Row],[PontoPed]]-tabItens[[#This Row],[Saldo]])/tabItens[[#This Row],[PontoPed]] ) ), 0 )</f>
        <v>0</v>
      </c>
      <c r="BD158" s="321">
        <f>ROUNDDOWN(IF( OR( AND(tabItens[[#This Row],[PontoPed]]&lt;tabItens[[#This Row],[Saldo]],tabItens[[#This Row],[Saldo]]&gt;0), tabItens[[#This Row],[PontoPed]]=0), 99, IF(AND(tabItens[[#This Row],[Saldo]]=0,tabItens[[#This Row],[PontoPed]]&gt;0), 0, (1-tabItens[[#This Row],[PctAb]])*10 ) ),0)</f>
        <v>99</v>
      </c>
      <c r="BE158" s="322">
        <f>MAX(ROUNDDOWN( IF(tabItens[[#This Row],[Abaixo]] &gt; 0,   tabItens[[#This Row],[Abaixo]] + (tabItens[[#This Row],[PontoMês]] * IF( OR( ISBLANK(tabItens[[#This Row],[ATA Nº/ANO]]), tabItens[[#This Row],[ATA Nº/ANO]] = ""),BE$2,BE$1)),0),0),0)</f>
        <v>0</v>
      </c>
      <c r="BF15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23">
        <f>SUMIF(Consumo!$C$3:$C$869,tabItens[[#This Row],[CÓDIGO]],Consumo!$E$3:$E$869)</f>
        <v>0</v>
      </c>
      <c r="BH158" s="324">
        <f>IF(AND(tabItens[[#This Row],[Pend]] &gt; 0,tabItens[[#This Row],[Consumo]] &lt;&gt; 0), tabItens[[#This Row],[Pend]] / tabItens[[#This Row],[Consumo]], 0 )</f>
        <v>0</v>
      </c>
      <c r="BI158" s="323"/>
      <c r="BJ158" s="323"/>
      <c r="BK158" s="325" t="s">
        <v>2064</v>
      </c>
    </row>
    <row r="159" spans="1:63" hidden="1" x14ac:dyDescent="0.3">
      <c r="A159" s="286">
        <v>138475</v>
      </c>
      <c r="B159" s="287" t="s">
        <v>1966</v>
      </c>
      <c r="C159" s="288" t="s">
        <v>256</v>
      </c>
      <c r="D159" s="289">
        <v>13.05</v>
      </c>
      <c r="E159" s="290"/>
      <c r="F159" s="290"/>
      <c r="G159" s="290" t="s">
        <v>883</v>
      </c>
      <c r="H159" s="291">
        <v>155</v>
      </c>
      <c r="I159" s="292">
        <v>103003</v>
      </c>
      <c r="J159" s="293">
        <v>13.05</v>
      </c>
      <c r="K159" s="294">
        <v>21</v>
      </c>
      <c r="L159" s="295">
        <f>IF(tabItens[[#This Row],[Média]] &gt; 0, tabItens[[#This Row],[QTDE ATUAL]] / tabItens[[#This Row],[Média]],999.9)</f>
        <v>97.894736842105274</v>
      </c>
      <c r="M159" s="296">
        <v>0</v>
      </c>
      <c r="N159" s="297">
        <f>tabItens[[#This Row],[VALOR UNIT.]] * tabItens[[#This Row],[LC]]</f>
        <v>0</v>
      </c>
      <c r="O159" s="298" t="s">
        <v>2152</v>
      </c>
      <c r="P159" s="299"/>
      <c r="Q159" s="300"/>
      <c r="R159" s="297"/>
      <c r="S159" s="301"/>
      <c r="T159" s="302">
        <f>ROUNDDOWN(IFERROR(tabItens[[#This Row],[ATA DT.VALID.]] - $D$1,0) / 30,0)</f>
        <v>-1504</v>
      </c>
      <c r="U159" s="287" t="s">
        <v>1275</v>
      </c>
      <c r="V159" s="303">
        <v>1</v>
      </c>
      <c r="W159" s="304" t="s">
        <v>2056</v>
      </c>
      <c r="X159" s="305">
        <v>83</v>
      </c>
      <c r="Y159" s="306">
        <v>4</v>
      </c>
      <c r="Z159" s="307"/>
      <c r="AA159" s="308"/>
      <c r="AB159" s="309"/>
      <c r="AC159" s="309"/>
      <c r="AD159" s="308"/>
      <c r="AE159" s="309"/>
      <c r="AF159" s="302"/>
      <c r="AG159" s="310" t="s">
        <v>2050</v>
      </c>
      <c r="AH159" s="311"/>
      <c r="AI159" s="302">
        <v>8</v>
      </c>
      <c r="AJ159" s="311">
        <v>43878</v>
      </c>
      <c r="AK159" s="311">
        <v>43721</v>
      </c>
      <c r="AL159" s="311">
        <v>43826</v>
      </c>
      <c r="AM159" s="301"/>
      <c r="AN159" s="290"/>
      <c r="AO159" s="312" t="str">
        <f>_xlfn.IFNA(IF(VLOOKUP(tabItens[[#This Row],[CÓDIGO]],tabExcluirDoEstoque[#Data],1,FALSE),"sim",""),"")</f>
        <v/>
      </c>
      <c r="AP159" s="313" t="str">
        <f ca="1">IF(OR(ISBLANK(tabItens[[#This Row],[ATA DT.VALID.]]),tabItens[[#This Row],[ATA DT.VALID.]]="",tabItens[[#This Row],[ATA DT.VALID.]]=" "),"",IF(TYPE(tabItens[[#This Row],[ATA DT.VALID.]])=1,ROUNDUP((tabItens[[#This Row],[ATA DT.VALID.]]-TODAY())/7,0),""))</f>
        <v/>
      </c>
      <c r="AQ159" s="314">
        <v>0</v>
      </c>
      <c r="AR159" s="315" t="str">
        <f>IF(ISBLANK(tabItens[[#This Row],[CÓDIGO]]),"",IFERROR(VLOOKUP(tabItens[[#This Row],[CÓDIGO]],Consumo!$C$2:$AC$869,26,FALSE),0))</f>
        <v>03.2023</v>
      </c>
      <c r="AS159" s="316">
        <f>SUMIF(Consumo!$C$3:$C$869,tabItens[[#This Row],[CÓDIGO]],Consumo!$N$3:$N$869) + SUMIF(Consumo!$C$3:$C$869,tabItens[[#This Row],[CÓDIGO]],Consumo!$O$3:$O$869) + SUMIF(Consumo!$C$3:$C$869,tabItens[[#This Row],[CÓDIGO]],Consumo!$P$3:$P$869) + SUMIF(Consumo!$C$3:$C$869,tabItens[[#This Row],[CÓDIGO]],Consumo!$Q$3:$Q$869)</f>
        <v>0</v>
      </c>
      <c r="AT159" s="316">
        <f>SUMIF(Consumo!$C$3:$C$869,tabItens[[#This Row],[CÓDIGO]],Consumo!$Z$3:$Z$869)</f>
        <v>21</v>
      </c>
      <c r="AU159" s="317">
        <f>SUMIF(Consumo!$C$3:$C$869,tabItens[[#This Row],[CÓDIGO]],Consumo!$AA$3:$AA$869)</f>
        <v>10</v>
      </c>
      <c r="AV159" s="318">
        <f>SUMIF(Consumo!$C$3:$C$869,tabItens[[#This Row],[CÓDIGO]],Consumo!$Y$3:$Y$869)</f>
        <v>1.5833333333333333</v>
      </c>
      <c r="AW159" s="291">
        <f>tabItens[[#This Row],[QTDE ATUAL]] + tabItens[[#This Row],[RC QTDE]] + tabItens[[#This Row],[AF SALDO]] + tabItens[[#This Row],[Recentes]]</f>
        <v>155</v>
      </c>
      <c r="AX159" s="319">
        <v>17</v>
      </c>
      <c r="AY159" s="319">
        <v>4</v>
      </c>
      <c r="AZ159" s="319">
        <f>IF(ISBLANK(tabItens[[#This Row],[CÓDIGO]]),"",tabItens[[#This Row],[PontoMês]] * (AZ$2+tabItens[[#This Row],[PontoQtM]]))</f>
        <v>68</v>
      </c>
      <c r="BA159" s="318">
        <f>tabItens[[#This Row],[PontoPed]] - tabItens[[#This Row],[Saldo]] + (1/10)</f>
        <v>-86.9</v>
      </c>
      <c r="BB159" s="318">
        <f xml:space="preserve"> tabItens[[#This Row],[PontoMês]] * BB$2 - tabItens[[#This Row],[QTDE ATUAL]] - (1/10)</f>
        <v>-138.1</v>
      </c>
      <c r="BC159" s="320">
        <f>IF( tabItens[[#This Row],[PontoPed]]&gt;0, IF(tabItens[[#This Row],[PontoPed]]&lt;1, 1, IF( tabItens[[#This Row],[Saldo]]&gt;tabItens[[#This Row],[PontoPed]], 0, (tabItens[[#This Row],[PontoPed]]-tabItens[[#This Row],[Saldo]])/tabItens[[#This Row],[PontoPed]] ) ), 0 )</f>
        <v>0</v>
      </c>
      <c r="BD159" s="321">
        <f>ROUNDDOWN(IF( OR( AND(tabItens[[#This Row],[PontoPed]]&lt;tabItens[[#This Row],[Saldo]],tabItens[[#This Row],[Saldo]]&gt;0), tabItens[[#This Row],[PontoPed]]=0), 99, IF(AND(tabItens[[#This Row],[Saldo]]=0,tabItens[[#This Row],[PontoPed]]&gt;0), 0, (1-tabItens[[#This Row],[PctAb]])*10 ) ),0)</f>
        <v>99</v>
      </c>
      <c r="BE159" s="322">
        <f>MAX(ROUNDDOWN( IF(tabItens[[#This Row],[Abaixo]] &gt; 0,   tabItens[[#This Row],[Abaixo]] + (tabItens[[#This Row],[PontoMês]] * IF( OR( ISBLANK(tabItens[[#This Row],[ATA Nº/ANO]]), tabItens[[#This Row],[ATA Nº/ANO]] = ""),BE$2,BE$1)),0),0),0)</f>
        <v>0</v>
      </c>
      <c r="BF15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23">
        <f>SUMIF(Consumo!$C$3:$C$869,tabItens[[#This Row],[CÓDIGO]],Consumo!$E$3:$E$869)</f>
        <v>0</v>
      </c>
      <c r="BH159" s="324">
        <f>IF(AND(tabItens[[#This Row],[Pend]] &gt; 0,tabItens[[#This Row],[Consumo]] &lt;&gt; 0), tabItens[[#This Row],[Pend]] / tabItens[[#This Row],[Consumo]], 0 )</f>
        <v>0</v>
      </c>
      <c r="BI159" s="323"/>
      <c r="BJ159" s="323"/>
      <c r="BK159" s="325" t="s">
        <v>2064</v>
      </c>
    </row>
    <row r="160" spans="1:63" x14ac:dyDescent="0.3">
      <c r="A160" s="396">
        <v>140326</v>
      </c>
      <c r="B160" s="397" t="s">
        <v>2011</v>
      </c>
      <c r="C160" s="398" t="s">
        <v>270</v>
      </c>
      <c r="D160" s="399">
        <v>38.85</v>
      </c>
      <c r="E160" s="290"/>
      <c r="F160" s="400"/>
      <c r="G160" s="400" t="s">
        <v>883</v>
      </c>
      <c r="H160" s="401">
        <v>0</v>
      </c>
      <c r="I160" s="292">
        <v>103003</v>
      </c>
      <c r="J160" s="293">
        <v>38.85</v>
      </c>
      <c r="K160" s="402">
        <v>274</v>
      </c>
      <c r="L160" s="403">
        <f>IF(tabItens[[#This Row],[Média]] &gt; 0, tabItens[[#This Row],[QTDE ATUAL]] / tabItens[[#This Row],[Média]],999.9)</f>
        <v>0</v>
      </c>
      <c r="M160" s="404">
        <v>0</v>
      </c>
      <c r="N160" s="405">
        <f>tabItens[[#This Row],[VALOR UNIT.]] * tabItens[[#This Row],[LC]]</f>
        <v>0</v>
      </c>
      <c r="O160" s="406" t="s">
        <v>2126</v>
      </c>
      <c r="P160" s="407"/>
      <c r="Q160" s="408"/>
      <c r="R160" s="297"/>
      <c r="S160" s="409"/>
      <c r="T160" s="410">
        <f>ROUNDDOWN(IFERROR(tabItens[[#This Row],[ATA DT.VALID.]] - $D$1,0) / 30,0)</f>
        <v>-1504</v>
      </c>
      <c r="U160" s="287" t="s">
        <v>1110</v>
      </c>
      <c r="V160" s="303">
        <v>1</v>
      </c>
      <c r="W160" s="411" t="s">
        <v>2049</v>
      </c>
      <c r="X160" s="412">
        <v>51</v>
      </c>
      <c r="Y160" s="413">
        <v>33</v>
      </c>
      <c r="Z160" s="414">
        <v>2223</v>
      </c>
      <c r="AA160" s="415">
        <v>2023</v>
      </c>
      <c r="AB160" s="416">
        <v>1200</v>
      </c>
      <c r="AC160" s="416"/>
      <c r="AD160" s="415"/>
      <c r="AE160" s="416"/>
      <c r="AF160" s="302"/>
      <c r="AG160" s="417" t="s">
        <v>2050</v>
      </c>
      <c r="AH160" s="418"/>
      <c r="AI160" s="302">
        <v>92</v>
      </c>
      <c r="AJ160" s="418">
        <v>44547</v>
      </c>
      <c r="AK160" s="311">
        <v>44180</v>
      </c>
      <c r="AL160" s="311">
        <v>44911</v>
      </c>
      <c r="AM160" s="301"/>
      <c r="AN160" s="290"/>
      <c r="AO160" s="312" t="str">
        <f>_xlfn.IFNA(IF(VLOOKUP(tabItens[[#This Row],[CÓDIGO]],tabExcluirDoEstoque[#Data],1,FALSE),"sim",""),"")</f>
        <v/>
      </c>
      <c r="AP160" s="419" t="str">
        <f ca="1">IF(OR(ISBLANK(tabItens[[#This Row],[ATA DT.VALID.]]),tabItens[[#This Row],[ATA DT.VALID.]]="",tabItens[[#This Row],[ATA DT.VALID.]]=" "),"",IF(TYPE(tabItens[[#This Row],[ATA DT.VALID.]])=1,ROUNDUP((tabItens[[#This Row],[ATA DT.VALID.]]-TODAY())/7,0),""))</f>
        <v/>
      </c>
      <c r="AQ160" s="314">
        <v>0</v>
      </c>
      <c r="AR160" s="315" t="str">
        <f>IF(ISBLANK(tabItens[[#This Row],[CÓDIGO]]),"",IFERROR(VLOOKUP(tabItens[[#This Row],[CÓDIGO]],Consumo!$C$2:$AC$869,26,FALSE),0))</f>
        <v>10.2022</v>
      </c>
      <c r="AS160" s="316">
        <f>SUMIF(Consumo!$C$3:$C$869,tabItens[[#This Row],[CÓDIGO]],Consumo!$N$3:$N$869) + SUMIF(Consumo!$C$3:$C$869,tabItens[[#This Row],[CÓDIGO]],Consumo!$O$3:$O$869) + SUMIF(Consumo!$C$3:$C$869,tabItens[[#This Row],[CÓDIGO]],Consumo!$P$3:$P$869) + SUMIF(Consumo!$C$3:$C$869,tabItens[[#This Row],[CÓDIGO]],Consumo!$Q$3:$Q$869)</f>
        <v>0</v>
      </c>
      <c r="AT160" s="316">
        <f>SUMIF(Consumo!$C$3:$C$869,tabItens[[#This Row],[CÓDIGO]],Consumo!$Z$3:$Z$869)</f>
        <v>294</v>
      </c>
      <c r="AU160" s="317">
        <f>SUMIF(Consumo!$C$3:$C$869,tabItens[[#This Row],[CÓDIGO]],Consumo!$AA$3:$AA$869)</f>
        <v>123</v>
      </c>
      <c r="AV160" s="318">
        <f>SUMIF(Consumo!$C$3:$C$869,tabItens[[#This Row],[CÓDIGO]],Consumo!$Y$3:$Y$869)</f>
        <v>23.25</v>
      </c>
      <c r="AW160" s="401">
        <f>tabItens[[#This Row],[QTDE ATUAL]] + tabItens[[#This Row],[RC QTDE]] + tabItens[[#This Row],[AF SALDO]] + tabItens[[#This Row],[Recentes]]</f>
        <v>1200</v>
      </c>
      <c r="AX160" s="420">
        <v>45</v>
      </c>
      <c r="AY160" s="420">
        <v>4</v>
      </c>
      <c r="AZ160" s="420">
        <f>IF(ISBLANK(tabItens[[#This Row],[CÓDIGO]]),"",tabItens[[#This Row],[PontoMês]] * (AZ$2+tabItens[[#This Row],[PontoQtM]]))</f>
        <v>180</v>
      </c>
      <c r="BA160" s="421">
        <f>tabItens[[#This Row],[PontoPed]] - tabItens[[#This Row],[Saldo]] + (1/10)</f>
        <v>-1019.9</v>
      </c>
      <c r="BB160" s="421">
        <f xml:space="preserve"> tabItens[[#This Row],[PontoMês]] * BB$2 - tabItens[[#This Row],[QTDE ATUAL]] - (1/10)</f>
        <v>44.9</v>
      </c>
      <c r="BC160" s="320">
        <f>IF( tabItens[[#This Row],[PontoPed]]&gt;0, IF(tabItens[[#This Row],[PontoPed]]&lt;1, 1, IF( tabItens[[#This Row],[Saldo]]&gt;tabItens[[#This Row],[PontoPed]], 0, (tabItens[[#This Row],[PontoPed]]-tabItens[[#This Row],[Saldo]])/tabItens[[#This Row],[PontoPed]] ) ), 0 )</f>
        <v>0</v>
      </c>
      <c r="BD160" s="422">
        <f>ROUNDDOWN(IF( OR( AND(tabItens[[#This Row],[PontoPed]]&lt;tabItens[[#This Row],[Saldo]],tabItens[[#This Row],[Saldo]]&gt;0), tabItens[[#This Row],[PontoPed]]=0), 99, IF(AND(tabItens[[#This Row],[Saldo]]=0,tabItens[[#This Row],[PontoPed]]&gt;0), 0, (1-tabItens[[#This Row],[PctAb]])*10 ) ),0)</f>
        <v>99</v>
      </c>
      <c r="BE160" s="423">
        <f>MAX(ROUNDDOWN( IF(tabItens[[#This Row],[Abaixo]] &gt; 0,   tabItens[[#This Row],[Abaixo]] + (tabItens[[#This Row],[PontoMês]] * IF( OR( ISBLANK(tabItens[[#This Row],[ATA Nº/ANO]]), tabItens[[#This Row],[ATA Nº/ANO]] = ""),BE$2,BE$1)),0),0),0)</f>
        <v>0</v>
      </c>
      <c r="BF16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23">
        <f>SUMIF(Consumo!$C$3:$C$869,tabItens[[#This Row],[CÓDIGO]],Consumo!$E$3:$E$869)</f>
        <v>20</v>
      </c>
      <c r="BH160" s="324">
        <f>IF(AND(tabItens[[#This Row],[Pend]] &gt; 0,tabItens[[#This Row],[Consumo]] &lt;&gt; 0), tabItens[[#This Row],[Pend]] / tabItens[[#This Row],[Consumo]], 0 )</f>
        <v>6.8027210884353748E-2</v>
      </c>
      <c r="BI160" s="323"/>
      <c r="BJ160" s="424"/>
      <c r="BK160" s="425" t="s">
        <v>2064</v>
      </c>
    </row>
    <row r="161" spans="1:63" hidden="1" x14ac:dyDescent="0.3">
      <c r="A161" s="286">
        <v>58436</v>
      </c>
      <c r="B161" s="287" t="s">
        <v>1331</v>
      </c>
      <c r="C161" s="288" t="s">
        <v>256</v>
      </c>
      <c r="D161" s="289">
        <v>32</v>
      </c>
      <c r="E161" s="290"/>
      <c r="F161" s="290"/>
      <c r="G161" s="290" t="s">
        <v>883</v>
      </c>
      <c r="H161" s="291">
        <v>427</v>
      </c>
      <c r="I161" s="292">
        <v>103003</v>
      </c>
      <c r="J161" s="293">
        <v>32</v>
      </c>
      <c r="K161" s="294">
        <v>15</v>
      </c>
      <c r="L161" s="295">
        <f>IF(tabItens[[#This Row],[Média]] &gt; 0, tabItens[[#This Row],[QTDE ATUAL]] / tabItens[[#This Row],[Média]],999.9)</f>
        <v>512.4</v>
      </c>
      <c r="M161" s="296">
        <v>0</v>
      </c>
      <c r="N161" s="297">
        <f>tabItens[[#This Row],[VALOR UNIT.]] * tabItens[[#This Row],[LC]]</f>
        <v>0</v>
      </c>
      <c r="O161" s="298" t="s">
        <v>2126</v>
      </c>
      <c r="P161" s="299"/>
      <c r="Q161" s="300"/>
      <c r="R161" s="297"/>
      <c r="S161" s="301"/>
      <c r="T161" s="302">
        <f>ROUNDDOWN(IFERROR(tabItens[[#This Row],[ATA DT.VALID.]] - $D$1,0) / 30,0)</f>
        <v>-1504</v>
      </c>
      <c r="U161" s="287" t="s">
        <v>1332</v>
      </c>
      <c r="V161" s="303">
        <v>1</v>
      </c>
      <c r="W161" s="304" t="s">
        <v>2056</v>
      </c>
      <c r="X161" s="305">
        <v>69</v>
      </c>
      <c r="Y161" s="306">
        <v>2</v>
      </c>
      <c r="Z161" s="307"/>
      <c r="AA161" s="308"/>
      <c r="AB161" s="309"/>
      <c r="AC161" s="309"/>
      <c r="AD161" s="308"/>
      <c r="AE161" s="309"/>
      <c r="AF161" s="302"/>
      <c r="AG161" s="310" t="s">
        <v>2050</v>
      </c>
      <c r="AH161" s="311"/>
      <c r="AI161" s="302">
        <v>6</v>
      </c>
      <c r="AJ161" s="311">
        <v>44586</v>
      </c>
      <c r="AK161" s="311" t="s">
        <v>883</v>
      </c>
      <c r="AL161" s="311">
        <v>44547</v>
      </c>
      <c r="AM161" s="301"/>
      <c r="AN161" s="290"/>
      <c r="AO161" s="312" t="str">
        <f>_xlfn.IFNA(IF(VLOOKUP(tabItens[[#This Row],[CÓDIGO]],tabExcluirDoEstoque[#Data],1,FALSE),"sim",""),"")</f>
        <v/>
      </c>
      <c r="AP161" s="313" t="str">
        <f ca="1">IF(OR(ISBLANK(tabItens[[#This Row],[ATA DT.VALID.]]),tabItens[[#This Row],[ATA DT.VALID.]]="",tabItens[[#This Row],[ATA DT.VALID.]]=" "),"",IF(TYPE(tabItens[[#This Row],[ATA DT.VALID.]])=1,ROUNDUP((tabItens[[#This Row],[ATA DT.VALID.]]-TODAY())/7,0),""))</f>
        <v/>
      </c>
      <c r="AQ161" s="314">
        <v>0</v>
      </c>
      <c r="AR161" s="315" t="str">
        <f>IF(ISBLANK(tabItens[[#This Row],[CÓDIGO]]),"",IFERROR(VLOOKUP(tabItens[[#This Row],[CÓDIGO]],Consumo!$C$2:$AC$869,26,FALSE),0))</f>
        <v>03.2023</v>
      </c>
      <c r="AS161" s="316">
        <f>SUMIF(Consumo!$C$3:$C$869,tabItens[[#This Row],[CÓDIGO]],Consumo!$N$3:$N$869) + SUMIF(Consumo!$C$3:$C$869,tabItens[[#This Row],[CÓDIGO]],Consumo!$O$3:$O$869) + SUMIF(Consumo!$C$3:$C$869,tabItens[[#This Row],[CÓDIGO]],Consumo!$P$3:$P$869) + SUMIF(Consumo!$C$3:$C$869,tabItens[[#This Row],[CÓDIGO]],Consumo!$Q$3:$Q$869)</f>
        <v>0</v>
      </c>
      <c r="AT161" s="316">
        <f>SUMIF(Consumo!$C$3:$C$869,tabItens[[#This Row],[CÓDIGO]],Consumo!$Z$3:$Z$869)</f>
        <v>15</v>
      </c>
      <c r="AU161" s="317">
        <f>SUMIF(Consumo!$C$3:$C$869,tabItens[[#This Row],[CÓDIGO]],Consumo!$AA$3:$AA$869)</f>
        <v>14</v>
      </c>
      <c r="AV161" s="318">
        <f>SUMIF(Consumo!$C$3:$C$869,tabItens[[#This Row],[CÓDIGO]],Consumo!$Y$3:$Y$869)</f>
        <v>0.83333333333333337</v>
      </c>
      <c r="AW161" s="291">
        <f>tabItens[[#This Row],[QTDE ATUAL]] + tabItens[[#This Row],[RC QTDE]] + tabItens[[#This Row],[AF SALDO]] + tabItens[[#This Row],[Recentes]]</f>
        <v>427</v>
      </c>
      <c r="AX161" s="319">
        <v>15</v>
      </c>
      <c r="AY161" s="319">
        <v>4</v>
      </c>
      <c r="AZ161" s="319">
        <f>IF(ISBLANK(tabItens[[#This Row],[CÓDIGO]]),"",tabItens[[#This Row],[PontoMês]] * (AZ$2+tabItens[[#This Row],[PontoQtM]]))</f>
        <v>60</v>
      </c>
      <c r="BA161" s="318">
        <f>tabItens[[#This Row],[PontoPed]] - tabItens[[#This Row],[Saldo]] + (1/10)</f>
        <v>-366.9</v>
      </c>
      <c r="BB161" s="318">
        <f xml:space="preserve"> tabItens[[#This Row],[PontoMês]] * BB$2 - tabItens[[#This Row],[QTDE ATUAL]] - (1/10)</f>
        <v>-412.1</v>
      </c>
      <c r="BC161" s="320">
        <f>IF( tabItens[[#This Row],[PontoPed]]&gt;0, IF(tabItens[[#This Row],[PontoPed]]&lt;1, 1, IF( tabItens[[#This Row],[Saldo]]&gt;tabItens[[#This Row],[PontoPed]], 0, (tabItens[[#This Row],[PontoPed]]-tabItens[[#This Row],[Saldo]])/tabItens[[#This Row],[PontoPed]] ) ), 0 )</f>
        <v>0</v>
      </c>
      <c r="BD161" s="321">
        <f>ROUNDDOWN(IF( OR( AND(tabItens[[#This Row],[PontoPed]]&lt;tabItens[[#This Row],[Saldo]],tabItens[[#This Row],[Saldo]]&gt;0), tabItens[[#This Row],[PontoPed]]=0), 99, IF(AND(tabItens[[#This Row],[Saldo]]=0,tabItens[[#This Row],[PontoPed]]&gt;0), 0, (1-tabItens[[#This Row],[PctAb]])*10 ) ),0)</f>
        <v>99</v>
      </c>
      <c r="BE161" s="322">
        <f>MAX(ROUNDDOWN( IF(tabItens[[#This Row],[Abaixo]] &gt; 0,   tabItens[[#This Row],[Abaixo]] + (tabItens[[#This Row],[PontoMês]] * IF( OR( ISBLANK(tabItens[[#This Row],[ATA Nº/ANO]]), tabItens[[#This Row],[ATA Nº/ANO]] = ""),BE$2,BE$1)),0),0),0)</f>
        <v>0</v>
      </c>
      <c r="BF1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23">
        <f>SUMIF(Consumo!$C$3:$C$869,tabItens[[#This Row],[CÓDIGO]],Consumo!$E$3:$E$869)</f>
        <v>0</v>
      </c>
      <c r="BH161" s="324">
        <f>IF(AND(tabItens[[#This Row],[Pend]] &gt; 0,tabItens[[#This Row],[Consumo]] &lt;&gt; 0), tabItens[[#This Row],[Pend]] / tabItens[[#This Row],[Consumo]], 0 )</f>
        <v>0</v>
      </c>
      <c r="BI161" s="323"/>
      <c r="BJ161" s="323"/>
      <c r="BK161" s="325" t="s">
        <v>2064</v>
      </c>
    </row>
    <row r="162" spans="1:63" hidden="1" x14ac:dyDescent="0.3">
      <c r="A162" s="286">
        <v>123618</v>
      </c>
      <c r="B162" s="287" t="s">
        <v>1752</v>
      </c>
      <c r="C162" s="288" t="s">
        <v>294</v>
      </c>
      <c r="D162" s="289">
        <v>29.45</v>
      </c>
      <c r="E162" s="290"/>
      <c r="F162" s="290"/>
      <c r="G162" s="290" t="s">
        <v>883</v>
      </c>
      <c r="H162" s="291">
        <v>999</v>
      </c>
      <c r="I162" s="292">
        <v>103003</v>
      </c>
      <c r="J162" s="293">
        <v>29.445920000000001</v>
      </c>
      <c r="K162" s="294">
        <v>1</v>
      </c>
      <c r="L162" s="295">
        <f>IF(tabItens[[#This Row],[Média]] &gt; 0, tabItens[[#This Row],[QTDE ATUAL]] / tabItens[[#This Row],[Média]],999.9)</f>
        <v>999.9</v>
      </c>
      <c r="M162" s="296">
        <v>0</v>
      </c>
      <c r="N162" s="297">
        <f>tabItens[[#This Row],[VALOR UNIT.]] * tabItens[[#This Row],[LC]]</f>
        <v>0</v>
      </c>
      <c r="O162" s="298" t="s">
        <v>2126</v>
      </c>
      <c r="P162" s="299"/>
      <c r="Q162" s="300"/>
      <c r="R162" s="297"/>
      <c r="S162" s="301"/>
      <c r="T162" s="302">
        <f>ROUNDDOWN(IFERROR(tabItens[[#This Row],[ATA DT.VALID.]] - $D$1,0) / 30,0)</f>
        <v>-1504</v>
      </c>
      <c r="U162" s="287" t="s">
        <v>1332</v>
      </c>
      <c r="V162" s="303">
        <v>1</v>
      </c>
      <c r="W162" s="304" t="s">
        <v>2056</v>
      </c>
      <c r="X162" s="305">
        <v>69</v>
      </c>
      <c r="Y162" s="306">
        <v>2</v>
      </c>
      <c r="Z162" s="307"/>
      <c r="AA162" s="308"/>
      <c r="AB162" s="309"/>
      <c r="AC162" s="309"/>
      <c r="AD162" s="308"/>
      <c r="AE162" s="309"/>
      <c r="AF162" s="302"/>
      <c r="AG162" s="310" t="s">
        <v>2050</v>
      </c>
      <c r="AH162" s="311"/>
      <c r="AI162" s="302">
        <v>0</v>
      </c>
      <c r="AJ162" s="311">
        <v>43658</v>
      </c>
      <c r="AK162" s="311">
        <v>41142</v>
      </c>
      <c r="AL162" s="311">
        <v>43614</v>
      </c>
      <c r="AM162" s="301"/>
      <c r="AN162" s="290"/>
      <c r="AO162" s="312" t="str">
        <f>_xlfn.IFNA(IF(VLOOKUP(tabItens[[#This Row],[CÓDIGO]],tabExcluirDoEstoque[#Data],1,FALSE),"sim",""),"")</f>
        <v/>
      </c>
      <c r="AP162" s="313" t="str">
        <f ca="1">IF(OR(ISBLANK(tabItens[[#This Row],[ATA DT.VALID.]]),tabItens[[#This Row],[ATA DT.VALID.]]="",tabItens[[#This Row],[ATA DT.VALID.]]=" "),"",IF(TYPE(tabItens[[#This Row],[ATA DT.VALID.]])=1,ROUNDUP((tabItens[[#This Row],[ATA DT.VALID.]]-TODAY())/7,0),""))</f>
        <v/>
      </c>
      <c r="AQ162" s="314">
        <v>0</v>
      </c>
      <c r="AR162" s="315" t="str">
        <f>IF(ISBLANK(tabItens[[#This Row],[CÓDIGO]]),"",IFERROR(VLOOKUP(tabItens[[#This Row],[CÓDIGO]],Consumo!$C$2:$AC$869,26,FALSE),0))</f>
        <v>08.2022</v>
      </c>
      <c r="AS162" s="316">
        <f>SUMIF(Consumo!$C$3:$C$869,tabItens[[#This Row],[CÓDIGO]],Consumo!$N$3:$N$869) + SUMIF(Consumo!$C$3:$C$869,tabItens[[#This Row],[CÓDIGO]],Consumo!$O$3:$O$869) + SUMIF(Consumo!$C$3:$C$869,tabItens[[#This Row],[CÓDIGO]],Consumo!$P$3:$P$869) + SUMIF(Consumo!$C$3:$C$869,tabItens[[#This Row],[CÓDIGO]],Consumo!$Q$3:$Q$869)</f>
        <v>0</v>
      </c>
      <c r="AT162" s="316">
        <f>SUMIF(Consumo!$C$3:$C$869,tabItens[[#This Row],[CÓDIGO]],Consumo!$Z$3:$Z$869)</f>
        <v>1</v>
      </c>
      <c r="AU162" s="317">
        <f>SUMIF(Consumo!$C$3:$C$869,tabItens[[#This Row],[CÓDIGO]],Consumo!$AA$3:$AA$869)</f>
        <v>1</v>
      </c>
      <c r="AV162" s="318">
        <f>SUMIF(Consumo!$C$3:$C$869,tabItens[[#This Row],[CÓDIGO]],Consumo!$Y$3:$Y$869)</f>
        <v>0</v>
      </c>
      <c r="AW162" s="291">
        <f>tabItens[[#This Row],[QTDE ATUAL]] + tabItens[[#This Row],[RC QTDE]] + tabItens[[#This Row],[AF SALDO]] + tabItens[[#This Row],[Recentes]]</f>
        <v>999</v>
      </c>
      <c r="AX162" s="319">
        <v>10</v>
      </c>
      <c r="AY162" s="319">
        <v>4</v>
      </c>
      <c r="AZ162" s="319">
        <f>IF(ISBLANK(tabItens[[#This Row],[CÓDIGO]]),"",tabItens[[#This Row],[PontoMês]] * (AZ$2+tabItens[[#This Row],[PontoQtM]]))</f>
        <v>40</v>
      </c>
      <c r="BA162" s="318">
        <f>tabItens[[#This Row],[PontoPed]] - tabItens[[#This Row],[Saldo]] + (1/10)</f>
        <v>-958.9</v>
      </c>
      <c r="BB162" s="318">
        <f xml:space="preserve"> tabItens[[#This Row],[PontoMês]] * BB$2 - tabItens[[#This Row],[QTDE ATUAL]] - (1/10)</f>
        <v>-989.1</v>
      </c>
      <c r="BC162" s="320">
        <f>IF( tabItens[[#This Row],[PontoPed]]&gt;0, IF(tabItens[[#This Row],[PontoPed]]&lt;1, 1, IF( tabItens[[#This Row],[Saldo]]&gt;tabItens[[#This Row],[PontoPed]], 0, (tabItens[[#This Row],[PontoPed]]-tabItens[[#This Row],[Saldo]])/tabItens[[#This Row],[PontoPed]] ) ), 0 )</f>
        <v>0</v>
      </c>
      <c r="BD162" s="321">
        <f>ROUNDDOWN(IF( OR( AND(tabItens[[#This Row],[PontoPed]]&lt;tabItens[[#This Row],[Saldo]],tabItens[[#This Row],[Saldo]]&gt;0), tabItens[[#This Row],[PontoPed]]=0), 99, IF(AND(tabItens[[#This Row],[Saldo]]=0,tabItens[[#This Row],[PontoPed]]&gt;0), 0, (1-tabItens[[#This Row],[PctAb]])*10 ) ),0)</f>
        <v>99</v>
      </c>
      <c r="BE162" s="322">
        <f>MAX(ROUNDDOWN( IF(tabItens[[#This Row],[Abaixo]] &gt; 0,   tabItens[[#This Row],[Abaixo]] + (tabItens[[#This Row],[PontoMês]] * IF( OR( ISBLANK(tabItens[[#This Row],[ATA Nº/ANO]]), tabItens[[#This Row],[ATA Nº/ANO]] = ""),BE$2,BE$1)),0),0),0)</f>
        <v>0</v>
      </c>
      <c r="BF1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23">
        <f>SUMIF(Consumo!$C$3:$C$869,tabItens[[#This Row],[CÓDIGO]],Consumo!$E$3:$E$869)</f>
        <v>0</v>
      </c>
      <c r="BH162" s="324">
        <f>IF(AND(tabItens[[#This Row],[Pend]] &gt; 0,tabItens[[#This Row],[Consumo]] &lt;&gt; 0), tabItens[[#This Row],[Pend]] / tabItens[[#This Row],[Consumo]], 0 )</f>
        <v>0</v>
      </c>
      <c r="BI162" s="323"/>
      <c r="BJ162" s="323"/>
      <c r="BK162" s="325" t="s">
        <v>2064</v>
      </c>
    </row>
    <row r="163" spans="1:63" hidden="1" x14ac:dyDescent="0.3">
      <c r="A163" s="286">
        <v>80387</v>
      </c>
      <c r="B163" s="287" t="s">
        <v>1455</v>
      </c>
      <c r="C163" s="288" t="s">
        <v>256</v>
      </c>
      <c r="D163" s="289">
        <v>5.51</v>
      </c>
      <c r="E163" s="290"/>
      <c r="F163" s="290"/>
      <c r="G163" s="290" t="s">
        <v>883</v>
      </c>
      <c r="H163" s="291">
        <v>130</v>
      </c>
      <c r="I163" s="292">
        <v>103003</v>
      </c>
      <c r="J163" s="293">
        <v>5.51</v>
      </c>
      <c r="K163" s="294">
        <v>710</v>
      </c>
      <c r="L163" s="295">
        <f>IF(tabItens[[#This Row],[Média]] &gt; 0, tabItens[[#This Row],[QTDE ATUAL]] / tabItens[[#This Row],[Média]],999.9)</f>
        <v>2.1428571428571428</v>
      </c>
      <c r="M163" s="296">
        <v>0</v>
      </c>
      <c r="N163" s="297">
        <f>tabItens[[#This Row],[VALOR UNIT.]] * tabItens[[#This Row],[LC]]</f>
        <v>0</v>
      </c>
      <c r="O163" s="298" t="s">
        <v>2126</v>
      </c>
      <c r="P163" s="299"/>
      <c r="Q163" s="300"/>
      <c r="R163" s="297"/>
      <c r="S163" s="301"/>
      <c r="T163" s="302">
        <f>ROUNDDOWN(IFERROR(tabItens[[#This Row],[ATA DT.VALID.]] - $D$1,0) / 30,0)</f>
        <v>-1504</v>
      </c>
      <c r="U163" s="287" t="s">
        <v>1275</v>
      </c>
      <c r="V163" s="303">
        <v>1</v>
      </c>
      <c r="W163" s="304" t="s">
        <v>2056</v>
      </c>
      <c r="X163" s="305">
        <v>83</v>
      </c>
      <c r="Y163" s="306">
        <v>4</v>
      </c>
      <c r="Z163" s="307">
        <v>7315</v>
      </c>
      <c r="AA163" s="308">
        <v>2023</v>
      </c>
      <c r="AB163" s="309">
        <v>255</v>
      </c>
      <c r="AC163" s="309"/>
      <c r="AD163" s="308"/>
      <c r="AE163" s="309"/>
      <c r="AF163" s="302"/>
      <c r="AG163" s="310" t="s">
        <v>2050</v>
      </c>
      <c r="AH163" s="311"/>
      <c r="AI163" s="302">
        <v>262</v>
      </c>
      <c r="AJ163" s="311">
        <v>43882</v>
      </c>
      <c r="AK163" s="311">
        <v>38169</v>
      </c>
      <c r="AL163" s="311">
        <v>43826</v>
      </c>
      <c r="AM163" s="301"/>
      <c r="AN163" s="290"/>
      <c r="AO163" s="312" t="str">
        <f>_xlfn.IFNA(IF(VLOOKUP(tabItens[[#This Row],[CÓDIGO]],tabExcluirDoEstoque[#Data],1,FALSE),"sim",""),"")</f>
        <v/>
      </c>
      <c r="AP163" s="313" t="str">
        <f ca="1">IF(OR(ISBLANK(tabItens[[#This Row],[ATA DT.VALID.]]),tabItens[[#This Row],[ATA DT.VALID.]]="",tabItens[[#This Row],[ATA DT.VALID.]]=" "),"",IF(TYPE(tabItens[[#This Row],[ATA DT.VALID.]])=1,ROUNDUP((tabItens[[#This Row],[ATA DT.VALID.]]-TODAY())/7,0),""))</f>
        <v/>
      </c>
      <c r="AQ163" s="314">
        <v>0</v>
      </c>
      <c r="AR163" s="315" t="str">
        <f>IF(ISBLANK(tabItens[[#This Row],[CÓDIGO]]),"",IFERROR(VLOOKUP(tabItens[[#This Row],[CÓDIGO]],Consumo!$C$2:$AC$869,26,FALSE),0))</f>
        <v>05.2023</v>
      </c>
      <c r="AS163" s="316">
        <f>SUMIF(Consumo!$C$3:$C$869,tabItens[[#This Row],[CÓDIGO]],Consumo!$N$3:$N$869) + SUMIF(Consumo!$C$3:$C$869,tabItens[[#This Row],[CÓDIGO]],Consumo!$O$3:$O$869) + SUMIF(Consumo!$C$3:$C$869,tabItens[[#This Row],[CÓDIGO]],Consumo!$P$3:$P$869) + SUMIF(Consumo!$C$3:$C$869,tabItens[[#This Row],[CÓDIGO]],Consumo!$Q$3:$Q$869)</f>
        <v>200</v>
      </c>
      <c r="AT163" s="316">
        <f>SUMIF(Consumo!$C$3:$C$869,tabItens[[#This Row],[CÓDIGO]],Consumo!$Z$3:$Z$869)</f>
        <v>786</v>
      </c>
      <c r="AU163" s="317">
        <f>SUMIF(Consumo!$C$3:$C$869,tabItens[[#This Row],[CÓDIGO]],Consumo!$AA$3:$AA$869)</f>
        <v>310</v>
      </c>
      <c r="AV163" s="318">
        <f>SUMIF(Consumo!$C$3:$C$869,tabItens[[#This Row],[CÓDIGO]],Consumo!$Y$3:$Y$869)</f>
        <v>60.666666666666664</v>
      </c>
      <c r="AW163" s="291">
        <f>tabItens[[#This Row],[QTDE ATUAL]] + tabItens[[#This Row],[RC QTDE]] + tabItens[[#This Row],[AF SALDO]] + tabItens[[#This Row],[Recentes]]</f>
        <v>385</v>
      </c>
      <c r="AX163" s="319">
        <v>55</v>
      </c>
      <c r="AY163" s="319">
        <v>4</v>
      </c>
      <c r="AZ163" s="319">
        <f>IF(ISBLANK(tabItens[[#This Row],[CÓDIGO]]),"",tabItens[[#This Row],[PontoMês]] * (AZ$2+tabItens[[#This Row],[PontoQtM]]))</f>
        <v>220</v>
      </c>
      <c r="BA163" s="318">
        <f>tabItens[[#This Row],[PontoPed]] - tabItens[[#This Row],[Saldo]] + (1/10)</f>
        <v>-164.9</v>
      </c>
      <c r="BB163" s="318">
        <f xml:space="preserve"> tabItens[[#This Row],[PontoMês]] * BB$2 - tabItens[[#This Row],[QTDE ATUAL]] - (1/10)</f>
        <v>-75.099999999999994</v>
      </c>
      <c r="BC163" s="320">
        <f>IF( tabItens[[#This Row],[PontoPed]]&gt;0, IF(tabItens[[#This Row],[PontoPed]]&lt;1, 1, IF( tabItens[[#This Row],[Saldo]]&gt;tabItens[[#This Row],[PontoPed]], 0, (tabItens[[#This Row],[PontoPed]]-tabItens[[#This Row],[Saldo]])/tabItens[[#This Row],[PontoPed]] ) ), 0 )</f>
        <v>0</v>
      </c>
      <c r="BD163" s="321">
        <f>ROUNDDOWN(IF( OR( AND(tabItens[[#This Row],[PontoPed]]&lt;tabItens[[#This Row],[Saldo]],tabItens[[#This Row],[Saldo]]&gt;0), tabItens[[#This Row],[PontoPed]]=0), 99, IF(AND(tabItens[[#This Row],[Saldo]]=0,tabItens[[#This Row],[PontoPed]]&gt;0), 0, (1-tabItens[[#This Row],[PctAb]])*10 ) ),0)</f>
        <v>99</v>
      </c>
      <c r="BE163" s="322">
        <f>MAX(ROUNDDOWN( IF(tabItens[[#This Row],[Abaixo]] &gt; 0,   tabItens[[#This Row],[Abaixo]] + (tabItens[[#This Row],[PontoMês]] * IF( OR( ISBLANK(tabItens[[#This Row],[ATA Nº/ANO]]), tabItens[[#This Row],[ATA Nº/ANO]] = ""),BE$2,BE$1)),0),0),0)</f>
        <v>0</v>
      </c>
      <c r="BF16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23">
        <f>SUMIF(Consumo!$C$3:$C$869,tabItens[[#This Row],[CÓDIGO]],Consumo!$E$3:$E$869)</f>
        <v>0</v>
      </c>
      <c r="BH163" s="324">
        <f>IF(AND(tabItens[[#This Row],[Pend]] &gt; 0,tabItens[[#This Row],[Consumo]] &lt;&gt; 0), tabItens[[#This Row],[Pend]] / tabItens[[#This Row],[Consumo]], 0 )</f>
        <v>0</v>
      </c>
      <c r="BI163" s="323"/>
      <c r="BJ163" s="323"/>
      <c r="BK163" s="325" t="s">
        <v>2064</v>
      </c>
    </row>
    <row r="164" spans="1:63" x14ac:dyDescent="0.3">
      <c r="A164" s="396">
        <v>12989</v>
      </c>
      <c r="B164" s="397" t="s">
        <v>984</v>
      </c>
      <c r="C164" s="398" t="s">
        <v>256</v>
      </c>
      <c r="D164" s="399">
        <v>6.66</v>
      </c>
      <c r="E164" s="290"/>
      <c r="F164" s="400"/>
      <c r="G164" s="400" t="s">
        <v>883</v>
      </c>
      <c r="H164" s="401">
        <v>0</v>
      </c>
      <c r="I164" s="292">
        <v>103003</v>
      </c>
      <c r="J164" s="293">
        <v>6.66</v>
      </c>
      <c r="K164" s="402">
        <v>185</v>
      </c>
      <c r="L164" s="403">
        <f>IF(tabItens[[#This Row],[Média]] &gt; 0, tabItens[[#This Row],[QTDE ATUAL]] / tabItens[[#This Row],[Média]],999.9)</f>
        <v>0</v>
      </c>
      <c r="M164" s="404">
        <v>0</v>
      </c>
      <c r="N164" s="405">
        <f>tabItens[[#This Row],[VALOR UNIT.]] * tabItens[[#This Row],[LC]]</f>
        <v>0</v>
      </c>
      <c r="O164" s="406" t="s">
        <v>2083</v>
      </c>
      <c r="P164" s="407"/>
      <c r="Q164" s="408"/>
      <c r="R164" s="297"/>
      <c r="S164" s="409"/>
      <c r="T164" s="410">
        <f>ROUNDDOWN(IFERROR(tabItens[[#This Row],[ATA DT.VALID.]] - $D$1,0) / 30,0)</f>
        <v>-1504</v>
      </c>
      <c r="U164" s="287" t="s">
        <v>985</v>
      </c>
      <c r="V164" s="303">
        <v>1</v>
      </c>
      <c r="W164" s="411" t="s">
        <v>2055</v>
      </c>
      <c r="X164" s="412">
        <v>55</v>
      </c>
      <c r="Y164" s="413">
        <v>7</v>
      </c>
      <c r="Z164" s="414">
        <v>2448</v>
      </c>
      <c r="AA164" s="415">
        <v>2023</v>
      </c>
      <c r="AB164" s="416">
        <v>300</v>
      </c>
      <c r="AC164" s="416"/>
      <c r="AD164" s="415"/>
      <c r="AE164" s="416"/>
      <c r="AF164" s="302"/>
      <c r="AG164" s="417" t="s">
        <v>2050</v>
      </c>
      <c r="AH164" s="418"/>
      <c r="AI164" s="302">
        <v>68</v>
      </c>
      <c r="AJ164" s="418">
        <v>43656</v>
      </c>
      <c r="AK164" s="311" t="s">
        <v>883</v>
      </c>
      <c r="AL164" s="311">
        <v>44917</v>
      </c>
      <c r="AM164" s="301"/>
      <c r="AN164" s="290"/>
      <c r="AO164" s="312" t="str">
        <f>_xlfn.IFNA(IF(VLOOKUP(tabItens[[#This Row],[CÓDIGO]],tabExcluirDoEstoque[#Data],1,FALSE),"sim",""),"")</f>
        <v/>
      </c>
      <c r="AP164" s="419" t="str">
        <f ca="1">IF(OR(ISBLANK(tabItens[[#This Row],[ATA DT.VALID.]]),tabItens[[#This Row],[ATA DT.VALID.]]="",tabItens[[#This Row],[ATA DT.VALID.]]=" "),"",IF(TYPE(tabItens[[#This Row],[ATA DT.VALID.]])=1,ROUNDUP((tabItens[[#This Row],[ATA DT.VALID.]]-TODAY())/7,0),""))</f>
        <v/>
      </c>
      <c r="AQ164" s="314">
        <v>0</v>
      </c>
      <c r="AR164" s="315" t="str">
        <f>IF(ISBLANK(tabItens[[#This Row],[CÓDIGO]]),"",IFERROR(VLOOKUP(tabItens[[#This Row],[CÓDIGO]],Consumo!$C$2:$AC$869,26,FALSE),0))</f>
        <v>07.2023</v>
      </c>
      <c r="AS164" s="316">
        <f>SUMIF(Consumo!$C$3:$C$869,tabItens[[#This Row],[CÓDIGO]],Consumo!$N$3:$N$869) + SUMIF(Consumo!$C$3:$C$869,tabItens[[#This Row],[CÓDIGO]],Consumo!$O$3:$O$869) + SUMIF(Consumo!$C$3:$C$869,tabItens[[#This Row],[CÓDIGO]],Consumo!$P$3:$P$869) + SUMIF(Consumo!$C$3:$C$869,tabItens[[#This Row],[CÓDIGO]],Consumo!$Q$3:$Q$869)</f>
        <v>20</v>
      </c>
      <c r="AT164" s="316">
        <f>SUMIF(Consumo!$C$3:$C$869,tabItens[[#This Row],[CÓDIGO]],Consumo!$Z$3:$Z$869)</f>
        <v>306</v>
      </c>
      <c r="AU164" s="317">
        <f>SUMIF(Consumo!$C$3:$C$869,tabItens[[#This Row],[CÓDIGO]],Consumo!$AA$3:$AA$869)</f>
        <v>68</v>
      </c>
      <c r="AV164" s="318">
        <f>SUMIF(Consumo!$C$3:$C$869,tabItens[[#This Row],[CÓDIGO]],Consumo!$Y$3:$Y$869)</f>
        <v>25.5</v>
      </c>
      <c r="AW164" s="401">
        <f>tabItens[[#This Row],[QTDE ATUAL]] + tabItens[[#This Row],[RC QTDE]] + tabItens[[#This Row],[AF SALDO]] + tabItens[[#This Row],[Recentes]]</f>
        <v>300</v>
      </c>
      <c r="AX164" s="420">
        <v>19</v>
      </c>
      <c r="AY164" s="420">
        <v>4</v>
      </c>
      <c r="AZ164" s="420">
        <f>IF(ISBLANK(tabItens[[#This Row],[CÓDIGO]]),"",tabItens[[#This Row],[PontoMês]] * (AZ$2+tabItens[[#This Row],[PontoQtM]]))</f>
        <v>76</v>
      </c>
      <c r="BA164" s="421">
        <f>tabItens[[#This Row],[PontoPed]] - tabItens[[#This Row],[Saldo]] + (1/10)</f>
        <v>-223.9</v>
      </c>
      <c r="BB164" s="421">
        <f xml:space="preserve"> tabItens[[#This Row],[PontoMês]] * BB$2 - tabItens[[#This Row],[QTDE ATUAL]] - (1/10)</f>
        <v>18.899999999999999</v>
      </c>
      <c r="BC164" s="320">
        <f>IF( tabItens[[#This Row],[PontoPed]]&gt;0, IF(tabItens[[#This Row],[PontoPed]]&lt;1, 1, IF( tabItens[[#This Row],[Saldo]]&gt;tabItens[[#This Row],[PontoPed]], 0, (tabItens[[#This Row],[PontoPed]]-tabItens[[#This Row],[Saldo]])/tabItens[[#This Row],[PontoPed]] ) ), 0 )</f>
        <v>0</v>
      </c>
      <c r="BD164" s="422">
        <f>ROUNDDOWN(IF( OR( AND(tabItens[[#This Row],[PontoPed]]&lt;tabItens[[#This Row],[Saldo]],tabItens[[#This Row],[Saldo]]&gt;0), tabItens[[#This Row],[PontoPed]]=0), 99, IF(AND(tabItens[[#This Row],[Saldo]]=0,tabItens[[#This Row],[PontoPed]]&gt;0), 0, (1-tabItens[[#This Row],[PctAb]])*10 ) ),0)</f>
        <v>99</v>
      </c>
      <c r="BE164" s="423">
        <f>MAX(ROUNDDOWN( IF(tabItens[[#This Row],[Abaixo]] &gt; 0,   tabItens[[#This Row],[Abaixo]] + (tabItens[[#This Row],[PontoMês]] * IF( OR( ISBLANK(tabItens[[#This Row],[ATA Nº/ANO]]), tabItens[[#This Row],[ATA Nº/ANO]] = ""),BE$2,BE$1)),0),0),0)</f>
        <v>0</v>
      </c>
      <c r="BF16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23">
        <f>SUMIF(Consumo!$C$3:$C$869,tabItens[[#This Row],[CÓDIGO]],Consumo!$E$3:$E$869)</f>
        <v>100</v>
      </c>
      <c r="BH164" s="324">
        <f>IF(AND(tabItens[[#This Row],[Pend]] &gt; 0,tabItens[[#This Row],[Consumo]] &lt;&gt; 0), tabItens[[#This Row],[Pend]] / tabItens[[#This Row],[Consumo]], 0 )</f>
        <v>0.32679738562091504</v>
      </c>
      <c r="BI164" s="323"/>
      <c r="BJ164" s="424"/>
      <c r="BK164" s="425" t="s">
        <v>2064</v>
      </c>
    </row>
    <row r="165" spans="1:63" hidden="1" x14ac:dyDescent="0.3">
      <c r="A165" s="286">
        <v>15271</v>
      </c>
      <c r="B165" s="287" t="s">
        <v>1086</v>
      </c>
      <c r="C165" s="288" t="s">
        <v>256</v>
      </c>
      <c r="D165" s="289">
        <v>17.16</v>
      </c>
      <c r="E165" s="290"/>
      <c r="F165" s="290"/>
      <c r="G165" s="290" t="s">
        <v>883</v>
      </c>
      <c r="H165" s="291">
        <v>263</v>
      </c>
      <c r="I165" s="292">
        <v>103003</v>
      </c>
      <c r="J165" s="293">
        <v>17.16</v>
      </c>
      <c r="K165" s="294"/>
      <c r="L165" s="295">
        <f>IF(tabItens[[#This Row],[Média]] &gt; 0, tabItens[[#This Row],[QTDE ATUAL]] / tabItens[[#This Row],[Média]],999.9)</f>
        <v>999.9</v>
      </c>
      <c r="M165" s="296">
        <v>0</v>
      </c>
      <c r="N165" s="297">
        <f>tabItens[[#This Row],[VALOR UNIT.]] * tabItens[[#This Row],[LC]]</f>
        <v>0</v>
      </c>
      <c r="O165" s="298" t="s">
        <v>2083</v>
      </c>
      <c r="P165" s="299"/>
      <c r="Q165" s="300"/>
      <c r="R165" s="297"/>
      <c r="S165" s="301"/>
      <c r="T165" s="302">
        <f>ROUNDDOWN(IFERROR(tabItens[[#This Row],[ATA DT.VALID.]] - $D$1,0) / 30,0)</f>
        <v>-1504</v>
      </c>
      <c r="U165" s="287" t="s">
        <v>1085</v>
      </c>
      <c r="V165" s="303">
        <v>1</v>
      </c>
      <c r="W165" s="304" t="s">
        <v>2055</v>
      </c>
      <c r="X165" s="305">
        <v>55</v>
      </c>
      <c r="Y165" s="306">
        <v>34</v>
      </c>
      <c r="Z165" s="307"/>
      <c r="AA165" s="308"/>
      <c r="AB165" s="309"/>
      <c r="AC165" s="309"/>
      <c r="AD165" s="308"/>
      <c r="AE165" s="309"/>
      <c r="AF165" s="302"/>
      <c r="AG165" s="310" t="s">
        <v>2050</v>
      </c>
      <c r="AH165" s="311"/>
      <c r="AI165" s="302">
        <v>0</v>
      </c>
      <c r="AJ165" s="311">
        <v>42086</v>
      </c>
      <c r="AK165" s="311" t="s">
        <v>883</v>
      </c>
      <c r="AL165" s="311">
        <v>43004</v>
      </c>
      <c r="AM165" s="301"/>
      <c r="AN165" s="290"/>
      <c r="AO165" s="312" t="str">
        <f>_xlfn.IFNA(IF(VLOOKUP(tabItens[[#This Row],[CÓDIGO]],tabExcluirDoEstoque[#Data],1,FALSE),"sim",""),"")</f>
        <v/>
      </c>
      <c r="AP165" s="313" t="str">
        <f ca="1">IF(OR(ISBLANK(tabItens[[#This Row],[ATA DT.VALID.]]),tabItens[[#This Row],[ATA DT.VALID.]]="",tabItens[[#This Row],[ATA DT.VALID.]]=" "),"",IF(TYPE(tabItens[[#This Row],[ATA DT.VALID.]])=1,ROUNDUP((tabItens[[#This Row],[ATA DT.VALID.]]-TODAY())/7,0),""))</f>
        <v/>
      </c>
      <c r="AQ165" s="314">
        <v>0</v>
      </c>
      <c r="AR165" s="315">
        <f>IF(ISBLANK(tabItens[[#This Row],[CÓDIGO]]),"",IFERROR(VLOOKUP(tabItens[[#This Row],[CÓDIGO]],Consumo!$C$2:$AC$869,26,FALSE),0))</f>
        <v>0</v>
      </c>
      <c r="AS165" s="316">
        <f>SUMIF(Consumo!$C$3:$C$869,tabItens[[#This Row],[CÓDIGO]],Consumo!$N$3:$N$869) + SUMIF(Consumo!$C$3:$C$869,tabItens[[#This Row],[CÓDIGO]],Consumo!$O$3:$O$869) + SUMIF(Consumo!$C$3:$C$869,tabItens[[#This Row],[CÓDIGO]],Consumo!$P$3:$P$869) + SUMIF(Consumo!$C$3:$C$869,tabItens[[#This Row],[CÓDIGO]],Consumo!$Q$3:$Q$869)</f>
        <v>0</v>
      </c>
      <c r="AT165" s="316">
        <f>SUMIF(Consumo!$C$3:$C$869,tabItens[[#This Row],[CÓDIGO]],Consumo!$Z$3:$Z$869)</f>
        <v>0</v>
      </c>
      <c r="AU165" s="317">
        <f>SUMIF(Consumo!$C$3:$C$869,tabItens[[#This Row],[CÓDIGO]],Consumo!$AA$3:$AA$869)</f>
        <v>0</v>
      </c>
      <c r="AV165" s="318">
        <f>SUMIF(Consumo!$C$3:$C$869,tabItens[[#This Row],[CÓDIGO]],Consumo!$Y$3:$Y$869)</f>
        <v>0</v>
      </c>
      <c r="AW165" s="291">
        <f>tabItens[[#This Row],[QTDE ATUAL]] + tabItens[[#This Row],[RC QTDE]] + tabItens[[#This Row],[AF SALDO]] + tabItens[[#This Row],[Recentes]]</f>
        <v>263</v>
      </c>
      <c r="AX165" s="319">
        <v>5</v>
      </c>
      <c r="AY165" s="319">
        <v>4</v>
      </c>
      <c r="AZ165" s="319">
        <f>IF(ISBLANK(tabItens[[#This Row],[CÓDIGO]]),"",tabItens[[#This Row],[PontoMês]] * (AZ$2+tabItens[[#This Row],[PontoQtM]]))</f>
        <v>20</v>
      </c>
      <c r="BA165" s="318">
        <f>tabItens[[#This Row],[PontoPed]] - tabItens[[#This Row],[Saldo]] + (1/10)</f>
        <v>-242.9</v>
      </c>
      <c r="BB165" s="318">
        <f xml:space="preserve"> tabItens[[#This Row],[PontoMês]] * BB$2 - tabItens[[#This Row],[QTDE ATUAL]] - (1/10)</f>
        <v>-258.10000000000002</v>
      </c>
      <c r="BC165" s="320">
        <f>IF( tabItens[[#This Row],[PontoPed]]&gt;0, IF(tabItens[[#This Row],[PontoPed]]&lt;1, 1, IF( tabItens[[#This Row],[Saldo]]&gt;tabItens[[#This Row],[PontoPed]], 0, (tabItens[[#This Row],[PontoPed]]-tabItens[[#This Row],[Saldo]])/tabItens[[#This Row],[PontoPed]] ) ), 0 )</f>
        <v>0</v>
      </c>
      <c r="BD165" s="321">
        <f>ROUNDDOWN(IF( OR( AND(tabItens[[#This Row],[PontoPed]]&lt;tabItens[[#This Row],[Saldo]],tabItens[[#This Row],[Saldo]]&gt;0), tabItens[[#This Row],[PontoPed]]=0), 99, IF(AND(tabItens[[#This Row],[Saldo]]=0,tabItens[[#This Row],[PontoPed]]&gt;0), 0, (1-tabItens[[#This Row],[PctAb]])*10 ) ),0)</f>
        <v>99</v>
      </c>
      <c r="BE165" s="322">
        <f>MAX(ROUNDDOWN( IF(tabItens[[#This Row],[Abaixo]] &gt; 0,   tabItens[[#This Row],[Abaixo]] + (tabItens[[#This Row],[PontoMês]] * IF( OR( ISBLANK(tabItens[[#This Row],[ATA Nº/ANO]]), tabItens[[#This Row],[ATA Nº/ANO]] = ""),BE$2,BE$1)),0),0),0)</f>
        <v>0</v>
      </c>
      <c r="BF16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323">
        <f>SUMIF(Consumo!$C$3:$C$869,tabItens[[#This Row],[CÓDIGO]],Consumo!$E$3:$E$869)</f>
        <v>0</v>
      </c>
      <c r="BH165" s="324">
        <f>IF(AND(tabItens[[#This Row],[Pend]] &gt; 0,tabItens[[#This Row],[Consumo]] &lt;&gt; 0), tabItens[[#This Row],[Pend]] / tabItens[[#This Row],[Consumo]], 0 )</f>
        <v>0</v>
      </c>
      <c r="BI165" s="323"/>
      <c r="BJ165" s="323"/>
      <c r="BK165" s="325" t="s">
        <v>2064</v>
      </c>
    </row>
    <row r="166" spans="1:63" hidden="1" x14ac:dyDescent="0.3">
      <c r="A166" s="286">
        <v>15465</v>
      </c>
      <c r="B166" s="287" t="s">
        <v>1091</v>
      </c>
      <c r="C166" s="288" t="s">
        <v>256</v>
      </c>
      <c r="D166" s="289">
        <v>33.25</v>
      </c>
      <c r="E166" s="290"/>
      <c r="F166" s="290"/>
      <c r="G166" s="290" t="s">
        <v>883</v>
      </c>
      <c r="H166" s="291">
        <v>135</v>
      </c>
      <c r="I166" s="292">
        <v>103003</v>
      </c>
      <c r="J166" s="293">
        <v>33.25</v>
      </c>
      <c r="K166" s="294">
        <v>34</v>
      </c>
      <c r="L166" s="295">
        <f>IF(tabItens[[#This Row],[Média]] &gt; 0, tabItens[[#This Row],[QTDE ATUAL]] / tabItens[[#This Row],[Média]],999.9)</f>
        <v>55.862068965517246</v>
      </c>
      <c r="M166" s="296">
        <v>0</v>
      </c>
      <c r="N166" s="297">
        <f>tabItens[[#This Row],[VALOR UNIT.]] * tabItens[[#This Row],[LC]]</f>
        <v>0</v>
      </c>
      <c r="O166" s="298" t="s">
        <v>2083</v>
      </c>
      <c r="P166" s="299"/>
      <c r="Q166" s="300"/>
      <c r="R166" s="297"/>
      <c r="S166" s="301"/>
      <c r="T166" s="302">
        <f>ROUNDDOWN(IFERROR(tabItens[[#This Row],[ATA DT.VALID.]] - $D$1,0) / 30,0)</f>
        <v>-1504</v>
      </c>
      <c r="U166" s="287" t="s">
        <v>1085</v>
      </c>
      <c r="V166" s="303">
        <v>1</v>
      </c>
      <c r="W166" s="304" t="s">
        <v>2055</v>
      </c>
      <c r="X166" s="305">
        <v>55</v>
      </c>
      <c r="Y166" s="306">
        <v>34</v>
      </c>
      <c r="Z166" s="307"/>
      <c r="AA166" s="308"/>
      <c r="AB166" s="309"/>
      <c r="AC166" s="309"/>
      <c r="AD166" s="308"/>
      <c r="AE166" s="309"/>
      <c r="AF166" s="302"/>
      <c r="AG166" s="310" t="s">
        <v>2050</v>
      </c>
      <c r="AH166" s="311"/>
      <c r="AI166" s="302">
        <v>12</v>
      </c>
      <c r="AJ166" s="311">
        <v>42086</v>
      </c>
      <c r="AK166" s="311" t="s">
        <v>883</v>
      </c>
      <c r="AL166" s="311">
        <v>43584</v>
      </c>
      <c r="AM166" s="301"/>
      <c r="AN166" s="290"/>
      <c r="AO166" s="312" t="str">
        <f>_xlfn.IFNA(IF(VLOOKUP(tabItens[[#This Row],[CÓDIGO]],tabExcluirDoEstoque[#Data],1,FALSE),"sim",""),"")</f>
        <v/>
      </c>
      <c r="AP166" s="313" t="str">
        <f ca="1">IF(OR(ISBLANK(tabItens[[#This Row],[ATA DT.VALID.]]),tabItens[[#This Row],[ATA DT.VALID.]]="",tabItens[[#This Row],[ATA DT.VALID.]]=" "),"",IF(TYPE(tabItens[[#This Row],[ATA DT.VALID.]])=1,ROUNDUP((tabItens[[#This Row],[ATA DT.VALID.]]-TODAY())/7,0),""))</f>
        <v/>
      </c>
      <c r="AQ166" s="314">
        <v>0</v>
      </c>
      <c r="AR166" s="315" t="str">
        <f>IF(ISBLANK(tabItens[[#This Row],[CÓDIGO]]),"",IFERROR(VLOOKUP(tabItens[[#This Row],[CÓDIGO]],Consumo!$C$2:$AC$869,26,FALSE),0))</f>
        <v>06.2023</v>
      </c>
      <c r="AS166" s="316">
        <f>SUMIF(Consumo!$C$3:$C$869,tabItens[[#This Row],[CÓDIGO]],Consumo!$N$3:$N$869) + SUMIF(Consumo!$C$3:$C$869,tabItens[[#This Row],[CÓDIGO]],Consumo!$O$3:$O$869) + SUMIF(Consumo!$C$3:$C$869,tabItens[[#This Row],[CÓDIGO]],Consumo!$P$3:$P$869) + SUMIF(Consumo!$C$3:$C$869,tabItens[[#This Row],[CÓDIGO]],Consumo!$Q$3:$Q$869)</f>
        <v>20</v>
      </c>
      <c r="AT166" s="316">
        <f>SUMIF(Consumo!$C$3:$C$869,tabItens[[#This Row],[CÓDIGO]],Consumo!$Z$3:$Z$869)</f>
        <v>34</v>
      </c>
      <c r="AU166" s="317">
        <f>SUMIF(Consumo!$C$3:$C$869,tabItens[[#This Row],[CÓDIGO]],Consumo!$AA$3:$AA$869)</f>
        <v>20</v>
      </c>
      <c r="AV166" s="318">
        <f>SUMIF(Consumo!$C$3:$C$869,tabItens[[#This Row],[CÓDIGO]],Consumo!$Y$3:$Y$869)</f>
        <v>2.4166666666666665</v>
      </c>
      <c r="AW166" s="291">
        <f>tabItens[[#This Row],[QTDE ATUAL]] + tabItens[[#This Row],[RC QTDE]] + tabItens[[#This Row],[AF SALDO]] + tabItens[[#This Row],[Recentes]]</f>
        <v>135</v>
      </c>
      <c r="AX166" s="319">
        <v>5</v>
      </c>
      <c r="AY166" s="319">
        <v>4</v>
      </c>
      <c r="AZ166" s="319">
        <f>IF(ISBLANK(tabItens[[#This Row],[CÓDIGO]]),"",tabItens[[#This Row],[PontoMês]] * (AZ$2+tabItens[[#This Row],[PontoQtM]]))</f>
        <v>20</v>
      </c>
      <c r="BA166" s="318">
        <f>tabItens[[#This Row],[PontoPed]] - tabItens[[#This Row],[Saldo]] + (1/10)</f>
        <v>-114.9</v>
      </c>
      <c r="BB166" s="318">
        <f xml:space="preserve"> tabItens[[#This Row],[PontoMês]] * BB$2 - tabItens[[#This Row],[QTDE ATUAL]] - (1/10)</f>
        <v>-130.1</v>
      </c>
      <c r="BC166" s="320">
        <f>IF( tabItens[[#This Row],[PontoPed]]&gt;0, IF(tabItens[[#This Row],[PontoPed]]&lt;1, 1, IF( tabItens[[#This Row],[Saldo]]&gt;tabItens[[#This Row],[PontoPed]], 0, (tabItens[[#This Row],[PontoPed]]-tabItens[[#This Row],[Saldo]])/tabItens[[#This Row],[PontoPed]] ) ), 0 )</f>
        <v>0</v>
      </c>
      <c r="BD166" s="321">
        <f>ROUNDDOWN(IF( OR( AND(tabItens[[#This Row],[PontoPed]]&lt;tabItens[[#This Row],[Saldo]],tabItens[[#This Row],[Saldo]]&gt;0), tabItens[[#This Row],[PontoPed]]=0), 99, IF(AND(tabItens[[#This Row],[Saldo]]=0,tabItens[[#This Row],[PontoPed]]&gt;0), 0, (1-tabItens[[#This Row],[PctAb]])*10 ) ),0)</f>
        <v>99</v>
      </c>
      <c r="BE166" s="322">
        <f>MAX(ROUNDDOWN( IF(tabItens[[#This Row],[Abaixo]] &gt; 0,   tabItens[[#This Row],[Abaixo]] + (tabItens[[#This Row],[PontoMês]] * IF( OR( ISBLANK(tabItens[[#This Row],[ATA Nº/ANO]]), tabItens[[#This Row],[ATA Nº/ANO]] = ""),BE$2,BE$1)),0),0),0)</f>
        <v>0</v>
      </c>
      <c r="BF16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323">
        <f>SUMIF(Consumo!$C$3:$C$869,tabItens[[#This Row],[CÓDIGO]],Consumo!$E$3:$E$869)</f>
        <v>0</v>
      </c>
      <c r="BH166" s="324">
        <f>IF(AND(tabItens[[#This Row],[Pend]] &gt; 0,tabItens[[#This Row],[Consumo]] &lt;&gt; 0), tabItens[[#This Row],[Pend]] / tabItens[[#This Row],[Consumo]], 0 )</f>
        <v>0</v>
      </c>
      <c r="BI166" s="323"/>
      <c r="BJ166" s="323"/>
      <c r="BK166" s="325" t="s">
        <v>2064</v>
      </c>
    </row>
    <row r="167" spans="1:63" hidden="1" x14ac:dyDescent="0.3">
      <c r="A167" s="286">
        <v>15466</v>
      </c>
      <c r="B167" s="287" t="s">
        <v>1092</v>
      </c>
      <c r="C167" s="288" t="s">
        <v>256</v>
      </c>
      <c r="D167" s="289">
        <v>2.16</v>
      </c>
      <c r="E167" s="290"/>
      <c r="F167" s="290"/>
      <c r="G167" s="290" t="s">
        <v>883</v>
      </c>
      <c r="H167" s="291">
        <v>192</v>
      </c>
      <c r="I167" s="292">
        <v>103003</v>
      </c>
      <c r="J167" s="293">
        <v>2.16</v>
      </c>
      <c r="K167" s="294">
        <v>39</v>
      </c>
      <c r="L167" s="295">
        <f>IF(tabItens[[#This Row],[Média]] &gt; 0, tabItens[[#This Row],[QTDE ATUAL]] / tabItens[[#This Row],[Média]],999.9)</f>
        <v>65.828571428571436</v>
      </c>
      <c r="M167" s="296">
        <v>0</v>
      </c>
      <c r="N167" s="297">
        <f>tabItens[[#This Row],[VALOR UNIT.]] * tabItens[[#This Row],[LC]]</f>
        <v>0</v>
      </c>
      <c r="O167" s="298" t="s">
        <v>2083</v>
      </c>
      <c r="P167" s="299"/>
      <c r="Q167" s="300"/>
      <c r="R167" s="297"/>
      <c r="S167" s="301"/>
      <c r="T167" s="302">
        <f>ROUNDDOWN(IFERROR(tabItens[[#This Row],[ATA DT.VALID.]] - $D$1,0) / 30,0)</f>
        <v>-1504</v>
      </c>
      <c r="U167" s="287" t="s">
        <v>1085</v>
      </c>
      <c r="V167" s="303">
        <v>1</v>
      </c>
      <c r="W167" s="304" t="s">
        <v>2055</v>
      </c>
      <c r="X167" s="305">
        <v>55</v>
      </c>
      <c r="Y167" s="306">
        <v>34</v>
      </c>
      <c r="Z167" s="307"/>
      <c r="AA167" s="308"/>
      <c r="AB167" s="309"/>
      <c r="AC167" s="309"/>
      <c r="AD167" s="308"/>
      <c r="AE167" s="309"/>
      <c r="AF167" s="302"/>
      <c r="AG167" s="310" t="s">
        <v>2050</v>
      </c>
      <c r="AH167" s="311"/>
      <c r="AI167" s="302">
        <v>14</v>
      </c>
      <c r="AJ167" s="311">
        <v>42076</v>
      </c>
      <c r="AK167" s="311" t="s">
        <v>883</v>
      </c>
      <c r="AL167" s="311">
        <v>42111</v>
      </c>
      <c r="AM167" s="301"/>
      <c r="AN167" s="290"/>
      <c r="AO167" s="312" t="str">
        <f>_xlfn.IFNA(IF(VLOOKUP(tabItens[[#This Row],[CÓDIGO]],tabExcluirDoEstoque[#Data],1,FALSE),"sim",""),"")</f>
        <v/>
      </c>
      <c r="AP167" s="313" t="str">
        <f ca="1">IF(OR(ISBLANK(tabItens[[#This Row],[ATA DT.VALID.]]),tabItens[[#This Row],[ATA DT.VALID.]]="",tabItens[[#This Row],[ATA DT.VALID.]]=" "),"",IF(TYPE(tabItens[[#This Row],[ATA DT.VALID.]])=1,ROUNDUP((tabItens[[#This Row],[ATA DT.VALID.]]-TODAY())/7,0),""))</f>
        <v/>
      </c>
      <c r="AQ167" s="314">
        <v>0</v>
      </c>
      <c r="AR167" s="315" t="str">
        <f>IF(ISBLANK(tabItens[[#This Row],[CÓDIGO]]),"",IFERROR(VLOOKUP(tabItens[[#This Row],[CÓDIGO]],Consumo!$C$2:$AC$869,26,FALSE),0))</f>
        <v>06.2023</v>
      </c>
      <c r="AS167" s="316">
        <f>SUMIF(Consumo!$C$3:$C$869,tabItens[[#This Row],[CÓDIGO]],Consumo!$N$3:$N$869) + SUMIF(Consumo!$C$3:$C$869,tabItens[[#This Row],[CÓDIGO]],Consumo!$O$3:$O$869) + SUMIF(Consumo!$C$3:$C$869,tabItens[[#This Row],[CÓDIGO]],Consumo!$P$3:$P$869) + SUMIF(Consumo!$C$3:$C$869,tabItens[[#This Row],[CÓDIGO]],Consumo!$Q$3:$Q$869)</f>
        <v>35</v>
      </c>
      <c r="AT167" s="316">
        <f>SUMIF(Consumo!$C$3:$C$869,tabItens[[#This Row],[CÓDIGO]],Consumo!$Z$3:$Z$869)</f>
        <v>39</v>
      </c>
      <c r="AU167" s="317">
        <f>SUMIF(Consumo!$C$3:$C$869,tabItens[[#This Row],[CÓDIGO]],Consumo!$AA$3:$AA$869)</f>
        <v>20</v>
      </c>
      <c r="AV167" s="318">
        <f>SUMIF(Consumo!$C$3:$C$869,tabItens[[#This Row],[CÓDIGO]],Consumo!$Y$3:$Y$869)</f>
        <v>2.9166666666666665</v>
      </c>
      <c r="AW167" s="291">
        <f>tabItens[[#This Row],[QTDE ATUAL]] + tabItens[[#This Row],[RC QTDE]] + tabItens[[#This Row],[AF SALDO]] + tabItens[[#This Row],[Recentes]]</f>
        <v>192</v>
      </c>
      <c r="AX167" s="319">
        <v>15</v>
      </c>
      <c r="AY167" s="319">
        <v>4</v>
      </c>
      <c r="AZ167" s="319">
        <f>IF(ISBLANK(tabItens[[#This Row],[CÓDIGO]]),"",tabItens[[#This Row],[PontoMês]] * (AZ$2+tabItens[[#This Row],[PontoQtM]]))</f>
        <v>60</v>
      </c>
      <c r="BA167" s="318">
        <f>tabItens[[#This Row],[PontoPed]] - tabItens[[#This Row],[Saldo]] + (1/10)</f>
        <v>-131.9</v>
      </c>
      <c r="BB167" s="318">
        <f xml:space="preserve"> tabItens[[#This Row],[PontoMês]] * BB$2 - tabItens[[#This Row],[QTDE ATUAL]] - (1/10)</f>
        <v>-177.1</v>
      </c>
      <c r="BC167" s="320">
        <f>IF( tabItens[[#This Row],[PontoPed]]&gt;0, IF(tabItens[[#This Row],[PontoPed]]&lt;1, 1, IF( tabItens[[#This Row],[Saldo]]&gt;tabItens[[#This Row],[PontoPed]], 0, (tabItens[[#This Row],[PontoPed]]-tabItens[[#This Row],[Saldo]])/tabItens[[#This Row],[PontoPed]] ) ), 0 )</f>
        <v>0</v>
      </c>
      <c r="BD167" s="321">
        <f>ROUNDDOWN(IF( OR( AND(tabItens[[#This Row],[PontoPed]]&lt;tabItens[[#This Row],[Saldo]],tabItens[[#This Row],[Saldo]]&gt;0), tabItens[[#This Row],[PontoPed]]=0), 99, IF(AND(tabItens[[#This Row],[Saldo]]=0,tabItens[[#This Row],[PontoPed]]&gt;0), 0, (1-tabItens[[#This Row],[PctAb]])*10 ) ),0)</f>
        <v>99</v>
      </c>
      <c r="BE167" s="322">
        <f>MAX(ROUNDDOWN( IF(tabItens[[#This Row],[Abaixo]] &gt; 0,   tabItens[[#This Row],[Abaixo]] + (tabItens[[#This Row],[PontoMês]] * IF( OR( ISBLANK(tabItens[[#This Row],[ATA Nº/ANO]]), tabItens[[#This Row],[ATA Nº/ANO]] = ""),BE$2,BE$1)),0),0),0)</f>
        <v>0</v>
      </c>
      <c r="BF1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323">
        <f>SUMIF(Consumo!$C$3:$C$869,tabItens[[#This Row],[CÓDIGO]],Consumo!$E$3:$E$869)</f>
        <v>0</v>
      </c>
      <c r="BH167" s="324">
        <f>IF(AND(tabItens[[#This Row],[Pend]] &gt; 0,tabItens[[#This Row],[Consumo]] &lt;&gt; 0), tabItens[[#This Row],[Pend]] / tabItens[[#This Row],[Consumo]], 0 )</f>
        <v>0</v>
      </c>
      <c r="BI167" s="323"/>
      <c r="BJ167" s="323"/>
      <c r="BK167" s="325" t="s">
        <v>2064</v>
      </c>
    </row>
    <row r="168" spans="1:63" hidden="1" x14ac:dyDescent="0.3">
      <c r="A168" s="286">
        <v>15473</v>
      </c>
      <c r="B168" s="287" t="s">
        <v>1095</v>
      </c>
      <c r="C168" s="288" t="s">
        <v>256</v>
      </c>
      <c r="D168" s="289">
        <v>17</v>
      </c>
      <c r="E168" s="290"/>
      <c r="F168" s="290"/>
      <c r="G168" s="290" t="s">
        <v>883</v>
      </c>
      <c r="H168" s="291">
        <v>74</v>
      </c>
      <c r="I168" s="292">
        <v>103003</v>
      </c>
      <c r="J168" s="293">
        <v>17</v>
      </c>
      <c r="K168" s="294">
        <v>24</v>
      </c>
      <c r="L168" s="295">
        <f>IF(tabItens[[#This Row],[Média]] &gt; 0, tabItens[[#This Row],[QTDE ATUAL]] / tabItens[[#This Row],[Média]],999.9)</f>
        <v>59.2</v>
      </c>
      <c r="M168" s="296">
        <v>0</v>
      </c>
      <c r="N168" s="297">
        <f>tabItens[[#This Row],[VALOR UNIT.]] * tabItens[[#This Row],[LC]]</f>
        <v>0</v>
      </c>
      <c r="O168" s="298" t="s">
        <v>2083</v>
      </c>
      <c r="P168" s="299"/>
      <c r="Q168" s="300"/>
      <c r="R168" s="297"/>
      <c r="S168" s="301"/>
      <c r="T168" s="302">
        <f>ROUNDDOWN(IFERROR(tabItens[[#This Row],[ATA DT.VALID.]] - $D$1,0) / 30,0)</f>
        <v>-1504</v>
      </c>
      <c r="U168" s="287" t="s">
        <v>1085</v>
      </c>
      <c r="V168" s="303">
        <v>1</v>
      </c>
      <c r="W168" s="304" t="s">
        <v>2055</v>
      </c>
      <c r="X168" s="305">
        <v>55</v>
      </c>
      <c r="Y168" s="306">
        <v>34</v>
      </c>
      <c r="Z168" s="307"/>
      <c r="AA168" s="308"/>
      <c r="AB168" s="309"/>
      <c r="AC168" s="309"/>
      <c r="AD168" s="308"/>
      <c r="AE168" s="309"/>
      <c r="AF168" s="302"/>
      <c r="AG168" s="310" t="s">
        <v>2050</v>
      </c>
      <c r="AH168" s="311"/>
      <c r="AI168" s="302">
        <v>0</v>
      </c>
      <c r="AJ168" s="311">
        <v>42076</v>
      </c>
      <c r="AK168" s="311" t="s">
        <v>883</v>
      </c>
      <c r="AL168" s="311">
        <v>44146</v>
      </c>
      <c r="AM168" s="301"/>
      <c r="AN168" s="290"/>
      <c r="AO168" s="312" t="str">
        <f>_xlfn.IFNA(IF(VLOOKUP(tabItens[[#This Row],[CÓDIGO]],tabExcluirDoEstoque[#Data],1,FALSE),"sim",""),"")</f>
        <v/>
      </c>
      <c r="AP168" s="313" t="str">
        <f ca="1">IF(OR(ISBLANK(tabItens[[#This Row],[ATA DT.VALID.]]),tabItens[[#This Row],[ATA DT.VALID.]]="",tabItens[[#This Row],[ATA DT.VALID.]]=" "),"",IF(TYPE(tabItens[[#This Row],[ATA DT.VALID.]])=1,ROUNDUP((tabItens[[#This Row],[ATA DT.VALID.]]-TODAY())/7,0),""))</f>
        <v/>
      </c>
      <c r="AQ168" s="314">
        <v>0</v>
      </c>
      <c r="AR168" s="315" t="str">
        <f>IF(ISBLANK(tabItens[[#This Row],[CÓDIGO]]),"",IFERROR(VLOOKUP(tabItens[[#This Row],[CÓDIGO]],Consumo!$C$2:$AC$869,26,FALSE),0))</f>
        <v>06.2023</v>
      </c>
      <c r="AS168" s="316">
        <f>SUMIF(Consumo!$C$3:$C$869,tabItens[[#This Row],[CÓDIGO]],Consumo!$N$3:$N$869) + SUMIF(Consumo!$C$3:$C$869,tabItens[[#This Row],[CÓDIGO]],Consumo!$O$3:$O$869) + SUMIF(Consumo!$C$3:$C$869,tabItens[[#This Row],[CÓDIGO]],Consumo!$P$3:$P$869) + SUMIF(Consumo!$C$3:$C$869,tabItens[[#This Row],[CÓDIGO]],Consumo!$Q$3:$Q$869)</f>
        <v>24</v>
      </c>
      <c r="AT168" s="316">
        <f>SUMIF(Consumo!$C$3:$C$869,tabItens[[#This Row],[CÓDIGO]],Consumo!$Z$3:$Z$869)</f>
        <v>24</v>
      </c>
      <c r="AU168" s="317">
        <f>SUMIF(Consumo!$C$3:$C$869,tabItens[[#This Row],[CÓDIGO]],Consumo!$AA$3:$AA$869)</f>
        <v>24</v>
      </c>
      <c r="AV168" s="318">
        <f>SUMIF(Consumo!$C$3:$C$869,tabItens[[#This Row],[CÓDIGO]],Consumo!$Y$3:$Y$869)</f>
        <v>1.25</v>
      </c>
      <c r="AW168" s="291">
        <f>tabItens[[#This Row],[QTDE ATUAL]] + tabItens[[#This Row],[RC QTDE]] + tabItens[[#This Row],[AF SALDO]] + tabItens[[#This Row],[Recentes]]</f>
        <v>74</v>
      </c>
      <c r="AX168" s="319">
        <v>5</v>
      </c>
      <c r="AY168" s="319">
        <v>4</v>
      </c>
      <c r="AZ168" s="319">
        <f>IF(ISBLANK(tabItens[[#This Row],[CÓDIGO]]),"",tabItens[[#This Row],[PontoMês]] * (AZ$2+tabItens[[#This Row],[PontoQtM]]))</f>
        <v>20</v>
      </c>
      <c r="BA168" s="318">
        <f>tabItens[[#This Row],[PontoPed]] - tabItens[[#This Row],[Saldo]] + (1/10)</f>
        <v>-53.9</v>
      </c>
      <c r="BB168" s="318">
        <f xml:space="preserve"> tabItens[[#This Row],[PontoMês]] * BB$2 - tabItens[[#This Row],[QTDE ATUAL]] - (1/10)</f>
        <v>-69.099999999999994</v>
      </c>
      <c r="BC168" s="320">
        <f>IF( tabItens[[#This Row],[PontoPed]]&gt;0, IF(tabItens[[#This Row],[PontoPed]]&lt;1, 1, IF( tabItens[[#This Row],[Saldo]]&gt;tabItens[[#This Row],[PontoPed]], 0, (tabItens[[#This Row],[PontoPed]]-tabItens[[#This Row],[Saldo]])/tabItens[[#This Row],[PontoPed]] ) ), 0 )</f>
        <v>0</v>
      </c>
      <c r="BD168" s="321">
        <f>ROUNDDOWN(IF( OR( AND(tabItens[[#This Row],[PontoPed]]&lt;tabItens[[#This Row],[Saldo]],tabItens[[#This Row],[Saldo]]&gt;0), tabItens[[#This Row],[PontoPed]]=0), 99, IF(AND(tabItens[[#This Row],[Saldo]]=0,tabItens[[#This Row],[PontoPed]]&gt;0), 0, (1-tabItens[[#This Row],[PctAb]])*10 ) ),0)</f>
        <v>99</v>
      </c>
      <c r="BE168" s="322">
        <f>MAX(ROUNDDOWN( IF(tabItens[[#This Row],[Abaixo]] &gt; 0,   tabItens[[#This Row],[Abaixo]] + (tabItens[[#This Row],[PontoMês]] * IF( OR( ISBLANK(tabItens[[#This Row],[ATA Nº/ANO]]), tabItens[[#This Row],[ATA Nº/ANO]] = ""),BE$2,BE$1)),0),0),0)</f>
        <v>0</v>
      </c>
      <c r="BF1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323">
        <f>SUMIF(Consumo!$C$3:$C$869,tabItens[[#This Row],[CÓDIGO]],Consumo!$E$3:$E$869)</f>
        <v>0</v>
      </c>
      <c r="BH168" s="324">
        <f>IF(AND(tabItens[[#This Row],[Pend]] &gt; 0,tabItens[[#This Row],[Consumo]] &lt;&gt; 0), tabItens[[#This Row],[Pend]] / tabItens[[#This Row],[Consumo]], 0 )</f>
        <v>0</v>
      </c>
      <c r="BI168" s="323"/>
      <c r="BJ168" s="323"/>
      <c r="BK168" s="325" t="s">
        <v>2064</v>
      </c>
    </row>
    <row r="169" spans="1:63" hidden="1" x14ac:dyDescent="0.3">
      <c r="A169" s="286">
        <v>77493</v>
      </c>
      <c r="B169" s="287" t="s">
        <v>1417</v>
      </c>
      <c r="C169" s="288" t="s">
        <v>256</v>
      </c>
      <c r="D169" s="289">
        <v>13.51</v>
      </c>
      <c r="E169" s="290"/>
      <c r="F169" s="290"/>
      <c r="G169" s="290" t="s">
        <v>883</v>
      </c>
      <c r="H169" s="291">
        <v>131</v>
      </c>
      <c r="I169" s="292">
        <v>103003</v>
      </c>
      <c r="J169" s="293">
        <v>13.51</v>
      </c>
      <c r="K169" s="294">
        <v>24</v>
      </c>
      <c r="L169" s="295">
        <f>IF(tabItens[[#This Row],[Média]] &gt; 0, tabItens[[#This Row],[QTDE ATUAL]] / tabItens[[#This Row],[Média]],999.9)</f>
        <v>92.470588235294116</v>
      </c>
      <c r="M169" s="296">
        <v>0</v>
      </c>
      <c r="N169" s="297">
        <f>tabItens[[#This Row],[VALOR UNIT.]] * tabItens[[#This Row],[LC]]</f>
        <v>0</v>
      </c>
      <c r="O169" s="298" t="s">
        <v>2083</v>
      </c>
      <c r="P169" s="299"/>
      <c r="Q169" s="300"/>
      <c r="R169" s="297"/>
      <c r="S169" s="301"/>
      <c r="T169" s="302">
        <f>ROUNDDOWN(IFERROR(tabItens[[#This Row],[ATA DT.VALID.]] - $D$1,0) / 30,0)</f>
        <v>-1504</v>
      </c>
      <c r="U169" s="287" t="s">
        <v>1085</v>
      </c>
      <c r="V169" s="303">
        <v>1</v>
      </c>
      <c r="W169" s="304" t="s">
        <v>2055</v>
      </c>
      <c r="X169" s="305">
        <v>55</v>
      </c>
      <c r="Y169" s="306">
        <v>34</v>
      </c>
      <c r="Z169" s="307"/>
      <c r="AA169" s="308"/>
      <c r="AB169" s="309"/>
      <c r="AC169" s="309"/>
      <c r="AD169" s="308"/>
      <c r="AE169" s="309"/>
      <c r="AF169" s="302"/>
      <c r="AG169" s="310" t="s">
        <v>2050</v>
      </c>
      <c r="AH169" s="311"/>
      <c r="AI169" s="302">
        <v>10</v>
      </c>
      <c r="AJ169" s="311">
        <v>42101</v>
      </c>
      <c r="AK169" s="311">
        <v>38054</v>
      </c>
      <c r="AL169" s="311">
        <v>42894</v>
      </c>
      <c r="AM169" s="301"/>
      <c r="AN169" s="290"/>
      <c r="AO169" s="312" t="str">
        <f>_xlfn.IFNA(IF(VLOOKUP(tabItens[[#This Row],[CÓDIGO]],tabExcluirDoEstoque[#Data],1,FALSE),"sim",""),"")</f>
        <v/>
      </c>
      <c r="AP169" s="313" t="str">
        <f ca="1">IF(OR(ISBLANK(tabItens[[#This Row],[ATA DT.VALID.]]),tabItens[[#This Row],[ATA DT.VALID.]]="",tabItens[[#This Row],[ATA DT.VALID.]]=" "),"",IF(TYPE(tabItens[[#This Row],[ATA DT.VALID.]])=1,ROUNDUP((tabItens[[#This Row],[ATA DT.VALID.]]-TODAY())/7,0),""))</f>
        <v/>
      </c>
      <c r="AQ169" s="314">
        <v>0</v>
      </c>
      <c r="AR169" s="315" t="str">
        <f>IF(ISBLANK(tabItens[[#This Row],[CÓDIGO]]),"",IFERROR(VLOOKUP(tabItens[[#This Row],[CÓDIGO]],Consumo!$C$2:$AC$869,26,FALSE),0))</f>
        <v>06.2023</v>
      </c>
      <c r="AS169" s="316">
        <f>SUMIF(Consumo!$C$3:$C$869,tabItens[[#This Row],[CÓDIGO]],Consumo!$N$3:$N$869) + SUMIF(Consumo!$C$3:$C$869,tabItens[[#This Row],[CÓDIGO]],Consumo!$O$3:$O$869) + SUMIF(Consumo!$C$3:$C$869,tabItens[[#This Row],[CÓDIGO]],Consumo!$P$3:$P$869) + SUMIF(Consumo!$C$3:$C$869,tabItens[[#This Row],[CÓDIGO]],Consumo!$Q$3:$Q$869)</f>
        <v>20</v>
      </c>
      <c r="AT169" s="316">
        <f>SUMIF(Consumo!$C$3:$C$869,tabItens[[#This Row],[CÓDIGO]],Consumo!$Z$3:$Z$869)</f>
        <v>24</v>
      </c>
      <c r="AU169" s="317">
        <f>SUMIF(Consumo!$C$3:$C$869,tabItens[[#This Row],[CÓDIGO]],Consumo!$AA$3:$AA$869)</f>
        <v>20</v>
      </c>
      <c r="AV169" s="318">
        <f>SUMIF(Consumo!$C$3:$C$869,tabItens[[#This Row],[CÓDIGO]],Consumo!$Y$3:$Y$869)</f>
        <v>1.4166666666666667</v>
      </c>
      <c r="AW169" s="291">
        <f>tabItens[[#This Row],[QTDE ATUAL]] + tabItens[[#This Row],[RC QTDE]] + tabItens[[#This Row],[AF SALDO]] + tabItens[[#This Row],[Recentes]]</f>
        <v>131</v>
      </c>
      <c r="AX169" s="319">
        <v>2</v>
      </c>
      <c r="AY169" s="319">
        <v>4</v>
      </c>
      <c r="AZ169" s="319">
        <f>IF(ISBLANK(tabItens[[#This Row],[CÓDIGO]]),"",tabItens[[#This Row],[PontoMês]] * (AZ$2+tabItens[[#This Row],[PontoQtM]]))</f>
        <v>8</v>
      </c>
      <c r="BA169" s="318">
        <f>tabItens[[#This Row],[PontoPed]] - tabItens[[#This Row],[Saldo]] + (1/10)</f>
        <v>-122.9</v>
      </c>
      <c r="BB169" s="318">
        <f xml:space="preserve"> tabItens[[#This Row],[PontoMês]] * BB$2 - tabItens[[#This Row],[QTDE ATUAL]] - (1/10)</f>
        <v>-129.1</v>
      </c>
      <c r="BC169" s="320">
        <f>IF( tabItens[[#This Row],[PontoPed]]&gt;0, IF(tabItens[[#This Row],[PontoPed]]&lt;1, 1, IF( tabItens[[#This Row],[Saldo]]&gt;tabItens[[#This Row],[PontoPed]], 0, (tabItens[[#This Row],[PontoPed]]-tabItens[[#This Row],[Saldo]])/tabItens[[#This Row],[PontoPed]] ) ), 0 )</f>
        <v>0</v>
      </c>
      <c r="BD169" s="321">
        <f>ROUNDDOWN(IF( OR( AND(tabItens[[#This Row],[PontoPed]]&lt;tabItens[[#This Row],[Saldo]],tabItens[[#This Row],[Saldo]]&gt;0), tabItens[[#This Row],[PontoPed]]=0), 99, IF(AND(tabItens[[#This Row],[Saldo]]=0,tabItens[[#This Row],[PontoPed]]&gt;0), 0, (1-tabItens[[#This Row],[PctAb]])*10 ) ),0)</f>
        <v>99</v>
      </c>
      <c r="BE169" s="322">
        <f>MAX(ROUNDDOWN( IF(tabItens[[#This Row],[Abaixo]] &gt; 0,   tabItens[[#This Row],[Abaixo]] + (tabItens[[#This Row],[PontoMês]] * IF( OR( ISBLANK(tabItens[[#This Row],[ATA Nº/ANO]]), tabItens[[#This Row],[ATA Nº/ANO]] = ""),BE$2,BE$1)),0),0),0)</f>
        <v>0</v>
      </c>
      <c r="BF1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23">
        <f>SUMIF(Consumo!$C$3:$C$869,tabItens[[#This Row],[CÓDIGO]],Consumo!$E$3:$E$869)</f>
        <v>0</v>
      </c>
      <c r="BH169" s="324">
        <f>IF(AND(tabItens[[#This Row],[Pend]] &gt; 0,tabItens[[#This Row],[Consumo]] &lt;&gt; 0), tabItens[[#This Row],[Pend]] / tabItens[[#This Row],[Consumo]], 0 )</f>
        <v>0</v>
      </c>
      <c r="BI169" s="323"/>
      <c r="BJ169" s="323"/>
      <c r="BK169" s="325" t="s">
        <v>2064</v>
      </c>
    </row>
    <row r="170" spans="1:63" hidden="1" x14ac:dyDescent="0.3">
      <c r="A170" s="286">
        <v>15475</v>
      </c>
      <c r="B170" s="287" t="s">
        <v>1096</v>
      </c>
      <c r="C170" s="288" t="s">
        <v>256</v>
      </c>
      <c r="D170" s="289">
        <v>23.5</v>
      </c>
      <c r="E170" s="290"/>
      <c r="F170" s="290"/>
      <c r="G170" s="290" t="s">
        <v>883</v>
      </c>
      <c r="H170" s="291">
        <v>132</v>
      </c>
      <c r="I170" s="292">
        <v>103003</v>
      </c>
      <c r="J170" s="293">
        <v>23.5</v>
      </c>
      <c r="K170" s="294">
        <v>30</v>
      </c>
      <c r="L170" s="295">
        <f>IF(tabItens[[#This Row],[Média]] &gt; 0, tabItens[[#This Row],[QTDE ATUAL]] / tabItens[[#This Row],[Média]],999.9)</f>
        <v>66</v>
      </c>
      <c r="M170" s="296">
        <v>0</v>
      </c>
      <c r="N170" s="297">
        <f>tabItens[[#This Row],[VALOR UNIT.]] * tabItens[[#This Row],[LC]]</f>
        <v>0</v>
      </c>
      <c r="O170" s="298" t="s">
        <v>2102</v>
      </c>
      <c r="P170" s="299"/>
      <c r="Q170" s="300"/>
      <c r="R170" s="297"/>
      <c r="S170" s="301"/>
      <c r="T170" s="302">
        <f>ROUNDDOWN(IFERROR(tabItens[[#This Row],[ATA DT.VALID.]] - $D$1,0) / 30,0)</f>
        <v>-1504</v>
      </c>
      <c r="U170" s="287" t="s">
        <v>1085</v>
      </c>
      <c r="V170" s="303">
        <v>1</v>
      </c>
      <c r="W170" s="304" t="s">
        <v>2055</v>
      </c>
      <c r="X170" s="305">
        <v>55</v>
      </c>
      <c r="Y170" s="306">
        <v>34</v>
      </c>
      <c r="Z170" s="307"/>
      <c r="AA170" s="308"/>
      <c r="AB170" s="309"/>
      <c r="AC170" s="309"/>
      <c r="AD170" s="308"/>
      <c r="AE170" s="309"/>
      <c r="AF170" s="302"/>
      <c r="AG170" s="310" t="s">
        <v>2050</v>
      </c>
      <c r="AH170" s="311"/>
      <c r="AI170" s="302">
        <v>0</v>
      </c>
      <c r="AJ170" s="311">
        <v>42076</v>
      </c>
      <c r="AK170" s="311" t="s">
        <v>883</v>
      </c>
      <c r="AL170" s="311">
        <v>44155</v>
      </c>
      <c r="AM170" s="301"/>
      <c r="AN170" s="290"/>
      <c r="AO170" s="312" t="str">
        <f>_xlfn.IFNA(IF(VLOOKUP(tabItens[[#This Row],[CÓDIGO]],tabExcluirDoEstoque[#Data],1,FALSE),"sim",""),"")</f>
        <v/>
      </c>
      <c r="AP170" s="313" t="str">
        <f ca="1">IF(OR(ISBLANK(tabItens[[#This Row],[ATA DT.VALID.]]),tabItens[[#This Row],[ATA DT.VALID.]]="",tabItens[[#This Row],[ATA DT.VALID.]]=" "),"",IF(TYPE(tabItens[[#This Row],[ATA DT.VALID.]])=1,ROUNDUP((tabItens[[#This Row],[ATA DT.VALID.]]-TODAY())/7,0),""))</f>
        <v/>
      </c>
      <c r="AQ170" s="314">
        <v>0</v>
      </c>
      <c r="AR170" s="315" t="str">
        <f>IF(ISBLANK(tabItens[[#This Row],[CÓDIGO]]),"",IFERROR(VLOOKUP(tabItens[[#This Row],[CÓDIGO]],Consumo!$C$2:$AC$869,26,FALSE),0))</f>
        <v>07.2023</v>
      </c>
      <c r="AS170" s="316">
        <f>SUMIF(Consumo!$C$3:$C$869,tabItens[[#This Row],[CÓDIGO]],Consumo!$N$3:$N$869) + SUMIF(Consumo!$C$3:$C$869,tabItens[[#This Row],[CÓDIGO]],Consumo!$O$3:$O$869) + SUMIF(Consumo!$C$3:$C$869,tabItens[[#This Row],[CÓDIGO]],Consumo!$P$3:$P$869) + SUMIF(Consumo!$C$3:$C$869,tabItens[[#This Row],[CÓDIGO]],Consumo!$Q$3:$Q$869)</f>
        <v>30</v>
      </c>
      <c r="AT170" s="316">
        <f>SUMIF(Consumo!$C$3:$C$869,tabItens[[#This Row],[CÓDIGO]],Consumo!$Z$3:$Z$869)</f>
        <v>30</v>
      </c>
      <c r="AU170" s="317">
        <f>SUMIF(Consumo!$C$3:$C$869,tabItens[[#This Row],[CÓDIGO]],Consumo!$AA$3:$AA$869)</f>
        <v>20</v>
      </c>
      <c r="AV170" s="318">
        <f>SUMIF(Consumo!$C$3:$C$869,tabItens[[#This Row],[CÓDIGO]],Consumo!$Y$3:$Y$869)</f>
        <v>2</v>
      </c>
      <c r="AW170" s="291">
        <f>tabItens[[#This Row],[QTDE ATUAL]] + tabItens[[#This Row],[RC QTDE]] + tabItens[[#This Row],[AF SALDO]] + tabItens[[#This Row],[Recentes]]</f>
        <v>132</v>
      </c>
      <c r="AX170" s="319">
        <v>2</v>
      </c>
      <c r="AY170" s="319">
        <v>4</v>
      </c>
      <c r="AZ170" s="319">
        <f>IF(ISBLANK(tabItens[[#This Row],[CÓDIGO]]),"",tabItens[[#This Row],[PontoMês]] * (AZ$2+tabItens[[#This Row],[PontoQtM]]))</f>
        <v>8</v>
      </c>
      <c r="BA170" s="318">
        <f>tabItens[[#This Row],[PontoPed]] - tabItens[[#This Row],[Saldo]] + (1/10)</f>
        <v>-123.9</v>
      </c>
      <c r="BB170" s="318">
        <f xml:space="preserve"> tabItens[[#This Row],[PontoMês]] * BB$2 - tabItens[[#This Row],[QTDE ATUAL]] - (1/10)</f>
        <v>-130.1</v>
      </c>
      <c r="BC170" s="320">
        <f>IF( tabItens[[#This Row],[PontoPed]]&gt;0, IF(tabItens[[#This Row],[PontoPed]]&lt;1, 1, IF( tabItens[[#This Row],[Saldo]]&gt;tabItens[[#This Row],[PontoPed]], 0, (tabItens[[#This Row],[PontoPed]]-tabItens[[#This Row],[Saldo]])/tabItens[[#This Row],[PontoPed]] ) ), 0 )</f>
        <v>0</v>
      </c>
      <c r="BD170" s="321">
        <f>ROUNDDOWN(IF( OR( AND(tabItens[[#This Row],[PontoPed]]&lt;tabItens[[#This Row],[Saldo]],tabItens[[#This Row],[Saldo]]&gt;0), tabItens[[#This Row],[PontoPed]]=0), 99, IF(AND(tabItens[[#This Row],[Saldo]]=0,tabItens[[#This Row],[PontoPed]]&gt;0), 0, (1-tabItens[[#This Row],[PctAb]])*10 ) ),0)</f>
        <v>99</v>
      </c>
      <c r="BE170" s="322">
        <f>MAX(ROUNDDOWN( IF(tabItens[[#This Row],[Abaixo]] &gt; 0,   tabItens[[#This Row],[Abaixo]] + (tabItens[[#This Row],[PontoMês]] * IF( OR( ISBLANK(tabItens[[#This Row],[ATA Nº/ANO]]), tabItens[[#This Row],[ATA Nº/ANO]] = ""),BE$2,BE$1)),0),0),0)</f>
        <v>0</v>
      </c>
      <c r="BF1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23">
        <f>SUMIF(Consumo!$C$3:$C$869,tabItens[[#This Row],[CÓDIGO]],Consumo!$E$3:$E$869)</f>
        <v>0</v>
      </c>
      <c r="BH170" s="324">
        <f>IF(AND(tabItens[[#This Row],[Pend]] &gt; 0,tabItens[[#This Row],[Consumo]] &lt;&gt; 0), tabItens[[#This Row],[Pend]] / tabItens[[#This Row],[Consumo]], 0 )</f>
        <v>0</v>
      </c>
      <c r="BI170" s="323"/>
      <c r="BJ170" s="323"/>
      <c r="BK170" s="325" t="s">
        <v>2064</v>
      </c>
    </row>
    <row r="171" spans="1:63" hidden="1" x14ac:dyDescent="0.3">
      <c r="A171" s="286">
        <v>76806</v>
      </c>
      <c r="B171" s="287" t="s">
        <v>1414</v>
      </c>
      <c r="C171" s="288" t="s">
        <v>294</v>
      </c>
      <c r="D171" s="289">
        <v>63.5</v>
      </c>
      <c r="E171" s="290"/>
      <c r="F171" s="290"/>
      <c r="G171" s="290" t="s">
        <v>883</v>
      </c>
      <c r="H171" s="291">
        <v>178</v>
      </c>
      <c r="I171" s="292">
        <v>103003</v>
      </c>
      <c r="J171" s="293">
        <v>63.5</v>
      </c>
      <c r="K171" s="294">
        <v>257</v>
      </c>
      <c r="L171" s="295">
        <f>IF(tabItens[[#This Row],[Média]] &gt; 0, tabItens[[#This Row],[QTDE ATUAL]] / tabItens[[#This Row],[Média]],999.9)</f>
        <v>7.52112676056338</v>
      </c>
      <c r="M171" s="296">
        <v>0</v>
      </c>
      <c r="N171" s="297">
        <f>tabItens[[#This Row],[VALOR UNIT.]] * tabItens[[#This Row],[LC]]</f>
        <v>0</v>
      </c>
      <c r="O171" s="298" t="s">
        <v>2137</v>
      </c>
      <c r="P171" s="299"/>
      <c r="Q171" s="300"/>
      <c r="R171" s="297"/>
      <c r="S171" s="301"/>
      <c r="T171" s="302">
        <f>ROUNDDOWN(IFERROR(tabItens[[#This Row],[ATA DT.VALID.]] - $D$1,0) / 30,0)</f>
        <v>-1504</v>
      </c>
      <c r="U171" s="287" t="s">
        <v>1332</v>
      </c>
      <c r="V171" s="303">
        <v>1</v>
      </c>
      <c r="W171" s="304" t="s">
        <v>2055</v>
      </c>
      <c r="X171" s="305">
        <v>69</v>
      </c>
      <c r="Y171" s="306">
        <v>2</v>
      </c>
      <c r="Z171" s="307">
        <v>2975</v>
      </c>
      <c r="AA171" s="308">
        <v>2023</v>
      </c>
      <c r="AB171" s="309">
        <v>50</v>
      </c>
      <c r="AC171" s="309"/>
      <c r="AD171" s="308"/>
      <c r="AE171" s="309"/>
      <c r="AF171" s="302"/>
      <c r="AG171" s="310" t="s">
        <v>2050</v>
      </c>
      <c r="AH171" s="311"/>
      <c r="AI171" s="302">
        <v>98</v>
      </c>
      <c r="AJ171" s="311">
        <v>44637</v>
      </c>
      <c r="AK171" s="311">
        <v>38014</v>
      </c>
      <c r="AL171" s="311">
        <v>44616</v>
      </c>
      <c r="AM171" s="301"/>
      <c r="AN171" s="290"/>
      <c r="AO171" s="312" t="str">
        <f>_xlfn.IFNA(IF(VLOOKUP(tabItens[[#This Row],[CÓDIGO]],tabExcluirDoEstoque[#Data],1,FALSE),"sim",""),"")</f>
        <v/>
      </c>
      <c r="AP171" s="313" t="str">
        <f ca="1">IF(OR(ISBLANK(tabItens[[#This Row],[ATA DT.VALID.]]),tabItens[[#This Row],[ATA DT.VALID.]]="",tabItens[[#This Row],[ATA DT.VALID.]]=" "),"",IF(TYPE(tabItens[[#This Row],[ATA DT.VALID.]])=1,ROUNDUP((tabItens[[#This Row],[ATA DT.VALID.]]-TODAY())/7,0),""))</f>
        <v/>
      </c>
      <c r="AQ171" s="314">
        <v>0</v>
      </c>
      <c r="AR171" s="315" t="str">
        <f>IF(ISBLANK(tabItens[[#This Row],[CÓDIGO]]),"",IFERROR(VLOOKUP(tabItens[[#This Row],[CÓDIGO]],Consumo!$C$2:$AC$869,26,FALSE),0))</f>
        <v>07.2023</v>
      </c>
      <c r="AS171" s="316">
        <f>SUMIF(Consumo!$C$3:$C$869,tabItens[[#This Row],[CÓDIGO]],Consumo!$N$3:$N$869) + SUMIF(Consumo!$C$3:$C$869,tabItens[[#This Row],[CÓDIGO]],Consumo!$O$3:$O$869) + SUMIF(Consumo!$C$3:$C$869,tabItens[[#This Row],[CÓDIGO]],Consumo!$P$3:$P$869) + SUMIF(Consumo!$C$3:$C$869,tabItens[[#This Row],[CÓDIGO]],Consumo!$Q$3:$Q$869)</f>
        <v>44</v>
      </c>
      <c r="AT171" s="316">
        <f>SUMIF(Consumo!$C$3:$C$869,tabItens[[#This Row],[CÓDIGO]],Consumo!$Z$3:$Z$869)</f>
        <v>296</v>
      </c>
      <c r="AU171" s="317">
        <f>SUMIF(Consumo!$C$3:$C$869,tabItens[[#This Row],[CÓDIGO]],Consumo!$AA$3:$AA$869)</f>
        <v>89</v>
      </c>
      <c r="AV171" s="318">
        <f>SUMIF(Consumo!$C$3:$C$869,tabItens[[#This Row],[CÓDIGO]],Consumo!$Y$3:$Y$869)</f>
        <v>23.666666666666668</v>
      </c>
      <c r="AW171" s="291">
        <f>tabItens[[#This Row],[QTDE ATUAL]] + tabItens[[#This Row],[RC QTDE]] + tabItens[[#This Row],[AF SALDO]] + tabItens[[#This Row],[Recentes]]</f>
        <v>228</v>
      </c>
      <c r="AX171" s="319">
        <v>20</v>
      </c>
      <c r="AY171" s="319">
        <v>4</v>
      </c>
      <c r="AZ171" s="319">
        <f>IF(ISBLANK(tabItens[[#This Row],[CÓDIGO]]),"",tabItens[[#This Row],[PontoMês]] * (AZ$2+tabItens[[#This Row],[PontoQtM]]))</f>
        <v>80</v>
      </c>
      <c r="BA171" s="318">
        <f>tabItens[[#This Row],[PontoPed]] - tabItens[[#This Row],[Saldo]] + (1/10)</f>
        <v>-147.9</v>
      </c>
      <c r="BB171" s="318">
        <f xml:space="preserve"> tabItens[[#This Row],[PontoMês]] * BB$2 - tabItens[[#This Row],[QTDE ATUAL]] - (1/10)</f>
        <v>-158.1</v>
      </c>
      <c r="BC171" s="320">
        <f>IF( tabItens[[#This Row],[PontoPed]]&gt;0, IF(tabItens[[#This Row],[PontoPed]]&lt;1, 1, IF( tabItens[[#This Row],[Saldo]]&gt;tabItens[[#This Row],[PontoPed]], 0, (tabItens[[#This Row],[PontoPed]]-tabItens[[#This Row],[Saldo]])/tabItens[[#This Row],[PontoPed]] ) ), 0 )</f>
        <v>0</v>
      </c>
      <c r="BD171" s="321">
        <f>ROUNDDOWN(IF( OR( AND(tabItens[[#This Row],[PontoPed]]&lt;tabItens[[#This Row],[Saldo]],tabItens[[#This Row],[Saldo]]&gt;0), tabItens[[#This Row],[PontoPed]]=0), 99, IF(AND(tabItens[[#This Row],[Saldo]]=0,tabItens[[#This Row],[PontoPed]]&gt;0), 0, (1-tabItens[[#This Row],[PctAb]])*10 ) ),0)</f>
        <v>99</v>
      </c>
      <c r="BE171" s="322">
        <f>MAX(ROUNDDOWN( IF(tabItens[[#This Row],[Abaixo]] &gt; 0,   tabItens[[#This Row],[Abaixo]] + (tabItens[[#This Row],[PontoMês]] * IF( OR( ISBLANK(tabItens[[#This Row],[ATA Nº/ANO]]), tabItens[[#This Row],[ATA Nº/ANO]] = ""),BE$2,BE$1)),0),0),0)</f>
        <v>0</v>
      </c>
      <c r="BF17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23">
        <f>SUMIF(Consumo!$C$3:$C$869,tabItens[[#This Row],[CÓDIGO]],Consumo!$E$3:$E$869)</f>
        <v>0</v>
      </c>
      <c r="BH171" s="324">
        <f>IF(AND(tabItens[[#This Row],[Pend]] &gt; 0,tabItens[[#This Row],[Consumo]] &lt;&gt; 0), tabItens[[#This Row],[Pend]] / tabItens[[#This Row],[Consumo]], 0 )</f>
        <v>0</v>
      </c>
      <c r="BI171" s="323"/>
      <c r="BJ171" s="323"/>
      <c r="BK171" s="325" t="s">
        <v>2064</v>
      </c>
    </row>
    <row r="172" spans="1:63" hidden="1" x14ac:dyDescent="0.3">
      <c r="A172" s="286">
        <v>15464</v>
      </c>
      <c r="B172" s="287" t="s">
        <v>1086</v>
      </c>
      <c r="C172" s="288" t="s">
        <v>256</v>
      </c>
      <c r="D172" s="289">
        <v>8.8000000000000007</v>
      </c>
      <c r="E172" s="290"/>
      <c r="F172" s="290"/>
      <c r="G172" s="290" t="s">
        <v>883</v>
      </c>
      <c r="H172" s="291">
        <v>185</v>
      </c>
      <c r="I172" s="292">
        <v>103003</v>
      </c>
      <c r="J172" s="293">
        <v>8.8000000000000007</v>
      </c>
      <c r="K172" s="294"/>
      <c r="L172" s="295">
        <f>IF(tabItens[[#This Row],[Média]] &gt; 0, tabItens[[#This Row],[QTDE ATUAL]] / tabItens[[#This Row],[Média]],999.9)</f>
        <v>999.9</v>
      </c>
      <c r="M172" s="296">
        <v>0</v>
      </c>
      <c r="N172" s="297">
        <f>tabItens[[#This Row],[VALOR UNIT.]] * tabItens[[#This Row],[LC]]</f>
        <v>0</v>
      </c>
      <c r="O172" s="298" t="s">
        <v>2101</v>
      </c>
      <c r="P172" s="299"/>
      <c r="Q172" s="300"/>
      <c r="R172" s="297"/>
      <c r="S172" s="301"/>
      <c r="T172" s="302">
        <f>ROUNDDOWN(IFERROR(tabItens[[#This Row],[ATA DT.VALID.]] - $D$1,0) / 30,0)</f>
        <v>-1504</v>
      </c>
      <c r="U172" s="287" t="s">
        <v>1085</v>
      </c>
      <c r="V172" s="303">
        <v>1</v>
      </c>
      <c r="W172" s="304" t="s">
        <v>2055</v>
      </c>
      <c r="X172" s="305">
        <v>55</v>
      </c>
      <c r="Y172" s="306">
        <v>34</v>
      </c>
      <c r="Z172" s="307"/>
      <c r="AA172" s="308"/>
      <c r="AB172" s="309"/>
      <c r="AC172" s="309"/>
      <c r="AD172" s="308"/>
      <c r="AE172" s="309"/>
      <c r="AF172" s="302"/>
      <c r="AG172" s="310" t="s">
        <v>2050</v>
      </c>
      <c r="AH172" s="311"/>
      <c r="AI172" s="302">
        <v>0</v>
      </c>
      <c r="AJ172" s="311">
        <v>42086</v>
      </c>
      <c r="AK172" s="311" t="s">
        <v>883</v>
      </c>
      <c r="AL172" s="311">
        <v>42031</v>
      </c>
      <c r="AM172" s="301"/>
      <c r="AN172" s="290"/>
      <c r="AO172" s="312" t="str">
        <f>_xlfn.IFNA(IF(VLOOKUP(tabItens[[#This Row],[CÓDIGO]],tabExcluirDoEstoque[#Data],1,FALSE),"sim",""),"")</f>
        <v/>
      </c>
      <c r="AP172" s="313" t="str">
        <f ca="1">IF(OR(ISBLANK(tabItens[[#This Row],[ATA DT.VALID.]]),tabItens[[#This Row],[ATA DT.VALID.]]="",tabItens[[#This Row],[ATA DT.VALID.]]=" "),"",IF(TYPE(tabItens[[#This Row],[ATA DT.VALID.]])=1,ROUNDUP((tabItens[[#This Row],[ATA DT.VALID.]]-TODAY())/7,0),""))</f>
        <v/>
      </c>
      <c r="AQ172" s="314">
        <v>0</v>
      </c>
      <c r="AR172" s="315">
        <f>IF(ISBLANK(tabItens[[#This Row],[CÓDIGO]]),"",IFERROR(VLOOKUP(tabItens[[#This Row],[CÓDIGO]],Consumo!$C$2:$AC$869,26,FALSE),0))</f>
        <v>0</v>
      </c>
      <c r="AS172" s="316">
        <f>SUMIF(Consumo!$C$3:$C$869,tabItens[[#This Row],[CÓDIGO]],Consumo!$N$3:$N$869) + SUMIF(Consumo!$C$3:$C$869,tabItens[[#This Row],[CÓDIGO]],Consumo!$O$3:$O$869) + SUMIF(Consumo!$C$3:$C$869,tabItens[[#This Row],[CÓDIGO]],Consumo!$P$3:$P$869) + SUMIF(Consumo!$C$3:$C$869,tabItens[[#This Row],[CÓDIGO]],Consumo!$Q$3:$Q$869)</f>
        <v>0</v>
      </c>
      <c r="AT172" s="316">
        <f>SUMIF(Consumo!$C$3:$C$869,tabItens[[#This Row],[CÓDIGO]],Consumo!$Z$3:$Z$869)</f>
        <v>0</v>
      </c>
      <c r="AU172" s="317">
        <f>SUMIF(Consumo!$C$3:$C$869,tabItens[[#This Row],[CÓDIGO]],Consumo!$AA$3:$AA$869)</f>
        <v>0</v>
      </c>
      <c r="AV172" s="318">
        <f>SUMIF(Consumo!$C$3:$C$869,tabItens[[#This Row],[CÓDIGO]],Consumo!$Y$3:$Y$869)</f>
        <v>0</v>
      </c>
      <c r="AW172" s="291">
        <f>tabItens[[#This Row],[QTDE ATUAL]] + tabItens[[#This Row],[RC QTDE]] + tabItens[[#This Row],[AF SALDO]] + tabItens[[#This Row],[Recentes]]</f>
        <v>185</v>
      </c>
      <c r="AX172" s="319">
        <v>5</v>
      </c>
      <c r="AY172" s="319">
        <v>4</v>
      </c>
      <c r="AZ172" s="319">
        <f>IF(ISBLANK(tabItens[[#This Row],[CÓDIGO]]),"",tabItens[[#This Row],[PontoMês]] * (AZ$2+tabItens[[#This Row],[PontoQtM]]))</f>
        <v>20</v>
      </c>
      <c r="BA172" s="318">
        <f>tabItens[[#This Row],[PontoPed]] - tabItens[[#This Row],[Saldo]] + (1/10)</f>
        <v>-164.9</v>
      </c>
      <c r="BB172" s="318">
        <f xml:space="preserve"> tabItens[[#This Row],[PontoMês]] * BB$2 - tabItens[[#This Row],[QTDE ATUAL]] - (1/10)</f>
        <v>-180.1</v>
      </c>
      <c r="BC172" s="320">
        <f>IF( tabItens[[#This Row],[PontoPed]]&gt;0, IF(tabItens[[#This Row],[PontoPed]]&lt;1, 1, IF( tabItens[[#This Row],[Saldo]]&gt;tabItens[[#This Row],[PontoPed]], 0, (tabItens[[#This Row],[PontoPed]]-tabItens[[#This Row],[Saldo]])/tabItens[[#This Row],[PontoPed]] ) ), 0 )</f>
        <v>0</v>
      </c>
      <c r="BD172" s="321">
        <f>ROUNDDOWN(IF( OR( AND(tabItens[[#This Row],[PontoPed]]&lt;tabItens[[#This Row],[Saldo]],tabItens[[#This Row],[Saldo]]&gt;0), tabItens[[#This Row],[PontoPed]]=0), 99, IF(AND(tabItens[[#This Row],[Saldo]]=0,tabItens[[#This Row],[PontoPed]]&gt;0), 0, (1-tabItens[[#This Row],[PctAb]])*10 ) ),0)</f>
        <v>99</v>
      </c>
      <c r="BE172" s="322">
        <f>MAX(ROUNDDOWN( IF(tabItens[[#This Row],[Abaixo]] &gt; 0,   tabItens[[#This Row],[Abaixo]] + (tabItens[[#This Row],[PontoMês]] * IF( OR( ISBLANK(tabItens[[#This Row],[ATA Nº/ANO]]), tabItens[[#This Row],[ATA Nº/ANO]] = ""),BE$2,BE$1)),0),0),0)</f>
        <v>0</v>
      </c>
      <c r="BF17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23">
        <f>SUMIF(Consumo!$C$3:$C$869,tabItens[[#This Row],[CÓDIGO]],Consumo!$E$3:$E$869)</f>
        <v>0</v>
      </c>
      <c r="BH172" s="324">
        <f>IF(AND(tabItens[[#This Row],[Pend]] &gt; 0,tabItens[[#This Row],[Consumo]] &lt;&gt; 0), tabItens[[#This Row],[Pend]] / tabItens[[#This Row],[Consumo]], 0 )</f>
        <v>0</v>
      </c>
      <c r="BI172" s="323"/>
      <c r="BJ172" s="323"/>
      <c r="BK172" s="325" t="s">
        <v>2064</v>
      </c>
    </row>
    <row r="173" spans="1:63" hidden="1" x14ac:dyDescent="0.3">
      <c r="A173" s="286">
        <v>12881</v>
      </c>
      <c r="B173" s="287" t="s">
        <v>973</v>
      </c>
      <c r="C173" s="288" t="s">
        <v>256</v>
      </c>
      <c r="D173" s="289">
        <v>2.6</v>
      </c>
      <c r="E173" s="290"/>
      <c r="F173" s="290"/>
      <c r="G173" s="290" t="s">
        <v>883</v>
      </c>
      <c r="H173" s="291">
        <v>501</v>
      </c>
      <c r="I173" s="292">
        <v>103003</v>
      </c>
      <c r="J173" s="293">
        <v>2.6</v>
      </c>
      <c r="K173" s="294">
        <v>155</v>
      </c>
      <c r="L173" s="295">
        <f>IF(tabItens[[#This Row],[Média]] &gt; 0, tabItens[[#This Row],[QTDE ATUAL]] / tabItens[[#This Row],[Média]],999.9)</f>
        <v>32.673913043478258</v>
      </c>
      <c r="M173" s="296">
        <v>0</v>
      </c>
      <c r="N173" s="297">
        <f>tabItens[[#This Row],[VALOR UNIT.]] * tabItens[[#This Row],[LC]]</f>
        <v>0</v>
      </c>
      <c r="O173" s="298" t="s">
        <v>2080</v>
      </c>
      <c r="P173" s="299"/>
      <c r="Q173" s="300"/>
      <c r="R173" s="297"/>
      <c r="S173" s="301"/>
      <c r="T173" s="302">
        <f>ROUNDDOWN(IFERROR(tabItens[[#This Row],[ATA DT.VALID.]] - $D$1,0) / 30,0)</f>
        <v>-1504</v>
      </c>
      <c r="U173" s="287" t="s">
        <v>964</v>
      </c>
      <c r="V173" s="303">
        <v>1</v>
      </c>
      <c r="W173" s="304" t="s">
        <v>2054</v>
      </c>
      <c r="X173" s="305">
        <v>61</v>
      </c>
      <c r="Y173" s="306">
        <v>8</v>
      </c>
      <c r="Z173" s="307"/>
      <c r="AA173" s="308"/>
      <c r="AB173" s="309"/>
      <c r="AC173" s="309"/>
      <c r="AD173" s="308"/>
      <c r="AE173" s="309"/>
      <c r="AF173" s="302"/>
      <c r="AG173" s="310" t="s">
        <v>2050</v>
      </c>
      <c r="AH173" s="311"/>
      <c r="AI173" s="302">
        <v>76</v>
      </c>
      <c r="AJ173" s="311">
        <v>44573</v>
      </c>
      <c r="AK173" s="311" t="s">
        <v>883</v>
      </c>
      <c r="AL173" s="311">
        <v>44813</v>
      </c>
      <c r="AM173" s="301"/>
      <c r="AN173" s="290"/>
      <c r="AO173" s="312" t="str">
        <f>_xlfn.IFNA(IF(VLOOKUP(tabItens[[#This Row],[CÓDIGO]],tabExcluirDoEstoque[#Data],1,FALSE),"sim",""),"")</f>
        <v/>
      </c>
      <c r="AP173" s="313" t="str">
        <f ca="1">IF(OR(ISBLANK(tabItens[[#This Row],[ATA DT.VALID.]]),tabItens[[#This Row],[ATA DT.VALID.]]="",tabItens[[#This Row],[ATA DT.VALID.]]=" "),"",IF(TYPE(tabItens[[#This Row],[ATA DT.VALID.]])=1,ROUNDUP((tabItens[[#This Row],[ATA DT.VALID.]]-TODAY())/7,0),""))</f>
        <v/>
      </c>
      <c r="AQ173" s="314">
        <v>0</v>
      </c>
      <c r="AR173" s="315" t="str">
        <f>IF(ISBLANK(tabItens[[#This Row],[CÓDIGO]]),"",IFERROR(VLOOKUP(tabItens[[#This Row],[CÓDIGO]],Consumo!$C$2:$AC$869,26,FALSE),0))</f>
        <v>07.2023</v>
      </c>
      <c r="AS173" s="316">
        <f>SUMIF(Consumo!$C$3:$C$869,tabItens[[#This Row],[CÓDIGO]],Consumo!$N$3:$N$869) + SUMIF(Consumo!$C$3:$C$869,tabItens[[#This Row],[CÓDIGO]],Consumo!$O$3:$O$869) + SUMIF(Consumo!$C$3:$C$869,tabItens[[#This Row],[CÓDIGO]],Consumo!$P$3:$P$869) + SUMIF(Consumo!$C$3:$C$869,tabItens[[#This Row],[CÓDIGO]],Consumo!$Q$3:$Q$869)</f>
        <v>69</v>
      </c>
      <c r="AT173" s="316">
        <f>SUMIF(Consumo!$C$3:$C$869,tabItens[[#This Row],[CÓDIGO]],Consumo!$Z$3:$Z$869)</f>
        <v>184</v>
      </c>
      <c r="AU173" s="317">
        <f>SUMIF(Consumo!$C$3:$C$869,tabItens[[#This Row],[CÓDIGO]],Consumo!$AA$3:$AA$869)</f>
        <v>34</v>
      </c>
      <c r="AV173" s="318">
        <f>SUMIF(Consumo!$C$3:$C$869,tabItens[[#This Row],[CÓDIGO]],Consumo!$Y$3:$Y$869)</f>
        <v>15.333333333333334</v>
      </c>
      <c r="AW173" s="291">
        <f>tabItens[[#This Row],[QTDE ATUAL]] + tabItens[[#This Row],[RC QTDE]] + tabItens[[#This Row],[AF SALDO]] + tabItens[[#This Row],[Recentes]]</f>
        <v>501</v>
      </c>
      <c r="AX173" s="319">
        <v>34</v>
      </c>
      <c r="AY173" s="319">
        <v>4</v>
      </c>
      <c r="AZ173" s="319">
        <f>IF(ISBLANK(tabItens[[#This Row],[CÓDIGO]]),"",tabItens[[#This Row],[PontoMês]] * (AZ$2+tabItens[[#This Row],[PontoQtM]]))</f>
        <v>136</v>
      </c>
      <c r="BA173" s="318">
        <f>tabItens[[#This Row],[PontoPed]] - tabItens[[#This Row],[Saldo]] + (1/10)</f>
        <v>-364.9</v>
      </c>
      <c r="BB173" s="318">
        <f xml:space="preserve"> tabItens[[#This Row],[PontoMês]] * BB$2 - tabItens[[#This Row],[QTDE ATUAL]] - (1/10)</f>
        <v>-467.1</v>
      </c>
      <c r="BC173" s="320">
        <f>IF( tabItens[[#This Row],[PontoPed]]&gt;0, IF(tabItens[[#This Row],[PontoPed]]&lt;1, 1, IF( tabItens[[#This Row],[Saldo]]&gt;tabItens[[#This Row],[PontoPed]], 0, (tabItens[[#This Row],[PontoPed]]-tabItens[[#This Row],[Saldo]])/tabItens[[#This Row],[PontoPed]] ) ), 0 )</f>
        <v>0</v>
      </c>
      <c r="BD173" s="321">
        <f>ROUNDDOWN(IF( OR( AND(tabItens[[#This Row],[PontoPed]]&lt;tabItens[[#This Row],[Saldo]],tabItens[[#This Row],[Saldo]]&gt;0), tabItens[[#This Row],[PontoPed]]=0), 99, IF(AND(tabItens[[#This Row],[Saldo]]=0,tabItens[[#This Row],[PontoPed]]&gt;0), 0, (1-tabItens[[#This Row],[PctAb]])*10 ) ),0)</f>
        <v>99</v>
      </c>
      <c r="BE173" s="322">
        <f>MAX(ROUNDDOWN( IF(tabItens[[#This Row],[Abaixo]] &gt; 0,   tabItens[[#This Row],[Abaixo]] + (tabItens[[#This Row],[PontoMês]] * IF( OR( ISBLANK(tabItens[[#This Row],[ATA Nº/ANO]]), tabItens[[#This Row],[ATA Nº/ANO]] = ""),BE$2,BE$1)),0),0),0)</f>
        <v>0</v>
      </c>
      <c r="BF1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23">
        <f>SUMIF(Consumo!$C$3:$C$869,tabItens[[#This Row],[CÓDIGO]],Consumo!$E$3:$E$869)</f>
        <v>0</v>
      </c>
      <c r="BH173" s="324">
        <f>IF(AND(tabItens[[#This Row],[Pend]] &gt; 0,tabItens[[#This Row],[Consumo]] &lt;&gt; 0), tabItens[[#This Row],[Pend]] / tabItens[[#This Row],[Consumo]], 0 )</f>
        <v>0</v>
      </c>
      <c r="BI173" s="323"/>
      <c r="BJ173" s="323"/>
      <c r="BK173" s="325" t="s">
        <v>2064</v>
      </c>
    </row>
    <row r="174" spans="1:63" hidden="1" x14ac:dyDescent="0.3">
      <c r="A174" s="286">
        <v>12886</v>
      </c>
      <c r="B174" s="287" t="s">
        <v>975</v>
      </c>
      <c r="C174" s="288" t="s">
        <v>256</v>
      </c>
      <c r="D174" s="289">
        <v>3.75</v>
      </c>
      <c r="E174" s="290"/>
      <c r="F174" s="290"/>
      <c r="G174" s="290" t="s">
        <v>883</v>
      </c>
      <c r="H174" s="291">
        <v>225</v>
      </c>
      <c r="I174" s="292">
        <v>103003</v>
      </c>
      <c r="J174" s="293">
        <v>3.75</v>
      </c>
      <c r="K174" s="294">
        <v>126</v>
      </c>
      <c r="L174" s="295">
        <f>IF(tabItens[[#This Row],[Média]] &gt; 0, tabItens[[#This Row],[QTDE ATUAL]] / tabItens[[#This Row],[Média]],999.9)</f>
        <v>16.265060240963855</v>
      </c>
      <c r="M174" s="296">
        <v>0</v>
      </c>
      <c r="N174" s="297">
        <f>tabItens[[#This Row],[VALOR UNIT.]] * tabItens[[#This Row],[LC]]</f>
        <v>0</v>
      </c>
      <c r="O174" s="298" t="s">
        <v>2080</v>
      </c>
      <c r="P174" s="299"/>
      <c r="Q174" s="300"/>
      <c r="R174" s="297"/>
      <c r="S174" s="301"/>
      <c r="T174" s="302">
        <f>ROUNDDOWN(IFERROR(tabItens[[#This Row],[ATA DT.VALID.]] - $D$1,0) / 30,0)</f>
        <v>-1504</v>
      </c>
      <c r="U174" s="287" t="s">
        <v>964</v>
      </c>
      <c r="V174" s="303">
        <v>1</v>
      </c>
      <c r="W174" s="304" t="s">
        <v>2054</v>
      </c>
      <c r="X174" s="305">
        <v>61</v>
      </c>
      <c r="Y174" s="306">
        <v>8</v>
      </c>
      <c r="Z174" s="307">
        <v>2522</v>
      </c>
      <c r="AA174" s="308">
        <v>2023</v>
      </c>
      <c r="AB174" s="309">
        <v>200</v>
      </c>
      <c r="AC174" s="309"/>
      <c r="AD174" s="308"/>
      <c r="AE174" s="309"/>
      <c r="AF174" s="302"/>
      <c r="AG174" s="310" t="s">
        <v>2050</v>
      </c>
      <c r="AH174" s="311"/>
      <c r="AI174" s="302">
        <v>56</v>
      </c>
      <c r="AJ174" s="311">
        <v>44547</v>
      </c>
      <c r="AK174" s="311" t="s">
        <v>883</v>
      </c>
      <c r="AL174" s="311">
        <v>44522</v>
      </c>
      <c r="AM174" s="301"/>
      <c r="AN174" s="290"/>
      <c r="AO174" s="312" t="str">
        <f>_xlfn.IFNA(IF(VLOOKUP(tabItens[[#This Row],[CÓDIGO]],tabExcluirDoEstoque[#Data],1,FALSE),"sim",""),"")</f>
        <v/>
      </c>
      <c r="AP174" s="313" t="str">
        <f ca="1">IF(OR(ISBLANK(tabItens[[#This Row],[ATA DT.VALID.]]),tabItens[[#This Row],[ATA DT.VALID.]]="",tabItens[[#This Row],[ATA DT.VALID.]]=" "),"",IF(TYPE(tabItens[[#This Row],[ATA DT.VALID.]])=1,ROUNDUP((tabItens[[#This Row],[ATA DT.VALID.]]-TODAY())/7,0),""))</f>
        <v/>
      </c>
      <c r="AQ174" s="314">
        <v>0</v>
      </c>
      <c r="AR174" s="315" t="str">
        <f>IF(ISBLANK(tabItens[[#This Row],[CÓDIGO]]),"",IFERROR(VLOOKUP(tabItens[[#This Row],[CÓDIGO]],Consumo!$C$2:$AC$869,26,FALSE),0))</f>
        <v>07.2023</v>
      </c>
      <c r="AS174" s="316">
        <f>SUMIF(Consumo!$C$3:$C$869,tabItens[[#This Row],[CÓDIGO]],Consumo!$N$3:$N$869) + SUMIF(Consumo!$C$3:$C$869,tabItens[[#This Row],[CÓDIGO]],Consumo!$O$3:$O$869) + SUMIF(Consumo!$C$3:$C$869,tabItens[[#This Row],[CÓDIGO]],Consumo!$P$3:$P$869) + SUMIF(Consumo!$C$3:$C$869,tabItens[[#This Row],[CÓDIGO]],Consumo!$Q$3:$Q$869)</f>
        <v>44</v>
      </c>
      <c r="AT174" s="316">
        <f>SUMIF(Consumo!$C$3:$C$869,tabItens[[#This Row],[CÓDIGO]],Consumo!$Z$3:$Z$869)</f>
        <v>166</v>
      </c>
      <c r="AU174" s="317">
        <f>SUMIF(Consumo!$C$3:$C$869,tabItens[[#This Row],[CÓDIGO]],Consumo!$AA$3:$AA$869)</f>
        <v>24</v>
      </c>
      <c r="AV174" s="318">
        <f>SUMIF(Consumo!$C$3:$C$869,tabItens[[#This Row],[CÓDIGO]],Consumo!$Y$3:$Y$869)</f>
        <v>13.833333333333334</v>
      </c>
      <c r="AW174" s="291">
        <f>tabItens[[#This Row],[QTDE ATUAL]] + tabItens[[#This Row],[RC QTDE]] + tabItens[[#This Row],[AF SALDO]] + tabItens[[#This Row],[Recentes]]</f>
        <v>425</v>
      </c>
      <c r="AX174" s="319">
        <v>42</v>
      </c>
      <c r="AY174" s="319">
        <v>4</v>
      </c>
      <c r="AZ174" s="319">
        <f>IF(ISBLANK(tabItens[[#This Row],[CÓDIGO]]),"",tabItens[[#This Row],[PontoMês]] * (AZ$2+tabItens[[#This Row],[PontoQtM]]))</f>
        <v>168</v>
      </c>
      <c r="BA174" s="318">
        <f>tabItens[[#This Row],[PontoPed]] - tabItens[[#This Row],[Saldo]] + (1/10)</f>
        <v>-256.89999999999998</v>
      </c>
      <c r="BB174" s="318">
        <f xml:space="preserve"> tabItens[[#This Row],[PontoMês]] * BB$2 - tabItens[[#This Row],[QTDE ATUAL]] - (1/10)</f>
        <v>-183.1</v>
      </c>
      <c r="BC174" s="320">
        <f>IF( tabItens[[#This Row],[PontoPed]]&gt;0, IF(tabItens[[#This Row],[PontoPed]]&lt;1, 1, IF( tabItens[[#This Row],[Saldo]]&gt;tabItens[[#This Row],[PontoPed]], 0, (tabItens[[#This Row],[PontoPed]]-tabItens[[#This Row],[Saldo]])/tabItens[[#This Row],[PontoPed]] ) ), 0 )</f>
        <v>0</v>
      </c>
      <c r="BD174" s="321">
        <f>ROUNDDOWN(IF( OR( AND(tabItens[[#This Row],[PontoPed]]&lt;tabItens[[#This Row],[Saldo]],tabItens[[#This Row],[Saldo]]&gt;0), tabItens[[#This Row],[PontoPed]]=0), 99, IF(AND(tabItens[[#This Row],[Saldo]]=0,tabItens[[#This Row],[PontoPed]]&gt;0), 0, (1-tabItens[[#This Row],[PctAb]])*10 ) ),0)</f>
        <v>99</v>
      </c>
      <c r="BE174" s="322">
        <f>MAX(ROUNDDOWN( IF(tabItens[[#This Row],[Abaixo]] &gt; 0,   tabItens[[#This Row],[Abaixo]] + (tabItens[[#This Row],[PontoMês]] * IF( OR( ISBLANK(tabItens[[#This Row],[ATA Nº/ANO]]), tabItens[[#This Row],[ATA Nº/ANO]] = ""),BE$2,BE$1)),0),0),0)</f>
        <v>0</v>
      </c>
      <c r="BF1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23">
        <f>SUMIF(Consumo!$C$3:$C$869,tabItens[[#This Row],[CÓDIGO]],Consumo!$E$3:$E$869)</f>
        <v>0</v>
      </c>
      <c r="BH174" s="324">
        <f>IF(AND(tabItens[[#This Row],[Pend]] &gt; 0,tabItens[[#This Row],[Consumo]] &lt;&gt; 0), tabItens[[#This Row],[Pend]] / tabItens[[#This Row],[Consumo]], 0 )</f>
        <v>0</v>
      </c>
      <c r="BI174" s="323"/>
      <c r="BJ174" s="323"/>
      <c r="BK174" s="325" t="s">
        <v>2064</v>
      </c>
    </row>
    <row r="175" spans="1:63" hidden="1" x14ac:dyDescent="0.3">
      <c r="A175" s="286">
        <v>12894</v>
      </c>
      <c r="B175" s="287" t="s">
        <v>977</v>
      </c>
      <c r="C175" s="288" t="s">
        <v>256</v>
      </c>
      <c r="D175" s="289">
        <v>0.44</v>
      </c>
      <c r="E175" s="290"/>
      <c r="F175" s="290"/>
      <c r="G175" s="290" t="s">
        <v>883</v>
      </c>
      <c r="H175" s="291">
        <v>3371</v>
      </c>
      <c r="I175" s="292">
        <v>103003</v>
      </c>
      <c r="J175" s="293">
        <v>0.44</v>
      </c>
      <c r="K175" s="294">
        <v>1228</v>
      </c>
      <c r="L175" s="295">
        <f>IF(tabItens[[#This Row],[Média]] &gt; 0, tabItens[[#This Row],[QTDE ATUAL]] / tabItens[[#This Row],[Média]],999.9)</f>
        <v>23.79529411764706</v>
      </c>
      <c r="M175" s="296">
        <v>0</v>
      </c>
      <c r="N175" s="297">
        <f>tabItens[[#This Row],[VALOR UNIT.]] * tabItens[[#This Row],[LC]]</f>
        <v>0</v>
      </c>
      <c r="O175" s="298" t="s">
        <v>2080</v>
      </c>
      <c r="P175" s="299"/>
      <c r="Q175" s="300"/>
      <c r="R175" s="297"/>
      <c r="S175" s="301"/>
      <c r="T175" s="302">
        <f>ROUNDDOWN(IFERROR(tabItens[[#This Row],[ATA DT.VALID.]] - $D$1,0) / 30,0)</f>
        <v>-1504</v>
      </c>
      <c r="U175" s="287" t="s">
        <v>964</v>
      </c>
      <c r="V175" s="303">
        <v>1</v>
      </c>
      <c r="W175" s="304" t="s">
        <v>2054</v>
      </c>
      <c r="X175" s="305">
        <v>61</v>
      </c>
      <c r="Y175" s="306">
        <v>8</v>
      </c>
      <c r="Z175" s="307">
        <v>2522</v>
      </c>
      <c r="AA175" s="308">
        <v>2023</v>
      </c>
      <c r="AB175" s="309">
        <v>1000</v>
      </c>
      <c r="AC175" s="309"/>
      <c r="AD175" s="308"/>
      <c r="AE175" s="309"/>
      <c r="AF175" s="302"/>
      <c r="AG175" s="310" t="s">
        <v>2050</v>
      </c>
      <c r="AH175" s="311"/>
      <c r="AI175" s="302">
        <v>566</v>
      </c>
      <c r="AJ175" s="311">
        <v>44573</v>
      </c>
      <c r="AK175" s="311" t="s">
        <v>883</v>
      </c>
      <c r="AL175" s="311">
        <v>45096</v>
      </c>
      <c r="AM175" s="301"/>
      <c r="AN175" s="290"/>
      <c r="AO175" s="312" t="str">
        <f>_xlfn.IFNA(IF(VLOOKUP(tabItens[[#This Row],[CÓDIGO]],tabExcluirDoEstoque[#Data],1,FALSE),"sim",""),"")</f>
        <v/>
      </c>
      <c r="AP175" s="313" t="str">
        <f ca="1">IF(OR(ISBLANK(tabItens[[#This Row],[ATA DT.VALID.]]),tabItens[[#This Row],[ATA DT.VALID.]]="",tabItens[[#This Row],[ATA DT.VALID.]]=" "),"",IF(TYPE(tabItens[[#This Row],[ATA DT.VALID.]])=1,ROUNDUP((tabItens[[#This Row],[ATA DT.VALID.]]-TODAY())/7,0),""))</f>
        <v/>
      </c>
      <c r="AQ175" s="314">
        <v>0</v>
      </c>
      <c r="AR175" s="315" t="str">
        <f>IF(ISBLANK(tabItens[[#This Row],[CÓDIGO]]),"",IFERROR(VLOOKUP(tabItens[[#This Row],[CÓDIGO]],Consumo!$C$2:$AC$869,26,FALSE),0))</f>
        <v>07.2023</v>
      </c>
      <c r="AS175" s="316">
        <f>SUMIF(Consumo!$C$3:$C$869,tabItens[[#This Row],[CÓDIGO]],Consumo!$N$3:$N$869) + SUMIF(Consumo!$C$3:$C$869,tabItens[[#This Row],[CÓDIGO]],Consumo!$O$3:$O$869) + SUMIF(Consumo!$C$3:$C$869,tabItens[[#This Row],[CÓDIGO]],Consumo!$P$3:$P$869) + SUMIF(Consumo!$C$3:$C$869,tabItens[[#This Row],[CÓDIGO]],Consumo!$Q$3:$Q$869)</f>
        <v>290</v>
      </c>
      <c r="AT175" s="316">
        <f>SUMIF(Consumo!$C$3:$C$869,tabItens[[#This Row],[CÓDIGO]],Consumo!$Z$3:$Z$869)</f>
        <v>1700</v>
      </c>
      <c r="AU175" s="317">
        <f>SUMIF(Consumo!$C$3:$C$869,tabItens[[#This Row],[CÓDIGO]],Consumo!$AA$3:$AA$869)</f>
        <v>306</v>
      </c>
      <c r="AV175" s="318">
        <f>SUMIF(Consumo!$C$3:$C$869,tabItens[[#This Row],[CÓDIGO]],Consumo!$Y$3:$Y$869)</f>
        <v>141.66666666666666</v>
      </c>
      <c r="AW175" s="291">
        <f>tabItens[[#This Row],[QTDE ATUAL]] + tabItens[[#This Row],[RC QTDE]] + tabItens[[#This Row],[AF SALDO]] + tabItens[[#This Row],[Recentes]]</f>
        <v>4371</v>
      </c>
      <c r="AX175" s="319">
        <v>334</v>
      </c>
      <c r="AY175" s="319">
        <v>4</v>
      </c>
      <c r="AZ175" s="319">
        <f>IF(ISBLANK(tabItens[[#This Row],[CÓDIGO]]),"",tabItens[[#This Row],[PontoMês]] * (AZ$2+tabItens[[#This Row],[PontoQtM]]))</f>
        <v>1336</v>
      </c>
      <c r="BA175" s="318">
        <f>tabItens[[#This Row],[PontoPed]] - tabItens[[#This Row],[Saldo]] + (1/10)</f>
        <v>-3034.9</v>
      </c>
      <c r="BB175" s="318">
        <f xml:space="preserve"> tabItens[[#This Row],[PontoMês]] * BB$2 - tabItens[[#This Row],[QTDE ATUAL]] - (1/10)</f>
        <v>-3037.1</v>
      </c>
      <c r="BC175" s="320">
        <f>IF( tabItens[[#This Row],[PontoPed]]&gt;0, IF(tabItens[[#This Row],[PontoPed]]&lt;1, 1, IF( tabItens[[#This Row],[Saldo]]&gt;tabItens[[#This Row],[PontoPed]], 0, (tabItens[[#This Row],[PontoPed]]-tabItens[[#This Row],[Saldo]])/tabItens[[#This Row],[PontoPed]] ) ), 0 )</f>
        <v>0</v>
      </c>
      <c r="BD175" s="321">
        <f>ROUNDDOWN(IF( OR( AND(tabItens[[#This Row],[PontoPed]]&lt;tabItens[[#This Row],[Saldo]],tabItens[[#This Row],[Saldo]]&gt;0), tabItens[[#This Row],[PontoPed]]=0), 99, IF(AND(tabItens[[#This Row],[Saldo]]=0,tabItens[[#This Row],[PontoPed]]&gt;0), 0, (1-tabItens[[#This Row],[PctAb]])*10 ) ),0)</f>
        <v>99</v>
      </c>
      <c r="BE175" s="322">
        <f>MAX(ROUNDDOWN( IF(tabItens[[#This Row],[Abaixo]] &gt; 0,   tabItens[[#This Row],[Abaixo]] + (tabItens[[#This Row],[PontoMês]] * IF( OR( ISBLANK(tabItens[[#This Row],[ATA Nº/ANO]]), tabItens[[#This Row],[ATA Nº/ANO]] = ""),BE$2,BE$1)),0),0),0)</f>
        <v>0</v>
      </c>
      <c r="BF1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23">
        <f>SUMIF(Consumo!$C$3:$C$869,tabItens[[#This Row],[CÓDIGO]],Consumo!$E$3:$E$869)</f>
        <v>0</v>
      </c>
      <c r="BH175" s="324">
        <f>IF(AND(tabItens[[#This Row],[Pend]] &gt; 0,tabItens[[#This Row],[Consumo]] &lt;&gt; 0), tabItens[[#This Row],[Pend]] / tabItens[[#This Row],[Consumo]], 0 )</f>
        <v>0</v>
      </c>
      <c r="BI175" s="323"/>
      <c r="BJ175" s="323"/>
      <c r="BK175" s="325" t="s">
        <v>2064</v>
      </c>
    </row>
    <row r="176" spans="1:63" hidden="1" x14ac:dyDescent="0.3">
      <c r="A176" s="286">
        <v>12948</v>
      </c>
      <c r="B176" s="287" t="s">
        <v>979</v>
      </c>
      <c r="C176" s="288" t="s">
        <v>256</v>
      </c>
      <c r="D176" s="289">
        <v>10.15</v>
      </c>
      <c r="E176" s="290"/>
      <c r="F176" s="290"/>
      <c r="G176" s="290" t="s">
        <v>883</v>
      </c>
      <c r="H176" s="291">
        <v>30</v>
      </c>
      <c r="I176" s="292">
        <v>103003</v>
      </c>
      <c r="J176" s="293">
        <v>10.15</v>
      </c>
      <c r="K176" s="294">
        <v>17</v>
      </c>
      <c r="L176" s="295">
        <f>IF(tabItens[[#This Row],[Média]] &gt; 0, tabItens[[#This Row],[QTDE ATUAL]] / tabItens[[#This Row],[Média]],999.9)</f>
        <v>24</v>
      </c>
      <c r="M176" s="296">
        <v>0</v>
      </c>
      <c r="N176" s="297">
        <f>tabItens[[#This Row],[VALOR UNIT.]] * tabItens[[#This Row],[LC]]</f>
        <v>0</v>
      </c>
      <c r="O176" s="298" t="s">
        <v>2080</v>
      </c>
      <c r="P176" s="299"/>
      <c r="Q176" s="300"/>
      <c r="R176" s="297"/>
      <c r="S176" s="301"/>
      <c r="T176" s="302">
        <f>ROUNDDOWN(IFERROR(tabItens[[#This Row],[ATA DT.VALID.]] - $D$1,0) / 30,0)</f>
        <v>-1504</v>
      </c>
      <c r="U176" s="287" t="s">
        <v>964</v>
      </c>
      <c r="V176" s="303">
        <v>1</v>
      </c>
      <c r="W176" s="304" t="s">
        <v>2054</v>
      </c>
      <c r="X176" s="305">
        <v>61</v>
      </c>
      <c r="Y176" s="306">
        <v>8</v>
      </c>
      <c r="Z176" s="307">
        <v>2960</v>
      </c>
      <c r="AA176" s="308">
        <v>2023</v>
      </c>
      <c r="AB176" s="309">
        <v>10</v>
      </c>
      <c r="AC176" s="309"/>
      <c r="AD176" s="308"/>
      <c r="AE176" s="309"/>
      <c r="AF176" s="302"/>
      <c r="AG176" s="310" t="s">
        <v>2050</v>
      </c>
      <c r="AH176" s="311"/>
      <c r="AI176" s="302">
        <v>6</v>
      </c>
      <c r="AJ176" s="311">
        <v>39763</v>
      </c>
      <c r="AK176" s="311" t="s">
        <v>883</v>
      </c>
      <c r="AL176" s="311">
        <v>44813</v>
      </c>
      <c r="AM176" s="301"/>
      <c r="AN176" s="290"/>
      <c r="AO176" s="312" t="str">
        <f>_xlfn.IFNA(IF(VLOOKUP(tabItens[[#This Row],[CÓDIGO]],tabExcluirDoEstoque[#Data],1,FALSE),"sim",""),"")</f>
        <v/>
      </c>
      <c r="AP176" s="313" t="str">
        <f ca="1">IF(OR(ISBLANK(tabItens[[#This Row],[ATA DT.VALID.]]),tabItens[[#This Row],[ATA DT.VALID.]]="",tabItens[[#This Row],[ATA DT.VALID.]]=" "),"",IF(TYPE(tabItens[[#This Row],[ATA DT.VALID.]])=1,ROUNDUP((tabItens[[#This Row],[ATA DT.VALID.]]-TODAY())/7,0),""))</f>
        <v/>
      </c>
      <c r="AQ176" s="314">
        <v>0</v>
      </c>
      <c r="AR176" s="315" t="str">
        <f>IF(ISBLANK(tabItens[[#This Row],[CÓDIGO]]),"",IFERROR(VLOOKUP(tabItens[[#This Row],[CÓDIGO]],Consumo!$C$2:$AC$869,26,FALSE),0))</f>
        <v>04.2023</v>
      </c>
      <c r="AS176" s="316">
        <f>SUMIF(Consumo!$C$3:$C$869,tabItens[[#This Row],[CÓDIGO]],Consumo!$N$3:$N$869) + SUMIF(Consumo!$C$3:$C$869,tabItens[[#This Row],[CÓDIGO]],Consumo!$O$3:$O$869) + SUMIF(Consumo!$C$3:$C$869,tabItens[[#This Row],[CÓDIGO]],Consumo!$P$3:$P$869) + SUMIF(Consumo!$C$3:$C$869,tabItens[[#This Row],[CÓDIGO]],Consumo!$Q$3:$Q$869)</f>
        <v>10</v>
      </c>
      <c r="AT176" s="316">
        <f>SUMIF(Consumo!$C$3:$C$869,tabItens[[#This Row],[CÓDIGO]],Consumo!$Z$3:$Z$869)</f>
        <v>17</v>
      </c>
      <c r="AU176" s="317">
        <f>SUMIF(Consumo!$C$3:$C$869,tabItens[[#This Row],[CÓDIGO]],Consumo!$AA$3:$AA$869)</f>
        <v>10</v>
      </c>
      <c r="AV176" s="318">
        <f>SUMIF(Consumo!$C$3:$C$869,tabItens[[#This Row],[CÓDIGO]],Consumo!$Y$3:$Y$869)</f>
        <v>1.25</v>
      </c>
      <c r="AW176" s="291">
        <f>tabItens[[#This Row],[QTDE ATUAL]] + tabItens[[#This Row],[RC QTDE]] + tabItens[[#This Row],[AF SALDO]] + tabItens[[#This Row],[Recentes]]</f>
        <v>40</v>
      </c>
      <c r="AX176" s="319">
        <v>5</v>
      </c>
      <c r="AY176" s="319">
        <v>4</v>
      </c>
      <c r="AZ176" s="319">
        <f>IF(ISBLANK(tabItens[[#This Row],[CÓDIGO]]),"",tabItens[[#This Row],[PontoMês]] * (AZ$2+tabItens[[#This Row],[PontoQtM]]))</f>
        <v>20</v>
      </c>
      <c r="BA176" s="318">
        <f>tabItens[[#This Row],[PontoPed]] - tabItens[[#This Row],[Saldo]] + (1/10)</f>
        <v>-19.899999999999999</v>
      </c>
      <c r="BB176" s="318">
        <f xml:space="preserve"> tabItens[[#This Row],[PontoMês]] * BB$2 - tabItens[[#This Row],[QTDE ATUAL]] - (1/10)</f>
        <v>-25.1</v>
      </c>
      <c r="BC176" s="320">
        <f>IF( tabItens[[#This Row],[PontoPed]]&gt;0, IF(tabItens[[#This Row],[PontoPed]]&lt;1, 1, IF( tabItens[[#This Row],[Saldo]]&gt;tabItens[[#This Row],[PontoPed]], 0, (tabItens[[#This Row],[PontoPed]]-tabItens[[#This Row],[Saldo]])/tabItens[[#This Row],[PontoPed]] ) ), 0 )</f>
        <v>0</v>
      </c>
      <c r="BD176" s="321">
        <f>ROUNDDOWN(IF( OR( AND(tabItens[[#This Row],[PontoPed]]&lt;tabItens[[#This Row],[Saldo]],tabItens[[#This Row],[Saldo]]&gt;0), tabItens[[#This Row],[PontoPed]]=0), 99, IF(AND(tabItens[[#This Row],[Saldo]]=0,tabItens[[#This Row],[PontoPed]]&gt;0), 0, (1-tabItens[[#This Row],[PctAb]])*10 ) ),0)</f>
        <v>99</v>
      </c>
      <c r="BE176" s="322">
        <f>MAX(ROUNDDOWN( IF(tabItens[[#This Row],[Abaixo]] &gt; 0,   tabItens[[#This Row],[Abaixo]] + (tabItens[[#This Row],[PontoMês]] * IF( OR( ISBLANK(tabItens[[#This Row],[ATA Nº/ANO]]), tabItens[[#This Row],[ATA Nº/ANO]] = ""),BE$2,BE$1)),0),0),0)</f>
        <v>0</v>
      </c>
      <c r="BF17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23">
        <f>SUMIF(Consumo!$C$3:$C$869,tabItens[[#This Row],[CÓDIGO]],Consumo!$E$3:$E$869)</f>
        <v>0</v>
      </c>
      <c r="BH176" s="324">
        <f>IF(AND(tabItens[[#This Row],[Pend]] &gt; 0,tabItens[[#This Row],[Consumo]] &lt;&gt; 0), tabItens[[#This Row],[Pend]] / tabItens[[#This Row],[Consumo]], 0 )</f>
        <v>0</v>
      </c>
      <c r="BI176" s="323"/>
      <c r="BJ176" s="323"/>
      <c r="BK176" s="325" t="s">
        <v>2064</v>
      </c>
    </row>
    <row r="177" spans="1:63" hidden="1" x14ac:dyDescent="0.3">
      <c r="A177" s="286">
        <v>12950</v>
      </c>
      <c r="B177" s="287" t="s">
        <v>980</v>
      </c>
      <c r="C177" s="288" t="s">
        <v>256</v>
      </c>
      <c r="D177" s="289">
        <v>4.2</v>
      </c>
      <c r="E177" s="290"/>
      <c r="F177" s="290"/>
      <c r="G177" s="290" t="s">
        <v>883</v>
      </c>
      <c r="H177" s="291">
        <v>151</v>
      </c>
      <c r="I177" s="292">
        <v>103003</v>
      </c>
      <c r="J177" s="293">
        <v>4.2</v>
      </c>
      <c r="K177" s="294">
        <v>128</v>
      </c>
      <c r="L177" s="295">
        <f>IF(tabItens[[#This Row],[Média]] &gt; 0, tabItens[[#This Row],[QTDE ATUAL]] / tabItens[[#This Row],[Média]],999.9)</f>
        <v>12.41095890410959</v>
      </c>
      <c r="M177" s="296">
        <v>0</v>
      </c>
      <c r="N177" s="297">
        <f>tabItens[[#This Row],[VALOR UNIT.]] * tabItens[[#This Row],[LC]]</f>
        <v>0</v>
      </c>
      <c r="O177" s="298" t="s">
        <v>2080</v>
      </c>
      <c r="P177" s="299"/>
      <c r="Q177" s="300"/>
      <c r="R177" s="297"/>
      <c r="S177" s="301"/>
      <c r="T177" s="302">
        <f>ROUNDDOWN(IFERROR(tabItens[[#This Row],[ATA DT.VALID.]] - $D$1,0) / 30,0)</f>
        <v>-1504</v>
      </c>
      <c r="U177" s="287" t="s">
        <v>964</v>
      </c>
      <c r="V177" s="303">
        <v>1</v>
      </c>
      <c r="W177" s="304" t="s">
        <v>2054</v>
      </c>
      <c r="X177" s="305">
        <v>61</v>
      </c>
      <c r="Y177" s="306">
        <v>8</v>
      </c>
      <c r="Z177" s="307">
        <v>2960</v>
      </c>
      <c r="AA177" s="308">
        <v>2023</v>
      </c>
      <c r="AB177" s="309">
        <v>100</v>
      </c>
      <c r="AC177" s="309"/>
      <c r="AD177" s="308"/>
      <c r="AE177" s="309"/>
      <c r="AF177" s="302"/>
      <c r="AG177" s="310" t="s">
        <v>2050</v>
      </c>
      <c r="AH177" s="311"/>
      <c r="AI177" s="302">
        <v>50</v>
      </c>
      <c r="AJ177" s="311">
        <v>43903</v>
      </c>
      <c r="AK177" s="311" t="s">
        <v>883</v>
      </c>
      <c r="AL177" s="311">
        <v>44536</v>
      </c>
      <c r="AM177" s="301"/>
      <c r="AN177" s="290"/>
      <c r="AO177" s="312" t="str">
        <f>_xlfn.IFNA(IF(VLOOKUP(tabItens[[#This Row],[CÓDIGO]],tabExcluirDoEstoque[#Data],1,FALSE),"sim",""),"")</f>
        <v/>
      </c>
      <c r="AP177" s="313" t="str">
        <f ca="1">IF(OR(ISBLANK(tabItens[[#This Row],[ATA DT.VALID.]]),tabItens[[#This Row],[ATA DT.VALID.]]="",tabItens[[#This Row],[ATA DT.VALID.]]=" "),"",IF(TYPE(tabItens[[#This Row],[ATA DT.VALID.]])=1,ROUNDUP((tabItens[[#This Row],[ATA DT.VALID.]]-TODAY())/7,0),""))</f>
        <v/>
      </c>
      <c r="AQ177" s="314">
        <v>0</v>
      </c>
      <c r="AR177" s="315" t="str">
        <f>IF(ISBLANK(tabItens[[#This Row],[CÓDIGO]]),"",IFERROR(VLOOKUP(tabItens[[#This Row],[CÓDIGO]],Consumo!$C$2:$AC$869,26,FALSE),0))</f>
        <v>04.2023</v>
      </c>
      <c r="AS177" s="316">
        <f>SUMIF(Consumo!$C$3:$C$869,tabItens[[#This Row],[CÓDIGO]],Consumo!$N$3:$N$869) + SUMIF(Consumo!$C$3:$C$869,tabItens[[#This Row],[CÓDIGO]],Consumo!$O$3:$O$869) + SUMIF(Consumo!$C$3:$C$869,tabItens[[#This Row],[CÓDIGO]],Consumo!$P$3:$P$869) + SUMIF(Consumo!$C$3:$C$869,tabItens[[#This Row],[CÓDIGO]],Consumo!$Q$3:$Q$869)</f>
        <v>20</v>
      </c>
      <c r="AT177" s="316">
        <f>SUMIF(Consumo!$C$3:$C$869,tabItens[[#This Row],[CÓDIGO]],Consumo!$Z$3:$Z$869)</f>
        <v>147</v>
      </c>
      <c r="AU177" s="317">
        <f>SUMIF(Consumo!$C$3:$C$869,tabItens[[#This Row],[CÓDIGO]],Consumo!$AA$3:$AA$869)</f>
        <v>36</v>
      </c>
      <c r="AV177" s="318">
        <f>SUMIF(Consumo!$C$3:$C$869,tabItens[[#This Row],[CÓDIGO]],Consumo!$Y$3:$Y$869)</f>
        <v>12.166666666666666</v>
      </c>
      <c r="AW177" s="291">
        <f>tabItens[[#This Row],[QTDE ATUAL]] + tabItens[[#This Row],[RC QTDE]] + tabItens[[#This Row],[AF SALDO]] + tabItens[[#This Row],[Recentes]]</f>
        <v>251</v>
      </c>
      <c r="AX177" s="319">
        <v>17</v>
      </c>
      <c r="AY177" s="319">
        <v>4</v>
      </c>
      <c r="AZ177" s="319">
        <f>IF(ISBLANK(tabItens[[#This Row],[CÓDIGO]]),"",tabItens[[#This Row],[PontoMês]] * (AZ$2+tabItens[[#This Row],[PontoQtM]]))</f>
        <v>68</v>
      </c>
      <c r="BA177" s="318">
        <f>tabItens[[#This Row],[PontoPed]] - tabItens[[#This Row],[Saldo]] + (1/10)</f>
        <v>-182.9</v>
      </c>
      <c r="BB177" s="318">
        <f xml:space="preserve"> tabItens[[#This Row],[PontoMês]] * BB$2 - tabItens[[#This Row],[QTDE ATUAL]] - (1/10)</f>
        <v>-134.1</v>
      </c>
      <c r="BC177" s="320">
        <f>IF( tabItens[[#This Row],[PontoPed]]&gt;0, IF(tabItens[[#This Row],[PontoPed]]&lt;1, 1, IF( tabItens[[#This Row],[Saldo]]&gt;tabItens[[#This Row],[PontoPed]], 0, (tabItens[[#This Row],[PontoPed]]-tabItens[[#This Row],[Saldo]])/tabItens[[#This Row],[PontoPed]] ) ), 0 )</f>
        <v>0</v>
      </c>
      <c r="BD177" s="321">
        <f>ROUNDDOWN(IF( OR( AND(tabItens[[#This Row],[PontoPed]]&lt;tabItens[[#This Row],[Saldo]],tabItens[[#This Row],[Saldo]]&gt;0), tabItens[[#This Row],[PontoPed]]=0), 99, IF(AND(tabItens[[#This Row],[Saldo]]=0,tabItens[[#This Row],[PontoPed]]&gt;0), 0, (1-tabItens[[#This Row],[PctAb]])*10 ) ),0)</f>
        <v>99</v>
      </c>
      <c r="BE177" s="322">
        <f>MAX(ROUNDDOWN( IF(tabItens[[#This Row],[Abaixo]] &gt; 0,   tabItens[[#This Row],[Abaixo]] + (tabItens[[#This Row],[PontoMês]] * IF( OR( ISBLANK(tabItens[[#This Row],[ATA Nº/ANO]]), tabItens[[#This Row],[ATA Nº/ANO]] = ""),BE$2,BE$1)),0),0),0)</f>
        <v>0</v>
      </c>
      <c r="BF17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23">
        <f>SUMIF(Consumo!$C$3:$C$869,tabItens[[#This Row],[CÓDIGO]],Consumo!$E$3:$E$869)</f>
        <v>0</v>
      </c>
      <c r="BH177" s="324">
        <f>IF(AND(tabItens[[#This Row],[Pend]] &gt; 0,tabItens[[#This Row],[Consumo]] &lt;&gt; 0), tabItens[[#This Row],[Pend]] / tabItens[[#This Row],[Consumo]], 0 )</f>
        <v>0</v>
      </c>
      <c r="BI177" s="323"/>
      <c r="BJ177" s="323"/>
      <c r="BK177" s="325" t="s">
        <v>2064</v>
      </c>
    </row>
    <row r="178" spans="1:63" hidden="1" x14ac:dyDescent="0.3">
      <c r="A178" s="286">
        <v>12956</v>
      </c>
      <c r="B178" s="287" t="s">
        <v>981</v>
      </c>
      <c r="C178" s="288" t="s">
        <v>256</v>
      </c>
      <c r="D178" s="289">
        <v>0.47</v>
      </c>
      <c r="E178" s="290"/>
      <c r="F178" s="290"/>
      <c r="G178" s="290" t="s">
        <v>883</v>
      </c>
      <c r="H178" s="291">
        <v>618</v>
      </c>
      <c r="I178" s="292">
        <v>103003</v>
      </c>
      <c r="J178" s="293">
        <v>0.47</v>
      </c>
      <c r="K178" s="294">
        <v>431</v>
      </c>
      <c r="L178" s="295">
        <f>IF(tabItens[[#This Row],[Média]] &gt; 0, tabItens[[#This Row],[QTDE ATUAL]] / tabItens[[#This Row],[Média]],999.9)</f>
        <v>13.362162162162162</v>
      </c>
      <c r="M178" s="296">
        <v>0</v>
      </c>
      <c r="N178" s="297">
        <f>tabItens[[#This Row],[VALOR UNIT.]] * tabItens[[#This Row],[LC]]</f>
        <v>0</v>
      </c>
      <c r="O178" s="298" t="s">
        <v>2080</v>
      </c>
      <c r="P178" s="299"/>
      <c r="Q178" s="300"/>
      <c r="R178" s="297"/>
      <c r="S178" s="301"/>
      <c r="T178" s="302">
        <f>ROUNDDOWN(IFERROR(tabItens[[#This Row],[ATA DT.VALID.]] - $D$1,0) / 30,0)</f>
        <v>-1504</v>
      </c>
      <c r="U178" s="287" t="s">
        <v>964</v>
      </c>
      <c r="V178" s="303">
        <v>1</v>
      </c>
      <c r="W178" s="304" t="s">
        <v>2054</v>
      </c>
      <c r="X178" s="305">
        <v>61</v>
      </c>
      <c r="Y178" s="306">
        <v>8</v>
      </c>
      <c r="Z178" s="307">
        <v>2453</v>
      </c>
      <c r="AA178" s="308">
        <v>2023</v>
      </c>
      <c r="AB178" s="309">
        <v>400</v>
      </c>
      <c r="AC178" s="309"/>
      <c r="AD178" s="308"/>
      <c r="AE178" s="309"/>
      <c r="AF178" s="302"/>
      <c r="AG178" s="310" t="s">
        <v>2050</v>
      </c>
      <c r="AH178" s="311"/>
      <c r="AI178" s="302">
        <v>186</v>
      </c>
      <c r="AJ178" s="311">
        <v>44860</v>
      </c>
      <c r="AK178" s="311" t="s">
        <v>883</v>
      </c>
      <c r="AL178" s="311">
        <v>45105</v>
      </c>
      <c r="AM178" s="301"/>
      <c r="AN178" s="290"/>
      <c r="AO178" s="312" t="str">
        <f>_xlfn.IFNA(IF(VLOOKUP(tabItens[[#This Row],[CÓDIGO]],tabExcluirDoEstoque[#Data],1,FALSE),"sim",""),"")</f>
        <v/>
      </c>
      <c r="AP178" s="313" t="str">
        <f ca="1">IF(OR(ISBLANK(tabItens[[#This Row],[ATA DT.VALID.]]),tabItens[[#This Row],[ATA DT.VALID.]]="",tabItens[[#This Row],[ATA DT.VALID.]]=" "),"",IF(TYPE(tabItens[[#This Row],[ATA DT.VALID.]])=1,ROUNDUP((tabItens[[#This Row],[ATA DT.VALID.]]-TODAY())/7,0),""))</f>
        <v/>
      </c>
      <c r="AQ178" s="314">
        <v>0</v>
      </c>
      <c r="AR178" s="315" t="str">
        <f>IF(ISBLANK(tabItens[[#This Row],[CÓDIGO]]),"",IFERROR(VLOOKUP(tabItens[[#This Row],[CÓDIGO]],Consumo!$C$2:$AC$869,26,FALSE),0))</f>
        <v>05.2023</v>
      </c>
      <c r="AS178" s="316">
        <f>SUMIF(Consumo!$C$3:$C$869,tabItens[[#This Row],[CÓDIGO]],Consumo!$N$3:$N$869) + SUMIF(Consumo!$C$3:$C$869,tabItens[[#This Row],[CÓDIGO]],Consumo!$O$3:$O$869) + SUMIF(Consumo!$C$3:$C$869,tabItens[[#This Row],[CÓDIGO]],Consumo!$P$3:$P$869) + SUMIF(Consumo!$C$3:$C$869,tabItens[[#This Row],[CÓDIGO]],Consumo!$Q$3:$Q$869)</f>
        <v>130</v>
      </c>
      <c r="AT178" s="316">
        <f>SUMIF(Consumo!$C$3:$C$869,tabItens[[#This Row],[CÓDIGO]],Consumo!$Z$3:$Z$869)</f>
        <v>555</v>
      </c>
      <c r="AU178" s="317">
        <f>SUMIF(Consumo!$C$3:$C$869,tabItens[[#This Row],[CÓDIGO]],Consumo!$AA$3:$AA$869)</f>
        <v>103</v>
      </c>
      <c r="AV178" s="318">
        <f>SUMIF(Consumo!$C$3:$C$869,tabItens[[#This Row],[CÓDIGO]],Consumo!$Y$3:$Y$869)</f>
        <v>46.25</v>
      </c>
      <c r="AW178" s="291">
        <f>tabItens[[#This Row],[QTDE ATUAL]] + tabItens[[#This Row],[RC QTDE]] + tabItens[[#This Row],[AF SALDO]] + tabItens[[#This Row],[Recentes]]</f>
        <v>1018</v>
      </c>
      <c r="AX178" s="319">
        <v>100</v>
      </c>
      <c r="AY178" s="319">
        <v>4</v>
      </c>
      <c r="AZ178" s="319">
        <f>IF(ISBLANK(tabItens[[#This Row],[CÓDIGO]]),"",tabItens[[#This Row],[PontoMês]] * (AZ$2+tabItens[[#This Row],[PontoQtM]]))</f>
        <v>400</v>
      </c>
      <c r="BA178" s="318">
        <f>tabItens[[#This Row],[PontoPed]] - tabItens[[#This Row],[Saldo]] + (1/10)</f>
        <v>-617.9</v>
      </c>
      <c r="BB178" s="318">
        <f xml:space="preserve"> tabItens[[#This Row],[PontoMês]] * BB$2 - tabItens[[#This Row],[QTDE ATUAL]] - (1/10)</f>
        <v>-518.1</v>
      </c>
      <c r="BC178" s="320">
        <f>IF( tabItens[[#This Row],[PontoPed]]&gt;0, IF(tabItens[[#This Row],[PontoPed]]&lt;1, 1, IF( tabItens[[#This Row],[Saldo]]&gt;tabItens[[#This Row],[PontoPed]], 0, (tabItens[[#This Row],[PontoPed]]-tabItens[[#This Row],[Saldo]])/tabItens[[#This Row],[PontoPed]] ) ), 0 )</f>
        <v>0</v>
      </c>
      <c r="BD178" s="321">
        <f>ROUNDDOWN(IF( OR( AND(tabItens[[#This Row],[PontoPed]]&lt;tabItens[[#This Row],[Saldo]],tabItens[[#This Row],[Saldo]]&gt;0), tabItens[[#This Row],[PontoPed]]=0), 99, IF(AND(tabItens[[#This Row],[Saldo]]=0,tabItens[[#This Row],[PontoPed]]&gt;0), 0, (1-tabItens[[#This Row],[PctAb]])*10 ) ),0)</f>
        <v>99</v>
      </c>
      <c r="BE178" s="322">
        <f>MAX(ROUNDDOWN( IF(tabItens[[#This Row],[Abaixo]] &gt; 0,   tabItens[[#This Row],[Abaixo]] + (tabItens[[#This Row],[PontoMês]] * IF( OR( ISBLANK(tabItens[[#This Row],[ATA Nº/ANO]]), tabItens[[#This Row],[ATA Nº/ANO]] = ""),BE$2,BE$1)),0),0),0)</f>
        <v>0</v>
      </c>
      <c r="BF1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23">
        <f>SUMIF(Consumo!$C$3:$C$869,tabItens[[#This Row],[CÓDIGO]],Consumo!$E$3:$E$869)</f>
        <v>0</v>
      </c>
      <c r="BH178" s="324">
        <f>IF(AND(tabItens[[#This Row],[Pend]] &gt; 0,tabItens[[#This Row],[Consumo]] &lt;&gt; 0), tabItens[[#This Row],[Pend]] / tabItens[[#This Row],[Consumo]], 0 )</f>
        <v>0</v>
      </c>
      <c r="BI178" s="323"/>
      <c r="BJ178" s="323"/>
      <c r="BK178" s="325" t="s">
        <v>2064</v>
      </c>
    </row>
    <row r="179" spans="1:63" hidden="1" x14ac:dyDescent="0.3">
      <c r="A179" s="286">
        <v>13072</v>
      </c>
      <c r="B179" s="287" t="s">
        <v>996</v>
      </c>
      <c r="C179" s="288" t="s">
        <v>256</v>
      </c>
      <c r="D179" s="289">
        <v>1.05</v>
      </c>
      <c r="E179" s="290"/>
      <c r="F179" s="290"/>
      <c r="G179" s="290" t="s">
        <v>883</v>
      </c>
      <c r="H179" s="291">
        <v>305</v>
      </c>
      <c r="I179" s="292">
        <v>103003</v>
      </c>
      <c r="J179" s="293">
        <v>1.04565</v>
      </c>
      <c r="K179" s="294">
        <v>284</v>
      </c>
      <c r="L179" s="295">
        <f>IF(tabItens[[#This Row],[Média]] &gt; 0, tabItens[[#This Row],[QTDE ATUAL]] / tabItens[[#This Row],[Média]],999.9)</f>
        <v>10.457142857142857</v>
      </c>
      <c r="M179" s="296">
        <v>0</v>
      </c>
      <c r="N179" s="297">
        <f>tabItens[[#This Row],[VALOR UNIT.]] * tabItens[[#This Row],[LC]]</f>
        <v>0</v>
      </c>
      <c r="O179" s="298" t="s">
        <v>2080</v>
      </c>
      <c r="P179" s="299"/>
      <c r="Q179" s="300"/>
      <c r="R179" s="297"/>
      <c r="S179" s="301"/>
      <c r="T179" s="302">
        <f>ROUNDDOWN(IFERROR(tabItens[[#This Row],[ATA DT.VALID.]] - $D$1,0) / 30,0)</f>
        <v>-1504</v>
      </c>
      <c r="U179" s="287" t="s">
        <v>964</v>
      </c>
      <c r="V179" s="303">
        <v>1</v>
      </c>
      <c r="W179" s="304" t="s">
        <v>2054</v>
      </c>
      <c r="X179" s="305">
        <v>61</v>
      </c>
      <c r="Y179" s="306">
        <v>8</v>
      </c>
      <c r="Z179" s="307">
        <v>2453</v>
      </c>
      <c r="AA179" s="308">
        <v>2023</v>
      </c>
      <c r="AB179" s="309">
        <v>100</v>
      </c>
      <c r="AC179" s="309"/>
      <c r="AD179" s="308"/>
      <c r="AE179" s="309"/>
      <c r="AF179" s="302"/>
      <c r="AG179" s="310" t="s">
        <v>2050</v>
      </c>
      <c r="AH179" s="311"/>
      <c r="AI179" s="302">
        <v>122</v>
      </c>
      <c r="AJ179" s="311">
        <v>43805</v>
      </c>
      <c r="AK179" s="311" t="s">
        <v>883</v>
      </c>
      <c r="AL179" s="311">
        <v>44533</v>
      </c>
      <c r="AM179" s="301"/>
      <c r="AN179" s="290"/>
      <c r="AO179" s="312" t="str">
        <f>_xlfn.IFNA(IF(VLOOKUP(tabItens[[#This Row],[CÓDIGO]],tabExcluirDoEstoque[#Data],1,FALSE),"sim",""),"")</f>
        <v/>
      </c>
      <c r="AP179" s="313" t="str">
        <f ca="1">IF(OR(ISBLANK(tabItens[[#This Row],[ATA DT.VALID.]]),tabItens[[#This Row],[ATA DT.VALID.]]="",tabItens[[#This Row],[ATA DT.VALID.]]=" "),"",IF(TYPE(tabItens[[#This Row],[ATA DT.VALID.]])=1,ROUNDUP((tabItens[[#This Row],[ATA DT.VALID.]]-TODAY())/7,0),""))</f>
        <v/>
      </c>
      <c r="AQ179" s="314">
        <v>0</v>
      </c>
      <c r="AR179" s="315" t="str">
        <f>IF(ISBLANK(tabItens[[#This Row],[CÓDIGO]]),"",IFERROR(VLOOKUP(tabItens[[#This Row],[CÓDIGO]],Consumo!$C$2:$AC$869,26,FALSE),0))</f>
        <v>07.2023</v>
      </c>
      <c r="AS179" s="316">
        <f>SUMIF(Consumo!$C$3:$C$869,tabItens[[#This Row],[CÓDIGO]],Consumo!$N$3:$N$869) + SUMIF(Consumo!$C$3:$C$869,tabItens[[#This Row],[CÓDIGO]],Consumo!$O$3:$O$869) + SUMIF(Consumo!$C$3:$C$869,tabItens[[#This Row],[CÓDIGO]],Consumo!$P$3:$P$869) + SUMIF(Consumo!$C$3:$C$869,tabItens[[#This Row],[CÓDIGO]],Consumo!$Q$3:$Q$869)</f>
        <v>55</v>
      </c>
      <c r="AT179" s="316">
        <f>SUMIF(Consumo!$C$3:$C$869,tabItens[[#This Row],[CÓDIGO]],Consumo!$Z$3:$Z$869)</f>
        <v>360</v>
      </c>
      <c r="AU179" s="317">
        <f>SUMIF(Consumo!$C$3:$C$869,tabItens[[#This Row],[CÓDIGO]],Consumo!$AA$3:$AA$869)</f>
        <v>87</v>
      </c>
      <c r="AV179" s="318">
        <f>SUMIF(Consumo!$C$3:$C$869,tabItens[[#This Row],[CÓDIGO]],Consumo!$Y$3:$Y$869)</f>
        <v>29.166666666666668</v>
      </c>
      <c r="AW179" s="291">
        <f>tabItens[[#This Row],[QTDE ATUAL]] + tabItens[[#This Row],[RC QTDE]] + tabItens[[#This Row],[AF SALDO]] + tabItens[[#This Row],[Recentes]]</f>
        <v>405</v>
      </c>
      <c r="AX179" s="319">
        <v>95</v>
      </c>
      <c r="AY179" s="319">
        <v>4</v>
      </c>
      <c r="AZ179" s="319">
        <f>IF(ISBLANK(tabItens[[#This Row],[CÓDIGO]]),"",tabItens[[#This Row],[PontoMês]] * (AZ$2+tabItens[[#This Row],[PontoQtM]]))</f>
        <v>380</v>
      </c>
      <c r="BA179" s="318">
        <f>tabItens[[#This Row],[PontoPed]] - tabItens[[#This Row],[Saldo]] + (1/10)</f>
        <v>-24.9</v>
      </c>
      <c r="BB179" s="318">
        <f xml:space="preserve"> tabItens[[#This Row],[PontoMês]] * BB$2 - tabItens[[#This Row],[QTDE ATUAL]] - (1/10)</f>
        <v>-210.1</v>
      </c>
      <c r="BC179" s="320">
        <f>IF( tabItens[[#This Row],[PontoPed]]&gt;0, IF(tabItens[[#This Row],[PontoPed]]&lt;1, 1, IF( tabItens[[#This Row],[Saldo]]&gt;tabItens[[#This Row],[PontoPed]], 0, (tabItens[[#This Row],[PontoPed]]-tabItens[[#This Row],[Saldo]])/tabItens[[#This Row],[PontoPed]] ) ), 0 )</f>
        <v>0</v>
      </c>
      <c r="BD179" s="321">
        <f>ROUNDDOWN(IF( OR( AND(tabItens[[#This Row],[PontoPed]]&lt;tabItens[[#This Row],[Saldo]],tabItens[[#This Row],[Saldo]]&gt;0), tabItens[[#This Row],[PontoPed]]=0), 99, IF(AND(tabItens[[#This Row],[Saldo]]=0,tabItens[[#This Row],[PontoPed]]&gt;0), 0, (1-tabItens[[#This Row],[PctAb]])*10 ) ),0)</f>
        <v>99</v>
      </c>
      <c r="BE179" s="322">
        <f>MAX(ROUNDDOWN( IF(tabItens[[#This Row],[Abaixo]] &gt; 0,   tabItens[[#This Row],[Abaixo]] + (tabItens[[#This Row],[PontoMês]] * IF( OR( ISBLANK(tabItens[[#This Row],[ATA Nº/ANO]]), tabItens[[#This Row],[ATA Nº/ANO]] = ""),BE$2,BE$1)),0),0),0)</f>
        <v>0</v>
      </c>
      <c r="BF17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23">
        <f>SUMIF(Consumo!$C$3:$C$869,tabItens[[#This Row],[CÓDIGO]],Consumo!$E$3:$E$869)</f>
        <v>0</v>
      </c>
      <c r="BH179" s="324">
        <f>IF(AND(tabItens[[#This Row],[Pend]] &gt; 0,tabItens[[#This Row],[Consumo]] &lt;&gt; 0), tabItens[[#This Row],[Pend]] / tabItens[[#This Row],[Consumo]], 0 )</f>
        <v>0</v>
      </c>
      <c r="BI179" s="323"/>
      <c r="BJ179" s="323"/>
      <c r="BK179" s="325" t="s">
        <v>2064</v>
      </c>
    </row>
    <row r="180" spans="1:63" hidden="1" x14ac:dyDescent="0.3">
      <c r="A180" s="286">
        <v>13095</v>
      </c>
      <c r="B180" s="287" t="s">
        <v>1004</v>
      </c>
      <c r="C180" s="288" t="s">
        <v>256</v>
      </c>
      <c r="D180" s="289">
        <v>8.41</v>
      </c>
      <c r="E180" s="290"/>
      <c r="F180" s="290"/>
      <c r="G180" s="290" t="s">
        <v>883</v>
      </c>
      <c r="H180" s="291">
        <v>152</v>
      </c>
      <c r="I180" s="292">
        <v>103003</v>
      </c>
      <c r="J180" s="293">
        <v>8.41</v>
      </c>
      <c r="K180" s="294">
        <v>90</v>
      </c>
      <c r="L180" s="295">
        <f>IF(tabItens[[#This Row],[Média]] &gt; 0, tabItens[[#This Row],[QTDE ATUAL]] / tabItens[[#This Row],[Média]],999.9)</f>
        <v>17.53846153846154</v>
      </c>
      <c r="M180" s="296">
        <v>0</v>
      </c>
      <c r="N180" s="297">
        <f>tabItens[[#This Row],[VALOR UNIT.]] * tabItens[[#This Row],[LC]]</f>
        <v>0</v>
      </c>
      <c r="O180" s="298" t="s">
        <v>2080</v>
      </c>
      <c r="P180" s="299"/>
      <c r="Q180" s="300"/>
      <c r="R180" s="297"/>
      <c r="S180" s="301"/>
      <c r="T180" s="302">
        <f>ROUNDDOWN(IFERROR(tabItens[[#This Row],[ATA DT.VALID.]] - $D$1,0) / 30,0)</f>
        <v>-1504</v>
      </c>
      <c r="U180" s="287" t="s">
        <v>964</v>
      </c>
      <c r="V180" s="303">
        <v>1</v>
      </c>
      <c r="W180" s="304" t="s">
        <v>2054</v>
      </c>
      <c r="X180" s="305">
        <v>61</v>
      </c>
      <c r="Y180" s="306">
        <v>8</v>
      </c>
      <c r="Z180" s="307">
        <v>2522</v>
      </c>
      <c r="AA180" s="308">
        <v>2023</v>
      </c>
      <c r="AB180" s="309">
        <v>100</v>
      </c>
      <c r="AC180" s="309"/>
      <c r="AD180" s="308"/>
      <c r="AE180" s="309"/>
      <c r="AF180" s="302"/>
      <c r="AG180" s="310" t="s">
        <v>2050</v>
      </c>
      <c r="AH180" s="311"/>
      <c r="AI180" s="302">
        <v>34</v>
      </c>
      <c r="AJ180" s="311">
        <v>44573</v>
      </c>
      <c r="AK180" s="311" t="s">
        <v>883</v>
      </c>
      <c r="AL180" s="311">
        <v>44522</v>
      </c>
      <c r="AM180" s="301"/>
      <c r="AN180" s="290"/>
      <c r="AO180" s="312" t="str">
        <f>_xlfn.IFNA(IF(VLOOKUP(tabItens[[#This Row],[CÓDIGO]],tabExcluirDoEstoque[#Data],1,FALSE),"sim",""),"")</f>
        <v/>
      </c>
      <c r="AP180" s="313" t="str">
        <f ca="1">IF(OR(ISBLANK(tabItens[[#This Row],[ATA DT.VALID.]]),tabItens[[#This Row],[ATA DT.VALID.]]="",tabItens[[#This Row],[ATA DT.VALID.]]=" "),"",IF(TYPE(tabItens[[#This Row],[ATA DT.VALID.]])=1,ROUNDUP((tabItens[[#This Row],[ATA DT.VALID.]]-TODAY())/7,0),""))</f>
        <v/>
      </c>
      <c r="AQ180" s="314">
        <v>0</v>
      </c>
      <c r="AR180" s="315" t="str">
        <f>IF(ISBLANK(tabItens[[#This Row],[CÓDIGO]]),"",IFERROR(VLOOKUP(tabItens[[#This Row],[CÓDIGO]],Consumo!$C$2:$AC$869,26,FALSE),0))</f>
        <v>04.2023</v>
      </c>
      <c r="AS180" s="316">
        <f>SUMIF(Consumo!$C$3:$C$869,tabItens[[#This Row],[CÓDIGO]],Consumo!$N$3:$N$869) + SUMIF(Consumo!$C$3:$C$869,tabItens[[#This Row],[CÓDIGO]],Consumo!$O$3:$O$869) + SUMIF(Consumo!$C$3:$C$869,tabItens[[#This Row],[CÓDIGO]],Consumo!$P$3:$P$869) + SUMIF(Consumo!$C$3:$C$869,tabItens[[#This Row],[CÓDIGO]],Consumo!$Q$3:$Q$869)</f>
        <v>19</v>
      </c>
      <c r="AT180" s="316">
        <f>SUMIF(Consumo!$C$3:$C$869,tabItens[[#This Row],[CÓDIGO]],Consumo!$Z$3:$Z$869)</f>
        <v>104</v>
      </c>
      <c r="AU180" s="317">
        <f>SUMIF(Consumo!$C$3:$C$869,tabItens[[#This Row],[CÓDIGO]],Consumo!$AA$3:$AA$869)</f>
        <v>21</v>
      </c>
      <c r="AV180" s="318">
        <f>SUMIF(Consumo!$C$3:$C$869,tabItens[[#This Row],[CÓDIGO]],Consumo!$Y$3:$Y$869)</f>
        <v>8.6666666666666661</v>
      </c>
      <c r="AW180" s="291">
        <f>tabItens[[#This Row],[QTDE ATUAL]] + tabItens[[#This Row],[RC QTDE]] + tabItens[[#This Row],[AF SALDO]] + tabItens[[#This Row],[Recentes]]</f>
        <v>252</v>
      </c>
      <c r="AX180" s="319">
        <v>20</v>
      </c>
      <c r="AY180" s="319">
        <v>4</v>
      </c>
      <c r="AZ180" s="319">
        <f>IF(ISBLANK(tabItens[[#This Row],[CÓDIGO]]),"",tabItens[[#This Row],[PontoMês]] * (AZ$2+tabItens[[#This Row],[PontoQtM]]))</f>
        <v>80</v>
      </c>
      <c r="BA180" s="318">
        <f>tabItens[[#This Row],[PontoPed]] - tabItens[[#This Row],[Saldo]] + (1/10)</f>
        <v>-171.9</v>
      </c>
      <c r="BB180" s="318">
        <f xml:space="preserve"> tabItens[[#This Row],[PontoMês]] * BB$2 - tabItens[[#This Row],[QTDE ATUAL]] - (1/10)</f>
        <v>-132.1</v>
      </c>
      <c r="BC180" s="320">
        <f>IF( tabItens[[#This Row],[PontoPed]]&gt;0, IF(tabItens[[#This Row],[PontoPed]]&lt;1, 1, IF( tabItens[[#This Row],[Saldo]]&gt;tabItens[[#This Row],[PontoPed]], 0, (tabItens[[#This Row],[PontoPed]]-tabItens[[#This Row],[Saldo]])/tabItens[[#This Row],[PontoPed]] ) ), 0 )</f>
        <v>0</v>
      </c>
      <c r="BD180" s="321">
        <f>ROUNDDOWN(IF( OR( AND(tabItens[[#This Row],[PontoPed]]&lt;tabItens[[#This Row],[Saldo]],tabItens[[#This Row],[Saldo]]&gt;0), tabItens[[#This Row],[PontoPed]]=0), 99, IF(AND(tabItens[[#This Row],[Saldo]]=0,tabItens[[#This Row],[PontoPed]]&gt;0), 0, (1-tabItens[[#This Row],[PctAb]])*10 ) ),0)</f>
        <v>99</v>
      </c>
      <c r="BE180" s="322">
        <f>MAX(ROUNDDOWN( IF(tabItens[[#This Row],[Abaixo]] &gt; 0,   tabItens[[#This Row],[Abaixo]] + (tabItens[[#This Row],[PontoMês]] * IF( OR( ISBLANK(tabItens[[#This Row],[ATA Nº/ANO]]), tabItens[[#This Row],[ATA Nº/ANO]] = ""),BE$2,BE$1)),0),0),0)</f>
        <v>0</v>
      </c>
      <c r="BF18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23">
        <f>SUMIF(Consumo!$C$3:$C$869,tabItens[[#This Row],[CÓDIGO]],Consumo!$E$3:$E$869)</f>
        <v>0</v>
      </c>
      <c r="BH180" s="324">
        <f>IF(AND(tabItens[[#This Row],[Pend]] &gt; 0,tabItens[[#This Row],[Consumo]] &lt;&gt; 0), tabItens[[#This Row],[Pend]] / tabItens[[#This Row],[Consumo]], 0 )</f>
        <v>0</v>
      </c>
      <c r="BI180" s="323"/>
      <c r="BJ180" s="323"/>
      <c r="BK180" s="325" t="s">
        <v>2064</v>
      </c>
    </row>
    <row r="181" spans="1:63" hidden="1" x14ac:dyDescent="0.3">
      <c r="A181" s="286">
        <v>13517</v>
      </c>
      <c r="B181" s="287" t="s">
        <v>1032</v>
      </c>
      <c r="C181" s="288" t="s">
        <v>256</v>
      </c>
      <c r="D181" s="289">
        <v>5.15</v>
      </c>
      <c r="E181" s="290"/>
      <c r="F181" s="290"/>
      <c r="G181" s="290" t="s">
        <v>883</v>
      </c>
      <c r="H181" s="291">
        <v>362</v>
      </c>
      <c r="I181" s="292">
        <v>103003</v>
      </c>
      <c r="J181" s="293">
        <v>5.15</v>
      </c>
      <c r="K181" s="294">
        <v>46</v>
      </c>
      <c r="L181" s="295">
        <f>IF(tabItens[[#This Row],[Média]] &gt; 0, tabItens[[#This Row],[QTDE ATUAL]] / tabItens[[#This Row],[Média]],999.9)</f>
        <v>92.425531914893625</v>
      </c>
      <c r="M181" s="296">
        <v>0</v>
      </c>
      <c r="N181" s="297">
        <f>tabItens[[#This Row],[VALOR UNIT.]] * tabItens[[#This Row],[LC]]</f>
        <v>0</v>
      </c>
      <c r="O181" s="298" t="s">
        <v>2080</v>
      </c>
      <c r="P181" s="299"/>
      <c r="Q181" s="300"/>
      <c r="R181" s="297"/>
      <c r="S181" s="301"/>
      <c r="T181" s="302">
        <f>ROUNDDOWN(IFERROR(tabItens[[#This Row],[ATA DT.VALID.]] - $D$1,0) / 30,0)</f>
        <v>-1504</v>
      </c>
      <c r="U181" s="287" t="s">
        <v>964</v>
      </c>
      <c r="V181" s="303">
        <v>1</v>
      </c>
      <c r="W181" s="304" t="s">
        <v>2054</v>
      </c>
      <c r="X181" s="305">
        <v>61</v>
      </c>
      <c r="Y181" s="306">
        <v>8</v>
      </c>
      <c r="Z181" s="307"/>
      <c r="AA181" s="308"/>
      <c r="AB181" s="309"/>
      <c r="AC181" s="309"/>
      <c r="AD181" s="308"/>
      <c r="AE181" s="309"/>
      <c r="AF181" s="302"/>
      <c r="AG181" s="310" t="s">
        <v>2050</v>
      </c>
      <c r="AH181" s="311"/>
      <c r="AI181" s="302">
        <v>16</v>
      </c>
      <c r="AJ181" s="311">
        <v>44533</v>
      </c>
      <c r="AK181" s="311" t="s">
        <v>883</v>
      </c>
      <c r="AL181" s="311">
        <v>45096</v>
      </c>
      <c r="AM181" s="301"/>
      <c r="AN181" s="290"/>
      <c r="AO181" s="312" t="str">
        <f>_xlfn.IFNA(IF(VLOOKUP(tabItens[[#This Row],[CÓDIGO]],tabExcluirDoEstoque[#Data],1,FALSE),"sim",""),"")</f>
        <v/>
      </c>
      <c r="AP181" s="313" t="str">
        <f ca="1">IF(OR(ISBLANK(tabItens[[#This Row],[ATA DT.VALID.]]),tabItens[[#This Row],[ATA DT.VALID.]]="",tabItens[[#This Row],[ATA DT.VALID.]]=" "),"",IF(TYPE(tabItens[[#This Row],[ATA DT.VALID.]])=1,ROUNDUP((tabItens[[#This Row],[ATA DT.VALID.]]-TODAY())/7,0),""))</f>
        <v/>
      </c>
      <c r="AQ181" s="314">
        <v>0</v>
      </c>
      <c r="AR181" s="315" t="str">
        <f>IF(ISBLANK(tabItens[[#This Row],[CÓDIGO]]),"",IFERROR(VLOOKUP(tabItens[[#This Row],[CÓDIGO]],Consumo!$C$2:$AC$869,26,FALSE),0))</f>
        <v>07.2023</v>
      </c>
      <c r="AS181" s="316">
        <f>SUMIF(Consumo!$C$3:$C$869,tabItens[[#This Row],[CÓDIGO]],Consumo!$N$3:$N$869) + SUMIF(Consumo!$C$3:$C$869,tabItens[[#This Row],[CÓDIGO]],Consumo!$O$3:$O$869) + SUMIF(Consumo!$C$3:$C$869,tabItens[[#This Row],[CÓDIGO]],Consumo!$P$3:$P$869) + SUMIF(Consumo!$C$3:$C$869,tabItens[[#This Row],[CÓDIGO]],Consumo!$Q$3:$Q$869)</f>
        <v>21</v>
      </c>
      <c r="AT181" s="316">
        <f>SUMIF(Consumo!$C$3:$C$869,tabItens[[#This Row],[CÓDIGO]],Consumo!$Z$3:$Z$869)</f>
        <v>47</v>
      </c>
      <c r="AU181" s="317">
        <f>SUMIF(Consumo!$C$3:$C$869,tabItens[[#This Row],[CÓDIGO]],Consumo!$AA$3:$AA$869)</f>
        <v>11</v>
      </c>
      <c r="AV181" s="318">
        <f>SUMIF(Consumo!$C$3:$C$869,tabItens[[#This Row],[CÓDIGO]],Consumo!$Y$3:$Y$869)</f>
        <v>3.9166666666666665</v>
      </c>
      <c r="AW181" s="291">
        <f>tabItens[[#This Row],[QTDE ATUAL]] + tabItens[[#This Row],[RC QTDE]] + tabItens[[#This Row],[AF SALDO]] + tabItens[[#This Row],[Recentes]]</f>
        <v>362</v>
      </c>
      <c r="AX181" s="319">
        <v>9</v>
      </c>
      <c r="AY181" s="319">
        <v>4</v>
      </c>
      <c r="AZ181" s="319">
        <f>IF(ISBLANK(tabItens[[#This Row],[CÓDIGO]]),"",tabItens[[#This Row],[PontoMês]] * (AZ$2+tabItens[[#This Row],[PontoQtM]]))</f>
        <v>36</v>
      </c>
      <c r="BA181" s="318">
        <f>tabItens[[#This Row],[PontoPed]] - tabItens[[#This Row],[Saldo]] + (1/10)</f>
        <v>-325.89999999999998</v>
      </c>
      <c r="BB181" s="318">
        <f xml:space="preserve"> tabItens[[#This Row],[PontoMês]] * BB$2 - tabItens[[#This Row],[QTDE ATUAL]] - (1/10)</f>
        <v>-353.1</v>
      </c>
      <c r="BC181" s="320">
        <f>IF( tabItens[[#This Row],[PontoPed]]&gt;0, IF(tabItens[[#This Row],[PontoPed]]&lt;1, 1, IF( tabItens[[#This Row],[Saldo]]&gt;tabItens[[#This Row],[PontoPed]], 0, (tabItens[[#This Row],[PontoPed]]-tabItens[[#This Row],[Saldo]])/tabItens[[#This Row],[PontoPed]] ) ), 0 )</f>
        <v>0</v>
      </c>
      <c r="BD181" s="321">
        <f>ROUNDDOWN(IF( OR( AND(tabItens[[#This Row],[PontoPed]]&lt;tabItens[[#This Row],[Saldo]],tabItens[[#This Row],[Saldo]]&gt;0), tabItens[[#This Row],[PontoPed]]=0), 99, IF(AND(tabItens[[#This Row],[Saldo]]=0,tabItens[[#This Row],[PontoPed]]&gt;0), 0, (1-tabItens[[#This Row],[PctAb]])*10 ) ),0)</f>
        <v>99</v>
      </c>
      <c r="BE181" s="322">
        <f>MAX(ROUNDDOWN( IF(tabItens[[#This Row],[Abaixo]] &gt; 0,   tabItens[[#This Row],[Abaixo]] + (tabItens[[#This Row],[PontoMês]] * IF( OR( ISBLANK(tabItens[[#This Row],[ATA Nº/ANO]]), tabItens[[#This Row],[ATA Nº/ANO]] = ""),BE$2,BE$1)),0),0),0)</f>
        <v>0</v>
      </c>
      <c r="BF1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23">
        <f>SUMIF(Consumo!$C$3:$C$869,tabItens[[#This Row],[CÓDIGO]],Consumo!$E$3:$E$869)</f>
        <v>0</v>
      </c>
      <c r="BH181" s="324">
        <f>IF(AND(tabItens[[#This Row],[Pend]] &gt; 0,tabItens[[#This Row],[Consumo]] &lt;&gt; 0), tabItens[[#This Row],[Pend]] / tabItens[[#This Row],[Consumo]], 0 )</f>
        <v>0</v>
      </c>
      <c r="BI181" s="323"/>
      <c r="BJ181" s="323"/>
      <c r="BK181" s="325" t="s">
        <v>2064</v>
      </c>
    </row>
    <row r="182" spans="1:63" hidden="1" x14ac:dyDescent="0.3">
      <c r="A182" s="286">
        <v>13518</v>
      </c>
      <c r="B182" s="287" t="s">
        <v>1033</v>
      </c>
      <c r="C182" s="288" t="s">
        <v>256</v>
      </c>
      <c r="D182" s="289">
        <v>13.33</v>
      </c>
      <c r="E182" s="290"/>
      <c r="F182" s="290"/>
      <c r="G182" s="290" t="s">
        <v>883</v>
      </c>
      <c r="H182" s="291">
        <v>125</v>
      </c>
      <c r="I182" s="292">
        <v>103003</v>
      </c>
      <c r="J182" s="293">
        <v>13.33</v>
      </c>
      <c r="K182" s="294">
        <v>44</v>
      </c>
      <c r="L182" s="295">
        <f>IF(tabItens[[#This Row],[Média]] &gt; 0, tabItens[[#This Row],[QTDE ATUAL]] / tabItens[[#This Row],[Média]],999.9)</f>
        <v>34.090909090909093</v>
      </c>
      <c r="M182" s="296">
        <v>0</v>
      </c>
      <c r="N182" s="297">
        <f>tabItens[[#This Row],[VALOR UNIT.]] * tabItens[[#This Row],[LC]]</f>
        <v>0</v>
      </c>
      <c r="O182" s="298" t="s">
        <v>2080</v>
      </c>
      <c r="P182" s="299"/>
      <c r="Q182" s="300"/>
      <c r="R182" s="297"/>
      <c r="S182" s="301"/>
      <c r="T182" s="302">
        <f>ROUNDDOWN(IFERROR(tabItens[[#This Row],[ATA DT.VALID.]] - $D$1,0) / 30,0)</f>
        <v>-1504</v>
      </c>
      <c r="U182" s="287" t="s">
        <v>964</v>
      </c>
      <c r="V182" s="303">
        <v>1</v>
      </c>
      <c r="W182" s="304" t="s">
        <v>2054</v>
      </c>
      <c r="X182" s="305">
        <v>61</v>
      </c>
      <c r="Y182" s="306">
        <v>8</v>
      </c>
      <c r="Z182" s="307">
        <v>2522</v>
      </c>
      <c r="AA182" s="308">
        <v>2023</v>
      </c>
      <c r="AB182" s="309">
        <v>50</v>
      </c>
      <c r="AC182" s="309"/>
      <c r="AD182" s="308"/>
      <c r="AE182" s="309"/>
      <c r="AF182" s="302"/>
      <c r="AG182" s="310" t="s">
        <v>2050</v>
      </c>
      <c r="AH182" s="311"/>
      <c r="AI182" s="302">
        <v>16</v>
      </c>
      <c r="AJ182" s="311">
        <v>44547</v>
      </c>
      <c r="AK182" s="311" t="s">
        <v>883</v>
      </c>
      <c r="AL182" s="311">
        <v>44522</v>
      </c>
      <c r="AM182" s="301"/>
      <c r="AN182" s="290"/>
      <c r="AO182" s="312" t="str">
        <f>_xlfn.IFNA(IF(VLOOKUP(tabItens[[#This Row],[CÓDIGO]],tabExcluirDoEstoque[#Data],1,FALSE),"sim",""),"")</f>
        <v/>
      </c>
      <c r="AP182" s="313" t="str">
        <f ca="1">IF(OR(ISBLANK(tabItens[[#This Row],[ATA DT.VALID.]]),tabItens[[#This Row],[ATA DT.VALID.]]="",tabItens[[#This Row],[ATA DT.VALID.]]=" "),"",IF(TYPE(tabItens[[#This Row],[ATA DT.VALID.]])=1,ROUNDUP((tabItens[[#This Row],[ATA DT.VALID.]]-TODAY())/7,0),""))</f>
        <v/>
      </c>
      <c r="AQ182" s="314">
        <v>0</v>
      </c>
      <c r="AR182" s="315" t="str">
        <f>IF(ISBLANK(tabItens[[#This Row],[CÓDIGO]]),"",IFERROR(VLOOKUP(tabItens[[#This Row],[CÓDIGO]],Consumo!$C$2:$AC$869,26,FALSE),0))</f>
        <v>04.2023</v>
      </c>
      <c r="AS182" s="316">
        <f>SUMIF(Consumo!$C$3:$C$869,tabItens[[#This Row],[CÓDIGO]],Consumo!$N$3:$N$869) + SUMIF(Consumo!$C$3:$C$869,tabItens[[#This Row],[CÓDIGO]],Consumo!$O$3:$O$869) + SUMIF(Consumo!$C$3:$C$869,tabItens[[#This Row],[CÓDIGO]],Consumo!$P$3:$P$869) + SUMIF(Consumo!$C$3:$C$869,tabItens[[#This Row],[CÓDIGO]],Consumo!$Q$3:$Q$869)</f>
        <v>15</v>
      </c>
      <c r="AT182" s="316">
        <f>SUMIF(Consumo!$C$3:$C$869,tabItens[[#This Row],[CÓDIGO]],Consumo!$Z$3:$Z$869)</f>
        <v>46</v>
      </c>
      <c r="AU182" s="317">
        <f>SUMIF(Consumo!$C$3:$C$869,tabItens[[#This Row],[CÓDIGO]],Consumo!$AA$3:$AA$869)</f>
        <v>15</v>
      </c>
      <c r="AV182" s="318">
        <f>SUMIF(Consumo!$C$3:$C$869,tabItens[[#This Row],[CÓDIGO]],Consumo!$Y$3:$Y$869)</f>
        <v>3.6666666666666665</v>
      </c>
      <c r="AW182" s="291">
        <f>tabItens[[#This Row],[QTDE ATUAL]] + tabItens[[#This Row],[RC QTDE]] + tabItens[[#This Row],[AF SALDO]] + tabItens[[#This Row],[Recentes]]</f>
        <v>175</v>
      </c>
      <c r="AX182" s="319">
        <v>10</v>
      </c>
      <c r="AY182" s="319">
        <v>4</v>
      </c>
      <c r="AZ182" s="319">
        <f>IF(ISBLANK(tabItens[[#This Row],[CÓDIGO]]),"",tabItens[[#This Row],[PontoMês]] * (AZ$2+tabItens[[#This Row],[PontoQtM]]))</f>
        <v>40</v>
      </c>
      <c r="BA182" s="318">
        <f>tabItens[[#This Row],[PontoPed]] - tabItens[[#This Row],[Saldo]] + (1/10)</f>
        <v>-134.9</v>
      </c>
      <c r="BB182" s="318">
        <f xml:space="preserve"> tabItens[[#This Row],[PontoMês]] * BB$2 - tabItens[[#This Row],[QTDE ATUAL]] - (1/10)</f>
        <v>-115.1</v>
      </c>
      <c r="BC182" s="320">
        <f>IF( tabItens[[#This Row],[PontoPed]]&gt;0, IF(tabItens[[#This Row],[PontoPed]]&lt;1, 1, IF( tabItens[[#This Row],[Saldo]]&gt;tabItens[[#This Row],[PontoPed]], 0, (tabItens[[#This Row],[PontoPed]]-tabItens[[#This Row],[Saldo]])/tabItens[[#This Row],[PontoPed]] ) ), 0 )</f>
        <v>0</v>
      </c>
      <c r="BD182" s="321">
        <f>ROUNDDOWN(IF( OR( AND(tabItens[[#This Row],[PontoPed]]&lt;tabItens[[#This Row],[Saldo]],tabItens[[#This Row],[Saldo]]&gt;0), tabItens[[#This Row],[PontoPed]]=0), 99, IF(AND(tabItens[[#This Row],[Saldo]]=0,tabItens[[#This Row],[PontoPed]]&gt;0), 0, (1-tabItens[[#This Row],[PctAb]])*10 ) ),0)</f>
        <v>99</v>
      </c>
      <c r="BE182" s="322">
        <f>MAX(ROUNDDOWN( IF(tabItens[[#This Row],[Abaixo]] &gt; 0,   tabItens[[#This Row],[Abaixo]] + (tabItens[[#This Row],[PontoMês]] * IF( OR( ISBLANK(tabItens[[#This Row],[ATA Nº/ANO]]), tabItens[[#This Row],[ATA Nº/ANO]] = ""),BE$2,BE$1)),0),0),0)</f>
        <v>0</v>
      </c>
      <c r="BF1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23">
        <f>SUMIF(Consumo!$C$3:$C$869,tabItens[[#This Row],[CÓDIGO]],Consumo!$E$3:$E$869)</f>
        <v>0</v>
      </c>
      <c r="BH182" s="324">
        <f>IF(AND(tabItens[[#This Row],[Pend]] &gt; 0,tabItens[[#This Row],[Consumo]] &lt;&gt; 0), tabItens[[#This Row],[Pend]] / tabItens[[#This Row],[Consumo]], 0 )</f>
        <v>0</v>
      </c>
      <c r="BI182" s="323"/>
      <c r="BJ182" s="323"/>
      <c r="BK182" s="325" t="s">
        <v>2064</v>
      </c>
    </row>
    <row r="183" spans="1:63" hidden="1" x14ac:dyDescent="0.3">
      <c r="A183" s="286">
        <v>16956</v>
      </c>
      <c r="B183" s="287" t="s">
        <v>1117</v>
      </c>
      <c r="C183" s="288" t="s">
        <v>256</v>
      </c>
      <c r="D183" s="289">
        <v>0.93</v>
      </c>
      <c r="E183" s="290"/>
      <c r="F183" s="290"/>
      <c r="G183" s="290" t="s">
        <v>883</v>
      </c>
      <c r="H183" s="291">
        <v>143</v>
      </c>
      <c r="I183" s="292">
        <v>103003</v>
      </c>
      <c r="J183" s="293">
        <v>0.93</v>
      </c>
      <c r="K183" s="294">
        <v>82</v>
      </c>
      <c r="L183" s="295">
        <f>IF(tabItens[[#This Row],[Média]] &gt; 0, tabItens[[#This Row],[QTDE ATUAL]] / tabItens[[#This Row],[Média]],999.9)</f>
        <v>20.926829268292686</v>
      </c>
      <c r="M183" s="296">
        <v>0</v>
      </c>
      <c r="N183" s="297">
        <f>tabItens[[#This Row],[VALOR UNIT.]] * tabItens[[#This Row],[LC]]</f>
        <v>0</v>
      </c>
      <c r="O183" s="298" t="s">
        <v>2080</v>
      </c>
      <c r="P183" s="299"/>
      <c r="Q183" s="300"/>
      <c r="R183" s="297"/>
      <c r="S183" s="301"/>
      <c r="T183" s="302">
        <f>ROUNDDOWN(IFERROR(tabItens[[#This Row],[ATA DT.VALID.]] - $D$1,0) / 30,0)</f>
        <v>-1504</v>
      </c>
      <c r="U183" s="287" t="s">
        <v>964</v>
      </c>
      <c r="V183" s="303">
        <v>1</v>
      </c>
      <c r="W183" s="304" t="s">
        <v>2054</v>
      </c>
      <c r="X183" s="305">
        <v>61</v>
      </c>
      <c r="Y183" s="306">
        <v>8</v>
      </c>
      <c r="Z183" s="307"/>
      <c r="AA183" s="308"/>
      <c r="AB183" s="309"/>
      <c r="AC183" s="309"/>
      <c r="AD183" s="308"/>
      <c r="AE183" s="309"/>
      <c r="AF183" s="302"/>
      <c r="AG183" s="310" t="s">
        <v>2050</v>
      </c>
      <c r="AH183" s="311"/>
      <c r="AI183" s="302">
        <v>28</v>
      </c>
      <c r="AJ183" s="311">
        <v>44573</v>
      </c>
      <c r="AK183" s="311" t="s">
        <v>883</v>
      </c>
      <c r="AL183" s="311">
        <v>44985</v>
      </c>
      <c r="AM183" s="301"/>
      <c r="AN183" s="290"/>
      <c r="AO183" s="312" t="str">
        <f>_xlfn.IFNA(IF(VLOOKUP(tabItens[[#This Row],[CÓDIGO]],tabExcluirDoEstoque[#Data],1,FALSE),"sim",""),"")</f>
        <v/>
      </c>
      <c r="AP183" s="313" t="str">
        <f ca="1">IF(OR(ISBLANK(tabItens[[#This Row],[ATA DT.VALID.]]),tabItens[[#This Row],[ATA DT.VALID.]]="",tabItens[[#This Row],[ATA DT.VALID.]]=" "),"",IF(TYPE(tabItens[[#This Row],[ATA DT.VALID.]])=1,ROUNDUP((tabItens[[#This Row],[ATA DT.VALID.]]-TODAY())/7,0),""))</f>
        <v/>
      </c>
      <c r="AQ183" s="314">
        <v>0</v>
      </c>
      <c r="AR183" s="315" t="str">
        <f>IF(ISBLANK(tabItens[[#This Row],[CÓDIGO]]),"",IFERROR(VLOOKUP(tabItens[[#This Row],[CÓDIGO]],Consumo!$C$2:$AC$869,26,FALSE),0))</f>
        <v>07.2023</v>
      </c>
      <c r="AS183" s="316">
        <f>SUMIF(Consumo!$C$3:$C$869,tabItens[[#This Row],[CÓDIGO]],Consumo!$N$3:$N$869) + SUMIF(Consumo!$C$3:$C$869,tabItens[[#This Row],[CÓDIGO]],Consumo!$O$3:$O$869) + SUMIF(Consumo!$C$3:$C$869,tabItens[[#This Row],[CÓDIGO]],Consumo!$P$3:$P$869) + SUMIF(Consumo!$C$3:$C$869,tabItens[[#This Row],[CÓDIGO]],Consumo!$Q$3:$Q$869)</f>
        <v>60</v>
      </c>
      <c r="AT183" s="316">
        <f>SUMIF(Consumo!$C$3:$C$869,tabItens[[#This Row],[CÓDIGO]],Consumo!$Z$3:$Z$869)</f>
        <v>82</v>
      </c>
      <c r="AU183" s="317">
        <f>SUMIF(Consumo!$C$3:$C$869,tabItens[[#This Row],[CÓDIGO]],Consumo!$AA$3:$AA$869)</f>
        <v>30</v>
      </c>
      <c r="AV183" s="318">
        <f>SUMIF(Consumo!$C$3:$C$869,tabItens[[#This Row],[CÓDIGO]],Consumo!$Y$3:$Y$869)</f>
        <v>6.833333333333333</v>
      </c>
      <c r="AW183" s="291">
        <f>tabItens[[#This Row],[QTDE ATUAL]] + tabItens[[#This Row],[RC QTDE]] + tabItens[[#This Row],[AF SALDO]] + tabItens[[#This Row],[Recentes]]</f>
        <v>143</v>
      </c>
      <c r="AX183" s="319">
        <v>17</v>
      </c>
      <c r="AY183" s="319">
        <v>4</v>
      </c>
      <c r="AZ183" s="319">
        <f>IF(ISBLANK(tabItens[[#This Row],[CÓDIGO]]),"",tabItens[[#This Row],[PontoMês]] * (AZ$2+tabItens[[#This Row],[PontoQtM]]))</f>
        <v>68</v>
      </c>
      <c r="BA183" s="318">
        <f>tabItens[[#This Row],[PontoPed]] - tabItens[[#This Row],[Saldo]] + (1/10)</f>
        <v>-74.900000000000006</v>
      </c>
      <c r="BB183" s="318">
        <f xml:space="preserve"> tabItens[[#This Row],[PontoMês]] * BB$2 - tabItens[[#This Row],[QTDE ATUAL]] - (1/10)</f>
        <v>-126.1</v>
      </c>
      <c r="BC183" s="320">
        <f>IF( tabItens[[#This Row],[PontoPed]]&gt;0, IF(tabItens[[#This Row],[PontoPed]]&lt;1, 1, IF( tabItens[[#This Row],[Saldo]]&gt;tabItens[[#This Row],[PontoPed]], 0, (tabItens[[#This Row],[PontoPed]]-tabItens[[#This Row],[Saldo]])/tabItens[[#This Row],[PontoPed]] ) ), 0 )</f>
        <v>0</v>
      </c>
      <c r="BD183" s="321">
        <f>ROUNDDOWN(IF( OR( AND(tabItens[[#This Row],[PontoPed]]&lt;tabItens[[#This Row],[Saldo]],tabItens[[#This Row],[Saldo]]&gt;0), tabItens[[#This Row],[PontoPed]]=0), 99, IF(AND(tabItens[[#This Row],[Saldo]]=0,tabItens[[#This Row],[PontoPed]]&gt;0), 0, (1-tabItens[[#This Row],[PctAb]])*10 ) ),0)</f>
        <v>99</v>
      </c>
      <c r="BE183" s="322">
        <f>MAX(ROUNDDOWN( IF(tabItens[[#This Row],[Abaixo]] &gt; 0,   tabItens[[#This Row],[Abaixo]] + (tabItens[[#This Row],[PontoMês]] * IF( OR( ISBLANK(tabItens[[#This Row],[ATA Nº/ANO]]), tabItens[[#This Row],[ATA Nº/ANO]] = ""),BE$2,BE$1)),0),0),0)</f>
        <v>0</v>
      </c>
      <c r="BF18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23">
        <f>SUMIF(Consumo!$C$3:$C$869,tabItens[[#This Row],[CÓDIGO]],Consumo!$E$3:$E$869)</f>
        <v>0</v>
      </c>
      <c r="BH183" s="324">
        <f>IF(AND(tabItens[[#This Row],[Pend]] &gt; 0,tabItens[[#This Row],[Consumo]] &lt;&gt; 0), tabItens[[#This Row],[Pend]] / tabItens[[#This Row],[Consumo]], 0 )</f>
        <v>0</v>
      </c>
      <c r="BI183" s="323"/>
      <c r="BJ183" s="323"/>
      <c r="BK183" s="325" t="s">
        <v>2064</v>
      </c>
    </row>
    <row r="184" spans="1:63" hidden="1" x14ac:dyDescent="0.3">
      <c r="A184" s="286">
        <v>16978</v>
      </c>
      <c r="B184" s="287" t="s">
        <v>1118</v>
      </c>
      <c r="C184" s="288" t="s">
        <v>256</v>
      </c>
      <c r="D184" s="289">
        <v>0.55000000000000004</v>
      </c>
      <c r="E184" s="290"/>
      <c r="F184" s="290"/>
      <c r="G184" s="290" t="s">
        <v>883</v>
      </c>
      <c r="H184" s="291">
        <v>868</v>
      </c>
      <c r="I184" s="292">
        <v>103003</v>
      </c>
      <c r="J184" s="293">
        <v>0.55000000000000004</v>
      </c>
      <c r="K184" s="294">
        <v>147</v>
      </c>
      <c r="L184" s="295">
        <f>IF(tabItens[[#This Row],[Média]] &gt; 0, tabItens[[#This Row],[QTDE ATUAL]] / tabItens[[#This Row],[Média]],999.9)</f>
        <v>72.333333333333329</v>
      </c>
      <c r="M184" s="296">
        <v>0</v>
      </c>
      <c r="N184" s="297">
        <f>tabItens[[#This Row],[VALOR UNIT.]] * tabItens[[#This Row],[LC]]</f>
        <v>0</v>
      </c>
      <c r="O184" s="298" t="s">
        <v>2080</v>
      </c>
      <c r="P184" s="299"/>
      <c r="Q184" s="300"/>
      <c r="R184" s="297"/>
      <c r="S184" s="301"/>
      <c r="T184" s="302">
        <f>ROUNDDOWN(IFERROR(tabItens[[#This Row],[ATA DT.VALID.]] - $D$1,0) / 30,0)</f>
        <v>-1504</v>
      </c>
      <c r="U184" s="287" t="s">
        <v>964</v>
      </c>
      <c r="V184" s="303">
        <v>1</v>
      </c>
      <c r="W184" s="304" t="s">
        <v>2054</v>
      </c>
      <c r="X184" s="305">
        <v>61</v>
      </c>
      <c r="Y184" s="306">
        <v>8</v>
      </c>
      <c r="Z184" s="307"/>
      <c r="AA184" s="308"/>
      <c r="AB184" s="309"/>
      <c r="AC184" s="309"/>
      <c r="AD184" s="308"/>
      <c r="AE184" s="309"/>
      <c r="AF184" s="302"/>
      <c r="AG184" s="310" t="s">
        <v>2050</v>
      </c>
      <c r="AH184" s="311"/>
      <c r="AI184" s="302">
        <v>50</v>
      </c>
      <c r="AJ184" s="311">
        <v>44533</v>
      </c>
      <c r="AK184" s="311" t="s">
        <v>883</v>
      </c>
      <c r="AL184" s="311">
        <v>44985</v>
      </c>
      <c r="AM184" s="301"/>
      <c r="AN184" s="290"/>
      <c r="AO184" s="312" t="str">
        <f>_xlfn.IFNA(IF(VLOOKUP(tabItens[[#This Row],[CÓDIGO]],tabExcluirDoEstoque[#Data],1,FALSE),"sim",""),"")</f>
        <v/>
      </c>
      <c r="AP184" s="313" t="str">
        <f ca="1">IF(OR(ISBLANK(tabItens[[#This Row],[ATA DT.VALID.]]),tabItens[[#This Row],[ATA DT.VALID.]]="",tabItens[[#This Row],[ATA DT.VALID.]]=" "),"",IF(TYPE(tabItens[[#This Row],[ATA DT.VALID.]])=1,ROUNDUP((tabItens[[#This Row],[ATA DT.VALID.]]-TODAY())/7,0),""))</f>
        <v/>
      </c>
      <c r="AQ184" s="314">
        <v>0</v>
      </c>
      <c r="AR184" s="315" t="str">
        <f>IF(ISBLANK(tabItens[[#This Row],[CÓDIGO]]),"",IFERROR(VLOOKUP(tabItens[[#This Row],[CÓDIGO]],Consumo!$C$2:$AC$869,26,FALSE),0))</f>
        <v>07.2023</v>
      </c>
      <c r="AS184" s="316">
        <f>SUMIF(Consumo!$C$3:$C$869,tabItens[[#This Row],[CÓDIGO]],Consumo!$N$3:$N$869) + SUMIF(Consumo!$C$3:$C$869,tabItens[[#This Row],[CÓDIGO]],Consumo!$O$3:$O$869) + SUMIF(Consumo!$C$3:$C$869,tabItens[[#This Row],[CÓDIGO]],Consumo!$P$3:$P$869) + SUMIF(Consumo!$C$3:$C$869,tabItens[[#This Row],[CÓDIGO]],Consumo!$Q$3:$Q$869)</f>
        <v>60</v>
      </c>
      <c r="AT184" s="316">
        <f>SUMIF(Consumo!$C$3:$C$869,tabItens[[#This Row],[CÓDIGO]],Consumo!$Z$3:$Z$869)</f>
        <v>147</v>
      </c>
      <c r="AU184" s="317">
        <f>SUMIF(Consumo!$C$3:$C$869,tabItens[[#This Row],[CÓDIGO]],Consumo!$AA$3:$AA$869)</f>
        <v>47</v>
      </c>
      <c r="AV184" s="318">
        <f>SUMIF(Consumo!$C$3:$C$869,tabItens[[#This Row],[CÓDIGO]],Consumo!$Y$3:$Y$869)</f>
        <v>12</v>
      </c>
      <c r="AW184" s="291">
        <f>tabItens[[#This Row],[QTDE ATUAL]] + tabItens[[#This Row],[RC QTDE]] + tabItens[[#This Row],[AF SALDO]] + tabItens[[#This Row],[Recentes]]</f>
        <v>868</v>
      </c>
      <c r="AX184" s="319">
        <v>34</v>
      </c>
      <c r="AY184" s="319">
        <v>4</v>
      </c>
      <c r="AZ184" s="319">
        <f>IF(ISBLANK(tabItens[[#This Row],[CÓDIGO]]),"",tabItens[[#This Row],[PontoMês]] * (AZ$2+tabItens[[#This Row],[PontoQtM]]))</f>
        <v>136</v>
      </c>
      <c r="BA184" s="318">
        <f>tabItens[[#This Row],[PontoPed]] - tabItens[[#This Row],[Saldo]] + (1/10)</f>
        <v>-731.9</v>
      </c>
      <c r="BB184" s="318">
        <f xml:space="preserve"> tabItens[[#This Row],[PontoMês]] * BB$2 - tabItens[[#This Row],[QTDE ATUAL]] - (1/10)</f>
        <v>-834.1</v>
      </c>
      <c r="BC184" s="320">
        <f>IF( tabItens[[#This Row],[PontoPed]]&gt;0, IF(tabItens[[#This Row],[PontoPed]]&lt;1, 1, IF( tabItens[[#This Row],[Saldo]]&gt;tabItens[[#This Row],[PontoPed]], 0, (tabItens[[#This Row],[PontoPed]]-tabItens[[#This Row],[Saldo]])/tabItens[[#This Row],[PontoPed]] ) ), 0 )</f>
        <v>0</v>
      </c>
      <c r="BD184" s="321">
        <f>ROUNDDOWN(IF( OR( AND(tabItens[[#This Row],[PontoPed]]&lt;tabItens[[#This Row],[Saldo]],tabItens[[#This Row],[Saldo]]&gt;0), tabItens[[#This Row],[PontoPed]]=0), 99, IF(AND(tabItens[[#This Row],[Saldo]]=0,tabItens[[#This Row],[PontoPed]]&gt;0), 0, (1-tabItens[[#This Row],[PctAb]])*10 ) ),0)</f>
        <v>99</v>
      </c>
      <c r="BE184" s="322">
        <f>MAX(ROUNDDOWN( IF(tabItens[[#This Row],[Abaixo]] &gt; 0,   tabItens[[#This Row],[Abaixo]] + (tabItens[[#This Row],[PontoMês]] * IF( OR( ISBLANK(tabItens[[#This Row],[ATA Nº/ANO]]), tabItens[[#This Row],[ATA Nº/ANO]] = ""),BE$2,BE$1)),0),0),0)</f>
        <v>0</v>
      </c>
      <c r="BF1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23">
        <f>SUMIF(Consumo!$C$3:$C$869,tabItens[[#This Row],[CÓDIGO]],Consumo!$E$3:$E$869)</f>
        <v>0</v>
      </c>
      <c r="BH184" s="324">
        <f>IF(AND(tabItens[[#This Row],[Pend]] &gt; 0,tabItens[[#This Row],[Consumo]] &lt;&gt; 0), tabItens[[#This Row],[Pend]] / tabItens[[#This Row],[Consumo]], 0 )</f>
        <v>0</v>
      </c>
      <c r="BI184" s="323"/>
      <c r="BJ184" s="323"/>
      <c r="BK184" s="325" t="s">
        <v>2064</v>
      </c>
    </row>
    <row r="185" spans="1:63" hidden="1" x14ac:dyDescent="0.3">
      <c r="A185" s="286">
        <v>28306</v>
      </c>
      <c r="B185" s="287" t="s">
        <v>1232</v>
      </c>
      <c r="C185" s="288" t="s">
        <v>256</v>
      </c>
      <c r="D185" s="289">
        <v>29.08</v>
      </c>
      <c r="E185" s="290"/>
      <c r="F185" s="290"/>
      <c r="G185" s="290" t="s">
        <v>883</v>
      </c>
      <c r="H185" s="291">
        <v>153</v>
      </c>
      <c r="I185" s="292">
        <v>103003</v>
      </c>
      <c r="J185" s="293">
        <v>29.08</v>
      </c>
      <c r="K185" s="294">
        <v>23</v>
      </c>
      <c r="L185" s="295">
        <f>IF(tabItens[[#This Row],[Média]] &gt; 0, tabItens[[#This Row],[QTDE ATUAL]] / tabItens[[#This Row],[Média]],999.9)</f>
        <v>79.826086956521735</v>
      </c>
      <c r="M185" s="296">
        <v>0</v>
      </c>
      <c r="N185" s="297">
        <f>tabItens[[#This Row],[VALOR UNIT.]] * tabItens[[#This Row],[LC]]</f>
        <v>0</v>
      </c>
      <c r="O185" s="298" t="s">
        <v>2080</v>
      </c>
      <c r="P185" s="299"/>
      <c r="Q185" s="300"/>
      <c r="R185" s="297"/>
      <c r="S185" s="301"/>
      <c r="T185" s="302">
        <f>ROUNDDOWN(IFERROR(tabItens[[#This Row],[ATA DT.VALID.]] - $D$1,0) / 30,0)</f>
        <v>-1504</v>
      </c>
      <c r="U185" s="287" t="s">
        <v>964</v>
      </c>
      <c r="V185" s="303">
        <v>1</v>
      </c>
      <c r="W185" s="304" t="s">
        <v>2054</v>
      </c>
      <c r="X185" s="305">
        <v>61</v>
      </c>
      <c r="Y185" s="306">
        <v>8</v>
      </c>
      <c r="Z185" s="307"/>
      <c r="AA185" s="308"/>
      <c r="AB185" s="309"/>
      <c r="AC185" s="309"/>
      <c r="AD185" s="308"/>
      <c r="AE185" s="309"/>
      <c r="AF185" s="302"/>
      <c r="AG185" s="310" t="s">
        <v>2050</v>
      </c>
      <c r="AH185" s="311"/>
      <c r="AI185" s="302">
        <v>8</v>
      </c>
      <c r="AJ185" s="311">
        <v>44573</v>
      </c>
      <c r="AK185" s="311" t="s">
        <v>883</v>
      </c>
      <c r="AL185" s="311">
        <v>44522</v>
      </c>
      <c r="AM185" s="301"/>
      <c r="AN185" s="290"/>
      <c r="AO185" s="312" t="str">
        <f>_xlfn.IFNA(IF(VLOOKUP(tabItens[[#This Row],[CÓDIGO]],tabExcluirDoEstoque[#Data],1,FALSE),"sim",""),"")</f>
        <v/>
      </c>
      <c r="AP185" s="313" t="str">
        <f ca="1">IF(OR(ISBLANK(tabItens[[#This Row],[ATA DT.VALID.]]),tabItens[[#This Row],[ATA DT.VALID.]]="",tabItens[[#This Row],[ATA DT.VALID.]]=" "),"",IF(TYPE(tabItens[[#This Row],[ATA DT.VALID.]])=1,ROUNDUP((tabItens[[#This Row],[ATA DT.VALID.]]-TODAY())/7,0),""))</f>
        <v/>
      </c>
      <c r="AQ185" s="314">
        <v>0</v>
      </c>
      <c r="AR185" s="315" t="str">
        <f>IF(ISBLANK(tabItens[[#This Row],[CÓDIGO]]),"",IFERROR(VLOOKUP(tabItens[[#This Row],[CÓDIGO]],Consumo!$C$2:$AC$869,26,FALSE),0))</f>
        <v>04.2023</v>
      </c>
      <c r="AS185" s="316">
        <f>SUMIF(Consumo!$C$3:$C$869,tabItens[[#This Row],[CÓDIGO]],Consumo!$N$3:$N$869) + SUMIF(Consumo!$C$3:$C$869,tabItens[[#This Row],[CÓDIGO]],Consumo!$O$3:$O$869) + SUMIF(Consumo!$C$3:$C$869,tabItens[[#This Row],[CÓDIGO]],Consumo!$P$3:$P$869) + SUMIF(Consumo!$C$3:$C$869,tabItens[[#This Row],[CÓDIGO]],Consumo!$Q$3:$Q$869)</f>
        <v>5</v>
      </c>
      <c r="AT185" s="316">
        <f>SUMIF(Consumo!$C$3:$C$869,tabItens[[#This Row],[CÓDIGO]],Consumo!$Z$3:$Z$869)</f>
        <v>23</v>
      </c>
      <c r="AU185" s="317">
        <f>SUMIF(Consumo!$C$3:$C$869,tabItens[[#This Row],[CÓDIGO]],Consumo!$AA$3:$AA$869)</f>
        <v>5</v>
      </c>
      <c r="AV185" s="318">
        <f>SUMIF(Consumo!$C$3:$C$869,tabItens[[#This Row],[CÓDIGO]],Consumo!$Y$3:$Y$869)</f>
        <v>1.9166666666666667</v>
      </c>
      <c r="AW185" s="291">
        <f>tabItens[[#This Row],[QTDE ATUAL]] + tabItens[[#This Row],[RC QTDE]] + tabItens[[#This Row],[AF SALDO]] + tabItens[[#This Row],[Recentes]]</f>
        <v>153</v>
      </c>
      <c r="AX185" s="319">
        <v>7</v>
      </c>
      <c r="AY185" s="319">
        <v>4</v>
      </c>
      <c r="AZ185" s="319">
        <f>IF(ISBLANK(tabItens[[#This Row],[CÓDIGO]]),"",tabItens[[#This Row],[PontoMês]] * (AZ$2+tabItens[[#This Row],[PontoQtM]]))</f>
        <v>28</v>
      </c>
      <c r="BA185" s="318">
        <f>tabItens[[#This Row],[PontoPed]] - tabItens[[#This Row],[Saldo]] + (1/10)</f>
        <v>-124.9</v>
      </c>
      <c r="BB185" s="318">
        <f xml:space="preserve"> tabItens[[#This Row],[PontoMês]] * BB$2 - tabItens[[#This Row],[QTDE ATUAL]] - (1/10)</f>
        <v>-146.1</v>
      </c>
      <c r="BC185" s="320">
        <f>IF( tabItens[[#This Row],[PontoPed]]&gt;0, IF(tabItens[[#This Row],[PontoPed]]&lt;1, 1, IF( tabItens[[#This Row],[Saldo]]&gt;tabItens[[#This Row],[PontoPed]], 0, (tabItens[[#This Row],[PontoPed]]-tabItens[[#This Row],[Saldo]])/tabItens[[#This Row],[PontoPed]] ) ), 0 )</f>
        <v>0</v>
      </c>
      <c r="BD185" s="321">
        <f>ROUNDDOWN(IF( OR( AND(tabItens[[#This Row],[PontoPed]]&lt;tabItens[[#This Row],[Saldo]],tabItens[[#This Row],[Saldo]]&gt;0), tabItens[[#This Row],[PontoPed]]=0), 99, IF(AND(tabItens[[#This Row],[Saldo]]=0,tabItens[[#This Row],[PontoPed]]&gt;0), 0, (1-tabItens[[#This Row],[PctAb]])*10 ) ),0)</f>
        <v>99</v>
      </c>
      <c r="BE185" s="322">
        <f>MAX(ROUNDDOWN( IF(tabItens[[#This Row],[Abaixo]] &gt; 0,   tabItens[[#This Row],[Abaixo]] + (tabItens[[#This Row],[PontoMês]] * IF( OR( ISBLANK(tabItens[[#This Row],[ATA Nº/ANO]]), tabItens[[#This Row],[ATA Nº/ANO]] = ""),BE$2,BE$1)),0),0),0)</f>
        <v>0</v>
      </c>
      <c r="BF18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323">
        <f>SUMIF(Consumo!$C$3:$C$869,tabItens[[#This Row],[CÓDIGO]],Consumo!$E$3:$E$869)</f>
        <v>0</v>
      </c>
      <c r="BH185" s="324">
        <f>IF(AND(tabItens[[#This Row],[Pend]] &gt; 0,tabItens[[#This Row],[Consumo]] &lt;&gt; 0), tabItens[[#This Row],[Pend]] / tabItens[[#This Row],[Consumo]], 0 )</f>
        <v>0</v>
      </c>
      <c r="BI185" s="323"/>
      <c r="BJ185" s="323"/>
      <c r="BK185" s="325" t="s">
        <v>2064</v>
      </c>
    </row>
    <row r="186" spans="1:63" hidden="1" x14ac:dyDescent="0.3">
      <c r="A186" s="286">
        <v>28308</v>
      </c>
      <c r="B186" s="287" t="s">
        <v>1234</v>
      </c>
      <c r="C186" s="288" t="s">
        <v>256</v>
      </c>
      <c r="D186" s="289">
        <v>13.09</v>
      </c>
      <c r="E186" s="290"/>
      <c r="F186" s="290"/>
      <c r="G186" s="290" t="s">
        <v>883</v>
      </c>
      <c r="H186" s="291">
        <v>94</v>
      </c>
      <c r="I186" s="292">
        <v>103003</v>
      </c>
      <c r="J186" s="293">
        <v>13.09</v>
      </c>
      <c r="K186" s="294">
        <v>61</v>
      </c>
      <c r="L186" s="295">
        <f>IF(tabItens[[#This Row],[Média]] &gt; 0, tabItens[[#This Row],[QTDE ATUAL]] / tabItens[[#This Row],[Média]],999.9)</f>
        <v>22.117647058823529</v>
      </c>
      <c r="M186" s="296">
        <v>0</v>
      </c>
      <c r="N186" s="297">
        <f>tabItens[[#This Row],[VALOR UNIT.]] * tabItens[[#This Row],[LC]]</f>
        <v>0</v>
      </c>
      <c r="O186" s="298" t="s">
        <v>2080</v>
      </c>
      <c r="P186" s="299"/>
      <c r="Q186" s="300"/>
      <c r="R186" s="297"/>
      <c r="S186" s="301"/>
      <c r="T186" s="302">
        <f>ROUNDDOWN(IFERROR(tabItens[[#This Row],[ATA DT.VALID.]] - $D$1,0) / 30,0)</f>
        <v>-1504</v>
      </c>
      <c r="U186" s="287" t="s">
        <v>964</v>
      </c>
      <c r="V186" s="303">
        <v>1</v>
      </c>
      <c r="W186" s="304" t="s">
        <v>2054</v>
      </c>
      <c r="X186" s="305">
        <v>61</v>
      </c>
      <c r="Y186" s="306">
        <v>8</v>
      </c>
      <c r="Z186" s="307"/>
      <c r="AA186" s="308"/>
      <c r="AB186" s="309"/>
      <c r="AC186" s="309"/>
      <c r="AD186" s="308"/>
      <c r="AE186" s="309"/>
      <c r="AF186" s="302"/>
      <c r="AG186" s="310" t="s">
        <v>2050</v>
      </c>
      <c r="AH186" s="311"/>
      <c r="AI186" s="302">
        <v>22</v>
      </c>
      <c r="AJ186" s="311">
        <v>44573</v>
      </c>
      <c r="AK186" s="311" t="s">
        <v>883</v>
      </c>
      <c r="AL186" s="311">
        <v>44522</v>
      </c>
      <c r="AM186" s="301"/>
      <c r="AN186" s="290"/>
      <c r="AO186" s="312" t="str">
        <f>_xlfn.IFNA(IF(VLOOKUP(tabItens[[#This Row],[CÓDIGO]],tabExcluirDoEstoque[#Data],1,FALSE),"sim",""),"")</f>
        <v/>
      </c>
      <c r="AP186" s="313" t="str">
        <f ca="1">IF(OR(ISBLANK(tabItens[[#This Row],[ATA DT.VALID.]]),tabItens[[#This Row],[ATA DT.VALID.]]="",tabItens[[#This Row],[ATA DT.VALID.]]=" "),"",IF(TYPE(tabItens[[#This Row],[ATA DT.VALID.]])=1,ROUNDUP((tabItens[[#This Row],[ATA DT.VALID.]]-TODAY())/7,0),""))</f>
        <v/>
      </c>
      <c r="AQ186" s="314">
        <v>0</v>
      </c>
      <c r="AR186" s="315" t="str">
        <f>IF(ISBLANK(tabItens[[#This Row],[CÓDIGO]]),"",IFERROR(VLOOKUP(tabItens[[#This Row],[CÓDIGO]],Consumo!$C$2:$AC$869,26,FALSE),0))</f>
        <v>04.2023</v>
      </c>
      <c r="AS186" s="316">
        <f>SUMIF(Consumo!$C$3:$C$869,tabItens[[#This Row],[CÓDIGO]],Consumo!$N$3:$N$869) + SUMIF(Consumo!$C$3:$C$869,tabItens[[#This Row],[CÓDIGO]],Consumo!$O$3:$O$869) + SUMIF(Consumo!$C$3:$C$869,tabItens[[#This Row],[CÓDIGO]],Consumo!$P$3:$P$869) + SUMIF(Consumo!$C$3:$C$869,tabItens[[#This Row],[CÓDIGO]],Consumo!$Q$3:$Q$869)</f>
        <v>34</v>
      </c>
      <c r="AT186" s="316">
        <f>SUMIF(Consumo!$C$3:$C$869,tabItens[[#This Row],[CÓDIGO]],Consumo!$Z$3:$Z$869)</f>
        <v>61</v>
      </c>
      <c r="AU186" s="317">
        <f>SUMIF(Consumo!$C$3:$C$869,tabItens[[#This Row],[CÓDIGO]],Consumo!$AA$3:$AA$869)</f>
        <v>34</v>
      </c>
      <c r="AV186" s="318">
        <f>SUMIF(Consumo!$C$3:$C$869,tabItens[[#This Row],[CÓDIGO]],Consumo!$Y$3:$Y$869)</f>
        <v>4.25</v>
      </c>
      <c r="AW186" s="291">
        <f>tabItens[[#This Row],[QTDE ATUAL]] + tabItens[[#This Row],[RC QTDE]] + tabItens[[#This Row],[AF SALDO]] + tabItens[[#This Row],[Recentes]]</f>
        <v>94</v>
      </c>
      <c r="AX186" s="319">
        <v>9</v>
      </c>
      <c r="AY186" s="319">
        <v>4</v>
      </c>
      <c r="AZ186" s="319">
        <f>IF(ISBLANK(tabItens[[#This Row],[CÓDIGO]]),"",tabItens[[#This Row],[PontoMês]] * (AZ$2+tabItens[[#This Row],[PontoQtM]]))</f>
        <v>36</v>
      </c>
      <c r="BA186" s="318">
        <f>tabItens[[#This Row],[PontoPed]] - tabItens[[#This Row],[Saldo]] + (1/10)</f>
        <v>-57.9</v>
      </c>
      <c r="BB186" s="318">
        <f xml:space="preserve"> tabItens[[#This Row],[PontoMês]] * BB$2 - tabItens[[#This Row],[QTDE ATUAL]] - (1/10)</f>
        <v>-85.1</v>
      </c>
      <c r="BC186" s="320">
        <f>IF( tabItens[[#This Row],[PontoPed]]&gt;0, IF(tabItens[[#This Row],[PontoPed]]&lt;1, 1, IF( tabItens[[#This Row],[Saldo]]&gt;tabItens[[#This Row],[PontoPed]], 0, (tabItens[[#This Row],[PontoPed]]-tabItens[[#This Row],[Saldo]])/tabItens[[#This Row],[PontoPed]] ) ), 0 )</f>
        <v>0</v>
      </c>
      <c r="BD186" s="321">
        <f>ROUNDDOWN(IF( OR( AND(tabItens[[#This Row],[PontoPed]]&lt;tabItens[[#This Row],[Saldo]],tabItens[[#This Row],[Saldo]]&gt;0), tabItens[[#This Row],[PontoPed]]=0), 99, IF(AND(tabItens[[#This Row],[Saldo]]=0,tabItens[[#This Row],[PontoPed]]&gt;0), 0, (1-tabItens[[#This Row],[PctAb]])*10 ) ),0)</f>
        <v>99</v>
      </c>
      <c r="BE186" s="322">
        <f>MAX(ROUNDDOWN( IF(tabItens[[#This Row],[Abaixo]] &gt; 0,   tabItens[[#This Row],[Abaixo]] + (tabItens[[#This Row],[PontoMês]] * IF( OR( ISBLANK(tabItens[[#This Row],[ATA Nº/ANO]]), tabItens[[#This Row],[ATA Nº/ANO]] = ""),BE$2,BE$1)),0),0),0)</f>
        <v>0</v>
      </c>
      <c r="BF18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323">
        <f>SUMIF(Consumo!$C$3:$C$869,tabItens[[#This Row],[CÓDIGO]],Consumo!$E$3:$E$869)</f>
        <v>0</v>
      </c>
      <c r="BH186" s="324">
        <f>IF(AND(tabItens[[#This Row],[Pend]] &gt; 0,tabItens[[#This Row],[Consumo]] &lt;&gt; 0), tabItens[[#This Row],[Pend]] / tabItens[[#This Row],[Consumo]], 0 )</f>
        <v>0</v>
      </c>
      <c r="BI186" s="323"/>
      <c r="BJ186" s="323"/>
      <c r="BK186" s="325" t="s">
        <v>2064</v>
      </c>
    </row>
    <row r="187" spans="1:63" hidden="1" x14ac:dyDescent="0.3">
      <c r="A187" s="286">
        <v>52994</v>
      </c>
      <c r="B187" s="287" t="s">
        <v>1303</v>
      </c>
      <c r="C187" s="288" t="s">
        <v>256</v>
      </c>
      <c r="D187" s="289">
        <v>10.130000000000001</v>
      </c>
      <c r="E187" s="290"/>
      <c r="F187" s="290"/>
      <c r="G187" s="290" t="s">
        <v>883</v>
      </c>
      <c r="H187" s="291">
        <v>164</v>
      </c>
      <c r="I187" s="292">
        <v>103003</v>
      </c>
      <c r="J187" s="293">
        <v>10.130000000000001</v>
      </c>
      <c r="K187" s="294">
        <v>25</v>
      </c>
      <c r="L187" s="295">
        <f>IF(tabItens[[#This Row],[Média]] &gt; 0, tabItens[[#This Row],[QTDE ATUAL]] / tabItens[[#This Row],[Média]],999.9)</f>
        <v>109.33333333333333</v>
      </c>
      <c r="M187" s="296">
        <v>0</v>
      </c>
      <c r="N187" s="297">
        <f>tabItens[[#This Row],[VALOR UNIT.]] * tabItens[[#This Row],[LC]]</f>
        <v>0</v>
      </c>
      <c r="O187" s="298" t="s">
        <v>2080</v>
      </c>
      <c r="P187" s="299"/>
      <c r="Q187" s="300"/>
      <c r="R187" s="297"/>
      <c r="S187" s="301"/>
      <c r="T187" s="302">
        <f>ROUNDDOWN(IFERROR(tabItens[[#This Row],[ATA DT.VALID.]] - $D$1,0) / 30,0)</f>
        <v>-1504</v>
      </c>
      <c r="U187" s="287" t="s">
        <v>964</v>
      </c>
      <c r="V187" s="303">
        <v>1</v>
      </c>
      <c r="W187" s="304" t="s">
        <v>2054</v>
      </c>
      <c r="X187" s="305">
        <v>61</v>
      </c>
      <c r="Y187" s="306">
        <v>8</v>
      </c>
      <c r="Z187" s="307"/>
      <c r="AA187" s="308"/>
      <c r="AB187" s="309"/>
      <c r="AC187" s="309"/>
      <c r="AD187" s="308"/>
      <c r="AE187" s="309"/>
      <c r="AF187" s="302"/>
      <c r="AG187" s="310" t="s">
        <v>2050</v>
      </c>
      <c r="AH187" s="311"/>
      <c r="AI187" s="302">
        <v>8</v>
      </c>
      <c r="AJ187" s="311">
        <v>44573</v>
      </c>
      <c r="AK187" s="311" t="s">
        <v>883</v>
      </c>
      <c r="AL187" s="311">
        <v>44522</v>
      </c>
      <c r="AM187" s="301"/>
      <c r="AN187" s="290"/>
      <c r="AO187" s="312" t="str">
        <f>_xlfn.IFNA(IF(VLOOKUP(tabItens[[#This Row],[CÓDIGO]],tabExcluirDoEstoque[#Data],1,FALSE),"sim",""),"")</f>
        <v/>
      </c>
      <c r="AP187" s="313" t="str">
        <f ca="1">IF(OR(ISBLANK(tabItens[[#This Row],[ATA DT.VALID.]]),tabItens[[#This Row],[ATA DT.VALID.]]="",tabItens[[#This Row],[ATA DT.VALID.]]=" "),"",IF(TYPE(tabItens[[#This Row],[ATA DT.VALID.]])=1,ROUNDUP((tabItens[[#This Row],[ATA DT.VALID.]]-TODAY())/7,0),""))</f>
        <v/>
      </c>
      <c r="AQ187" s="314">
        <v>0</v>
      </c>
      <c r="AR187" s="315" t="str">
        <f>IF(ISBLANK(tabItens[[#This Row],[CÓDIGO]]),"",IFERROR(VLOOKUP(tabItens[[#This Row],[CÓDIGO]],Consumo!$C$2:$AC$869,26,FALSE),0))</f>
        <v>04.2023</v>
      </c>
      <c r="AS187" s="316">
        <f>SUMIF(Consumo!$C$3:$C$869,tabItens[[#This Row],[CÓDIGO]],Consumo!$N$3:$N$869) + SUMIF(Consumo!$C$3:$C$869,tabItens[[#This Row],[CÓDIGO]],Consumo!$O$3:$O$869) + SUMIF(Consumo!$C$3:$C$869,tabItens[[#This Row],[CÓDIGO]],Consumo!$P$3:$P$869) + SUMIF(Consumo!$C$3:$C$869,tabItens[[#This Row],[CÓDIGO]],Consumo!$Q$3:$Q$869)</f>
        <v>20</v>
      </c>
      <c r="AT187" s="316">
        <f>SUMIF(Consumo!$C$3:$C$869,tabItens[[#This Row],[CÓDIGO]],Consumo!$Z$3:$Z$869)</f>
        <v>25</v>
      </c>
      <c r="AU187" s="317">
        <f>SUMIF(Consumo!$C$3:$C$869,tabItens[[#This Row],[CÓDIGO]],Consumo!$AA$3:$AA$869)</f>
        <v>20</v>
      </c>
      <c r="AV187" s="318">
        <f>SUMIF(Consumo!$C$3:$C$869,tabItens[[#This Row],[CÓDIGO]],Consumo!$Y$3:$Y$869)</f>
        <v>1.5</v>
      </c>
      <c r="AW187" s="291">
        <f>tabItens[[#This Row],[QTDE ATUAL]] + tabItens[[#This Row],[RC QTDE]] + tabItens[[#This Row],[AF SALDO]] + tabItens[[#This Row],[Recentes]]</f>
        <v>164</v>
      </c>
      <c r="AX187" s="319">
        <v>5</v>
      </c>
      <c r="AY187" s="319">
        <v>4</v>
      </c>
      <c r="AZ187" s="319">
        <f>IF(ISBLANK(tabItens[[#This Row],[CÓDIGO]]),"",tabItens[[#This Row],[PontoMês]] * (AZ$2+tabItens[[#This Row],[PontoQtM]]))</f>
        <v>20</v>
      </c>
      <c r="BA187" s="318">
        <f>tabItens[[#This Row],[PontoPed]] - tabItens[[#This Row],[Saldo]] + (1/10)</f>
        <v>-143.9</v>
      </c>
      <c r="BB187" s="318">
        <f xml:space="preserve"> tabItens[[#This Row],[PontoMês]] * BB$2 - tabItens[[#This Row],[QTDE ATUAL]] - (1/10)</f>
        <v>-159.1</v>
      </c>
      <c r="BC187" s="320">
        <f>IF( tabItens[[#This Row],[PontoPed]]&gt;0, IF(tabItens[[#This Row],[PontoPed]]&lt;1, 1, IF( tabItens[[#This Row],[Saldo]]&gt;tabItens[[#This Row],[PontoPed]], 0, (tabItens[[#This Row],[PontoPed]]-tabItens[[#This Row],[Saldo]])/tabItens[[#This Row],[PontoPed]] ) ), 0 )</f>
        <v>0</v>
      </c>
      <c r="BD187" s="321">
        <f>ROUNDDOWN(IF( OR( AND(tabItens[[#This Row],[PontoPed]]&lt;tabItens[[#This Row],[Saldo]],tabItens[[#This Row],[Saldo]]&gt;0), tabItens[[#This Row],[PontoPed]]=0), 99, IF(AND(tabItens[[#This Row],[Saldo]]=0,tabItens[[#This Row],[PontoPed]]&gt;0), 0, (1-tabItens[[#This Row],[PctAb]])*10 ) ),0)</f>
        <v>99</v>
      </c>
      <c r="BE187" s="322">
        <f>MAX(ROUNDDOWN( IF(tabItens[[#This Row],[Abaixo]] &gt; 0,   tabItens[[#This Row],[Abaixo]] + (tabItens[[#This Row],[PontoMês]] * IF( OR( ISBLANK(tabItens[[#This Row],[ATA Nº/ANO]]), tabItens[[#This Row],[ATA Nº/ANO]] = ""),BE$2,BE$1)),0),0),0)</f>
        <v>0</v>
      </c>
      <c r="BF1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323">
        <f>SUMIF(Consumo!$C$3:$C$869,tabItens[[#This Row],[CÓDIGO]],Consumo!$E$3:$E$869)</f>
        <v>0</v>
      </c>
      <c r="BH187" s="324">
        <f>IF(AND(tabItens[[#This Row],[Pend]] &gt; 0,tabItens[[#This Row],[Consumo]] &lt;&gt; 0), tabItens[[#This Row],[Pend]] / tabItens[[#This Row],[Consumo]], 0 )</f>
        <v>0</v>
      </c>
      <c r="BI187" s="323"/>
      <c r="BJ187" s="323"/>
      <c r="BK187" s="325" t="s">
        <v>2064</v>
      </c>
    </row>
    <row r="188" spans="1:63" hidden="1" x14ac:dyDescent="0.3">
      <c r="A188" s="286">
        <v>61201</v>
      </c>
      <c r="B188" s="287" t="s">
        <v>1352</v>
      </c>
      <c r="C188" s="288" t="s">
        <v>256</v>
      </c>
      <c r="D188" s="289">
        <v>5.29</v>
      </c>
      <c r="E188" s="290"/>
      <c r="F188" s="290"/>
      <c r="G188" s="290" t="s">
        <v>883</v>
      </c>
      <c r="H188" s="291">
        <v>1260</v>
      </c>
      <c r="I188" s="292">
        <v>103003</v>
      </c>
      <c r="J188" s="293">
        <v>5.29</v>
      </c>
      <c r="K188" s="294">
        <v>298</v>
      </c>
      <c r="L188" s="295">
        <f>IF(tabItens[[#This Row],[Média]] &gt; 0, tabItens[[#This Row],[QTDE ATUAL]] / tabItens[[#This Row],[Média]],999.9)</f>
        <v>52.5</v>
      </c>
      <c r="M188" s="296">
        <v>0</v>
      </c>
      <c r="N188" s="297">
        <f>tabItens[[#This Row],[VALOR UNIT.]] * tabItens[[#This Row],[LC]]</f>
        <v>0</v>
      </c>
      <c r="O188" s="298" t="s">
        <v>2080</v>
      </c>
      <c r="P188" s="299"/>
      <c r="Q188" s="300"/>
      <c r="R188" s="297"/>
      <c r="S188" s="301"/>
      <c r="T188" s="302">
        <f>ROUNDDOWN(IFERROR(tabItens[[#This Row],[ATA DT.VALID.]] - $D$1,0) / 30,0)</f>
        <v>-1504</v>
      </c>
      <c r="U188" s="287" t="s">
        <v>964</v>
      </c>
      <c r="V188" s="303">
        <v>1</v>
      </c>
      <c r="W188" s="304" t="s">
        <v>2054</v>
      </c>
      <c r="X188" s="305">
        <v>61</v>
      </c>
      <c r="Y188" s="306">
        <v>8</v>
      </c>
      <c r="Z188" s="307"/>
      <c r="AA188" s="308"/>
      <c r="AB188" s="309"/>
      <c r="AC188" s="309"/>
      <c r="AD188" s="308"/>
      <c r="AE188" s="309"/>
      <c r="AF188" s="302"/>
      <c r="AG188" s="310" t="s">
        <v>2050</v>
      </c>
      <c r="AH188" s="311"/>
      <c r="AI188" s="302">
        <v>110</v>
      </c>
      <c r="AJ188" s="311">
        <v>43796</v>
      </c>
      <c r="AK188" s="311" t="s">
        <v>883</v>
      </c>
      <c r="AL188" s="311">
        <v>45096</v>
      </c>
      <c r="AM188" s="301"/>
      <c r="AN188" s="290"/>
      <c r="AO188" s="312" t="str">
        <f>_xlfn.IFNA(IF(VLOOKUP(tabItens[[#This Row],[CÓDIGO]],tabExcluirDoEstoque[#Data],1,FALSE),"sim",""),"")</f>
        <v/>
      </c>
      <c r="AP188" s="313" t="str">
        <f ca="1">IF(OR(ISBLANK(tabItens[[#This Row],[ATA DT.VALID.]]),tabItens[[#This Row],[ATA DT.VALID.]]="",tabItens[[#This Row],[ATA DT.VALID.]]=" "),"",IF(TYPE(tabItens[[#This Row],[ATA DT.VALID.]])=1,ROUNDUP((tabItens[[#This Row],[ATA DT.VALID.]]-TODAY())/7,0),""))</f>
        <v/>
      </c>
      <c r="AQ188" s="314">
        <v>0</v>
      </c>
      <c r="AR188" s="315" t="str">
        <f>IF(ISBLANK(tabItens[[#This Row],[CÓDIGO]]),"",IFERROR(VLOOKUP(tabItens[[#This Row],[CÓDIGO]],Consumo!$C$2:$AC$869,26,FALSE),0))</f>
        <v>05.2023</v>
      </c>
      <c r="AS188" s="316">
        <f>SUMIF(Consumo!$C$3:$C$869,tabItens[[#This Row],[CÓDIGO]],Consumo!$N$3:$N$869) + SUMIF(Consumo!$C$3:$C$869,tabItens[[#This Row],[CÓDIGO]],Consumo!$O$3:$O$869) + SUMIF(Consumo!$C$3:$C$869,tabItens[[#This Row],[CÓDIGO]],Consumo!$P$3:$P$869) + SUMIF(Consumo!$C$3:$C$869,tabItens[[#This Row],[CÓDIGO]],Consumo!$Q$3:$Q$869)</f>
        <v>196</v>
      </c>
      <c r="AT188" s="316">
        <f>SUMIF(Consumo!$C$3:$C$869,tabItens[[#This Row],[CÓDIGO]],Consumo!$Z$3:$Z$869)</f>
        <v>330</v>
      </c>
      <c r="AU188" s="317">
        <f>SUMIF(Consumo!$C$3:$C$869,tabItens[[#This Row],[CÓDIGO]],Consumo!$AA$3:$AA$869)</f>
        <v>152</v>
      </c>
      <c r="AV188" s="318">
        <f>SUMIF(Consumo!$C$3:$C$869,tabItens[[#This Row],[CÓDIGO]],Consumo!$Y$3:$Y$869)</f>
        <v>24</v>
      </c>
      <c r="AW188" s="291">
        <f>tabItens[[#This Row],[QTDE ATUAL]] + tabItens[[#This Row],[RC QTDE]] + tabItens[[#This Row],[AF SALDO]] + tabItens[[#This Row],[Recentes]]</f>
        <v>1260</v>
      </c>
      <c r="AX188" s="319">
        <v>100</v>
      </c>
      <c r="AY188" s="319">
        <v>4</v>
      </c>
      <c r="AZ188" s="319">
        <f>IF(ISBLANK(tabItens[[#This Row],[CÓDIGO]]),"",tabItens[[#This Row],[PontoMês]] * (AZ$2+tabItens[[#This Row],[PontoQtM]]))</f>
        <v>400</v>
      </c>
      <c r="BA188" s="318">
        <f>tabItens[[#This Row],[PontoPed]] - tabItens[[#This Row],[Saldo]] + (1/10)</f>
        <v>-859.9</v>
      </c>
      <c r="BB188" s="318">
        <f xml:space="preserve"> tabItens[[#This Row],[PontoMês]] * BB$2 - tabItens[[#This Row],[QTDE ATUAL]] - (1/10)</f>
        <v>-1160.0999999999999</v>
      </c>
      <c r="BC188" s="320">
        <f>IF( tabItens[[#This Row],[PontoPed]]&gt;0, IF(tabItens[[#This Row],[PontoPed]]&lt;1, 1, IF( tabItens[[#This Row],[Saldo]]&gt;tabItens[[#This Row],[PontoPed]], 0, (tabItens[[#This Row],[PontoPed]]-tabItens[[#This Row],[Saldo]])/tabItens[[#This Row],[PontoPed]] ) ), 0 )</f>
        <v>0</v>
      </c>
      <c r="BD188" s="321">
        <f>ROUNDDOWN(IF( OR( AND(tabItens[[#This Row],[PontoPed]]&lt;tabItens[[#This Row],[Saldo]],tabItens[[#This Row],[Saldo]]&gt;0), tabItens[[#This Row],[PontoPed]]=0), 99, IF(AND(tabItens[[#This Row],[Saldo]]=0,tabItens[[#This Row],[PontoPed]]&gt;0), 0, (1-tabItens[[#This Row],[PctAb]])*10 ) ),0)</f>
        <v>99</v>
      </c>
      <c r="BE188" s="322">
        <f>MAX(ROUNDDOWN( IF(tabItens[[#This Row],[Abaixo]] &gt; 0,   tabItens[[#This Row],[Abaixo]] + (tabItens[[#This Row],[PontoMês]] * IF( OR( ISBLANK(tabItens[[#This Row],[ATA Nº/ANO]]), tabItens[[#This Row],[ATA Nº/ANO]] = ""),BE$2,BE$1)),0),0),0)</f>
        <v>0</v>
      </c>
      <c r="BF18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323">
        <f>SUMIF(Consumo!$C$3:$C$869,tabItens[[#This Row],[CÓDIGO]],Consumo!$E$3:$E$869)</f>
        <v>0</v>
      </c>
      <c r="BH188" s="324">
        <f>IF(AND(tabItens[[#This Row],[Pend]] &gt; 0,tabItens[[#This Row],[Consumo]] &lt;&gt; 0), tabItens[[#This Row],[Pend]] / tabItens[[#This Row],[Consumo]], 0 )</f>
        <v>0</v>
      </c>
      <c r="BI188" s="323"/>
      <c r="BJ188" s="323"/>
      <c r="BK188" s="325" t="s">
        <v>2064</v>
      </c>
    </row>
    <row r="189" spans="1:63" hidden="1" x14ac:dyDescent="0.3">
      <c r="A189" s="286">
        <v>77109</v>
      </c>
      <c r="B189" s="287" t="s">
        <v>1415</v>
      </c>
      <c r="C189" s="288" t="s">
        <v>256</v>
      </c>
      <c r="D189" s="289">
        <v>1.27</v>
      </c>
      <c r="E189" s="290"/>
      <c r="F189" s="290"/>
      <c r="G189" s="290" t="s">
        <v>883</v>
      </c>
      <c r="H189" s="291">
        <v>131</v>
      </c>
      <c r="I189" s="292">
        <v>103003</v>
      </c>
      <c r="J189" s="293">
        <v>1.27</v>
      </c>
      <c r="K189" s="294">
        <v>132</v>
      </c>
      <c r="L189" s="295">
        <f>IF(tabItens[[#This Row],[Média]] &gt; 0, tabItens[[#This Row],[QTDE ATUAL]] / tabItens[[#This Row],[Média]],999.9)</f>
        <v>11.30935251798561</v>
      </c>
      <c r="M189" s="296">
        <v>0</v>
      </c>
      <c r="N189" s="297">
        <f>tabItens[[#This Row],[VALOR UNIT.]] * tabItens[[#This Row],[LC]]</f>
        <v>0</v>
      </c>
      <c r="O189" s="298" t="s">
        <v>2080</v>
      </c>
      <c r="P189" s="299"/>
      <c r="Q189" s="300"/>
      <c r="R189" s="297"/>
      <c r="S189" s="301"/>
      <c r="T189" s="302">
        <f>ROUNDDOWN(IFERROR(tabItens[[#This Row],[ATA DT.VALID.]] - $D$1,0) / 30,0)</f>
        <v>-1504</v>
      </c>
      <c r="U189" s="287" t="s">
        <v>964</v>
      </c>
      <c r="V189" s="303">
        <v>1</v>
      </c>
      <c r="W189" s="304" t="s">
        <v>2054</v>
      </c>
      <c r="X189" s="305">
        <v>61</v>
      </c>
      <c r="Y189" s="306">
        <v>8</v>
      </c>
      <c r="Z189" s="307">
        <v>2454</v>
      </c>
      <c r="AA189" s="308">
        <v>2023</v>
      </c>
      <c r="AB189" s="309">
        <v>50</v>
      </c>
      <c r="AC189" s="309"/>
      <c r="AD189" s="308"/>
      <c r="AE189" s="309"/>
      <c r="AF189" s="302"/>
      <c r="AG189" s="310" t="s">
        <v>2050</v>
      </c>
      <c r="AH189" s="311"/>
      <c r="AI189" s="302">
        <v>50</v>
      </c>
      <c r="AJ189" s="311">
        <v>44573</v>
      </c>
      <c r="AK189" s="311">
        <v>38028</v>
      </c>
      <c r="AL189" s="311">
        <v>45096</v>
      </c>
      <c r="AM189" s="301"/>
      <c r="AN189" s="290"/>
      <c r="AO189" s="312" t="str">
        <f>_xlfn.IFNA(IF(VLOOKUP(tabItens[[#This Row],[CÓDIGO]],tabExcluirDoEstoque[#Data],1,FALSE),"sim",""),"")</f>
        <v/>
      </c>
      <c r="AP189" s="313" t="str">
        <f ca="1">IF(OR(ISBLANK(tabItens[[#This Row],[ATA DT.VALID.]]),tabItens[[#This Row],[ATA DT.VALID.]]="",tabItens[[#This Row],[ATA DT.VALID.]]=" "),"",IF(TYPE(tabItens[[#This Row],[ATA DT.VALID.]])=1,ROUNDUP((tabItens[[#This Row],[ATA DT.VALID.]]-TODAY())/7,0),""))</f>
        <v/>
      </c>
      <c r="AQ189" s="314">
        <v>0</v>
      </c>
      <c r="AR189" s="315" t="str">
        <f>IF(ISBLANK(tabItens[[#This Row],[CÓDIGO]]),"",IFERROR(VLOOKUP(tabItens[[#This Row],[CÓDIGO]],Consumo!$C$2:$AC$869,26,FALSE),0))</f>
        <v>07.2023</v>
      </c>
      <c r="AS189" s="316">
        <f>SUMIF(Consumo!$C$3:$C$869,tabItens[[#This Row],[CÓDIGO]],Consumo!$N$3:$N$869) + SUMIF(Consumo!$C$3:$C$869,tabItens[[#This Row],[CÓDIGO]],Consumo!$O$3:$O$869) + SUMIF(Consumo!$C$3:$C$869,tabItens[[#This Row],[CÓDIGO]],Consumo!$P$3:$P$869) + SUMIF(Consumo!$C$3:$C$869,tabItens[[#This Row],[CÓDIGO]],Consumo!$Q$3:$Q$869)</f>
        <v>64</v>
      </c>
      <c r="AT189" s="316">
        <f>SUMIF(Consumo!$C$3:$C$869,tabItens[[#This Row],[CÓDIGO]],Consumo!$Z$3:$Z$869)</f>
        <v>149</v>
      </c>
      <c r="AU189" s="317">
        <f>SUMIF(Consumo!$C$3:$C$869,tabItens[[#This Row],[CÓDIGO]],Consumo!$AA$3:$AA$869)</f>
        <v>50</v>
      </c>
      <c r="AV189" s="318">
        <f>SUMIF(Consumo!$C$3:$C$869,tabItens[[#This Row],[CÓDIGO]],Consumo!$Y$3:$Y$869)</f>
        <v>11.583333333333334</v>
      </c>
      <c r="AW189" s="291">
        <f>tabItens[[#This Row],[QTDE ATUAL]] + tabItens[[#This Row],[RC QTDE]] + tabItens[[#This Row],[AF SALDO]] + tabItens[[#This Row],[Recentes]]</f>
        <v>181</v>
      </c>
      <c r="AX189" s="319">
        <v>5</v>
      </c>
      <c r="AY189" s="319">
        <v>4</v>
      </c>
      <c r="AZ189" s="319">
        <f>IF(ISBLANK(tabItens[[#This Row],[CÓDIGO]]),"",tabItens[[#This Row],[PontoMês]] * (AZ$2+tabItens[[#This Row],[PontoQtM]]))</f>
        <v>20</v>
      </c>
      <c r="BA189" s="318">
        <f>tabItens[[#This Row],[PontoPed]] - tabItens[[#This Row],[Saldo]] + (1/10)</f>
        <v>-160.9</v>
      </c>
      <c r="BB189" s="318">
        <f xml:space="preserve"> tabItens[[#This Row],[PontoMês]] * BB$2 - tabItens[[#This Row],[QTDE ATUAL]] - (1/10)</f>
        <v>-126.1</v>
      </c>
      <c r="BC189" s="320">
        <f>IF( tabItens[[#This Row],[PontoPed]]&gt;0, IF(tabItens[[#This Row],[PontoPed]]&lt;1, 1, IF( tabItens[[#This Row],[Saldo]]&gt;tabItens[[#This Row],[PontoPed]], 0, (tabItens[[#This Row],[PontoPed]]-tabItens[[#This Row],[Saldo]])/tabItens[[#This Row],[PontoPed]] ) ), 0 )</f>
        <v>0</v>
      </c>
      <c r="BD189" s="321">
        <f>ROUNDDOWN(IF( OR( AND(tabItens[[#This Row],[PontoPed]]&lt;tabItens[[#This Row],[Saldo]],tabItens[[#This Row],[Saldo]]&gt;0), tabItens[[#This Row],[PontoPed]]=0), 99, IF(AND(tabItens[[#This Row],[Saldo]]=0,tabItens[[#This Row],[PontoPed]]&gt;0), 0, (1-tabItens[[#This Row],[PctAb]])*10 ) ),0)</f>
        <v>99</v>
      </c>
      <c r="BE189" s="322">
        <f>MAX(ROUNDDOWN( IF(tabItens[[#This Row],[Abaixo]] &gt; 0,   tabItens[[#This Row],[Abaixo]] + (tabItens[[#This Row],[PontoMês]] * IF( OR( ISBLANK(tabItens[[#This Row],[ATA Nº/ANO]]), tabItens[[#This Row],[ATA Nº/ANO]] = ""),BE$2,BE$1)),0),0),0)</f>
        <v>0</v>
      </c>
      <c r="BF1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323">
        <f>SUMIF(Consumo!$C$3:$C$869,tabItens[[#This Row],[CÓDIGO]],Consumo!$E$3:$E$869)</f>
        <v>0</v>
      </c>
      <c r="BH189" s="324">
        <f>IF(AND(tabItens[[#This Row],[Pend]] &gt; 0,tabItens[[#This Row],[Consumo]] &lt;&gt; 0), tabItens[[#This Row],[Pend]] / tabItens[[#This Row],[Consumo]], 0 )</f>
        <v>0</v>
      </c>
      <c r="BI189" s="323"/>
      <c r="BJ189" s="323"/>
      <c r="BK189" s="325" t="s">
        <v>2064</v>
      </c>
    </row>
    <row r="190" spans="1:63" x14ac:dyDescent="0.3">
      <c r="A190" s="396">
        <v>95121</v>
      </c>
      <c r="B190" s="397" t="s">
        <v>1542</v>
      </c>
      <c r="C190" s="398" t="s">
        <v>256</v>
      </c>
      <c r="D190" s="399">
        <v>1.53</v>
      </c>
      <c r="E190" s="290"/>
      <c r="F190" s="400"/>
      <c r="G190" s="400" t="s">
        <v>883</v>
      </c>
      <c r="H190" s="401">
        <v>0</v>
      </c>
      <c r="I190" s="292">
        <v>103003</v>
      </c>
      <c r="J190" s="293">
        <v>1.53</v>
      </c>
      <c r="K190" s="402">
        <v>245</v>
      </c>
      <c r="L190" s="403">
        <f>IF(tabItens[[#This Row],[Média]] &gt; 0, tabItens[[#This Row],[QTDE ATUAL]] / tabItens[[#This Row],[Média]],999.9)</f>
        <v>0</v>
      </c>
      <c r="M190" s="404">
        <v>0</v>
      </c>
      <c r="N190" s="405">
        <f>tabItens[[#This Row],[VALOR UNIT.]] * tabItens[[#This Row],[LC]]</f>
        <v>0</v>
      </c>
      <c r="O190" s="406" t="s">
        <v>2080</v>
      </c>
      <c r="P190" s="407"/>
      <c r="Q190" s="408"/>
      <c r="R190" s="297"/>
      <c r="S190" s="409"/>
      <c r="T190" s="410">
        <f>ROUNDDOWN(IFERROR(tabItens[[#This Row],[ATA DT.VALID.]] - $D$1,0) / 30,0)</f>
        <v>-1504</v>
      </c>
      <c r="U190" s="287" t="s">
        <v>964</v>
      </c>
      <c r="V190" s="303">
        <v>1</v>
      </c>
      <c r="W190" s="411" t="s">
        <v>2054</v>
      </c>
      <c r="X190" s="412">
        <v>61</v>
      </c>
      <c r="Y190" s="413">
        <v>8</v>
      </c>
      <c r="Z190" s="414">
        <v>2454</v>
      </c>
      <c r="AA190" s="415">
        <v>2023</v>
      </c>
      <c r="AB190" s="416">
        <v>200</v>
      </c>
      <c r="AC190" s="416"/>
      <c r="AD190" s="415"/>
      <c r="AE190" s="416"/>
      <c r="AF190" s="302"/>
      <c r="AG190" s="417" t="s">
        <v>2050</v>
      </c>
      <c r="AH190" s="418"/>
      <c r="AI190" s="302">
        <v>108</v>
      </c>
      <c r="AJ190" s="418">
        <v>44823</v>
      </c>
      <c r="AK190" s="311">
        <v>39001</v>
      </c>
      <c r="AL190" s="311">
        <v>44776</v>
      </c>
      <c r="AM190" s="301"/>
      <c r="AN190" s="290"/>
      <c r="AO190" s="312" t="str">
        <f>_xlfn.IFNA(IF(VLOOKUP(tabItens[[#This Row],[CÓDIGO]],tabExcluirDoEstoque[#Data],1,FALSE),"sim",""),"")</f>
        <v/>
      </c>
      <c r="AP190" s="419" t="str">
        <f ca="1">IF(OR(ISBLANK(tabItens[[#This Row],[ATA DT.VALID.]]),tabItens[[#This Row],[ATA DT.VALID.]]="",tabItens[[#This Row],[ATA DT.VALID.]]=" "),"",IF(TYPE(tabItens[[#This Row],[ATA DT.VALID.]])=1,ROUNDUP((tabItens[[#This Row],[ATA DT.VALID.]]-TODAY())/7,0),""))</f>
        <v/>
      </c>
      <c r="AQ190" s="314">
        <v>150</v>
      </c>
      <c r="AR190" s="315" t="str">
        <f>IF(ISBLANK(tabItens[[#This Row],[CÓDIGO]]),"",IFERROR(VLOOKUP(tabItens[[#This Row],[CÓDIGO]],Consumo!$C$2:$AC$869,26,FALSE),0))</f>
        <v>06.2023</v>
      </c>
      <c r="AS190" s="316">
        <f>SUMIF(Consumo!$C$3:$C$869,tabItens[[#This Row],[CÓDIGO]],Consumo!$N$3:$N$869) + SUMIF(Consumo!$C$3:$C$869,tabItens[[#This Row],[CÓDIGO]],Consumo!$O$3:$O$869) + SUMIF(Consumo!$C$3:$C$869,tabItens[[#This Row],[CÓDIGO]],Consumo!$P$3:$P$869) + SUMIF(Consumo!$C$3:$C$869,tabItens[[#This Row],[CÓDIGO]],Consumo!$Q$3:$Q$869)</f>
        <v>105</v>
      </c>
      <c r="AT190" s="316">
        <f>SUMIF(Consumo!$C$3:$C$869,tabItens[[#This Row],[CÓDIGO]],Consumo!$Z$3:$Z$869)</f>
        <v>373</v>
      </c>
      <c r="AU190" s="317">
        <f>SUMIF(Consumo!$C$3:$C$869,tabItens[[#This Row],[CÓDIGO]],Consumo!$AA$3:$AA$869)</f>
        <v>65</v>
      </c>
      <c r="AV190" s="318">
        <f>SUMIF(Consumo!$C$3:$C$869,tabItens[[#This Row],[CÓDIGO]],Consumo!$Y$3:$Y$869)</f>
        <v>31.083333333333332</v>
      </c>
      <c r="AW190" s="401">
        <f>tabItens[[#This Row],[QTDE ATUAL]] + tabItens[[#This Row],[RC QTDE]] + tabItens[[#This Row],[AF SALDO]] + tabItens[[#This Row],[Recentes]]</f>
        <v>350</v>
      </c>
      <c r="AX190" s="420">
        <v>25</v>
      </c>
      <c r="AY190" s="420">
        <v>4</v>
      </c>
      <c r="AZ190" s="420">
        <f>IF(ISBLANK(tabItens[[#This Row],[CÓDIGO]]),"",tabItens[[#This Row],[PontoMês]] * (AZ$2+tabItens[[#This Row],[PontoQtM]]))</f>
        <v>100</v>
      </c>
      <c r="BA190" s="421">
        <f>tabItens[[#This Row],[PontoPed]] - tabItens[[#This Row],[Saldo]] + (1/10)</f>
        <v>-249.9</v>
      </c>
      <c r="BB190" s="421">
        <f xml:space="preserve"> tabItens[[#This Row],[PontoMês]] * BB$2 - tabItens[[#This Row],[QTDE ATUAL]] - (1/10)</f>
        <v>24.9</v>
      </c>
      <c r="BC190" s="320">
        <f>IF( tabItens[[#This Row],[PontoPed]]&gt;0, IF(tabItens[[#This Row],[PontoPed]]&lt;1, 1, IF( tabItens[[#This Row],[Saldo]]&gt;tabItens[[#This Row],[PontoPed]], 0, (tabItens[[#This Row],[PontoPed]]-tabItens[[#This Row],[Saldo]])/tabItens[[#This Row],[PontoPed]] ) ), 0 )</f>
        <v>0</v>
      </c>
      <c r="BD190" s="422">
        <f>ROUNDDOWN(IF( OR( AND(tabItens[[#This Row],[PontoPed]]&lt;tabItens[[#This Row],[Saldo]],tabItens[[#This Row],[Saldo]]&gt;0), tabItens[[#This Row],[PontoPed]]=0), 99, IF(AND(tabItens[[#This Row],[Saldo]]=0,tabItens[[#This Row],[PontoPed]]&gt;0), 0, (1-tabItens[[#This Row],[PctAb]])*10 ) ),0)</f>
        <v>99</v>
      </c>
      <c r="BE190" s="423">
        <f>MAX(ROUNDDOWN( IF(tabItens[[#This Row],[Abaixo]] &gt; 0,   tabItens[[#This Row],[Abaixo]] + (tabItens[[#This Row],[PontoMês]] * IF( OR( ISBLANK(tabItens[[#This Row],[ATA Nº/ANO]]), tabItens[[#This Row],[ATA Nº/ANO]] = ""),BE$2,BE$1)),0),0),0)</f>
        <v>0</v>
      </c>
      <c r="BF19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323">
        <f>SUMIF(Consumo!$C$3:$C$869,tabItens[[#This Row],[CÓDIGO]],Consumo!$E$3:$E$869)</f>
        <v>50</v>
      </c>
      <c r="BH190" s="324">
        <f>IF(AND(tabItens[[#This Row],[Pend]] &gt; 0,tabItens[[#This Row],[Consumo]] &lt;&gt; 0), tabItens[[#This Row],[Pend]] / tabItens[[#This Row],[Consumo]], 0 )</f>
        <v>0.13404825737265416</v>
      </c>
      <c r="BI190" s="323"/>
      <c r="BJ190" s="424"/>
      <c r="BK190" s="425" t="s">
        <v>2064</v>
      </c>
    </row>
    <row r="191" spans="1:63" hidden="1" x14ac:dyDescent="0.3">
      <c r="A191" s="286">
        <v>15051</v>
      </c>
      <c r="B191" s="287" t="s">
        <v>1079</v>
      </c>
      <c r="C191" s="288" t="s">
        <v>256</v>
      </c>
      <c r="D191" s="289">
        <v>9.8000000000000007</v>
      </c>
      <c r="E191" s="290"/>
      <c r="F191" s="290"/>
      <c r="G191" s="290" t="s">
        <v>883</v>
      </c>
      <c r="H191" s="291">
        <v>51</v>
      </c>
      <c r="I191" s="292">
        <v>103003</v>
      </c>
      <c r="J191" s="293">
        <v>9.8000000000000007</v>
      </c>
      <c r="K191" s="294">
        <v>4</v>
      </c>
      <c r="L191" s="295">
        <f>IF(tabItens[[#This Row],[Média]] &gt; 0, tabItens[[#This Row],[QTDE ATUAL]] / tabItens[[#This Row],[Média]],999.9)</f>
        <v>306</v>
      </c>
      <c r="M191" s="296">
        <v>0</v>
      </c>
      <c r="N191" s="297">
        <f>tabItens[[#This Row],[VALOR UNIT.]] * tabItens[[#This Row],[LC]]</f>
        <v>0</v>
      </c>
      <c r="O191" s="298" t="s">
        <v>2080</v>
      </c>
      <c r="P191" s="299"/>
      <c r="Q191" s="300"/>
      <c r="R191" s="297"/>
      <c r="S191" s="301"/>
      <c r="T191" s="302">
        <f>ROUNDDOWN(IFERROR(tabItens[[#This Row],[ATA DT.VALID.]] - $D$1,0) / 30,0)</f>
        <v>-1504</v>
      </c>
      <c r="U191" s="287" t="s">
        <v>1001</v>
      </c>
      <c r="V191" s="303">
        <v>1</v>
      </c>
      <c r="W191" s="304" t="s">
        <v>2054</v>
      </c>
      <c r="X191" s="305">
        <v>61</v>
      </c>
      <c r="Y191" s="306">
        <v>11</v>
      </c>
      <c r="Z191" s="307"/>
      <c r="AA191" s="308"/>
      <c r="AB191" s="309"/>
      <c r="AC191" s="309"/>
      <c r="AD191" s="308"/>
      <c r="AE191" s="309"/>
      <c r="AF191" s="302"/>
      <c r="AG191" s="310" t="s">
        <v>2050</v>
      </c>
      <c r="AH191" s="311"/>
      <c r="AI191" s="302">
        <v>2</v>
      </c>
      <c r="AJ191" s="311">
        <v>44312</v>
      </c>
      <c r="AK191" s="311" t="s">
        <v>883</v>
      </c>
      <c r="AL191" s="311">
        <v>44579</v>
      </c>
      <c r="AM191" s="301"/>
      <c r="AN191" s="290"/>
      <c r="AO191" s="312" t="str">
        <f>_xlfn.IFNA(IF(VLOOKUP(tabItens[[#This Row],[CÓDIGO]],tabExcluirDoEstoque[#Data],1,FALSE),"sim",""),"")</f>
        <v/>
      </c>
      <c r="AP191" s="313" t="str">
        <f ca="1">IF(OR(ISBLANK(tabItens[[#This Row],[ATA DT.VALID.]]),tabItens[[#This Row],[ATA DT.VALID.]]="",tabItens[[#This Row],[ATA DT.VALID.]]=" "),"",IF(TYPE(tabItens[[#This Row],[ATA DT.VALID.]])=1,ROUNDUP((tabItens[[#This Row],[ATA DT.VALID.]]-TODAY())/7,0),""))</f>
        <v/>
      </c>
      <c r="AQ191" s="314">
        <v>0</v>
      </c>
      <c r="AR191" s="315" t="str">
        <f>IF(ISBLANK(tabItens[[#This Row],[CÓDIGO]]),"",IFERROR(VLOOKUP(tabItens[[#This Row],[CÓDIGO]],Consumo!$C$2:$AC$869,26,FALSE),0))</f>
        <v>08.2022</v>
      </c>
      <c r="AS191" s="316">
        <f>SUMIF(Consumo!$C$3:$C$869,tabItens[[#This Row],[CÓDIGO]],Consumo!$N$3:$N$869) + SUMIF(Consumo!$C$3:$C$869,tabItens[[#This Row],[CÓDIGO]],Consumo!$O$3:$O$869) + SUMIF(Consumo!$C$3:$C$869,tabItens[[#This Row],[CÓDIGO]],Consumo!$P$3:$P$869) + SUMIF(Consumo!$C$3:$C$869,tabItens[[#This Row],[CÓDIGO]],Consumo!$Q$3:$Q$869)</f>
        <v>0</v>
      </c>
      <c r="AT191" s="316">
        <f>SUMIF(Consumo!$C$3:$C$869,tabItens[[#This Row],[CÓDIGO]],Consumo!$Z$3:$Z$869)</f>
        <v>4</v>
      </c>
      <c r="AU191" s="317">
        <f>SUMIF(Consumo!$C$3:$C$869,tabItens[[#This Row],[CÓDIGO]],Consumo!$AA$3:$AA$869)</f>
        <v>4</v>
      </c>
      <c r="AV191" s="318">
        <f>SUMIF(Consumo!$C$3:$C$869,tabItens[[#This Row],[CÓDIGO]],Consumo!$Y$3:$Y$869)</f>
        <v>0.16666666666666666</v>
      </c>
      <c r="AW191" s="291">
        <f>tabItens[[#This Row],[QTDE ATUAL]] + tabItens[[#This Row],[RC QTDE]] + tabItens[[#This Row],[AF SALDO]] + tabItens[[#This Row],[Recentes]]</f>
        <v>51</v>
      </c>
      <c r="AX191" s="319">
        <v>2</v>
      </c>
      <c r="AY191" s="319">
        <v>4</v>
      </c>
      <c r="AZ191" s="319">
        <f>IF(ISBLANK(tabItens[[#This Row],[CÓDIGO]]),"",tabItens[[#This Row],[PontoMês]] * (AZ$2+tabItens[[#This Row],[PontoQtM]]))</f>
        <v>8</v>
      </c>
      <c r="BA191" s="318">
        <f>tabItens[[#This Row],[PontoPed]] - tabItens[[#This Row],[Saldo]] + (1/10)</f>
        <v>-42.9</v>
      </c>
      <c r="BB191" s="318">
        <f xml:space="preserve"> tabItens[[#This Row],[PontoMês]] * BB$2 - tabItens[[#This Row],[QTDE ATUAL]] - (1/10)</f>
        <v>-49.1</v>
      </c>
      <c r="BC191" s="320">
        <f>IF( tabItens[[#This Row],[PontoPed]]&gt;0, IF(tabItens[[#This Row],[PontoPed]]&lt;1, 1, IF( tabItens[[#This Row],[Saldo]]&gt;tabItens[[#This Row],[PontoPed]], 0, (tabItens[[#This Row],[PontoPed]]-tabItens[[#This Row],[Saldo]])/tabItens[[#This Row],[PontoPed]] ) ), 0 )</f>
        <v>0</v>
      </c>
      <c r="BD191" s="321">
        <f>ROUNDDOWN(IF( OR( AND(tabItens[[#This Row],[PontoPed]]&lt;tabItens[[#This Row],[Saldo]],tabItens[[#This Row],[Saldo]]&gt;0), tabItens[[#This Row],[PontoPed]]=0), 99, IF(AND(tabItens[[#This Row],[Saldo]]=0,tabItens[[#This Row],[PontoPed]]&gt;0), 0, (1-tabItens[[#This Row],[PctAb]])*10 ) ),0)</f>
        <v>99</v>
      </c>
      <c r="BE191" s="322">
        <f>MAX(ROUNDDOWN( IF(tabItens[[#This Row],[Abaixo]] &gt; 0,   tabItens[[#This Row],[Abaixo]] + (tabItens[[#This Row],[PontoMês]] * IF( OR( ISBLANK(tabItens[[#This Row],[ATA Nº/ANO]]), tabItens[[#This Row],[ATA Nº/ANO]] = ""),BE$2,BE$1)),0),0),0)</f>
        <v>0</v>
      </c>
      <c r="BF19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23">
        <f>SUMIF(Consumo!$C$3:$C$869,tabItens[[#This Row],[CÓDIGO]],Consumo!$E$3:$E$869)</f>
        <v>0</v>
      </c>
      <c r="BH191" s="324">
        <f>IF(AND(tabItens[[#This Row],[Pend]] &gt; 0,tabItens[[#This Row],[Consumo]] &lt;&gt; 0), tabItens[[#This Row],[Pend]] / tabItens[[#This Row],[Consumo]], 0 )</f>
        <v>0</v>
      </c>
      <c r="BI191" s="323"/>
      <c r="BJ191" s="323"/>
      <c r="BK191" s="325" t="s">
        <v>2064</v>
      </c>
    </row>
    <row r="192" spans="1:63" hidden="1" x14ac:dyDescent="0.3">
      <c r="A192" s="286">
        <v>63031</v>
      </c>
      <c r="B192" s="287" t="s">
        <v>1353</v>
      </c>
      <c r="C192" s="288" t="s">
        <v>256</v>
      </c>
      <c r="D192" s="289">
        <v>3.39</v>
      </c>
      <c r="E192" s="290"/>
      <c r="F192" s="290"/>
      <c r="G192" s="290" t="s">
        <v>883</v>
      </c>
      <c r="H192" s="291">
        <v>444</v>
      </c>
      <c r="I192" s="292">
        <v>103003</v>
      </c>
      <c r="J192" s="293">
        <v>3.39</v>
      </c>
      <c r="K192" s="294">
        <v>684</v>
      </c>
      <c r="L192" s="295">
        <f>IF(tabItens[[#This Row],[Média]] &gt; 0, tabItens[[#This Row],[QTDE ATUAL]] / tabItens[[#This Row],[Média]],999.9)</f>
        <v>5.4146341463414638</v>
      </c>
      <c r="M192" s="296">
        <v>0</v>
      </c>
      <c r="N192" s="297">
        <f>tabItens[[#This Row],[VALOR UNIT.]] * tabItens[[#This Row],[LC]]</f>
        <v>0</v>
      </c>
      <c r="O192" s="298" t="s">
        <v>2080</v>
      </c>
      <c r="P192" s="299"/>
      <c r="Q192" s="300"/>
      <c r="R192" s="297"/>
      <c r="S192" s="301"/>
      <c r="T192" s="302">
        <f>ROUNDDOWN(IFERROR(tabItens[[#This Row],[ATA DT.VALID.]] - $D$1,0) / 30,0)</f>
        <v>-1504</v>
      </c>
      <c r="U192" s="287" t="s">
        <v>1001</v>
      </c>
      <c r="V192" s="303">
        <v>1</v>
      </c>
      <c r="W192" s="304" t="s">
        <v>2054</v>
      </c>
      <c r="X192" s="305">
        <v>61</v>
      </c>
      <c r="Y192" s="306">
        <v>11</v>
      </c>
      <c r="Z192" s="307">
        <v>2522</v>
      </c>
      <c r="AA192" s="308">
        <v>2023</v>
      </c>
      <c r="AB192" s="309">
        <v>200</v>
      </c>
      <c r="AC192" s="309"/>
      <c r="AD192" s="308"/>
      <c r="AE192" s="309"/>
      <c r="AF192" s="302"/>
      <c r="AG192" s="310" t="s">
        <v>2050</v>
      </c>
      <c r="AH192" s="311"/>
      <c r="AI192" s="302">
        <v>328</v>
      </c>
      <c r="AJ192" s="311">
        <v>44792</v>
      </c>
      <c r="AK192" s="311" t="s">
        <v>883</v>
      </c>
      <c r="AL192" s="311">
        <v>45105</v>
      </c>
      <c r="AM192" s="301"/>
      <c r="AN192" s="290"/>
      <c r="AO192" s="312" t="str">
        <f>_xlfn.IFNA(IF(VLOOKUP(tabItens[[#This Row],[CÓDIGO]],tabExcluirDoEstoque[#Data],1,FALSE),"sim",""),"")</f>
        <v/>
      </c>
      <c r="AP192" s="313" t="str">
        <f ca="1">IF(OR(ISBLANK(tabItens[[#This Row],[ATA DT.VALID.]]),tabItens[[#This Row],[ATA DT.VALID.]]="",tabItens[[#This Row],[ATA DT.VALID.]]=" "),"",IF(TYPE(tabItens[[#This Row],[ATA DT.VALID.]])=1,ROUNDUP((tabItens[[#This Row],[ATA DT.VALID.]]-TODAY())/7,0),""))</f>
        <v/>
      </c>
      <c r="AQ192" s="314">
        <v>0</v>
      </c>
      <c r="AR192" s="315" t="str">
        <f>IF(ISBLANK(tabItens[[#This Row],[CÓDIGO]]),"",IFERROR(VLOOKUP(tabItens[[#This Row],[CÓDIGO]],Consumo!$C$2:$AC$869,26,FALSE),0))</f>
        <v>06.2023</v>
      </c>
      <c r="AS192" s="316">
        <f>SUMIF(Consumo!$C$3:$C$869,tabItens[[#This Row],[CÓDIGO]],Consumo!$N$3:$N$869) + SUMIF(Consumo!$C$3:$C$869,tabItens[[#This Row],[CÓDIGO]],Consumo!$O$3:$O$869) + SUMIF(Consumo!$C$3:$C$869,tabItens[[#This Row],[CÓDIGO]],Consumo!$P$3:$P$869) + SUMIF(Consumo!$C$3:$C$869,tabItens[[#This Row],[CÓDIGO]],Consumo!$Q$3:$Q$869)</f>
        <v>358</v>
      </c>
      <c r="AT192" s="316">
        <f>SUMIF(Consumo!$C$3:$C$869,tabItens[[#This Row],[CÓDIGO]],Consumo!$Z$3:$Z$869)</f>
        <v>984</v>
      </c>
      <c r="AU192" s="317">
        <f>SUMIF(Consumo!$C$3:$C$869,tabItens[[#This Row],[CÓDIGO]],Consumo!$AA$3:$AA$869)</f>
        <v>150</v>
      </c>
      <c r="AV192" s="318">
        <f>SUMIF(Consumo!$C$3:$C$869,tabItens[[#This Row],[CÓDIGO]],Consumo!$Y$3:$Y$869)</f>
        <v>82</v>
      </c>
      <c r="AW192" s="291">
        <f>tabItens[[#This Row],[QTDE ATUAL]] + tabItens[[#This Row],[RC QTDE]] + tabItens[[#This Row],[AF SALDO]] + tabItens[[#This Row],[Recentes]]</f>
        <v>644</v>
      </c>
      <c r="AX192" s="319">
        <v>66</v>
      </c>
      <c r="AY192" s="319">
        <v>4</v>
      </c>
      <c r="AZ192" s="319">
        <f>IF(ISBLANK(tabItens[[#This Row],[CÓDIGO]]),"",tabItens[[#This Row],[PontoMês]] * (AZ$2+tabItens[[#This Row],[PontoQtM]]))</f>
        <v>264</v>
      </c>
      <c r="BA192" s="318">
        <f>tabItens[[#This Row],[PontoPed]] - tabItens[[#This Row],[Saldo]] + (1/10)</f>
        <v>-379.9</v>
      </c>
      <c r="BB192" s="318">
        <f xml:space="preserve"> tabItens[[#This Row],[PontoMês]] * BB$2 - tabItens[[#This Row],[QTDE ATUAL]] - (1/10)</f>
        <v>-378.1</v>
      </c>
      <c r="BC192" s="320">
        <f>IF( tabItens[[#This Row],[PontoPed]]&gt;0, IF(tabItens[[#This Row],[PontoPed]]&lt;1, 1, IF( tabItens[[#This Row],[Saldo]]&gt;tabItens[[#This Row],[PontoPed]], 0, (tabItens[[#This Row],[PontoPed]]-tabItens[[#This Row],[Saldo]])/tabItens[[#This Row],[PontoPed]] ) ), 0 )</f>
        <v>0</v>
      </c>
      <c r="BD192" s="321">
        <f>ROUNDDOWN(IF( OR( AND(tabItens[[#This Row],[PontoPed]]&lt;tabItens[[#This Row],[Saldo]],tabItens[[#This Row],[Saldo]]&gt;0), tabItens[[#This Row],[PontoPed]]=0), 99, IF(AND(tabItens[[#This Row],[Saldo]]=0,tabItens[[#This Row],[PontoPed]]&gt;0), 0, (1-tabItens[[#This Row],[PctAb]])*10 ) ),0)</f>
        <v>99</v>
      </c>
      <c r="BE192" s="322">
        <f>MAX(ROUNDDOWN( IF(tabItens[[#This Row],[Abaixo]] &gt; 0,   tabItens[[#This Row],[Abaixo]] + (tabItens[[#This Row],[PontoMês]] * IF( OR( ISBLANK(tabItens[[#This Row],[ATA Nº/ANO]]), tabItens[[#This Row],[ATA Nº/ANO]] = ""),BE$2,BE$1)),0),0),0)</f>
        <v>0</v>
      </c>
      <c r="BF19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23">
        <f>SUMIF(Consumo!$C$3:$C$869,tabItens[[#This Row],[CÓDIGO]],Consumo!$E$3:$E$869)</f>
        <v>0</v>
      </c>
      <c r="BH192" s="324">
        <f>IF(AND(tabItens[[#This Row],[Pend]] &gt; 0,tabItens[[#This Row],[Consumo]] &lt;&gt; 0), tabItens[[#This Row],[Pend]] / tabItens[[#This Row],[Consumo]], 0 )</f>
        <v>0</v>
      </c>
      <c r="BI192" s="323"/>
      <c r="BJ192" s="323"/>
      <c r="BK192" s="325" t="s">
        <v>2064</v>
      </c>
    </row>
    <row r="193" spans="1:63" hidden="1" x14ac:dyDescent="0.3">
      <c r="A193" s="286">
        <v>13161</v>
      </c>
      <c r="B193" s="287" t="s">
        <v>1012</v>
      </c>
      <c r="C193" s="288" t="s">
        <v>256</v>
      </c>
      <c r="D193" s="289">
        <v>23.84</v>
      </c>
      <c r="E193" s="290"/>
      <c r="F193" s="290"/>
      <c r="G193" s="290" t="s">
        <v>883</v>
      </c>
      <c r="H193" s="291">
        <v>106</v>
      </c>
      <c r="I193" s="292">
        <v>103003</v>
      </c>
      <c r="J193" s="293">
        <v>23.84</v>
      </c>
      <c r="K193" s="294">
        <v>238</v>
      </c>
      <c r="L193" s="295">
        <f>IF(tabItens[[#This Row],[Média]] &gt; 0, tabItens[[#This Row],[QTDE ATUAL]] / tabItens[[#This Row],[Média]],999.9)</f>
        <v>4.4013840830449826</v>
      </c>
      <c r="M193" s="296">
        <v>0</v>
      </c>
      <c r="N193" s="297">
        <f>tabItens[[#This Row],[VALOR UNIT.]] * tabItens[[#This Row],[LC]]</f>
        <v>0</v>
      </c>
      <c r="O193" s="298" t="s">
        <v>2080</v>
      </c>
      <c r="P193" s="299"/>
      <c r="Q193" s="300"/>
      <c r="R193" s="297"/>
      <c r="S193" s="301"/>
      <c r="T193" s="302">
        <f>ROUNDDOWN(IFERROR(tabItens[[#This Row],[ATA DT.VALID.]] - $D$1,0) / 30,0)</f>
        <v>-1504</v>
      </c>
      <c r="U193" s="287" t="s">
        <v>1013</v>
      </c>
      <c r="V193" s="303">
        <v>1</v>
      </c>
      <c r="W193" s="304" t="s">
        <v>2054</v>
      </c>
      <c r="X193" s="305">
        <v>61</v>
      </c>
      <c r="Y193" s="306">
        <v>14</v>
      </c>
      <c r="Z193" s="307">
        <v>2960</v>
      </c>
      <c r="AA193" s="308">
        <v>2023</v>
      </c>
      <c r="AB193" s="309">
        <v>50</v>
      </c>
      <c r="AC193" s="309"/>
      <c r="AD193" s="308"/>
      <c r="AE193" s="309"/>
      <c r="AF193" s="302"/>
      <c r="AG193" s="310" t="s">
        <v>2050</v>
      </c>
      <c r="AH193" s="311"/>
      <c r="AI193" s="302">
        <v>96</v>
      </c>
      <c r="AJ193" s="311">
        <v>44609</v>
      </c>
      <c r="AK193" s="311" t="s">
        <v>883</v>
      </c>
      <c r="AL193" s="311">
        <v>44942</v>
      </c>
      <c r="AM193" s="301"/>
      <c r="AN193" s="290"/>
      <c r="AO193" s="312" t="str">
        <f>_xlfn.IFNA(IF(VLOOKUP(tabItens[[#This Row],[CÓDIGO]],tabExcluirDoEstoque[#Data],1,FALSE),"sim",""),"")</f>
        <v/>
      </c>
      <c r="AP193" s="313" t="str">
        <f ca="1">IF(OR(ISBLANK(tabItens[[#This Row],[ATA DT.VALID.]]),tabItens[[#This Row],[ATA DT.VALID.]]="",tabItens[[#This Row],[ATA DT.VALID.]]=" "),"",IF(TYPE(tabItens[[#This Row],[ATA DT.VALID.]])=1,ROUNDUP((tabItens[[#This Row],[ATA DT.VALID.]]-TODAY())/7,0),""))</f>
        <v/>
      </c>
      <c r="AQ193" s="314">
        <v>0</v>
      </c>
      <c r="AR193" s="315" t="str">
        <f>IF(ISBLANK(tabItens[[#This Row],[CÓDIGO]]),"",IFERROR(VLOOKUP(tabItens[[#This Row],[CÓDIGO]],Consumo!$C$2:$AC$869,26,FALSE),0))</f>
        <v>06.2023</v>
      </c>
      <c r="AS193" s="316">
        <f>SUMIF(Consumo!$C$3:$C$869,tabItens[[#This Row],[CÓDIGO]],Consumo!$N$3:$N$869) + SUMIF(Consumo!$C$3:$C$869,tabItens[[#This Row],[CÓDIGO]],Consumo!$O$3:$O$869) + SUMIF(Consumo!$C$3:$C$869,tabItens[[#This Row],[CÓDIGO]],Consumo!$P$3:$P$869) + SUMIF(Consumo!$C$3:$C$869,tabItens[[#This Row],[CÓDIGO]],Consumo!$Q$3:$Q$869)</f>
        <v>107</v>
      </c>
      <c r="AT193" s="316">
        <f>SUMIF(Consumo!$C$3:$C$869,tabItens[[#This Row],[CÓDIGO]],Consumo!$Z$3:$Z$869)</f>
        <v>289</v>
      </c>
      <c r="AU193" s="317">
        <f>SUMIF(Consumo!$C$3:$C$869,tabItens[[#This Row],[CÓDIGO]],Consumo!$AA$3:$AA$869)</f>
        <v>47</v>
      </c>
      <c r="AV193" s="318">
        <f>SUMIF(Consumo!$C$3:$C$869,tabItens[[#This Row],[CÓDIGO]],Consumo!$Y$3:$Y$869)</f>
        <v>24.083333333333332</v>
      </c>
      <c r="AW193" s="291">
        <f>tabItens[[#This Row],[QTDE ATUAL]] + tabItens[[#This Row],[RC QTDE]] + tabItens[[#This Row],[AF SALDO]] + tabItens[[#This Row],[Recentes]]</f>
        <v>156</v>
      </c>
      <c r="AX193" s="319">
        <v>24</v>
      </c>
      <c r="AY193" s="319">
        <v>4</v>
      </c>
      <c r="AZ193" s="319">
        <f>IF(ISBLANK(tabItens[[#This Row],[CÓDIGO]]),"",tabItens[[#This Row],[PontoMês]] * (AZ$2+tabItens[[#This Row],[PontoQtM]]))</f>
        <v>96</v>
      </c>
      <c r="BA193" s="318">
        <f>tabItens[[#This Row],[PontoPed]] - tabItens[[#This Row],[Saldo]] + (1/10)</f>
        <v>-59.9</v>
      </c>
      <c r="BB193" s="318">
        <f xml:space="preserve"> tabItens[[#This Row],[PontoMês]] * BB$2 - tabItens[[#This Row],[QTDE ATUAL]] - (1/10)</f>
        <v>-82.1</v>
      </c>
      <c r="BC193" s="320">
        <f>IF( tabItens[[#This Row],[PontoPed]]&gt;0, IF(tabItens[[#This Row],[PontoPed]]&lt;1, 1, IF( tabItens[[#This Row],[Saldo]]&gt;tabItens[[#This Row],[PontoPed]], 0, (tabItens[[#This Row],[PontoPed]]-tabItens[[#This Row],[Saldo]])/tabItens[[#This Row],[PontoPed]] ) ), 0 )</f>
        <v>0</v>
      </c>
      <c r="BD193" s="321">
        <f>ROUNDDOWN(IF( OR( AND(tabItens[[#This Row],[PontoPed]]&lt;tabItens[[#This Row],[Saldo]],tabItens[[#This Row],[Saldo]]&gt;0), tabItens[[#This Row],[PontoPed]]=0), 99, IF(AND(tabItens[[#This Row],[Saldo]]=0,tabItens[[#This Row],[PontoPed]]&gt;0), 0, (1-tabItens[[#This Row],[PctAb]])*10 ) ),0)</f>
        <v>99</v>
      </c>
      <c r="BE193" s="322">
        <f>MAX(ROUNDDOWN( IF(tabItens[[#This Row],[Abaixo]] &gt; 0,   tabItens[[#This Row],[Abaixo]] + (tabItens[[#This Row],[PontoMês]] * IF( OR( ISBLANK(tabItens[[#This Row],[ATA Nº/ANO]]), tabItens[[#This Row],[ATA Nº/ANO]] = ""),BE$2,BE$1)),0),0),0)</f>
        <v>0</v>
      </c>
      <c r="BF1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23">
        <f>SUMIF(Consumo!$C$3:$C$869,tabItens[[#This Row],[CÓDIGO]],Consumo!$E$3:$E$869)</f>
        <v>0</v>
      </c>
      <c r="BH193" s="324">
        <f>IF(AND(tabItens[[#This Row],[Pend]] &gt; 0,tabItens[[#This Row],[Consumo]] &lt;&gt; 0), tabItens[[#This Row],[Pend]] / tabItens[[#This Row],[Consumo]], 0 )</f>
        <v>0</v>
      </c>
      <c r="BI193" s="323"/>
      <c r="BJ193" s="323"/>
      <c r="BK193" s="325" t="s">
        <v>2064</v>
      </c>
    </row>
    <row r="194" spans="1:63" hidden="1" x14ac:dyDescent="0.3">
      <c r="A194" s="286">
        <v>88856</v>
      </c>
      <c r="B194" s="287" t="s">
        <v>1511</v>
      </c>
      <c r="C194" s="288" t="s">
        <v>294</v>
      </c>
      <c r="D194" s="289">
        <v>104.74</v>
      </c>
      <c r="E194" s="290"/>
      <c r="F194" s="290"/>
      <c r="G194" s="290" t="s">
        <v>883</v>
      </c>
      <c r="H194" s="291">
        <v>450</v>
      </c>
      <c r="I194" s="292">
        <v>103003</v>
      </c>
      <c r="J194" s="293">
        <v>104.74</v>
      </c>
      <c r="K194" s="294">
        <v>230</v>
      </c>
      <c r="L194" s="295">
        <f>IF(tabItens[[#This Row],[Média]] &gt; 0, tabItens[[#This Row],[QTDE ATUAL]] / tabItens[[#This Row],[Média]],999.9)</f>
        <v>22.314049586776857</v>
      </c>
      <c r="M194" s="296">
        <v>0</v>
      </c>
      <c r="N194" s="297">
        <f>tabItens[[#This Row],[VALOR UNIT.]] * tabItens[[#This Row],[LC]]</f>
        <v>0</v>
      </c>
      <c r="O194" s="298" t="s">
        <v>2133</v>
      </c>
      <c r="P194" s="299"/>
      <c r="Q194" s="300"/>
      <c r="R194" s="297"/>
      <c r="S194" s="301"/>
      <c r="T194" s="302">
        <f>ROUNDDOWN(IFERROR(tabItens[[#This Row],[ATA DT.VALID.]] - $D$1,0) / 30,0)</f>
        <v>-1504</v>
      </c>
      <c r="U194" s="287" t="s">
        <v>1332</v>
      </c>
      <c r="V194" s="303">
        <v>1</v>
      </c>
      <c r="W194" s="304" t="s">
        <v>2056</v>
      </c>
      <c r="X194" s="305">
        <v>69</v>
      </c>
      <c r="Y194" s="306">
        <v>2</v>
      </c>
      <c r="Z194" s="307"/>
      <c r="AA194" s="308"/>
      <c r="AB194" s="309"/>
      <c r="AC194" s="309"/>
      <c r="AD194" s="308"/>
      <c r="AE194" s="309"/>
      <c r="AF194" s="302"/>
      <c r="AG194" s="310" t="s">
        <v>2050</v>
      </c>
      <c r="AH194" s="311"/>
      <c r="AI194" s="302">
        <v>86</v>
      </c>
      <c r="AJ194" s="311">
        <v>44592</v>
      </c>
      <c r="AK194" s="311">
        <v>38664</v>
      </c>
      <c r="AL194" s="311">
        <v>44578</v>
      </c>
      <c r="AM194" s="301"/>
      <c r="AN194" s="290"/>
      <c r="AO194" s="312" t="str">
        <f>_xlfn.IFNA(IF(VLOOKUP(tabItens[[#This Row],[CÓDIGO]],tabExcluirDoEstoque[#Data],1,FALSE),"sim",""),"")</f>
        <v/>
      </c>
      <c r="AP194" s="313" t="str">
        <f ca="1">IF(OR(ISBLANK(tabItens[[#This Row],[ATA DT.VALID.]]),tabItens[[#This Row],[ATA DT.VALID.]]="",tabItens[[#This Row],[ATA DT.VALID.]]=" "),"",IF(TYPE(tabItens[[#This Row],[ATA DT.VALID.]])=1,ROUNDUP((tabItens[[#This Row],[ATA DT.VALID.]]-TODAY())/7,0),""))</f>
        <v/>
      </c>
      <c r="AQ194" s="314">
        <v>0</v>
      </c>
      <c r="AR194" s="315" t="str">
        <f>IF(ISBLANK(tabItens[[#This Row],[CÓDIGO]]),"",IFERROR(VLOOKUP(tabItens[[#This Row],[CÓDIGO]],Consumo!$C$2:$AC$869,26,FALSE),0))</f>
        <v>06.2023</v>
      </c>
      <c r="AS194" s="316">
        <f>SUMIF(Consumo!$C$3:$C$869,tabItens[[#This Row],[CÓDIGO]],Consumo!$N$3:$N$869) + SUMIF(Consumo!$C$3:$C$869,tabItens[[#This Row],[CÓDIGO]],Consumo!$O$3:$O$869) + SUMIF(Consumo!$C$3:$C$869,tabItens[[#This Row],[CÓDIGO]],Consumo!$P$3:$P$869) + SUMIF(Consumo!$C$3:$C$869,tabItens[[#This Row],[CÓDIGO]],Consumo!$Q$3:$Q$869)</f>
        <v>70</v>
      </c>
      <c r="AT194" s="316">
        <f>SUMIF(Consumo!$C$3:$C$869,tabItens[[#This Row],[CÓDIGO]],Consumo!$Z$3:$Z$869)</f>
        <v>255</v>
      </c>
      <c r="AU194" s="317">
        <f>SUMIF(Consumo!$C$3:$C$869,tabItens[[#This Row],[CÓDIGO]],Consumo!$AA$3:$AA$869)</f>
        <v>85</v>
      </c>
      <c r="AV194" s="318">
        <f>SUMIF(Consumo!$C$3:$C$869,tabItens[[#This Row],[CÓDIGO]],Consumo!$Y$3:$Y$869)</f>
        <v>20.166666666666668</v>
      </c>
      <c r="AW194" s="291">
        <f>tabItens[[#This Row],[QTDE ATUAL]] + tabItens[[#This Row],[RC QTDE]] + tabItens[[#This Row],[AF SALDO]] + tabItens[[#This Row],[Recentes]]</f>
        <v>450</v>
      </c>
      <c r="AX194" s="319">
        <v>20</v>
      </c>
      <c r="AY194" s="319">
        <v>4</v>
      </c>
      <c r="AZ194" s="319">
        <f>IF(ISBLANK(tabItens[[#This Row],[CÓDIGO]]),"",tabItens[[#This Row],[PontoMês]] * (AZ$2+tabItens[[#This Row],[PontoQtM]]))</f>
        <v>80</v>
      </c>
      <c r="BA194" s="318">
        <f>tabItens[[#This Row],[PontoPed]] - tabItens[[#This Row],[Saldo]] + (1/10)</f>
        <v>-369.9</v>
      </c>
      <c r="BB194" s="318">
        <f xml:space="preserve"> tabItens[[#This Row],[PontoMês]] * BB$2 - tabItens[[#This Row],[QTDE ATUAL]] - (1/10)</f>
        <v>-430.1</v>
      </c>
      <c r="BC194" s="320">
        <f>IF( tabItens[[#This Row],[PontoPed]]&gt;0, IF(tabItens[[#This Row],[PontoPed]]&lt;1, 1, IF( tabItens[[#This Row],[Saldo]]&gt;tabItens[[#This Row],[PontoPed]], 0, (tabItens[[#This Row],[PontoPed]]-tabItens[[#This Row],[Saldo]])/tabItens[[#This Row],[PontoPed]] ) ), 0 )</f>
        <v>0</v>
      </c>
      <c r="BD194" s="321">
        <f>ROUNDDOWN(IF( OR( AND(tabItens[[#This Row],[PontoPed]]&lt;tabItens[[#This Row],[Saldo]],tabItens[[#This Row],[Saldo]]&gt;0), tabItens[[#This Row],[PontoPed]]=0), 99, IF(AND(tabItens[[#This Row],[Saldo]]=0,tabItens[[#This Row],[PontoPed]]&gt;0), 0, (1-tabItens[[#This Row],[PctAb]])*10 ) ),0)</f>
        <v>99</v>
      </c>
      <c r="BE194" s="322">
        <f>MAX(ROUNDDOWN( IF(tabItens[[#This Row],[Abaixo]] &gt; 0,   tabItens[[#This Row],[Abaixo]] + (tabItens[[#This Row],[PontoMês]] * IF( OR( ISBLANK(tabItens[[#This Row],[ATA Nº/ANO]]), tabItens[[#This Row],[ATA Nº/ANO]] = ""),BE$2,BE$1)),0),0),0)</f>
        <v>0</v>
      </c>
      <c r="BF1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23">
        <f>SUMIF(Consumo!$C$3:$C$869,tabItens[[#This Row],[CÓDIGO]],Consumo!$E$3:$E$869)</f>
        <v>0</v>
      </c>
      <c r="BH194" s="324">
        <f>IF(AND(tabItens[[#This Row],[Pend]] &gt; 0,tabItens[[#This Row],[Consumo]] &lt;&gt; 0), tabItens[[#This Row],[Pend]] / tabItens[[#This Row],[Consumo]], 0 )</f>
        <v>0</v>
      </c>
      <c r="BI194" s="323"/>
      <c r="BJ194" s="323"/>
      <c r="BK194" s="325" t="s">
        <v>2064</v>
      </c>
    </row>
    <row r="195" spans="1:63" hidden="1" x14ac:dyDescent="0.3">
      <c r="A195" s="286">
        <v>66168</v>
      </c>
      <c r="B195" s="287" t="s">
        <v>1390</v>
      </c>
      <c r="C195" s="288" t="s">
        <v>294</v>
      </c>
      <c r="D195" s="289">
        <v>42</v>
      </c>
      <c r="E195" s="290"/>
      <c r="F195" s="290"/>
      <c r="G195" s="290" t="s">
        <v>883</v>
      </c>
      <c r="H195" s="291">
        <v>392</v>
      </c>
      <c r="I195" s="292">
        <v>103003</v>
      </c>
      <c r="J195" s="293">
        <v>42</v>
      </c>
      <c r="K195" s="294">
        <v>641</v>
      </c>
      <c r="L195" s="295">
        <f>IF(tabItens[[#This Row],[Média]] &gt; 0, tabItens[[#This Row],[QTDE ATUAL]] / tabItens[[#This Row],[Média]],999.9)</f>
        <v>7.3385335413416541</v>
      </c>
      <c r="M195" s="296">
        <v>0</v>
      </c>
      <c r="N195" s="297">
        <f>tabItens[[#This Row],[VALOR UNIT.]] * tabItens[[#This Row],[LC]]</f>
        <v>0</v>
      </c>
      <c r="O195" s="298" t="s">
        <v>2133</v>
      </c>
      <c r="P195" s="299"/>
      <c r="Q195" s="300"/>
      <c r="R195" s="297"/>
      <c r="S195" s="301"/>
      <c r="T195" s="302">
        <f>ROUNDDOWN(IFERROR(tabItens[[#This Row],[ATA DT.VALID.]] - $D$1,0) / 30,0)</f>
        <v>-1504</v>
      </c>
      <c r="U195" s="287" t="s">
        <v>1366</v>
      </c>
      <c r="V195" s="303">
        <v>1</v>
      </c>
      <c r="W195" s="304" t="s">
        <v>2056</v>
      </c>
      <c r="X195" s="305">
        <v>69</v>
      </c>
      <c r="Y195" s="306">
        <v>17</v>
      </c>
      <c r="Z195" s="307"/>
      <c r="AA195" s="308"/>
      <c r="AB195" s="309"/>
      <c r="AC195" s="309">
        <v>8863</v>
      </c>
      <c r="AD195" s="308">
        <v>2023</v>
      </c>
      <c r="AE195" s="309">
        <v>300</v>
      </c>
      <c r="AF195" s="302">
        <v>300</v>
      </c>
      <c r="AG195" s="310" t="s">
        <v>2040</v>
      </c>
      <c r="AH195" s="311">
        <v>45159</v>
      </c>
      <c r="AI195" s="302">
        <v>244</v>
      </c>
      <c r="AJ195" s="311">
        <v>44575</v>
      </c>
      <c r="AK195" s="311" t="s">
        <v>883</v>
      </c>
      <c r="AL195" s="311">
        <v>45128</v>
      </c>
      <c r="AM195" s="301"/>
      <c r="AN195" s="290"/>
      <c r="AO195" s="312" t="str">
        <f>_xlfn.IFNA(IF(VLOOKUP(tabItens[[#This Row],[CÓDIGO]],tabExcluirDoEstoque[#Data],1,FALSE),"sim",""),"")</f>
        <v/>
      </c>
      <c r="AP195" s="313" t="str">
        <f ca="1">IF(OR(ISBLANK(tabItens[[#This Row],[ATA DT.VALID.]]),tabItens[[#This Row],[ATA DT.VALID.]]="",tabItens[[#This Row],[ATA DT.VALID.]]=" "),"",IF(TYPE(tabItens[[#This Row],[ATA DT.VALID.]])=1,ROUNDUP((tabItens[[#This Row],[ATA DT.VALID.]]-TODAY())/7,0),""))</f>
        <v/>
      </c>
      <c r="AQ195" s="314">
        <v>0</v>
      </c>
      <c r="AR195" s="315" t="str">
        <f>IF(ISBLANK(tabItens[[#This Row],[CÓDIGO]]),"",IFERROR(VLOOKUP(tabItens[[#This Row],[CÓDIGO]],Consumo!$C$2:$AC$869,26,FALSE),0))</f>
        <v>05.2023</v>
      </c>
      <c r="AS195" s="316">
        <f>SUMIF(Consumo!$C$3:$C$869,tabItens[[#This Row],[CÓDIGO]],Consumo!$N$3:$N$869) + SUMIF(Consumo!$C$3:$C$869,tabItens[[#This Row],[CÓDIGO]],Consumo!$O$3:$O$869) + SUMIF(Consumo!$C$3:$C$869,tabItens[[#This Row],[CÓDIGO]],Consumo!$P$3:$P$869) + SUMIF(Consumo!$C$3:$C$869,tabItens[[#This Row],[CÓDIGO]],Consumo!$Q$3:$Q$869)</f>
        <v>200</v>
      </c>
      <c r="AT195" s="316">
        <f>SUMIF(Consumo!$C$3:$C$869,tabItens[[#This Row],[CÓDIGO]],Consumo!$Z$3:$Z$869)</f>
        <v>641</v>
      </c>
      <c r="AU195" s="317">
        <f>SUMIF(Consumo!$C$3:$C$869,tabItens[[#This Row],[CÓDIGO]],Consumo!$AA$3:$AA$869)</f>
        <v>207</v>
      </c>
      <c r="AV195" s="318">
        <f>SUMIF(Consumo!$C$3:$C$869,tabItens[[#This Row],[CÓDIGO]],Consumo!$Y$3:$Y$869)</f>
        <v>53.416666666666664</v>
      </c>
      <c r="AW195" s="291">
        <f>tabItens[[#This Row],[QTDE ATUAL]] + tabItens[[#This Row],[RC QTDE]] + tabItens[[#This Row],[AF SALDO]] + tabItens[[#This Row],[Recentes]]</f>
        <v>692</v>
      </c>
      <c r="AX195" s="319">
        <v>74</v>
      </c>
      <c r="AY195" s="319">
        <v>4</v>
      </c>
      <c r="AZ195" s="319">
        <f>IF(ISBLANK(tabItens[[#This Row],[CÓDIGO]]),"",tabItens[[#This Row],[PontoMês]] * (AZ$2+tabItens[[#This Row],[PontoQtM]]))</f>
        <v>296</v>
      </c>
      <c r="BA195" s="318">
        <f>tabItens[[#This Row],[PontoPed]] - tabItens[[#This Row],[Saldo]] + (1/10)</f>
        <v>-395.9</v>
      </c>
      <c r="BB195" s="318">
        <f xml:space="preserve"> tabItens[[#This Row],[PontoMês]] * BB$2 - tabItens[[#This Row],[QTDE ATUAL]] - (1/10)</f>
        <v>-318.10000000000002</v>
      </c>
      <c r="BC195" s="320">
        <f>IF( tabItens[[#This Row],[PontoPed]]&gt;0, IF(tabItens[[#This Row],[PontoPed]]&lt;1, 1, IF( tabItens[[#This Row],[Saldo]]&gt;tabItens[[#This Row],[PontoPed]], 0, (tabItens[[#This Row],[PontoPed]]-tabItens[[#This Row],[Saldo]])/tabItens[[#This Row],[PontoPed]] ) ), 0 )</f>
        <v>0</v>
      </c>
      <c r="BD195" s="321">
        <f>ROUNDDOWN(IF( OR( AND(tabItens[[#This Row],[PontoPed]]&lt;tabItens[[#This Row],[Saldo]],tabItens[[#This Row],[Saldo]]&gt;0), tabItens[[#This Row],[PontoPed]]=0), 99, IF(AND(tabItens[[#This Row],[Saldo]]=0,tabItens[[#This Row],[PontoPed]]&gt;0), 0, (1-tabItens[[#This Row],[PctAb]])*10 ) ),0)</f>
        <v>99</v>
      </c>
      <c r="BE195" s="322">
        <f>MAX(ROUNDDOWN( IF(tabItens[[#This Row],[Abaixo]] &gt; 0,   tabItens[[#This Row],[Abaixo]] + (tabItens[[#This Row],[PontoMês]] * IF( OR( ISBLANK(tabItens[[#This Row],[ATA Nº/ANO]]), tabItens[[#This Row],[ATA Nº/ANO]] = ""),BE$2,BE$1)),0),0),0)</f>
        <v>0</v>
      </c>
      <c r="BF1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23">
        <f>SUMIF(Consumo!$C$3:$C$869,tabItens[[#This Row],[CÓDIGO]],Consumo!$E$3:$E$869)</f>
        <v>0</v>
      </c>
      <c r="BH195" s="324">
        <f>IF(AND(tabItens[[#This Row],[Pend]] &gt; 0,tabItens[[#This Row],[Consumo]] &lt;&gt; 0), tabItens[[#This Row],[Pend]] / tabItens[[#This Row],[Consumo]], 0 )</f>
        <v>0</v>
      </c>
      <c r="BI195" s="323"/>
      <c r="BJ195" s="323"/>
      <c r="BK195" s="325" t="s">
        <v>2064</v>
      </c>
    </row>
    <row r="196" spans="1:63" hidden="1" x14ac:dyDescent="0.3">
      <c r="A196" s="286">
        <v>60517</v>
      </c>
      <c r="B196" s="287" t="s">
        <v>1346</v>
      </c>
      <c r="C196" s="288" t="s">
        <v>294</v>
      </c>
      <c r="D196" s="289">
        <v>75.56</v>
      </c>
      <c r="E196" s="290"/>
      <c r="F196" s="290"/>
      <c r="G196" s="290" t="s">
        <v>883</v>
      </c>
      <c r="H196" s="291">
        <v>1781</v>
      </c>
      <c r="I196" s="292">
        <v>103003</v>
      </c>
      <c r="J196" s="293">
        <v>75.56</v>
      </c>
      <c r="K196" s="294">
        <v>12</v>
      </c>
      <c r="L196" s="295">
        <f>IF(tabItens[[#This Row],[Média]] &gt; 0, tabItens[[#This Row],[QTDE ATUAL]] / tabItens[[#This Row],[Média]],999.9)</f>
        <v>2671.5</v>
      </c>
      <c r="M196" s="296">
        <v>0</v>
      </c>
      <c r="N196" s="297">
        <f>tabItens[[#This Row],[VALOR UNIT.]] * tabItens[[#This Row],[LC]]</f>
        <v>0</v>
      </c>
      <c r="O196" s="298" t="s">
        <v>2089</v>
      </c>
      <c r="P196" s="299"/>
      <c r="Q196" s="300"/>
      <c r="R196" s="297"/>
      <c r="S196" s="301"/>
      <c r="T196" s="302">
        <f>ROUNDDOWN(IFERROR(tabItens[[#This Row],[ATA DT.VALID.]] - $D$1,0) / 30,0)</f>
        <v>-1504</v>
      </c>
      <c r="U196" s="287" t="s">
        <v>1224</v>
      </c>
      <c r="V196" s="303">
        <v>1</v>
      </c>
      <c r="W196" s="304" t="s">
        <v>2049</v>
      </c>
      <c r="X196" s="305">
        <v>51</v>
      </c>
      <c r="Y196" s="306">
        <v>13</v>
      </c>
      <c r="Z196" s="307"/>
      <c r="AA196" s="308"/>
      <c r="AB196" s="309"/>
      <c r="AC196" s="309"/>
      <c r="AD196" s="308"/>
      <c r="AE196" s="309"/>
      <c r="AF196" s="302"/>
      <c r="AG196" s="310" t="s">
        <v>2050</v>
      </c>
      <c r="AH196" s="311"/>
      <c r="AI196" s="302">
        <v>72</v>
      </c>
      <c r="AJ196" s="311">
        <v>44505</v>
      </c>
      <c r="AK196" s="311" t="s">
        <v>883</v>
      </c>
      <c r="AL196" s="311">
        <v>44882</v>
      </c>
      <c r="AM196" s="301"/>
      <c r="AN196" s="290"/>
      <c r="AO196" s="312" t="str">
        <f>_xlfn.IFNA(IF(VLOOKUP(tabItens[[#This Row],[CÓDIGO]],tabExcluirDoEstoque[#Data],1,FALSE),"sim",""),"")</f>
        <v/>
      </c>
      <c r="AP196" s="313" t="str">
        <f ca="1">IF(OR(ISBLANK(tabItens[[#This Row],[ATA DT.VALID.]]),tabItens[[#This Row],[ATA DT.VALID.]]="",tabItens[[#This Row],[ATA DT.VALID.]]=" "),"",IF(TYPE(tabItens[[#This Row],[ATA DT.VALID.]])=1,ROUNDUP((tabItens[[#This Row],[ATA DT.VALID.]]-TODAY())/7,0),""))</f>
        <v/>
      </c>
      <c r="AQ196" s="314">
        <v>0</v>
      </c>
      <c r="AR196" s="315" t="str">
        <f>IF(ISBLANK(tabItens[[#This Row],[CÓDIGO]]),"",IFERROR(VLOOKUP(tabItens[[#This Row],[CÓDIGO]],Consumo!$C$2:$AC$869,26,FALSE),0))</f>
        <v>05.2023</v>
      </c>
      <c r="AS196" s="316">
        <f>SUMIF(Consumo!$C$3:$C$869,tabItens[[#This Row],[CÓDIGO]],Consumo!$N$3:$N$869) + SUMIF(Consumo!$C$3:$C$869,tabItens[[#This Row],[CÓDIGO]],Consumo!$O$3:$O$869) + SUMIF(Consumo!$C$3:$C$869,tabItens[[#This Row],[CÓDIGO]],Consumo!$P$3:$P$869) + SUMIF(Consumo!$C$3:$C$869,tabItens[[#This Row],[CÓDIGO]],Consumo!$Q$3:$Q$869)</f>
        <v>10</v>
      </c>
      <c r="AT196" s="316">
        <f>SUMIF(Consumo!$C$3:$C$869,tabItens[[#This Row],[CÓDIGO]],Consumo!$Z$3:$Z$869)</f>
        <v>12</v>
      </c>
      <c r="AU196" s="317">
        <f>SUMIF(Consumo!$C$3:$C$869,tabItens[[#This Row],[CÓDIGO]],Consumo!$AA$3:$AA$869)</f>
        <v>10</v>
      </c>
      <c r="AV196" s="318">
        <f>SUMIF(Consumo!$C$3:$C$869,tabItens[[#This Row],[CÓDIGO]],Consumo!$Y$3:$Y$869)</f>
        <v>0.66666666666666663</v>
      </c>
      <c r="AW196" s="291">
        <f>tabItens[[#This Row],[QTDE ATUAL]] + tabItens[[#This Row],[RC QTDE]] + tabItens[[#This Row],[AF SALDO]] + tabItens[[#This Row],[Recentes]]</f>
        <v>1781</v>
      </c>
      <c r="AX196" s="319">
        <v>30</v>
      </c>
      <c r="AY196" s="319">
        <v>4</v>
      </c>
      <c r="AZ196" s="319">
        <f>IF(ISBLANK(tabItens[[#This Row],[CÓDIGO]]),"",tabItens[[#This Row],[PontoMês]] * (AZ$2+tabItens[[#This Row],[PontoQtM]]))</f>
        <v>120</v>
      </c>
      <c r="BA196" s="318">
        <f>tabItens[[#This Row],[PontoPed]] - tabItens[[#This Row],[Saldo]] + (1/10)</f>
        <v>-1660.9</v>
      </c>
      <c r="BB196" s="318">
        <f xml:space="preserve"> tabItens[[#This Row],[PontoMês]] * BB$2 - tabItens[[#This Row],[QTDE ATUAL]] - (1/10)</f>
        <v>-1751.1</v>
      </c>
      <c r="BC196" s="320">
        <f>IF( tabItens[[#This Row],[PontoPed]]&gt;0, IF(tabItens[[#This Row],[PontoPed]]&lt;1, 1, IF( tabItens[[#This Row],[Saldo]]&gt;tabItens[[#This Row],[PontoPed]], 0, (tabItens[[#This Row],[PontoPed]]-tabItens[[#This Row],[Saldo]])/tabItens[[#This Row],[PontoPed]] ) ), 0 )</f>
        <v>0</v>
      </c>
      <c r="BD196" s="321">
        <f>ROUNDDOWN(IF( OR( AND(tabItens[[#This Row],[PontoPed]]&lt;tabItens[[#This Row],[Saldo]],tabItens[[#This Row],[Saldo]]&gt;0), tabItens[[#This Row],[PontoPed]]=0), 99, IF(AND(tabItens[[#This Row],[Saldo]]=0,tabItens[[#This Row],[PontoPed]]&gt;0), 0, (1-tabItens[[#This Row],[PctAb]])*10 ) ),0)</f>
        <v>99</v>
      </c>
      <c r="BE196" s="322">
        <f>MAX(ROUNDDOWN( IF(tabItens[[#This Row],[Abaixo]] &gt; 0,   tabItens[[#This Row],[Abaixo]] + (tabItens[[#This Row],[PontoMês]] * IF( OR( ISBLANK(tabItens[[#This Row],[ATA Nº/ANO]]), tabItens[[#This Row],[ATA Nº/ANO]] = ""),BE$2,BE$1)),0),0),0)</f>
        <v>0</v>
      </c>
      <c r="BF19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23">
        <f>SUMIF(Consumo!$C$3:$C$869,tabItens[[#This Row],[CÓDIGO]],Consumo!$E$3:$E$869)</f>
        <v>0</v>
      </c>
      <c r="BH196" s="324">
        <f>IF(AND(tabItens[[#This Row],[Pend]] &gt; 0,tabItens[[#This Row],[Consumo]] &lt;&gt; 0), tabItens[[#This Row],[Pend]] / tabItens[[#This Row],[Consumo]], 0 )</f>
        <v>0</v>
      </c>
      <c r="BI196" s="323"/>
      <c r="BJ196" s="323"/>
      <c r="BK196" s="325" t="s">
        <v>2064</v>
      </c>
    </row>
    <row r="197" spans="1:63" hidden="1" x14ac:dyDescent="0.3">
      <c r="A197" s="286">
        <v>87348</v>
      </c>
      <c r="B197" s="287" t="s">
        <v>1485</v>
      </c>
      <c r="C197" s="288" t="s">
        <v>294</v>
      </c>
      <c r="D197" s="289">
        <v>16.32</v>
      </c>
      <c r="E197" s="290"/>
      <c r="F197" s="290"/>
      <c r="G197" s="290" t="s">
        <v>883</v>
      </c>
      <c r="H197" s="291">
        <v>832</v>
      </c>
      <c r="I197" s="292">
        <v>103003</v>
      </c>
      <c r="J197" s="293">
        <v>16.32</v>
      </c>
      <c r="K197" s="294">
        <v>46</v>
      </c>
      <c r="L197" s="295">
        <f>IF(tabItens[[#This Row],[Média]] &gt; 0, tabItens[[#This Row],[QTDE ATUAL]] / tabItens[[#This Row],[Média]],999.9)</f>
        <v>237.71428571428572</v>
      </c>
      <c r="M197" s="296">
        <v>0</v>
      </c>
      <c r="N197" s="297">
        <f>tabItens[[#This Row],[VALOR UNIT.]] * tabItens[[#This Row],[LC]]</f>
        <v>0</v>
      </c>
      <c r="O197" s="298" t="s">
        <v>2089</v>
      </c>
      <c r="P197" s="299"/>
      <c r="Q197" s="300"/>
      <c r="R197" s="297"/>
      <c r="S197" s="301"/>
      <c r="T197" s="302">
        <f>ROUNDDOWN(IFERROR(tabItens[[#This Row],[ATA DT.VALID.]] - $D$1,0) / 30,0)</f>
        <v>-1504</v>
      </c>
      <c r="U197" s="287" t="s">
        <v>1224</v>
      </c>
      <c r="V197" s="303">
        <v>1</v>
      </c>
      <c r="W197" s="304" t="s">
        <v>2049</v>
      </c>
      <c r="X197" s="305">
        <v>51</v>
      </c>
      <c r="Y197" s="306">
        <v>13</v>
      </c>
      <c r="Z197" s="307"/>
      <c r="AA197" s="308"/>
      <c r="AB197" s="309"/>
      <c r="AC197" s="309"/>
      <c r="AD197" s="308"/>
      <c r="AE197" s="309"/>
      <c r="AF197" s="302"/>
      <c r="AG197" s="310" t="s">
        <v>2050</v>
      </c>
      <c r="AH197" s="311"/>
      <c r="AI197" s="302">
        <v>16</v>
      </c>
      <c r="AJ197" s="311">
        <v>43852</v>
      </c>
      <c r="AK197" s="311">
        <v>38583</v>
      </c>
      <c r="AL197" s="311">
        <v>44005</v>
      </c>
      <c r="AM197" s="301"/>
      <c r="AN197" s="290"/>
      <c r="AO197" s="312" t="str">
        <f>_xlfn.IFNA(IF(VLOOKUP(tabItens[[#This Row],[CÓDIGO]],tabExcluirDoEstoque[#Data],1,FALSE),"sim",""),"")</f>
        <v/>
      </c>
      <c r="AP197" s="313" t="str">
        <f ca="1">IF(OR(ISBLANK(tabItens[[#This Row],[ATA DT.VALID.]]),tabItens[[#This Row],[ATA DT.VALID.]]="",tabItens[[#This Row],[ATA DT.VALID.]]=" "),"",IF(TYPE(tabItens[[#This Row],[ATA DT.VALID.]])=1,ROUNDUP((tabItens[[#This Row],[ATA DT.VALID.]]-TODAY())/7,0),""))</f>
        <v/>
      </c>
      <c r="AQ197" s="314">
        <v>0</v>
      </c>
      <c r="AR197" s="315" t="str">
        <f>IF(ISBLANK(tabItens[[#This Row],[CÓDIGO]]),"",IFERROR(VLOOKUP(tabItens[[#This Row],[CÓDIGO]],Consumo!$C$2:$AC$869,26,FALSE),0))</f>
        <v>03.2023</v>
      </c>
      <c r="AS197" s="316">
        <f>SUMIF(Consumo!$C$3:$C$869,tabItens[[#This Row],[CÓDIGO]],Consumo!$N$3:$N$869) + SUMIF(Consumo!$C$3:$C$869,tabItens[[#This Row],[CÓDIGO]],Consumo!$O$3:$O$869) + SUMIF(Consumo!$C$3:$C$869,tabItens[[#This Row],[CÓDIGO]],Consumo!$P$3:$P$869) + SUMIF(Consumo!$C$3:$C$869,tabItens[[#This Row],[CÓDIGO]],Consumo!$Q$3:$Q$869)</f>
        <v>0</v>
      </c>
      <c r="AT197" s="316">
        <f>SUMIF(Consumo!$C$3:$C$869,tabItens[[#This Row],[CÓDIGO]],Consumo!$Z$3:$Z$869)</f>
        <v>46</v>
      </c>
      <c r="AU197" s="317">
        <f>SUMIF(Consumo!$C$3:$C$869,tabItens[[#This Row],[CÓDIGO]],Consumo!$AA$3:$AA$869)</f>
        <v>20</v>
      </c>
      <c r="AV197" s="318">
        <f>SUMIF(Consumo!$C$3:$C$869,tabItens[[#This Row],[CÓDIGO]],Consumo!$Y$3:$Y$869)</f>
        <v>3.5</v>
      </c>
      <c r="AW197" s="291">
        <f>tabItens[[#This Row],[QTDE ATUAL]] + tabItens[[#This Row],[RC QTDE]] + tabItens[[#This Row],[AF SALDO]] + tabItens[[#This Row],[Recentes]]</f>
        <v>832</v>
      </c>
      <c r="AX197" s="319">
        <v>42</v>
      </c>
      <c r="AY197" s="319">
        <v>4</v>
      </c>
      <c r="AZ197" s="319">
        <f>IF(ISBLANK(tabItens[[#This Row],[CÓDIGO]]),"",tabItens[[#This Row],[PontoMês]] * (AZ$2+tabItens[[#This Row],[PontoQtM]]))</f>
        <v>168</v>
      </c>
      <c r="BA197" s="318">
        <f>tabItens[[#This Row],[PontoPed]] - tabItens[[#This Row],[Saldo]] + (1/10)</f>
        <v>-663.9</v>
      </c>
      <c r="BB197" s="318">
        <f xml:space="preserve"> tabItens[[#This Row],[PontoMês]] * BB$2 - tabItens[[#This Row],[QTDE ATUAL]] - (1/10)</f>
        <v>-790.1</v>
      </c>
      <c r="BC197" s="320">
        <f>IF( tabItens[[#This Row],[PontoPed]]&gt;0, IF(tabItens[[#This Row],[PontoPed]]&lt;1, 1, IF( tabItens[[#This Row],[Saldo]]&gt;tabItens[[#This Row],[PontoPed]], 0, (tabItens[[#This Row],[PontoPed]]-tabItens[[#This Row],[Saldo]])/tabItens[[#This Row],[PontoPed]] ) ), 0 )</f>
        <v>0</v>
      </c>
      <c r="BD197" s="321">
        <f>ROUNDDOWN(IF( OR( AND(tabItens[[#This Row],[PontoPed]]&lt;tabItens[[#This Row],[Saldo]],tabItens[[#This Row],[Saldo]]&gt;0), tabItens[[#This Row],[PontoPed]]=0), 99, IF(AND(tabItens[[#This Row],[Saldo]]=0,tabItens[[#This Row],[PontoPed]]&gt;0), 0, (1-tabItens[[#This Row],[PctAb]])*10 ) ),0)</f>
        <v>99</v>
      </c>
      <c r="BE197" s="322">
        <f>MAX(ROUNDDOWN( IF(tabItens[[#This Row],[Abaixo]] &gt; 0,   tabItens[[#This Row],[Abaixo]] + (tabItens[[#This Row],[PontoMês]] * IF( OR( ISBLANK(tabItens[[#This Row],[ATA Nº/ANO]]), tabItens[[#This Row],[ATA Nº/ANO]] = ""),BE$2,BE$1)),0),0),0)</f>
        <v>0</v>
      </c>
      <c r="BF19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23">
        <f>SUMIF(Consumo!$C$3:$C$869,tabItens[[#This Row],[CÓDIGO]],Consumo!$E$3:$E$869)</f>
        <v>0</v>
      </c>
      <c r="BH197" s="324">
        <f>IF(AND(tabItens[[#This Row],[Pend]] &gt; 0,tabItens[[#This Row],[Consumo]] &lt;&gt; 0), tabItens[[#This Row],[Pend]] / tabItens[[#This Row],[Consumo]], 0 )</f>
        <v>0</v>
      </c>
      <c r="BI197" s="323"/>
      <c r="BJ197" s="323"/>
      <c r="BK197" s="325" t="s">
        <v>2064</v>
      </c>
    </row>
    <row r="198" spans="1:63" hidden="1" x14ac:dyDescent="0.3">
      <c r="A198" s="286">
        <v>13221</v>
      </c>
      <c r="B198" s="287" t="s">
        <v>1029</v>
      </c>
      <c r="C198" s="288" t="s">
        <v>256</v>
      </c>
      <c r="D198" s="289">
        <v>0.34</v>
      </c>
      <c r="E198" s="290"/>
      <c r="F198" s="290"/>
      <c r="G198" s="290" t="s">
        <v>883</v>
      </c>
      <c r="H198" s="291">
        <v>1994</v>
      </c>
      <c r="I198" s="292">
        <v>103003</v>
      </c>
      <c r="J198" s="293">
        <v>0.34</v>
      </c>
      <c r="K198" s="294">
        <v>2814</v>
      </c>
      <c r="L198" s="295">
        <f>IF(tabItens[[#This Row],[Média]] &gt; 0, tabItens[[#This Row],[QTDE ATUAL]] / tabItens[[#This Row],[Média]],999.9)</f>
        <v>7.9363184079601989</v>
      </c>
      <c r="M198" s="296">
        <v>0</v>
      </c>
      <c r="N198" s="297">
        <f>tabItens[[#This Row],[VALOR UNIT.]] * tabItens[[#This Row],[LC]]</f>
        <v>0</v>
      </c>
      <c r="O198" s="298" t="s">
        <v>2089</v>
      </c>
      <c r="P198" s="299"/>
      <c r="Q198" s="300"/>
      <c r="R198" s="297"/>
      <c r="S198" s="301"/>
      <c r="T198" s="302">
        <f>ROUNDDOWN(IFERROR(tabItens[[#This Row],[ATA DT.VALID.]] - $D$1,0) / 30,0)</f>
        <v>-1504</v>
      </c>
      <c r="U198" s="287" t="s">
        <v>1030</v>
      </c>
      <c r="V198" s="303">
        <v>1</v>
      </c>
      <c r="W198" s="304" t="s">
        <v>2049</v>
      </c>
      <c r="X198" s="305">
        <v>67</v>
      </c>
      <c r="Y198" s="306">
        <v>1</v>
      </c>
      <c r="Z198" s="307"/>
      <c r="AA198" s="308"/>
      <c r="AB198" s="309"/>
      <c r="AC198" s="309"/>
      <c r="AD198" s="308"/>
      <c r="AE198" s="309"/>
      <c r="AF198" s="302"/>
      <c r="AG198" s="310" t="s">
        <v>2050</v>
      </c>
      <c r="AH198" s="311"/>
      <c r="AI198" s="302">
        <v>1092</v>
      </c>
      <c r="AJ198" s="311">
        <v>43857</v>
      </c>
      <c r="AK198" s="311" t="s">
        <v>883</v>
      </c>
      <c r="AL198" s="311">
        <v>43826</v>
      </c>
      <c r="AM198" s="301"/>
      <c r="AN198" s="290"/>
      <c r="AO198" s="312" t="str">
        <f>_xlfn.IFNA(IF(VLOOKUP(tabItens[[#This Row],[CÓDIGO]],tabExcluirDoEstoque[#Data],1,FALSE),"sim",""),"")</f>
        <v/>
      </c>
      <c r="AP198" s="313" t="str">
        <f ca="1">IF(OR(ISBLANK(tabItens[[#This Row],[ATA DT.VALID.]]),tabItens[[#This Row],[ATA DT.VALID.]]="",tabItens[[#This Row],[ATA DT.VALID.]]=" "),"",IF(TYPE(tabItens[[#This Row],[ATA DT.VALID.]])=1,ROUNDUP((tabItens[[#This Row],[ATA DT.VALID.]]-TODAY())/7,0),""))</f>
        <v/>
      </c>
      <c r="AQ198" s="314">
        <v>0</v>
      </c>
      <c r="AR198" s="315" t="str">
        <f>IF(ISBLANK(tabItens[[#This Row],[CÓDIGO]]),"",IFERROR(VLOOKUP(tabItens[[#This Row],[CÓDIGO]],Consumo!$C$2:$AC$869,26,FALSE),0))</f>
        <v>07.2023</v>
      </c>
      <c r="AS198" s="316">
        <f>SUMIF(Consumo!$C$3:$C$869,tabItens[[#This Row],[CÓDIGO]],Consumo!$N$3:$N$869) + SUMIF(Consumo!$C$3:$C$869,tabItens[[#This Row],[CÓDIGO]],Consumo!$O$3:$O$869) + SUMIF(Consumo!$C$3:$C$869,tabItens[[#This Row],[CÓDIGO]],Consumo!$P$3:$P$869) + SUMIF(Consumo!$C$3:$C$869,tabItens[[#This Row],[CÓDIGO]],Consumo!$Q$3:$Q$869)</f>
        <v>1800</v>
      </c>
      <c r="AT198" s="316">
        <f>SUMIF(Consumo!$C$3:$C$869,tabItens[[#This Row],[CÓDIGO]],Consumo!$Z$3:$Z$869)</f>
        <v>3274</v>
      </c>
      <c r="AU198" s="317">
        <f>SUMIF(Consumo!$C$3:$C$869,tabItens[[#This Row],[CÓDIGO]],Consumo!$AA$3:$AA$869)</f>
        <v>1220</v>
      </c>
      <c r="AV198" s="318">
        <f>SUMIF(Consumo!$C$3:$C$869,tabItens[[#This Row],[CÓDIGO]],Consumo!$Y$3:$Y$869)</f>
        <v>251.25</v>
      </c>
      <c r="AW198" s="291">
        <f>tabItens[[#This Row],[QTDE ATUAL]] + tabItens[[#This Row],[RC QTDE]] + tabItens[[#This Row],[AF SALDO]] + tabItens[[#This Row],[Recentes]]</f>
        <v>1994</v>
      </c>
      <c r="AX198" s="319">
        <v>316</v>
      </c>
      <c r="AY198" s="319">
        <v>4</v>
      </c>
      <c r="AZ198" s="319">
        <f>IF(ISBLANK(tabItens[[#This Row],[CÓDIGO]]),"",tabItens[[#This Row],[PontoMês]] * (AZ$2+tabItens[[#This Row],[PontoQtM]]))</f>
        <v>1264</v>
      </c>
      <c r="BA198" s="318">
        <f>tabItens[[#This Row],[PontoPed]] - tabItens[[#This Row],[Saldo]] + (1/10)</f>
        <v>-729.9</v>
      </c>
      <c r="BB198" s="318">
        <f xml:space="preserve"> tabItens[[#This Row],[PontoMês]] * BB$2 - tabItens[[#This Row],[QTDE ATUAL]] - (1/10)</f>
        <v>-1678.1</v>
      </c>
      <c r="BC198" s="320">
        <f>IF( tabItens[[#This Row],[PontoPed]]&gt;0, IF(tabItens[[#This Row],[PontoPed]]&lt;1, 1, IF( tabItens[[#This Row],[Saldo]]&gt;tabItens[[#This Row],[PontoPed]], 0, (tabItens[[#This Row],[PontoPed]]-tabItens[[#This Row],[Saldo]])/tabItens[[#This Row],[PontoPed]] ) ), 0 )</f>
        <v>0</v>
      </c>
      <c r="BD198" s="321">
        <f>ROUNDDOWN(IF( OR( AND(tabItens[[#This Row],[PontoPed]]&lt;tabItens[[#This Row],[Saldo]],tabItens[[#This Row],[Saldo]]&gt;0), tabItens[[#This Row],[PontoPed]]=0), 99, IF(AND(tabItens[[#This Row],[Saldo]]=0,tabItens[[#This Row],[PontoPed]]&gt;0), 0, (1-tabItens[[#This Row],[PctAb]])*10 ) ),0)</f>
        <v>99</v>
      </c>
      <c r="BE198" s="322">
        <f>MAX(ROUNDDOWN( IF(tabItens[[#This Row],[Abaixo]] &gt; 0,   tabItens[[#This Row],[Abaixo]] + (tabItens[[#This Row],[PontoMês]] * IF( OR( ISBLANK(tabItens[[#This Row],[ATA Nº/ANO]]), tabItens[[#This Row],[ATA Nº/ANO]] = ""),BE$2,BE$1)),0),0),0)</f>
        <v>0</v>
      </c>
      <c r="BF1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23">
        <f>SUMIF(Consumo!$C$3:$C$869,tabItens[[#This Row],[CÓDIGO]],Consumo!$E$3:$E$869)</f>
        <v>0</v>
      </c>
      <c r="BH198" s="324">
        <f>IF(AND(tabItens[[#This Row],[Pend]] &gt; 0,tabItens[[#This Row],[Consumo]] &lt;&gt; 0), tabItens[[#This Row],[Pend]] / tabItens[[#This Row],[Consumo]], 0 )</f>
        <v>0</v>
      </c>
      <c r="BI198" s="323"/>
      <c r="BJ198" s="323"/>
      <c r="BK198" s="325" t="s">
        <v>2064</v>
      </c>
    </row>
    <row r="199" spans="1:63" hidden="1" x14ac:dyDescent="0.3">
      <c r="A199" s="286">
        <v>13222</v>
      </c>
      <c r="B199" s="287" t="s">
        <v>1031</v>
      </c>
      <c r="C199" s="288" t="s">
        <v>256</v>
      </c>
      <c r="D199" s="289">
        <v>0.92</v>
      </c>
      <c r="E199" s="290"/>
      <c r="F199" s="290"/>
      <c r="G199" s="290" t="s">
        <v>883</v>
      </c>
      <c r="H199" s="291">
        <v>1141</v>
      </c>
      <c r="I199" s="292">
        <v>103003</v>
      </c>
      <c r="J199" s="293">
        <v>0.92</v>
      </c>
      <c r="K199" s="294">
        <v>95</v>
      </c>
      <c r="L199" s="295">
        <f>IF(tabItens[[#This Row],[Média]] &gt; 0, tabItens[[#This Row],[QTDE ATUAL]] / tabItens[[#This Row],[Média]],999.9)</f>
        <v>166.97560975609755</v>
      </c>
      <c r="M199" s="296">
        <v>0</v>
      </c>
      <c r="N199" s="297">
        <f>tabItens[[#This Row],[VALOR UNIT.]] * tabItens[[#This Row],[LC]]</f>
        <v>0</v>
      </c>
      <c r="O199" s="298" t="s">
        <v>2089</v>
      </c>
      <c r="P199" s="299"/>
      <c r="Q199" s="300"/>
      <c r="R199" s="297"/>
      <c r="S199" s="301"/>
      <c r="T199" s="302">
        <f>ROUNDDOWN(IFERROR(tabItens[[#This Row],[ATA DT.VALID.]] - $D$1,0) / 30,0)</f>
        <v>-1504</v>
      </c>
      <c r="U199" s="287" t="s">
        <v>1030</v>
      </c>
      <c r="V199" s="303">
        <v>1</v>
      </c>
      <c r="W199" s="304" t="s">
        <v>2049</v>
      </c>
      <c r="X199" s="305">
        <v>67</v>
      </c>
      <c r="Y199" s="306">
        <v>1</v>
      </c>
      <c r="Z199" s="307"/>
      <c r="AA199" s="308"/>
      <c r="AB199" s="309"/>
      <c r="AC199" s="309"/>
      <c r="AD199" s="308"/>
      <c r="AE199" s="309"/>
      <c r="AF199" s="302"/>
      <c r="AG199" s="310" t="s">
        <v>2050</v>
      </c>
      <c r="AH199" s="311"/>
      <c r="AI199" s="302">
        <v>32</v>
      </c>
      <c r="AJ199" s="311">
        <v>44071</v>
      </c>
      <c r="AK199" s="311" t="s">
        <v>883</v>
      </c>
      <c r="AL199" s="311">
        <v>44040</v>
      </c>
      <c r="AM199" s="301"/>
      <c r="AN199" s="290"/>
      <c r="AO199" s="312" t="str">
        <f>_xlfn.IFNA(IF(VLOOKUP(tabItens[[#This Row],[CÓDIGO]],tabExcluirDoEstoque[#Data],1,FALSE),"sim",""),"")</f>
        <v/>
      </c>
      <c r="AP199" s="313" t="str">
        <f ca="1">IF(OR(ISBLANK(tabItens[[#This Row],[ATA DT.VALID.]]),tabItens[[#This Row],[ATA DT.VALID.]]="",tabItens[[#This Row],[ATA DT.VALID.]]=" "),"",IF(TYPE(tabItens[[#This Row],[ATA DT.VALID.]])=1,ROUNDUP((tabItens[[#This Row],[ATA DT.VALID.]]-TODAY())/7,0),""))</f>
        <v/>
      </c>
      <c r="AQ199" s="314">
        <v>0</v>
      </c>
      <c r="AR199" s="315" t="str">
        <f>IF(ISBLANK(tabItens[[#This Row],[CÓDIGO]]),"",IFERROR(VLOOKUP(tabItens[[#This Row],[CÓDIGO]],Consumo!$C$2:$AC$869,26,FALSE),0))</f>
        <v>04.2023</v>
      </c>
      <c r="AS199" s="316">
        <f>SUMIF(Consumo!$C$3:$C$869,tabItens[[#This Row],[CÓDIGO]],Consumo!$N$3:$N$869) + SUMIF(Consumo!$C$3:$C$869,tabItens[[#This Row],[CÓDIGO]],Consumo!$O$3:$O$869) + SUMIF(Consumo!$C$3:$C$869,tabItens[[#This Row],[CÓDIGO]],Consumo!$P$3:$P$869) + SUMIF(Consumo!$C$3:$C$869,tabItens[[#This Row],[CÓDIGO]],Consumo!$Q$3:$Q$869)</f>
        <v>15</v>
      </c>
      <c r="AT199" s="316">
        <f>SUMIF(Consumo!$C$3:$C$869,tabItens[[#This Row],[CÓDIGO]],Consumo!$Z$3:$Z$869)</f>
        <v>95</v>
      </c>
      <c r="AU199" s="317">
        <f>SUMIF(Consumo!$C$3:$C$869,tabItens[[#This Row],[CÓDIGO]],Consumo!$AA$3:$AA$869)</f>
        <v>50</v>
      </c>
      <c r="AV199" s="318">
        <f>SUMIF(Consumo!$C$3:$C$869,tabItens[[#This Row],[CÓDIGO]],Consumo!$Y$3:$Y$869)</f>
        <v>6.833333333333333</v>
      </c>
      <c r="AW199" s="291">
        <f>tabItens[[#This Row],[QTDE ATUAL]] + tabItens[[#This Row],[RC QTDE]] + tabItens[[#This Row],[AF SALDO]] + tabItens[[#This Row],[Recentes]]</f>
        <v>1141</v>
      </c>
      <c r="AX199" s="319">
        <v>27</v>
      </c>
      <c r="AY199" s="319">
        <v>4</v>
      </c>
      <c r="AZ199" s="319">
        <f>IF(ISBLANK(tabItens[[#This Row],[CÓDIGO]]),"",tabItens[[#This Row],[PontoMês]] * (AZ$2+tabItens[[#This Row],[PontoQtM]]))</f>
        <v>108</v>
      </c>
      <c r="BA199" s="318">
        <f>tabItens[[#This Row],[PontoPed]] - tabItens[[#This Row],[Saldo]] + (1/10)</f>
        <v>-1032.9000000000001</v>
      </c>
      <c r="BB199" s="318">
        <f xml:space="preserve"> tabItens[[#This Row],[PontoMês]] * BB$2 - tabItens[[#This Row],[QTDE ATUAL]] - (1/10)</f>
        <v>-1114.0999999999999</v>
      </c>
      <c r="BC199" s="320">
        <f>IF( tabItens[[#This Row],[PontoPed]]&gt;0, IF(tabItens[[#This Row],[PontoPed]]&lt;1, 1, IF( tabItens[[#This Row],[Saldo]]&gt;tabItens[[#This Row],[PontoPed]], 0, (tabItens[[#This Row],[PontoPed]]-tabItens[[#This Row],[Saldo]])/tabItens[[#This Row],[PontoPed]] ) ), 0 )</f>
        <v>0</v>
      </c>
      <c r="BD199" s="321">
        <f>ROUNDDOWN(IF( OR( AND(tabItens[[#This Row],[PontoPed]]&lt;tabItens[[#This Row],[Saldo]],tabItens[[#This Row],[Saldo]]&gt;0), tabItens[[#This Row],[PontoPed]]=0), 99, IF(AND(tabItens[[#This Row],[Saldo]]=0,tabItens[[#This Row],[PontoPed]]&gt;0), 0, (1-tabItens[[#This Row],[PctAb]])*10 ) ),0)</f>
        <v>99</v>
      </c>
      <c r="BE199" s="322">
        <f>MAX(ROUNDDOWN( IF(tabItens[[#This Row],[Abaixo]] &gt; 0,   tabItens[[#This Row],[Abaixo]] + (tabItens[[#This Row],[PontoMês]] * IF( OR( ISBLANK(tabItens[[#This Row],[ATA Nº/ANO]]), tabItens[[#This Row],[ATA Nº/ANO]] = ""),BE$2,BE$1)),0),0),0)</f>
        <v>0</v>
      </c>
      <c r="BF19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23">
        <f>SUMIF(Consumo!$C$3:$C$869,tabItens[[#This Row],[CÓDIGO]],Consumo!$E$3:$E$869)</f>
        <v>0</v>
      </c>
      <c r="BH199" s="324">
        <f>IF(AND(tabItens[[#This Row],[Pend]] &gt; 0,tabItens[[#This Row],[Consumo]] &lt;&gt; 0), tabItens[[#This Row],[Pend]] / tabItens[[#This Row],[Consumo]], 0 )</f>
        <v>0</v>
      </c>
      <c r="BI199" s="323"/>
      <c r="BJ199" s="323"/>
      <c r="BK199" s="325" t="s">
        <v>2064</v>
      </c>
    </row>
    <row r="200" spans="1:63" hidden="1" x14ac:dyDescent="0.3">
      <c r="A200" s="286">
        <v>37528</v>
      </c>
      <c r="B200" s="287" t="s">
        <v>1268</v>
      </c>
      <c r="C200" s="288" t="s">
        <v>256</v>
      </c>
      <c r="D200" s="289">
        <v>1.91</v>
      </c>
      <c r="E200" s="290"/>
      <c r="F200" s="290"/>
      <c r="G200" s="290" t="s">
        <v>883</v>
      </c>
      <c r="H200" s="291">
        <v>833</v>
      </c>
      <c r="I200" s="292">
        <v>103003</v>
      </c>
      <c r="J200" s="293">
        <v>1.91</v>
      </c>
      <c r="K200" s="294">
        <v>668</v>
      </c>
      <c r="L200" s="295">
        <f>IF(tabItens[[#This Row],[Média]] &gt; 0, tabItens[[#This Row],[QTDE ATUAL]] / tabItens[[#This Row],[Média]],999.9)</f>
        <v>9.7521951219512193</v>
      </c>
      <c r="M200" s="296">
        <v>0</v>
      </c>
      <c r="N200" s="297">
        <f>tabItens[[#This Row],[VALOR UNIT.]] * tabItens[[#This Row],[LC]]</f>
        <v>0</v>
      </c>
      <c r="O200" s="298" t="s">
        <v>2089</v>
      </c>
      <c r="P200" s="299"/>
      <c r="Q200" s="300"/>
      <c r="R200" s="297"/>
      <c r="S200" s="301"/>
      <c r="T200" s="302">
        <f>ROUNDDOWN(IFERROR(tabItens[[#This Row],[ATA DT.VALID.]] - $D$1,0) / 30,0)</f>
        <v>-1504</v>
      </c>
      <c r="U200" s="287" t="s">
        <v>1030</v>
      </c>
      <c r="V200" s="303">
        <v>1</v>
      </c>
      <c r="W200" s="304" t="s">
        <v>2049</v>
      </c>
      <c r="X200" s="305">
        <v>67</v>
      </c>
      <c r="Y200" s="306">
        <v>1</v>
      </c>
      <c r="Z200" s="307">
        <v>2483</v>
      </c>
      <c r="AA200" s="308">
        <v>2023</v>
      </c>
      <c r="AB200" s="309">
        <v>150</v>
      </c>
      <c r="AC200" s="309"/>
      <c r="AD200" s="308"/>
      <c r="AE200" s="309"/>
      <c r="AF200" s="302"/>
      <c r="AG200" s="310" t="s">
        <v>2050</v>
      </c>
      <c r="AH200" s="311"/>
      <c r="AI200" s="302">
        <v>344</v>
      </c>
      <c r="AJ200" s="311">
        <v>44946</v>
      </c>
      <c r="AK200" s="311" t="s">
        <v>883</v>
      </c>
      <c r="AL200" s="311">
        <v>44922</v>
      </c>
      <c r="AM200" s="301"/>
      <c r="AN200" s="290"/>
      <c r="AO200" s="312" t="str">
        <f>_xlfn.IFNA(IF(VLOOKUP(tabItens[[#This Row],[CÓDIGO]],tabExcluirDoEstoque[#Data],1,FALSE),"sim",""),"")</f>
        <v/>
      </c>
      <c r="AP200" s="313" t="str">
        <f ca="1">IF(OR(ISBLANK(tabItens[[#This Row],[ATA DT.VALID.]]),tabItens[[#This Row],[ATA DT.VALID.]]="",tabItens[[#This Row],[ATA DT.VALID.]]=" "),"",IF(TYPE(tabItens[[#This Row],[ATA DT.VALID.]])=1,ROUNDUP((tabItens[[#This Row],[ATA DT.VALID.]]-TODAY())/7,0),""))</f>
        <v/>
      </c>
      <c r="AQ200" s="314">
        <v>0</v>
      </c>
      <c r="AR200" s="315" t="str">
        <f>IF(ISBLANK(tabItens[[#This Row],[CÓDIGO]]),"",IFERROR(VLOOKUP(tabItens[[#This Row],[CÓDIGO]],Consumo!$C$2:$AC$869,26,FALSE),0))</f>
        <v>07.2023</v>
      </c>
      <c r="AS200" s="316">
        <f>SUMIF(Consumo!$C$3:$C$869,tabItens[[#This Row],[CÓDIGO]],Consumo!$N$3:$N$869) + SUMIF(Consumo!$C$3:$C$869,tabItens[[#This Row],[CÓDIGO]],Consumo!$O$3:$O$869) + SUMIF(Consumo!$C$3:$C$869,tabItens[[#This Row],[CÓDIGO]],Consumo!$P$3:$P$869) + SUMIF(Consumo!$C$3:$C$869,tabItens[[#This Row],[CÓDIGO]],Consumo!$Q$3:$Q$869)</f>
        <v>380</v>
      </c>
      <c r="AT200" s="316">
        <f>SUMIF(Consumo!$C$3:$C$869,tabItens[[#This Row],[CÓDIGO]],Consumo!$Z$3:$Z$869)</f>
        <v>1034</v>
      </c>
      <c r="AU200" s="317">
        <f>SUMIF(Consumo!$C$3:$C$869,tabItens[[#This Row],[CÓDIGO]],Consumo!$AA$3:$AA$869)</f>
        <v>180</v>
      </c>
      <c r="AV200" s="318">
        <f>SUMIF(Consumo!$C$3:$C$869,tabItens[[#This Row],[CÓDIGO]],Consumo!$Y$3:$Y$869)</f>
        <v>85.416666666666671</v>
      </c>
      <c r="AW200" s="291">
        <f>tabItens[[#This Row],[QTDE ATUAL]] + tabItens[[#This Row],[RC QTDE]] + tabItens[[#This Row],[AF SALDO]] + tabItens[[#This Row],[Recentes]]</f>
        <v>983</v>
      </c>
      <c r="AX200" s="319">
        <v>84</v>
      </c>
      <c r="AY200" s="319">
        <v>4</v>
      </c>
      <c r="AZ200" s="319">
        <f>IF(ISBLANK(tabItens[[#This Row],[CÓDIGO]]),"",tabItens[[#This Row],[PontoMês]] * (AZ$2+tabItens[[#This Row],[PontoQtM]]))</f>
        <v>336</v>
      </c>
      <c r="BA200" s="318">
        <f>tabItens[[#This Row],[PontoPed]] - tabItens[[#This Row],[Saldo]] + (1/10)</f>
        <v>-646.9</v>
      </c>
      <c r="BB200" s="318">
        <f xml:space="preserve"> tabItens[[#This Row],[PontoMês]] * BB$2 - tabItens[[#This Row],[QTDE ATUAL]] - (1/10)</f>
        <v>-749.1</v>
      </c>
      <c r="BC200" s="320">
        <f>IF( tabItens[[#This Row],[PontoPed]]&gt;0, IF(tabItens[[#This Row],[PontoPed]]&lt;1, 1, IF( tabItens[[#This Row],[Saldo]]&gt;tabItens[[#This Row],[PontoPed]], 0, (tabItens[[#This Row],[PontoPed]]-tabItens[[#This Row],[Saldo]])/tabItens[[#This Row],[PontoPed]] ) ), 0 )</f>
        <v>0</v>
      </c>
      <c r="BD200" s="321">
        <f>ROUNDDOWN(IF( OR( AND(tabItens[[#This Row],[PontoPed]]&lt;tabItens[[#This Row],[Saldo]],tabItens[[#This Row],[Saldo]]&gt;0), tabItens[[#This Row],[PontoPed]]=0), 99, IF(AND(tabItens[[#This Row],[Saldo]]=0,tabItens[[#This Row],[PontoPed]]&gt;0), 0, (1-tabItens[[#This Row],[PctAb]])*10 ) ),0)</f>
        <v>99</v>
      </c>
      <c r="BE200" s="322">
        <f>MAX(ROUNDDOWN( IF(tabItens[[#This Row],[Abaixo]] &gt; 0,   tabItens[[#This Row],[Abaixo]] + (tabItens[[#This Row],[PontoMês]] * IF( OR( ISBLANK(tabItens[[#This Row],[ATA Nº/ANO]]), tabItens[[#This Row],[ATA Nº/ANO]] = ""),BE$2,BE$1)),0),0),0)</f>
        <v>0</v>
      </c>
      <c r="BF20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23">
        <f>SUMIF(Consumo!$C$3:$C$869,tabItens[[#This Row],[CÓDIGO]],Consumo!$E$3:$E$869)</f>
        <v>0</v>
      </c>
      <c r="BH200" s="324">
        <f>IF(AND(tabItens[[#This Row],[Pend]] &gt; 0,tabItens[[#This Row],[Consumo]] &lt;&gt; 0), tabItens[[#This Row],[Pend]] / tabItens[[#This Row],[Consumo]], 0 )</f>
        <v>0</v>
      </c>
      <c r="BI200" s="323"/>
      <c r="BJ200" s="323"/>
      <c r="BK200" s="325" t="s">
        <v>2064</v>
      </c>
    </row>
    <row r="201" spans="1:63" hidden="1" x14ac:dyDescent="0.3">
      <c r="A201" s="286">
        <v>64626</v>
      </c>
      <c r="B201" s="287" t="s">
        <v>1376</v>
      </c>
      <c r="C201" s="288" t="s">
        <v>294</v>
      </c>
      <c r="D201" s="289">
        <v>75.400000000000006</v>
      </c>
      <c r="E201" s="290"/>
      <c r="F201" s="290"/>
      <c r="G201" s="290" t="s">
        <v>883</v>
      </c>
      <c r="H201" s="291">
        <v>2103</v>
      </c>
      <c r="I201" s="292">
        <v>103003</v>
      </c>
      <c r="J201" s="293">
        <v>75.400000000000006</v>
      </c>
      <c r="K201" s="294">
        <v>507</v>
      </c>
      <c r="L201" s="295">
        <f>IF(tabItens[[#This Row],[Média]] &gt; 0, tabItens[[#This Row],[QTDE ATUAL]] / tabItens[[#This Row],[Média]],999.9)</f>
        <v>56.837837837837839</v>
      </c>
      <c r="M201" s="296">
        <v>0</v>
      </c>
      <c r="N201" s="297">
        <f>tabItens[[#This Row],[VALOR UNIT.]] * tabItens[[#This Row],[LC]]</f>
        <v>0</v>
      </c>
      <c r="O201" s="298" t="s">
        <v>2089</v>
      </c>
      <c r="P201" s="299"/>
      <c r="Q201" s="300"/>
      <c r="R201" s="297"/>
      <c r="S201" s="301"/>
      <c r="T201" s="302">
        <f>ROUNDDOWN(IFERROR(tabItens[[#This Row],[ATA DT.VALID.]] - $D$1,0) / 30,0)</f>
        <v>-1504</v>
      </c>
      <c r="U201" s="287" t="s">
        <v>1342</v>
      </c>
      <c r="V201" s="303">
        <v>1</v>
      </c>
      <c r="W201" s="304" t="s">
        <v>2049</v>
      </c>
      <c r="X201" s="305">
        <v>69</v>
      </c>
      <c r="Y201" s="306">
        <v>8</v>
      </c>
      <c r="Z201" s="307"/>
      <c r="AA201" s="308"/>
      <c r="AB201" s="309"/>
      <c r="AC201" s="309">
        <v>8862</v>
      </c>
      <c r="AD201" s="308">
        <v>2023</v>
      </c>
      <c r="AE201" s="309">
        <v>500</v>
      </c>
      <c r="AF201" s="302">
        <v>500</v>
      </c>
      <c r="AG201" s="310" t="s">
        <v>2039</v>
      </c>
      <c r="AH201" s="311">
        <v>45159</v>
      </c>
      <c r="AI201" s="302">
        <v>170</v>
      </c>
      <c r="AJ201" s="311">
        <v>44727</v>
      </c>
      <c r="AK201" s="311" t="s">
        <v>883</v>
      </c>
      <c r="AL201" s="311">
        <v>45128</v>
      </c>
      <c r="AM201" s="301"/>
      <c r="AN201" s="290"/>
      <c r="AO201" s="312" t="str">
        <f>_xlfn.IFNA(IF(VLOOKUP(tabItens[[#This Row],[CÓDIGO]],tabExcluirDoEstoque[#Data],1,FALSE),"sim",""),"")</f>
        <v/>
      </c>
      <c r="AP201" s="313" t="str">
        <f ca="1">IF(OR(ISBLANK(tabItens[[#This Row],[ATA DT.VALID.]]),tabItens[[#This Row],[ATA DT.VALID.]]="",tabItens[[#This Row],[ATA DT.VALID.]]=" "),"",IF(TYPE(tabItens[[#This Row],[ATA DT.VALID.]])=1,ROUNDUP((tabItens[[#This Row],[ATA DT.VALID.]]-TODAY())/7,0),""))</f>
        <v/>
      </c>
      <c r="AQ201" s="314">
        <v>0</v>
      </c>
      <c r="AR201" s="315" t="str">
        <f>IF(ISBLANK(tabItens[[#This Row],[CÓDIGO]]),"",IFERROR(VLOOKUP(tabItens[[#This Row],[CÓDIGO]],Consumo!$C$2:$AC$869,26,FALSE),0))</f>
        <v>07.2023</v>
      </c>
      <c r="AS201" s="316">
        <f>SUMIF(Consumo!$C$3:$C$869,tabItens[[#This Row],[CÓDIGO]],Consumo!$N$3:$N$869) + SUMIF(Consumo!$C$3:$C$869,tabItens[[#This Row],[CÓDIGO]],Consumo!$O$3:$O$869) + SUMIF(Consumo!$C$3:$C$869,tabItens[[#This Row],[CÓDIGO]],Consumo!$P$3:$P$869) + SUMIF(Consumo!$C$3:$C$869,tabItens[[#This Row],[CÓDIGO]],Consumo!$Q$3:$Q$869)</f>
        <v>507</v>
      </c>
      <c r="AT201" s="316">
        <f>SUMIF(Consumo!$C$3:$C$869,tabItens[[#This Row],[CÓDIGO]],Consumo!$Z$3:$Z$869)</f>
        <v>507</v>
      </c>
      <c r="AU201" s="317">
        <f>SUMIF(Consumo!$C$3:$C$869,tabItens[[#This Row],[CÓDIGO]],Consumo!$AA$3:$AA$869)</f>
        <v>307</v>
      </c>
      <c r="AV201" s="318">
        <f>SUMIF(Consumo!$C$3:$C$869,tabItens[[#This Row],[CÓDIGO]],Consumo!$Y$3:$Y$869)</f>
        <v>37</v>
      </c>
      <c r="AW201" s="291">
        <f>tabItens[[#This Row],[QTDE ATUAL]] + tabItens[[#This Row],[RC QTDE]] + tabItens[[#This Row],[AF SALDO]] + tabItens[[#This Row],[Recentes]]</f>
        <v>2603</v>
      </c>
      <c r="AX201" s="319">
        <v>125</v>
      </c>
      <c r="AY201" s="319">
        <v>4</v>
      </c>
      <c r="AZ201" s="319">
        <f>IF(ISBLANK(tabItens[[#This Row],[CÓDIGO]]),"",tabItens[[#This Row],[PontoMês]] * (AZ$2+tabItens[[#This Row],[PontoQtM]]))</f>
        <v>500</v>
      </c>
      <c r="BA201" s="318">
        <f>tabItens[[#This Row],[PontoPed]] - tabItens[[#This Row],[Saldo]] + (1/10)</f>
        <v>-2102.9</v>
      </c>
      <c r="BB201" s="318">
        <f xml:space="preserve"> tabItens[[#This Row],[PontoMês]] * BB$2 - tabItens[[#This Row],[QTDE ATUAL]] - (1/10)</f>
        <v>-1978.1</v>
      </c>
      <c r="BC201" s="320">
        <f>IF( tabItens[[#This Row],[PontoPed]]&gt;0, IF(tabItens[[#This Row],[PontoPed]]&lt;1, 1, IF( tabItens[[#This Row],[Saldo]]&gt;tabItens[[#This Row],[PontoPed]], 0, (tabItens[[#This Row],[PontoPed]]-tabItens[[#This Row],[Saldo]])/tabItens[[#This Row],[PontoPed]] ) ), 0 )</f>
        <v>0</v>
      </c>
      <c r="BD201" s="321">
        <f>ROUNDDOWN(IF( OR( AND(tabItens[[#This Row],[PontoPed]]&lt;tabItens[[#This Row],[Saldo]],tabItens[[#This Row],[Saldo]]&gt;0), tabItens[[#This Row],[PontoPed]]=0), 99, IF(AND(tabItens[[#This Row],[Saldo]]=0,tabItens[[#This Row],[PontoPed]]&gt;0), 0, (1-tabItens[[#This Row],[PctAb]])*10 ) ),0)</f>
        <v>99</v>
      </c>
      <c r="BE201" s="322">
        <f>MAX(ROUNDDOWN( IF(tabItens[[#This Row],[Abaixo]] &gt; 0,   tabItens[[#This Row],[Abaixo]] + (tabItens[[#This Row],[PontoMês]] * IF( OR( ISBLANK(tabItens[[#This Row],[ATA Nº/ANO]]), tabItens[[#This Row],[ATA Nº/ANO]] = ""),BE$2,BE$1)),0),0),0)</f>
        <v>0</v>
      </c>
      <c r="BF20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323">
        <f>SUMIF(Consumo!$C$3:$C$869,tabItens[[#This Row],[CÓDIGO]],Consumo!$E$3:$E$869)</f>
        <v>0</v>
      </c>
      <c r="BH201" s="324">
        <f>IF(AND(tabItens[[#This Row],[Pend]] &gt; 0,tabItens[[#This Row],[Consumo]] &lt;&gt; 0), tabItens[[#This Row],[Pend]] / tabItens[[#This Row],[Consumo]], 0 )</f>
        <v>0</v>
      </c>
      <c r="BI201" s="323"/>
      <c r="BJ201" s="323"/>
      <c r="BK201" s="325" t="s">
        <v>2064</v>
      </c>
    </row>
    <row r="202" spans="1:63" hidden="1" x14ac:dyDescent="0.3">
      <c r="A202" s="286">
        <v>13556</v>
      </c>
      <c r="B202" s="287" t="s">
        <v>1036</v>
      </c>
      <c r="C202" s="288" t="s">
        <v>294</v>
      </c>
      <c r="D202" s="289">
        <v>940</v>
      </c>
      <c r="E202" s="290"/>
      <c r="F202" s="290"/>
      <c r="G202" s="290" t="s">
        <v>883</v>
      </c>
      <c r="H202" s="291">
        <v>44</v>
      </c>
      <c r="I202" s="292">
        <v>103003</v>
      </c>
      <c r="J202" s="293">
        <v>940</v>
      </c>
      <c r="K202" s="294"/>
      <c r="L202" s="295">
        <f>IF(tabItens[[#This Row],[Média]] &gt; 0, tabItens[[#This Row],[QTDE ATUAL]] / tabItens[[#This Row],[Média]],999.9)</f>
        <v>999.9</v>
      </c>
      <c r="M202" s="296">
        <v>0</v>
      </c>
      <c r="N202" s="297">
        <f>tabItens[[#This Row],[VALOR UNIT.]] * tabItens[[#This Row],[LC]]</f>
        <v>0</v>
      </c>
      <c r="O202" s="298" t="s">
        <v>2089</v>
      </c>
      <c r="P202" s="299"/>
      <c r="Q202" s="300"/>
      <c r="R202" s="297"/>
      <c r="S202" s="301"/>
      <c r="T202" s="302">
        <f>ROUNDDOWN(IFERROR(tabItens[[#This Row],[ATA DT.VALID.]] - $D$1,0) / 30,0)</f>
        <v>-1504</v>
      </c>
      <c r="U202" s="287" t="s">
        <v>1037</v>
      </c>
      <c r="V202" s="303">
        <v>1</v>
      </c>
      <c r="W202" s="304" t="s">
        <v>2056</v>
      </c>
      <c r="X202" s="305">
        <v>69</v>
      </c>
      <c r="Y202" s="306">
        <v>10</v>
      </c>
      <c r="Z202" s="307"/>
      <c r="AA202" s="308"/>
      <c r="AB202" s="309"/>
      <c r="AC202" s="309"/>
      <c r="AD202" s="308"/>
      <c r="AE202" s="309"/>
      <c r="AF202" s="302"/>
      <c r="AG202" s="310" t="s">
        <v>2050</v>
      </c>
      <c r="AH202" s="311"/>
      <c r="AI202" s="302">
        <v>0</v>
      </c>
      <c r="AJ202" s="311">
        <v>44516</v>
      </c>
      <c r="AK202" s="311" t="s">
        <v>883</v>
      </c>
      <c r="AL202" s="311">
        <v>44483</v>
      </c>
      <c r="AM202" s="301"/>
      <c r="AN202" s="290"/>
      <c r="AO202" s="312" t="str">
        <f>_xlfn.IFNA(IF(VLOOKUP(tabItens[[#This Row],[CÓDIGO]],tabExcluirDoEstoque[#Data],1,FALSE),"sim",""),"")</f>
        <v/>
      </c>
      <c r="AP202" s="313" t="str">
        <f ca="1">IF(OR(ISBLANK(tabItens[[#This Row],[ATA DT.VALID.]]),tabItens[[#This Row],[ATA DT.VALID.]]="",tabItens[[#This Row],[ATA DT.VALID.]]=" "),"",IF(TYPE(tabItens[[#This Row],[ATA DT.VALID.]])=1,ROUNDUP((tabItens[[#This Row],[ATA DT.VALID.]]-TODAY())/7,0),""))</f>
        <v/>
      </c>
      <c r="AQ202" s="314">
        <v>0</v>
      </c>
      <c r="AR202" s="315">
        <f>IF(ISBLANK(tabItens[[#This Row],[CÓDIGO]]),"",IFERROR(VLOOKUP(tabItens[[#This Row],[CÓDIGO]],Consumo!$C$2:$AC$869,26,FALSE),0))</f>
        <v>0</v>
      </c>
      <c r="AS202" s="316">
        <f>SUMIF(Consumo!$C$3:$C$869,tabItens[[#This Row],[CÓDIGO]],Consumo!$N$3:$N$869) + SUMIF(Consumo!$C$3:$C$869,tabItens[[#This Row],[CÓDIGO]],Consumo!$O$3:$O$869) + SUMIF(Consumo!$C$3:$C$869,tabItens[[#This Row],[CÓDIGO]],Consumo!$P$3:$P$869) + SUMIF(Consumo!$C$3:$C$869,tabItens[[#This Row],[CÓDIGO]],Consumo!$Q$3:$Q$869)</f>
        <v>0</v>
      </c>
      <c r="AT202" s="316">
        <f>SUMIF(Consumo!$C$3:$C$869,tabItens[[#This Row],[CÓDIGO]],Consumo!$Z$3:$Z$869)</f>
        <v>0</v>
      </c>
      <c r="AU202" s="317">
        <f>SUMIF(Consumo!$C$3:$C$869,tabItens[[#This Row],[CÓDIGO]],Consumo!$AA$3:$AA$869)</f>
        <v>0</v>
      </c>
      <c r="AV202" s="318">
        <f>SUMIF(Consumo!$C$3:$C$869,tabItens[[#This Row],[CÓDIGO]],Consumo!$Y$3:$Y$869)</f>
        <v>0</v>
      </c>
      <c r="AW202" s="291">
        <f>tabItens[[#This Row],[QTDE ATUAL]] + tabItens[[#This Row],[RC QTDE]] + tabItens[[#This Row],[AF SALDO]] + tabItens[[#This Row],[Recentes]]</f>
        <v>44</v>
      </c>
      <c r="AX202" s="319">
        <v>5</v>
      </c>
      <c r="AY202" s="319">
        <v>4</v>
      </c>
      <c r="AZ202" s="319">
        <f>IF(ISBLANK(tabItens[[#This Row],[CÓDIGO]]),"",tabItens[[#This Row],[PontoMês]] * (AZ$2+tabItens[[#This Row],[PontoQtM]]))</f>
        <v>20</v>
      </c>
      <c r="BA202" s="318">
        <f>tabItens[[#This Row],[PontoPed]] - tabItens[[#This Row],[Saldo]] + (1/10)</f>
        <v>-23.9</v>
      </c>
      <c r="BB202" s="318">
        <f xml:space="preserve"> tabItens[[#This Row],[PontoMês]] * BB$2 - tabItens[[#This Row],[QTDE ATUAL]] - (1/10)</f>
        <v>-39.1</v>
      </c>
      <c r="BC202" s="320">
        <f>IF( tabItens[[#This Row],[PontoPed]]&gt;0, IF(tabItens[[#This Row],[PontoPed]]&lt;1, 1, IF( tabItens[[#This Row],[Saldo]]&gt;tabItens[[#This Row],[PontoPed]], 0, (tabItens[[#This Row],[PontoPed]]-tabItens[[#This Row],[Saldo]])/tabItens[[#This Row],[PontoPed]] ) ), 0 )</f>
        <v>0</v>
      </c>
      <c r="BD202" s="321">
        <f>ROUNDDOWN(IF( OR( AND(tabItens[[#This Row],[PontoPed]]&lt;tabItens[[#This Row],[Saldo]],tabItens[[#This Row],[Saldo]]&gt;0), tabItens[[#This Row],[PontoPed]]=0), 99, IF(AND(tabItens[[#This Row],[Saldo]]=0,tabItens[[#This Row],[PontoPed]]&gt;0), 0, (1-tabItens[[#This Row],[PctAb]])*10 ) ),0)</f>
        <v>99</v>
      </c>
      <c r="BE202" s="322">
        <f>MAX(ROUNDDOWN( IF(tabItens[[#This Row],[Abaixo]] &gt; 0,   tabItens[[#This Row],[Abaixo]] + (tabItens[[#This Row],[PontoMês]] * IF( OR( ISBLANK(tabItens[[#This Row],[ATA Nº/ANO]]), tabItens[[#This Row],[ATA Nº/ANO]] = ""),BE$2,BE$1)),0),0),0)</f>
        <v>0</v>
      </c>
      <c r="BF2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323">
        <f>SUMIF(Consumo!$C$3:$C$869,tabItens[[#This Row],[CÓDIGO]],Consumo!$E$3:$E$869)</f>
        <v>0</v>
      </c>
      <c r="BH202" s="324">
        <f>IF(AND(tabItens[[#This Row],[Pend]] &gt; 0,tabItens[[#This Row],[Consumo]] &lt;&gt; 0), tabItens[[#This Row],[Pend]] / tabItens[[#This Row],[Consumo]], 0 )</f>
        <v>0</v>
      </c>
      <c r="BI202" s="323"/>
      <c r="BJ202" s="323"/>
      <c r="BK202" s="325" t="s">
        <v>2064</v>
      </c>
    </row>
    <row r="203" spans="1:63" hidden="1" x14ac:dyDescent="0.3">
      <c r="A203" s="286">
        <v>44398</v>
      </c>
      <c r="B203" s="287" t="s">
        <v>1281</v>
      </c>
      <c r="C203" s="288" t="s">
        <v>294</v>
      </c>
      <c r="D203" s="289">
        <v>82</v>
      </c>
      <c r="E203" s="290"/>
      <c r="F203" s="290"/>
      <c r="G203" s="290" t="s">
        <v>883</v>
      </c>
      <c r="H203" s="291">
        <v>1454</v>
      </c>
      <c r="I203" s="292">
        <v>103003</v>
      </c>
      <c r="J203" s="293">
        <v>82</v>
      </c>
      <c r="K203" s="294">
        <v>526</v>
      </c>
      <c r="L203" s="295">
        <f>IF(tabItens[[#This Row],[Média]] &gt; 0, tabItens[[#This Row],[QTDE ATUAL]] / tabItens[[#This Row],[Média]],999.9)</f>
        <v>33.489443378119006</v>
      </c>
      <c r="M203" s="296">
        <v>0</v>
      </c>
      <c r="N203" s="297">
        <f>tabItens[[#This Row],[VALOR UNIT.]] * tabItens[[#This Row],[LC]]</f>
        <v>0</v>
      </c>
      <c r="O203" s="298" t="s">
        <v>2089</v>
      </c>
      <c r="P203" s="299"/>
      <c r="Q203" s="300"/>
      <c r="R203" s="297"/>
      <c r="S203" s="301"/>
      <c r="T203" s="302">
        <f>ROUNDDOWN(IFERROR(tabItens[[#This Row],[ATA DT.VALID.]] - $D$1,0) / 30,0)</f>
        <v>-1504</v>
      </c>
      <c r="U203" s="287" t="s">
        <v>1037</v>
      </c>
      <c r="V203" s="303">
        <v>1</v>
      </c>
      <c r="W203" s="304" t="s">
        <v>2056</v>
      </c>
      <c r="X203" s="305">
        <v>69</v>
      </c>
      <c r="Y203" s="306">
        <v>10</v>
      </c>
      <c r="Z203" s="307"/>
      <c r="AA203" s="308"/>
      <c r="AB203" s="309"/>
      <c r="AC203" s="309"/>
      <c r="AD203" s="308"/>
      <c r="AE203" s="309"/>
      <c r="AF203" s="302"/>
      <c r="AG203" s="310" t="s">
        <v>2050</v>
      </c>
      <c r="AH203" s="311"/>
      <c r="AI203" s="302">
        <v>342</v>
      </c>
      <c r="AJ203" s="311">
        <v>44924</v>
      </c>
      <c r="AK203" s="311" t="s">
        <v>883</v>
      </c>
      <c r="AL203" s="311">
        <v>44881</v>
      </c>
      <c r="AM203" s="301"/>
      <c r="AN203" s="290"/>
      <c r="AO203" s="312" t="str">
        <f>_xlfn.IFNA(IF(VLOOKUP(tabItens[[#This Row],[CÓDIGO]],tabExcluirDoEstoque[#Data],1,FALSE),"sim",""),"")</f>
        <v/>
      </c>
      <c r="AP203" s="313" t="str">
        <f ca="1">IF(OR(ISBLANK(tabItens[[#This Row],[ATA DT.VALID.]]),tabItens[[#This Row],[ATA DT.VALID.]]="",tabItens[[#This Row],[ATA DT.VALID.]]=" "),"",IF(TYPE(tabItens[[#This Row],[ATA DT.VALID.]])=1,ROUNDUP((tabItens[[#This Row],[ATA DT.VALID.]]-TODAY())/7,0),""))</f>
        <v/>
      </c>
      <c r="AQ203" s="314">
        <v>0</v>
      </c>
      <c r="AR203" s="315" t="str">
        <f>IF(ISBLANK(tabItens[[#This Row],[CÓDIGO]]),"",IFERROR(VLOOKUP(tabItens[[#This Row],[CÓDIGO]],Consumo!$C$2:$AC$869,26,FALSE),0))</f>
        <v>06.2023</v>
      </c>
      <c r="AS203" s="316">
        <f>SUMIF(Consumo!$C$3:$C$869,tabItens[[#This Row],[CÓDIGO]],Consumo!$N$3:$N$869) + SUMIF(Consumo!$C$3:$C$869,tabItens[[#This Row],[CÓDIGO]],Consumo!$O$3:$O$869) + SUMIF(Consumo!$C$3:$C$869,tabItens[[#This Row],[CÓDIGO]],Consumo!$P$3:$P$869) + SUMIF(Consumo!$C$3:$C$869,tabItens[[#This Row],[CÓDIGO]],Consumo!$Q$3:$Q$869)</f>
        <v>402</v>
      </c>
      <c r="AT203" s="316">
        <f>SUMIF(Consumo!$C$3:$C$869,tabItens[[#This Row],[CÓDIGO]],Consumo!$Z$3:$Z$869)</f>
        <v>526</v>
      </c>
      <c r="AU203" s="317">
        <f>SUMIF(Consumo!$C$3:$C$869,tabItens[[#This Row],[CÓDIGO]],Consumo!$AA$3:$AA$869)</f>
        <v>212</v>
      </c>
      <c r="AV203" s="318">
        <f>SUMIF(Consumo!$C$3:$C$869,tabItens[[#This Row],[CÓDIGO]],Consumo!$Y$3:$Y$869)</f>
        <v>43.416666666666664</v>
      </c>
      <c r="AW203" s="291">
        <f>tabItens[[#This Row],[QTDE ATUAL]] + tabItens[[#This Row],[RC QTDE]] + tabItens[[#This Row],[AF SALDO]] + tabItens[[#This Row],[Recentes]]</f>
        <v>1454</v>
      </c>
      <c r="AX203" s="319">
        <v>167</v>
      </c>
      <c r="AY203" s="319">
        <v>4</v>
      </c>
      <c r="AZ203" s="319">
        <f>IF(ISBLANK(tabItens[[#This Row],[CÓDIGO]]),"",tabItens[[#This Row],[PontoMês]] * (AZ$2+tabItens[[#This Row],[PontoQtM]]))</f>
        <v>668</v>
      </c>
      <c r="BA203" s="318">
        <f>tabItens[[#This Row],[PontoPed]] - tabItens[[#This Row],[Saldo]] + (1/10)</f>
        <v>-785.9</v>
      </c>
      <c r="BB203" s="318">
        <f xml:space="preserve"> tabItens[[#This Row],[PontoMês]] * BB$2 - tabItens[[#This Row],[QTDE ATUAL]] - (1/10)</f>
        <v>-1287.0999999999999</v>
      </c>
      <c r="BC203" s="320">
        <f>IF( tabItens[[#This Row],[PontoPed]]&gt;0, IF(tabItens[[#This Row],[PontoPed]]&lt;1, 1, IF( tabItens[[#This Row],[Saldo]]&gt;tabItens[[#This Row],[PontoPed]], 0, (tabItens[[#This Row],[PontoPed]]-tabItens[[#This Row],[Saldo]])/tabItens[[#This Row],[PontoPed]] ) ), 0 )</f>
        <v>0</v>
      </c>
      <c r="BD203" s="321">
        <f>ROUNDDOWN(IF( OR( AND(tabItens[[#This Row],[PontoPed]]&lt;tabItens[[#This Row],[Saldo]],tabItens[[#This Row],[Saldo]]&gt;0), tabItens[[#This Row],[PontoPed]]=0), 99, IF(AND(tabItens[[#This Row],[Saldo]]=0,tabItens[[#This Row],[PontoPed]]&gt;0), 0, (1-tabItens[[#This Row],[PctAb]])*10 ) ),0)</f>
        <v>99</v>
      </c>
      <c r="BE203" s="322">
        <f>MAX(ROUNDDOWN( IF(tabItens[[#This Row],[Abaixo]] &gt; 0,   tabItens[[#This Row],[Abaixo]] + (tabItens[[#This Row],[PontoMês]] * IF( OR( ISBLANK(tabItens[[#This Row],[ATA Nº/ANO]]), tabItens[[#This Row],[ATA Nº/ANO]] = ""),BE$2,BE$1)),0),0),0)</f>
        <v>0</v>
      </c>
      <c r="BF20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323">
        <f>SUMIF(Consumo!$C$3:$C$869,tabItens[[#This Row],[CÓDIGO]],Consumo!$E$3:$E$869)</f>
        <v>0</v>
      </c>
      <c r="BH203" s="324">
        <f>IF(AND(tabItens[[#This Row],[Pend]] &gt; 0,tabItens[[#This Row],[Consumo]] &lt;&gt; 0), tabItens[[#This Row],[Pend]] / tabItens[[#This Row],[Consumo]], 0 )</f>
        <v>0</v>
      </c>
      <c r="BI203" s="323"/>
      <c r="BJ203" s="323"/>
      <c r="BK203" s="325" t="s">
        <v>2064</v>
      </c>
    </row>
    <row r="204" spans="1:63" hidden="1" x14ac:dyDescent="0.3">
      <c r="A204" s="286">
        <v>54552</v>
      </c>
      <c r="B204" s="287" t="s">
        <v>1318</v>
      </c>
      <c r="C204" s="288" t="s">
        <v>294</v>
      </c>
      <c r="D204" s="289">
        <v>116</v>
      </c>
      <c r="E204" s="290"/>
      <c r="F204" s="290"/>
      <c r="G204" s="290" t="s">
        <v>883</v>
      </c>
      <c r="H204" s="291">
        <v>5</v>
      </c>
      <c r="I204" s="292">
        <v>103003</v>
      </c>
      <c r="J204" s="293">
        <v>116</v>
      </c>
      <c r="K204" s="294">
        <v>369</v>
      </c>
      <c r="L204" s="295">
        <f>IF(tabItens[[#This Row],[Média]] &gt; 0, tabItens[[#This Row],[QTDE ATUAL]] / tabItens[[#This Row],[Média]],999.9)</f>
        <v>0.15831134564643801</v>
      </c>
      <c r="M204" s="296">
        <v>0</v>
      </c>
      <c r="N204" s="297">
        <f>tabItens[[#This Row],[VALOR UNIT.]] * tabItens[[#This Row],[LC]]</f>
        <v>0</v>
      </c>
      <c r="O204" s="298" t="s">
        <v>2089</v>
      </c>
      <c r="P204" s="299"/>
      <c r="Q204" s="300"/>
      <c r="R204" s="297"/>
      <c r="S204" s="301"/>
      <c r="T204" s="302">
        <f>ROUNDDOWN(IFERROR(tabItens[[#This Row],[ATA DT.VALID.]] - $D$1,0) / 30,0)</f>
        <v>-1504</v>
      </c>
      <c r="U204" s="287" t="s">
        <v>1037</v>
      </c>
      <c r="V204" s="303">
        <v>1</v>
      </c>
      <c r="W204" s="304" t="s">
        <v>2056</v>
      </c>
      <c r="X204" s="305">
        <v>69</v>
      </c>
      <c r="Y204" s="306">
        <v>10</v>
      </c>
      <c r="Z204" s="307">
        <v>2524</v>
      </c>
      <c r="AA204" s="308">
        <v>2023</v>
      </c>
      <c r="AB204" s="309">
        <v>800</v>
      </c>
      <c r="AC204" s="309"/>
      <c r="AD204" s="308"/>
      <c r="AE204" s="309"/>
      <c r="AF204" s="302"/>
      <c r="AG204" s="310" t="s">
        <v>2050</v>
      </c>
      <c r="AH204" s="311"/>
      <c r="AI204" s="302">
        <v>124</v>
      </c>
      <c r="AJ204" s="311">
        <v>44895</v>
      </c>
      <c r="AK204" s="311" t="s">
        <v>883</v>
      </c>
      <c r="AL204" s="311">
        <v>44881</v>
      </c>
      <c r="AM204" s="301"/>
      <c r="AN204" s="290"/>
      <c r="AO204" s="312" t="str">
        <f>_xlfn.IFNA(IF(VLOOKUP(tabItens[[#This Row],[CÓDIGO]],tabExcluirDoEstoque[#Data],1,FALSE),"sim",""),"")</f>
        <v/>
      </c>
      <c r="AP204" s="313" t="str">
        <f ca="1">IF(OR(ISBLANK(tabItens[[#This Row],[ATA DT.VALID.]]),tabItens[[#This Row],[ATA DT.VALID.]]="",tabItens[[#This Row],[ATA DT.VALID.]]=" "),"",IF(TYPE(tabItens[[#This Row],[ATA DT.VALID.]])=1,ROUNDUP((tabItens[[#This Row],[ATA DT.VALID.]]-TODAY())/7,0),""))</f>
        <v/>
      </c>
      <c r="AQ204" s="314">
        <v>0</v>
      </c>
      <c r="AR204" s="315" t="str">
        <f>IF(ISBLANK(tabItens[[#This Row],[CÓDIGO]]),"",IFERROR(VLOOKUP(tabItens[[#This Row],[CÓDIGO]],Consumo!$C$2:$AC$869,26,FALSE),0))</f>
        <v>04.2023</v>
      </c>
      <c r="AS204" s="316">
        <f>SUMIF(Consumo!$C$3:$C$869,tabItens[[#This Row],[CÓDIGO]],Consumo!$N$3:$N$869) + SUMIF(Consumo!$C$3:$C$869,tabItens[[#This Row],[CÓDIGO]],Consumo!$O$3:$O$869) + SUMIF(Consumo!$C$3:$C$869,tabItens[[#This Row],[CÓDIGO]],Consumo!$P$3:$P$869) + SUMIF(Consumo!$C$3:$C$869,tabItens[[#This Row],[CÓDIGO]],Consumo!$Q$3:$Q$869)</f>
        <v>80</v>
      </c>
      <c r="AT204" s="316">
        <f>SUMIF(Consumo!$C$3:$C$869,tabItens[[#This Row],[CÓDIGO]],Consumo!$Z$3:$Z$869)</f>
        <v>395</v>
      </c>
      <c r="AU204" s="317">
        <f>SUMIF(Consumo!$C$3:$C$869,tabItens[[#This Row],[CÓDIGO]],Consumo!$AA$3:$AA$869)</f>
        <v>144</v>
      </c>
      <c r="AV204" s="318">
        <f>SUMIF(Consumo!$C$3:$C$869,tabItens[[#This Row],[CÓDIGO]],Consumo!$Y$3:$Y$869)</f>
        <v>31.583333333333332</v>
      </c>
      <c r="AW204" s="291">
        <f>tabItens[[#This Row],[QTDE ATUAL]] + tabItens[[#This Row],[RC QTDE]] + tabItens[[#This Row],[AF SALDO]] + tabItens[[#This Row],[Recentes]]</f>
        <v>805</v>
      </c>
      <c r="AX204" s="319">
        <v>50</v>
      </c>
      <c r="AY204" s="319">
        <v>4</v>
      </c>
      <c r="AZ204" s="319">
        <f>IF(ISBLANK(tabItens[[#This Row],[CÓDIGO]]),"",tabItens[[#This Row],[PontoMês]] * (AZ$2+tabItens[[#This Row],[PontoQtM]]))</f>
        <v>200</v>
      </c>
      <c r="BA204" s="318">
        <f>tabItens[[#This Row],[PontoPed]] - tabItens[[#This Row],[Saldo]] + (1/10)</f>
        <v>-604.9</v>
      </c>
      <c r="BB204" s="318">
        <f xml:space="preserve"> tabItens[[#This Row],[PontoMês]] * BB$2 - tabItens[[#This Row],[QTDE ATUAL]] - (1/10)</f>
        <v>44.9</v>
      </c>
      <c r="BC204" s="320">
        <f>IF( tabItens[[#This Row],[PontoPed]]&gt;0, IF(tabItens[[#This Row],[PontoPed]]&lt;1, 1, IF( tabItens[[#This Row],[Saldo]]&gt;tabItens[[#This Row],[PontoPed]], 0, (tabItens[[#This Row],[PontoPed]]-tabItens[[#This Row],[Saldo]])/tabItens[[#This Row],[PontoPed]] ) ), 0 )</f>
        <v>0</v>
      </c>
      <c r="BD204" s="321">
        <f>ROUNDDOWN(IF( OR( AND(tabItens[[#This Row],[PontoPed]]&lt;tabItens[[#This Row],[Saldo]],tabItens[[#This Row],[Saldo]]&gt;0), tabItens[[#This Row],[PontoPed]]=0), 99, IF(AND(tabItens[[#This Row],[Saldo]]=0,tabItens[[#This Row],[PontoPed]]&gt;0), 0, (1-tabItens[[#This Row],[PctAb]])*10 ) ),0)</f>
        <v>99</v>
      </c>
      <c r="BE204" s="322">
        <f>MAX(ROUNDDOWN( IF(tabItens[[#This Row],[Abaixo]] &gt; 0,   tabItens[[#This Row],[Abaixo]] + (tabItens[[#This Row],[PontoMês]] * IF( OR( ISBLANK(tabItens[[#This Row],[ATA Nº/ANO]]), tabItens[[#This Row],[ATA Nº/ANO]] = ""),BE$2,BE$1)),0),0),0)</f>
        <v>0</v>
      </c>
      <c r="BF20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323">
        <f>SUMIF(Consumo!$C$3:$C$869,tabItens[[#This Row],[CÓDIGO]],Consumo!$E$3:$E$869)</f>
        <v>26</v>
      </c>
      <c r="BH204" s="324">
        <f>IF(AND(tabItens[[#This Row],[Pend]] &gt; 0,tabItens[[#This Row],[Consumo]] &lt;&gt; 0), tabItens[[#This Row],[Pend]] / tabItens[[#This Row],[Consumo]], 0 )</f>
        <v>6.5822784810126586E-2</v>
      </c>
      <c r="BI204" s="323"/>
      <c r="BJ204" s="323"/>
      <c r="BK204" s="325" t="s">
        <v>2064</v>
      </c>
    </row>
    <row r="205" spans="1:63" hidden="1" x14ac:dyDescent="0.3">
      <c r="A205" s="286">
        <v>101867</v>
      </c>
      <c r="B205" s="287" t="s">
        <v>1566</v>
      </c>
      <c r="C205" s="288" t="s">
        <v>294</v>
      </c>
      <c r="D205" s="289">
        <v>215.16</v>
      </c>
      <c r="E205" s="290"/>
      <c r="F205" s="290"/>
      <c r="G205" s="290" t="s">
        <v>883</v>
      </c>
      <c r="H205" s="291">
        <v>81</v>
      </c>
      <c r="I205" s="292">
        <v>103003</v>
      </c>
      <c r="J205" s="293">
        <v>215.16</v>
      </c>
      <c r="K205" s="294">
        <v>30</v>
      </c>
      <c r="L205" s="295">
        <f>IF(tabItens[[#This Row],[Média]] &gt; 0, tabItens[[#This Row],[QTDE ATUAL]] / tabItens[[#This Row],[Média]],999.9)</f>
        <v>40.5</v>
      </c>
      <c r="M205" s="296">
        <v>0</v>
      </c>
      <c r="N205" s="297">
        <f>tabItens[[#This Row],[VALOR UNIT.]] * tabItens[[#This Row],[LC]]</f>
        <v>0</v>
      </c>
      <c r="O205" s="298" t="s">
        <v>2089</v>
      </c>
      <c r="P205" s="299"/>
      <c r="Q205" s="300"/>
      <c r="R205" s="297"/>
      <c r="S205" s="301"/>
      <c r="T205" s="302">
        <f>ROUNDDOWN(IFERROR(tabItens[[#This Row],[ATA DT.VALID.]] - $D$1,0) / 30,0)</f>
        <v>-1504</v>
      </c>
      <c r="U205" s="287" t="s">
        <v>1037</v>
      </c>
      <c r="V205" s="303">
        <v>1</v>
      </c>
      <c r="W205" s="304" t="s">
        <v>2056</v>
      </c>
      <c r="X205" s="305">
        <v>69</v>
      </c>
      <c r="Y205" s="306">
        <v>10</v>
      </c>
      <c r="Z205" s="307"/>
      <c r="AA205" s="308"/>
      <c r="AB205" s="309"/>
      <c r="AC205" s="309"/>
      <c r="AD205" s="308"/>
      <c r="AE205" s="309"/>
      <c r="AF205" s="302"/>
      <c r="AG205" s="310" t="s">
        <v>2050</v>
      </c>
      <c r="AH205" s="311"/>
      <c r="AI205" s="302">
        <v>10</v>
      </c>
      <c r="AJ205" s="311">
        <v>43396</v>
      </c>
      <c r="AK205" s="311">
        <v>39328</v>
      </c>
      <c r="AL205" s="311">
        <v>44123</v>
      </c>
      <c r="AM205" s="301"/>
      <c r="AN205" s="290"/>
      <c r="AO205" s="312" t="str">
        <f>_xlfn.IFNA(IF(VLOOKUP(tabItens[[#This Row],[CÓDIGO]],tabExcluirDoEstoque[#Data],1,FALSE),"sim",""),"")</f>
        <v/>
      </c>
      <c r="AP205" s="313" t="str">
        <f ca="1">IF(OR(ISBLANK(tabItens[[#This Row],[ATA DT.VALID.]]),tabItens[[#This Row],[ATA DT.VALID.]]="",tabItens[[#This Row],[ATA DT.VALID.]]=" "),"",IF(TYPE(tabItens[[#This Row],[ATA DT.VALID.]])=1,ROUNDUP((tabItens[[#This Row],[ATA DT.VALID.]]-TODAY())/7,0),""))</f>
        <v/>
      </c>
      <c r="AQ205" s="314">
        <v>0</v>
      </c>
      <c r="AR205" s="315" t="str">
        <f>IF(ISBLANK(tabItens[[#This Row],[CÓDIGO]]),"",IFERROR(VLOOKUP(tabItens[[#This Row],[CÓDIGO]],Consumo!$C$2:$AC$869,26,FALSE),0))</f>
        <v>03.2023</v>
      </c>
      <c r="AS205" s="316">
        <f>SUMIF(Consumo!$C$3:$C$869,tabItens[[#This Row],[CÓDIGO]],Consumo!$N$3:$N$869) + SUMIF(Consumo!$C$3:$C$869,tabItens[[#This Row],[CÓDIGO]],Consumo!$O$3:$O$869) + SUMIF(Consumo!$C$3:$C$869,tabItens[[#This Row],[CÓDIGO]],Consumo!$P$3:$P$869) + SUMIF(Consumo!$C$3:$C$869,tabItens[[#This Row],[CÓDIGO]],Consumo!$Q$3:$Q$869)</f>
        <v>0</v>
      </c>
      <c r="AT205" s="316">
        <f>SUMIF(Consumo!$C$3:$C$869,tabItens[[#This Row],[CÓDIGO]],Consumo!$Z$3:$Z$869)</f>
        <v>30</v>
      </c>
      <c r="AU205" s="317">
        <f>SUMIF(Consumo!$C$3:$C$869,tabItens[[#This Row],[CÓDIGO]],Consumo!$AA$3:$AA$869)</f>
        <v>20</v>
      </c>
      <c r="AV205" s="318">
        <f>SUMIF(Consumo!$C$3:$C$869,tabItens[[#This Row],[CÓDIGO]],Consumo!$Y$3:$Y$869)</f>
        <v>2</v>
      </c>
      <c r="AW205" s="291">
        <f>tabItens[[#This Row],[QTDE ATUAL]] + tabItens[[#This Row],[RC QTDE]] + tabItens[[#This Row],[AF SALDO]] + tabItens[[#This Row],[Recentes]]</f>
        <v>81</v>
      </c>
      <c r="AX205" s="319">
        <v>13</v>
      </c>
      <c r="AY205" s="319">
        <v>4</v>
      </c>
      <c r="AZ205" s="319">
        <f>IF(ISBLANK(tabItens[[#This Row],[CÓDIGO]]),"",tabItens[[#This Row],[PontoMês]] * (AZ$2+tabItens[[#This Row],[PontoQtM]]))</f>
        <v>52</v>
      </c>
      <c r="BA205" s="318">
        <f>tabItens[[#This Row],[PontoPed]] - tabItens[[#This Row],[Saldo]] + (1/10)</f>
        <v>-28.9</v>
      </c>
      <c r="BB205" s="318">
        <f xml:space="preserve"> tabItens[[#This Row],[PontoMês]] * BB$2 - tabItens[[#This Row],[QTDE ATUAL]] - (1/10)</f>
        <v>-68.099999999999994</v>
      </c>
      <c r="BC205" s="320">
        <f>IF( tabItens[[#This Row],[PontoPed]]&gt;0, IF(tabItens[[#This Row],[PontoPed]]&lt;1, 1, IF( tabItens[[#This Row],[Saldo]]&gt;tabItens[[#This Row],[PontoPed]], 0, (tabItens[[#This Row],[PontoPed]]-tabItens[[#This Row],[Saldo]])/tabItens[[#This Row],[PontoPed]] ) ), 0 )</f>
        <v>0</v>
      </c>
      <c r="BD205" s="321">
        <f>ROUNDDOWN(IF( OR( AND(tabItens[[#This Row],[PontoPed]]&lt;tabItens[[#This Row],[Saldo]],tabItens[[#This Row],[Saldo]]&gt;0), tabItens[[#This Row],[PontoPed]]=0), 99, IF(AND(tabItens[[#This Row],[Saldo]]=0,tabItens[[#This Row],[PontoPed]]&gt;0), 0, (1-tabItens[[#This Row],[PctAb]])*10 ) ),0)</f>
        <v>99</v>
      </c>
      <c r="BE205" s="322">
        <f>MAX(ROUNDDOWN( IF(tabItens[[#This Row],[Abaixo]] &gt; 0,   tabItens[[#This Row],[Abaixo]] + (tabItens[[#This Row],[PontoMês]] * IF( OR( ISBLANK(tabItens[[#This Row],[ATA Nº/ANO]]), tabItens[[#This Row],[ATA Nº/ANO]] = ""),BE$2,BE$1)),0),0),0)</f>
        <v>0</v>
      </c>
      <c r="BF20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23">
        <f>SUMIF(Consumo!$C$3:$C$869,tabItens[[#This Row],[CÓDIGO]],Consumo!$E$3:$E$869)</f>
        <v>0</v>
      </c>
      <c r="BH205" s="324">
        <f>IF(AND(tabItens[[#This Row],[Pend]] &gt; 0,tabItens[[#This Row],[Consumo]] &lt;&gt; 0), tabItens[[#This Row],[Pend]] / tabItens[[#This Row],[Consumo]], 0 )</f>
        <v>0</v>
      </c>
      <c r="BI205" s="323"/>
      <c r="BJ205" s="323"/>
      <c r="BK205" s="325" t="s">
        <v>2064</v>
      </c>
    </row>
    <row r="206" spans="1:63" hidden="1" x14ac:dyDescent="0.3">
      <c r="A206" s="286">
        <v>101868</v>
      </c>
      <c r="B206" s="287" t="s">
        <v>1567</v>
      </c>
      <c r="C206" s="288" t="s">
        <v>294</v>
      </c>
      <c r="D206" s="289">
        <v>99.43</v>
      </c>
      <c r="E206" s="290"/>
      <c r="F206" s="290"/>
      <c r="G206" s="290" t="s">
        <v>883</v>
      </c>
      <c r="H206" s="291">
        <v>1239</v>
      </c>
      <c r="I206" s="292">
        <v>103003</v>
      </c>
      <c r="J206" s="293">
        <v>99.43</v>
      </c>
      <c r="K206" s="294">
        <v>63</v>
      </c>
      <c r="L206" s="295">
        <f>IF(tabItens[[#This Row],[Média]] &gt; 0, tabItens[[#This Row],[QTDE ATUAL]] / tabItens[[#This Row],[Média]],999.9)</f>
        <v>265.5</v>
      </c>
      <c r="M206" s="296">
        <v>0</v>
      </c>
      <c r="N206" s="297">
        <f>tabItens[[#This Row],[VALOR UNIT.]] * tabItens[[#This Row],[LC]]</f>
        <v>0</v>
      </c>
      <c r="O206" s="298" t="s">
        <v>2089</v>
      </c>
      <c r="P206" s="299"/>
      <c r="Q206" s="300"/>
      <c r="R206" s="297"/>
      <c r="S206" s="301"/>
      <c r="T206" s="302">
        <f>ROUNDDOWN(IFERROR(tabItens[[#This Row],[ATA DT.VALID.]] - $D$1,0) / 30,0)</f>
        <v>-1504</v>
      </c>
      <c r="U206" s="287" t="s">
        <v>1037</v>
      </c>
      <c r="V206" s="303">
        <v>1</v>
      </c>
      <c r="W206" s="304" t="s">
        <v>2056</v>
      </c>
      <c r="X206" s="305">
        <v>69</v>
      </c>
      <c r="Y206" s="306">
        <v>10</v>
      </c>
      <c r="Z206" s="307"/>
      <c r="AA206" s="308"/>
      <c r="AB206" s="309"/>
      <c r="AC206" s="309"/>
      <c r="AD206" s="308"/>
      <c r="AE206" s="309"/>
      <c r="AF206" s="302"/>
      <c r="AG206" s="310" t="s">
        <v>2050</v>
      </c>
      <c r="AH206" s="311"/>
      <c r="AI206" s="302">
        <v>22</v>
      </c>
      <c r="AJ206" s="311">
        <v>43693</v>
      </c>
      <c r="AK206" s="311">
        <v>39328</v>
      </c>
      <c r="AL206" s="311">
        <v>43671</v>
      </c>
      <c r="AM206" s="301"/>
      <c r="AN206" s="290"/>
      <c r="AO206" s="312" t="str">
        <f>_xlfn.IFNA(IF(VLOOKUP(tabItens[[#This Row],[CÓDIGO]],tabExcluirDoEstoque[#Data],1,FALSE),"sim",""),"")</f>
        <v/>
      </c>
      <c r="AP206" s="313" t="str">
        <f ca="1">IF(OR(ISBLANK(tabItens[[#This Row],[ATA DT.VALID.]]),tabItens[[#This Row],[ATA DT.VALID.]]="",tabItens[[#This Row],[ATA DT.VALID.]]=" "),"",IF(TYPE(tabItens[[#This Row],[ATA DT.VALID.]])=1,ROUNDUP((tabItens[[#This Row],[ATA DT.VALID.]]-TODAY())/7,0),""))</f>
        <v/>
      </c>
      <c r="AQ206" s="314">
        <v>0</v>
      </c>
      <c r="AR206" s="315" t="str">
        <f>IF(ISBLANK(tabItens[[#This Row],[CÓDIGO]]),"",IFERROR(VLOOKUP(tabItens[[#This Row],[CÓDIGO]],Consumo!$C$2:$AC$869,26,FALSE),0))</f>
        <v>06.2023</v>
      </c>
      <c r="AS206" s="316">
        <f>SUMIF(Consumo!$C$3:$C$869,tabItens[[#This Row],[CÓDIGO]],Consumo!$N$3:$N$869) + SUMIF(Consumo!$C$3:$C$869,tabItens[[#This Row],[CÓDIGO]],Consumo!$O$3:$O$869) + SUMIF(Consumo!$C$3:$C$869,tabItens[[#This Row],[CÓDIGO]],Consumo!$P$3:$P$869) + SUMIF(Consumo!$C$3:$C$869,tabItens[[#This Row],[CÓDIGO]],Consumo!$Q$3:$Q$869)</f>
        <v>15</v>
      </c>
      <c r="AT206" s="316">
        <f>SUMIF(Consumo!$C$3:$C$869,tabItens[[#This Row],[CÓDIGO]],Consumo!$Z$3:$Z$869)</f>
        <v>63</v>
      </c>
      <c r="AU206" s="317">
        <f>SUMIF(Consumo!$C$3:$C$869,tabItens[[#This Row],[CÓDIGO]],Consumo!$AA$3:$AA$869)</f>
        <v>30</v>
      </c>
      <c r="AV206" s="318">
        <f>SUMIF(Consumo!$C$3:$C$869,tabItens[[#This Row],[CÓDIGO]],Consumo!$Y$3:$Y$869)</f>
        <v>4.666666666666667</v>
      </c>
      <c r="AW206" s="291">
        <f>tabItens[[#This Row],[QTDE ATUAL]] + tabItens[[#This Row],[RC QTDE]] + tabItens[[#This Row],[AF SALDO]] + tabItens[[#This Row],[Recentes]]</f>
        <v>1239</v>
      </c>
      <c r="AX206" s="319">
        <v>13</v>
      </c>
      <c r="AY206" s="319">
        <v>4</v>
      </c>
      <c r="AZ206" s="319">
        <f>IF(ISBLANK(tabItens[[#This Row],[CÓDIGO]]),"",tabItens[[#This Row],[PontoMês]] * (AZ$2+tabItens[[#This Row],[PontoQtM]]))</f>
        <v>52</v>
      </c>
      <c r="BA206" s="318">
        <f>tabItens[[#This Row],[PontoPed]] - tabItens[[#This Row],[Saldo]] + (1/10)</f>
        <v>-1186.9000000000001</v>
      </c>
      <c r="BB206" s="318">
        <f xml:space="preserve"> tabItens[[#This Row],[PontoMês]] * BB$2 - tabItens[[#This Row],[QTDE ATUAL]] - (1/10)</f>
        <v>-1226.0999999999999</v>
      </c>
      <c r="BC206" s="320">
        <f>IF( tabItens[[#This Row],[PontoPed]]&gt;0, IF(tabItens[[#This Row],[PontoPed]]&lt;1, 1, IF( tabItens[[#This Row],[Saldo]]&gt;tabItens[[#This Row],[PontoPed]], 0, (tabItens[[#This Row],[PontoPed]]-tabItens[[#This Row],[Saldo]])/tabItens[[#This Row],[PontoPed]] ) ), 0 )</f>
        <v>0</v>
      </c>
      <c r="BD206" s="321">
        <f>ROUNDDOWN(IF( OR( AND(tabItens[[#This Row],[PontoPed]]&lt;tabItens[[#This Row],[Saldo]],tabItens[[#This Row],[Saldo]]&gt;0), tabItens[[#This Row],[PontoPed]]=0), 99, IF(AND(tabItens[[#This Row],[Saldo]]=0,tabItens[[#This Row],[PontoPed]]&gt;0), 0, (1-tabItens[[#This Row],[PctAb]])*10 ) ),0)</f>
        <v>99</v>
      </c>
      <c r="BE206" s="322">
        <f>MAX(ROUNDDOWN( IF(tabItens[[#This Row],[Abaixo]] &gt; 0,   tabItens[[#This Row],[Abaixo]] + (tabItens[[#This Row],[PontoMês]] * IF( OR( ISBLANK(tabItens[[#This Row],[ATA Nº/ANO]]), tabItens[[#This Row],[ATA Nº/ANO]] = ""),BE$2,BE$1)),0),0),0)</f>
        <v>0</v>
      </c>
      <c r="BF2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323">
        <f>SUMIF(Consumo!$C$3:$C$869,tabItens[[#This Row],[CÓDIGO]],Consumo!$E$3:$E$869)</f>
        <v>0</v>
      </c>
      <c r="BH206" s="324">
        <f>IF(AND(tabItens[[#This Row],[Pend]] &gt; 0,tabItens[[#This Row],[Consumo]] &lt;&gt; 0), tabItens[[#This Row],[Pend]] / tabItens[[#This Row],[Consumo]], 0 )</f>
        <v>0</v>
      </c>
      <c r="BI206" s="323"/>
      <c r="BJ206" s="323"/>
      <c r="BK206" s="325" t="s">
        <v>2064</v>
      </c>
    </row>
    <row r="207" spans="1:63" hidden="1" x14ac:dyDescent="0.3">
      <c r="A207" s="286">
        <v>102276</v>
      </c>
      <c r="B207" s="287" t="s">
        <v>1571</v>
      </c>
      <c r="C207" s="288" t="s">
        <v>294</v>
      </c>
      <c r="D207" s="289">
        <v>260</v>
      </c>
      <c r="E207" s="290"/>
      <c r="F207" s="290"/>
      <c r="G207" s="290" t="s">
        <v>883</v>
      </c>
      <c r="H207" s="291">
        <v>156</v>
      </c>
      <c r="I207" s="292">
        <v>103003</v>
      </c>
      <c r="J207" s="293">
        <v>260</v>
      </c>
      <c r="K207" s="294">
        <v>42</v>
      </c>
      <c r="L207" s="295">
        <f>IF(tabItens[[#This Row],[Média]] &gt; 0, tabItens[[#This Row],[QTDE ATUAL]] / tabItens[[#This Row],[Média]],999.9)</f>
        <v>52</v>
      </c>
      <c r="M207" s="296">
        <v>0</v>
      </c>
      <c r="N207" s="297">
        <f>tabItens[[#This Row],[VALOR UNIT.]] * tabItens[[#This Row],[LC]]</f>
        <v>0</v>
      </c>
      <c r="O207" s="298" t="s">
        <v>2089</v>
      </c>
      <c r="P207" s="299"/>
      <c r="Q207" s="300"/>
      <c r="R207" s="297"/>
      <c r="S207" s="301"/>
      <c r="T207" s="302">
        <f>ROUNDDOWN(IFERROR(tabItens[[#This Row],[ATA DT.VALID.]] - $D$1,0) / 30,0)</f>
        <v>-1504</v>
      </c>
      <c r="U207" s="287" t="s">
        <v>1037</v>
      </c>
      <c r="V207" s="303">
        <v>1</v>
      </c>
      <c r="W207" s="304" t="s">
        <v>2056</v>
      </c>
      <c r="X207" s="305">
        <v>69</v>
      </c>
      <c r="Y207" s="306">
        <v>10</v>
      </c>
      <c r="Z207" s="307">
        <v>2976</v>
      </c>
      <c r="AA207" s="308">
        <v>2023</v>
      </c>
      <c r="AB207" s="309">
        <v>100</v>
      </c>
      <c r="AC207" s="309"/>
      <c r="AD207" s="308"/>
      <c r="AE207" s="309"/>
      <c r="AF207" s="302"/>
      <c r="AG207" s="310" t="s">
        <v>2050</v>
      </c>
      <c r="AH207" s="311"/>
      <c r="AI207" s="302">
        <v>16</v>
      </c>
      <c r="AJ207" s="311">
        <v>44736</v>
      </c>
      <c r="AK207" s="311">
        <v>39352</v>
      </c>
      <c r="AL207" s="311">
        <v>44882</v>
      </c>
      <c r="AM207" s="301"/>
      <c r="AN207" s="290"/>
      <c r="AO207" s="312" t="str">
        <f>_xlfn.IFNA(IF(VLOOKUP(tabItens[[#This Row],[CÓDIGO]],tabExcluirDoEstoque[#Data],1,FALSE),"sim",""),"")</f>
        <v/>
      </c>
      <c r="AP207" s="313" t="str">
        <f ca="1">IF(OR(ISBLANK(tabItens[[#This Row],[ATA DT.VALID.]]),tabItens[[#This Row],[ATA DT.VALID.]]="",tabItens[[#This Row],[ATA DT.VALID.]]=" "),"",IF(TYPE(tabItens[[#This Row],[ATA DT.VALID.]])=1,ROUNDUP((tabItens[[#This Row],[ATA DT.VALID.]]-TODAY())/7,0),""))</f>
        <v/>
      </c>
      <c r="AQ207" s="314">
        <v>0</v>
      </c>
      <c r="AR207" s="315" t="str">
        <f>IF(ISBLANK(tabItens[[#This Row],[CÓDIGO]]),"",IFERROR(VLOOKUP(tabItens[[#This Row],[CÓDIGO]],Consumo!$C$2:$AC$869,26,FALSE),0))</f>
        <v>07.2023</v>
      </c>
      <c r="AS207" s="316">
        <f>SUMIF(Consumo!$C$3:$C$869,tabItens[[#This Row],[CÓDIGO]],Consumo!$N$3:$N$869) + SUMIF(Consumo!$C$3:$C$869,tabItens[[#This Row],[CÓDIGO]],Consumo!$O$3:$O$869) + SUMIF(Consumo!$C$3:$C$869,tabItens[[#This Row],[CÓDIGO]],Consumo!$P$3:$P$869) + SUMIF(Consumo!$C$3:$C$869,tabItens[[#This Row],[CÓDIGO]],Consumo!$Q$3:$Q$869)</f>
        <v>2</v>
      </c>
      <c r="AT207" s="316">
        <f>SUMIF(Consumo!$C$3:$C$869,tabItens[[#This Row],[CÓDIGO]],Consumo!$Z$3:$Z$869)</f>
        <v>42</v>
      </c>
      <c r="AU207" s="317">
        <f>SUMIF(Consumo!$C$3:$C$869,tabItens[[#This Row],[CÓDIGO]],Consumo!$AA$3:$AA$869)</f>
        <v>25</v>
      </c>
      <c r="AV207" s="318">
        <f>SUMIF(Consumo!$C$3:$C$869,tabItens[[#This Row],[CÓDIGO]],Consumo!$Y$3:$Y$869)</f>
        <v>3</v>
      </c>
      <c r="AW207" s="291">
        <f>tabItens[[#This Row],[QTDE ATUAL]] + tabItens[[#This Row],[RC QTDE]] + tabItens[[#This Row],[AF SALDO]] + tabItens[[#This Row],[Recentes]]</f>
        <v>256</v>
      </c>
      <c r="AX207" s="319">
        <v>21</v>
      </c>
      <c r="AY207" s="319">
        <v>4</v>
      </c>
      <c r="AZ207" s="319">
        <f>IF(ISBLANK(tabItens[[#This Row],[CÓDIGO]]),"",tabItens[[#This Row],[PontoMês]] * (AZ$2+tabItens[[#This Row],[PontoQtM]]))</f>
        <v>84</v>
      </c>
      <c r="BA207" s="318">
        <f>tabItens[[#This Row],[PontoPed]] - tabItens[[#This Row],[Saldo]] + (1/10)</f>
        <v>-171.9</v>
      </c>
      <c r="BB207" s="318">
        <f xml:space="preserve"> tabItens[[#This Row],[PontoMês]] * BB$2 - tabItens[[#This Row],[QTDE ATUAL]] - (1/10)</f>
        <v>-135.1</v>
      </c>
      <c r="BC207" s="320">
        <f>IF( tabItens[[#This Row],[PontoPed]]&gt;0, IF(tabItens[[#This Row],[PontoPed]]&lt;1, 1, IF( tabItens[[#This Row],[Saldo]]&gt;tabItens[[#This Row],[PontoPed]], 0, (tabItens[[#This Row],[PontoPed]]-tabItens[[#This Row],[Saldo]])/tabItens[[#This Row],[PontoPed]] ) ), 0 )</f>
        <v>0</v>
      </c>
      <c r="BD207" s="321">
        <f>ROUNDDOWN(IF( OR( AND(tabItens[[#This Row],[PontoPed]]&lt;tabItens[[#This Row],[Saldo]],tabItens[[#This Row],[Saldo]]&gt;0), tabItens[[#This Row],[PontoPed]]=0), 99, IF(AND(tabItens[[#This Row],[Saldo]]=0,tabItens[[#This Row],[PontoPed]]&gt;0), 0, (1-tabItens[[#This Row],[PctAb]])*10 ) ),0)</f>
        <v>99</v>
      </c>
      <c r="BE207" s="322">
        <f>MAX(ROUNDDOWN( IF(tabItens[[#This Row],[Abaixo]] &gt; 0,   tabItens[[#This Row],[Abaixo]] + (tabItens[[#This Row],[PontoMês]] * IF( OR( ISBLANK(tabItens[[#This Row],[ATA Nº/ANO]]), tabItens[[#This Row],[ATA Nº/ANO]] = ""),BE$2,BE$1)),0),0),0)</f>
        <v>0</v>
      </c>
      <c r="BF20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323">
        <f>SUMIF(Consumo!$C$3:$C$869,tabItens[[#This Row],[CÓDIGO]],Consumo!$E$3:$E$869)</f>
        <v>0</v>
      </c>
      <c r="BH207" s="324">
        <f>IF(AND(tabItens[[#This Row],[Pend]] &gt; 0,tabItens[[#This Row],[Consumo]] &lt;&gt; 0), tabItens[[#This Row],[Pend]] / tabItens[[#This Row],[Consumo]], 0 )</f>
        <v>0</v>
      </c>
      <c r="BI207" s="323"/>
      <c r="BJ207" s="323"/>
      <c r="BK207" s="325" t="s">
        <v>2064</v>
      </c>
    </row>
    <row r="208" spans="1:63" hidden="1" x14ac:dyDescent="0.3">
      <c r="A208" s="286">
        <v>102279</v>
      </c>
      <c r="B208" s="287" t="s">
        <v>1574</v>
      </c>
      <c r="C208" s="288" t="s">
        <v>294</v>
      </c>
      <c r="D208" s="289">
        <v>201.33</v>
      </c>
      <c r="E208" s="290"/>
      <c r="F208" s="290"/>
      <c r="G208" s="290" t="s">
        <v>883</v>
      </c>
      <c r="H208" s="291">
        <v>280</v>
      </c>
      <c r="I208" s="292">
        <v>103003</v>
      </c>
      <c r="J208" s="293">
        <v>201.33</v>
      </c>
      <c r="K208" s="294">
        <v>50</v>
      </c>
      <c r="L208" s="295">
        <f>IF(tabItens[[#This Row],[Média]] &gt; 0, tabItens[[#This Row],[QTDE ATUAL]] / tabItens[[#This Row],[Média]],999.9)</f>
        <v>48</v>
      </c>
      <c r="M208" s="296">
        <v>0</v>
      </c>
      <c r="N208" s="297">
        <f>tabItens[[#This Row],[VALOR UNIT.]] * tabItens[[#This Row],[LC]]</f>
        <v>0</v>
      </c>
      <c r="O208" s="298" t="s">
        <v>2089</v>
      </c>
      <c r="P208" s="299"/>
      <c r="Q208" s="300"/>
      <c r="R208" s="297"/>
      <c r="S208" s="301"/>
      <c r="T208" s="302">
        <f>ROUNDDOWN(IFERROR(tabItens[[#This Row],[ATA DT.VALID.]] - $D$1,0) / 30,0)</f>
        <v>-1504</v>
      </c>
      <c r="U208" s="287" t="s">
        <v>1037</v>
      </c>
      <c r="V208" s="303">
        <v>1</v>
      </c>
      <c r="W208" s="304" t="s">
        <v>2056</v>
      </c>
      <c r="X208" s="305">
        <v>69</v>
      </c>
      <c r="Y208" s="306">
        <v>10</v>
      </c>
      <c r="Z208" s="307">
        <v>2976</v>
      </c>
      <c r="AA208" s="308">
        <v>2023</v>
      </c>
      <c r="AB208" s="309">
        <v>50</v>
      </c>
      <c r="AC208" s="309"/>
      <c r="AD208" s="308"/>
      <c r="AE208" s="309"/>
      <c r="AF208" s="302"/>
      <c r="AG208" s="310" t="s">
        <v>2050</v>
      </c>
      <c r="AH208" s="311"/>
      <c r="AI208" s="302">
        <v>116</v>
      </c>
      <c r="AJ208" s="311">
        <v>44924</v>
      </c>
      <c r="AK208" s="311">
        <v>39352</v>
      </c>
      <c r="AL208" s="311">
        <v>44881</v>
      </c>
      <c r="AM208" s="301"/>
      <c r="AN208" s="290"/>
      <c r="AO208" s="312" t="str">
        <f>_xlfn.IFNA(IF(VLOOKUP(tabItens[[#This Row],[CÓDIGO]],tabExcluirDoEstoque[#Data],1,FALSE),"sim",""),"")</f>
        <v/>
      </c>
      <c r="AP208" s="313" t="str">
        <f ca="1">IF(OR(ISBLANK(tabItens[[#This Row],[ATA DT.VALID.]]),tabItens[[#This Row],[ATA DT.VALID.]]="",tabItens[[#This Row],[ATA DT.VALID.]]=" "),"",IF(TYPE(tabItens[[#This Row],[ATA DT.VALID.]])=1,ROUNDUP((tabItens[[#This Row],[ATA DT.VALID.]]-TODAY())/7,0),""))</f>
        <v/>
      </c>
      <c r="AQ208" s="314">
        <v>0</v>
      </c>
      <c r="AR208" s="315" t="str">
        <f>IF(ISBLANK(tabItens[[#This Row],[CÓDIGO]]),"",IFERROR(VLOOKUP(tabItens[[#This Row],[CÓDIGO]],Consumo!$C$2:$AC$869,26,FALSE),0))</f>
        <v>05.2023</v>
      </c>
      <c r="AS208" s="316">
        <f>SUMIF(Consumo!$C$3:$C$869,tabItens[[#This Row],[CÓDIGO]],Consumo!$N$3:$N$869) + SUMIF(Consumo!$C$3:$C$869,tabItens[[#This Row],[CÓDIGO]],Consumo!$O$3:$O$869) + SUMIF(Consumo!$C$3:$C$869,tabItens[[#This Row],[CÓDIGO]],Consumo!$P$3:$P$869) + SUMIF(Consumo!$C$3:$C$869,tabItens[[#This Row],[CÓDIGO]],Consumo!$Q$3:$Q$869)</f>
        <v>10</v>
      </c>
      <c r="AT208" s="316">
        <f>SUMIF(Consumo!$C$3:$C$869,tabItens[[#This Row],[CÓDIGO]],Consumo!$Z$3:$Z$869)</f>
        <v>70</v>
      </c>
      <c r="AU208" s="317">
        <f>SUMIF(Consumo!$C$3:$C$869,tabItens[[#This Row],[CÓDIGO]],Consumo!$AA$3:$AA$869)</f>
        <v>15</v>
      </c>
      <c r="AV208" s="318">
        <f>SUMIF(Consumo!$C$3:$C$869,tabItens[[#This Row],[CÓDIGO]],Consumo!$Y$3:$Y$869)</f>
        <v>5.833333333333333</v>
      </c>
      <c r="AW208" s="291">
        <f>tabItens[[#This Row],[QTDE ATUAL]] + tabItens[[#This Row],[RC QTDE]] + tabItens[[#This Row],[AF SALDO]] + tabItens[[#This Row],[Recentes]]</f>
        <v>330</v>
      </c>
      <c r="AX208" s="319">
        <v>13</v>
      </c>
      <c r="AY208" s="319">
        <v>4</v>
      </c>
      <c r="AZ208" s="319">
        <f>IF(ISBLANK(tabItens[[#This Row],[CÓDIGO]]),"",tabItens[[#This Row],[PontoMês]] * (AZ$2+tabItens[[#This Row],[PontoQtM]]))</f>
        <v>52</v>
      </c>
      <c r="BA208" s="318">
        <f>tabItens[[#This Row],[PontoPed]] - tabItens[[#This Row],[Saldo]] + (1/10)</f>
        <v>-277.89999999999998</v>
      </c>
      <c r="BB208" s="318">
        <f xml:space="preserve"> tabItens[[#This Row],[PontoMês]] * BB$2 - tabItens[[#This Row],[QTDE ATUAL]] - (1/10)</f>
        <v>-267.10000000000002</v>
      </c>
      <c r="BC208" s="320">
        <f>IF( tabItens[[#This Row],[PontoPed]]&gt;0, IF(tabItens[[#This Row],[PontoPed]]&lt;1, 1, IF( tabItens[[#This Row],[Saldo]]&gt;tabItens[[#This Row],[PontoPed]], 0, (tabItens[[#This Row],[PontoPed]]-tabItens[[#This Row],[Saldo]])/tabItens[[#This Row],[PontoPed]] ) ), 0 )</f>
        <v>0</v>
      </c>
      <c r="BD208" s="321">
        <f>ROUNDDOWN(IF( OR( AND(tabItens[[#This Row],[PontoPed]]&lt;tabItens[[#This Row],[Saldo]],tabItens[[#This Row],[Saldo]]&gt;0), tabItens[[#This Row],[PontoPed]]=0), 99, IF(AND(tabItens[[#This Row],[Saldo]]=0,tabItens[[#This Row],[PontoPed]]&gt;0), 0, (1-tabItens[[#This Row],[PctAb]])*10 ) ),0)</f>
        <v>99</v>
      </c>
      <c r="BE208" s="322">
        <f>MAX(ROUNDDOWN( IF(tabItens[[#This Row],[Abaixo]] &gt; 0,   tabItens[[#This Row],[Abaixo]] + (tabItens[[#This Row],[PontoMês]] * IF( OR( ISBLANK(tabItens[[#This Row],[ATA Nº/ANO]]), tabItens[[#This Row],[ATA Nº/ANO]] = ""),BE$2,BE$1)),0),0),0)</f>
        <v>0</v>
      </c>
      <c r="BF2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323">
        <f>SUMIF(Consumo!$C$3:$C$869,tabItens[[#This Row],[CÓDIGO]],Consumo!$E$3:$E$869)</f>
        <v>20</v>
      </c>
      <c r="BH208" s="324">
        <f>IF(AND(tabItens[[#This Row],[Pend]] &gt; 0,tabItens[[#This Row],[Consumo]] &lt;&gt; 0), tabItens[[#This Row],[Pend]] / tabItens[[#This Row],[Consumo]], 0 )</f>
        <v>0.2857142857142857</v>
      </c>
      <c r="BI208" s="323"/>
      <c r="BJ208" s="323"/>
      <c r="BK208" s="325" t="s">
        <v>2064</v>
      </c>
    </row>
    <row r="209" spans="1:63" hidden="1" x14ac:dyDescent="0.3">
      <c r="A209" s="286">
        <v>12763</v>
      </c>
      <c r="B209" s="287" t="s">
        <v>960</v>
      </c>
      <c r="C209" s="288" t="s">
        <v>411</v>
      </c>
      <c r="D209" s="289">
        <v>15.95</v>
      </c>
      <c r="E209" s="290"/>
      <c r="F209" s="290"/>
      <c r="G209" s="290" t="s">
        <v>883</v>
      </c>
      <c r="H209" s="291">
        <v>60</v>
      </c>
      <c r="I209" s="292">
        <v>103003</v>
      </c>
      <c r="J209" s="293">
        <v>15.95</v>
      </c>
      <c r="K209" s="294">
        <v>859</v>
      </c>
      <c r="L209" s="295">
        <f>IF(tabItens[[#This Row],[Média]] &gt; 0, tabItens[[#This Row],[QTDE ATUAL]] / tabItens[[#This Row],[Média]],999.9)</f>
        <v>0.65813528336380256</v>
      </c>
      <c r="M209" s="296">
        <v>0</v>
      </c>
      <c r="N209" s="297">
        <f>tabItens[[#This Row],[VALOR UNIT.]] * tabItens[[#This Row],[LC]]</f>
        <v>0</v>
      </c>
      <c r="O209" s="298" t="s">
        <v>2072</v>
      </c>
      <c r="P209" s="299"/>
      <c r="Q209" s="300"/>
      <c r="R209" s="297"/>
      <c r="S209" s="301"/>
      <c r="T209" s="302">
        <f>ROUNDDOWN(IFERROR(tabItens[[#This Row],[ATA DT.VALID.]] - $D$1,0) / 30,0)</f>
        <v>-1504</v>
      </c>
      <c r="U209" s="287" t="s">
        <v>961</v>
      </c>
      <c r="V209" s="303">
        <v>1</v>
      </c>
      <c r="W209" s="304" t="s">
        <v>2049</v>
      </c>
      <c r="X209" s="305">
        <v>51</v>
      </c>
      <c r="Y209" s="306">
        <v>3</v>
      </c>
      <c r="Z209" s="307">
        <v>2525</v>
      </c>
      <c r="AA209" s="308">
        <v>2023</v>
      </c>
      <c r="AB209" s="309">
        <v>1000</v>
      </c>
      <c r="AC209" s="309"/>
      <c r="AD209" s="308"/>
      <c r="AE209" s="309"/>
      <c r="AF209" s="302"/>
      <c r="AG209" s="310" t="s">
        <v>2050</v>
      </c>
      <c r="AH209" s="311"/>
      <c r="AI209" s="302">
        <v>348</v>
      </c>
      <c r="AJ209" s="311">
        <v>44951</v>
      </c>
      <c r="AK209" s="311" t="s">
        <v>883</v>
      </c>
      <c r="AL209" s="311">
        <v>44957</v>
      </c>
      <c r="AM209" s="301"/>
      <c r="AN209" s="290"/>
      <c r="AO209" s="312" t="str">
        <f>_xlfn.IFNA(IF(VLOOKUP(tabItens[[#This Row],[CÓDIGO]],tabExcluirDoEstoque[#Data],1,FALSE),"sim",""),"")</f>
        <v/>
      </c>
      <c r="AP209" s="313" t="str">
        <f ca="1">IF(OR(ISBLANK(tabItens[[#This Row],[ATA DT.VALID.]]),tabItens[[#This Row],[ATA DT.VALID.]]="",tabItens[[#This Row],[ATA DT.VALID.]]=" "),"",IF(TYPE(tabItens[[#This Row],[ATA DT.VALID.]])=1,ROUNDUP((tabItens[[#This Row],[ATA DT.VALID.]]-TODAY())/7,0),""))</f>
        <v/>
      </c>
      <c r="AQ209" s="314">
        <v>0</v>
      </c>
      <c r="AR209" s="315" t="str">
        <f>IF(ISBLANK(tabItens[[#This Row],[CÓDIGO]]),"",IFERROR(VLOOKUP(tabItens[[#This Row],[CÓDIGO]],Consumo!$C$2:$AC$869,26,FALSE),0))</f>
        <v>07.2023</v>
      </c>
      <c r="AS209" s="316">
        <f>SUMIF(Consumo!$C$3:$C$869,tabItens[[#This Row],[CÓDIGO]],Consumo!$N$3:$N$869) + SUMIF(Consumo!$C$3:$C$869,tabItens[[#This Row],[CÓDIGO]],Consumo!$O$3:$O$869) + SUMIF(Consumo!$C$3:$C$869,tabItens[[#This Row],[CÓDIGO]],Consumo!$P$3:$P$869) + SUMIF(Consumo!$C$3:$C$869,tabItens[[#This Row],[CÓDIGO]],Consumo!$Q$3:$Q$869)</f>
        <v>495</v>
      </c>
      <c r="AT209" s="316">
        <f>SUMIF(Consumo!$C$3:$C$869,tabItens[[#This Row],[CÓDIGO]],Consumo!$Z$3:$Z$869)</f>
        <v>1094</v>
      </c>
      <c r="AU209" s="317">
        <f>SUMIF(Consumo!$C$3:$C$869,tabItens[[#This Row],[CÓDIGO]],Consumo!$AA$3:$AA$869)</f>
        <v>217</v>
      </c>
      <c r="AV209" s="318">
        <f>SUMIF(Consumo!$C$3:$C$869,tabItens[[#This Row],[CÓDIGO]],Consumo!$Y$3:$Y$869)</f>
        <v>91.166666666666671</v>
      </c>
      <c r="AW209" s="291">
        <f>tabItens[[#This Row],[QTDE ATUAL]] + tabItens[[#This Row],[RC QTDE]] + tabItens[[#This Row],[AF SALDO]] + tabItens[[#This Row],[Recentes]]</f>
        <v>1060</v>
      </c>
      <c r="AX209" s="319">
        <v>100</v>
      </c>
      <c r="AY209" s="319">
        <v>4</v>
      </c>
      <c r="AZ209" s="319">
        <f>IF(ISBLANK(tabItens[[#This Row],[CÓDIGO]]),"",tabItens[[#This Row],[PontoMês]] * (AZ$2+tabItens[[#This Row],[PontoQtM]]))</f>
        <v>400</v>
      </c>
      <c r="BA209" s="318">
        <f>tabItens[[#This Row],[PontoPed]] - tabItens[[#This Row],[Saldo]] + (1/10)</f>
        <v>-659.9</v>
      </c>
      <c r="BB209" s="318">
        <f xml:space="preserve"> tabItens[[#This Row],[PontoMês]] * BB$2 - tabItens[[#This Row],[QTDE ATUAL]] - (1/10)</f>
        <v>39.9</v>
      </c>
      <c r="BC209" s="320">
        <f>IF( tabItens[[#This Row],[PontoPed]]&gt;0, IF(tabItens[[#This Row],[PontoPed]]&lt;1, 1, IF( tabItens[[#This Row],[Saldo]]&gt;tabItens[[#This Row],[PontoPed]], 0, (tabItens[[#This Row],[PontoPed]]-tabItens[[#This Row],[Saldo]])/tabItens[[#This Row],[PontoPed]] ) ), 0 )</f>
        <v>0</v>
      </c>
      <c r="BD209" s="321">
        <f>ROUNDDOWN(IF( OR( AND(tabItens[[#This Row],[PontoPed]]&lt;tabItens[[#This Row],[Saldo]],tabItens[[#This Row],[Saldo]]&gt;0), tabItens[[#This Row],[PontoPed]]=0), 99, IF(AND(tabItens[[#This Row],[Saldo]]=0,tabItens[[#This Row],[PontoPed]]&gt;0), 0, (1-tabItens[[#This Row],[PctAb]])*10 ) ),0)</f>
        <v>99</v>
      </c>
      <c r="BE209" s="322">
        <f>MAX(ROUNDDOWN( IF(tabItens[[#This Row],[Abaixo]] &gt; 0,   tabItens[[#This Row],[Abaixo]] + (tabItens[[#This Row],[PontoMês]] * IF( OR( ISBLANK(tabItens[[#This Row],[ATA Nº/ANO]]), tabItens[[#This Row],[ATA Nº/ANO]] = ""),BE$2,BE$1)),0),0),0)</f>
        <v>0</v>
      </c>
      <c r="BF2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323">
        <f>SUMIF(Consumo!$C$3:$C$869,tabItens[[#This Row],[CÓDIGO]],Consumo!$E$3:$E$869)</f>
        <v>51</v>
      </c>
      <c r="BH209" s="324">
        <f>IF(AND(tabItens[[#This Row],[Pend]] &gt; 0,tabItens[[#This Row],[Consumo]] &lt;&gt; 0), tabItens[[#This Row],[Pend]] / tabItens[[#This Row],[Consumo]], 0 )</f>
        <v>4.6617915904936018E-2</v>
      </c>
      <c r="BI209" s="323"/>
      <c r="BJ209" s="323"/>
      <c r="BK209" s="325" t="s">
        <v>2064</v>
      </c>
    </row>
    <row r="210" spans="1:63" hidden="1" x14ac:dyDescent="0.3">
      <c r="A210" s="286">
        <v>26282</v>
      </c>
      <c r="B210" s="287" t="s">
        <v>1210</v>
      </c>
      <c r="C210" s="288" t="s">
        <v>256</v>
      </c>
      <c r="D210" s="289">
        <v>297</v>
      </c>
      <c r="E210" s="290"/>
      <c r="F210" s="290"/>
      <c r="G210" s="290" t="s">
        <v>883</v>
      </c>
      <c r="H210" s="291">
        <v>19</v>
      </c>
      <c r="I210" s="292">
        <v>103003</v>
      </c>
      <c r="J210" s="293">
        <v>297</v>
      </c>
      <c r="K210" s="294"/>
      <c r="L210" s="295">
        <f>IF(tabItens[[#This Row],[Média]] &gt; 0, tabItens[[#This Row],[QTDE ATUAL]] / tabItens[[#This Row],[Média]],999.9)</f>
        <v>999.9</v>
      </c>
      <c r="M210" s="296">
        <v>0</v>
      </c>
      <c r="N210" s="297">
        <f>tabItens[[#This Row],[VALOR UNIT.]] * tabItens[[#This Row],[LC]]</f>
        <v>0</v>
      </c>
      <c r="O210" s="298" t="s">
        <v>2072</v>
      </c>
      <c r="P210" s="299"/>
      <c r="Q210" s="300"/>
      <c r="R210" s="297"/>
      <c r="S210" s="301"/>
      <c r="T210" s="302">
        <f>ROUNDDOWN(IFERROR(tabItens[[#This Row],[ATA DT.VALID.]] - $D$1,0) / 30,0)</f>
        <v>-1504</v>
      </c>
      <c r="U210" s="287" t="s">
        <v>1211</v>
      </c>
      <c r="V210" s="303">
        <v>1</v>
      </c>
      <c r="W210" s="304" t="s">
        <v>2049</v>
      </c>
      <c r="X210" s="305">
        <v>51</v>
      </c>
      <c r="Y210" s="306">
        <v>26</v>
      </c>
      <c r="Z210" s="307"/>
      <c r="AA210" s="308"/>
      <c r="AB210" s="309"/>
      <c r="AC210" s="309"/>
      <c r="AD210" s="308"/>
      <c r="AE210" s="309"/>
      <c r="AF210" s="302"/>
      <c r="AG210" s="310" t="s">
        <v>2050</v>
      </c>
      <c r="AH210" s="311"/>
      <c r="AI210" s="302">
        <v>0</v>
      </c>
      <c r="AJ210" s="311">
        <v>42381</v>
      </c>
      <c r="AK210" s="311" t="s">
        <v>883</v>
      </c>
      <c r="AL210" s="311">
        <v>42349</v>
      </c>
      <c r="AM210" s="301"/>
      <c r="AN210" s="290"/>
      <c r="AO210" s="312" t="str">
        <f>_xlfn.IFNA(IF(VLOOKUP(tabItens[[#This Row],[CÓDIGO]],tabExcluirDoEstoque[#Data],1,FALSE),"sim",""),"")</f>
        <v/>
      </c>
      <c r="AP210" s="313" t="str">
        <f ca="1">IF(OR(ISBLANK(tabItens[[#This Row],[ATA DT.VALID.]]),tabItens[[#This Row],[ATA DT.VALID.]]="",tabItens[[#This Row],[ATA DT.VALID.]]=" "),"",IF(TYPE(tabItens[[#This Row],[ATA DT.VALID.]])=1,ROUNDUP((tabItens[[#This Row],[ATA DT.VALID.]]-TODAY())/7,0),""))</f>
        <v/>
      </c>
      <c r="AQ210" s="314">
        <v>0</v>
      </c>
      <c r="AR210" s="315">
        <f>IF(ISBLANK(tabItens[[#This Row],[CÓDIGO]]),"",IFERROR(VLOOKUP(tabItens[[#This Row],[CÓDIGO]],Consumo!$C$2:$AC$869,26,FALSE),0))</f>
        <v>0</v>
      </c>
      <c r="AS210" s="316">
        <f>SUMIF(Consumo!$C$3:$C$869,tabItens[[#This Row],[CÓDIGO]],Consumo!$N$3:$N$869) + SUMIF(Consumo!$C$3:$C$869,tabItens[[#This Row],[CÓDIGO]],Consumo!$O$3:$O$869) + SUMIF(Consumo!$C$3:$C$869,tabItens[[#This Row],[CÓDIGO]],Consumo!$P$3:$P$869) + SUMIF(Consumo!$C$3:$C$869,tabItens[[#This Row],[CÓDIGO]],Consumo!$Q$3:$Q$869)</f>
        <v>0</v>
      </c>
      <c r="AT210" s="316">
        <f>SUMIF(Consumo!$C$3:$C$869,tabItens[[#This Row],[CÓDIGO]],Consumo!$Z$3:$Z$869)</f>
        <v>0</v>
      </c>
      <c r="AU210" s="317">
        <f>SUMIF(Consumo!$C$3:$C$869,tabItens[[#This Row],[CÓDIGO]],Consumo!$AA$3:$AA$869)</f>
        <v>0</v>
      </c>
      <c r="AV210" s="318">
        <f>SUMIF(Consumo!$C$3:$C$869,tabItens[[#This Row],[CÓDIGO]],Consumo!$Y$3:$Y$869)</f>
        <v>0</v>
      </c>
      <c r="AW210" s="291">
        <f>tabItens[[#This Row],[QTDE ATUAL]] + tabItens[[#This Row],[RC QTDE]] + tabItens[[#This Row],[AF SALDO]] + tabItens[[#This Row],[Recentes]]</f>
        <v>19</v>
      </c>
      <c r="AX210" s="319">
        <v>1</v>
      </c>
      <c r="AY210" s="319">
        <v>4</v>
      </c>
      <c r="AZ210" s="319">
        <f>IF(ISBLANK(tabItens[[#This Row],[CÓDIGO]]),"",tabItens[[#This Row],[PontoMês]] * (AZ$2+tabItens[[#This Row],[PontoQtM]]))</f>
        <v>4</v>
      </c>
      <c r="BA210" s="318">
        <f>tabItens[[#This Row],[PontoPed]] - tabItens[[#This Row],[Saldo]] + (1/10)</f>
        <v>-14.9</v>
      </c>
      <c r="BB210" s="318">
        <f xml:space="preserve"> tabItens[[#This Row],[PontoMês]] * BB$2 - tabItens[[#This Row],[QTDE ATUAL]] - (1/10)</f>
        <v>-18.100000000000001</v>
      </c>
      <c r="BC210" s="320">
        <f>IF( tabItens[[#This Row],[PontoPed]]&gt;0, IF(tabItens[[#This Row],[PontoPed]]&lt;1, 1, IF( tabItens[[#This Row],[Saldo]]&gt;tabItens[[#This Row],[PontoPed]], 0, (tabItens[[#This Row],[PontoPed]]-tabItens[[#This Row],[Saldo]])/tabItens[[#This Row],[PontoPed]] ) ), 0 )</f>
        <v>0</v>
      </c>
      <c r="BD210" s="321">
        <f>ROUNDDOWN(IF( OR( AND(tabItens[[#This Row],[PontoPed]]&lt;tabItens[[#This Row],[Saldo]],tabItens[[#This Row],[Saldo]]&gt;0), tabItens[[#This Row],[PontoPed]]=0), 99, IF(AND(tabItens[[#This Row],[Saldo]]=0,tabItens[[#This Row],[PontoPed]]&gt;0), 0, (1-tabItens[[#This Row],[PctAb]])*10 ) ),0)</f>
        <v>99</v>
      </c>
      <c r="BE210" s="322">
        <f>MAX(ROUNDDOWN( IF(tabItens[[#This Row],[Abaixo]] &gt; 0,   tabItens[[#This Row],[Abaixo]] + (tabItens[[#This Row],[PontoMês]] * IF( OR( ISBLANK(tabItens[[#This Row],[ATA Nº/ANO]]), tabItens[[#This Row],[ATA Nº/ANO]] = ""),BE$2,BE$1)),0),0),0)</f>
        <v>0</v>
      </c>
      <c r="BF2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323">
        <f>SUMIF(Consumo!$C$3:$C$869,tabItens[[#This Row],[CÓDIGO]],Consumo!$E$3:$E$869)</f>
        <v>0</v>
      </c>
      <c r="BH210" s="324">
        <f>IF(AND(tabItens[[#This Row],[Pend]] &gt; 0,tabItens[[#This Row],[Consumo]] &lt;&gt; 0), tabItens[[#This Row],[Pend]] / tabItens[[#This Row],[Consumo]], 0 )</f>
        <v>0</v>
      </c>
      <c r="BI210" s="323"/>
      <c r="BJ210" s="323"/>
      <c r="BK210" s="325" t="s">
        <v>2064</v>
      </c>
    </row>
    <row r="211" spans="1:63" hidden="1" x14ac:dyDescent="0.3">
      <c r="A211" s="286">
        <v>34214</v>
      </c>
      <c r="B211" s="287" t="s">
        <v>1254</v>
      </c>
      <c r="C211" s="288" t="s">
        <v>256</v>
      </c>
      <c r="D211" s="289">
        <v>247</v>
      </c>
      <c r="E211" s="290"/>
      <c r="F211" s="290"/>
      <c r="G211" s="290" t="s">
        <v>883</v>
      </c>
      <c r="H211" s="291">
        <v>1</v>
      </c>
      <c r="I211" s="292">
        <v>103003</v>
      </c>
      <c r="J211" s="293">
        <v>247</v>
      </c>
      <c r="K211" s="294"/>
      <c r="L211" s="295">
        <f>IF(tabItens[[#This Row],[Média]] &gt; 0, tabItens[[#This Row],[QTDE ATUAL]] / tabItens[[#This Row],[Média]],999.9)</f>
        <v>999.9</v>
      </c>
      <c r="M211" s="296">
        <v>0</v>
      </c>
      <c r="N211" s="297">
        <f>tabItens[[#This Row],[VALOR UNIT.]] * tabItens[[#This Row],[LC]]</f>
        <v>0</v>
      </c>
      <c r="O211" s="298" t="s">
        <v>2072</v>
      </c>
      <c r="P211" s="299"/>
      <c r="Q211" s="300"/>
      <c r="R211" s="297"/>
      <c r="S211" s="301"/>
      <c r="T211" s="302">
        <f>ROUNDDOWN(IFERROR(tabItens[[#This Row],[ATA DT.VALID.]] - $D$1,0) / 30,0)</f>
        <v>-1504</v>
      </c>
      <c r="U211" s="287" t="s">
        <v>1211</v>
      </c>
      <c r="V211" s="303">
        <v>1</v>
      </c>
      <c r="W211" s="304" t="s">
        <v>2049</v>
      </c>
      <c r="X211" s="305">
        <v>51</v>
      </c>
      <c r="Y211" s="306">
        <v>26</v>
      </c>
      <c r="Z211" s="307">
        <v>2527</v>
      </c>
      <c r="AA211" s="308">
        <v>2023</v>
      </c>
      <c r="AB211" s="309">
        <v>20</v>
      </c>
      <c r="AC211" s="309"/>
      <c r="AD211" s="308"/>
      <c r="AE211" s="309"/>
      <c r="AF211" s="302"/>
      <c r="AG211" s="310" t="s">
        <v>2050</v>
      </c>
      <c r="AH211" s="311"/>
      <c r="AI211" s="302">
        <v>0</v>
      </c>
      <c r="AJ211" s="311">
        <v>42381</v>
      </c>
      <c r="AK211" s="311" t="s">
        <v>883</v>
      </c>
      <c r="AL211" s="311">
        <v>42349</v>
      </c>
      <c r="AM211" s="301"/>
      <c r="AN211" s="290"/>
      <c r="AO211" s="312" t="str">
        <f>_xlfn.IFNA(IF(VLOOKUP(tabItens[[#This Row],[CÓDIGO]],tabExcluirDoEstoque[#Data],1,FALSE),"sim",""),"")</f>
        <v/>
      </c>
      <c r="AP211" s="313" t="str">
        <f ca="1">IF(OR(ISBLANK(tabItens[[#This Row],[ATA DT.VALID.]]),tabItens[[#This Row],[ATA DT.VALID.]]="",tabItens[[#This Row],[ATA DT.VALID.]]=" "),"",IF(TYPE(tabItens[[#This Row],[ATA DT.VALID.]])=1,ROUNDUP((tabItens[[#This Row],[ATA DT.VALID.]]-TODAY())/7,0),""))</f>
        <v/>
      </c>
      <c r="AQ211" s="314">
        <v>0</v>
      </c>
      <c r="AR211" s="315">
        <f>IF(ISBLANK(tabItens[[#This Row],[CÓDIGO]]),"",IFERROR(VLOOKUP(tabItens[[#This Row],[CÓDIGO]],Consumo!$C$2:$AC$869,26,FALSE),0))</f>
        <v>0</v>
      </c>
      <c r="AS211" s="316">
        <f>SUMIF(Consumo!$C$3:$C$869,tabItens[[#This Row],[CÓDIGO]],Consumo!$N$3:$N$869) + SUMIF(Consumo!$C$3:$C$869,tabItens[[#This Row],[CÓDIGO]],Consumo!$O$3:$O$869) + SUMIF(Consumo!$C$3:$C$869,tabItens[[#This Row],[CÓDIGO]],Consumo!$P$3:$P$869) + SUMIF(Consumo!$C$3:$C$869,tabItens[[#This Row],[CÓDIGO]],Consumo!$Q$3:$Q$869)</f>
        <v>0</v>
      </c>
      <c r="AT211" s="316">
        <f>SUMIF(Consumo!$C$3:$C$869,tabItens[[#This Row],[CÓDIGO]],Consumo!$Z$3:$Z$869)</f>
        <v>0</v>
      </c>
      <c r="AU211" s="317">
        <f>SUMIF(Consumo!$C$3:$C$869,tabItens[[#This Row],[CÓDIGO]],Consumo!$AA$3:$AA$869)</f>
        <v>0</v>
      </c>
      <c r="AV211" s="318">
        <f>SUMIF(Consumo!$C$3:$C$869,tabItens[[#This Row],[CÓDIGO]],Consumo!$Y$3:$Y$869)</f>
        <v>0</v>
      </c>
      <c r="AW211" s="291">
        <f>tabItens[[#This Row],[QTDE ATUAL]] + tabItens[[#This Row],[RC QTDE]] + tabItens[[#This Row],[AF SALDO]] + tabItens[[#This Row],[Recentes]]</f>
        <v>21</v>
      </c>
      <c r="AX211" s="319">
        <v>1</v>
      </c>
      <c r="AY211" s="319">
        <v>4</v>
      </c>
      <c r="AZ211" s="319">
        <f>IF(ISBLANK(tabItens[[#This Row],[CÓDIGO]]),"",tabItens[[#This Row],[PontoMês]] * (AZ$2+tabItens[[#This Row],[PontoQtM]]))</f>
        <v>4</v>
      </c>
      <c r="BA211" s="318">
        <f>tabItens[[#This Row],[PontoPed]] - tabItens[[#This Row],[Saldo]] + (1/10)</f>
        <v>-16.899999999999999</v>
      </c>
      <c r="BB211" s="318">
        <f xml:space="preserve"> tabItens[[#This Row],[PontoMês]] * BB$2 - tabItens[[#This Row],[QTDE ATUAL]] - (1/10)</f>
        <v>-0.1</v>
      </c>
      <c r="BC211" s="320">
        <f>IF( tabItens[[#This Row],[PontoPed]]&gt;0, IF(tabItens[[#This Row],[PontoPed]]&lt;1, 1, IF( tabItens[[#This Row],[Saldo]]&gt;tabItens[[#This Row],[PontoPed]], 0, (tabItens[[#This Row],[PontoPed]]-tabItens[[#This Row],[Saldo]])/tabItens[[#This Row],[PontoPed]] ) ), 0 )</f>
        <v>0</v>
      </c>
      <c r="BD211" s="321">
        <f>ROUNDDOWN(IF( OR( AND(tabItens[[#This Row],[PontoPed]]&lt;tabItens[[#This Row],[Saldo]],tabItens[[#This Row],[Saldo]]&gt;0), tabItens[[#This Row],[PontoPed]]=0), 99, IF(AND(tabItens[[#This Row],[Saldo]]=0,tabItens[[#This Row],[PontoPed]]&gt;0), 0, (1-tabItens[[#This Row],[PctAb]])*10 ) ),0)</f>
        <v>99</v>
      </c>
      <c r="BE211" s="322">
        <f>MAX(ROUNDDOWN( IF(tabItens[[#This Row],[Abaixo]] &gt; 0,   tabItens[[#This Row],[Abaixo]] + (tabItens[[#This Row],[PontoMês]] * IF( OR( ISBLANK(tabItens[[#This Row],[ATA Nº/ANO]]), tabItens[[#This Row],[ATA Nº/ANO]] = ""),BE$2,BE$1)),0),0),0)</f>
        <v>0</v>
      </c>
      <c r="BF21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323">
        <f>SUMIF(Consumo!$C$3:$C$869,tabItens[[#This Row],[CÓDIGO]],Consumo!$E$3:$E$869)</f>
        <v>0</v>
      </c>
      <c r="BH211" s="324">
        <f>IF(AND(tabItens[[#This Row],[Pend]] &gt; 0,tabItens[[#This Row],[Consumo]] &lt;&gt; 0), tabItens[[#This Row],[Pend]] / tabItens[[#This Row],[Consumo]], 0 )</f>
        <v>0</v>
      </c>
      <c r="BI211" s="323"/>
      <c r="BJ211" s="323"/>
      <c r="BK211" s="325" t="s">
        <v>2064</v>
      </c>
    </row>
    <row r="212" spans="1:63" hidden="1" x14ac:dyDescent="0.3">
      <c r="A212" s="286">
        <v>115841</v>
      </c>
      <c r="B212" s="287" t="s">
        <v>1712</v>
      </c>
      <c r="C212" s="288" t="s">
        <v>31</v>
      </c>
      <c r="D212" s="289">
        <v>719.5</v>
      </c>
      <c r="E212" s="290"/>
      <c r="F212" s="290"/>
      <c r="G212" s="290" t="s">
        <v>883</v>
      </c>
      <c r="H212" s="291">
        <v>14</v>
      </c>
      <c r="I212" s="292">
        <v>103003</v>
      </c>
      <c r="J212" s="293">
        <v>719.5</v>
      </c>
      <c r="K212" s="294"/>
      <c r="L212" s="295">
        <f>IF(tabItens[[#This Row],[Média]] &gt; 0, tabItens[[#This Row],[QTDE ATUAL]] / tabItens[[#This Row],[Média]],999.9)</f>
        <v>999.9</v>
      </c>
      <c r="M212" s="296">
        <v>0</v>
      </c>
      <c r="N212" s="297">
        <f>tabItens[[#This Row],[VALOR UNIT.]] * tabItens[[#This Row],[LC]]</f>
        <v>0</v>
      </c>
      <c r="O212" s="298" t="s">
        <v>2072</v>
      </c>
      <c r="P212" s="299"/>
      <c r="Q212" s="300"/>
      <c r="R212" s="297"/>
      <c r="S212" s="301"/>
      <c r="T212" s="302">
        <f>ROUNDDOWN(IFERROR(tabItens[[#This Row],[ATA DT.VALID.]] - $D$1,0) / 30,0)</f>
        <v>-1504</v>
      </c>
      <c r="U212" s="287" t="s">
        <v>1211</v>
      </c>
      <c r="V212" s="303">
        <v>1</v>
      </c>
      <c r="W212" s="304" t="s">
        <v>2049</v>
      </c>
      <c r="X212" s="305">
        <v>51</v>
      </c>
      <c r="Y212" s="306">
        <v>26</v>
      </c>
      <c r="Z212" s="307"/>
      <c r="AA212" s="308"/>
      <c r="AB212" s="309"/>
      <c r="AC212" s="309"/>
      <c r="AD212" s="308"/>
      <c r="AE212" s="309"/>
      <c r="AF212" s="302"/>
      <c r="AG212" s="310" t="s">
        <v>2050</v>
      </c>
      <c r="AH212" s="311"/>
      <c r="AI212" s="302">
        <v>0</v>
      </c>
      <c r="AJ212" s="311">
        <v>43455</v>
      </c>
      <c r="AK212" s="311">
        <v>40357</v>
      </c>
      <c r="AL212" s="311">
        <v>44377</v>
      </c>
      <c r="AM212" s="301"/>
      <c r="AN212" s="290"/>
      <c r="AO212" s="312" t="str">
        <f>_xlfn.IFNA(IF(VLOOKUP(tabItens[[#This Row],[CÓDIGO]],tabExcluirDoEstoque[#Data],1,FALSE),"sim",""),"")</f>
        <v/>
      </c>
      <c r="AP212" s="313" t="str">
        <f ca="1">IF(OR(ISBLANK(tabItens[[#This Row],[ATA DT.VALID.]]),tabItens[[#This Row],[ATA DT.VALID.]]="",tabItens[[#This Row],[ATA DT.VALID.]]=" "),"",IF(TYPE(tabItens[[#This Row],[ATA DT.VALID.]])=1,ROUNDUP((tabItens[[#This Row],[ATA DT.VALID.]]-TODAY())/7,0),""))</f>
        <v/>
      </c>
      <c r="AQ212" s="314">
        <v>0</v>
      </c>
      <c r="AR212" s="315">
        <f>IF(ISBLANK(tabItens[[#This Row],[CÓDIGO]]),"",IFERROR(VLOOKUP(tabItens[[#This Row],[CÓDIGO]],Consumo!$C$2:$AC$869,26,FALSE),0))</f>
        <v>0</v>
      </c>
      <c r="AS212" s="316">
        <f>SUMIF(Consumo!$C$3:$C$869,tabItens[[#This Row],[CÓDIGO]],Consumo!$N$3:$N$869) + SUMIF(Consumo!$C$3:$C$869,tabItens[[#This Row],[CÓDIGO]],Consumo!$O$3:$O$869) + SUMIF(Consumo!$C$3:$C$869,tabItens[[#This Row],[CÓDIGO]],Consumo!$P$3:$P$869) + SUMIF(Consumo!$C$3:$C$869,tabItens[[#This Row],[CÓDIGO]],Consumo!$Q$3:$Q$869)</f>
        <v>0</v>
      </c>
      <c r="AT212" s="316">
        <f>SUMIF(Consumo!$C$3:$C$869,tabItens[[#This Row],[CÓDIGO]],Consumo!$Z$3:$Z$869)</f>
        <v>0</v>
      </c>
      <c r="AU212" s="317">
        <f>SUMIF(Consumo!$C$3:$C$869,tabItens[[#This Row],[CÓDIGO]],Consumo!$AA$3:$AA$869)</f>
        <v>0</v>
      </c>
      <c r="AV212" s="318">
        <f>SUMIF(Consumo!$C$3:$C$869,tabItens[[#This Row],[CÓDIGO]],Consumo!$Y$3:$Y$869)</f>
        <v>0</v>
      </c>
      <c r="AW212" s="291">
        <f>tabItens[[#This Row],[QTDE ATUAL]] + tabItens[[#This Row],[RC QTDE]] + tabItens[[#This Row],[AF SALDO]] + tabItens[[#This Row],[Recentes]]</f>
        <v>14</v>
      </c>
      <c r="AX212" s="319">
        <v>3</v>
      </c>
      <c r="AY212" s="319">
        <v>4</v>
      </c>
      <c r="AZ212" s="319">
        <f>IF(ISBLANK(tabItens[[#This Row],[CÓDIGO]]),"",tabItens[[#This Row],[PontoMês]] * (AZ$2+tabItens[[#This Row],[PontoQtM]]))</f>
        <v>12</v>
      </c>
      <c r="BA212" s="318">
        <f>tabItens[[#This Row],[PontoPed]] - tabItens[[#This Row],[Saldo]] + (1/10)</f>
        <v>-1.9</v>
      </c>
      <c r="BB212" s="318">
        <f xml:space="preserve"> tabItens[[#This Row],[PontoMês]] * BB$2 - tabItens[[#This Row],[QTDE ATUAL]] - (1/10)</f>
        <v>-11.1</v>
      </c>
      <c r="BC212" s="320">
        <f>IF( tabItens[[#This Row],[PontoPed]]&gt;0, IF(tabItens[[#This Row],[PontoPed]]&lt;1, 1, IF( tabItens[[#This Row],[Saldo]]&gt;tabItens[[#This Row],[PontoPed]], 0, (tabItens[[#This Row],[PontoPed]]-tabItens[[#This Row],[Saldo]])/tabItens[[#This Row],[PontoPed]] ) ), 0 )</f>
        <v>0</v>
      </c>
      <c r="BD212" s="321">
        <f>ROUNDDOWN(IF( OR( AND(tabItens[[#This Row],[PontoPed]]&lt;tabItens[[#This Row],[Saldo]],tabItens[[#This Row],[Saldo]]&gt;0), tabItens[[#This Row],[PontoPed]]=0), 99, IF(AND(tabItens[[#This Row],[Saldo]]=0,tabItens[[#This Row],[PontoPed]]&gt;0), 0, (1-tabItens[[#This Row],[PctAb]])*10 ) ),0)</f>
        <v>99</v>
      </c>
      <c r="BE212" s="322">
        <f>MAX(ROUNDDOWN( IF(tabItens[[#This Row],[Abaixo]] &gt; 0,   tabItens[[#This Row],[Abaixo]] + (tabItens[[#This Row],[PontoMês]] * IF( OR( ISBLANK(tabItens[[#This Row],[ATA Nº/ANO]]), tabItens[[#This Row],[ATA Nº/ANO]] = ""),BE$2,BE$1)),0),0),0)</f>
        <v>0</v>
      </c>
      <c r="BF2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323">
        <f>SUMIF(Consumo!$C$3:$C$869,tabItens[[#This Row],[CÓDIGO]],Consumo!$E$3:$E$869)</f>
        <v>0</v>
      </c>
      <c r="BH212" s="324">
        <f>IF(AND(tabItens[[#This Row],[Pend]] &gt; 0,tabItens[[#This Row],[Consumo]] &lt;&gt; 0), tabItens[[#This Row],[Pend]] / tabItens[[#This Row],[Consumo]], 0 )</f>
        <v>0</v>
      </c>
      <c r="BI212" s="323"/>
      <c r="BJ212" s="323"/>
      <c r="BK212" s="325" t="s">
        <v>2064</v>
      </c>
    </row>
    <row r="213" spans="1:63" hidden="1" x14ac:dyDescent="0.3">
      <c r="A213" s="286">
        <v>133433</v>
      </c>
      <c r="B213" s="287" t="s">
        <v>1844</v>
      </c>
      <c r="C213" s="288" t="s">
        <v>281</v>
      </c>
      <c r="D213" s="289">
        <v>2072.5</v>
      </c>
      <c r="E213" s="290"/>
      <c r="F213" s="290"/>
      <c r="G213" s="290" t="s">
        <v>883</v>
      </c>
      <c r="H213" s="291">
        <v>153</v>
      </c>
      <c r="I213" s="292">
        <v>103003</v>
      </c>
      <c r="J213" s="293">
        <v>1956.61826</v>
      </c>
      <c r="K213" s="294">
        <v>12</v>
      </c>
      <c r="L213" s="295">
        <f>IF(tabItens[[#This Row],[Média]] &gt; 0, tabItens[[#This Row],[QTDE ATUAL]] / tabItens[[#This Row],[Média]],999.9)</f>
        <v>183.6</v>
      </c>
      <c r="M213" s="296">
        <v>0</v>
      </c>
      <c r="N213" s="297">
        <f>tabItens[[#This Row],[VALOR UNIT.]] * tabItens[[#This Row],[LC]]</f>
        <v>0</v>
      </c>
      <c r="O213" s="298" t="s">
        <v>2176</v>
      </c>
      <c r="P213" s="299"/>
      <c r="Q213" s="300"/>
      <c r="R213" s="297"/>
      <c r="S213" s="301"/>
      <c r="T213" s="302">
        <f>ROUNDDOWN(IFERROR(tabItens[[#This Row],[ATA DT.VALID.]] - $D$1,0) / 30,0)</f>
        <v>-1504</v>
      </c>
      <c r="U213" s="287" t="s">
        <v>1323</v>
      </c>
      <c r="V213" s="303">
        <v>1</v>
      </c>
      <c r="W213" s="304" t="s">
        <v>2049</v>
      </c>
      <c r="X213" s="305">
        <v>51</v>
      </c>
      <c r="Y213" s="306">
        <v>30</v>
      </c>
      <c r="Z213" s="307"/>
      <c r="AA213" s="308"/>
      <c r="AB213" s="309"/>
      <c r="AC213" s="309"/>
      <c r="AD213" s="308"/>
      <c r="AE213" s="309"/>
      <c r="AF213" s="302"/>
      <c r="AG213" s="310" t="s">
        <v>2050</v>
      </c>
      <c r="AH213" s="311"/>
      <c r="AI213" s="302">
        <v>4</v>
      </c>
      <c r="AJ213" s="311">
        <v>44579</v>
      </c>
      <c r="AK213" s="311">
        <v>42996</v>
      </c>
      <c r="AL213" s="311">
        <v>44544</v>
      </c>
      <c r="AM213" s="301"/>
      <c r="AN213" s="290"/>
      <c r="AO213" s="312" t="str">
        <f>_xlfn.IFNA(IF(VLOOKUP(tabItens[[#This Row],[CÓDIGO]],tabExcluirDoEstoque[#Data],1,FALSE),"sim",""),"")</f>
        <v/>
      </c>
      <c r="AP213" s="313" t="str">
        <f ca="1">IF(OR(ISBLANK(tabItens[[#This Row],[ATA DT.VALID.]]),tabItens[[#This Row],[ATA DT.VALID.]]="",tabItens[[#This Row],[ATA DT.VALID.]]=" "),"",IF(TYPE(tabItens[[#This Row],[ATA DT.VALID.]])=1,ROUNDUP((tabItens[[#This Row],[ATA DT.VALID.]]-TODAY())/7,0),""))</f>
        <v/>
      </c>
      <c r="AQ213" s="314">
        <v>0</v>
      </c>
      <c r="AR213" s="315" t="str">
        <f>IF(ISBLANK(tabItens[[#This Row],[CÓDIGO]]),"",IFERROR(VLOOKUP(tabItens[[#This Row],[CÓDIGO]],Consumo!$C$2:$AC$869,26,FALSE),0))</f>
        <v>07.2023</v>
      </c>
      <c r="AS213" s="316">
        <f>SUMIF(Consumo!$C$3:$C$869,tabItens[[#This Row],[CÓDIGO]],Consumo!$N$3:$N$869) + SUMIF(Consumo!$C$3:$C$869,tabItens[[#This Row],[CÓDIGO]],Consumo!$O$3:$O$869) + SUMIF(Consumo!$C$3:$C$869,tabItens[[#This Row],[CÓDIGO]],Consumo!$P$3:$P$869) + SUMIF(Consumo!$C$3:$C$869,tabItens[[#This Row],[CÓDIGO]],Consumo!$Q$3:$Q$869)</f>
        <v>4</v>
      </c>
      <c r="AT213" s="316">
        <f>SUMIF(Consumo!$C$3:$C$869,tabItens[[#This Row],[CÓDIGO]],Consumo!$Z$3:$Z$869)</f>
        <v>12</v>
      </c>
      <c r="AU213" s="317">
        <f>SUMIF(Consumo!$C$3:$C$869,tabItens[[#This Row],[CÓDIGO]],Consumo!$AA$3:$AA$869)</f>
        <v>6</v>
      </c>
      <c r="AV213" s="318">
        <f>SUMIF(Consumo!$C$3:$C$869,tabItens[[#This Row],[CÓDIGO]],Consumo!$Y$3:$Y$869)</f>
        <v>0.83333333333333337</v>
      </c>
      <c r="AW213" s="291">
        <f>tabItens[[#This Row],[QTDE ATUAL]] + tabItens[[#This Row],[RC QTDE]] + tabItens[[#This Row],[AF SALDO]] + tabItens[[#This Row],[Recentes]]</f>
        <v>153</v>
      </c>
      <c r="AX213" s="319">
        <v>5</v>
      </c>
      <c r="AY213" s="319">
        <v>4</v>
      </c>
      <c r="AZ213" s="319">
        <f>IF(ISBLANK(tabItens[[#This Row],[CÓDIGO]]),"",tabItens[[#This Row],[PontoMês]] * (AZ$2+tabItens[[#This Row],[PontoQtM]]))</f>
        <v>20</v>
      </c>
      <c r="BA213" s="318">
        <f>tabItens[[#This Row],[PontoPed]] - tabItens[[#This Row],[Saldo]] + (1/10)</f>
        <v>-132.9</v>
      </c>
      <c r="BB213" s="318">
        <f xml:space="preserve"> tabItens[[#This Row],[PontoMês]] * BB$2 - tabItens[[#This Row],[QTDE ATUAL]] - (1/10)</f>
        <v>-148.1</v>
      </c>
      <c r="BC213" s="320">
        <f>IF( tabItens[[#This Row],[PontoPed]]&gt;0, IF(tabItens[[#This Row],[PontoPed]]&lt;1, 1, IF( tabItens[[#This Row],[Saldo]]&gt;tabItens[[#This Row],[PontoPed]], 0, (tabItens[[#This Row],[PontoPed]]-tabItens[[#This Row],[Saldo]])/tabItens[[#This Row],[PontoPed]] ) ), 0 )</f>
        <v>0</v>
      </c>
      <c r="BD213" s="321">
        <f>ROUNDDOWN(IF( OR( AND(tabItens[[#This Row],[PontoPed]]&lt;tabItens[[#This Row],[Saldo]],tabItens[[#This Row],[Saldo]]&gt;0), tabItens[[#This Row],[PontoPed]]=0), 99, IF(AND(tabItens[[#This Row],[Saldo]]=0,tabItens[[#This Row],[PontoPed]]&gt;0), 0, (1-tabItens[[#This Row],[PctAb]])*10 ) ),0)</f>
        <v>99</v>
      </c>
      <c r="BE213" s="322">
        <f>MAX(ROUNDDOWN( IF(tabItens[[#This Row],[Abaixo]] &gt; 0,   tabItens[[#This Row],[Abaixo]] + (tabItens[[#This Row],[PontoMês]] * IF( OR( ISBLANK(tabItens[[#This Row],[ATA Nº/ANO]]), tabItens[[#This Row],[ATA Nº/ANO]] = ""),BE$2,BE$1)),0),0),0)</f>
        <v>0</v>
      </c>
      <c r="BF21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323">
        <f>SUMIF(Consumo!$C$3:$C$869,tabItens[[#This Row],[CÓDIGO]],Consumo!$E$3:$E$869)</f>
        <v>0</v>
      </c>
      <c r="BH213" s="324">
        <f>IF(AND(tabItens[[#This Row],[Pend]] &gt; 0,tabItens[[#This Row],[Consumo]] &lt;&gt; 0), tabItens[[#This Row],[Pend]] / tabItens[[#This Row],[Consumo]], 0 )</f>
        <v>0</v>
      </c>
      <c r="BI213" s="323"/>
      <c r="BJ213" s="323"/>
      <c r="BK213" s="325" t="s">
        <v>2064</v>
      </c>
    </row>
    <row r="214" spans="1:63" hidden="1" x14ac:dyDescent="0.3">
      <c r="A214" s="286">
        <v>121126</v>
      </c>
      <c r="B214" s="287" t="s">
        <v>1741</v>
      </c>
      <c r="C214" s="288" t="s">
        <v>31</v>
      </c>
      <c r="D214" s="289">
        <v>0.12</v>
      </c>
      <c r="E214" s="290"/>
      <c r="F214" s="290"/>
      <c r="G214" s="290" t="s">
        <v>883</v>
      </c>
      <c r="H214" s="291">
        <v>0</v>
      </c>
      <c r="I214" s="292">
        <v>103003</v>
      </c>
      <c r="J214" s="293">
        <v>0.12</v>
      </c>
      <c r="K214" s="294">
        <v>63900</v>
      </c>
      <c r="L214" s="295">
        <f>IF(tabItens[[#This Row],[Média]] &gt; 0, tabItens[[#This Row],[QTDE ATUAL]] / tabItens[[#This Row],[Média]],999.9)</f>
        <v>0</v>
      </c>
      <c r="M214" s="296">
        <v>0</v>
      </c>
      <c r="N214" s="297">
        <f>tabItens[[#This Row],[VALOR UNIT.]] * tabItens[[#This Row],[LC]]</f>
        <v>0</v>
      </c>
      <c r="O214" s="298" t="s">
        <v>2108</v>
      </c>
      <c r="P214" s="299"/>
      <c r="Q214" s="300"/>
      <c r="R214" s="297"/>
      <c r="S214" s="301"/>
      <c r="T214" s="302">
        <f>ROUNDDOWN(IFERROR(tabItens[[#This Row],[ATA DT.VALID.]] - $D$1,0) / 30,0)</f>
        <v>-1504</v>
      </c>
      <c r="U214" s="287" t="s">
        <v>1218</v>
      </c>
      <c r="V214" s="303">
        <v>1</v>
      </c>
      <c r="W214" s="304" t="s">
        <v>2058</v>
      </c>
      <c r="X214" s="305">
        <v>62</v>
      </c>
      <c r="Y214" s="306">
        <v>10</v>
      </c>
      <c r="Z214" s="307">
        <v>5544</v>
      </c>
      <c r="AA214" s="308">
        <v>2023</v>
      </c>
      <c r="AB214" s="309">
        <v>200000</v>
      </c>
      <c r="AC214" s="309"/>
      <c r="AD214" s="308"/>
      <c r="AE214" s="309"/>
      <c r="AF214" s="302"/>
      <c r="AG214" s="310" t="s">
        <v>2050</v>
      </c>
      <c r="AH214" s="311"/>
      <c r="AI214" s="302">
        <v>21302</v>
      </c>
      <c r="AJ214" s="311">
        <v>44736</v>
      </c>
      <c r="AK214" s="311">
        <v>40814</v>
      </c>
      <c r="AL214" s="311">
        <v>44711</v>
      </c>
      <c r="AM214" s="301"/>
      <c r="AN214" s="290"/>
      <c r="AO214" s="312" t="str">
        <f>_xlfn.IFNA(IF(VLOOKUP(tabItens[[#This Row],[CÓDIGO]],tabExcluirDoEstoque[#Data],1,FALSE),"sim",""),"")</f>
        <v/>
      </c>
      <c r="AP214" s="313" t="str">
        <f ca="1">IF(OR(ISBLANK(tabItens[[#This Row],[ATA DT.VALID.]]),tabItens[[#This Row],[ATA DT.VALID.]]="",tabItens[[#This Row],[ATA DT.VALID.]]=" "),"",IF(TYPE(tabItens[[#This Row],[ATA DT.VALID.]])=1,ROUNDUP((tabItens[[#This Row],[ATA DT.VALID.]]-TODAY())/7,0),""))</f>
        <v/>
      </c>
      <c r="AQ214" s="314">
        <v>0</v>
      </c>
      <c r="AR214" s="315" t="str">
        <f>IF(ISBLANK(tabItens[[#This Row],[CÓDIGO]]),"",IFERROR(VLOOKUP(tabItens[[#This Row],[CÓDIGO]],Consumo!$C$2:$AC$869,26,FALSE),0))</f>
        <v>02.2023</v>
      </c>
      <c r="AS214" s="316">
        <f>SUMIF(Consumo!$C$3:$C$869,tabItens[[#This Row],[CÓDIGO]],Consumo!$N$3:$N$869) + SUMIF(Consumo!$C$3:$C$869,tabItens[[#This Row],[CÓDIGO]],Consumo!$O$3:$O$869) + SUMIF(Consumo!$C$3:$C$869,tabItens[[#This Row],[CÓDIGO]],Consumo!$P$3:$P$869) + SUMIF(Consumo!$C$3:$C$869,tabItens[[#This Row],[CÓDIGO]],Consumo!$Q$3:$Q$869)</f>
        <v>0</v>
      </c>
      <c r="AT214" s="316">
        <f>SUMIF(Consumo!$C$3:$C$869,tabItens[[#This Row],[CÓDIGO]],Consumo!$Z$3:$Z$869)</f>
        <v>78684</v>
      </c>
      <c r="AU214" s="317">
        <f>SUMIF(Consumo!$C$3:$C$869,tabItens[[#This Row],[CÓDIGO]],Consumo!$AA$3:$AA$869)</f>
        <v>16000</v>
      </c>
      <c r="AV214" s="318">
        <f>SUMIF(Consumo!$C$3:$C$869,tabItens[[#This Row],[CÓDIGO]],Consumo!$Y$3:$Y$869)</f>
        <v>6557</v>
      </c>
      <c r="AW214" s="291">
        <f>tabItens[[#This Row],[QTDE ATUAL]] + tabItens[[#This Row],[RC QTDE]] + tabItens[[#This Row],[AF SALDO]] + tabItens[[#This Row],[Recentes]]</f>
        <v>200000</v>
      </c>
      <c r="AX214" s="319">
        <v>2875</v>
      </c>
      <c r="AY214" s="319">
        <v>4</v>
      </c>
      <c r="AZ214" s="319">
        <f>IF(ISBLANK(tabItens[[#This Row],[CÓDIGO]]),"",tabItens[[#This Row],[PontoMês]] * (AZ$2+tabItens[[#This Row],[PontoQtM]]))</f>
        <v>11500</v>
      </c>
      <c r="BA214" s="318">
        <f>tabItens[[#This Row],[PontoPed]] - tabItens[[#This Row],[Saldo]] + (1/10)</f>
        <v>-188499.9</v>
      </c>
      <c r="BB214" s="318">
        <f xml:space="preserve"> tabItens[[#This Row],[PontoMês]] * BB$2 - tabItens[[#This Row],[QTDE ATUAL]] - (1/10)</f>
        <v>2874.9</v>
      </c>
      <c r="BC214" s="320">
        <f>IF( tabItens[[#This Row],[PontoPed]]&gt;0, IF(tabItens[[#This Row],[PontoPed]]&lt;1, 1, IF( tabItens[[#This Row],[Saldo]]&gt;tabItens[[#This Row],[PontoPed]], 0, (tabItens[[#This Row],[PontoPed]]-tabItens[[#This Row],[Saldo]])/tabItens[[#This Row],[PontoPed]] ) ), 0 )</f>
        <v>0</v>
      </c>
      <c r="BD214" s="321">
        <f>ROUNDDOWN(IF( OR( AND(tabItens[[#This Row],[PontoPed]]&lt;tabItens[[#This Row],[Saldo]],tabItens[[#This Row],[Saldo]]&gt;0), tabItens[[#This Row],[PontoPed]]=0), 99, IF(AND(tabItens[[#This Row],[Saldo]]=0,tabItens[[#This Row],[PontoPed]]&gt;0), 0, (1-tabItens[[#This Row],[PctAb]])*10 ) ),0)</f>
        <v>99</v>
      </c>
      <c r="BE214" s="322">
        <f>MAX(ROUNDDOWN( IF(tabItens[[#This Row],[Abaixo]] &gt; 0,   tabItens[[#This Row],[Abaixo]] + (tabItens[[#This Row],[PontoMês]] * IF( OR( ISBLANK(tabItens[[#This Row],[ATA Nº/ANO]]), tabItens[[#This Row],[ATA Nº/ANO]] = ""),BE$2,BE$1)),0),0),0)</f>
        <v>0</v>
      </c>
      <c r="BF2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323">
        <f>SUMIF(Consumo!$C$3:$C$869,tabItens[[#This Row],[CÓDIGO]],Consumo!$E$3:$E$869)</f>
        <v>14776</v>
      </c>
      <c r="BH214" s="324">
        <f>IF(AND(tabItens[[#This Row],[Pend]] &gt; 0,tabItens[[#This Row],[Consumo]] &lt;&gt; 0), tabItens[[#This Row],[Pend]] / tabItens[[#This Row],[Consumo]], 0 )</f>
        <v>0.18778913120837781</v>
      </c>
      <c r="BI214" s="323"/>
      <c r="BJ214" s="323"/>
      <c r="BK214" s="325" t="s">
        <v>2064</v>
      </c>
    </row>
    <row r="215" spans="1:63" hidden="1" x14ac:dyDescent="0.3">
      <c r="A215" s="286">
        <v>19842</v>
      </c>
      <c r="B215" s="287" t="s">
        <v>1148</v>
      </c>
      <c r="C215" s="288" t="s">
        <v>256</v>
      </c>
      <c r="D215" s="289">
        <v>0.44</v>
      </c>
      <c r="E215" s="290"/>
      <c r="F215" s="290"/>
      <c r="G215" s="290" t="s">
        <v>883</v>
      </c>
      <c r="H215" s="291">
        <v>0</v>
      </c>
      <c r="I215" s="292">
        <v>103003</v>
      </c>
      <c r="J215" s="293">
        <v>0.44791999999999998</v>
      </c>
      <c r="K215" s="294">
        <v>8755</v>
      </c>
      <c r="L215" s="295">
        <f>IF(tabItens[[#This Row],[Média]] &gt; 0, tabItens[[#This Row],[QTDE ATUAL]] / tabItens[[#This Row],[Média]],999.9)</f>
        <v>0</v>
      </c>
      <c r="M215" s="296"/>
      <c r="N215" s="297">
        <f>tabItens[[#This Row],[VALOR UNIT.]] * tabItens[[#This Row],[LC]]</f>
        <v>0</v>
      </c>
      <c r="O215" s="298" t="s">
        <v>2108</v>
      </c>
      <c r="P215" s="299"/>
      <c r="Q215" s="300"/>
      <c r="R215" s="297"/>
      <c r="S215" s="301"/>
      <c r="T215" s="302">
        <f>ROUNDDOWN(IFERROR(tabItens[[#This Row],[ATA DT.VALID.]] - $D$1,0) / 30,0)</f>
        <v>-1504</v>
      </c>
      <c r="U215" s="287" t="s">
        <v>1149</v>
      </c>
      <c r="V215" s="303">
        <v>1</v>
      </c>
      <c r="W215" s="304" t="s">
        <v>2058</v>
      </c>
      <c r="X215" s="305">
        <v>62</v>
      </c>
      <c r="Y215" s="306">
        <v>12</v>
      </c>
      <c r="Z215" s="307">
        <v>8985</v>
      </c>
      <c r="AA215" s="308">
        <v>2023</v>
      </c>
      <c r="AB215" s="309">
        <v>2800</v>
      </c>
      <c r="AC215" s="309"/>
      <c r="AD215" s="308"/>
      <c r="AE215" s="309"/>
      <c r="AF215" s="302"/>
      <c r="AG215" s="310" t="s">
        <v>2050</v>
      </c>
      <c r="AH215" s="311"/>
      <c r="AI215" s="302">
        <v>3520</v>
      </c>
      <c r="AJ215" s="311">
        <v>44606</v>
      </c>
      <c r="AK215" s="311" t="s">
        <v>883</v>
      </c>
      <c r="AL215" s="311">
        <v>44582</v>
      </c>
      <c r="AM215" s="301"/>
      <c r="AN215" s="290"/>
      <c r="AO215" s="312" t="str">
        <f>_xlfn.IFNA(IF(VLOOKUP(tabItens[[#This Row],[CÓDIGO]],tabExcluirDoEstoque[#Data],1,FALSE),"sim",""),"")</f>
        <v/>
      </c>
      <c r="AP215" s="313" t="str">
        <f ca="1">IF(OR(ISBLANK(tabItens[[#This Row],[ATA DT.VALID.]]),tabItens[[#This Row],[ATA DT.VALID.]]="",tabItens[[#This Row],[ATA DT.VALID.]]=" "),"",IF(TYPE(tabItens[[#This Row],[ATA DT.VALID.]])=1,ROUNDUP((tabItens[[#This Row],[ATA DT.VALID.]]-TODAY())/7,0),""))</f>
        <v/>
      </c>
      <c r="AQ215" s="314">
        <v>0</v>
      </c>
      <c r="AR215" s="315" t="str">
        <f>IF(ISBLANK(tabItens[[#This Row],[CÓDIGO]]),"",IFERROR(VLOOKUP(tabItens[[#This Row],[CÓDIGO]],Consumo!$C$2:$AC$869,26,FALSE),0))</f>
        <v>07.2023</v>
      </c>
      <c r="AS215" s="316">
        <f>SUMIF(Consumo!$C$3:$C$869,tabItens[[#This Row],[CÓDIGO]],Consumo!$N$3:$N$869) + SUMIF(Consumo!$C$3:$C$869,tabItens[[#This Row],[CÓDIGO]],Consumo!$O$3:$O$869) + SUMIF(Consumo!$C$3:$C$869,tabItens[[#This Row],[CÓDIGO]],Consumo!$P$3:$P$869) + SUMIF(Consumo!$C$3:$C$869,tabItens[[#This Row],[CÓDIGO]],Consumo!$Q$3:$Q$869)</f>
        <v>4956</v>
      </c>
      <c r="AT215" s="316">
        <f>SUMIF(Consumo!$C$3:$C$869,tabItens[[#This Row],[CÓDIGO]],Consumo!$Z$3:$Z$869)</f>
        <v>11018</v>
      </c>
      <c r="AU215" s="317">
        <f>SUMIF(Consumo!$C$3:$C$869,tabItens[[#This Row],[CÓDIGO]],Consumo!$AA$3:$AA$869)</f>
        <v>2195</v>
      </c>
      <c r="AV215" s="318">
        <f>SUMIF(Consumo!$C$3:$C$869,tabItens[[#This Row],[CÓDIGO]],Consumo!$Y$3:$Y$869)</f>
        <v>918.16666666666663</v>
      </c>
      <c r="AW215" s="291">
        <f>tabItens[[#This Row],[QTDE ATUAL]] + tabItens[[#This Row],[RC QTDE]] + tabItens[[#This Row],[AF SALDO]] + tabItens[[#This Row],[Recentes]]</f>
        <v>2800</v>
      </c>
      <c r="AX215" s="319">
        <v>532</v>
      </c>
      <c r="AY215" s="319">
        <v>4</v>
      </c>
      <c r="AZ215" s="319">
        <f>IF(ISBLANK(tabItens[[#This Row],[CÓDIGO]]),"",tabItens[[#This Row],[PontoMês]] * (AZ$2+tabItens[[#This Row],[PontoQtM]]))</f>
        <v>2128</v>
      </c>
      <c r="BA215" s="318">
        <f>tabItens[[#This Row],[PontoPed]] - tabItens[[#This Row],[Saldo]] + (1/10)</f>
        <v>-671.9</v>
      </c>
      <c r="BB215" s="318">
        <f xml:space="preserve"> tabItens[[#This Row],[PontoMês]] * BB$2 - tabItens[[#This Row],[QTDE ATUAL]] - (1/10)</f>
        <v>531.9</v>
      </c>
      <c r="BC215" s="320">
        <f>IF( tabItens[[#This Row],[PontoPed]]&gt;0, IF(tabItens[[#This Row],[PontoPed]]&lt;1, 1, IF( tabItens[[#This Row],[Saldo]]&gt;tabItens[[#This Row],[PontoPed]], 0, (tabItens[[#This Row],[PontoPed]]-tabItens[[#This Row],[Saldo]])/tabItens[[#This Row],[PontoPed]] ) ), 0 )</f>
        <v>0</v>
      </c>
      <c r="BD215" s="321">
        <f>ROUNDDOWN(IF( OR( AND(tabItens[[#This Row],[PontoPed]]&lt;tabItens[[#This Row],[Saldo]],tabItens[[#This Row],[Saldo]]&gt;0), tabItens[[#This Row],[PontoPed]]=0), 99, IF(AND(tabItens[[#This Row],[Saldo]]=0,tabItens[[#This Row],[PontoPed]]&gt;0), 0, (1-tabItens[[#This Row],[PctAb]])*10 ) ),0)</f>
        <v>99</v>
      </c>
      <c r="BE215" s="322">
        <f>MAX(ROUNDDOWN( IF(tabItens[[#This Row],[Abaixo]] &gt; 0,   tabItens[[#This Row],[Abaixo]] + (tabItens[[#This Row],[PontoMês]] * IF( OR( ISBLANK(tabItens[[#This Row],[ATA Nº/ANO]]), tabItens[[#This Row],[ATA Nº/ANO]] = ""),BE$2,BE$1)),0),0),0)</f>
        <v>0</v>
      </c>
      <c r="BF2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323">
        <f>SUMIF(Consumo!$C$3:$C$869,tabItens[[#This Row],[CÓDIGO]],Consumo!$E$3:$E$869)</f>
        <v>460</v>
      </c>
      <c r="BH215" s="324">
        <f>IF(AND(tabItens[[#This Row],[Pend]] &gt; 0,tabItens[[#This Row],[Consumo]] &lt;&gt; 0), tabItens[[#This Row],[Pend]] / tabItens[[#This Row],[Consumo]], 0 )</f>
        <v>4.1749863859139591E-2</v>
      </c>
      <c r="BI215" s="323"/>
      <c r="BJ215" s="323"/>
      <c r="BK215" s="325" t="s">
        <v>2064</v>
      </c>
    </row>
    <row r="216" spans="1:63" hidden="1" x14ac:dyDescent="0.3">
      <c r="A216" s="286">
        <v>77823</v>
      </c>
      <c r="B216" s="287" t="s">
        <v>1429</v>
      </c>
      <c r="C216" s="288" t="s">
        <v>256</v>
      </c>
      <c r="D216" s="289">
        <v>21.71</v>
      </c>
      <c r="E216" s="290"/>
      <c r="F216" s="290"/>
      <c r="G216" s="290" t="s">
        <v>883</v>
      </c>
      <c r="H216" s="291">
        <v>37</v>
      </c>
      <c r="I216" s="292">
        <v>103003</v>
      </c>
      <c r="J216" s="293">
        <v>21.71</v>
      </c>
      <c r="K216" s="294">
        <v>23</v>
      </c>
      <c r="L216" s="295">
        <f>IF(tabItens[[#This Row],[Média]] &gt; 0, tabItens[[#This Row],[QTDE ATUAL]] / tabItens[[#This Row],[Média]],999.9)</f>
        <v>23.368421052631579</v>
      </c>
      <c r="M216" s="296">
        <v>0</v>
      </c>
      <c r="N216" s="297">
        <f>tabItens[[#This Row],[VALOR UNIT.]] * tabItens[[#This Row],[LC]]</f>
        <v>0</v>
      </c>
      <c r="O216" s="298" t="s">
        <v>2108</v>
      </c>
      <c r="P216" s="299"/>
      <c r="Q216" s="300"/>
      <c r="R216" s="297"/>
      <c r="S216" s="301"/>
      <c r="T216" s="302">
        <f>ROUNDDOWN(IFERROR(tabItens[[#This Row],[ATA DT.VALID.]] - $D$1,0) / 30,0)</f>
        <v>-1504</v>
      </c>
      <c r="U216" s="287" t="s">
        <v>1430</v>
      </c>
      <c r="V216" s="303">
        <v>1</v>
      </c>
      <c r="W216" s="304" t="s">
        <v>2051</v>
      </c>
      <c r="X216" s="305">
        <v>72</v>
      </c>
      <c r="Y216" s="306">
        <v>5</v>
      </c>
      <c r="Z216" s="307"/>
      <c r="AA216" s="308"/>
      <c r="AB216" s="309"/>
      <c r="AC216" s="309"/>
      <c r="AD216" s="308"/>
      <c r="AE216" s="309"/>
      <c r="AF216" s="302"/>
      <c r="AG216" s="310" t="s">
        <v>2050</v>
      </c>
      <c r="AH216" s="311"/>
      <c r="AI216" s="302">
        <v>8</v>
      </c>
      <c r="AJ216" s="311">
        <v>43279</v>
      </c>
      <c r="AK216" s="311">
        <v>38065</v>
      </c>
      <c r="AL216" s="311">
        <v>44711</v>
      </c>
      <c r="AM216" s="301"/>
      <c r="AN216" s="290"/>
      <c r="AO216" s="312" t="str">
        <f>_xlfn.IFNA(IF(VLOOKUP(tabItens[[#This Row],[CÓDIGO]],tabExcluirDoEstoque[#Data],1,FALSE),"sim",""),"")</f>
        <v/>
      </c>
      <c r="AP216" s="313" t="str">
        <f ca="1">IF(OR(ISBLANK(tabItens[[#This Row],[ATA DT.VALID.]]),tabItens[[#This Row],[ATA DT.VALID.]]="",tabItens[[#This Row],[ATA DT.VALID.]]=" "),"",IF(TYPE(tabItens[[#This Row],[ATA DT.VALID.]])=1,ROUNDUP((tabItens[[#This Row],[ATA DT.VALID.]]-TODAY())/7,0),""))</f>
        <v/>
      </c>
      <c r="AQ216" s="314">
        <v>0</v>
      </c>
      <c r="AR216" s="315" t="str">
        <f>IF(ISBLANK(tabItens[[#This Row],[CÓDIGO]]),"",IFERROR(VLOOKUP(tabItens[[#This Row],[CÓDIGO]],Consumo!$C$2:$AC$869,26,FALSE),0))</f>
        <v>03.2023</v>
      </c>
      <c r="AS216" s="316">
        <f>SUMIF(Consumo!$C$3:$C$869,tabItens[[#This Row],[CÓDIGO]],Consumo!$N$3:$N$869) + SUMIF(Consumo!$C$3:$C$869,tabItens[[#This Row],[CÓDIGO]],Consumo!$O$3:$O$869) + SUMIF(Consumo!$C$3:$C$869,tabItens[[#This Row],[CÓDIGO]],Consumo!$P$3:$P$869) + SUMIF(Consumo!$C$3:$C$869,tabItens[[#This Row],[CÓDIGO]],Consumo!$Q$3:$Q$869)</f>
        <v>0</v>
      </c>
      <c r="AT216" s="316">
        <f>SUMIF(Consumo!$C$3:$C$869,tabItens[[#This Row],[CÓDIGO]],Consumo!$Z$3:$Z$869)</f>
        <v>23</v>
      </c>
      <c r="AU216" s="317">
        <f>SUMIF(Consumo!$C$3:$C$869,tabItens[[#This Row],[CÓDIGO]],Consumo!$AA$3:$AA$869)</f>
        <v>13</v>
      </c>
      <c r="AV216" s="318">
        <f>SUMIF(Consumo!$C$3:$C$869,tabItens[[#This Row],[CÓDIGO]],Consumo!$Y$3:$Y$869)</f>
        <v>1.5833333333333333</v>
      </c>
      <c r="AW216" s="291">
        <f>tabItens[[#This Row],[QTDE ATUAL]] + tabItens[[#This Row],[RC QTDE]] + tabItens[[#This Row],[AF SALDO]] + tabItens[[#This Row],[Recentes]]</f>
        <v>37</v>
      </c>
      <c r="AX216" s="319">
        <v>3</v>
      </c>
      <c r="AY216" s="319">
        <v>4</v>
      </c>
      <c r="AZ216" s="319">
        <f>IF(ISBLANK(tabItens[[#This Row],[CÓDIGO]]),"",tabItens[[#This Row],[PontoMês]] * (AZ$2+tabItens[[#This Row],[PontoQtM]]))</f>
        <v>12</v>
      </c>
      <c r="BA216" s="318">
        <f>tabItens[[#This Row],[PontoPed]] - tabItens[[#This Row],[Saldo]] + (1/10)</f>
        <v>-24.9</v>
      </c>
      <c r="BB216" s="318">
        <f xml:space="preserve"> tabItens[[#This Row],[PontoMês]] * BB$2 - tabItens[[#This Row],[QTDE ATUAL]] - (1/10)</f>
        <v>-34.1</v>
      </c>
      <c r="BC216" s="320">
        <f>IF( tabItens[[#This Row],[PontoPed]]&gt;0, IF(tabItens[[#This Row],[PontoPed]]&lt;1, 1, IF( tabItens[[#This Row],[Saldo]]&gt;tabItens[[#This Row],[PontoPed]], 0, (tabItens[[#This Row],[PontoPed]]-tabItens[[#This Row],[Saldo]])/tabItens[[#This Row],[PontoPed]] ) ), 0 )</f>
        <v>0</v>
      </c>
      <c r="BD216" s="321">
        <f>ROUNDDOWN(IF( OR( AND(tabItens[[#This Row],[PontoPed]]&lt;tabItens[[#This Row],[Saldo]],tabItens[[#This Row],[Saldo]]&gt;0), tabItens[[#This Row],[PontoPed]]=0), 99, IF(AND(tabItens[[#This Row],[Saldo]]=0,tabItens[[#This Row],[PontoPed]]&gt;0), 0, (1-tabItens[[#This Row],[PctAb]])*10 ) ),0)</f>
        <v>99</v>
      </c>
      <c r="BE216" s="322">
        <f>MAX(ROUNDDOWN( IF(tabItens[[#This Row],[Abaixo]] &gt; 0,   tabItens[[#This Row],[Abaixo]] + (tabItens[[#This Row],[PontoMês]] * IF( OR( ISBLANK(tabItens[[#This Row],[ATA Nº/ANO]]), tabItens[[#This Row],[ATA Nº/ANO]] = ""),BE$2,BE$1)),0),0),0)</f>
        <v>0</v>
      </c>
      <c r="BF2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323">
        <f>SUMIF(Consumo!$C$3:$C$869,tabItens[[#This Row],[CÓDIGO]],Consumo!$E$3:$E$869)</f>
        <v>0</v>
      </c>
      <c r="BH216" s="324">
        <f>IF(AND(tabItens[[#This Row],[Pend]] &gt; 0,tabItens[[#This Row],[Consumo]] &lt;&gt; 0), tabItens[[#This Row],[Pend]] / tabItens[[#This Row],[Consumo]], 0 )</f>
        <v>0</v>
      </c>
      <c r="BI216" s="323"/>
      <c r="BJ216" s="323"/>
      <c r="BK216" s="325" t="s">
        <v>2064</v>
      </c>
    </row>
    <row r="217" spans="1:63" x14ac:dyDescent="0.3">
      <c r="A217" s="396">
        <v>122304</v>
      </c>
      <c r="B217" s="397" t="s">
        <v>1742</v>
      </c>
      <c r="C217" s="398" t="s">
        <v>31</v>
      </c>
      <c r="D217" s="399">
        <v>1.99</v>
      </c>
      <c r="E217" s="290"/>
      <c r="F217" s="400"/>
      <c r="G217" s="400" t="s">
        <v>883</v>
      </c>
      <c r="H217" s="401">
        <v>0</v>
      </c>
      <c r="I217" s="292">
        <v>103003</v>
      </c>
      <c r="J217" s="293">
        <v>1.99</v>
      </c>
      <c r="K217" s="402">
        <v>2417</v>
      </c>
      <c r="L217" s="403">
        <f>IF(tabItens[[#This Row],[Média]] &gt; 0, tabItens[[#This Row],[QTDE ATUAL]] / tabItens[[#This Row],[Média]],999.9)</f>
        <v>0</v>
      </c>
      <c r="M217" s="404">
        <v>0</v>
      </c>
      <c r="N217" s="405">
        <f>tabItens[[#This Row],[VALOR UNIT.]] * tabItens[[#This Row],[LC]]</f>
        <v>0</v>
      </c>
      <c r="O217" s="406" t="s">
        <v>2166</v>
      </c>
      <c r="P217" s="407"/>
      <c r="Q217" s="408"/>
      <c r="R217" s="297"/>
      <c r="S217" s="409"/>
      <c r="T217" s="410">
        <f>ROUNDDOWN(IFERROR(tabItens[[#This Row],[ATA DT.VALID.]] - $D$1,0) / 30,0)</f>
        <v>-1504</v>
      </c>
      <c r="U217" s="287" t="s">
        <v>1275</v>
      </c>
      <c r="V217" s="303">
        <v>1</v>
      </c>
      <c r="W217" s="411" t="s">
        <v>2056</v>
      </c>
      <c r="X217" s="412">
        <v>83</v>
      </c>
      <c r="Y217" s="413">
        <v>4</v>
      </c>
      <c r="Z217" s="414">
        <v>2542</v>
      </c>
      <c r="AA217" s="415">
        <v>2023</v>
      </c>
      <c r="AB217" s="416">
        <v>4000</v>
      </c>
      <c r="AC217" s="416"/>
      <c r="AD217" s="415"/>
      <c r="AE217" s="416"/>
      <c r="AF217" s="302"/>
      <c r="AG217" s="417" t="s">
        <v>2050</v>
      </c>
      <c r="AH217" s="418"/>
      <c r="AI217" s="302">
        <v>936</v>
      </c>
      <c r="AJ217" s="418">
        <v>44970</v>
      </c>
      <c r="AK217" s="311">
        <v>40946</v>
      </c>
      <c r="AL217" s="311">
        <v>45082</v>
      </c>
      <c r="AM217" s="301"/>
      <c r="AN217" s="290"/>
      <c r="AO217" s="312" t="str">
        <f>_xlfn.IFNA(IF(VLOOKUP(tabItens[[#This Row],[CÓDIGO]],tabExcluirDoEstoque[#Data],1,FALSE),"sim",""),"")</f>
        <v/>
      </c>
      <c r="AP217" s="419" t="str">
        <f ca="1">IF(OR(ISBLANK(tabItens[[#This Row],[ATA DT.VALID.]]),tabItens[[#This Row],[ATA DT.VALID.]]="",tabItens[[#This Row],[ATA DT.VALID.]]=" "),"",IF(TYPE(tabItens[[#This Row],[ATA DT.VALID.]])=1,ROUNDUP((tabItens[[#This Row],[ATA DT.VALID.]]-TODAY())/7,0),""))</f>
        <v/>
      </c>
      <c r="AQ217" s="314">
        <v>0</v>
      </c>
      <c r="AR217" s="315" t="str">
        <f>IF(ISBLANK(tabItens[[#This Row],[CÓDIGO]]),"",IFERROR(VLOOKUP(tabItens[[#This Row],[CÓDIGO]],Consumo!$C$2:$AC$869,26,FALSE),0))</f>
        <v>07.2023</v>
      </c>
      <c r="AS217" s="316">
        <f>SUMIF(Consumo!$C$3:$C$869,tabItens[[#This Row],[CÓDIGO]],Consumo!$N$3:$N$869) + SUMIF(Consumo!$C$3:$C$869,tabItens[[#This Row],[CÓDIGO]],Consumo!$O$3:$O$869) + SUMIF(Consumo!$C$3:$C$869,tabItens[[#This Row],[CÓDIGO]],Consumo!$P$3:$P$869) + SUMIF(Consumo!$C$3:$C$869,tabItens[[#This Row],[CÓDIGO]],Consumo!$Q$3:$Q$869)</f>
        <v>65</v>
      </c>
      <c r="AT217" s="316">
        <f>SUMIF(Consumo!$C$3:$C$869,tabItens[[#This Row],[CÓDIGO]],Consumo!$Z$3:$Z$869)</f>
        <v>3011</v>
      </c>
      <c r="AU217" s="317">
        <f>SUMIF(Consumo!$C$3:$C$869,tabItens[[#This Row],[CÓDIGO]],Consumo!$AA$3:$AA$869)</f>
        <v>619</v>
      </c>
      <c r="AV217" s="318">
        <f>SUMIF(Consumo!$C$3:$C$869,tabItens[[#This Row],[CÓDIGO]],Consumo!$Y$3:$Y$869)</f>
        <v>250.91666666666666</v>
      </c>
      <c r="AW217" s="401">
        <f>tabItens[[#This Row],[QTDE ATUAL]] + tabItens[[#This Row],[RC QTDE]] + tabItens[[#This Row],[AF SALDO]] + tabItens[[#This Row],[Recentes]]</f>
        <v>4000</v>
      </c>
      <c r="AX217" s="420">
        <v>100</v>
      </c>
      <c r="AY217" s="420">
        <v>4</v>
      </c>
      <c r="AZ217" s="420">
        <f>IF(ISBLANK(tabItens[[#This Row],[CÓDIGO]]),"",tabItens[[#This Row],[PontoMês]] * (AZ$2+tabItens[[#This Row],[PontoQtM]]))</f>
        <v>400</v>
      </c>
      <c r="BA217" s="421">
        <f>tabItens[[#This Row],[PontoPed]] - tabItens[[#This Row],[Saldo]] + (1/10)</f>
        <v>-3599.9</v>
      </c>
      <c r="BB217" s="421">
        <f xml:space="preserve"> tabItens[[#This Row],[PontoMês]] * BB$2 - tabItens[[#This Row],[QTDE ATUAL]] - (1/10)</f>
        <v>99.9</v>
      </c>
      <c r="BC217" s="320">
        <f>IF( tabItens[[#This Row],[PontoPed]]&gt;0, IF(tabItens[[#This Row],[PontoPed]]&lt;1, 1, IF( tabItens[[#This Row],[Saldo]]&gt;tabItens[[#This Row],[PontoPed]], 0, (tabItens[[#This Row],[PontoPed]]-tabItens[[#This Row],[Saldo]])/tabItens[[#This Row],[PontoPed]] ) ), 0 )</f>
        <v>0</v>
      </c>
      <c r="BD217" s="422">
        <f>ROUNDDOWN(IF( OR( AND(tabItens[[#This Row],[PontoPed]]&lt;tabItens[[#This Row],[Saldo]],tabItens[[#This Row],[Saldo]]&gt;0), tabItens[[#This Row],[PontoPed]]=0), 99, IF(AND(tabItens[[#This Row],[Saldo]]=0,tabItens[[#This Row],[PontoPed]]&gt;0), 0, (1-tabItens[[#This Row],[PctAb]])*10 ) ),0)</f>
        <v>99</v>
      </c>
      <c r="BE217" s="423">
        <f>MAX(ROUNDDOWN( IF(tabItens[[#This Row],[Abaixo]] &gt; 0,   tabItens[[#This Row],[Abaixo]] + (tabItens[[#This Row],[PontoMês]] * IF( OR( ISBLANK(tabItens[[#This Row],[ATA Nº/ANO]]), tabItens[[#This Row],[ATA Nº/ANO]] = ""),BE$2,BE$1)),0),0),0)</f>
        <v>0</v>
      </c>
      <c r="BF21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323">
        <f>SUMIF(Consumo!$C$3:$C$869,tabItens[[#This Row],[CÓDIGO]],Consumo!$E$3:$E$869)</f>
        <v>205</v>
      </c>
      <c r="BH217" s="324">
        <f>IF(AND(tabItens[[#This Row],[Pend]] &gt; 0,tabItens[[#This Row],[Consumo]] &lt;&gt; 0), tabItens[[#This Row],[Pend]] / tabItens[[#This Row],[Consumo]], 0 )</f>
        <v>6.8083693125207567E-2</v>
      </c>
      <c r="BI217" s="323"/>
      <c r="BJ217" s="424"/>
      <c r="BK217" s="425" t="s">
        <v>2064</v>
      </c>
    </row>
    <row r="218" spans="1:63" x14ac:dyDescent="0.3">
      <c r="A218" s="396">
        <v>115807</v>
      </c>
      <c r="B218" s="397" t="s">
        <v>1710</v>
      </c>
      <c r="C218" s="398" t="s">
        <v>31</v>
      </c>
      <c r="D218" s="399">
        <v>332.59</v>
      </c>
      <c r="E218" s="290"/>
      <c r="F218" s="400"/>
      <c r="G218" s="400" t="s">
        <v>883</v>
      </c>
      <c r="H218" s="401">
        <v>0</v>
      </c>
      <c r="I218" s="292">
        <v>103003</v>
      </c>
      <c r="J218" s="293">
        <v>332.59</v>
      </c>
      <c r="K218" s="402">
        <v>404</v>
      </c>
      <c r="L218" s="403">
        <f>IF(tabItens[[#This Row],[Média]] &gt; 0, tabItens[[#This Row],[QTDE ATUAL]] / tabItens[[#This Row],[Média]],999.9)</f>
        <v>0</v>
      </c>
      <c r="M218" s="404"/>
      <c r="N218" s="405">
        <f>tabItens[[#This Row],[VALOR UNIT.]] * tabItens[[#This Row],[LC]]</f>
        <v>0</v>
      </c>
      <c r="O218" s="406" t="s">
        <v>2162</v>
      </c>
      <c r="P218" s="407"/>
      <c r="Q218" s="408"/>
      <c r="R218" s="297"/>
      <c r="S218" s="409"/>
      <c r="T218" s="410">
        <f>ROUNDDOWN(IFERROR(tabItens[[#This Row],[ATA DT.VALID.]] - $D$1,0) / 30,0)</f>
        <v>-1504</v>
      </c>
      <c r="U218" s="287" t="s">
        <v>1112</v>
      </c>
      <c r="V218" s="303">
        <v>1</v>
      </c>
      <c r="W218" s="411" t="s">
        <v>2057</v>
      </c>
      <c r="X218" s="412">
        <v>74</v>
      </c>
      <c r="Y218" s="413">
        <v>8</v>
      </c>
      <c r="Z218" s="414">
        <v>8994</v>
      </c>
      <c r="AA218" s="415">
        <v>2023</v>
      </c>
      <c r="AB218" s="416">
        <v>170</v>
      </c>
      <c r="AC218" s="416"/>
      <c r="AD218" s="415"/>
      <c r="AE218" s="416"/>
      <c r="AF218" s="302"/>
      <c r="AG218" s="417" t="s">
        <v>2050</v>
      </c>
      <c r="AH218" s="418"/>
      <c r="AI218" s="302">
        <v>188</v>
      </c>
      <c r="AJ218" s="418">
        <v>44792</v>
      </c>
      <c r="AK218" s="311">
        <v>40352</v>
      </c>
      <c r="AL218" s="311">
        <v>44720</v>
      </c>
      <c r="AM218" s="301"/>
      <c r="AN218" s="290"/>
      <c r="AO218" s="312" t="str">
        <f>_xlfn.IFNA(IF(VLOOKUP(tabItens[[#This Row],[CÓDIGO]],tabExcluirDoEstoque[#Data],1,FALSE),"sim",""),"")</f>
        <v/>
      </c>
      <c r="AP218" s="419" t="str">
        <f ca="1">IF(OR(ISBLANK(tabItens[[#This Row],[ATA DT.VALID.]]),tabItens[[#This Row],[ATA DT.VALID.]]="",tabItens[[#This Row],[ATA DT.VALID.]]=" "),"",IF(TYPE(tabItens[[#This Row],[ATA DT.VALID.]])=1,ROUNDUP((tabItens[[#This Row],[ATA DT.VALID.]]-TODAY())/7,0),""))</f>
        <v/>
      </c>
      <c r="AQ218" s="314">
        <v>0</v>
      </c>
      <c r="AR218" s="315" t="str">
        <f>IF(ISBLANK(tabItens[[#This Row],[CÓDIGO]]),"",IFERROR(VLOOKUP(tabItens[[#This Row],[CÓDIGO]],Consumo!$C$2:$AC$869,26,FALSE),0))</f>
        <v>07.2023</v>
      </c>
      <c r="AS218" s="316">
        <f>SUMIF(Consumo!$C$3:$C$869,tabItens[[#This Row],[CÓDIGO]],Consumo!$N$3:$N$869) + SUMIF(Consumo!$C$3:$C$869,tabItens[[#This Row],[CÓDIGO]],Consumo!$O$3:$O$869) + SUMIF(Consumo!$C$3:$C$869,tabItens[[#This Row],[CÓDIGO]],Consumo!$P$3:$P$869) + SUMIF(Consumo!$C$3:$C$869,tabItens[[#This Row],[CÓDIGO]],Consumo!$Q$3:$Q$869)</f>
        <v>202</v>
      </c>
      <c r="AT218" s="316">
        <f>SUMIF(Consumo!$C$3:$C$869,tabItens[[#This Row],[CÓDIGO]],Consumo!$Z$3:$Z$869)</f>
        <v>564</v>
      </c>
      <c r="AU218" s="317">
        <f>SUMIF(Consumo!$C$3:$C$869,tabItens[[#This Row],[CÓDIGO]],Consumo!$AA$3:$AA$869)</f>
        <v>122</v>
      </c>
      <c r="AV218" s="318">
        <f>SUMIF(Consumo!$C$3:$C$869,tabItens[[#This Row],[CÓDIGO]],Consumo!$Y$3:$Y$869)</f>
        <v>47</v>
      </c>
      <c r="AW218" s="401">
        <f>tabItens[[#This Row],[QTDE ATUAL]] + tabItens[[#This Row],[RC QTDE]] + tabItens[[#This Row],[AF SALDO]] + tabItens[[#This Row],[Recentes]]</f>
        <v>170</v>
      </c>
      <c r="AX218" s="420">
        <v>42</v>
      </c>
      <c r="AY218" s="420">
        <v>4</v>
      </c>
      <c r="AZ218" s="420">
        <f>IF(ISBLANK(tabItens[[#This Row],[CÓDIGO]]),"",tabItens[[#This Row],[PontoMês]] * (AZ$2+tabItens[[#This Row],[PontoQtM]]))</f>
        <v>168</v>
      </c>
      <c r="BA218" s="421">
        <f>tabItens[[#This Row],[PontoPed]] - tabItens[[#This Row],[Saldo]] + (1/10)</f>
        <v>-1.9</v>
      </c>
      <c r="BB218" s="421">
        <f xml:space="preserve"> tabItens[[#This Row],[PontoMês]] * BB$2 - tabItens[[#This Row],[QTDE ATUAL]] - (1/10)</f>
        <v>41.9</v>
      </c>
      <c r="BC218" s="320">
        <f>IF( tabItens[[#This Row],[PontoPed]]&gt;0, IF(tabItens[[#This Row],[PontoPed]]&lt;1, 1, IF( tabItens[[#This Row],[Saldo]]&gt;tabItens[[#This Row],[PontoPed]], 0, (tabItens[[#This Row],[PontoPed]]-tabItens[[#This Row],[Saldo]])/tabItens[[#This Row],[PontoPed]] ) ), 0 )</f>
        <v>0</v>
      </c>
      <c r="BD218" s="422">
        <f>ROUNDDOWN(IF( OR( AND(tabItens[[#This Row],[PontoPed]]&lt;tabItens[[#This Row],[Saldo]],tabItens[[#This Row],[Saldo]]&gt;0), tabItens[[#This Row],[PontoPed]]=0), 99, IF(AND(tabItens[[#This Row],[Saldo]]=0,tabItens[[#This Row],[PontoPed]]&gt;0), 0, (1-tabItens[[#This Row],[PctAb]])*10 ) ),0)</f>
        <v>99</v>
      </c>
      <c r="BE218" s="423">
        <f>MAX(ROUNDDOWN( IF(tabItens[[#This Row],[Abaixo]] &gt; 0,   tabItens[[#This Row],[Abaixo]] + (tabItens[[#This Row],[PontoMês]] * IF( OR( ISBLANK(tabItens[[#This Row],[ATA Nº/ANO]]), tabItens[[#This Row],[ATA Nº/ANO]] = ""),BE$2,BE$1)),0),0),0)</f>
        <v>0</v>
      </c>
      <c r="BF21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323">
        <f>SUMIF(Consumo!$C$3:$C$869,tabItens[[#This Row],[CÓDIGO]],Consumo!$E$3:$E$869)</f>
        <v>0</v>
      </c>
      <c r="BH218" s="324">
        <f>IF(AND(tabItens[[#This Row],[Pend]] &gt; 0,tabItens[[#This Row],[Consumo]] &lt;&gt; 0), tabItens[[#This Row],[Pend]] / tabItens[[#This Row],[Consumo]], 0 )</f>
        <v>0</v>
      </c>
      <c r="BI218" s="323"/>
      <c r="BJ218" s="424"/>
      <c r="BK218" s="425" t="s">
        <v>2064</v>
      </c>
    </row>
    <row r="219" spans="1:63" hidden="1" x14ac:dyDescent="0.3">
      <c r="A219" s="286">
        <v>126044</v>
      </c>
      <c r="B219" s="287" t="s">
        <v>1764</v>
      </c>
      <c r="C219" s="288" t="s">
        <v>406</v>
      </c>
      <c r="D219" s="289">
        <v>407.35</v>
      </c>
      <c r="E219" s="290"/>
      <c r="F219" s="290"/>
      <c r="G219" s="290" t="s">
        <v>883</v>
      </c>
      <c r="H219" s="291">
        <v>172</v>
      </c>
      <c r="I219" s="292">
        <v>103003</v>
      </c>
      <c r="J219" s="293">
        <v>407.35</v>
      </c>
      <c r="K219" s="294">
        <v>22</v>
      </c>
      <c r="L219" s="295">
        <f>IF(tabItens[[#This Row],[Média]] &gt; 0, tabItens[[#This Row],[QTDE ATUAL]] / tabItens[[#This Row],[Média]],999.9)</f>
        <v>103.19999999999999</v>
      </c>
      <c r="M219" s="296">
        <v>0</v>
      </c>
      <c r="N219" s="297">
        <f>tabItens[[#This Row],[VALOR UNIT.]] * tabItens[[#This Row],[LC]]</f>
        <v>0</v>
      </c>
      <c r="O219" s="298" t="s">
        <v>2162</v>
      </c>
      <c r="P219" s="299"/>
      <c r="Q219" s="300"/>
      <c r="R219" s="297"/>
      <c r="S219" s="301"/>
      <c r="T219" s="302">
        <f>ROUNDDOWN(IFERROR(tabItens[[#This Row],[ATA DT.VALID.]] - $D$1,0) / 30,0)</f>
        <v>-1504</v>
      </c>
      <c r="U219" s="287" t="s">
        <v>1112</v>
      </c>
      <c r="V219" s="303">
        <v>1</v>
      </c>
      <c r="W219" s="304" t="s">
        <v>2057</v>
      </c>
      <c r="X219" s="305">
        <v>74</v>
      </c>
      <c r="Y219" s="306">
        <v>8</v>
      </c>
      <c r="Z219" s="307"/>
      <c r="AA219" s="308"/>
      <c r="AB219" s="309"/>
      <c r="AC219" s="309"/>
      <c r="AD219" s="308"/>
      <c r="AE219" s="309"/>
      <c r="AF219" s="302"/>
      <c r="AG219" s="310" t="s">
        <v>2050</v>
      </c>
      <c r="AH219" s="311"/>
      <c r="AI219" s="302">
        <v>8</v>
      </c>
      <c r="AJ219" s="311">
        <v>44461</v>
      </c>
      <c r="AK219" s="311">
        <v>41508</v>
      </c>
      <c r="AL219" s="311">
        <v>44453</v>
      </c>
      <c r="AM219" s="301"/>
      <c r="AN219" s="290"/>
      <c r="AO219" s="312" t="str">
        <f>_xlfn.IFNA(IF(VLOOKUP(tabItens[[#This Row],[CÓDIGO]],tabExcluirDoEstoque[#Data],1,FALSE),"sim",""),"")</f>
        <v/>
      </c>
      <c r="AP219" s="313" t="str">
        <f ca="1">IF(OR(ISBLANK(tabItens[[#This Row],[ATA DT.VALID.]]),tabItens[[#This Row],[ATA DT.VALID.]]="",tabItens[[#This Row],[ATA DT.VALID.]]=" "),"",IF(TYPE(tabItens[[#This Row],[ATA DT.VALID.]])=1,ROUNDUP((tabItens[[#This Row],[ATA DT.VALID.]]-TODAY())/7,0),""))</f>
        <v/>
      </c>
      <c r="AQ219" s="314">
        <v>0</v>
      </c>
      <c r="AR219" s="315" t="str">
        <f>IF(ISBLANK(tabItens[[#This Row],[CÓDIGO]]),"",IFERROR(VLOOKUP(tabItens[[#This Row],[CÓDIGO]],Consumo!$C$2:$AC$869,26,FALSE),0))</f>
        <v>06.2023</v>
      </c>
      <c r="AS219" s="316">
        <f>SUMIF(Consumo!$C$3:$C$869,tabItens[[#This Row],[CÓDIGO]],Consumo!$N$3:$N$869) + SUMIF(Consumo!$C$3:$C$869,tabItens[[#This Row],[CÓDIGO]],Consumo!$O$3:$O$869) + SUMIF(Consumo!$C$3:$C$869,tabItens[[#This Row],[CÓDIGO]],Consumo!$P$3:$P$869) + SUMIF(Consumo!$C$3:$C$869,tabItens[[#This Row],[CÓDIGO]],Consumo!$Q$3:$Q$869)</f>
        <v>10</v>
      </c>
      <c r="AT219" s="316">
        <f>SUMIF(Consumo!$C$3:$C$869,tabItens[[#This Row],[CÓDIGO]],Consumo!$Z$3:$Z$869)</f>
        <v>22</v>
      </c>
      <c r="AU219" s="317">
        <f>SUMIF(Consumo!$C$3:$C$869,tabItens[[#This Row],[CÓDIGO]],Consumo!$AA$3:$AA$869)</f>
        <v>10</v>
      </c>
      <c r="AV219" s="318">
        <f>SUMIF(Consumo!$C$3:$C$869,tabItens[[#This Row],[CÓDIGO]],Consumo!$Y$3:$Y$869)</f>
        <v>1.6666666666666667</v>
      </c>
      <c r="AW219" s="291">
        <f>tabItens[[#This Row],[QTDE ATUAL]] + tabItens[[#This Row],[RC QTDE]] + tabItens[[#This Row],[AF SALDO]] + tabItens[[#This Row],[Recentes]]</f>
        <v>172</v>
      </c>
      <c r="AX219" s="319">
        <v>25</v>
      </c>
      <c r="AY219" s="319">
        <v>4</v>
      </c>
      <c r="AZ219" s="319">
        <f>IF(ISBLANK(tabItens[[#This Row],[CÓDIGO]]),"",tabItens[[#This Row],[PontoMês]] * (AZ$2+tabItens[[#This Row],[PontoQtM]]))</f>
        <v>100</v>
      </c>
      <c r="BA219" s="318">
        <f>tabItens[[#This Row],[PontoPed]] - tabItens[[#This Row],[Saldo]] + (1/10)</f>
        <v>-71.900000000000006</v>
      </c>
      <c r="BB219" s="318">
        <f xml:space="preserve"> tabItens[[#This Row],[PontoMês]] * BB$2 - tabItens[[#This Row],[QTDE ATUAL]] - (1/10)</f>
        <v>-147.1</v>
      </c>
      <c r="BC219" s="320">
        <f>IF( tabItens[[#This Row],[PontoPed]]&gt;0, IF(tabItens[[#This Row],[PontoPed]]&lt;1, 1, IF( tabItens[[#This Row],[Saldo]]&gt;tabItens[[#This Row],[PontoPed]], 0, (tabItens[[#This Row],[PontoPed]]-tabItens[[#This Row],[Saldo]])/tabItens[[#This Row],[PontoPed]] ) ), 0 )</f>
        <v>0</v>
      </c>
      <c r="BD219" s="321">
        <f>ROUNDDOWN(IF( OR( AND(tabItens[[#This Row],[PontoPed]]&lt;tabItens[[#This Row],[Saldo]],tabItens[[#This Row],[Saldo]]&gt;0), tabItens[[#This Row],[PontoPed]]=0), 99, IF(AND(tabItens[[#This Row],[Saldo]]=0,tabItens[[#This Row],[PontoPed]]&gt;0), 0, (1-tabItens[[#This Row],[PctAb]])*10 ) ),0)</f>
        <v>99</v>
      </c>
      <c r="BE219" s="322">
        <f>MAX(ROUNDDOWN( IF(tabItens[[#This Row],[Abaixo]] &gt; 0,   tabItens[[#This Row],[Abaixo]] + (tabItens[[#This Row],[PontoMês]] * IF( OR( ISBLANK(tabItens[[#This Row],[ATA Nº/ANO]]), tabItens[[#This Row],[ATA Nº/ANO]] = ""),BE$2,BE$1)),0),0),0)</f>
        <v>0</v>
      </c>
      <c r="BF21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323">
        <f>SUMIF(Consumo!$C$3:$C$869,tabItens[[#This Row],[CÓDIGO]],Consumo!$E$3:$E$869)</f>
        <v>0</v>
      </c>
      <c r="BH219" s="324">
        <f>IF(AND(tabItens[[#This Row],[Pend]] &gt; 0,tabItens[[#This Row],[Consumo]] &lt;&gt; 0), tabItens[[#This Row],[Pend]] / tabItens[[#This Row],[Consumo]], 0 )</f>
        <v>0</v>
      </c>
      <c r="BI219" s="323"/>
      <c r="BJ219" s="323"/>
      <c r="BK219" s="325" t="s">
        <v>2064</v>
      </c>
    </row>
    <row r="220" spans="1:63" hidden="1" x14ac:dyDescent="0.3">
      <c r="A220" s="286">
        <v>82996</v>
      </c>
      <c r="B220" s="287" t="s">
        <v>1478</v>
      </c>
      <c r="C220" s="288" t="s">
        <v>256</v>
      </c>
      <c r="D220" s="289">
        <v>8.56</v>
      </c>
      <c r="E220" s="290"/>
      <c r="F220" s="290"/>
      <c r="G220" s="290" t="s">
        <v>883</v>
      </c>
      <c r="H220" s="291">
        <v>480</v>
      </c>
      <c r="I220" s="292">
        <v>103003</v>
      </c>
      <c r="J220" s="293">
        <v>8.56</v>
      </c>
      <c r="K220" s="294">
        <v>100</v>
      </c>
      <c r="L220" s="295">
        <f>IF(tabItens[[#This Row],[Média]] &gt; 0, tabItens[[#This Row],[QTDE ATUAL]] / tabItens[[#This Row],[Média]],999.9)</f>
        <v>87.272727272727266</v>
      </c>
      <c r="M220" s="296">
        <v>0</v>
      </c>
      <c r="N220" s="297">
        <f>tabItens[[#This Row],[VALOR UNIT.]] * tabItens[[#This Row],[LC]]</f>
        <v>0</v>
      </c>
      <c r="O220" s="298" t="s">
        <v>2085</v>
      </c>
      <c r="P220" s="299"/>
      <c r="Q220" s="300"/>
      <c r="R220" s="297"/>
      <c r="S220" s="301"/>
      <c r="T220" s="302">
        <f>ROUNDDOWN(IFERROR(tabItens[[#This Row],[ATA DT.VALID.]] - $D$1,0) / 30,0)</f>
        <v>-1504</v>
      </c>
      <c r="U220" s="287" t="s">
        <v>1026</v>
      </c>
      <c r="V220" s="303">
        <v>1</v>
      </c>
      <c r="W220" s="304" t="s">
        <v>2049</v>
      </c>
      <c r="X220" s="305">
        <v>51</v>
      </c>
      <c r="Y220" s="306">
        <v>8</v>
      </c>
      <c r="Z220" s="307"/>
      <c r="AA220" s="308"/>
      <c r="AB220" s="309"/>
      <c r="AC220" s="309"/>
      <c r="AD220" s="308"/>
      <c r="AE220" s="309"/>
      <c r="AF220" s="302"/>
      <c r="AG220" s="310" t="s">
        <v>2050</v>
      </c>
      <c r="AH220" s="311"/>
      <c r="AI220" s="302">
        <v>34</v>
      </c>
      <c r="AJ220" s="311">
        <v>44161</v>
      </c>
      <c r="AK220" s="311">
        <v>38317</v>
      </c>
      <c r="AL220" s="311">
        <v>44133</v>
      </c>
      <c r="AM220" s="301"/>
      <c r="AN220" s="290"/>
      <c r="AO220" s="312" t="str">
        <f>_xlfn.IFNA(IF(VLOOKUP(tabItens[[#This Row],[CÓDIGO]],tabExcluirDoEstoque[#Data],1,FALSE),"sim",""),"")</f>
        <v/>
      </c>
      <c r="AP220" s="313" t="str">
        <f ca="1">IF(OR(ISBLANK(tabItens[[#This Row],[ATA DT.VALID.]]),tabItens[[#This Row],[ATA DT.VALID.]]="",tabItens[[#This Row],[ATA DT.VALID.]]=" "),"",IF(TYPE(tabItens[[#This Row],[ATA DT.VALID.]])=1,ROUNDUP((tabItens[[#This Row],[ATA DT.VALID.]]-TODAY())/7,0),""))</f>
        <v/>
      </c>
      <c r="AQ220" s="314">
        <v>0</v>
      </c>
      <c r="AR220" s="315" t="str">
        <f>IF(ISBLANK(tabItens[[#This Row],[CÓDIGO]]),"",IFERROR(VLOOKUP(tabItens[[#This Row],[CÓDIGO]],Consumo!$C$2:$AC$869,26,FALSE),0))</f>
        <v>03.2023</v>
      </c>
      <c r="AS220" s="316">
        <f>SUMIF(Consumo!$C$3:$C$869,tabItens[[#This Row],[CÓDIGO]],Consumo!$N$3:$N$869) + SUMIF(Consumo!$C$3:$C$869,tabItens[[#This Row],[CÓDIGO]],Consumo!$O$3:$O$869) + SUMIF(Consumo!$C$3:$C$869,tabItens[[#This Row],[CÓDIGO]],Consumo!$P$3:$P$869) + SUMIF(Consumo!$C$3:$C$869,tabItens[[#This Row],[CÓDIGO]],Consumo!$Q$3:$Q$869)</f>
        <v>0</v>
      </c>
      <c r="AT220" s="316">
        <f>SUMIF(Consumo!$C$3:$C$869,tabItens[[#This Row],[CÓDIGO]],Consumo!$Z$3:$Z$869)</f>
        <v>100</v>
      </c>
      <c r="AU220" s="317">
        <f>SUMIF(Consumo!$C$3:$C$869,tabItens[[#This Row],[CÓDIGO]],Consumo!$AA$3:$AA$869)</f>
        <v>100</v>
      </c>
      <c r="AV220" s="318">
        <f>SUMIF(Consumo!$C$3:$C$869,tabItens[[#This Row],[CÓDIGO]],Consumo!$Y$3:$Y$869)</f>
        <v>5.5</v>
      </c>
      <c r="AW220" s="291">
        <f>tabItens[[#This Row],[QTDE ATUAL]] + tabItens[[#This Row],[RC QTDE]] + tabItens[[#This Row],[AF SALDO]] + tabItens[[#This Row],[Recentes]]</f>
        <v>480</v>
      </c>
      <c r="AX220" s="319">
        <v>38</v>
      </c>
      <c r="AY220" s="319">
        <v>4</v>
      </c>
      <c r="AZ220" s="319">
        <f>IF(ISBLANK(tabItens[[#This Row],[CÓDIGO]]),"",tabItens[[#This Row],[PontoMês]] * (AZ$2+tabItens[[#This Row],[PontoQtM]]))</f>
        <v>152</v>
      </c>
      <c r="BA220" s="318">
        <f>tabItens[[#This Row],[PontoPed]] - tabItens[[#This Row],[Saldo]] + (1/10)</f>
        <v>-327.9</v>
      </c>
      <c r="BB220" s="318">
        <f xml:space="preserve"> tabItens[[#This Row],[PontoMês]] * BB$2 - tabItens[[#This Row],[QTDE ATUAL]] - (1/10)</f>
        <v>-442.1</v>
      </c>
      <c r="BC220" s="320">
        <f>IF( tabItens[[#This Row],[PontoPed]]&gt;0, IF(tabItens[[#This Row],[PontoPed]]&lt;1, 1, IF( tabItens[[#This Row],[Saldo]]&gt;tabItens[[#This Row],[PontoPed]], 0, (tabItens[[#This Row],[PontoPed]]-tabItens[[#This Row],[Saldo]])/tabItens[[#This Row],[PontoPed]] ) ), 0 )</f>
        <v>0</v>
      </c>
      <c r="BD220" s="321">
        <f>ROUNDDOWN(IF( OR( AND(tabItens[[#This Row],[PontoPed]]&lt;tabItens[[#This Row],[Saldo]],tabItens[[#This Row],[Saldo]]&gt;0), tabItens[[#This Row],[PontoPed]]=0), 99, IF(AND(tabItens[[#This Row],[Saldo]]=0,tabItens[[#This Row],[PontoPed]]&gt;0), 0, (1-tabItens[[#This Row],[PctAb]])*10 ) ),0)</f>
        <v>99</v>
      </c>
      <c r="BE220" s="322">
        <f>MAX(ROUNDDOWN( IF(tabItens[[#This Row],[Abaixo]] &gt; 0,   tabItens[[#This Row],[Abaixo]] + (tabItens[[#This Row],[PontoMês]] * IF( OR( ISBLANK(tabItens[[#This Row],[ATA Nº/ANO]]), tabItens[[#This Row],[ATA Nº/ANO]] = ""),BE$2,BE$1)),0),0),0)</f>
        <v>0</v>
      </c>
      <c r="BF22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323">
        <f>SUMIF(Consumo!$C$3:$C$869,tabItens[[#This Row],[CÓDIGO]],Consumo!$E$3:$E$869)</f>
        <v>0</v>
      </c>
      <c r="BH220" s="324">
        <f>IF(AND(tabItens[[#This Row],[Pend]] &gt; 0,tabItens[[#This Row],[Consumo]] &lt;&gt; 0), tabItens[[#This Row],[Pend]] / tabItens[[#This Row],[Consumo]], 0 )</f>
        <v>0</v>
      </c>
      <c r="BI220" s="323"/>
      <c r="BJ220" s="323"/>
      <c r="BK220" s="325" t="s">
        <v>2064</v>
      </c>
    </row>
    <row r="221" spans="1:63" x14ac:dyDescent="0.3">
      <c r="A221" s="396">
        <v>15436</v>
      </c>
      <c r="B221" s="397" t="s">
        <v>1089</v>
      </c>
      <c r="C221" s="398" t="s">
        <v>256</v>
      </c>
      <c r="D221" s="399">
        <v>29.62</v>
      </c>
      <c r="E221" s="290"/>
      <c r="F221" s="400"/>
      <c r="G221" s="400" t="s">
        <v>883</v>
      </c>
      <c r="H221" s="401">
        <v>0</v>
      </c>
      <c r="I221" s="292">
        <v>103003</v>
      </c>
      <c r="J221" s="293">
        <v>29.62</v>
      </c>
      <c r="K221" s="402">
        <v>806</v>
      </c>
      <c r="L221" s="403">
        <f>IF(tabItens[[#This Row],[Média]] &gt; 0, tabItens[[#This Row],[QTDE ATUAL]] / tabItens[[#This Row],[Média]],999.9)</f>
        <v>0</v>
      </c>
      <c r="M221" s="404">
        <v>0</v>
      </c>
      <c r="N221" s="405">
        <f>tabItens[[#This Row],[VALOR UNIT.]] * tabItens[[#This Row],[LC]]</f>
        <v>0</v>
      </c>
      <c r="O221" s="406" t="s">
        <v>2085</v>
      </c>
      <c r="P221" s="407"/>
      <c r="Q221" s="408"/>
      <c r="R221" s="297"/>
      <c r="S221" s="409"/>
      <c r="T221" s="410">
        <f>ROUNDDOWN(IFERROR(tabItens[[#This Row],[ATA DT.VALID.]] - $D$1,0) / 30,0)</f>
        <v>-1504</v>
      </c>
      <c r="U221" s="287" t="s">
        <v>1090</v>
      </c>
      <c r="V221" s="303">
        <v>1</v>
      </c>
      <c r="W221" s="411" t="s">
        <v>2049</v>
      </c>
      <c r="X221" s="412">
        <v>51</v>
      </c>
      <c r="Y221" s="413">
        <v>9</v>
      </c>
      <c r="Z221" s="414">
        <v>2544</v>
      </c>
      <c r="AA221" s="415">
        <v>2023</v>
      </c>
      <c r="AB221" s="416">
        <v>600</v>
      </c>
      <c r="AC221" s="416"/>
      <c r="AD221" s="415"/>
      <c r="AE221" s="416"/>
      <c r="AF221" s="302"/>
      <c r="AG221" s="417" t="s">
        <v>2050</v>
      </c>
      <c r="AH221" s="418"/>
      <c r="AI221" s="302">
        <v>342</v>
      </c>
      <c r="AJ221" s="418">
        <v>44161</v>
      </c>
      <c r="AK221" s="311" t="s">
        <v>883</v>
      </c>
      <c r="AL221" s="311">
        <v>44207</v>
      </c>
      <c r="AM221" s="301"/>
      <c r="AN221" s="290"/>
      <c r="AO221" s="312" t="str">
        <f>_xlfn.IFNA(IF(VLOOKUP(tabItens[[#This Row],[CÓDIGO]],tabExcluirDoEstoque[#Data],1,FALSE),"sim",""),"")</f>
        <v/>
      </c>
      <c r="AP221" s="419" t="str">
        <f ca="1">IF(OR(ISBLANK(tabItens[[#This Row],[ATA DT.VALID.]]),tabItens[[#This Row],[ATA DT.VALID.]]="",tabItens[[#This Row],[ATA DT.VALID.]]=" "),"",IF(TYPE(tabItens[[#This Row],[ATA DT.VALID.]])=1,ROUNDUP((tabItens[[#This Row],[ATA DT.VALID.]]-TODAY())/7,0),""))</f>
        <v/>
      </c>
      <c r="AQ221" s="314">
        <v>0</v>
      </c>
      <c r="AR221" s="315" t="str">
        <f>IF(ISBLANK(tabItens[[#This Row],[CÓDIGO]]),"",IFERROR(VLOOKUP(tabItens[[#This Row],[CÓDIGO]],Consumo!$C$2:$AC$869,26,FALSE),0))</f>
        <v>04.2023</v>
      </c>
      <c r="AS221" s="316">
        <f>SUMIF(Consumo!$C$3:$C$869,tabItens[[#This Row],[CÓDIGO]],Consumo!$N$3:$N$869) + SUMIF(Consumo!$C$3:$C$869,tabItens[[#This Row],[CÓDIGO]],Consumo!$O$3:$O$869) + SUMIF(Consumo!$C$3:$C$869,tabItens[[#This Row],[CÓDIGO]],Consumo!$P$3:$P$869) + SUMIF(Consumo!$C$3:$C$869,tabItens[[#This Row],[CÓDIGO]],Consumo!$Q$3:$Q$869)</f>
        <v>45</v>
      </c>
      <c r="AT221" s="316">
        <f>SUMIF(Consumo!$C$3:$C$869,tabItens[[#This Row],[CÓDIGO]],Consumo!$Z$3:$Z$869)</f>
        <v>1109</v>
      </c>
      <c r="AU221" s="317">
        <f>SUMIF(Consumo!$C$3:$C$869,tabItens[[#This Row],[CÓDIGO]],Consumo!$AA$3:$AA$869)</f>
        <v>183</v>
      </c>
      <c r="AV221" s="318">
        <f>SUMIF(Consumo!$C$3:$C$869,tabItens[[#This Row],[CÓDIGO]],Consumo!$Y$3:$Y$869)</f>
        <v>92.416666666666671</v>
      </c>
      <c r="AW221" s="401">
        <f>tabItens[[#This Row],[QTDE ATUAL]] + tabItens[[#This Row],[RC QTDE]] + tabItens[[#This Row],[AF SALDO]] + tabItens[[#This Row],[Recentes]]</f>
        <v>600</v>
      </c>
      <c r="AX221" s="420">
        <v>56</v>
      </c>
      <c r="AY221" s="420">
        <v>4</v>
      </c>
      <c r="AZ221" s="420">
        <f>IF(ISBLANK(tabItens[[#This Row],[CÓDIGO]]),"",tabItens[[#This Row],[PontoMês]] * (AZ$2+tabItens[[#This Row],[PontoQtM]]))</f>
        <v>224</v>
      </c>
      <c r="BA221" s="421">
        <f>tabItens[[#This Row],[PontoPed]] - tabItens[[#This Row],[Saldo]] + (1/10)</f>
        <v>-375.9</v>
      </c>
      <c r="BB221" s="421">
        <f xml:space="preserve"> tabItens[[#This Row],[PontoMês]] * BB$2 - tabItens[[#This Row],[QTDE ATUAL]] - (1/10)</f>
        <v>55.9</v>
      </c>
      <c r="BC221" s="320">
        <f>IF( tabItens[[#This Row],[PontoPed]]&gt;0, IF(tabItens[[#This Row],[PontoPed]]&lt;1, 1, IF( tabItens[[#This Row],[Saldo]]&gt;tabItens[[#This Row],[PontoPed]], 0, (tabItens[[#This Row],[PontoPed]]-tabItens[[#This Row],[Saldo]])/tabItens[[#This Row],[PontoPed]] ) ), 0 )</f>
        <v>0</v>
      </c>
      <c r="BD221" s="422">
        <f>ROUNDDOWN(IF( OR( AND(tabItens[[#This Row],[PontoPed]]&lt;tabItens[[#This Row],[Saldo]],tabItens[[#This Row],[Saldo]]&gt;0), tabItens[[#This Row],[PontoPed]]=0), 99, IF(AND(tabItens[[#This Row],[Saldo]]=0,tabItens[[#This Row],[PontoPed]]&gt;0), 0, (1-tabItens[[#This Row],[PctAb]])*10 ) ),0)</f>
        <v>99</v>
      </c>
      <c r="BE221" s="423">
        <f>MAX(ROUNDDOWN( IF(tabItens[[#This Row],[Abaixo]] &gt; 0,   tabItens[[#This Row],[Abaixo]] + (tabItens[[#This Row],[PontoMês]] * IF( OR( ISBLANK(tabItens[[#This Row],[ATA Nº/ANO]]), tabItens[[#This Row],[ATA Nº/ANO]] = ""),BE$2,BE$1)),0),0),0)</f>
        <v>0</v>
      </c>
      <c r="BF22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323">
        <f>SUMIF(Consumo!$C$3:$C$869,tabItens[[#This Row],[CÓDIGO]],Consumo!$E$3:$E$869)</f>
        <v>103</v>
      </c>
      <c r="BH221" s="324">
        <f>IF(AND(tabItens[[#This Row],[Pend]] &gt; 0,tabItens[[#This Row],[Consumo]] &lt;&gt; 0), tabItens[[#This Row],[Pend]] / tabItens[[#This Row],[Consumo]], 0 )</f>
        <v>9.2876465284039672E-2</v>
      </c>
      <c r="BI221" s="323"/>
      <c r="BJ221" s="424"/>
      <c r="BK221" s="425" t="s">
        <v>2064</v>
      </c>
    </row>
    <row r="222" spans="1:63" x14ac:dyDescent="0.3">
      <c r="A222" s="396">
        <v>13180</v>
      </c>
      <c r="B222" s="397" t="s">
        <v>1018</v>
      </c>
      <c r="C222" s="398" t="s">
        <v>256</v>
      </c>
      <c r="D222" s="399">
        <v>16.899999999999999</v>
      </c>
      <c r="E222" s="290"/>
      <c r="F222" s="400"/>
      <c r="G222" s="400" t="s">
        <v>883</v>
      </c>
      <c r="H222" s="401">
        <v>0</v>
      </c>
      <c r="I222" s="292">
        <v>103003</v>
      </c>
      <c r="J222" s="293">
        <v>16.899999999999999</v>
      </c>
      <c r="K222" s="402">
        <v>425</v>
      </c>
      <c r="L222" s="403">
        <f>IF(tabItens[[#This Row],[Média]] &gt; 0, tabItens[[#This Row],[QTDE ATUAL]] / tabItens[[#This Row],[Média]],999.9)</f>
        <v>0</v>
      </c>
      <c r="M222" s="404">
        <v>0</v>
      </c>
      <c r="N222" s="405">
        <f>tabItens[[#This Row],[VALOR UNIT.]] * tabItens[[#This Row],[LC]]</f>
        <v>0</v>
      </c>
      <c r="O222" s="406" t="s">
        <v>2085</v>
      </c>
      <c r="P222" s="407"/>
      <c r="Q222" s="408"/>
      <c r="R222" s="297"/>
      <c r="S222" s="409"/>
      <c r="T222" s="410">
        <f>ROUNDDOWN(IFERROR(tabItens[[#This Row],[ATA DT.VALID.]] - $D$1,0) / 30,0)</f>
        <v>-1504</v>
      </c>
      <c r="U222" s="287" t="s">
        <v>1019</v>
      </c>
      <c r="V222" s="303">
        <v>1</v>
      </c>
      <c r="W222" s="411" t="s">
        <v>2051</v>
      </c>
      <c r="X222" s="412">
        <v>51</v>
      </c>
      <c r="Y222" s="413">
        <v>12</v>
      </c>
      <c r="Z222" s="414">
        <v>2980</v>
      </c>
      <c r="AA222" s="415">
        <v>2023</v>
      </c>
      <c r="AB222" s="416">
        <v>300</v>
      </c>
      <c r="AC222" s="416"/>
      <c r="AD222" s="415"/>
      <c r="AE222" s="416"/>
      <c r="AF222" s="302"/>
      <c r="AG222" s="417" t="s">
        <v>2050</v>
      </c>
      <c r="AH222" s="418"/>
      <c r="AI222" s="302">
        <v>146</v>
      </c>
      <c r="AJ222" s="418">
        <v>44140</v>
      </c>
      <c r="AK222" s="311" t="s">
        <v>883</v>
      </c>
      <c r="AL222" s="311">
        <v>44658</v>
      </c>
      <c r="AM222" s="301"/>
      <c r="AN222" s="290"/>
      <c r="AO222" s="312" t="str">
        <f>_xlfn.IFNA(IF(VLOOKUP(tabItens[[#This Row],[CÓDIGO]],tabExcluirDoEstoque[#Data],1,FALSE),"sim",""),"")</f>
        <v/>
      </c>
      <c r="AP222" s="419" t="str">
        <f ca="1">IF(OR(ISBLANK(tabItens[[#This Row],[ATA DT.VALID.]]),tabItens[[#This Row],[ATA DT.VALID.]]="",tabItens[[#This Row],[ATA DT.VALID.]]=" "),"",IF(TYPE(tabItens[[#This Row],[ATA DT.VALID.]])=1,ROUNDUP((tabItens[[#This Row],[ATA DT.VALID.]]-TODAY())/7,0),""))</f>
        <v/>
      </c>
      <c r="AQ222" s="314">
        <v>0</v>
      </c>
      <c r="AR222" s="315" t="str">
        <f>IF(ISBLANK(tabItens[[#This Row],[CÓDIGO]]),"",IFERROR(VLOOKUP(tabItens[[#This Row],[CÓDIGO]],Consumo!$C$2:$AC$869,26,FALSE),0))</f>
        <v>04.2023</v>
      </c>
      <c r="AS222" s="316">
        <f>SUMIF(Consumo!$C$3:$C$869,tabItens[[#This Row],[CÓDIGO]],Consumo!$N$3:$N$869) + SUMIF(Consumo!$C$3:$C$869,tabItens[[#This Row],[CÓDIGO]],Consumo!$O$3:$O$869) + SUMIF(Consumo!$C$3:$C$869,tabItens[[#This Row],[CÓDIGO]],Consumo!$P$3:$P$869) + SUMIF(Consumo!$C$3:$C$869,tabItens[[#This Row],[CÓDIGO]],Consumo!$Q$3:$Q$869)</f>
        <v>44</v>
      </c>
      <c r="AT222" s="316">
        <f>SUMIF(Consumo!$C$3:$C$869,tabItens[[#This Row],[CÓDIGO]],Consumo!$Z$3:$Z$869)</f>
        <v>439</v>
      </c>
      <c r="AU222" s="317">
        <f>SUMIF(Consumo!$C$3:$C$869,tabItens[[#This Row],[CÓDIGO]],Consumo!$AA$3:$AA$869)</f>
        <v>309</v>
      </c>
      <c r="AV222" s="318">
        <f>SUMIF(Consumo!$C$3:$C$869,tabItens[[#This Row],[CÓDIGO]],Consumo!$Y$3:$Y$869)</f>
        <v>27.833333333333332</v>
      </c>
      <c r="AW222" s="401">
        <f>tabItens[[#This Row],[QTDE ATUAL]] + tabItens[[#This Row],[RC QTDE]] + tabItens[[#This Row],[AF SALDO]] + tabItens[[#This Row],[Recentes]]</f>
        <v>300</v>
      </c>
      <c r="AX222" s="420">
        <v>43</v>
      </c>
      <c r="AY222" s="420">
        <v>4</v>
      </c>
      <c r="AZ222" s="420">
        <f>IF(ISBLANK(tabItens[[#This Row],[CÓDIGO]]),"",tabItens[[#This Row],[PontoMês]] * (AZ$2+tabItens[[#This Row],[PontoQtM]]))</f>
        <v>172</v>
      </c>
      <c r="BA222" s="421">
        <f>tabItens[[#This Row],[PontoPed]] - tabItens[[#This Row],[Saldo]] + (1/10)</f>
        <v>-127.9</v>
      </c>
      <c r="BB222" s="421">
        <f xml:space="preserve"> tabItens[[#This Row],[PontoMês]] * BB$2 - tabItens[[#This Row],[QTDE ATUAL]] - (1/10)</f>
        <v>42.9</v>
      </c>
      <c r="BC222" s="320">
        <f>IF( tabItens[[#This Row],[PontoPed]]&gt;0, IF(tabItens[[#This Row],[PontoPed]]&lt;1, 1, IF( tabItens[[#This Row],[Saldo]]&gt;tabItens[[#This Row],[PontoPed]], 0, (tabItens[[#This Row],[PontoPed]]-tabItens[[#This Row],[Saldo]])/tabItens[[#This Row],[PontoPed]] ) ), 0 )</f>
        <v>0</v>
      </c>
      <c r="BD222" s="422">
        <f>ROUNDDOWN(IF( OR( AND(tabItens[[#This Row],[PontoPed]]&lt;tabItens[[#This Row],[Saldo]],tabItens[[#This Row],[Saldo]]&gt;0), tabItens[[#This Row],[PontoPed]]=0), 99, IF(AND(tabItens[[#This Row],[Saldo]]=0,tabItens[[#This Row],[PontoPed]]&gt;0), 0, (1-tabItens[[#This Row],[PctAb]])*10 ) ),0)</f>
        <v>99</v>
      </c>
      <c r="BE222" s="423">
        <f>MAX(ROUNDDOWN( IF(tabItens[[#This Row],[Abaixo]] &gt; 0,   tabItens[[#This Row],[Abaixo]] + (tabItens[[#This Row],[PontoMês]] * IF( OR( ISBLANK(tabItens[[#This Row],[ATA Nº/ANO]]), tabItens[[#This Row],[ATA Nº/ANO]] = ""),BE$2,BE$1)),0),0),0)</f>
        <v>0</v>
      </c>
      <c r="BF222"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323">
        <f>SUMIF(Consumo!$C$3:$C$869,tabItens[[#This Row],[CÓDIGO]],Consumo!$E$3:$E$869)</f>
        <v>1</v>
      </c>
      <c r="BH222" s="324">
        <f>IF(AND(tabItens[[#This Row],[Pend]] &gt; 0,tabItens[[#This Row],[Consumo]] &lt;&gt; 0), tabItens[[#This Row],[Pend]] / tabItens[[#This Row],[Consumo]], 0 )</f>
        <v>2.2779043280182231E-3</v>
      </c>
      <c r="BI222" s="323"/>
      <c r="BJ222" s="424"/>
      <c r="BK222" s="425" t="s">
        <v>2064</v>
      </c>
    </row>
    <row r="223" spans="1:63" hidden="1" x14ac:dyDescent="0.3">
      <c r="A223" s="286">
        <v>13181</v>
      </c>
      <c r="B223" s="287" t="s">
        <v>1020</v>
      </c>
      <c r="C223" s="288" t="s">
        <v>256</v>
      </c>
      <c r="D223" s="289">
        <v>27.33</v>
      </c>
      <c r="E223" s="290"/>
      <c r="F223" s="290"/>
      <c r="G223" s="290" t="s">
        <v>883</v>
      </c>
      <c r="H223" s="291">
        <v>167</v>
      </c>
      <c r="I223" s="292">
        <v>103003</v>
      </c>
      <c r="J223" s="293">
        <v>27.33</v>
      </c>
      <c r="K223" s="294">
        <v>61</v>
      </c>
      <c r="L223" s="295">
        <f>IF(tabItens[[#This Row],[Média]] &gt; 0, tabItens[[#This Row],[QTDE ATUAL]] / tabItens[[#This Row],[Média]],999.9)</f>
        <v>23.03448275862069</v>
      </c>
      <c r="M223" s="296">
        <v>0</v>
      </c>
      <c r="N223" s="297">
        <f>tabItens[[#This Row],[VALOR UNIT.]] * tabItens[[#This Row],[LC]]</f>
        <v>0</v>
      </c>
      <c r="O223" s="298" t="s">
        <v>2085</v>
      </c>
      <c r="P223" s="299"/>
      <c r="Q223" s="300"/>
      <c r="R223" s="297"/>
      <c r="S223" s="301"/>
      <c r="T223" s="302">
        <f>ROUNDDOWN(IFERROR(tabItens[[#This Row],[ATA DT.VALID.]] - $D$1,0) / 30,0)</f>
        <v>-1504</v>
      </c>
      <c r="U223" s="287" t="s">
        <v>1019</v>
      </c>
      <c r="V223" s="303">
        <v>1</v>
      </c>
      <c r="W223" s="304" t="s">
        <v>2051</v>
      </c>
      <c r="X223" s="305">
        <v>51</v>
      </c>
      <c r="Y223" s="306">
        <v>12</v>
      </c>
      <c r="Z223" s="307">
        <v>2430</v>
      </c>
      <c r="AA223" s="308">
        <v>2023</v>
      </c>
      <c r="AB223" s="309">
        <v>100</v>
      </c>
      <c r="AC223" s="309"/>
      <c r="AD223" s="308"/>
      <c r="AE223" s="309"/>
      <c r="AF223" s="302"/>
      <c r="AG223" s="310" t="s">
        <v>2050</v>
      </c>
      <c r="AH223" s="311"/>
      <c r="AI223" s="302">
        <v>28</v>
      </c>
      <c r="AJ223" s="311">
        <v>44140</v>
      </c>
      <c r="AK223" s="311" t="s">
        <v>883</v>
      </c>
      <c r="AL223" s="311">
        <v>44592</v>
      </c>
      <c r="AM223" s="301"/>
      <c r="AN223" s="290"/>
      <c r="AO223" s="312" t="str">
        <f>_xlfn.IFNA(IF(VLOOKUP(tabItens[[#This Row],[CÓDIGO]],tabExcluirDoEstoque[#Data],1,FALSE),"sim",""),"")</f>
        <v/>
      </c>
      <c r="AP223" s="313" t="str">
        <f ca="1">IF(OR(ISBLANK(tabItens[[#This Row],[ATA DT.VALID.]]),tabItens[[#This Row],[ATA DT.VALID.]]="",tabItens[[#This Row],[ATA DT.VALID.]]=" "),"",IF(TYPE(tabItens[[#This Row],[ATA DT.VALID.]])=1,ROUNDUP((tabItens[[#This Row],[ATA DT.VALID.]]-TODAY())/7,0),""))</f>
        <v/>
      </c>
      <c r="AQ223" s="314">
        <v>0</v>
      </c>
      <c r="AR223" s="315" t="str">
        <f>IF(ISBLANK(tabItens[[#This Row],[CÓDIGO]]),"",IFERROR(VLOOKUP(tabItens[[#This Row],[CÓDIGO]],Consumo!$C$2:$AC$869,26,FALSE),0))</f>
        <v>07.2023</v>
      </c>
      <c r="AS223" s="316">
        <f>SUMIF(Consumo!$C$3:$C$869,tabItens[[#This Row],[CÓDIGO]],Consumo!$N$3:$N$869) + SUMIF(Consumo!$C$3:$C$869,tabItens[[#This Row],[CÓDIGO]],Consumo!$O$3:$O$869) + SUMIF(Consumo!$C$3:$C$869,tabItens[[#This Row],[CÓDIGO]],Consumo!$P$3:$P$869) + SUMIF(Consumo!$C$3:$C$869,tabItens[[#This Row],[CÓDIGO]],Consumo!$Q$3:$Q$869)</f>
        <v>36</v>
      </c>
      <c r="AT223" s="316">
        <f>SUMIF(Consumo!$C$3:$C$869,tabItens[[#This Row],[CÓDIGO]],Consumo!$Z$3:$Z$869)</f>
        <v>87</v>
      </c>
      <c r="AU223" s="317">
        <f>SUMIF(Consumo!$C$3:$C$869,tabItens[[#This Row],[CÓDIGO]],Consumo!$AA$3:$AA$869)</f>
        <v>15</v>
      </c>
      <c r="AV223" s="318">
        <f>SUMIF(Consumo!$C$3:$C$869,tabItens[[#This Row],[CÓDIGO]],Consumo!$Y$3:$Y$869)</f>
        <v>7.25</v>
      </c>
      <c r="AW223" s="291">
        <f>tabItens[[#This Row],[QTDE ATUAL]] + tabItens[[#This Row],[RC QTDE]] + tabItens[[#This Row],[AF SALDO]] + tabItens[[#This Row],[Recentes]]</f>
        <v>267</v>
      </c>
      <c r="AX223" s="319">
        <v>42</v>
      </c>
      <c r="AY223" s="319">
        <v>4</v>
      </c>
      <c r="AZ223" s="319">
        <f>IF(ISBLANK(tabItens[[#This Row],[CÓDIGO]]),"",tabItens[[#This Row],[PontoMês]] * (AZ$2+tabItens[[#This Row],[PontoQtM]]))</f>
        <v>168</v>
      </c>
      <c r="BA223" s="318">
        <f>tabItens[[#This Row],[PontoPed]] - tabItens[[#This Row],[Saldo]] + (1/10)</f>
        <v>-98.9</v>
      </c>
      <c r="BB223" s="318">
        <f xml:space="preserve"> tabItens[[#This Row],[PontoMês]] * BB$2 - tabItens[[#This Row],[QTDE ATUAL]] - (1/10)</f>
        <v>-125.1</v>
      </c>
      <c r="BC223" s="320">
        <f>IF( tabItens[[#This Row],[PontoPed]]&gt;0, IF(tabItens[[#This Row],[PontoPed]]&lt;1, 1, IF( tabItens[[#This Row],[Saldo]]&gt;tabItens[[#This Row],[PontoPed]], 0, (tabItens[[#This Row],[PontoPed]]-tabItens[[#This Row],[Saldo]])/tabItens[[#This Row],[PontoPed]] ) ), 0 )</f>
        <v>0</v>
      </c>
      <c r="BD223" s="321">
        <f>ROUNDDOWN(IF( OR( AND(tabItens[[#This Row],[PontoPed]]&lt;tabItens[[#This Row],[Saldo]],tabItens[[#This Row],[Saldo]]&gt;0), tabItens[[#This Row],[PontoPed]]=0), 99, IF(AND(tabItens[[#This Row],[Saldo]]=0,tabItens[[#This Row],[PontoPed]]&gt;0), 0, (1-tabItens[[#This Row],[PctAb]])*10 ) ),0)</f>
        <v>99</v>
      </c>
      <c r="BE223" s="322">
        <f>MAX(ROUNDDOWN( IF(tabItens[[#This Row],[Abaixo]] &gt; 0,   tabItens[[#This Row],[Abaixo]] + (tabItens[[#This Row],[PontoMês]] * IF( OR( ISBLANK(tabItens[[#This Row],[ATA Nº/ANO]]), tabItens[[#This Row],[ATA Nº/ANO]] = ""),BE$2,BE$1)),0),0),0)</f>
        <v>0</v>
      </c>
      <c r="BF22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323">
        <f>SUMIF(Consumo!$C$3:$C$869,tabItens[[#This Row],[CÓDIGO]],Consumo!$E$3:$E$869)</f>
        <v>1</v>
      </c>
      <c r="BH223" s="324">
        <f>IF(AND(tabItens[[#This Row],[Pend]] &gt; 0,tabItens[[#This Row],[Consumo]] &lt;&gt; 0), tabItens[[#This Row],[Pend]] / tabItens[[#This Row],[Consumo]], 0 )</f>
        <v>1.1494252873563218E-2</v>
      </c>
      <c r="BI223" s="323"/>
      <c r="BJ223" s="323"/>
      <c r="BK223" s="325" t="s">
        <v>2064</v>
      </c>
    </row>
    <row r="224" spans="1:63" hidden="1" x14ac:dyDescent="0.3">
      <c r="A224" s="286">
        <v>17704</v>
      </c>
      <c r="B224" s="287" t="s">
        <v>1141</v>
      </c>
      <c r="C224" s="288" t="s">
        <v>256</v>
      </c>
      <c r="D224" s="289">
        <v>17.8</v>
      </c>
      <c r="E224" s="290"/>
      <c r="F224" s="290"/>
      <c r="G224" s="290" t="s">
        <v>883</v>
      </c>
      <c r="H224" s="291">
        <v>137</v>
      </c>
      <c r="I224" s="292">
        <v>103003</v>
      </c>
      <c r="J224" s="293">
        <v>17.8</v>
      </c>
      <c r="K224" s="294">
        <v>114</v>
      </c>
      <c r="L224" s="295">
        <f>IF(tabItens[[#This Row],[Média]] &gt; 0, tabItens[[#This Row],[QTDE ATUAL]] / tabItens[[#This Row],[Média]],999.9)</f>
        <v>10.675324675324674</v>
      </c>
      <c r="M224" s="296">
        <v>0</v>
      </c>
      <c r="N224" s="297">
        <f>tabItens[[#This Row],[VALOR UNIT.]] * tabItens[[#This Row],[LC]]</f>
        <v>0</v>
      </c>
      <c r="O224" s="298" t="s">
        <v>2085</v>
      </c>
      <c r="P224" s="299"/>
      <c r="Q224" s="300"/>
      <c r="R224" s="297"/>
      <c r="S224" s="301"/>
      <c r="T224" s="302">
        <f>ROUNDDOWN(IFERROR(tabItens[[#This Row],[ATA DT.VALID.]] - $D$1,0) / 30,0)</f>
        <v>-1504</v>
      </c>
      <c r="U224" s="287" t="s">
        <v>1019</v>
      </c>
      <c r="V224" s="303">
        <v>1</v>
      </c>
      <c r="W224" s="304" t="s">
        <v>2051</v>
      </c>
      <c r="X224" s="305">
        <v>51</v>
      </c>
      <c r="Y224" s="306">
        <v>12</v>
      </c>
      <c r="Z224" s="307">
        <v>2430</v>
      </c>
      <c r="AA224" s="308">
        <v>2023</v>
      </c>
      <c r="AB224" s="309">
        <v>100</v>
      </c>
      <c r="AC224" s="309"/>
      <c r="AD224" s="308"/>
      <c r="AE224" s="309"/>
      <c r="AF224" s="302"/>
      <c r="AG224" s="310" t="s">
        <v>2050</v>
      </c>
      <c r="AH224" s="311"/>
      <c r="AI224" s="302">
        <v>52</v>
      </c>
      <c r="AJ224" s="311">
        <v>44140</v>
      </c>
      <c r="AK224" s="311" t="s">
        <v>883</v>
      </c>
      <c r="AL224" s="311">
        <v>44592</v>
      </c>
      <c r="AM224" s="301"/>
      <c r="AN224" s="290"/>
      <c r="AO224" s="312" t="str">
        <f>_xlfn.IFNA(IF(VLOOKUP(tabItens[[#This Row],[CÓDIGO]],tabExcluirDoEstoque[#Data],1,FALSE),"sim",""),"")</f>
        <v/>
      </c>
      <c r="AP224" s="313" t="str">
        <f ca="1">IF(OR(ISBLANK(tabItens[[#This Row],[ATA DT.VALID.]]),tabItens[[#This Row],[ATA DT.VALID.]]="",tabItens[[#This Row],[ATA DT.VALID.]]=" "),"",IF(TYPE(tabItens[[#This Row],[ATA DT.VALID.]])=1,ROUNDUP((tabItens[[#This Row],[ATA DT.VALID.]]-TODAY())/7,0),""))</f>
        <v/>
      </c>
      <c r="AQ224" s="314">
        <v>0</v>
      </c>
      <c r="AR224" s="315" t="str">
        <f>IF(ISBLANK(tabItens[[#This Row],[CÓDIGO]]),"",IFERROR(VLOOKUP(tabItens[[#This Row],[CÓDIGO]],Consumo!$C$2:$AC$869,26,FALSE),0))</f>
        <v>07.2023</v>
      </c>
      <c r="AS224" s="316">
        <f>SUMIF(Consumo!$C$3:$C$869,tabItens[[#This Row],[CÓDIGO]],Consumo!$N$3:$N$869) + SUMIF(Consumo!$C$3:$C$869,tabItens[[#This Row],[CÓDIGO]],Consumo!$O$3:$O$869) + SUMIF(Consumo!$C$3:$C$869,tabItens[[#This Row],[CÓDIGO]],Consumo!$P$3:$P$869) + SUMIF(Consumo!$C$3:$C$869,tabItens[[#This Row],[CÓDIGO]],Consumo!$Q$3:$Q$869)</f>
        <v>50</v>
      </c>
      <c r="AT224" s="316">
        <f>SUMIF(Consumo!$C$3:$C$869,tabItens[[#This Row],[CÓDIGO]],Consumo!$Z$3:$Z$869)</f>
        <v>154</v>
      </c>
      <c r="AU224" s="317">
        <f>SUMIF(Consumo!$C$3:$C$869,tabItens[[#This Row],[CÓDIGO]],Consumo!$AA$3:$AA$869)</f>
        <v>29</v>
      </c>
      <c r="AV224" s="318">
        <f>SUMIF(Consumo!$C$3:$C$869,tabItens[[#This Row],[CÓDIGO]],Consumo!$Y$3:$Y$869)</f>
        <v>12.833333333333334</v>
      </c>
      <c r="AW224" s="291">
        <f>tabItens[[#This Row],[QTDE ATUAL]] + tabItens[[#This Row],[RC QTDE]] + tabItens[[#This Row],[AF SALDO]] + tabItens[[#This Row],[Recentes]]</f>
        <v>237</v>
      </c>
      <c r="AX224" s="319">
        <v>34</v>
      </c>
      <c r="AY224" s="319">
        <v>4</v>
      </c>
      <c r="AZ224" s="319">
        <f>IF(ISBLANK(tabItens[[#This Row],[CÓDIGO]]),"",tabItens[[#This Row],[PontoMês]] * (AZ$2+tabItens[[#This Row],[PontoQtM]]))</f>
        <v>136</v>
      </c>
      <c r="BA224" s="318">
        <f>tabItens[[#This Row],[PontoPed]] - tabItens[[#This Row],[Saldo]] + (1/10)</f>
        <v>-100.9</v>
      </c>
      <c r="BB224" s="318">
        <f xml:space="preserve"> tabItens[[#This Row],[PontoMês]] * BB$2 - tabItens[[#This Row],[QTDE ATUAL]] - (1/10)</f>
        <v>-103.1</v>
      </c>
      <c r="BC224" s="320">
        <f>IF( tabItens[[#This Row],[PontoPed]]&gt;0, IF(tabItens[[#This Row],[PontoPed]]&lt;1, 1, IF( tabItens[[#This Row],[Saldo]]&gt;tabItens[[#This Row],[PontoPed]], 0, (tabItens[[#This Row],[PontoPed]]-tabItens[[#This Row],[Saldo]])/tabItens[[#This Row],[PontoPed]] ) ), 0 )</f>
        <v>0</v>
      </c>
      <c r="BD224" s="321">
        <f>ROUNDDOWN(IF( OR( AND(tabItens[[#This Row],[PontoPed]]&lt;tabItens[[#This Row],[Saldo]],tabItens[[#This Row],[Saldo]]&gt;0), tabItens[[#This Row],[PontoPed]]=0), 99, IF(AND(tabItens[[#This Row],[Saldo]]=0,tabItens[[#This Row],[PontoPed]]&gt;0), 0, (1-tabItens[[#This Row],[PctAb]])*10 ) ),0)</f>
        <v>99</v>
      </c>
      <c r="BE224" s="322">
        <f>MAX(ROUNDDOWN( IF(tabItens[[#This Row],[Abaixo]] &gt; 0,   tabItens[[#This Row],[Abaixo]] + (tabItens[[#This Row],[PontoMês]] * IF( OR( ISBLANK(tabItens[[#This Row],[ATA Nº/ANO]]), tabItens[[#This Row],[ATA Nº/ANO]] = ""),BE$2,BE$1)),0),0),0)</f>
        <v>0</v>
      </c>
      <c r="BF22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323">
        <f>SUMIF(Consumo!$C$3:$C$869,tabItens[[#This Row],[CÓDIGO]],Consumo!$E$3:$E$869)</f>
        <v>1</v>
      </c>
      <c r="BH224" s="324">
        <f>IF(AND(tabItens[[#This Row],[Pend]] &gt; 0,tabItens[[#This Row],[Consumo]] &lt;&gt; 0), tabItens[[#This Row],[Pend]] / tabItens[[#This Row],[Consumo]], 0 )</f>
        <v>6.4935064935064939E-3</v>
      </c>
      <c r="BI224" s="323"/>
      <c r="BJ224" s="323"/>
      <c r="BK224" s="325" t="s">
        <v>2064</v>
      </c>
    </row>
    <row r="225" spans="1:63" hidden="1" x14ac:dyDescent="0.3">
      <c r="A225" s="286">
        <v>110895</v>
      </c>
      <c r="B225" s="287" t="s">
        <v>1669</v>
      </c>
      <c r="C225" s="288" t="s">
        <v>256</v>
      </c>
      <c r="D225" s="289">
        <v>4.45</v>
      </c>
      <c r="E225" s="290"/>
      <c r="F225" s="290"/>
      <c r="G225" s="290" t="s">
        <v>883</v>
      </c>
      <c r="H225" s="291">
        <v>223</v>
      </c>
      <c r="I225" s="292">
        <v>103003</v>
      </c>
      <c r="J225" s="293">
        <v>4.45</v>
      </c>
      <c r="K225" s="294">
        <v>204</v>
      </c>
      <c r="L225" s="295">
        <f>IF(tabItens[[#This Row],[Média]] &gt; 0, tabItens[[#This Row],[QTDE ATUAL]] / tabItens[[#This Row],[Média]],999.9)</f>
        <v>12</v>
      </c>
      <c r="M225" s="296">
        <v>0</v>
      </c>
      <c r="N225" s="297">
        <f>tabItens[[#This Row],[VALOR UNIT.]] * tabItens[[#This Row],[LC]]</f>
        <v>0</v>
      </c>
      <c r="O225" s="298" t="s">
        <v>2082</v>
      </c>
      <c r="P225" s="299"/>
      <c r="Q225" s="300"/>
      <c r="R225" s="297"/>
      <c r="S225" s="301"/>
      <c r="T225" s="302">
        <f>ROUNDDOWN(IFERROR(tabItens[[#This Row],[ATA DT.VALID.]] - $D$1,0) / 30,0)</f>
        <v>-1504</v>
      </c>
      <c r="U225" s="287" t="s">
        <v>985</v>
      </c>
      <c r="V225" s="303">
        <v>1</v>
      </c>
      <c r="W225" s="304" t="s">
        <v>2055</v>
      </c>
      <c r="X225" s="305">
        <v>55</v>
      </c>
      <c r="Y225" s="306">
        <v>7</v>
      </c>
      <c r="Z225" s="307"/>
      <c r="AA225" s="308"/>
      <c r="AB225" s="309"/>
      <c r="AC225" s="309"/>
      <c r="AD225" s="308"/>
      <c r="AE225" s="309"/>
      <c r="AF225" s="302"/>
      <c r="AG225" s="310" t="s">
        <v>2050</v>
      </c>
      <c r="AH225" s="311"/>
      <c r="AI225" s="302">
        <v>80</v>
      </c>
      <c r="AJ225" s="311">
        <v>44638</v>
      </c>
      <c r="AK225" s="311">
        <v>39944</v>
      </c>
      <c r="AL225" s="311">
        <v>44616</v>
      </c>
      <c r="AM225" s="301"/>
      <c r="AN225" s="290"/>
      <c r="AO225" s="312" t="str">
        <f>_xlfn.IFNA(IF(VLOOKUP(tabItens[[#This Row],[CÓDIGO]],tabExcluirDoEstoque[#Data],1,FALSE),"sim",""),"")</f>
        <v/>
      </c>
      <c r="AP225" s="313" t="str">
        <f ca="1">IF(OR(ISBLANK(tabItens[[#This Row],[ATA DT.VALID.]]),tabItens[[#This Row],[ATA DT.VALID.]]="",tabItens[[#This Row],[ATA DT.VALID.]]=" "),"",IF(TYPE(tabItens[[#This Row],[ATA DT.VALID.]])=1,ROUNDUP((tabItens[[#This Row],[ATA DT.VALID.]]-TODAY())/7,0),""))</f>
        <v/>
      </c>
      <c r="AQ225" s="314">
        <v>0</v>
      </c>
      <c r="AR225" s="315" t="str">
        <f>IF(ISBLANK(tabItens[[#This Row],[CÓDIGO]]),"",IFERROR(VLOOKUP(tabItens[[#This Row],[CÓDIGO]],Consumo!$C$2:$AC$869,26,FALSE),0))</f>
        <v>07.2023</v>
      </c>
      <c r="AS225" s="316">
        <f>SUMIF(Consumo!$C$3:$C$869,tabItens[[#This Row],[CÓDIGO]],Consumo!$N$3:$N$869) + SUMIF(Consumo!$C$3:$C$869,tabItens[[#This Row],[CÓDIGO]],Consumo!$O$3:$O$869) + SUMIF(Consumo!$C$3:$C$869,tabItens[[#This Row],[CÓDIGO]],Consumo!$P$3:$P$869) + SUMIF(Consumo!$C$3:$C$869,tabItens[[#This Row],[CÓDIGO]],Consumo!$Q$3:$Q$869)</f>
        <v>125</v>
      </c>
      <c r="AT225" s="316">
        <f>SUMIF(Consumo!$C$3:$C$869,tabItens[[#This Row],[CÓDIGO]],Consumo!$Z$3:$Z$869)</f>
        <v>237</v>
      </c>
      <c r="AU225" s="317">
        <f>SUMIF(Consumo!$C$3:$C$869,tabItens[[#This Row],[CÓDIGO]],Consumo!$AA$3:$AA$869)</f>
        <v>75</v>
      </c>
      <c r="AV225" s="318">
        <f>SUMIF(Consumo!$C$3:$C$869,tabItens[[#This Row],[CÓDIGO]],Consumo!$Y$3:$Y$869)</f>
        <v>18.583333333333332</v>
      </c>
      <c r="AW225" s="291">
        <f>tabItens[[#This Row],[QTDE ATUAL]] + tabItens[[#This Row],[RC QTDE]] + tabItens[[#This Row],[AF SALDO]] + tabItens[[#This Row],[Recentes]]</f>
        <v>223</v>
      </c>
      <c r="AX225" s="319">
        <v>34</v>
      </c>
      <c r="AY225" s="319">
        <v>4</v>
      </c>
      <c r="AZ225" s="319">
        <f>IF(ISBLANK(tabItens[[#This Row],[CÓDIGO]]),"",tabItens[[#This Row],[PontoMês]] * (AZ$2+tabItens[[#This Row],[PontoQtM]]))</f>
        <v>136</v>
      </c>
      <c r="BA225" s="318">
        <f>tabItens[[#This Row],[PontoPed]] - tabItens[[#This Row],[Saldo]] + (1/10)</f>
        <v>-86.9</v>
      </c>
      <c r="BB225" s="318">
        <f xml:space="preserve"> tabItens[[#This Row],[PontoMês]] * BB$2 - tabItens[[#This Row],[QTDE ATUAL]] - (1/10)</f>
        <v>-189.1</v>
      </c>
      <c r="BC225" s="320">
        <f>IF( tabItens[[#This Row],[PontoPed]]&gt;0, IF(tabItens[[#This Row],[PontoPed]]&lt;1, 1, IF( tabItens[[#This Row],[Saldo]]&gt;tabItens[[#This Row],[PontoPed]], 0, (tabItens[[#This Row],[PontoPed]]-tabItens[[#This Row],[Saldo]])/tabItens[[#This Row],[PontoPed]] ) ), 0 )</f>
        <v>0</v>
      </c>
      <c r="BD225" s="321">
        <f>ROUNDDOWN(IF( OR( AND(tabItens[[#This Row],[PontoPed]]&lt;tabItens[[#This Row],[Saldo]],tabItens[[#This Row],[Saldo]]&gt;0), tabItens[[#This Row],[PontoPed]]=0), 99, IF(AND(tabItens[[#This Row],[Saldo]]=0,tabItens[[#This Row],[PontoPed]]&gt;0), 0, (1-tabItens[[#This Row],[PctAb]])*10 ) ),0)</f>
        <v>99</v>
      </c>
      <c r="BE225" s="322">
        <f>MAX(ROUNDDOWN( IF(tabItens[[#This Row],[Abaixo]] &gt; 0,   tabItens[[#This Row],[Abaixo]] + (tabItens[[#This Row],[PontoMês]] * IF( OR( ISBLANK(tabItens[[#This Row],[ATA Nº/ANO]]), tabItens[[#This Row],[ATA Nº/ANO]] = ""),BE$2,BE$1)),0),0),0)</f>
        <v>0</v>
      </c>
      <c r="BF2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323">
        <f>SUMIF(Consumo!$C$3:$C$869,tabItens[[#This Row],[CÓDIGO]],Consumo!$E$3:$E$869)</f>
        <v>0</v>
      </c>
      <c r="BH225" s="324">
        <f>IF(AND(tabItens[[#This Row],[Pend]] &gt; 0,tabItens[[#This Row],[Consumo]] &lt;&gt; 0), tabItens[[#This Row],[Pend]] / tabItens[[#This Row],[Consumo]], 0 )</f>
        <v>0</v>
      </c>
      <c r="BI225" s="323"/>
      <c r="BJ225" s="323"/>
      <c r="BK225" s="325" t="s">
        <v>2064</v>
      </c>
    </row>
    <row r="226" spans="1:63" hidden="1" x14ac:dyDescent="0.3">
      <c r="A226" s="286">
        <v>110896</v>
      </c>
      <c r="B226" s="287" t="s">
        <v>1670</v>
      </c>
      <c r="C226" s="288" t="s">
        <v>256</v>
      </c>
      <c r="D226" s="289">
        <v>6.4</v>
      </c>
      <c r="E226" s="290"/>
      <c r="F226" s="290"/>
      <c r="G226" s="290" t="s">
        <v>883</v>
      </c>
      <c r="H226" s="291">
        <v>42</v>
      </c>
      <c r="I226" s="292">
        <v>103003</v>
      </c>
      <c r="J226" s="293">
        <v>6.4</v>
      </c>
      <c r="K226" s="294">
        <v>14</v>
      </c>
      <c r="L226" s="295">
        <f>IF(tabItens[[#This Row],[Média]] &gt; 0, tabItens[[#This Row],[QTDE ATUAL]] / tabItens[[#This Row],[Média]],999.9)</f>
        <v>50.4</v>
      </c>
      <c r="M226" s="296">
        <v>0</v>
      </c>
      <c r="N226" s="297">
        <f>tabItens[[#This Row],[VALOR UNIT.]] * tabItens[[#This Row],[LC]]</f>
        <v>0</v>
      </c>
      <c r="O226" s="298" t="s">
        <v>2082</v>
      </c>
      <c r="P226" s="299"/>
      <c r="Q226" s="300"/>
      <c r="R226" s="297"/>
      <c r="S226" s="301"/>
      <c r="T226" s="302">
        <f>ROUNDDOWN(IFERROR(tabItens[[#This Row],[ATA DT.VALID.]] - $D$1,0) / 30,0)</f>
        <v>-1504</v>
      </c>
      <c r="U226" s="287" t="s">
        <v>985</v>
      </c>
      <c r="V226" s="303">
        <v>1</v>
      </c>
      <c r="W226" s="304" t="s">
        <v>2055</v>
      </c>
      <c r="X226" s="305">
        <v>55</v>
      </c>
      <c r="Y226" s="306">
        <v>7</v>
      </c>
      <c r="Z226" s="307"/>
      <c r="AA226" s="308"/>
      <c r="AB226" s="309"/>
      <c r="AC226" s="309"/>
      <c r="AD226" s="308"/>
      <c r="AE226" s="309"/>
      <c r="AF226" s="302"/>
      <c r="AG226" s="310" t="s">
        <v>2050</v>
      </c>
      <c r="AH226" s="311"/>
      <c r="AI226" s="302">
        <v>6</v>
      </c>
      <c r="AJ226" s="311">
        <v>43812</v>
      </c>
      <c r="AK226" s="311">
        <v>39944</v>
      </c>
      <c r="AL226" s="311">
        <v>43783</v>
      </c>
      <c r="AM226" s="301"/>
      <c r="AN226" s="290"/>
      <c r="AO226" s="312" t="str">
        <f>_xlfn.IFNA(IF(VLOOKUP(tabItens[[#This Row],[CÓDIGO]],tabExcluirDoEstoque[#Data],1,FALSE),"sim",""),"")</f>
        <v/>
      </c>
      <c r="AP226" s="313" t="str">
        <f ca="1">IF(OR(ISBLANK(tabItens[[#This Row],[ATA DT.VALID.]]),tabItens[[#This Row],[ATA DT.VALID.]]="",tabItens[[#This Row],[ATA DT.VALID.]]=" "),"",IF(TYPE(tabItens[[#This Row],[ATA DT.VALID.]])=1,ROUNDUP((tabItens[[#This Row],[ATA DT.VALID.]]-TODAY())/7,0),""))</f>
        <v/>
      </c>
      <c r="AQ226" s="314">
        <v>0</v>
      </c>
      <c r="AR226" s="315" t="str">
        <f>IF(ISBLANK(tabItens[[#This Row],[CÓDIGO]]),"",IFERROR(VLOOKUP(tabItens[[#This Row],[CÓDIGO]],Consumo!$C$2:$AC$869,26,FALSE),0))</f>
        <v>03.2023</v>
      </c>
      <c r="AS226" s="316">
        <f>SUMIF(Consumo!$C$3:$C$869,tabItens[[#This Row],[CÓDIGO]],Consumo!$N$3:$N$869) + SUMIF(Consumo!$C$3:$C$869,tabItens[[#This Row],[CÓDIGO]],Consumo!$O$3:$O$869) + SUMIF(Consumo!$C$3:$C$869,tabItens[[#This Row],[CÓDIGO]],Consumo!$P$3:$P$869) + SUMIF(Consumo!$C$3:$C$869,tabItens[[#This Row],[CÓDIGO]],Consumo!$Q$3:$Q$869)</f>
        <v>0</v>
      </c>
      <c r="AT226" s="316">
        <f>SUMIF(Consumo!$C$3:$C$869,tabItens[[#This Row],[CÓDIGO]],Consumo!$Z$3:$Z$869)</f>
        <v>14</v>
      </c>
      <c r="AU226" s="317">
        <f>SUMIF(Consumo!$C$3:$C$869,tabItens[[#This Row],[CÓDIGO]],Consumo!$AA$3:$AA$869)</f>
        <v>10</v>
      </c>
      <c r="AV226" s="318">
        <f>SUMIF(Consumo!$C$3:$C$869,tabItens[[#This Row],[CÓDIGO]],Consumo!$Y$3:$Y$869)</f>
        <v>0.83333333333333337</v>
      </c>
      <c r="AW226" s="291">
        <f>tabItens[[#This Row],[QTDE ATUAL]] + tabItens[[#This Row],[RC QTDE]] + tabItens[[#This Row],[AF SALDO]] + tabItens[[#This Row],[Recentes]]</f>
        <v>42</v>
      </c>
      <c r="AX226" s="319">
        <v>5</v>
      </c>
      <c r="AY226" s="319">
        <v>4</v>
      </c>
      <c r="AZ226" s="319">
        <f>IF(ISBLANK(tabItens[[#This Row],[CÓDIGO]]),"",tabItens[[#This Row],[PontoMês]] * (AZ$2+tabItens[[#This Row],[PontoQtM]]))</f>
        <v>20</v>
      </c>
      <c r="BA226" s="318">
        <f>tabItens[[#This Row],[PontoPed]] - tabItens[[#This Row],[Saldo]] + (1/10)</f>
        <v>-21.9</v>
      </c>
      <c r="BB226" s="318">
        <f xml:space="preserve"> tabItens[[#This Row],[PontoMês]] * BB$2 - tabItens[[#This Row],[QTDE ATUAL]] - (1/10)</f>
        <v>-37.1</v>
      </c>
      <c r="BC226" s="320">
        <f>IF( tabItens[[#This Row],[PontoPed]]&gt;0, IF(tabItens[[#This Row],[PontoPed]]&lt;1, 1, IF( tabItens[[#This Row],[Saldo]]&gt;tabItens[[#This Row],[PontoPed]], 0, (tabItens[[#This Row],[PontoPed]]-tabItens[[#This Row],[Saldo]])/tabItens[[#This Row],[PontoPed]] ) ), 0 )</f>
        <v>0</v>
      </c>
      <c r="BD226" s="321">
        <f>ROUNDDOWN(IF( OR( AND(tabItens[[#This Row],[PontoPed]]&lt;tabItens[[#This Row],[Saldo]],tabItens[[#This Row],[Saldo]]&gt;0), tabItens[[#This Row],[PontoPed]]=0), 99, IF(AND(tabItens[[#This Row],[Saldo]]=0,tabItens[[#This Row],[PontoPed]]&gt;0), 0, (1-tabItens[[#This Row],[PctAb]])*10 ) ),0)</f>
        <v>99</v>
      </c>
      <c r="BE226" s="322">
        <f>MAX(ROUNDDOWN( IF(tabItens[[#This Row],[Abaixo]] &gt; 0,   tabItens[[#This Row],[Abaixo]] + (tabItens[[#This Row],[PontoMês]] * IF( OR( ISBLANK(tabItens[[#This Row],[ATA Nº/ANO]]), tabItens[[#This Row],[ATA Nº/ANO]] = ""),BE$2,BE$1)),0),0),0)</f>
        <v>0</v>
      </c>
      <c r="BF22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323">
        <f>SUMIF(Consumo!$C$3:$C$869,tabItens[[#This Row],[CÓDIGO]],Consumo!$E$3:$E$869)</f>
        <v>0</v>
      </c>
      <c r="BH226" s="324">
        <f>IF(AND(tabItens[[#This Row],[Pend]] &gt; 0,tabItens[[#This Row],[Consumo]] &lt;&gt; 0), tabItens[[#This Row],[Pend]] / tabItens[[#This Row],[Consumo]], 0 )</f>
        <v>0</v>
      </c>
      <c r="BI226" s="323"/>
      <c r="BJ226" s="323"/>
      <c r="BK226" s="325" t="s">
        <v>2064</v>
      </c>
    </row>
    <row r="227" spans="1:63" hidden="1" x14ac:dyDescent="0.3">
      <c r="A227" s="286">
        <v>112158</v>
      </c>
      <c r="B227" s="287" t="s">
        <v>1681</v>
      </c>
      <c r="C227" s="288" t="s">
        <v>31</v>
      </c>
      <c r="D227" s="289">
        <v>9.49</v>
      </c>
      <c r="E227" s="290"/>
      <c r="F227" s="290"/>
      <c r="G227" s="290" t="s">
        <v>883</v>
      </c>
      <c r="H227" s="291">
        <v>248</v>
      </c>
      <c r="I227" s="292">
        <v>103003</v>
      </c>
      <c r="J227" s="293">
        <v>9.49</v>
      </c>
      <c r="K227" s="294">
        <v>122</v>
      </c>
      <c r="L227" s="295">
        <f>IF(tabItens[[#This Row],[Média]] &gt; 0, tabItens[[#This Row],[QTDE ATUAL]] / tabItens[[#This Row],[Média]],999.9)</f>
        <v>18.48447204968944</v>
      </c>
      <c r="M227" s="296">
        <v>0</v>
      </c>
      <c r="N227" s="297">
        <f>tabItens[[#This Row],[VALOR UNIT.]] * tabItens[[#This Row],[LC]]</f>
        <v>0</v>
      </c>
      <c r="O227" s="298" t="s">
        <v>2082</v>
      </c>
      <c r="P227" s="299"/>
      <c r="Q227" s="300"/>
      <c r="R227" s="297"/>
      <c r="S227" s="301"/>
      <c r="T227" s="302">
        <f>ROUNDDOWN(IFERROR(tabItens[[#This Row],[ATA DT.VALID.]] - $D$1,0) / 30,0)</f>
        <v>-1504</v>
      </c>
      <c r="U227" s="287" t="s">
        <v>985</v>
      </c>
      <c r="V227" s="303">
        <v>1</v>
      </c>
      <c r="W227" s="304" t="s">
        <v>2055</v>
      </c>
      <c r="X227" s="305">
        <v>55</v>
      </c>
      <c r="Y227" s="306">
        <v>7</v>
      </c>
      <c r="Z227" s="307"/>
      <c r="AA227" s="308"/>
      <c r="AB227" s="309"/>
      <c r="AC227" s="309"/>
      <c r="AD227" s="308"/>
      <c r="AE227" s="309"/>
      <c r="AF227" s="302"/>
      <c r="AG227" s="310" t="s">
        <v>2050</v>
      </c>
      <c r="AH227" s="311"/>
      <c r="AI227" s="302">
        <v>54</v>
      </c>
      <c r="AJ227" s="311">
        <v>44544</v>
      </c>
      <c r="AK227" s="311">
        <v>40045</v>
      </c>
      <c r="AL227" s="311">
        <v>44516</v>
      </c>
      <c r="AM227" s="301"/>
      <c r="AN227" s="290"/>
      <c r="AO227" s="312" t="str">
        <f>_xlfn.IFNA(IF(VLOOKUP(tabItens[[#This Row],[CÓDIGO]],tabExcluirDoEstoque[#Data],1,FALSE),"sim",""),"")</f>
        <v/>
      </c>
      <c r="AP227" s="313" t="str">
        <f ca="1">IF(OR(ISBLANK(tabItens[[#This Row],[ATA DT.VALID.]]),tabItens[[#This Row],[ATA DT.VALID.]]="",tabItens[[#This Row],[ATA DT.VALID.]]=" "),"",IF(TYPE(tabItens[[#This Row],[ATA DT.VALID.]])=1,ROUNDUP((tabItens[[#This Row],[ATA DT.VALID.]]-TODAY())/7,0),""))</f>
        <v/>
      </c>
      <c r="AQ227" s="314">
        <v>0</v>
      </c>
      <c r="AR227" s="315" t="str">
        <f>IF(ISBLANK(tabItens[[#This Row],[CÓDIGO]]),"",IFERROR(VLOOKUP(tabItens[[#This Row],[CÓDIGO]],Consumo!$C$2:$AC$869,26,FALSE),0))</f>
        <v>06.2023</v>
      </c>
      <c r="AS227" s="316">
        <f>SUMIF(Consumo!$C$3:$C$869,tabItens[[#This Row],[CÓDIGO]],Consumo!$N$3:$N$869) + SUMIF(Consumo!$C$3:$C$869,tabItens[[#This Row],[CÓDIGO]],Consumo!$O$3:$O$869) + SUMIF(Consumo!$C$3:$C$869,tabItens[[#This Row],[CÓDIGO]],Consumo!$P$3:$P$869) + SUMIF(Consumo!$C$3:$C$869,tabItens[[#This Row],[CÓDIGO]],Consumo!$Q$3:$Q$869)</f>
        <v>40</v>
      </c>
      <c r="AT227" s="316">
        <f>SUMIF(Consumo!$C$3:$C$869,tabItens[[#This Row],[CÓDIGO]],Consumo!$Z$3:$Z$869)</f>
        <v>161</v>
      </c>
      <c r="AU227" s="317">
        <f>SUMIF(Consumo!$C$3:$C$869,tabItens[[#This Row],[CÓDIGO]],Consumo!$AA$3:$AA$869)</f>
        <v>25</v>
      </c>
      <c r="AV227" s="318">
        <f>SUMIF(Consumo!$C$3:$C$869,tabItens[[#This Row],[CÓDIGO]],Consumo!$Y$3:$Y$869)</f>
        <v>13.416666666666666</v>
      </c>
      <c r="AW227" s="291">
        <f>tabItens[[#This Row],[QTDE ATUAL]] + tabItens[[#This Row],[RC QTDE]] + tabItens[[#This Row],[AF SALDO]] + tabItens[[#This Row],[Recentes]]</f>
        <v>248</v>
      </c>
      <c r="AX227" s="319">
        <v>21</v>
      </c>
      <c r="AY227" s="319">
        <v>4</v>
      </c>
      <c r="AZ227" s="319">
        <f>IF(ISBLANK(tabItens[[#This Row],[CÓDIGO]]),"",tabItens[[#This Row],[PontoMês]] * (AZ$2+tabItens[[#This Row],[PontoQtM]]))</f>
        <v>84</v>
      </c>
      <c r="BA227" s="318">
        <f>tabItens[[#This Row],[PontoPed]] - tabItens[[#This Row],[Saldo]] + (1/10)</f>
        <v>-163.9</v>
      </c>
      <c r="BB227" s="318">
        <f xml:space="preserve"> tabItens[[#This Row],[PontoMês]] * BB$2 - tabItens[[#This Row],[QTDE ATUAL]] - (1/10)</f>
        <v>-227.1</v>
      </c>
      <c r="BC227" s="320">
        <f>IF( tabItens[[#This Row],[PontoPed]]&gt;0, IF(tabItens[[#This Row],[PontoPed]]&lt;1, 1, IF( tabItens[[#This Row],[Saldo]]&gt;tabItens[[#This Row],[PontoPed]], 0, (tabItens[[#This Row],[PontoPed]]-tabItens[[#This Row],[Saldo]])/tabItens[[#This Row],[PontoPed]] ) ), 0 )</f>
        <v>0</v>
      </c>
      <c r="BD227" s="321">
        <f>ROUNDDOWN(IF( OR( AND(tabItens[[#This Row],[PontoPed]]&lt;tabItens[[#This Row],[Saldo]],tabItens[[#This Row],[Saldo]]&gt;0), tabItens[[#This Row],[PontoPed]]=0), 99, IF(AND(tabItens[[#This Row],[Saldo]]=0,tabItens[[#This Row],[PontoPed]]&gt;0), 0, (1-tabItens[[#This Row],[PctAb]])*10 ) ),0)</f>
        <v>99</v>
      </c>
      <c r="BE227" s="322">
        <f>MAX(ROUNDDOWN( IF(tabItens[[#This Row],[Abaixo]] &gt; 0,   tabItens[[#This Row],[Abaixo]] + (tabItens[[#This Row],[PontoMês]] * IF( OR( ISBLANK(tabItens[[#This Row],[ATA Nº/ANO]]), tabItens[[#This Row],[ATA Nº/ANO]] = ""),BE$2,BE$1)),0),0),0)</f>
        <v>0</v>
      </c>
      <c r="BF22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323">
        <f>SUMIF(Consumo!$C$3:$C$869,tabItens[[#This Row],[CÓDIGO]],Consumo!$E$3:$E$869)</f>
        <v>0</v>
      </c>
      <c r="BH227" s="324">
        <f>IF(AND(tabItens[[#This Row],[Pend]] &gt; 0,tabItens[[#This Row],[Consumo]] &lt;&gt; 0), tabItens[[#This Row],[Pend]] / tabItens[[#This Row],[Consumo]], 0 )</f>
        <v>0</v>
      </c>
      <c r="BI227" s="323"/>
      <c r="BJ227" s="323"/>
      <c r="BK227" s="325" t="s">
        <v>2064</v>
      </c>
    </row>
    <row r="228" spans="1:63" hidden="1" x14ac:dyDescent="0.3">
      <c r="A228" s="286">
        <v>112159</v>
      </c>
      <c r="B228" s="287" t="s">
        <v>1682</v>
      </c>
      <c r="C228" s="288" t="s">
        <v>31</v>
      </c>
      <c r="D228" s="289">
        <v>17.48</v>
      </c>
      <c r="E228" s="290"/>
      <c r="F228" s="290"/>
      <c r="G228" s="290" t="s">
        <v>883</v>
      </c>
      <c r="H228" s="291">
        <v>306</v>
      </c>
      <c r="I228" s="292">
        <v>103003</v>
      </c>
      <c r="J228" s="293">
        <v>17.48</v>
      </c>
      <c r="K228" s="294">
        <v>52</v>
      </c>
      <c r="L228" s="295">
        <f>IF(tabItens[[#This Row],[Média]] &gt; 0, tabItens[[#This Row],[QTDE ATUAL]] / tabItens[[#This Row],[Média]],999.9)</f>
        <v>73.44</v>
      </c>
      <c r="M228" s="296">
        <v>0</v>
      </c>
      <c r="N228" s="297">
        <f>tabItens[[#This Row],[VALOR UNIT.]] * tabItens[[#This Row],[LC]]</f>
        <v>0</v>
      </c>
      <c r="O228" s="298" t="s">
        <v>2082</v>
      </c>
      <c r="P228" s="299"/>
      <c r="Q228" s="300"/>
      <c r="R228" s="297"/>
      <c r="S228" s="301"/>
      <c r="T228" s="302">
        <f>ROUNDDOWN(IFERROR(tabItens[[#This Row],[ATA DT.VALID.]] - $D$1,0) / 30,0)</f>
        <v>-1504</v>
      </c>
      <c r="U228" s="287" t="s">
        <v>985</v>
      </c>
      <c r="V228" s="303">
        <v>1</v>
      </c>
      <c r="W228" s="304" t="s">
        <v>2055</v>
      </c>
      <c r="X228" s="305">
        <v>55</v>
      </c>
      <c r="Y228" s="306">
        <v>7</v>
      </c>
      <c r="Z228" s="307"/>
      <c r="AA228" s="308"/>
      <c r="AB228" s="309"/>
      <c r="AC228" s="309"/>
      <c r="AD228" s="308"/>
      <c r="AE228" s="309"/>
      <c r="AF228" s="302"/>
      <c r="AG228" s="310" t="s">
        <v>2050</v>
      </c>
      <c r="AH228" s="311"/>
      <c r="AI228" s="302">
        <v>18</v>
      </c>
      <c r="AJ228" s="311">
        <v>44544</v>
      </c>
      <c r="AK228" s="311">
        <v>40045</v>
      </c>
      <c r="AL228" s="311">
        <v>44516</v>
      </c>
      <c r="AM228" s="301"/>
      <c r="AN228" s="290"/>
      <c r="AO228" s="312" t="str">
        <f>_xlfn.IFNA(IF(VLOOKUP(tabItens[[#This Row],[CÓDIGO]],tabExcluirDoEstoque[#Data],1,FALSE),"sim",""),"")</f>
        <v/>
      </c>
      <c r="AP228" s="313" t="str">
        <f ca="1">IF(OR(ISBLANK(tabItens[[#This Row],[ATA DT.VALID.]]),tabItens[[#This Row],[ATA DT.VALID.]]="",tabItens[[#This Row],[ATA DT.VALID.]]=" "),"",IF(TYPE(tabItens[[#This Row],[ATA DT.VALID.]])=1,ROUNDUP((tabItens[[#This Row],[ATA DT.VALID.]]-TODAY())/7,0),""))</f>
        <v/>
      </c>
      <c r="AQ228" s="314">
        <v>0</v>
      </c>
      <c r="AR228" s="315" t="str">
        <f>IF(ISBLANK(tabItens[[#This Row],[CÓDIGO]]),"",IFERROR(VLOOKUP(tabItens[[#This Row],[CÓDIGO]],Consumo!$C$2:$AC$869,26,FALSE),0))</f>
        <v>05.2023</v>
      </c>
      <c r="AS228" s="316">
        <f>SUMIF(Consumo!$C$3:$C$869,tabItens[[#This Row],[CÓDIGO]],Consumo!$N$3:$N$869) + SUMIF(Consumo!$C$3:$C$869,tabItens[[#This Row],[CÓDIGO]],Consumo!$O$3:$O$869) + SUMIF(Consumo!$C$3:$C$869,tabItens[[#This Row],[CÓDIGO]],Consumo!$P$3:$P$869) + SUMIF(Consumo!$C$3:$C$869,tabItens[[#This Row],[CÓDIGO]],Consumo!$Q$3:$Q$869)</f>
        <v>40</v>
      </c>
      <c r="AT228" s="316">
        <f>SUMIF(Consumo!$C$3:$C$869,tabItens[[#This Row],[CÓDIGO]],Consumo!$Z$3:$Z$869)</f>
        <v>52</v>
      </c>
      <c r="AU228" s="317">
        <f>SUMIF(Consumo!$C$3:$C$869,tabItens[[#This Row],[CÓDIGO]],Consumo!$AA$3:$AA$869)</f>
        <v>20</v>
      </c>
      <c r="AV228" s="318">
        <f>SUMIF(Consumo!$C$3:$C$869,tabItens[[#This Row],[CÓDIGO]],Consumo!$Y$3:$Y$869)</f>
        <v>4.166666666666667</v>
      </c>
      <c r="AW228" s="291">
        <f>tabItens[[#This Row],[QTDE ATUAL]] + tabItens[[#This Row],[RC QTDE]] + tabItens[[#This Row],[AF SALDO]] + tabItens[[#This Row],[Recentes]]</f>
        <v>306</v>
      </c>
      <c r="AX228" s="319">
        <v>7</v>
      </c>
      <c r="AY228" s="319">
        <v>4</v>
      </c>
      <c r="AZ228" s="319">
        <f>IF(ISBLANK(tabItens[[#This Row],[CÓDIGO]]),"",tabItens[[#This Row],[PontoMês]] * (AZ$2+tabItens[[#This Row],[PontoQtM]]))</f>
        <v>28</v>
      </c>
      <c r="BA228" s="318">
        <f>tabItens[[#This Row],[PontoPed]] - tabItens[[#This Row],[Saldo]] + (1/10)</f>
        <v>-277.89999999999998</v>
      </c>
      <c r="BB228" s="318">
        <f xml:space="preserve"> tabItens[[#This Row],[PontoMês]] * BB$2 - tabItens[[#This Row],[QTDE ATUAL]] - (1/10)</f>
        <v>-299.10000000000002</v>
      </c>
      <c r="BC228" s="320">
        <f>IF( tabItens[[#This Row],[PontoPed]]&gt;0, IF(tabItens[[#This Row],[PontoPed]]&lt;1, 1, IF( tabItens[[#This Row],[Saldo]]&gt;tabItens[[#This Row],[PontoPed]], 0, (tabItens[[#This Row],[PontoPed]]-tabItens[[#This Row],[Saldo]])/tabItens[[#This Row],[PontoPed]] ) ), 0 )</f>
        <v>0</v>
      </c>
      <c r="BD228" s="321">
        <f>ROUNDDOWN(IF( OR( AND(tabItens[[#This Row],[PontoPed]]&lt;tabItens[[#This Row],[Saldo]],tabItens[[#This Row],[Saldo]]&gt;0), tabItens[[#This Row],[PontoPed]]=0), 99, IF(AND(tabItens[[#This Row],[Saldo]]=0,tabItens[[#This Row],[PontoPed]]&gt;0), 0, (1-tabItens[[#This Row],[PctAb]])*10 ) ),0)</f>
        <v>99</v>
      </c>
      <c r="BE228" s="322">
        <f>MAX(ROUNDDOWN( IF(tabItens[[#This Row],[Abaixo]] &gt; 0,   tabItens[[#This Row],[Abaixo]] + (tabItens[[#This Row],[PontoMês]] * IF( OR( ISBLANK(tabItens[[#This Row],[ATA Nº/ANO]]), tabItens[[#This Row],[ATA Nº/ANO]] = ""),BE$2,BE$1)),0),0),0)</f>
        <v>0</v>
      </c>
      <c r="BF22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323">
        <f>SUMIF(Consumo!$C$3:$C$869,tabItens[[#This Row],[CÓDIGO]],Consumo!$E$3:$E$869)</f>
        <v>0</v>
      </c>
      <c r="BH228" s="324">
        <f>IF(AND(tabItens[[#This Row],[Pend]] &gt; 0,tabItens[[#This Row],[Consumo]] &lt;&gt; 0), tabItens[[#This Row],[Pend]] / tabItens[[#This Row],[Consumo]], 0 )</f>
        <v>0</v>
      </c>
      <c r="BI228" s="323"/>
      <c r="BJ228" s="323"/>
      <c r="BK228" s="325" t="s">
        <v>2064</v>
      </c>
    </row>
    <row r="229" spans="1:63" hidden="1" x14ac:dyDescent="0.3">
      <c r="A229" s="286">
        <v>112162</v>
      </c>
      <c r="B229" s="287" t="s">
        <v>1683</v>
      </c>
      <c r="C229" s="288" t="s">
        <v>31</v>
      </c>
      <c r="D229" s="289">
        <v>4.4000000000000004</v>
      </c>
      <c r="E229" s="290"/>
      <c r="F229" s="290"/>
      <c r="G229" s="290" t="s">
        <v>883</v>
      </c>
      <c r="H229" s="291">
        <v>213</v>
      </c>
      <c r="I229" s="292">
        <v>103003</v>
      </c>
      <c r="J229" s="293">
        <v>4.4000000000000004</v>
      </c>
      <c r="K229" s="294">
        <v>118</v>
      </c>
      <c r="L229" s="295">
        <f>IF(tabItens[[#This Row],[Média]] &gt; 0, tabItens[[#This Row],[QTDE ATUAL]] / tabItens[[#This Row],[Média]],999.9)</f>
        <v>22.821428571428569</v>
      </c>
      <c r="M229" s="296">
        <v>0</v>
      </c>
      <c r="N229" s="297">
        <f>tabItens[[#This Row],[VALOR UNIT.]] * tabItens[[#This Row],[LC]]</f>
        <v>0</v>
      </c>
      <c r="O229" s="298" t="s">
        <v>2082</v>
      </c>
      <c r="P229" s="299"/>
      <c r="Q229" s="300"/>
      <c r="R229" s="297"/>
      <c r="S229" s="301"/>
      <c r="T229" s="302">
        <f>ROUNDDOWN(IFERROR(tabItens[[#This Row],[ATA DT.VALID.]] - $D$1,0) / 30,0)</f>
        <v>-1504</v>
      </c>
      <c r="U229" s="287" t="s">
        <v>985</v>
      </c>
      <c r="V229" s="303">
        <v>1</v>
      </c>
      <c r="W229" s="304" t="s">
        <v>2055</v>
      </c>
      <c r="X229" s="305">
        <v>55</v>
      </c>
      <c r="Y229" s="306">
        <v>7</v>
      </c>
      <c r="Z229" s="307">
        <v>2442</v>
      </c>
      <c r="AA229" s="308">
        <v>2023</v>
      </c>
      <c r="AB229" s="309">
        <v>100</v>
      </c>
      <c r="AC229" s="309"/>
      <c r="AD229" s="308"/>
      <c r="AE229" s="309"/>
      <c r="AF229" s="302"/>
      <c r="AG229" s="310" t="s">
        <v>2050</v>
      </c>
      <c r="AH229" s="311"/>
      <c r="AI229" s="302">
        <v>40</v>
      </c>
      <c r="AJ229" s="311">
        <v>44638</v>
      </c>
      <c r="AK229" s="311">
        <v>40045</v>
      </c>
      <c r="AL229" s="311">
        <v>44616</v>
      </c>
      <c r="AM229" s="301"/>
      <c r="AN229" s="290"/>
      <c r="AO229" s="312" t="str">
        <f>_xlfn.IFNA(IF(VLOOKUP(tabItens[[#This Row],[CÓDIGO]],tabExcluirDoEstoque[#Data],1,FALSE),"sim",""),"")</f>
        <v/>
      </c>
      <c r="AP229" s="313" t="str">
        <f ca="1">IF(OR(ISBLANK(tabItens[[#This Row],[ATA DT.VALID.]]),tabItens[[#This Row],[ATA DT.VALID.]]="",tabItens[[#This Row],[ATA DT.VALID.]]=" "),"",IF(TYPE(tabItens[[#This Row],[ATA DT.VALID.]])=1,ROUNDUP((tabItens[[#This Row],[ATA DT.VALID.]]-TODAY())/7,0),""))</f>
        <v/>
      </c>
      <c r="AQ229" s="314">
        <v>0</v>
      </c>
      <c r="AR229" s="315" t="str">
        <f>IF(ISBLANK(tabItens[[#This Row],[CÓDIGO]]),"",IFERROR(VLOOKUP(tabItens[[#This Row],[CÓDIGO]],Consumo!$C$2:$AC$869,26,FALSE),0))</f>
        <v>07.2023</v>
      </c>
      <c r="AS229" s="316">
        <f>SUMIF(Consumo!$C$3:$C$869,tabItens[[#This Row],[CÓDIGO]],Consumo!$N$3:$N$869) + SUMIF(Consumo!$C$3:$C$869,tabItens[[#This Row],[CÓDIGO]],Consumo!$O$3:$O$869) + SUMIF(Consumo!$C$3:$C$869,tabItens[[#This Row],[CÓDIGO]],Consumo!$P$3:$P$869) + SUMIF(Consumo!$C$3:$C$869,tabItens[[#This Row],[CÓDIGO]],Consumo!$Q$3:$Q$869)</f>
        <v>61</v>
      </c>
      <c r="AT229" s="316">
        <f>SUMIF(Consumo!$C$3:$C$869,tabItens[[#This Row],[CÓDIGO]],Consumo!$Z$3:$Z$869)</f>
        <v>118</v>
      </c>
      <c r="AU229" s="317">
        <f>SUMIF(Consumo!$C$3:$C$869,tabItens[[#This Row],[CÓDIGO]],Consumo!$AA$3:$AA$869)</f>
        <v>50</v>
      </c>
      <c r="AV229" s="318">
        <f>SUMIF(Consumo!$C$3:$C$869,tabItens[[#This Row],[CÓDIGO]],Consumo!$Y$3:$Y$869)</f>
        <v>9.3333333333333339</v>
      </c>
      <c r="AW229" s="291">
        <f>tabItens[[#This Row],[QTDE ATUAL]] + tabItens[[#This Row],[RC QTDE]] + tabItens[[#This Row],[AF SALDO]] + tabItens[[#This Row],[Recentes]]</f>
        <v>313</v>
      </c>
      <c r="AX229" s="319">
        <v>20</v>
      </c>
      <c r="AY229" s="319">
        <v>4</v>
      </c>
      <c r="AZ229" s="319">
        <f>IF(ISBLANK(tabItens[[#This Row],[CÓDIGO]]),"",tabItens[[#This Row],[PontoMês]] * (AZ$2+tabItens[[#This Row],[PontoQtM]]))</f>
        <v>80</v>
      </c>
      <c r="BA229" s="318">
        <f>tabItens[[#This Row],[PontoPed]] - tabItens[[#This Row],[Saldo]] + (1/10)</f>
        <v>-232.9</v>
      </c>
      <c r="BB229" s="318">
        <f xml:space="preserve"> tabItens[[#This Row],[PontoMês]] * BB$2 - tabItens[[#This Row],[QTDE ATUAL]] - (1/10)</f>
        <v>-193.1</v>
      </c>
      <c r="BC229" s="320">
        <f>IF( tabItens[[#This Row],[PontoPed]]&gt;0, IF(tabItens[[#This Row],[PontoPed]]&lt;1, 1, IF( tabItens[[#This Row],[Saldo]]&gt;tabItens[[#This Row],[PontoPed]], 0, (tabItens[[#This Row],[PontoPed]]-tabItens[[#This Row],[Saldo]])/tabItens[[#This Row],[PontoPed]] ) ), 0 )</f>
        <v>0</v>
      </c>
      <c r="BD229" s="321">
        <f>ROUNDDOWN(IF( OR( AND(tabItens[[#This Row],[PontoPed]]&lt;tabItens[[#This Row],[Saldo]],tabItens[[#This Row],[Saldo]]&gt;0), tabItens[[#This Row],[PontoPed]]=0), 99, IF(AND(tabItens[[#This Row],[Saldo]]=0,tabItens[[#This Row],[PontoPed]]&gt;0), 0, (1-tabItens[[#This Row],[PctAb]])*10 ) ),0)</f>
        <v>99</v>
      </c>
      <c r="BE229" s="322">
        <f>MAX(ROUNDDOWN( IF(tabItens[[#This Row],[Abaixo]] &gt; 0,   tabItens[[#This Row],[Abaixo]] + (tabItens[[#This Row],[PontoMês]] * IF( OR( ISBLANK(tabItens[[#This Row],[ATA Nº/ANO]]), tabItens[[#This Row],[ATA Nº/ANO]] = ""),BE$2,BE$1)),0),0),0)</f>
        <v>0</v>
      </c>
      <c r="BF22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323">
        <f>SUMIF(Consumo!$C$3:$C$869,tabItens[[#This Row],[CÓDIGO]],Consumo!$E$3:$E$869)</f>
        <v>0</v>
      </c>
      <c r="BH229" s="324">
        <f>IF(AND(tabItens[[#This Row],[Pend]] &gt; 0,tabItens[[#This Row],[Consumo]] &lt;&gt; 0), tabItens[[#This Row],[Pend]] / tabItens[[#This Row],[Consumo]], 0 )</f>
        <v>0</v>
      </c>
      <c r="BI229" s="323"/>
      <c r="BJ229" s="323"/>
      <c r="BK229" s="325" t="s">
        <v>2064</v>
      </c>
    </row>
    <row r="230" spans="1:63" hidden="1" x14ac:dyDescent="0.3">
      <c r="A230" s="286">
        <v>112163</v>
      </c>
      <c r="B230" s="287" t="s">
        <v>1684</v>
      </c>
      <c r="C230" s="288" t="s">
        <v>31</v>
      </c>
      <c r="D230" s="289">
        <v>5.5</v>
      </c>
      <c r="E230" s="290"/>
      <c r="F230" s="290"/>
      <c r="G230" s="290" t="s">
        <v>883</v>
      </c>
      <c r="H230" s="291">
        <v>209</v>
      </c>
      <c r="I230" s="292">
        <v>103003</v>
      </c>
      <c r="J230" s="293">
        <v>5.5</v>
      </c>
      <c r="K230" s="294">
        <v>665</v>
      </c>
      <c r="L230" s="295">
        <f>IF(tabItens[[#This Row],[Média]] &gt; 0, tabItens[[#This Row],[QTDE ATUAL]] / tabItens[[#This Row],[Média]],999.9)</f>
        <v>2.943661971830986</v>
      </c>
      <c r="M230" s="296">
        <v>0</v>
      </c>
      <c r="N230" s="297">
        <f>tabItens[[#This Row],[VALOR UNIT.]] * tabItens[[#This Row],[LC]]</f>
        <v>0</v>
      </c>
      <c r="O230" s="298" t="s">
        <v>2082</v>
      </c>
      <c r="P230" s="299"/>
      <c r="Q230" s="300"/>
      <c r="R230" s="297"/>
      <c r="S230" s="301"/>
      <c r="T230" s="302">
        <f>ROUNDDOWN(IFERROR(tabItens[[#This Row],[ATA DT.VALID.]] - $D$1,0) / 30,0)</f>
        <v>-1504</v>
      </c>
      <c r="U230" s="287" t="s">
        <v>985</v>
      </c>
      <c r="V230" s="303">
        <v>1</v>
      </c>
      <c r="W230" s="304" t="s">
        <v>2055</v>
      </c>
      <c r="X230" s="305">
        <v>55</v>
      </c>
      <c r="Y230" s="306">
        <v>7</v>
      </c>
      <c r="Z230" s="307">
        <v>2547</v>
      </c>
      <c r="AA230" s="308">
        <v>2023</v>
      </c>
      <c r="AB230" s="309">
        <v>1000</v>
      </c>
      <c r="AC230" s="309"/>
      <c r="AD230" s="308"/>
      <c r="AE230" s="309"/>
      <c r="AF230" s="302"/>
      <c r="AG230" s="310" t="s">
        <v>2050</v>
      </c>
      <c r="AH230" s="311"/>
      <c r="AI230" s="302">
        <v>292</v>
      </c>
      <c r="AJ230" s="311">
        <v>44638</v>
      </c>
      <c r="AK230" s="311">
        <v>40045</v>
      </c>
      <c r="AL230" s="311">
        <v>45077</v>
      </c>
      <c r="AM230" s="301"/>
      <c r="AN230" s="290"/>
      <c r="AO230" s="312" t="str">
        <f>_xlfn.IFNA(IF(VLOOKUP(tabItens[[#This Row],[CÓDIGO]],tabExcluirDoEstoque[#Data],1,FALSE),"sim",""),"")</f>
        <v/>
      </c>
      <c r="AP230" s="313" t="str">
        <f ca="1">IF(OR(ISBLANK(tabItens[[#This Row],[ATA DT.VALID.]]),tabItens[[#This Row],[ATA DT.VALID.]]="",tabItens[[#This Row],[ATA DT.VALID.]]=" "),"",IF(TYPE(tabItens[[#This Row],[ATA DT.VALID.]])=1,ROUNDUP((tabItens[[#This Row],[ATA DT.VALID.]]-TODAY())/7,0),""))</f>
        <v/>
      </c>
      <c r="AQ230" s="314">
        <v>0</v>
      </c>
      <c r="AR230" s="315" t="str">
        <f>IF(ISBLANK(tabItens[[#This Row],[CÓDIGO]]),"",IFERROR(VLOOKUP(tabItens[[#This Row],[CÓDIGO]],Consumo!$C$2:$AC$869,26,FALSE),0))</f>
        <v>07.2023</v>
      </c>
      <c r="AS230" s="316">
        <f>SUMIF(Consumo!$C$3:$C$869,tabItens[[#This Row],[CÓDIGO]],Consumo!$N$3:$N$869) + SUMIF(Consumo!$C$3:$C$869,tabItens[[#This Row],[CÓDIGO]],Consumo!$O$3:$O$869) + SUMIF(Consumo!$C$3:$C$869,tabItens[[#This Row],[CÓDIGO]],Consumo!$P$3:$P$869) + SUMIF(Consumo!$C$3:$C$869,tabItens[[#This Row],[CÓDIGO]],Consumo!$Q$3:$Q$869)</f>
        <v>153</v>
      </c>
      <c r="AT230" s="316">
        <f>SUMIF(Consumo!$C$3:$C$869,tabItens[[#This Row],[CÓDIGO]],Consumo!$Z$3:$Z$869)</f>
        <v>875</v>
      </c>
      <c r="AU230" s="317">
        <f>SUMIF(Consumo!$C$3:$C$869,tabItens[[#This Row],[CÓDIGO]],Consumo!$AA$3:$AA$869)</f>
        <v>198</v>
      </c>
      <c r="AV230" s="318">
        <f>SUMIF(Consumo!$C$3:$C$869,tabItens[[#This Row],[CÓDIGO]],Consumo!$Y$3:$Y$869)</f>
        <v>71</v>
      </c>
      <c r="AW230" s="291">
        <f>tabItens[[#This Row],[QTDE ATUAL]] + tabItens[[#This Row],[RC QTDE]] + tabItens[[#This Row],[AF SALDO]] + tabItens[[#This Row],[Recentes]]</f>
        <v>1209</v>
      </c>
      <c r="AX230" s="319">
        <v>61</v>
      </c>
      <c r="AY230" s="319">
        <v>4</v>
      </c>
      <c r="AZ230" s="319">
        <f>IF(ISBLANK(tabItens[[#This Row],[CÓDIGO]]),"",tabItens[[#This Row],[PontoMês]] * (AZ$2+tabItens[[#This Row],[PontoQtM]]))</f>
        <v>244</v>
      </c>
      <c r="BA230" s="318">
        <f>tabItens[[#This Row],[PontoPed]] - tabItens[[#This Row],[Saldo]] + (1/10)</f>
        <v>-964.9</v>
      </c>
      <c r="BB230" s="318">
        <f xml:space="preserve"> tabItens[[#This Row],[PontoMês]] * BB$2 - tabItens[[#This Row],[QTDE ATUAL]] - (1/10)</f>
        <v>-148.1</v>
      </c>
      <c r="BC230" s="320">
        <f>IF( tabItens[[#This Row],[PontoPed]]&gt;0, IF(tabItens[[#This Row],[PontoPed]]&lt;1, 1, IF( tabItens[[#This Row],[Saldo]]&gt;tabItens[[#This Row],[PontoPed]], 0, (tabItens[[#This Row],[PontoPed]]-tabItens[[#This Row],[Saldo]])/tabItens[[#This Row],[PontoPed]] ) ), 0 )</f>
        <v>0</v>
      </c>
      <c r="BD230" s="321">
        <f>ROUNDDOWN(IF( OR( AND(tabItens[[#This Row],[PontoPed]]&lt;tabItens[[#This Row],[Saldo]],tabItens[[#This Row],[Saldo]]&gt;0), tabItens[[#This Row],[PontoPed]]=0), 99, IF(AND(tabItens[[#This Row],[Saldo]]=0,tabItens[[#This Row],[PontoPed]]&gt;0), 0, (1-tabItens[[#This Row],[PctAb]])*10 ) ),0)</f>
        <v>99</v>
      </c>
      <c r="BE230" s="322">
        <f>MAX(ROUNDDOWN( IF(tabItens[[#This Row],[Abaixo]] &gt; 0,   tabItens[[#This Row],[Abaixo]] + (tabItens[[#This Row],[PontoMês]] * IF( OR( ISBLANK(tabItens[[#This Row],[ATA Nº/ANO]]), tabItens[[#This Row],[ATA Nº/ANO]] = ""),BE$2,BE$1)),0),0),0)</f>
        <v>0</v>
      </c>
      <c r="BF23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323">
        <f>SUMIF(Consumo!$C$3:$C$869,tabItens[[#This Row],[CÓDIGO]],Consumo!$E$3:$E$869)</f>
        <v>0</v>
      </c>
      <c r="BH230" s="324">
        <f>IF(AND(tabItens[[#This Row],[Pend]] &gt; 0,tabItens[[#This Row],[Consumo]] &lt;&gt; 0), tabItens[[#This Row],[Pend]] / tabItens[[#This Row],[Consumo]], 0 )</f>
        <v>0</v>
      </c>
      <c r="BI230" s="323"/>
      <c r="BJ230" s="323"/>
      <c r="BK230" s="325" t="s">
        <v>2064</v>
      </c>
    </row>
    <row r="231" spans="1:63" hidden="1" x14ac:dyDescent="0.3">
      <c r="A231" s="286">
        <v>108393</v>
      </c>
      <c r="B231" s="287" t="s">
        <v>1646</v>
      </c>
      <c r="C231" s="288" t="s">
        <v>256</v>
      </c>
      <c r="D231" s="289">
        <v>71.66</v>
      </c>
      <c r="E231" s="290"/>
      <c r="F231" s="290"/>
      <c r="G231" s="290" t="s">
        <v>883</v>
      </c>
      <c r="H231" s="291">
        <v>161</v>
      </c>
      <c r="I231" s="292">
        <v>103003</v>
      </c>
      <c r="J231" s="293">
        <v>71.66</v>
      </c>
      <c r="K231" s="294">
        <v>50</v>
      </c>
      <c r="L231" s="295">
        <f>IF(tabItens[[#This Row],[Média]] &gt; 0, tabItens[[#This Row],[QTDE ATUAL]] / tabItens[[#This Row],[Média]],999.9)</f>
        <v>40.25</v>
      </c>
      <c r="M231" s="296">
        <v>0</v>
      </c>
      <c r="N231" s="297">
        <f>tabItens[[#This Row],[VALOR UNIT.]] * tabItens[[#This Row],[LC]]</f>
        <v>0</v>
      </c>
      <c r="O231" s="298" t="s">
        <v>2082</v>
      </c>
      <c r="P231" s="299"/>
      <c r="Q231" s="300"/>
      <c r="R231" s="297"/>
      <c r="S231" s="301"/>
      <c r="T231" s="302">
        <f>ROUNDDOWN(IFERROR(tabItens[[#This Row],[ATA DT.VALID.]] - $D$1,0) / 30,0)</f>
        <v>-1504</v>
      </c>
      <c r="U231" s="287" t="s">
        <v>1491</v>
      </c>
      <c r="V231" s="303">
        <v>1</v>
      </c>
      <c r="W231" s="304" t="s">
        <v>2055</v>
      </c>
      <c r="X231" s="305">
        <v>55</v>
      </c>
      <c r="Y231" s="306">
        <v>26</v>
      </c>
      <c r="Z231" s="307"/>
      <c r="AA231" s="308"/>
      <c r="AB231" s="309"/>
      <c r="AC231" s="309"/>
      <c r="AD231" s="308"/>
      <c r="AE231" s="309"/>
      <c r="AF231" s="302"/>
      <c r="AG231" s="310" t="s">
        <v>2050</v>
      </c>
      <c r="AH231" s="311"/>
      <c r="AI231" s="302">
        <v>16</v>
      </c>
      <c r="AJ231" s="311">
        <v>44649</v>
      </c>
      <c r="AK231" s="311">
        <v>39737</v>
      </c>
      <c r="AL231" s="311">
        <v>44616</v>
      </c>
      <c r="AM231" s="301"/>
      <c r="AN231" s="290"/>
      <c r="AO231" s="312" t="str">
        <f>_xlfn.IFNA(IF(VLOOKUP(tabItens[[#This Row],[CÓDIGO]],tabExcluirDoEstoque[#Data],1,FALSE),"sim",""),"")</f>
        <v/>
      </c>
      <c r="AP231" s="313" t="str">
        <f ca="1">IF(OR(ISBLANK(tabItens[[#This Row],[ATA DT.VALID.]]),tabItens[[#This Row],[ATA DT.VALID.]]="",tabItens[[#This Row],[ATA DT.VALID.]]=" "),"",IF(TYPE(tabItens[[#This Row],[ATA DT.VALID.]])=1,ROUNDUP((tabItens[[#This Row],[ATA DT.VALID.]]-TODAY())/7,0),""))</f>
        <v/>
      </c>
      <c r="AQ231" s="314">
        <v>0</v>
      </c>
      <c r="AR231" s="315" t="str">
        <f>IF(ISBLANK(tabItens[[#This Row],[CÓDIGO]]),"",IFERROR(VLOOKUP(tabItens[[#This Row],[CÓDIGO]],Consumo!$C$2:$AC$869,26,FALSE),0))</f>
        <v>04.2023</v>
      </c>
      <c r="AS231" s="316">
        <f>SUMIF(Consumo!$C$3:$C$869,tabItens[[#This Row],[CÓDIGO]],Consumo!$N$3:$N$869) + SUMIF(Consumo!$C$3:$C$869,tabItens[[#This Row],[CÓDIGO]],Consumo!$O$3:$O$869) + SUMIF(Consumo!$C$3:$C$869,tabItens[[#This Row],[CÓDIGO]],Consumo!$P$3:$P$869) + SUMIF(Consumo!$C$3:$C$869,tabItens[[#This Row],[CÓDIGO]],Consumo!$Q$3:$Q$869)</f>
        <v>11</v>
      </c>
      <c r="AT231" s="316">
        <f>SUMIF(Consumo!$C$3:$C$869,tabItens[[#This Row],[CÓDIGO]],Consumo!$Z$3:$Z$869)</f>
        <v>50</v>
      </c>
      <c r="AU231" s="317">
        <f>SUMIF(Consumo!$C$3:$C$869,tabItens[[#This Row],[CÓDIGO]],Consumo!$AA$3:$AA$869)</f>
        <v>18</v>
      </c>
      <c r="AV231" s="318">
        <f>SUMIF(Consumo!$C$3:$C$869,tabItens[[#This Row],[CÓDIGO]],Consumo!$Y$3:$Y$869)</f>
        <v>4</v>
      </c>
      <c r="AW231" s="291">
        <f>tabItens[[#This Row],[QTDE ATUAL]] + tabItens[[#This Row],[RC QTDE]] + tabItens[[#This Row],[AF SALDO]] + tabItens[[#This Row],[Recentes]]</f>
        <v>161</v>
      </c>
      <c r="AX231" s="319">
        <v>10</v>
      </c>
      <c r="AY231" s="319">
        <v>4</v>
      </c>
      <c r="AZ231" s="319">
        <f>IF(ISBLANK(tabItens[[#This Row],[CÓDIGO]]),"",tabItens[[#This Row],[PontoMês]] * (AZ$2+tabItens[[#This Row],[PontoQtM]]))</f>
        <v>40</v>
      </c>
      <c r="BA231" s="318">
        <f>tabItens[[#This Row],[PontoPed]] - tabItens[[#This Row],[Saldo]] + (1/10)</f>
        <v>-120.9</v>
      </c>
      <c r="BB231" s="318">
        <f xml:space="preserve"> tabItens[[#This Row],[PontoMês]] * BB$2 - tabItens[[#This Row],[QTDE ATUAL]] - (1/10)</f>
        <v>-151.1</v>
      </c>
      <c r="BC231" s="320">
        <f>IF( tabItens[[#This Row],[PontoPed]]&gt;0, IF(tabItens[[#This Row],[PontoPed]]&lt;1, 1, IF( tabItens[[#This Row],[Saldo]]&gt;tabItens[[#This Row],[PontoPed]], 0, (tabItens[[#This Row],[PontoPed]]-tabItens[[#This Row],[Saldo]])/tabItens[[#This Row],[PontoPed]] ) ), 0 )</f>
        <v>0</v>
      </c>
      <c r="BD231" s="321">
        <f>ROUNDDOWN(IF( OR( AND(tabItens[[#This Row],[PontoPed]]&lt;tabItens[[#This Row],[Saldo]],tabItens[[#This Row],[Saldo]]&gt;0), tabItens[[#This Row],[PontoPed]]=0), 99, IF(AND(tabItens[[#This Row],[Saldo]]=0,tabItens[[#This Row],[PontoPed]]&gt;0), 0, (1-tabItens[[#This Row],[PctAb]])*10 ) ),0)</f>
        <v>99</v>
      </c>
      <c r="BE231" s="322">
        <f>MAX(ROUNDDOWN( IF(tabItens[[#This Row],[Abaixo]] &gt; 0,   tabItens[[#This Row],[Abaixo]] + (tabItens[[#This Row],[PontoMês]] * IF( OR( ISBLANK(tabItens[[#This Row],[ATA Nº/ANO]]), tabItens[[#This Row],[ATA Nº/ANO]] = ""),BE$2,BE$1)),0),0),0)</f>
        <v>0</v>
      </c>
      <c r="BF2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23">
        <f>SUMIF(Consumo!$C$3:$C$869,tabItens[[#This Row],[CÓDIGO]],Consumo!$E$3:$E$869)</f>
        <v>0</v>
      </c>
      <c r="BH231" s="324">
        <f>IF(AND(tabItens[[#This Row],[Pend]] &gt; 0,tabItens[[#This Row],[Consumo]] &lt;&gt; 0), tabItens[[#This Row],[Pend]] / tabItens[[#This Row],[Consumo]], 0 )</f>
        <v>0</v>
      </c>
      <c r="BI231" s="323"/>
      <c r="BJ231" s="323"/>
      <c r="BK231" s="325" t="s">
        <v>2064</v>
      </c>
    </row>
    <row r="232" spans="1:63" hidden="1" x14ac:dyDescent="0.3">
      <c r="A232" s="286">
        <v>12971</v>
      </c>
      <c r="B232" s="287" t="s">
        <v>982</v>
      </c>
      <c r="C232" s="288" t="s">
        <v>256</v>
      </c>
      <c r="D232" s="289">
        <v>0.36</v>
      </c>
      <c r="E232" s="290"/>
      <c r="F232" s="290"/>
      <c r="G232" s="290" t="s">
        <v>883</v>
      </c>
      <c r="H232" s="291">
        <v>401</v>
      </c>
      <c r="I232" s="292">
        <v>103003</v>
      </c>
      <c r="J232" s="293">
        <v>0.36</v>
      </c>
      <c r="K232" s="294">
        <v>100</v>
      </c>
      <c r="L232" s="295">
        <f>IF(tabItens[[#This Row],[Média]] &gt; 0, tabItens[[#This Row],[QTDE ATUAL]] / tabItens[[#This Row],[Média]],999.9)</f>
        <v>72.909090909090907</v>
      </c>
      <c r="M232" s="296">
        <v>0</v>
      </c>
      <c r="N232" s="297">
        <f>tabItens[[#This Row],[VALOR UNIT.]] * tabItens[[#This Row],[LC]]</f>
        <v>0</v>
      </c>
      <c r="O232" s="298" t="s">
        <v>2082</v>
      </c>
      <c r="P232" s="299"/>
      <c r="Q232" s="300"/>
      <c r="R232" s="297"/>
      <c r="S232" s="301"/>
      <c r="T232" s="302">
        <f>ROUNDDOWN(IFERROR(tabItens[[#This Row],[ATA DT.VALID.]] - $D$1,0) / 30,0)</f>
        <v>-1504</v>
      </c>
      <c r="U232" s="287" t="s">
        <v>983</v>
      </c>
      <c r="V232" s="303">
        <v>1</v>
      </c>
      <c r="W232" s="304" t="s">
        <v>2055</v>
      </c>
      <c r="X232" s="305">
        <v>55</v>
      </c>
      <c r="Y232" s="306">
        <v>31</v>
      </c>
      <c r="Z232" s="307"/>
      <c r="AA232" s="308"/>
      <c r="AB232" s="309"/>
      <c r="AC232" s="309"/>
      <c r="AD232" s="308"/>
      <c r="AE232" s="309"/>
      <c r="AF232" s="302"/>
      <c r="AG232" s="310" t="s">
        <v>2050</v>
      </c>
      <c r="AH232" s="311"/>
      <c r="AI232" s="302">
        <v>34</v>
      </c>
      <c r="AJ232" s="311">
        <v>42360</v>
      </c>
      <c r="AK232" s="311" t="s">
        <v>883</v>
      </c>
      <c r="AL232" s="311">
        <v>43657</v>
      </c>
      <c r="AM232" s="301"/>
      <c r="AN232" s="290"/>
      <c r="AO232" s="312" t="str">
        <f>_xlfn.IFNA(IF(VLOOKUP(tabItens[[#This Row],[CÓDIGO]],tabExcluirDoEstoque[#Data],1,FALSE),"sim",""),"")</f>
        <v/>
      </c>
      <c r="AP232" s="313" t="str">
        <f ca="1">IF(OR(ISBLANK(tabItens[[#This Row],[ATA DT.VALID.]]),tabItens[[#This Row],[ATA DT.VALID.]]="",tabItens[[#This Row],[ATA DT.VALID.]]=" "),"",IF(TYPE(tabItens[[#This Row],[ATA DT.VALID.]])=1,ROUNDUP((tabItens[[#This Row],[ATA DT.VALID.]]-TODAY())/7,0),""))</f>
        <v/>
      </c>
      <c r="AQ232" s="314">
        <v>0</v>
      </c>
      <c r="AR232" s="315" t="str">
        <f>IF(ISBLANK(tabItens[[#This Row],[CÓDIGO]]),"",IFERROR(VLOOKUP(tabItens[[#This Row],[CÓDIGO]],Consumo!$C$2:$AC$869,26,FALSE),0))</f>
        <v>10.2022</v>
      </c>
      <c r="AS232" s="316">
        <f>SUMIF(Consumo!$C$3:$C$869,tabItens[[#This Row],[CÓDIGO]],Consumo!$N$3:$N$869) + SUMIF(Consumo!$C$3:$C$869,tabItens[[#This Row],[CÓDIGO]],Consumo!$O$3:$O$869) + SUMIF(Consumo!$C$3:$C$869,tabItens[[#This Row],[CÓDIGO]],Consumo!$P$3:$P$869) + SUMIF(Consumo!$C$3:$C$869,tabItens[[#This Row],[CÓDIGO]],Consumo!$Q$3:$Q$869)</f>
        <v>0</v>
      </c>
      <c r="AT232" s="316">
        <f>SUMIF(Consumo!$C$3:$C$869,tabItens[[#This Row],[CÓDIGO]],Consumo!$Z$3:$Z$869)</f>
        <v>100</v>
      </c>
      <c r="AU232" s="317">
        <f>SUMIF(Consumo!$C$3:$C$869,tabItens[[#This Row],[CÓDIGO]],Consumo!$AA$3:$AA$869)</f>
        <v>100</v>
      </c>
      <c r="AV232" s="318">
        <f>SUMIF(Consumo!$C$3:$C$869,tabItens[[#This Row],[CÓDIGO]],Consumo!$Y$3:$Y$869)</f>
        <v>5.5</v>
      </c>
      <c r="AW232" s="291">
        <f>tabItens[[#This Row],[QTDE ATUAL]] + tabItens[[#This Row],[RC QTDE]] + tabItens[[#This Row],[AF SALDO]] + tabItens[[#This Row],[Recentes]]</f>
        <v>401</v>
      </c>
      <c r="AX232" s="319">
        <v>20</v>
      </c>
      <c r="AY232" s="319">
        <v>4</v>
      </c>
      <c r="AZ232" s="319">
        <f>IF(ISBLANK(tabItens[[#This Row],[CÓDIGO]]),"",tabItens[[#This Row],[PontoMês]] * (AZ$2+tabItens[[#This Row],[PontoQtM]]))</f>
        <v>80</v>
      </c>
      <c r="BA232" s="318">
        <f>tabItens[[#This Row],[PontoPed]] - tabItens[[#This Row],[Saldo]] + (1/10)</f>
        <v>-320.89999999999998</v>
      </c>
      <c r="BB232" s="318">
        <f xml:space="preserve"> tabItens[[#This Row],[PontoMês]] * BB$2 - tabItens[[#This Row],[QTDE ATUAL]] - (1/10)</f>
        <v>-381.1</v>
      </c>
      <c r="BC232" s="320">
        <f>IF( tabItens[[#This Row],[PontoPed]]&gt;0, IF(tabItens[[#This Row],[PontoPed]]&lt;1, 1, IF( tabItens[[#This Row],[Saldo]]&gt;tabItens[[#This Row],[PontoPed]], 0, (tabItens[[#This Row],[PontoPed]]-tabItens[[#This Row],[Saldo]])/tabItens[[#This Row],[PontoPed]] ) ), 0 )</f>
        <v>0</v>
      </c>
      <c r="BD232" s="321">
        <f>ROUNDDOWN(IF( OR( AND(tabItens[[#This Row],[PontoPed]]&lt;tabItens[[#This Row],[Saldo]],tabItens[[#This Row],[Saldo]]&gt;0), tabItens[[#This Row],[PontoPed]]=0), 99, IF(AND(tabItens[[#This Row],[Saldo]]=0,tabItens[[#This Row],[PontoPed]]&gt;0), 0, (1-tabItens[[#This Row],[PctAb]])*10 ) ),0)</f>
        <v>99</v>
      </c>
      <c r="BE232" s="322">
        <f>MAX(ROUNDDOWN( IF(tabItens[[#This Row],[Abaixo]] &gt; 0,   tabItens[[#This Row],[Abaixo]] + (tabItens[[#This Row],[PontoMês]] * IF( OR( ISBLANK(tabItens[[#This Row],[ATA Nº/ANO]]), tabItens[[#This Row],[ATA Nº/ANO]] = ""),BE$2,BE$1)),0),0),0)</f>
        <v>0</v>
      </c>
      <c r="BF23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23">
        <f>SUMIF(Consumo!$C$3:$C$869,tabItens[[#This Row],[CÓDIGO]],Consumo!$E$3:$E$869)</f>
        <v>0</v>
      </c>
      <c r="BH232" s="324">
        <f>IF(AND(tabItens[[#This Row],[Pend]] &gt; 0,tabItens[[#This Row],[Consumo]] &lt;&gt; 0), tabItens[[#This Row],[Pend]] / tabItens[[#This Row],[Consumo]], 0 )</f>
        <v>0</v>
      </c>
      <c r="BI232" s="323"/>
      <c r="BJ232" s="323"/>
      <c r="BK232" s="325" t="s">
        <v>2064</v>
      </c>
    </row>
    <row r="233" spans="1:63" x14ac:dyDescent="0.3">
      <c r="A233" s="396">
        <v>14885</v>
      </c>
      <c r="B233" s="397" t="s">
        <v>1074</v>
      </c>
      <c r="C233" s="398" t="s">
        <v>331</v>
      </c>
      <c r="D233" s="399">
        <v>2.56</v>
      </c>
      <c r="E233" s="290"/>
      <c r="F233" s="400"/>
      <c r="G233" s="400" t="s">
        <v>883</v>
      </c>
      <c r="H233" s="401">
        <v>0</v>
      </c>
      <c r="I233" s="292">
        <v>103003</v>
      </c>
      <c r="J233" s="293">
        <v>2.56</v>
      </c>
      <c r="K233" s="402">
        <v>200</v>
      </c>
      <c r="L233" s="403">
        <f>IF(tabItens[[#This Row],[Média]] &gt; 0, tabItens[[#This Row],[QTDE ATUAL]] / tabItens[[#This Row],[Média]],999.9)</f>
        <v>0</v>
      </c>
      <c r="M233" s="404">
        <v>0</v>
      </c>
      <c r="N233" s="405">
        <f>tabItens[[#This Row],[VALOR UNIT.]] * tabItens[[#This Row],[LC]]</f>
        <v>0</v>
      </c>
      <c r="O233" s="406" t="s">
        <v>2082</v>
      </c>
      <c r="P233" s="407"/>
      <c r="Q233" s="408"/>
      <c r="R233" s="297"/>
      <c r="S233" s="409"/>
      <c r="T233" s="410">
        <f>ROUNDDOWN(IFERROR(tabItens[[#This Row],[ATA DT.VALID.]] - $D$1,0) / 30,0)</f>
        <v>-1504</v>
      </c>
      <c r="U233" s="287" t="s">
        <v>988</v>
      </c>
      <c r="V233" s="303">
        <v>1</v>
      </c>
      <c r="W233" s="411" t="s">
        <v>2055</v>
      </c>
      <c r="X233" s="412">
        <v>55</v>
      </c>
      <c r="Y233" s="413">
        <v>32</v>
      </c>
      <c r="Z233" s="414">
        <v>2956</v>
      </c>
      <c r="AA233" s="415">
        <v>2023</v>
      </c>
      <c r="AB233" s="416">
        <v>100</v>
      </c>
      <c r="AC233" s="416"/>
      <c r="AD233" s="415"/>
      <c r="AE233" s="416"/>
      <c r="AF233" s="302"/>
      <c r="AG233" s="417" t="s">
        <v>2050</v>
      </c>
      <c r="AH233" s="418"/>
      <c r="AI233" s="302">
        <v>66</v>
      </c>
      <c r="AJ233" s="418">
        <v>44883</v>
      </c>
      <c r="AK233" s="311" t="s">
        <v>883</v>
      </c>
      <c r="AL233" s="311">
        <v>44845</v>
      </c>
      <c r="AM233" s="301"/>
      <c r="AN233" s="290"/>
      <c r="AO233" s="312" t="str">
        <f>_xlfn.IFNA(IF(VLOOKUP(tabItens[[#This Row],[CÓDIGO]],tabExcluirDoEstoque[#Data],1,FALSE),"sim",""),"")</f>
        <v/>
      </c>
      <c r="AP233" s="419" t="str">
        <f ca="1">IF(OR(ISBLANK(tabItens[[#This Row],[ATA DT.VALID.]]),tabItens[[#This Row],[ATA DT.VALID.]]="",tabItens[[#This Row],[ATA DT.VALID.]]=" "),"",IF(TYPE(tabItens[[#This Row],[ATA DT.VALID.]])=1,ROUNDUP((tabItens[[#This Row],[ATA DT.VALID.]]-TODAY())/7,0),""))</f>
        <v/>
      </c>
      <c r="AQ233" s="314">
        <v>0</v>
      </c>
      <c r="AR233" s="315" t="str">
        <f>IF(ISBLANK(tabItens[[#This Row],[CÓDIGO]]),"",IFERROR(VLOOKUP(tabItens[[#This Row],[CÓDIGO]],Consumo!$C$2:$AC$869,26,FALSE),0))</f>
        <v>04.2023</v>
      </c>
      <c r="AS233" s="316">
        <f>SUMIF(Consumo!$C$3:$C$869,tabItens[[#This Row],[CÓDIGO]],Consumo!$N$3:$N$869) + SUMIF(Consumo!$C$3:$C$869,tabItens[[#This Row],[CÓDIGO]],Consumo!$O$3:$O$869) + SUMIF(Consumo!$C$3:$C$869,tabItens[[#This Row],[CÓDIGO]],Consumo!$P$3:$P$869) + SUMIF(Consumo!$C$3:$C$869,tabItens[[#This Row],[CÓDIGO]],Consumo!$Q$3:$Q$869)</f>
        <v>165</v>
      </c>
      <c r="AT233" s="316">
        <f>SUMIF(Consumo!$C$3:$C$869,tabItens[[#This Row],[CÓDIGO]],Consumo!$Z$3:$Z$869)</f>
        <v>235</v>
      </c>
      <c r="AU233" s="317">
        <f>SUMIF(Consumo!$C$3:$C$869,tabItens[[#This Row],[CÓDIGO]],Consumo!$AA$3:$AA$869)</f>
        <v>165</v>
      </c>
      <c r="AV233" s="318">
        <f>SUMIF(Consumo!$C$3:$C$869,tabItens[[#This Row],[CÓDIGO]],Consumo!$Y$3:$Y$869)</f>
        <v>15.083333333333334</v>
      </c>
      <c r="AW233" s="401">
        <f>tabItens[[#This Row],[QTDE ATUAL]] + tabItens[[#This Row],[RC QTDE]] + tabItens[[#This Row],[AF SALDO]] + tabItens[[#This Row],[Recentes]]</f>
        <v>100</v>
      </c>
      <c r="AX233" s="420">
        <v>15</v>
      </c>
      <c r="AY233" s="420">
        <v>4</v>
      </c>
      <c r="AZ233" s="420">
        <f>IF(ISBLANK(tabItens[[#This Row],[CÓDIGO]]),"",tabItens[[#This Row],[PontoMês]] * (AZ$2+tabItens[[#This Row],[PontoQtM]]))</f>
        <v>60</v>
      </c>
      <c r="BA233" s="421">
        <f>tabItens[[#This Row],[PontoPed]] - tabItens[[#This Row],[Saldo]] + (1/10)</f>
        <v>-39.9</v>
      </c>
      <c r="BB233" s="421">
        <f xml:space="preserve"> tabItens[[#This Row],[PontoMês]] * BB$2 - tabItens[[#This Row],[QTDE ATUAL]] - (1/10)</f>
        <v>14.9</v>
      </c>
      <c r="BC233" s="320">
        <f>IF( tabItens[[#This Row],[PontoPed]]&gt;0, IF(tabItens[[#This Row],[PontoPed]]&lt;1, 1, IF( tabItens[[#This Row],[Saldo]]&gt;tabItens[[#This Row],[PontoPed]], 0, (tabItens[[#This Row],[PontoPed]]-tabItens[[#This Row],[Saldo]])/tabItens[[#This Row],[PontoPed]] ) ), 0 )</f>
        <v>0</v>
      </c>
      <c r="BD233" s="422">
        <f>ROUNDDOWN(IF( OR( AND(tabItens[[#This Row],[PontoPed]]&lt;tabItens[[#This Row],[Saldo]],tabItens[[#This Row],[Saldo]]&gt;0), tabItens[[#This Row],[PontoPed]]=0), 99, IF(AND(tabItens[[#This Row],[Saldo]]=0,tabItens[[#This Row],[PontoPed]]&gt;0), 0, (1-tabItens[[#This Row],[PctAb]])*10 ) ),0)</f>
        <v>99</v>
      </c>
      <c r="BE233" s="423">
        <f>MAX(ROUNDDOWN( IF(tabItens[[#This Row],[Abaixo]] &gt; 0,   tabItens[[#This Row],[Abaixo]] + (tabItens[[#This Row],[PontoMês]] * IF( OR( ISBLANK(tabItens[[#This Row],[ATA Nº/ANO]]), tabItens[[#This Row],[ATA Nº/ANO]] = ""),BE$2,BE$1)),0),0),0)</f>
        <v>0</v>
      </c>
      <c r="BF23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23">
        <f>SUMIF(Consumo!$C$3:$C$869,tabItens[[#This Row],[CÓDIGO]],Consumo!$E$3:$E$869)</f>
        <v>35</v>
      </c>
      <c r="BH233" s="324">
        <f>IF(AND(tabItens[[#This Row],[Pend]] &gt; 0,tabItens[[#This Row],[Consumo]] &lt;&gt; 0), tabItens[[#This Row],[Pend]] / tabItens[[#This Row],[Consumo]], 0 )</f>
        <v>0.14893617021276595</v>
      </c>
      <c r="BI233" s="323"/>
      <c r="BJ233" s="424"/>
      <c r="BK233" s="425" t="s">
        <v>2064</v>
      </c>
    </row>
    <row r="234" spans="1:63" x14ac:dyDescent="0.3">
      <c r="A234" s="396">
        <v>14887</v>
      </c>
      <c r="B234" s="397" t="s">
        <v>1075</v>
      </c>
      <c r="C234" s="398" t="s">
        <v>331</v>
      </c>
      <c r="D234" s="399">
        <v>3.75</v>
      </c>
      <c r="E234" s="290"/>
      <c r="F234" s="400"/>
      <c r="G234" s="400" t="s">
        <v>883</v>
      </c>
      <c r="H234" s="401">
        <v>0</v>
      </c>
      <c r="I234" s="292">
        <v>103003</v>
      </c>
      <c r="J234" s="293">
        <v>3.75</v>
      </c>
      <c r="K234" s="402">
        <v>200</v>
      </c>
      <c r="L234" s="403">
        <f>IF(tabItens[[#This Row],[Média]] &gt; 0, tabItens[[#This Row],[QTDE ATUAL]] / tabItens[[#This Row],[Média]],999.9)</f>
        <v>0</v>
      </c>
      <c r="M234" s="404">
        <v>0</v>
      </c>
      <c r="N234" s="405">
        <f>tabItens[[#This Row],[VALOR UNIT.]] * tabItens[[#This Row],[LC]]</f>
        <v>0</v>
      </c>
      <c r="O234" s="406" t="s">
        <v>2082</v>
      </c>
      <c r="P234" s="407"/>
      <c r="Q234" s="408"/>
      <c r="R234" s="297"/>
      <c r="S234" s="409"/>
      <c r="T234" s="410">
        <f>ROUNDDOWN(IFERROR(tabItens[[#This Row],[ATA DT.VALID.]] - $D$1,0) / 30,0)</f>
        <v>-1504</v>
      </c>
      <c r="U234" s="287" t="s">
        <v>988</v>
      </c>
      <c r="V234" s="303">
        <v>1</v>
      </c>
      <c r="W234" s="411" t="s">
        <v>2055</v>
      </c>
      <c r="X234" s="412">
        <v>55</v>
      </c>
      <c r="Y234" s="413">
        <v>32</v>
      </c>
      <c r="Z234" s="414">
        <v>2448</v>
      </c>
      <c r="AA234" s="415">
        <v>2023</v>
      </c>
      <c r="AB234" s="416">
        <v>300</v>
      </c>
      <c r="AC234" s="416"/>
      <c r="AD234" s="415"/>
      <c r="AE234" s="416"/>
      <c r="AF234" s="302"/>
      <c r="AG234" s="417" t="s">
        <v>2050</v>
      </c>
      <c r="AH234" s="418"/>
      <c r="AI234" s="302">
        <v>66</v>
      </c>
      <c r="AJ234" s="418">
        <v>44883</v>
      </c>
      <c r="AK234" s="311" t="s">
        <v>883</v>
      </c>
      <c r="AL234" s="311">
        <v>44845</v>
      </c>
      <c r="AM234" s="301"/>
      <c r="AN234" s="290"/>
      <c r="AO234" s="312" t="str">
        <f>_xlfn.IFNA(IF(VLOOKUP(tabItens[[#This Row],[CÓDIGO]],tabExcluirDoEstoque[#Data],1,FALSE),"sim",""),"")</f>
        <v/>
      </c>
      <c r="AP234" s="419" t="str">
        <f ca="1">IF(OR(ISBLANK(tabItens[[#This Row],[ATA DT.VALID.]]),tabItens[[#This Row],[ATA DT.VALID.]]="",tabItens[[#This Row],[ATA DT.VALID.]]=" "),"",IF(TYPE(tabItens[[#This Row],[ATA DT.VALID.]])=1,ROUNDUP((tabItens[[#This Row],[ATA DT.VALID.]]-TODAY())/7,0),""))</f>
        <v/>
      </c>
      <c r="AQ234" s="314">
        <v>0</v>
      </c>
      <c r="AR234" s="315" t="str">
        <f>IF(ISBLANK(tabItens[[#This Row],[CÓDIGO]]),"",IFERROR(VLOOKUP(tabItens[[#This Row],[CÓDIGO]],Consumo!$C$2:$AC$869,26,FALSE),0))</f>
        <v>04.2023</v>
      </c>
      <c r="AS234" s="316">
        <f>SUMIF(Consumo!$C$3:$C$869,tabItens[[#This Row],[CÓDIGO]],Consumo!$N$3:$N$869) + SUMIF(Consumo!$C$3:$C$869,tabItens[[#This Row],[CÓDIGO]],Consumo!$O$3:$O$869) + SUMIF(Consumo!$C$3:$C$869,tabItens[[#This Row],[CÓDIGO]],Consumo!$P$3:$P$869) + SUMIF(Consumo!$C$3:$C$869,tabItens[[#This Row],[CÓDIGO]],Consumo!$Q$3:$Q$869)</f>
        <v>100</v>
      </c>
      <c r="AT234" s="316">
        <f>SUMIF(Consumo!$C$3:$C$869,tabItens[[#This Row],[CÓDIGO]],Consumo!$Z$3:$Z$869)</f>
        <v>300</v>
      </c>
      <c r="AU234" s="317">
        <f>SUMIF(Consumo!$C$3:$C$869,tabItens[[#This Row],[CÓDIGO]],Consumo!$AA$3:$AA$869)</f>
        <v>100</v>
      </c>
      <c r="AV234" s="318">
        <f>SUMIF(Consumo!$C$3:$C$869,tabItens[[#This Row],[CÓDIGO]],Consumo!$Y$3:$Y$869)</f>
        <v>25</v>
      </c>
      <c r="AW234" s="401">
        <f>tabItens[[#This Row],[QTDE ATUAL]] + tabItens[[#This Row],[RC QTDE]] + tabItens[[#This Row],[AF SALDO]] + tabItens[[#This Row],[Recentes]]</f>
        <v>300</v>
      </c>
      <c r="AX234" s="420">
        <v>42</v>
      </c>
      <c r="AY234" s="420">
        <v>3</v>
      </c>
      <c r="AZ234" s="420">
        <f>IF(ISBLANK(tabItens[[#This Row],[CÓDIGO]]),"",tabItens[[#This Row],[PontoMês]] * (AZ$2+tabItens[[#This Row],[PontoQtM]]))</f>
        <v>126</v>
      </c>
      <c r="BA234" s="421">
        <f>tabItens[[#This Row],[PontoPed]] - tabItens[[#This Row],[Saldo]] + (1/10)</f>
        <v>-173.9</v>
      </c>
      <c r="BB234" s="421">
        <f xml:space="preserve"> tabItens[[#This Row],[PontoMês]] * BB$2 - tabItens[[#This Row],[QTDE ATUAL]] - (1/10)</f>
        <v>41.9</v>
      </c>
      <c r="BC234" s="320">
        <f>IF( tabItens[[#This Row],[PontoPed]]&gt;0, IF(tabItens[[#This Row],[PontoPed]]&lt;1, 1, IF( tabItens[[#This Row],[Saldo]]&gt;tabItens[[#This Row],[PontoPed]], 0, (tabItens[[#This Row],[PontoPed]]-tabItens[[#This Row],[Saldo]])/tabItens[[#This Row],[PontoPed]] ) ), 0 )</f>
        <v>0</v>
      </c>
      <c r="BD234" s="422">
        <f>ROUNDDOWN(IF( OR( AND(tabItens[[#This Row],[PontoPed]]&lt;tabItens[[#This Row],[Saldo]],tabItens[[#This Row],[Saldo]]&gt;0), tabItens[[#This Row],[PontoPed]]=0), 99, IF(AND(tabItens[[#This Row],[Saldo]]=0,tabItens[[#This Row],[PontoPed]]&gt;0), 0, (1-tabItens[[#This Row],[PctAb]])*10 ) ),0)</f>
        <v>99</v>
      </c>
      <c r="BE234" s="423">
        <f>MAX(ROUNDDOWN( IF(tabItens[[#This Row],[Abaixo]] &gt; 0,   tabItens[[#This Row],[Abaixo]] + (tabItens[[#This Row],[PontoMês]] * IF( OR( ISBLANK(tabItens[[#This Row],[ATA Nº/ANO]]), tabItens[[#This Row],[ATA Nº/ANO]] = ""),BE$2,BE$1)),0),0),0)</f>
        <v>0</v>
      </c>
      <c r="BF23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23">
        <f>SUMIF(Consumo!$C$3:$C$869,tabItens[[#This Row],[CÓDIGO]],Consumo!$E$3:$E$869)</f>
        <v>100</v>
      </c>
      <c r="BH234" s="324">
        <f>IF(AND(tabItens[[#This Row],[Pend]] &gt; 0,tabItens[[#This Row],[Consumo]] &lt;&gt; 0), tabItens[[#This Row],[Pend]] / tabItens[[#This Row],[Consumo]], 0 )</f>
        <v>0.33333333333333331</v>
      </c>
      <c r="BI234" s="323"/>
      <c r="BJ234" s="424"/>
      <c r="BK234" s="425" t="s">
        <v>2064</v>
      </c>
    </row>
    <row r="235" spans="1:63" hidden="1" x14ac:dyDescent="0.3">
      <c r="A235" s="286">
        <v>106414</v>
      </c>
      <c r="B235" s="287" t="s">
        <v>1626</v>
      </c>
      <c r="C235" s="288" t="s">
        <v>256</v>
      </c>
      <c r="D235" s="289">
        <v>3.69</v>
      </c>
      <c r="E235" s="290"/>
      <c r="F235" s="290"/>
      <c r="G235" s="290" t="s">
        <v>883</v>
      </c>
      <c r="H235" s="291">
        <v>2812</v>
      </c>
      <c r="I235" s="292">
        <v>103003</v>
      </c>
      <c r="J235" s="293">
        <v>3.69</v>
      </c>
      <c r="K235" s="294">
        <v>2907</v>
      </c>
      <c r="L235" s="295">
        <f>IF(tabItens[[#This Row],[Média]] &gt; 0, tabItens[[#This Row],[QTDE ATUAL]] / tabItens[[#This Row],[Média]],999.9)</f>
        <v>7.8529206423085878</v>
      </c>
      <c r="M235" s="296">
        <v>0</v>
      </c>
      <c r="N235" s="297">
        <f>tabItens[[#This Row],[VALOR UNIT.]] * tabItens[[#This Row],[LC]]</f>
        <v>0</v>
      </c>
      <c r="O235" s="298" t="s">
        <v>2082</v>
      </c>
      <c r="P235" s="299"/>
      <c r="Q235" s="300"/>
      <c r="R235" s="297"/>
      <c r="S235" s="301"/>
      <c r="T235" s="302">
        <f>ROUNDDOWN(IFERROR(tabItens[[#This Row],[ATA DT.VALID.]] - $D$1,0) / 30,0)</f>
        <v>-1504</v>
      </c>
      <c r="U235" s="287" t="s">
        <v>988</v>
      </c>
      <c r="V235" s="303">
        <v>1</v>
      </c>
      <c r="W235" s="304" t="s">
        <v>2055</v>
      </c>
      <c r="X235" s="305">
        <v>55</v>
      </c>
      <c r="Y235" s="306">
        <v>32</v>
      </c>
      <c r="Z235" s="307">
        <v>2547</v>
      </c>
      <c r="AA235" s="308">
        <v>2023</v>
      </c>
      <c r="AB235" s="309">
        <v>1000</v>
      </c>
      <c r="AC235" s="309"/>
      <c r="AD235" s="308"/>
      <c r="AE235" s="309"/>
      <c r="AF235" s="302"/>
      <c r="AG235" s="310" t="s">
        <v>2050</v>
      </c>
      <c r="AH235" s="311"/>
      <c r="AI235" s="302">
        <v>1432</v>
      </c>
      <c r="AJ235" s="311">
        <v>44659</v>
      </c>
      <c r="AK235" s="311">
        <v>39581</v>
      </c>
      <c r="AL235" s="311">
        <v>44616</v>
      </c>
      <c r="AM235" s="301"/>
      <c r="AN235" s="290"/>
      <c r="AO235" s="312" t="str">
        <f>_xlfn.IFNA(IF(VLOOKUP(tabItens[[#This Row],[CÓDIGO]],tabExcluirDoEstoque[#Data],1,FALSE),"sim",""),"")</f>
        <v/>
      </c>
      <c r="AP235" s="313" t="str">
        <f ca="1">IF(OR(ISBLANK(tabItens[[#This Row],[ATA DT.VALID.]]),tabItens[[#This Row],[ATA DT.VALID.]]="",tabItens[[#This Row],[ATA DT.VALID.]]=" "),"",IF(TYPE(tabItens[[#This Row],[ATA DT.VALID.]])=1,ROUNDUP((tabItens[[#This Row],[ATA DT.VALID.]]-TODAY())/7,0),""))</f>
        <v/>
      </c>
      <c r="AQ235" s="314">
        <v>0</v>
      </c>
      <c r="AR235" s="315" t="str">
        <f>IF(ISBLANK(tabItens[[#This Row],[CÓDIGO]]),"",IFERROR(VLOOKUP(tabItens[[#This Row],[CÓDIGO]],Consumo!$C$2:$AC$869,26,FALSE),0))</f>
        <v>07.2023</v>
      </c>
      <c r="AS235" s="316">
        <f>SUMIF(Consumo!$C$3:$C$869,tabItens[[#This Row],[CÓDIGO]],Consumo!$N$3:$N$869) + SUMIF(Consumo!$C$3:$C$869,tabItens[[#This Row],[CÓDIGO]],Consumo!$O$3:$O$869) + SUMIF(Consumo!$C$3:$C$869,tabItens[[#This Row],[CÓDIGO]],Consumo!$P$3:$P$869) + SUMIF(Consumo!$C$3:$C$869,tabItens[[#This Row],[CÓDIGO]],Consumo!$Q$3:$Q$869)</f>
        <v>1210</v>
      </c>
      <c r="AT235" s="316">
        <f>SUMIF(Consumo!$C$3:$C$869,tabItens[[#This Row],[CÓDIGO]],Consumo!$Z$3:$Z$869)</f>
        <v>4297</v>
      </c>
      <c r="AU235" s="317">
        <f>SUMIF(Consumo!$C$3:$C$869,tabItens[[#This Row],[CÓDIGO]],Consumo!$AA$3:$AA$869)</f>
        <v>618</v>
      </c>
      <c r="AV235" s="318">
        <f>SUMIF(Consumo!$C$3:$C$869,tabItens[[#This Row],[CÓDIGO]],Consumo!$Y$3:$Y$869)</f>
        <v>358.08333333333331</v>
      </c>
      <c r="AW235" s="291">
        <f>tabItens[[#This Row],[QTDE ATUAL]] + tabItens[[#This Row],[RC QTDE]] + tabItens[[#This Row],[AF SALDO]] + tabItens[[#This Row],[Recentes]]</f>
        <v>3812</v>
      </c>
      <c r="AX235" s="319">
        <v>100</v>
      </c>
      <c r="AY235" s="319">
        <v>4</v>
      </c>
      <c r="AZ235" s="319">
        <f>IF(ISBLANK(tabItens[[#This Row],[CÓDIGO]]),"",tabItens[[#This Row],[PontoMês]] * (AZ$2+tabItens[[#This Row],[PontoQtM]]))</f>
        <v>400</v>
      </c>
      <c r="BA235" s="318">
        <f>tabItens[[#This Row],[PontoPed]] - tabItens[[#This Row],[Saldo]] + (1/10)</f>
        <v>-3411.9</v>
      </c>
      <c r="BB235" s="318">
        <f xml:space="preserve"> tabItens[[#This Row],[PontoMês]] * BB$2 - tabItens[[#This Row],[QTDE ATUAL]] - (1/10)</f>
        <v>-2712.1</v>
      </c>
      <c r="BC235" s="320">
        <f>IF( tabItens[[#This Row],[PontoPed]]&gt;0, IF(tabItens[[#This Row],[PontoPed]]&lt;1, 1, IF( tabItens[[#This Row],[Saldo]]&gt;tabItens[[#This Row],[PontoPed]], 0, (tabItens[[#This Row],[PontoPed]]-tabItens[[#This Row],[Saldo]])/tabItens[[#This Row],[PontoPed]] ) ), 0 )</f>
        <v>0</v>
      </c>
      <c r="BD235" s="321">
        <f>ROUNDDOWN(IF( OR( AND(tabItens[[#This Row],[PontoPed]]&lt;tabItens[[#This Row],[Saldo]],tabItens[[#This Row],[Saldo]]&gt;0), tabItens[[#This Row],[PontoPed]]=0), 99, IF(AND(tabItens[[#This Row],[Saldo]]=0,tabItens[[#This Row],[PontoPed]]&gt;0), 0, (1-tabItens[[#This Row],[PctAb]])*10 ) ),0)</f>
        <v>99</v>
      </c>
      <c r="BE235" s="322">
        <f>MAX(ROUNDDOWN( IF(tabItens[[#This Row],[Abaixo]] &gt; 0,   tabItens[[#This Row],[Abaixo]] + (tabItens[[#This Row],[PontoMês]] * IF( OR( ISBLANK(tabItens[[#This Row],[ATA Nº/ANO]]), tabItens[[#This Row],[ATA Nº/ANO]] = ""),BE$2,BE$1)),0),0),0)</f>
        <v>0</v>
      </c>
      <c r="BF2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23">
        <f>SUMIF(Consumo!$C$3:$C$869,tabItens[[#This Row],[CÓDIGO]],Consumo!$E$3:$E$869)</f>
        <v>0</v>
      </c>
      <c r="BH235" s="324">
        <f>IF(AND(tabItens[[#This Row],[Pend]] &gt; 0,tabItens[[#This Row],[Consumo]] &lt;&gt; 0), tabItens[[#This Row],[Pend]] / tabItens[[#This Row],[Consumo]], 0 )</f>
        <v>0</v>
      </c>
      <c r="BI235" s="323"/>
      <c r="BJ235" s="323"/>
      <c r="BK235" s="325" t="s">
        <v>2064</v>
      </c>
    </row>
    <row r="236" spans="1:63" x14ac:dyDescent="0.3">
      <c r="A236" s="396">
        <v>111806</v>
      </c>
      <c r="B236" s="397" t="s">
        <v>1673</v>
      </c>
      <c r="C236" s="398" t="s">
        <v>256</v>
      </c>
      <c r="D236" s="399">
        <v>2.1</v>
      </c>
      <c r="E236" s="290"/>
      <c r="F236" s="400"/>
      <c r="G236" s="400" t="s">
        <v>883</v>
      </c>
      <c r="H236" s="401">
        <v>0</v>
      </c>
      <c r="I236" s="292">
        <v>103003</v>
      </c>
      <c r="J236" s="293">
        <v>2.1</v>
      </c>
      <c r="K236" s="402">
        <v>1620</v>
      </c>
      <c r="L236" s="403">
        <f>IF(tabItens[[#This Row],[Média]] &gt; 0, tabItens[[#This Row],[QTDE ATUAL]] / tabItens[[#This Row],[Média]],999.9)</f>
        <v>0</v>
      </c>
      <c r="M236" s="404">
        <v>0</v>
      </c>
      <c r="N236" s="405">
        <f>tabItens[[#This Row],[VALOR UNIT.]] * tabItens[[#This Row],[LC]]</f>
        <v>0</v>
      </c>
      <c r="O236" s="406" t="s">
        <v>2082</v>
      </c>
      <c r="P236" s="407"/>
      <c r="Q236" s="408"/>
      <c r="R236" s="297"/>
      <c r="S236" s="409"/>
      <c r="T236" s="410">
        <f>ROUNDDOWN(IFERROR(tabItens[[#This Row],[ATA DT.VALID.]] - $D$1,0) / 30,0)</f>
        <v>-1504</v>
      </c>
      <c r="U236" s="287" t="s">
        <v>988</v>
      </c>
      <c r="V236" s="303">
        <v>1</v>
      </c>
      <c r="W236" s="411" t="s">
        <v>2055</v>
      </c>
      <c r="X236" s="412">
        <v>55</v>
      </c>
      <c r="Y236" s="413">
        <v>32</v>
      </c>
      <c r="Z236" s="414">
        <v>2547</v>
      </c>
      <c r="AA236" s="415">
        <v>2023</v>
      </c>
      <c r="AB236" s="416">
        <v>2000</v>
      </c>
      <c r="AC236" s="416"/>
      <c r="AD236" s="415"/>
      <c r="AE236" s="416"/>
      <c r="AF236" s="302"/>
      <c r="AG236" s="417" t="s">
        <v>2050</v>
      </c>
      <c r="AH236" s="418"/>
      <c r="AI236" s="302">
        <v>558</v>
      </c>
      <c r="AJ236" s="418">
        <v>44631</v>
      </c>
      <c r="AK236" s="311">
        <v>40011</v>
      </c>
      <c r="AL236" s="311">
        <v>44616</v>
      </c>
      <c r="AM236" s="301"/>
      <c r="AN236" s="290"/>
      <c r="AO236" s="312" t="str">
        <f>_xlfn.IFNA(IF(VLOOKUP(tabItens[[#This Row],[CÓDIGO]],tabExcluirDoEstoque[#Data],1,FALSE),"sim",""),"")</f>
        <v/>
      </c>
      <c r="AP236" s="419" t="str">
        <f ca="1">IF(OR(ISBLANK(tabItens[[#This Row],[ATA DT.VALID.]]),tabItens[[#This Row],[ATA DT.VALID.]]="",tabItens[[#This Row],[ATA DT.VALID.]]=" "),"",IF(TYPE(tabItens[[#This Row],[ATA DT.VALID.]])=1,ROUNDUP((tabItens[[#This Row],[ATA DT.VALID.]]-TODAY())/7,0),""))</f>
        <v/>
      </c>
      <c r="AQ236" s="314">
        <v>0</v>
      </c>
      <c r="AR236" s="315" t="str">
        <f>IF(ISBLANK(tabItens[[#This Row],[CÓDIGO]]),"",IFERROR(VLOOKUP(tabItens[[#This Row],[CÓDIGO]],Consumo!$C$2:$AC$869,26,FALSE),0))</f>
        <v>06.2023</v>
      </c>
      <c r="AS236" s="316">
        <f>SUMIF(Consumo!$C$3:$C$869,tabItens[[#This Row],[CÓDIGO]],Consumo!$N$3:$N$869) + SUMIF(Consumo!$C$3:$C$869,tabItens[[#This Row],[CÓDIGO]],Consumo!$O$3:$O$869) + SUMIF(Consumo!$C$3:$C$869,tabItens[[#This Row],[CÓDIGO]],Consumo!$P$3:$P$869) + SUMIF(Consumo!$C$3:$C$869,tabItens[[#This Row],[CÓDIGO]],Consumo!$Q$3:$Q$869)</f>
        <v>9</v>
      </c>
      <c r="AT236" s="316">
        <f>SUMIF(Consumo!$C$3:$C$869,tabItens[[#This Row],[CÓDIGO]],Consumo!$Z$3:$Z$869)</f>
        <v>2070</v>
      </c>
      <c r="AU236" s="317">
        <f>SUMIF(Consumo!$C$3:$C$869,tabItens[[#This Row],[CÓDIGO]],Consumo!$AA$3:$AA$869)</f>
        <v>493</v>
      </c>
      <c r="AV236" s="318">
        <f>SUMIF(Consumo!$C$3:$C$869,tabItens[[#This Row],[CÓDIGO]],Consumo!$Y$3:$Y$869)</f>
        <v>172.5</v>
      </c>
      <c r="AW236" s="401">
        <f>tabItens[[#This Row],[QTDE ATUAL]] + tabItens[[#This Row],[RC QTDE]] + tabItens[[#This Row],[AF SALDO]] + tabItens[[#This Row],[Recentes]]</f>
        <v>2000</v>
      </c>
      <c r="AX236" s="420">
        <v>60</v>
      </c>
      <c r="AY236" s="420">
        <v>4</v>
      </c>
      <c r="AZ236" s="420">
        <f>IF(ISBLANK(tabItens[[#This Row],[CÓDIGO]]),"",tabItens[[#This Row],[PontoMês]] * (AZ$2+tabItens[[#This Row],[PontoQtM]]))</f>
        <v>240</v>
      </c>
      <c r="BA236" s="421">
        <f>tabItens[[#This Row],[PontoPed]] - tabItens[[#This Row],[Saldo]] + (1/10)</f>
        <v>-1759.9</v>
      </c>
      <c r="BB236" s="421">
        <f xml:space="preserve"> tabItens[[#This Row],[PontoMês]] * BB$2 - tabItens[[#This Row],[QTDE ATUAL]] - (1/10)</f>
        <v>59.9</v>
      </c>
      <c r="BC236" s="320">
        <f>IF( tabItens[[#This Row],[PontoPed]]&gt;0, IF(tabItens[[#This Row],[PontoPed]]&lt;1, 1, IF( tabItens[[#This Row],[Saldo]]&gt;tabItens[[#This Row],[PontoPed]], 0, (tabItens[[#This Row],[PontoPed]]-tabItens[[#This Row],[Saldo]])/tabItens[[#This Row],[PontoPed]] ) ), 0 )</f>
        <v>0</v>
      </c>
      <c r="BD236" s="422">
        <f>ROUNDDOWN(IF( OR( AND(tabItens[[#This Row],[PontoPed]]&lt;tabItens[[#This Row],[Saldo]],tabItens[[#This Row],[Saldo]]&gt;0), tabItens[[#This Row],[PontoPed]]=0), 99, IF(AND(tabItens[[#This Row],[Saldo]]=0,tabItens[[#This Row],[PontoPed]]&gt;0), 0, (1-tabItens[[#This Row],[PctAb]])*10 ) ),0)</f>
        <v>99</v>
      </c>
      <c r="BE236" s="423">
        <f>MAX(ROUNDDOWN( IF(tabItens[[#This Row],[Abaixo]] &gt; 0,   tabItens[[#This Row],[Abaixo]] + (tabItens[[#This Row],[PontoMês]] * IF( OR( ISBLANK(tabItens[[#This Row],[ATA Nº/ANO]]), tabItens[[#This Row],[ATA Nº/ANO]] = ""),BE$2,BE$1)),0),0),0)</f>
        <v>0</v>
      </c>
      <c r="BF23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23">
        <f>SUMIF(Consumo!$C$3:$C$869,tabItens[[#This Row],[CÓDIGO]],Consumo!$E$3:$E$869)</f>
        <v>399</v>
      </c>
      <c r="BH236" s="324">
        <f>IF(AND(tabItens[[#This Row],[Pend]] &gt; 0,tabItens[[#This Row],[Consumo]] &lt;&gt; 0), tabItens[[#This Row],[Pend]] / tabItens[[#This Row],[Consumo]], 0 )</f>
        <v>0.1927536231884058</v>
      </c>
      <c r="BI236" s="323"/>
      <c r="BJ236" s="424"/>
      <c r="BK236" s="425" t="s">
        <v>2064</v>
      </c>
    </row>
    <row r="237" spans="1:63" hidden="1" x14ac:dyDescent="0.3">
      <c r="A237" s="286">
        <v>128815</v>
      </c>
      <c r="B237" s="287" t="s">
        <v>1782</v>
      </c>
      <c r="C237" s="288" t="s">
        <v>31</v>
      </c>
      <c r="D237" s="289">
        <v>0.25</v>
      </c>
      <c r="E237" s="290"/>
      <c r="F237" s="290"/>
      <c r="G237" s="290" t="s">
        <v>883</v>
      </c>
      <c r="H237" s="291">
        <v>2691</v>
      </c>
      <c r="I237" s="292">
        <v>103003</v>
      </c>
      <c r="J237" s="293">
        <v>0.25</v>
      </c>
      <c r="K237" s="294">
        <v>2874</v>
      </c>
      <c r="L237" s="295">
        <f>IF(tabItens[[#This Row],[Média]] &gt; 0, tabItens[[#This Row],[QTDE ATUAL]] / tabItens[[#This Row],[Média]],999.9)</f>
        <v>8.8616904500548834</v>
      </c>
      <c r="M237" s="296">
        <v>0</v>
      </c>
      <c r="N237" s="297">
        <f>tabItens[[#This Row],[VALOR UNIT.]] * tabItens[[#This Row],[LC]]</f>
        <v>0</v>
      </c>
      <c r="O237" s="298" t="s">
        <v>2082</v>
      </c>
      <c r="P237" s="299"/>
      <c r="Q237" s="300"/>
      <c r="R237" s="297"/>
      <c r="S237" s="301"/>
      <c r="T237" s="302">
        <f>ROUNDDOWN(IFERROR(tabItens[[#This Row],[ATA DT.VALID.]] - $D$1,0) / 30,0)</f>
        <v>-1504</v>
      </c>
      <c r="U237" s="287" t="s">
        <v>988</v>
      </c>
      <c r="V237" s="303">
        <v>1</v>
      </c>
      <c r="W237" s="304" t="s">
        <v>2055</v>
      </c>
      <c r="X237" s="305">
        <v>55</v>
      </c>
      <c r="Y237" s="306">
        <v>32</v>
      </c>
      <c r="Z237" s="307">
        <v>2956</v>
      </c>
      <c r="AA237" s="308">
        <v>2023</v>
      </c>
      <c r="AB237" s="309">
        <v>3000</v>
      </c>
      <c r="AC237" s="309"/>
      <c r="AD237" s="308"/>
      <c r="AE237" s="309"/>
      <c r="AF237" s="302"/>
      <c r="AG237" s="310" t="s">
        <v>2050</v>
      </c>
      <c r="AH237" s="311"/>
      <c r="AI237" s="302">
        <v>1268</v>
      </c>
      <c r="AJ237" s="311">
        <v>44628</v>
      </c>
      <c r="AK237" s="311">
        <v>41926</v>
      </c>
      <c r="AL237" s="311">
        <v>44616</v>
      </c>
      <c r="AM237" s="301"/>
      <c r="AN237" s="290"/>
      <c r="AO237" s="312" t="str">
        <f>_xlfn.IFNA(IF(VLOOKUP(tabItens[[#This Row],[CÓDIGO]],tabExcluirDoEstoque[#Data],1,FALSE),"sim",""),"")</f>
        <v/>
      </c>
      <c r="AP237" s="313" t="str">
        <f ca="1">IF(OR(ISBLANK(tabItens[[#This Row],[ATA DT.VALID.]]),tabItens[[#This Row],[ATA DT.VALID.]]="",tabItens[[#This Row],[ATA DT.VALID.]]=" "),"",IF(TYPE(tabItens[[#This Row],[ATA DT.VALID.]])=1,ROUNDUP((tabItens[[#This Row],[ATA DT.VALID.]]-TODAY())/7,0),""))</f>
        <v/>
      </c>
      <c r="AQ237" s="314">
        <v>0</v>
      </c>
      <c r="AR237" s="315" t="str">
        <f>IF(ISBLANK(tabItens[[#This Row],[CÓDIGO]]),"",IFERROR(VLOOKUP(tabItens[[#This Row],[CÓDIGO]],Consumo!$C$2:$AC$869,26,FALSE),0))</f>
        <v>05.2023</v>
      </c>
      <c r="AS237" s="316">
        <f>SUMIF(Consumo!$C$3:$C$869,tabItens[[#This Row],[CÓDIGO]],Consumo!$N$3:$N$869) + SUMIF(Consumo!$C$3:$C$869,tabItens[[#This Row],[CÓDIGO]],Consumo!$O$3:$O$869) + SUMIF(Consumo!$C$3:$C$869,tabItens[[#This Row],[CÓDIGO]],Consumo!$P$3:$P$869) + SUMIF(Consumo!$C$3:$C$869,tabItens[[#This Row],[CÓDIGO]],Consumo!$Q$3:$Q$869)</f>
        <v>620</v>
      </c>
      <c r="AT237" s="316">
        <f>SUMIF(Consumo!$C$3:$C$869,tabItens[[#This Row],[CÓDIGO]],Consumo!$Z$3:$Z$869)</f>
        <v>3644</v>
      </c>
      <c r="AU237" s="317">
        <f>SUMIF(Consumo!$C$3:$C$869,tabItens[[#This Row],[CÓDIGO]],Consumo!$AA$3:$AA$869)</f>
        <v>784</v>
      </c>
      <c r="AV237" s="318">
        <f>SUMIF(Consumo!$C$3:$C$869,tabItens[[#This Row],[CÓDIGO]],Consumo!$Y$3:$Y$869)</f>
        <v>303.66666666666669</v>
      </c>
      <c r="AW237" s="291">
        <f>tabItens[[#This Row],[QTDE ATUAL]] + tabItens[[#This Row],[RC QTDE]] + tabItens[[#This Row],[AF SALDO]] + tabItens[[#This Row],[Recentes]]</f>
        <v>5691</v>
      </c>
      <c r="AX237" s="319">
        <v>200</v>
      </c>
      <c r="AY237" s="319">
        <v>4</v>
      </c>
      <c r="AZ237" s="319">
        <f>IF(ISBLANK(tabItens[[#This Row],[CÓDIGO]]),"",tabItens[[#This Row],[PontoMês]] * (AZ$2+tabItens[[#This Row],[PontoQtM]]))</f>
        <v>800</v>
      </c>
      <c r="BA237" s="318">
        <f>tabItens[[#This Row],[PontoPed]] - tabItens[[#This Row],[Saldo]] + (1/10)</f>
        <v>-4890.8999999999996</v>
      </c>
      <c r="BB237" s="318">
        <f xml:space="preserve"> tabItens[[#This Row],[PontoMês]] * BB$2 - tabItens[[#This Row],[QTDE ATUAL]] - (1/10)</f>
        <v>-2491.1</v>
      </c>
      <c r="BC237" s="320">
        <f>IF( tabItens[[#This Row],[PontoPed]]&gt;0, IF(tabItens[[#This Row],[PontoPed]]&lt;1, 1, IF( tabItens[[#This Row],[Saldo]]&gt;tabItens[[#This Row],[PontoPed]], 0, (tabItens[[#This Row],[PontoPed]]-tabItens[[#This Row],[Saldo]])/tabItens[[#This Row],[PontoPed]] ) ), 0 )</f>
        <v>0</v>
      </c>
      <c r="BD237" s="321">
        <f>ROUNDDOWN(IF( OR( AND(tabItens[[#This Row],[PontoPed]]&lt;tabItens[[#This Row],[Saldo]],tabItens[[#This Row],[Saldo]]&gt;0), tabItens[[#This Row],[PontoPed]]=0), 99, IF(AND(tabItens[[#This Row],[Saldo]]=0,tabItens[[#This Row],[PontoPed]]&gt;0), 0, (1-tabItens[[#This Row],[PctAb]])*10 ) ),0)</f>
        <v>99</v>
      </c>
      <c r="BE237" s="322">
        <f>MAX(ROUNDDOWN( IF(tabItens[[#This Row],[Abaixo]] &gt; 0,   tabItens[[#This Row],[Abaixo]] + (tabItens[[#This Row],[PontoMês]] * IF( OR( ISBLANK(tabItens[[#This Row],[ATA Nº/ANO]]), tabItens[[#This Row],[ATA Nº/ANO]] = ""),BE$2,BE$1)),0),0),0)</f>
        <v>0</v>
      </c>
      <c r="BF23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23">
        <f>SUMIF(Consumo!$C$3:$C$869,tabItens[[#This Row],[CÓDIGO]],Consumo!$E$3:$E$869)</f>
        <v>0</v>
      </c>
      <c r="BH237" s="324">
        <f>IF(AND(tabItens[[#This Row],[Pend]] &gt; 0,tabItens[[#This Row],[Consumo]] &lt;&gt; 0), tabItens[[#This Row],[Pend]] / tabItens[[#This Row],[Consumo]], 0 )</f>
        <v>0</v>
      </c>
      <c r="BI237" s="323"/>
      <c r="BJ237" s="323"/>
      <c r="BK237" s="325" t="s">
        <v>2064</v>
      </c>
    </row>
    <row r="238" spans="1:63" hidden="1" x14ac:dyDescent="0.3">
      <c r="A238" s="286">
        <v>128816</v>
      </c>
      <c r="B238" s="287" t="s">
        <v>1783</v>
      </c>
      <c r="C238" s="288" t="s">
        <v>31</v>
      </c>
      <c r="D238" s="289">
        <v>0.39</v>
      </c>
      <c r="E238" s="290"/>
      <c r="F238" s="290"/>
      <c r="G238" s="290" t="s">
        <v>883</v>
      </c>
      <c r="H238" s="291">
        <v>805</v>
      </c>
      <c r="I238" s="292">
        <v>103003</v>
      </c>
      <c r="J238" s="293">
        <v>0.39</v>
      </c>
      <c r="K238" s="294">
        <v>185</v>
      </c>
      <c r="L238" s="295">
        <f>IF(tabItens[[#This Row],[Média]] &gt; 0, tabItens[[#This Row],[QTDE ATUAL]] / tabItens[[#This Row],[Média]],999.9)</f>
        <v>79.180327868852459</v>
      </c>
      <c r="M238" s="296">
        <v>0</v>
      </c>
      <c r="N238" s="297">
        <f>tabItens[[#This Row],[VALOR UNIT.]] * tabItens[[#This Row],[LC]]</f>
        <v>0</v>
      </c>
      <c r="O238" s="298" t="s">
        <v>2082</v>
      </c>
      <c r="P238" s="299"/>
      <c r="Q238" s="300"/>
      <c r="R238" s="297"/>
      <c r="S238" s="301"/>
      <c r="T238" s="302">
        <f>ROUNDDOWN(IFERROR(tabItens[[#This Row],[ATA DT.VALID.]] - $D$1,0) / 30,0)</f>
        <v>-1504</v>
      </c>
      <c r="U238" s="287" t="s">
        <v>988</v>
      </c>
      <c r="V238" s="303">
        <v>1</v>
      </c>
      <c r="W238" s="304" t="s">
        <v>2055</v>
      </c>
      <c r="X238" s="305">
        <v>55</v>
      </c>
      <c r="Y238" s="306">
        <v>32</v>
      </c>
      <c r="Z238" s="307"/>
      <c r="AA238" s="308"/>
      <c r="AB238" s="309"/>
      <c r="AC238" s="309"/>
      <c r="AD238" s="308"/>
      <c r="AE238" s="309"/>
      <c r="AF238" s="302"/>
      <c r="AG238" s="310" t="s">
        <v>2050</v>
      </c>
      <c r="AH238" s="311"/>
      <c r="AI238" s="302">
        <v>62</v>
      </c>
      <c r="AJ238" s="311">
        <v>42220</v>
      </c>
      <c r="AK238" s="311">
        <v>41926</v>
      </c>
      <c r="AL238" s="311">
        <v>42205</v>
      </c>
      <c r="AM238" s="301"/>
      <c r="AN238" s="290"/>
      <c r="AO238" s="312" t="str">
        <f>_xlfn.IFNA(IF(VLOOKUP(tabItens[[#This Row],[CÓDIGO]],tabExcluirDoEstoque[#Data],1,FALSE),"sim",""),"")</f>
        <v/>
      </c>
      <c r="AP238" s="313" t="str">
        <f ca="1">IF(OR(ISBLANK(tabItens[[#This Row],[ATA DT.VALID.]]),tabItens[[#This Row],[ATA DT.VALID.]]="",tabItens[[#This Row],[ATA DT.VALID.]]=" "),"",IF(TYPE(tabItens[[#This Row],[ATA DT.VALID.]])=1,ROUNDUP((tabItens[[#This Row],[ATA DT.VALID.]]-TODAY())/7,0),""))</f>
        <v/>
      </c>
      <c r="AQ238" s="314">
        <v>0</v>
      </c>
      <c r="AR238" s="315" t="str">
        <f>IF(ISBLANK(tabItens[[#This Row],[CÓDIGO]]),"",IFERROR(VLOOKUP(tabItens[[#This Row],[CÓDIGO]],Consumo!$C$2:$AC$869,26,FALSE),0))</f>
        <v>01.2023</v>
      </c>
      <c r="AS238" s="316">
        <f>SUMIF(Consumo!$C$3:$C$869,tabItens[[#This Row],[CÓDIGO]],Consumo!$N$3:$N$869) + SUMIF(Consumo!$C$3:$C$869,tabItens[[#This Row],[CÓDIGO]],Consumo!$O$3:$O$869) + SUMIF(Consumo!$C$3:$C$869,tabItens[[#This Row],[CÓDIGO]],Consumo!$P$3:$P$869) + SUMIF(Consumo!$C$3:$C$869,tabItens[[#This Row],[CÓDIGO]],Consumo!$Q$3:$Q$869)</f>
        <v>0</v>
      </c>
      <c r="AT238" s="316">
        <f>SUMIF(Consumo!$C$3:$C$869,tabItens[[#This Row],[CÓDIGO]],Consumo!$Z$3:$Z$869)</f>
        <v>185</v>
      </c>
      <c r="AU238" s="317">
        <f>SUMIF(Consumo!$C$3:$C$869,tabItens[[#This Row],[CÓDIGO]],Consumo!$AA$3:$AA$869)</f>
        <v>185</v>
      </c>
      <c r="AV238" s="318">
        <f>SUMIF(Consumo!$C$3:$C$869,tabItens[[#This Row],[CÓDIGO]],Consumo!$Y$3:$Y$869)</f>
        <v>10.166666666666666</v>
      </c>
      <c r="AW238" s="291">
        <f>tabItens[[#This Row],[QTDE ATUAL]] + tabItens[[#This Row],[RC QTDE]] + tabItens[[#This Row],[AF SALDO]] + tabItens[[#This Row],[Recentes]]</f>
        <v>805</v>
      </c>
      <c r="AX238" s="319">
        <v>5</v>
      </c>
      <c r="AY238" s="319">
        <v>4</v>
      </c>
      <c r="AZ238" s="319">
        <f>IF(ISBLANK(tabItens[[#This Row],[CÓDIGO]]),"",tabItens[[#This Row],[PontoMês]] * (AZ$2+tabItens[[#This Row],[PontoQtM]]))</f>
        <v>20</v>
      </c>
      <c r="BA238" s="318">
        <f>tabItens[[#This Row],[PontoPed]] - tabItens[[#This Row],[Saldo]] + (1/10)</f>
        <v>-784.9</v>
      </c>
      <c r="BB238" s="318">
        <f xml:space="preserve"> tabItens[[#This Row],[PontoMês]] * BB$2 - tabItens[[#This Row],[QTDE ATUAL]] - (1/10)</f>
        <v>-800.1</v>
      </c>
      <c r="BC238" s="320">
        <f>IF( tabItens[[#This Row],[PontoPed]]&gt;0, IF(tabItens[[#This Row],[PontoPed]]&lt;1, 1, IF( tabItens[[#This Row],[Saldo]]&gt;tabItens[[#This Row],[PontoPed]], 0, (tabItens[[#This Row],[PontoPed]]-tabItens[[#This Row],[Saldo]])/tabItens[[#This Row],[PontoPed]] ) ), 0 )</f>
        <v>0</v>
      </c>
      <c r="BD238" s="321">
        <f>ROUNDDOWN(IF( OR( AND(tabItens[[#This Row],[PontoPed]]&lt;tabItens[[#This Row],[Saldo]],tabItens[[#This Row],[Saldo]]&gt;0), tabItens[[#This Row],[PontoPed]]=0), 99, IF(AND(tabItens[[#This Row],[Saldo]]=0,tabItens[[#This Row],[PontoPed]]&gt;0), 0, (1-tabItens[[#This Row],[PctAb]])*10 ) ),0)</f>
        <v>99</v>
      </c>
      <c r="BE238" s="322">
        <f>MAX(ROUNDDOWN( IF(tabItens[[#This Row],[Abaixo]] &gt; 0,   tabItens[[#This Row],[Abaixo]] + (tabItens[[#This Row],[PontoMês]] * IF( OR( ISBLANK(tabItens[[#This Row],[ATA Nº/ANO]]), tabItens[[#This Row],[ATA Nº/ANO]] = ""),BE$2,BE$1)),0),0),0)</f>
        <v>0</v>
      </c>
      <c r="BF23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23">
        <f>SUMIF(Consumo!$C$3:$C$869,tabItens[[#This Row],[CÓDIGO]],Consumo!$E$3:$E$869)</f>
        <v>0</v>
      </c>
      <c r="BH238" s="324">
        <f>IF(AND(tabItens[[#This Row],[Pend]] &gt; 0,tabItens[[#This Row],[Consumo]] &lt;&gt; 0), tabItens[[#This Row],[Pend]] / tabItens[[#This Row],[Consumo]], 0 )</f>
        <v>0</v>
      </c>
      <c r="BI238" s="323"/>
      <c r="BJ238" s="323"/>
      <c r="BK238" s="325" t="s">
        <v>2064</v>
      </c>
    </row>
    <row r="239" spans="1:63" hidden="1" x14ac:dyDescent="0.3">
      <c r="A239" s="286">
        <v>129991</v>
      </c>
      <c r="B239" s="287" t="s">
        <v>1790</v>
      </c>
      <c r="C239" s="288" t="s">
        <v>331</v>
      </c>
      <c r="D239" s="289">
        <v>12.24</v>
      </c>
      <c r="E239" s="290"/>
      <c r="F239" s="290"/>
      <c r="G239" s="290" t="s">
        <v>883</v>
      </c>
      <c r="H239" s="291">
        <v>374</v>
      </c>
      <c r="I239" s="292">
        <v>103003</v>
      </c>
      <c r="J239" s="293">
        <v>12.24</v>
      </c>
      <c r="K239" s="294">
        <v>228</v>
      </c>
      <c r="L239" s="295">
        <f>IF(tabItens[[#This Row],[Média]] &gt; 0, tabItens[[#This Row],[QTDE ATUAL]] / tabItens[[#This Row],[Média]],999.9)</f>
        <v>24.25945945945946</v>
      </c>
      <c r="M239" s="296">
        <v>0</v>
      </c>
      <c r="N239" s="297">
        <f>tabItens[[#This Row],[VALOR UNIT.]] * tabItens[[#This Row],[LC]]</f>
        <v>0</v>
      </c>
      <c r="O239" s="298" t="s">
        <v>2082</v>
      </c>
      <c r="P239" s="299"/>
      <c r="Q239" s="300"/>
      <c r="R239" s="297"/>
      <c r="S239" s="301"/>
      <c r="T239" s="302">
        <f>ROUNDDOWN(IFERROR(tabItens[[#This Row],[ATA DT.VALID.]] - $D$1,0) / 30,0)</f>
        <v>-1504</v>
      </c>
      <c r="U239" s="287" t="s">
        <v>988</v>
      </c>
      <c r="V239" s="303">
        <v>1</v>
      </c>
      <c r="W239" s="304" t="s">
        <v>2055</v>
      </c>
      <c r="X239" s="305">
        <v>55</v>
      </c>
      <c r="Y239" s="306">
        <v>32</v>
      </c>
      <c r="Z239" s="307"/>
      <c r="AA239" s="308"/>
      <c r="AB239" s="309"/>
      <c r="AC239" s="309"/>
      <c r="AD239" s="308"/>
      <c r="AE239" s="309"/>
      <c r="AF239" s="302"/>
      <c r="AG239" s="310" t="s">
        <v>2050</v>
      </c>
      <c r="AH239" s="311"/>
      <c r="AI239" s="302">
        <v>76</v>
      </c>
      <c r="AJ239" s="311">
        <v>44945</v>
      </c>
      <c r="AK239" s="311">
        <v>42055</v>
      </c>
      <c r="AL239" s="311">
        <v>44917</v>
      </c>
      <c r="AM239" s="301"/>
      <c r="AN239" s="290"/>
      <c r="AO239" s="312" t="str">
        <f>_xlfn.IFNA(IF(VLOOKUP(tabItens[[#This Row],[CÓDIGO]],tabExcluirDoEstoque[#Data],1,FALSE),"sim",""),"")</f>
        <v/>
      </c>
      <c r="AP239" s="313" t="str">
        <f ca="1">IF(OR(ISBLANK(tabItens[[#This Row],[ATA DT.VALID.]]),tabItens[[#This Row],[ATA DT.VALID.]]="",tabItens[[#This Row],[ATA DT.VALID.]]=" "),"",IF(TYPE(tabItens[[#This Row],[ATA DT.VALID.]])=1,ROUNDUP((tabItens[[#This Row],[ATA DT.VALID.]]-TODAY())/7,0),""))</f>
        <v/>
      </c>
      <c r="AQ239" s="314">
        <v>0</v>
      </c>
      <c r="AR239" s="315" t="str">
        <f>IF(ISBLANK(tabItens[[#This Row],[CÓDIGO]]),"",IFERROR(VLOOKUP(tabItens[[#This Row],[CÓDIGO]],Consumo!$C$2:$AC$869,26,FALSE),0))</f>
        <v>07.2023</v>
      </c>
      <c r="AS239" s="316">
        <f>SUMIF(Consumo!$C$3:$C$869,tabItens[[#This Row],[CÓDIGO]],Consumo!$N$3:$N$869) + SUMIF(Consumo!$C$3:$C$869,tabItens[[#This Row],[CÓDIGO]],Consumo!$O$3:$O$869) + SUMIF(Consumo!$C$3:$C$869,tabItens[[#This Row],[CÓDIGO]],Consumo!$P$3:$P$869) + SUMIF(Consumo!$C$3:$C$869,tabItens[[#This Row],[CÓDIGO]],Consumo!$Q$3:$Q$869)</f>
        <v>2</v>
      </c>
      <c r="AT239" s="316">
        <f>SUMIF(Consumo!$C$3:$C$869,tabItens[[#This Row],[CÓDIGO]],Consumo!$Z$3:$Z$869)</f>
        <v>228</v>
      </c>
      <c r="AU239" s="317">
        <f>SUMIF(Consumo!$C$3:$C$869,tabItens[[#This Row],[CÓDIGO]],Consumo!$AA$3:$AA$869)</f>
        <v>150</v>
      </c>
      <c r="AV239" s="318">
        <f>SUMIF(Consumo!$C$3:$C$869,tabItens[[#This Row],[CÓDIGO]],Consumo!$Y$3:$Y$869)</f>
        <v>15.416666666666666</v>
      </c>
      <c r="AW239" s="291">
        <f>tabItens[[#This Row],[QTDE ATUAL]] + tabItens[[#This Row],[RC QTDE]] + tabItens[[#This Row],[AF SALDO]] + tabItens[[#This Row],[Recentes]]</f>
        <v>374</v>
      </c>
      <c r="AX239" s="319">
        <v>25</v>
      </c>
      <c r="AY239" s="319">
        <v>4</v>
      </c>
      <c r="AZ239" s="319">
        <f>IF(ISBLANK(tabItens[[#This Row],[CÓDIGO]]),"",tabItens[[#This Row],[PontoMês]] * (AZ$2+tabItens[[#This Row],[PontoQtM]]))</f>
        <v>100</v>
      </c>
      <c r="BA239" s="318">
        <f>tabItens[[#This Row],[PontoPed]] - tabItens[[#This Row],[Saldo]] + (1/10)</f>
        <v>-273.89999999999998</v>
      </c>
      <c r="BB239" s="318">
        <f xml:space="preserve"> tabItens[[#This Row],[PontoMês]] * BB$2 - tabItens[[#This Row],[QTDE ATUAL]] - (1/10)</f>
        <v>-349.1</v>
      </c>
      <c r="BC239" s="320">
        <f>IF( tabItens[[#This Row],[PontoPed]]&gt;0, IF(tabItens[[#This Row],[PontoPed]]&lt;1, 1, IF( tabItens[[#This Row],[Saldo]]&gt;tabItens[[#This Row],[PontoPed]], 0, (tabItens[[#This Row],[PontoPed]]-tabItens[[#This Row],[Saldo]])/tabItens[[#This Row],[PontoPed]] ) ), 0 )</f>
        <v>0</v>
      </c>
      <c r="BD239" s="321">
        <f>ROUNDDOWN(IF( OR( AND(tabItens[[#This Row],[PontoPed]]&lt;tabItens[[#This Row],[Saldo]],tabItens[[#This Row],[Saldo]]&gt;0), tabItens[[#This Row],[PontoPed]]=0), 99, IF(AND(tabItens[[#This Row],[Saldo]]=0,tabItens[[#This Row],[PontoPed]]&gt;0), 0, (1-tabItens[[#This Row],[PctAb]])*10 ) ),0)</f>
        <v>99</v>
      </c>
      <c r="BE239" s="322">
        <f>MAX(ROUNDDOWN( IF(tabItens[[#This Row],[Abaixo]] &gt; 0,   tabItens[[#This Row],[Abaixo]] + (tabItens[[#This Row],[PontoMês]] * IF( OR( ISBLANK(tabItens[[#This Row],[ATA Nº/ANO]]), tabItens[[#This Row],[ATA Nº/ANO]] = ""),BE$2,BE$1)),0),0),0)</f>
        <v>0</v>
      </c>
      <c r="BF23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23">
        <f>SUMIF(Consumo!$C$3:$C$869,tabItens[[#This Row],[CÓDIGO]],Consumo!$E$3:$E$869)</f>
        <v>0</v>
      </c>
      <c r="BH239" s="324">
        <f>IF(AND(tabItens[[#This Row],[Pend]] &gt; 0,tabItens[[#This Row],[Consumo]] &lt;&gt; 0), tabItens[[#This Row],[Pend]] / tabItens[[#This Row],[Consumo]], 0 )</f>
        <v>0</v>
      </c>
      <c r="BI239" s="323"/>
      <c r="BJ239" s="323"/>
      <c r="BK239" s="325" t="s">
        <v>2064</v>
      </c>
    </row>
    <row r="240" spans="1:63" hidden="1" x14ac:dyDescent="0.3">
      <c r="A240" s="286">
        <v>128818</v>
      </c>
      <c r="B240" s="287" t="s">
        <v>1784</v>
      </c>
      <c r="C240" s="288" t="s">
        <v>31</v>
      </c>
      <c r="D240" s="289">
        <v>1.1499999999999999</v>
      </c>
      <c r="E240" s="290"/>
      <c r="F240" s="290"/>
      <c r="G240" s="290" t="s">
        <v>883</v>
      </c>
      <c r="H240" s="291">
        <v>3255</v>
      </c>
      <c r="I240" s="292">
        <v>103003</v>
      </c>
      <c r="J240" s="293">
        <v>1.1499999999999999</v>
      </c>
      <c r="K240" s="294">
        <v>4281</v>
      </c>
      <c r="L240" s="295">
        <f>IF(tabItens[[#This Row],[Média]] &gt; 0, tabItens[[#This Row],[QTDE ATUAL]] / tabItens[[#This Row],[Média]],999.9)</f>
        <v>6.5946310991051833</v>
      </c>
      <c r="M240" s="296">
        <v>0</v>
      </c>
      <c r="N240" s="297">
        <f>tabItens[[#This Row],[VALOR UNIT.]] * tabItens[[#This Row],[LC]]</f>
        <v>0</v>
      </c>
      <c r="O240" s="298" t="s">
        <v>2082</v>
      </c>
      <c r="P240" s="299"/>
      <c r="Q240" s="300"/>
      <c r="R240" s="297"/>
      <c r="S240" s="301"/>
      <c r="T240" s="302">
        <f>ROUNDDOWN(IFERROR(tabItens[[#This Row],[ATA DT.VALID.]] - $D$1,0) / 30,0)</f>
        <v>-1504</v>
      </c>
      <c r="U240" s="287" t="s">
        <v>1085</v>
      </c>
      <c r="V240" s="303">
        <v>1</v>
      </c>
      <c r="W240" s="304" t="s">
        <v>2055</v>
      </c>
      <c r="X240" s="305">
        <v>55</v>
      </c>
      <c r="Y240" s="306">
        <v>34</v>
      </c>
      <c r="Z240" s="307">
        <v>2448</v>
      </c>
      <c r="AA240" s="308">
        <v>2023</v>
      </c>
      <c r="AB240" s="309">
        <v>1000</v>
      </c>
      <c r="AC240" s="309"/>
      <c r="AD240" s="308"/>
      <c r="AE240" s="309"/>
      <c r="AF240" s="302"/>
      <c r="AG240" s="310" t="s">
        <v>2050</v>
      </c>
      <c r="AH240" s="311"/>
      <c r="AI240" s="302">
        <v>1978</v>
      </c>
      <c r="AJ240" s="311">
        <v>44659</v>
      </c>
      <c r="AK240" s="311">
        <v>41926</v>
      </c>
      <c r="AL240" s="311">
        <v>44616</v>
      </c>
      <c r="AM240" s="301"/>
      <c r="AN240" s="290"/>
      <c r="AO240" s="312" t="str">
        <f>_xlfn.IFNA(IF(VLOOKUP(tabItens[[#This Row],[CÓDIGO]],tabExcluirDoEstoque[#Data],1,FALSE),"sim",""),"")</f>
        <v/>
      </c>
      <c r="AP240" s="313" t="str">
        <f ca="1">IF(OR(ISBLANK(tabItens[[#This Row],[ATA DT.VALID.]]),tabItens[[#This Row],[ATA DT.VALID.]]="",tabItens[[#This Row],[ATA DT.VALID.]]=" "),"",IF(TYPE(tabItens[[#This Row],[ATA DT.VALID.]])=1,ROUNDUP((tabItens[[#This Row],[ATA DT.VALID.]]-TODAY())/7,0),""))</f>
        <v/>
      </c>
      <c r="AQ240" s="314">
        <v>0</v>
      </c>
      <c r="AR240" s="315" t="str">
        <f>IF(ISBLANK(tabItens[[#This Row],[CÓDIGO]]),"",IFERROR(VLOOKUP(tabItens[[#This Row],[CÓDIGO]],Consumo!$C$2:$AC$869,26,FALSE),0))</f>
        <v>06.2023</v>
      </c>
      <c r="AS240" s="316">
        <f>SUMIF(Consumo!$C$3:$C$869,tabItens[[#This Row],[CÓDIGO]],Consumo!$N$3:$N$869) + SUMIF(Consumo!$C$3:$C$869,tabItens[[#This Row],[CÓDIGO]],Consumo!$O$3:$O$869) + SUMIF(Consumo!$C$3:$C$869,tabItens[[#This Row],[CÓDIGO]],Consumo!$P$3:$P$869) + SUMIF(Consumo!$C$3:$C$869,tabItens[[#This Row],[CÓDIGO]],Consumo!$Q$3:$Q$869)</f>
        <v>1440</v>
      </c>
      <c r="AT240" s="316">
        <f>SUMIF(Consumo!$C$3:$C$869,tabItens[[#This Row],[CÓDIGO]],Consumo!$Z$3:$Z$869)</f>
        <v>5923</v>
      </c>
      <c r="AU240" s="317">
        <f>SUMIF(Consumo!$C$3:$C$869,tabItens[[#This Row],[CÓDIGO]],Consumo!$AA$3:$AA$869)</f>
        <v>940</v>
      </c>
      <c r="AV240" s="318">
        <f>SUMIF(Consumo!$C$3:$C$869,tabItens[[#This Row],[CÓDIGO]],Consumo!$Y$3:$Y$869)</f>
        <v>493.58333333333331</v>
      </c>
      <c r="AW240" s="291">
        <f>tabItens[[#This Row],[QTDE ATUAL]] + tabItens[[#This Row],[RC QTDE]] + tabItens[[#This Row],[AF SALDO]] + tabItens[[#This Row],[Recentes]]</f>
        <v>4255</v>
      </c>
      <c r="AX240" s="319">
        <v>150</v>
      </c>
      <c r="AY240" s="319">
        <v>4</v>
      </c>
      <c r="AZ240" s="319">
        <f>IF(ISBLANK(tabItens[[#This Row],[CÓDIGO]]),"",tabItens[[#This Row],[PontoMês]] * (AZ$2+tabItens[[#This Row],[PontoQtM]]))</f>
        <v>600</v>
      </c>
      <c r="BA240" s="318">
        <f>tabItens[[#This Row],[PontoPed]] - tabItens[[#This Row],[Saldo]] + (1/10)</f>
        <v>-3654.9</v>
      </c>
      <c r="BB240" s="318">
        <f xml:space="preserve"> tabItens[[#This Row],[PontoMês]] * BB$2 - tabItens[[#This Row],[QTDE ATUAL]] - (1/10)</f>
        <v>-3105.1</v>
      </c>
      <c r="BC240" s="320">
        <f>IF( tabItens[[#This Row],[PontoPed]]&gt;0, IF(tabItens[[#This Row],[PontoPed]]&lt;1, 1, IF( tabItens[[#This Row],[Saldo]]&gt;tabItens[[#This Row],[PontoPed]], 0, (tabItens[[#This Row],[PontoPed]]-tabItens[[#This Row],[Saldo]])/tabItens[[#This Row],[PontoPed]] ) ), 0 )</f>
        <v>0</v>
      </c>
      <c r="BD240" s="321">
        <f>ROUNDDOWN(IF( OR( AND(tabItens[[#This Row],[PontoPed]]&lt;tabItens[[#This Row],[Saldo]],tabItens[[#This Row],[Saldo]]&gt;0), tabItens[[#This Row],[PontoPed]]=0), 99, IF(AND(tabItens[[#This Row],[Saldo]]=0,tabItens[[#This Row],[PontoPed]]&gt;0), 0, (1-tabItens[[#This Row],[PctAb]])*10 ) ),0)</f>
        <v>99</v>
      </c>
      <c r="BE240" s="322">
        <f>MAX(ROUNDDOWN( IF(tabItens[[#This Row],[Abaixo]] &gt; 0,   tabItens[[#This Row],[Abaixo]] + (tabItens[[#This Row],[PontoMês]] * IF( OR( ISBLANK(tabItens[[#This Row],[ATA Nº/ANO]]), tabItens[[#This Row],[ATA Nº/ANO]] = ""),BE$2,BE$1)),0),0),0)</f>
        <v>0</v>
      </c>
      <c r="BF24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23">
        <f>SUMIF(Consumo!$C$3:$C$869,tabItens[[#This Row],[CÓDIGO]],Consumo!$E$3:$E$869)</f>
        <v>0</v>
      </c>
      <c r="BH240" s="324">
        <f>IF(AND(tabItens[[#This Row],[Pend]] &gt; 0,tabItens[[#This Row],[Consumo]] &lt;&gt; 0), tabItens[[#This Row],[Pend]] / tabItens[[#This Row],[Consumo]], 0 )</f>
        <v>0</v>
      </c>
      <c r="BI240" s="323"/>
      <c r="BJ240" s="323"/>
      <c r="BK240" s="325" t="s">
        <v>2064</v>
      </c>
    </row>
    <row r="241" spans="1:63" hidden="1" x14ac:dyDescent="0.3">
      <c r="A241" s="286">
        <v>128819</v>
      </c>
      <c r="B241" s="287" t="s">
        <v>1785</v>
      </c>
      <c r="C241" s="288" t="s">
        <v>31</v>
      </c>
      <c r="D241" s="289">
        <v>5.6</v>
      </c>
      <c r="E241" s="290"/>
      <c r="F241" s="290"/>
      <c r="G241" s="290" t="s">
        <v>883</v>
      </c>
      <c r="H241" s="291">
        <v>251</v>
      </c>
      <c r="I241" s="292">
        <v>103003</v>
      </c>
      <c r="J241" s="293">
        <v>5.6</v>
      </c>
      <c r="K241" s="294">
        <v>216</v>
      </c>
      <c r="L241" s="295">
        <f>IF(tabItens[[#This Row],[Média]] &gt; 0, tabItens[[#This Row],[QTDE ATUAL]] / tabItens[[#This Row],[Média]],999.9)</f>
        <v>14.985074626865671</v>
      </c>
      <c r="M241" s="296">
        <v>0</v>
      </c>
      <c r="N241" s="297">
        <f>tabItens[[#This Row],[VALOR UNIT.]] * tabItens[[#This Row],[LC]]</f>
        <v>0</v>
      </c>
      <c r="O241" s="298" t="s">
        <v>2082</v>
      </c>
      <c r="P241" s="299"/>
      <c r="Q241" s="300"/>
      <c r="R241" s="297"/>
      <c r="S241" s="301"/>
      <c r="T241" s="302">
        <f>ROUNDDOWN(IFERROR(tabItens[[#This Row],[ATA DT.VALID.]] - $D$1,0) / 30,0)</f>
        <v>-1504</v>
      </c>
      <c r="U241" s="287" t="s">
        <v>1085</v>
      </c>
      <c r="V241" s="303">
        <v>1</v>
      </c>
      <c r="W241" s="304" t="s">
        <v>2055</v>
      </c>
      <c r="X241" s="305">
        <v>55</v>
      </c>
      <c r="Y241" s="306">
        <v>34</v>
      </c>
      <c r="Z241" s="307">
        <v>2546</v>
      </c>
      <c r="AA241" s="308">
        <v>2023</v>
      </c>
      <c r="AB241" s="309">
        <v>100</v>
      </c>
      <c r="AC241" s="309"/>
      <c r="AD241" s="308"/>
      <c r="AE241" s="309"/>
      <c r="AF241" s="302"/>
      <c r="AG241" s="310" t="s">
        <v>2050</v>
      </c>
      <c r="AH241" s="311"/>
      <c r="AI241" s="302">
        <v>76</v>
      </c>
      <c r="AJ241" s="311">
        <v>44659</v>
      </c>
      <c r="AK241" s="311">
        <v>41926</v>
      </c>
      <c r="AL241" s="311">
        <v>44616</v>
      </c>
      <c r="AM241" s="301"/>
      <c r="AN241" s="290"/>
      <c r="AO241" s="312" t="str">
        <f>_xlfn.IFNA(IF(VLOOKUP(tabItens[[#This Row],[CÓDIGO]],tabExcluirDoEstoque[#Data],1,FALSE),"sim",""),"")</f>
        <v/>
      </c>
      <c r="AP241" s="313" t="str">
        <f ca="1">IF(OR(ISBLANK(tabItens[[#This Row],[ATA DT.VALID.]]),tabItens[[#This Row],[ATA DT.VALID.]]="",tabItens[[#This Row],[ATA DT.VALID.]]=" "),"",IF(TYPE(tabItens[[#This Row],[ATA DT.VALID.]])=1,ROUNDUP((tabItens[[#This Row],[ATA DT.VALID.]]-TODAY())/7,0),""))</f>
        <v/>
      </c>
      <c r="AQ241" s="314">
        <v>0</v>
      </c>
      <c r="AR241" s="315" t="str">
        <f>IF(ISBLANK(tabItens[[#This Row],[CÓDIGO]]),"",IFERROR(VLOOKUP(tabItens[[#This Row],[CÓDIGO]],Consumo!$C$2:$AC$869,26,FALSE),0))</f>
        <v>07.2023</v>
      </c>
      <c r="AS241" s="316">
        <f>SUMIF(Consumo!$C$3:$C$869,tabItens[[#This Row],[CÓDIGO]],Consumo!$N$3:$N$869) + SUMIF(Consumo!$C$3:$C$869,tabItens[[#This Row],[CÓDIGO]],Consumo!$O$3:$O$869) + SUMIF(Consumo!$C$3:$C$869,tabItens[[#This Row],[CÓDIGO]],Consumo!$P$3:$P$869) + SUMIF(Consumo!$C$3:$C$869,tabItens[[#This Row],[CÓDIGO]],Consumo!$Q$3:$Q$869)</f>
        <v>20</v>
      </c>
      <c r="AT241" s="316">
        <f>SUMIF(Consumo!$C$3:$C$869,tabItens[[#This Row],[CÓDIGO]],Consumo!$Z$3:$Z$869)</f>
        <v>230</v>
      </c>
      <c r="AU241" s="317">
        <f>SUMIF(Consumo!$C$3:$C$869,tabItens[[#This Row],[CÓDIGO]],Consumo!$AA$3:$AA$869)</f>
        <v>110</v>
      </c>
      <c r="AV241" s="318">
        <f>SUMIF(Consumo!$C$3:$C$869,tabItens[[#This Row],[CÓDIGO]],Consumo!$Y$3:$Y$869)</f>
        <v>16.75</v>
      </c>
      <c r="AW241" s="291">
        <f>tabItens[[#This Row],[QTDE ATUAL]] + tabItens[[#This Row],[RC QTDE]] + tabItens[[#This Row],[AF SALDO]] + tabItens[[#This Row],[Recentes]]</f>
        <v>351</v>
      </c>
      <c r="AX241" s="319">
        <v>8</v>
      </c>
      <c r="AY241" s="319">
        <v>4</v>
      </c>
      <c r="AZ241" s="319">
        <f>IF(ISBLANK(tabItens[[#This Row],[CÓDIGO]]),"",tabItens[[#This Row],[PontoMês]] * (AZ$2+tabItens[[#This Row],[PontoQtM]]))</f>
        <v>32</v>
      </c>
      <c r="BA241" s="318">
        <f>tabItens[[#This Row],[PontoPed]] - tabItens[[#This Row],[Saldo]] + (1/10)</f>
        <v>-318.89999999999998</v>
      </c>
      <c r="BB241" s="318">
        <f xml:space="preserve"> tabItens[[#This Row],[PontoMês]] * BB$2 - tabItens[[#This Row],[QTDE ATUAL]] - (1/10)</f>
        <v>-243.1</v>
      </c>
      <c r="BC241" s="320">
        <f>IF( tabItens[[#This Row],[PontoPed]]&gt;0, IF(tabItens[[#This Row],[PontoPed]]&lt;1, 1, IF( tabItens[[#This Row],[Saldo]]&gt;tabItens[[#This Row],[PontoPed]], 0, (tabItens[[#This Row],[PontoPed]]-tabItens[[#This Row],[Saldo]])/tabItens[[#This Row],[PontoPed]] ) ), 0 )</f>
        <v>0</v>
      </c>
      <c r="BD241" s="321">
        <f>ROUNDDOWN(IF( OR( AND(tabItens[[#This Row],[PontoPed]]&lt;tabItens[[#This Row],[Saldo]],tabItens[[#This Row],[Saldo]]&gt;0), tabItens[[#This Row],[PontoPed]]=0), 99, IF(AND(tabItens[[#This Row],[Saldo]]=0,tabItens[[#This Row],[PontoPed]]&gt;0), 0, (1-tabItens[[#This Row],[PctAb]])*10 ) ),0)</f>
        <v>99</v>
      </c>
      <c r="BE241" s="322">
        <f>MAX(ROUNDDOWN( IF(tabItens[[#This Row],[Abaixo]] &gt; 0,   tabItens[[#This Row],[Abaixo]] + (tabItens[[#This Row],[PontoMês]] * IF( OR( ISBLANK(tabItens[[#This Row],[ATA Nº/ANO]]), tabItens[[#This Row],[ATA Nº/ANO]] = ""),BE$2,BE$1)),0),0),0)</f>
        <v>0</v>
      </c>
      <c r="BF24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23">
        <f>SUMIF(Consumo!$C$3:$C$869,tabItens[[#This Row],[CÓDIGO]],Consumo!$E$3:$E$869)</f>
        <v>0</v>
      </c>
      <c r="BH241" s="324">
        <f>IF(AND(tabItens[[#This Row],[Pend]] &gt; 0,tabItens[[#This Row],[Consumo]] &lt;&gt; 0), tabItens[[#This Row],[Pend]] / tabItens[[#This Row],[Consumo]], 0 )</f>
        <v>0</v>
      </c>
      <c r="BI241" s="323"/>
      <c r="BJ241" s="323"/>
      <c r="BK241" s="325" t="s">
        <v>2064</v>
      </c>
    </row>
    <row r="242" spans="1:63" hidden="1" x14ac:dyDescent="0.3">
      <c r="A242" s="286">
        <v>15664</v>
      </c>
      <c r="B242" s="287" t="s">
        <v>1102</v>
      </c>
      <c r="C242" s="288" t="s">
        <v>256</v>
      </c>
      <c r="D242" s="289">
        <v>1.6</v>
      </c>
      <c r="E242" s="290"/>
      <c r="F242" s="290"/>
      <c r="G242" s="290" t="s">
        <v>883</v>
      </c>
      <c r="H242" s="291">
        <v>54</v>
      </c>
      <c r="I242" s="292">
        <v>103003</v>
      </c>
      <c r="J242" s="293">
        <v>1.6</v>
      </c>
      <c r="K242" s="294">
        <v>9</v>
      </c>
      <c r="L242" s="295">
        <f>IF(tabItens[[#This Row],[Média]] &gt; 0, tabItens[[#This Row],[QTDE ATUAL]] / tabItens[[#This Row],[Média]],999.9)</f>
        <v>129.6</v>
      </c>
      <c r="M242" s="296">
        <v>0</v>
      </c>
      <c r="N242" s="297">
        <f>tabItens[[#This Row],[VALOR UNIT.]] * tabItens[[#This Row],[LC]]</f>
        <v>0</v>
      </c>
      <c r="O242" s="298" t="s">
        <v>2082</v>
      </c>
      <c r="P242" s="299"/>
      <c r="Q242" s="300"/>
      <c r="R242" s="297"/>
      <c r="S242" s="301"/>
      <c r="T242" s="302">
        <f>ROUNDDOWN(IFERROR(tabItens[[#This Row],[ATA DT.VALID.]] - $D$1,0) / 30,0)</f>
        <v>-1504</v>
      </c>
      <c r="U242" s="287" t="s">
        <v>1100</v>
      </c>
      <c r="V242" s="303">
        <v>1</v>
      </c>
      <c r="W242" s="304" t="s">
        <v>2055</v>
      </c>
      <c r="X242" s="305">
        <v>55</v>
      </c>
      <c r="Y242" s="306">
        <v>35</v>
      </c>
      <c r="Z242" s="307"/>
      <c r="AA242" s="308"/>
      <c r="AB242" s="309"/>
      <c r="AC242" s="309"/>
      <c r="AD242" s="308"/>
      <c r="AE242" s="309"/>
      <c r="AF242" s="302"/>
      <c r="AG242" s="310" t="s">
        <v>2050</v>
      </c>
      <c r="AH242" s="311"/>
      <c r="AI242" s="302">
        <v>4</v>
      </c>
      <c r="AJ242" s="311">
        <v>43978</v>
      </c>
      <c r="AK242" s="311" t="s">
        <v>883</v>
      </c>
      <c r="AL242" s="311">
        <v>44516</v>
      </c>
      <c r="AM242" s="301"/>
      <c r="AN242" s="290"/>
      <c r="AO242" s="312" t="str">
        <f>_xlfn.IFNA(IF(VLOOKUP(tabItens[[#This Row],[CÓDIGO]],tabExcluirDoEstoque[#Data],1,FALSE),"sim",""),"")</f>
        <v/>
      </c>
      <c r="AP242" s="313" t="str">
        <f ca="1">IF(OR(ISBLANK(tabItens[[#This Row],[ATA DT.VALID.]]),tabItens[[#This Row],[ATA DT.VALID.]]="",tabItens[[#This Row],[ATA DT.VALID.]]=" "),"",IF(TYPE(tabItens[[#This Row],[ATA DT.VALID.]])=1,ROUNDUP((tabItens[[#This Row],[ATA DT.VALID.]]-TODAY())/7,0),""))</f>
        <v/>
      </c>
      <c r="AQ242" s="314">
        <v>0</v>
      </c>
      <c r="AR242" s="315" t="str">
        <f>IF(ISBLANK(tabItens[[#This Row],[CÓDIGO]]),"",IFERROR(VLOOKUP(tabItens[[#This Row],[CÓDIGO]],Consumo!$C$2:$AC$869,26,FALSE),0))</f>
        <v>11.2022</v>
      </c>
      <c r="AS242" s="316">
        <f>SUMIF(Consumo!$C$3:$C$869,tabItens[[#This Row],[CÓDIGO]],Consumo!$N$3:$N$869) + SUMIF(Consumo!$C$3:$C$869,tabItens[[#This Row],[CÓDIGO]],Consumo!$O$3:$O$869) + SUMIF(Consumo!$C$3:$C$869,tabItens[[#This Row],[CÓDIGO]],Consumo!$P$3:$P$869) + SUMIF(Consumo!$C$3:$C$869,tabItens[[#This Row],[CÓDIGO]],Consumo!$Q$3:$Q$869)</f>
        <v>0</v>
      </c>
      <c r="AT242" s="316">
        <f>SUMIF(Consumo!$C$3:$C$869,tabItens[[#This Row],[CÓDIGO]],Consumo!$Z$3:$Z$869)</f>
        <v>9</v>
      </c>
      <c r="AU242" s="317">
        <f>SUMIF(Consumo!$C$3:$C$869,tabItens[[#This Row],[CÓDIGO]],Consumo!$AA$3:$AA$869)</f>
        <v>9</v>
      </c>
      <c r="AV242" s="318">
        <f>SUMIF(Consumo!$C$3:$C$869,tabItens[[#This Row],[CÓDIGO]],Consumo!$Y$3:$Y$869)</f>
        <v>0.41666666666666669</v>
      </c>
      <c r="AW242" s="291">
        <f>tabItens[[#This Row],[QTDE ATUAL]] + tabItens[[#This Row],[RC QTDE]] + tabItens[[#This Row],[AF SALDO]] + tabItens[[#This Row],[Recentes]]</f>
        <v>54</v>
      </c>
      <c r="AX242" s="319">
        <v>5</v>
      </c>
      <c r="AY242" s="319">
        <v>4</v>
      </c>
      <c r="AZ242" s="319">
        <f>IF(ISBLANK(tabItens[[#This Row],[CÓDIGO]]),"",tabItens[[#This Row],[PontoMês]] * (AZ$2+tabItens[[#This Row],[PontoQtM]]))</f>
        <v>20</v>
      </c>
      <c r="BA242" s="318">
        <f>tabItens[[#This Row],[PontoPed]] - tabItens[[#This Row],[Saldo]] + (1/10)</f>
        <v>-33.9</v>
      </c>
      <c r="BB242" s="318">
        <f xml:space="preserve"> tabItens[[#This Row],[PontoMês]] * BB$2 - tabItens[[#This Row],[QTDE ATUAL]] - (1/10)</f>
        <v>-49.1</v>
      </c>
      <c r="BC242" s="320">
        <f>IF( tabItens[[#This Row],[PontoPed]]&gt;0, IF(tabItens[[#This Row],[PontoPed]]&lt;1, 1, IF( tabItens[[#This Row],[Saldo]]&gt;tabItens[[#This Row],[PontoPed]], 0, (tabItens[[#This Row],[PontoPed]]-tabItens[[#This Row],[Saldo]])/tabItens[[#This Row],[PontoPed]] ) ), 0 )</f>
        <v>0</v>
      </c>
      <c r="BD242" s="321">
        <f>ROUNDDOWN(IF( OR( AND(tabItens[[#This Row],[PontoPed]]&lt;tabItens[[#This Row],[Saldo]],tabItens[[#This Row],[Saldo]]&gt;0), tabItens[[#This Row],[PontoPed]]=0), 99, IF(AND(tabItens[[#This Row],[Saldo]]=0,tabItens[[#This Row],[PontoPed]]&gt;0), 0, (1-tabItens[[#This Row],[PctAb]])*10 ) ),0)</f>
        <v>99</v>
      </c>
      <c r="BE242" s="322">
        <f>MAX(ROUNDDOWN( IF(tabItens[[#This Row],[Abaixo]] &gt; 0,   tabItens[[#This Row],[Abaixo]] + (tabItens[[#This Row],[PontoMês]] * IF( OR( ISBLANK(tabItens[[#This Row],[ATA Nº/ANO]]), tabItens[[#This Row],[ATA Nº/ANO]] = ""),BE$2,BE$1)),0),0),0)</f>
        <v>0</v>
      </c>
      <c r="BF24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23">
        <f>SUMIF(Consumo!$C$3:$C$869,tabItens[[#This Row],[CÓDIGO]],Consumo!$E$3:$E$869)</f>
        <v>0</v>
      </c>
      <c r="BH242" s="324">
        <f>IF(AND(tabItens[[#This Row],[Pend]] &gt; 0,tabItens[[#This Row],[Consumo]] &lt;&gt; 0), tabItens[[#This Row],[Pend]] / tabItens[[#This Row],[Consumo]], 0 )</f>
        <v>0</v>
      </c>
      <c r="BI242" s="323"/>
      <c r="BJ242" s="323"/>
      <c r="BK242" s="325" t="s">
        <v>2064</v>
      </c>
    </row>
    <row r="243" spans="1:63" hidden="1" x14ac:dyDescent="0.3">
      <c r="A243" s="286">
        <v>15673</v>
      </c>
      <c r="B243" s="287" t="s">
        <v>1105</v>
      </c>
      <c r="C243" s="288" t="s">
        <v>256</v>
      </c>
      <c r="D243" s="289">
        <v>4.5999999999999996</v>
      </c>
      <c r="E243" s="290"/>
      <c r="F243" s="290"/>
      <c r="G243" s="290" t="s">
        <v>883</v>
      </c>
      <c r="H243" s="291">
        <v>108</v>
      </c>
      <c r="I243" s="292">
        <v>103003</v>
      </c>
      <c r="J243" s="293">
        <v>4.5999999999999996</v>
      </c>
      <c r="K243" s="294">
        <v>63</v>
      </c>
      <c r="L243" s="295">
        <f>IF(tabItens[[#This Row],[Média]] &gt; 0, tabItens[[#This Row],[QTDE ATUAL]] / tabItens[[#This Row],[Média]],999.9)</f>
        <v>20.571428571428573</v>
      </c>
      <c r="M243" s="296">
        <v>0</v>
      </c>
      <c r="N243" s="297">
        <f>tabItens[[#This Row],[VALOR UNIT.]] * tabItens[[#This Row],[LC]]</f>
        <v>0</v>
      </c>
      <c r="O243" s="298" t="s">
        <v>2082</v>
      </c>
      <c r="P243" s="299"/>
      <c r="Q243" s="300"/>
      <c r="R243" s="297"/>
      <c r="S243" s="301"/>
      <c r="T243" s="302">
        <f>ROUNDDOWN(IFERROR(tabItens[[#This Row],[ATA DT.VALID.]] - $D$1,0) / 30,0)</f>
        <v>-1504</v>
      </c>
      <c r="U243" s="287" t="s">
        <v>1100</v>
      </c>
      <c r="V243" s="303">
        <v>1</v>
      </c>
      <c r="W243" s="304" t="s">
        <v>2055</v>
      </c>
      <c r="X243" s="305">
        <v>55</v>
      </c>
      <c r="Y243" s="306">
        <v>35</v>
      </c>
      <c r="Z243" s="307">
        <v>2956</v>
      </c>
      <c r="AA243" s="308">
        <v>2023</v>
      </c>
      <c r="AB243" s="309">
        <v>50</v>
      </c>
      <c r="AC243" s="309"/>
      <c r="AD243" s="308"/>
      <c r="AE243" s="309"/>
      <c r="AF243" s="302"/>
      <c r="AG243" s="310" t="s">
        <v>2050</v>
      </c>
      <c r="AH243" s="311"/>
      <c r="AI243" s="302">
        <v>22</v>
      </c>
      <c r="AJ243" s="311">
        <v>44337</v>
      </c>
      <c r="AK243" s="311" t="s">
        <v>883</v>
      </c>
      <c r="AL243" s="311">
        <v>44516</v>
      </c>
      <c r="AM243" s="301"/>
      <c r="AN243" s="290"/>
      <c r="AO243" s="312" t="str">
        <f>_xlfn.IFNA(IF(VLOOKUP(tabItens[[#This Row],[CÓDIGO]],tabExcluirDoEstoque[#Data],1,FALSE),"sim",""),"")</f>
        <v/>
      </c>
      <c r="AP243" s="313" t="str">
        <f ca="1">IF(OR(ISBLANK(tabItens[[#This Row],[ATA DT.VALID.]]),tabItens[[#This Row],[ATA DT.VALID.]]="",tabItens[[#This Row],[ATA DT.VALID.]]=" "),"",IF(TYPE(tabItens[[#This Row],[ATA DT.VALID.]])=1,ROUNDUP((tabItens[[#This Row],[ATA DT.VALID.]]-TODAY())/7,0),""))</f>
        <v/>
      </c>
      <c r="AQ243" s="314">
        <v>0</v>
      </c>
      <c r="AR243" s="315" t="str">
        <f>IF(ISBLANK(tabItens[[#This Row],[CÓDIGO]]),"",IFERROR(VLOOKUP(tabItens[[#This Row],[CÓDIGO]],Consumo!$C$2:$AC$869,26,FALSE),0))</f>
        <v>06.2023</v>
      </c>
      <c r="AS243" s="316">
        <f>SUMIF(Consumo!$C$3:$C$869,tabItens[[#This Row],[CÓDIGO]],Consumo!$N$3:$N$869) + SUMIF(Consumo!$C$3:$C$869,tabItens[[#This Row],[CÓDIGO]],Consumo!$O$3:$O$869) + SUMIF(Consumo!$C$3:$C$869,tabItens[[#This Row],[CÓDIGO]],Consumo!$P$3:$P$869) + SUMIF(Consumo!$C$3:$C$869,tabItens[[#This Row],[CÓDIGO]],Consumo!$Q$3:$Q$869)</f>
        <v>20</v>
      </c>
      <c r="AT243" s="316">
        <f>SUMIF(Consumo!$C$3:$C$869,tabItens[[#This Row],[CÓDIGO]],Consumo!$Z$3:$Z$869)</f>
        <v>63</v>
      </c>
      <c r="AU243" s="317">
        <f>SUMIF(Consumo!$C$3:$C$869,tabItens[[#This Row],[CÓDIGO]],Consumo!$AA$3:$AA$869)</f>
        <v>20</v>
      </c>
      <c r="AV243" s="318">
        <f>SUMIF(Consumo!$C$3:$C$869,tabItens[[#This Row],[CÓDIGO]],Consumo!$Y$3:$Y$869)</f>
        <v>5.25</v>
      </c>
      <c r="AW243" s="291">
        <f>tabItens[[#This Row],[QTDE ATUAL]] + tabItens[[#This Row],[RC QTDE]] + tabItens[[#This Row],[AF SALDO]] + tabItens[[#This Row],[Recentes]]</f>
        <v>158</v>
      </c>
      <c r="AX243" s="319">
        <v>3</v>
      </c>
      <c r="AY243" s="319">
        <v>4</v>
      </c>
      <c r="AZ243" s="319">
        <f>IF(ISBLANK(tabItens[[#This Row],[CÓDIGO]]),"",tabItens[[#This Row],[PontoMês]] * (AZ$2+tabItens[[#This Row],[PontoQtM]]))</f>
        <v>12</v>
      </c>
      <c r="BA243" s="318">
        <f>tabItens[[#This Row],[PontoPed]] - tabItens[[#This Row],[Saldo]] + (1/10)</f>
        <v>-145.9</v>
      </c>
      <c r="BB243" s="318">
        <f xml:space="preserve"> tabItens[[#This Row],[PontoMês]] * BB$2 - tabItens[[#This Row],[QTDE ATUAL]] - (1/10)</f>
        <v>-105.1</v>
      </c>
      <c r="BC243" s="320">
        <f>IF( tabItens[[#This Row],[PontoPed]]&gt;0, IF(tabItens[[#This Row],[PontoPed]]&lt;1, 1, IF( tabItens[[#This Row],[Saldo]]&gt;tabItens[[#This Row],[PontoPed]], 0, (tabItens[[#This Row],[PontoPed]]-tabItens[[#This Row],[Saldo]])/tabItens[[#This Row],[PontoPed]] ) ), 0 )</f>
        <v>0</v>
      </c>
      <c r="BD243" s="321">
        <f>ROUNDDOWN(IF( OR( AND(tabItens[[#This Row],[PontoPed]]&lt;tabItens[[#This Row],[Saldo]],tabItens[[#This Row],[Saldo]]&gt;0), tabItens[[#This Row],[PontoPed]]=0), 99, IF(AND(tabItens[[#This Row],[Saldo]]=0,tabItens[[#This Row],[PontoPed]]&gt;0), 0, (1-tabItens[[#This Row],[PctAb]])*10 ) ),0)</f>
        <v>99</v>
      </c>
      <c r="BE243" s="322">
        <f>MAX(ROUNDDOWN( IF(tabItens[[#This Row],[Abaixo]] &gt; 0,   tabItens[[#This Row],[Abaixo]] + (tabItens[[#This Row],[PontoMês]] * IF( OR( ISBLANK(tabItens[[#This Row],[ATA Nº/ANO]]), tabItens[[#This Row],[ATA Nº/ANO]] = ""),BE$2,BE$1)),0),0),0)</f>
        <v>0</v>
      </c>
      <c r="BF24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23">
        <f>SUMIF(Consumo!$C$3:$C$869,tabItens[[#This Row],[CÓDIGO]],Consumo!$E$3:$E$869)</f>
        <v>0</v>
      </c>
      <c r="BH243" s="324">
        <f>IF(AND(tabItens[[#This Row],[Pend]] &gt; 0,tabItens[[#This Row],[Consumo]] &lt;&gt; 0), tabItens[[#This Row],[Pend]] / tabItens[[#This Row],[Consumo]], 0 )</f>
        <v>0</v>
      </c>
      <c r="BI243" s="323"/>
      <c r="BJ243" s="323"/>
      <c r="BK243" s="325" t="s">
        <v>2064</v>
      </c>
    </row>
    <row r="244" spans="1:63" hidden="1" x14ac:dyDescent="0.3">
      <c r="A244" s="286">
        <v>15680</v>
      </c>
      <c r="B244" s="287" t="s">
        <v>1106</v>
      </c>
      <c r="C244" s="288" t="s">
        <v>256</v>
      </c>
      <c r="D244" s="289">
        <v>5.86</v>
      </c>
      <c r="E244" s="290"/>
      <c r="F244" s="290"/>
      <c r="G244" s="290" t="s">
        <v>883</v>
      </c>
      <c r="H244" s="291">
        <v>482</v>
      </c>
      <c r="I244" s="292">
        <v>103003</v>
      </c>
      <c r="J244" s="293">
        <v>5.86</v>
      </c>
      <c r="K244" s="294">
        <v>58</v>
      </c>
      <c r="L244" s="295">
        <f>IF(tabItens[[#This Row],[Média]] &gt; 0, tabItens[[#This Row],[QTDE ATUAL]] / tabItens[[#This Row],[Média]],999.9)</f>
        <v>115.67999999999999</v>
      </c>
      <c r="M244" s="296">
        <v>0</v>
      </c>
      <c r="N244" s="297">
        <f>tabItens[[#This Row],[VALOR UNIT.]] * tabItens[[#This Row],[LC]]</f>
        <v>0</v>
      </c>
      <c r="O244" s="298" t="s">
        <v>2082</v>
      </c>
      <c r="P244" s="299"/>
      <c r="Q244" s="300"/>
      <c r="R244" s="297"/>
      <c r="S244" s="301"/>
      <c r="T244" s="302">
        <f>ROUNDDOWN(IFERROR(tabItens[[#This Row],[ATA DT.VALID.]] - $D$1,0) / 30,0)</f>
        <v>-1504</v>
      </c>
      <c r="U244" s="287" t="s">
        <v>1100</v>
      </c>
      <c r="V244" s="303">
        <v>1</v>
      </c>
      <c r="W244" s="304" t="s">
        <v>2055</v>
      </c>
      <c r="X244" s="305">
        <v>55</v>
      </c>
      <c r="Y244" s="306">
        <v>35</v>
      </c>
      <c r="Z244" s="307"/>
      <c r="AA244" s="308"/>
      <c r="AB244" s="309"/>
      <c r="AC244" s="309"/>
      <c r="AD244" s="308"/>
      <c r="AE244" s="309"/>
      <c r="AF244" s="302"/>
      <c r="AG244" s="310" t="s">
        <v>2050</v>
      </c>
      <c r="AH244" s="311"/>
      <c r="AI244" s="302">
        <v>20</v>
      </c>
      <c r="AJ244" s="311">
        <v>44649</v>
      </c>
      <c r="AK244" s="311" t="s">
        <v>883</v>
      </c>
      <c r="AL244" s="311">
        <v>44755</v>
      </c>
      <c r="AM244" s="301"/>
      <c r="AN244" s="290"/>
      <c r="AO244" s="312" t="str">
        <f>_xlfn.IFNA(IF(VLOOKUP(tabItens[[#This Row],[CÓDIGO]],tabExcluirDoEstoque[#Data],1,FALSE),"sim",""),"")</f>
        <v/>
      </c>
      <c r="AP244" s="313" t="str">
        <f ca="1">IF(OR(ISBLANK(tabItens[[#This Row],[ATA DT.VALID.]]),tabItens[[#This Row],[ATA DT.VALID.]]="",tabItens[[#This Row],[ATA DT.VALID.]]=" "),"",IF(TYPE(tabItens[[#This Row],[ATA DT.VALID.]])=1,ROUNDUP((tabItens[[#This Row],[ATA DT.VALID.]]-TODAY())/7,0),""))</f>
        <v/>
      </c>
      <c r="AQ244" s="314">
        <v>0</v>
      </c>
      <c r="AR244" s="315" t="str">
        <f>IF(ISBLANK(tabItens[[#This Row],[CÓDIGO]]),"",IFERROR(VLOOKUP(tabItens[[#This Row],[CÓDIGO]],Consumo!$C$2:$AC$869,26,FALSE),0))</f>
        <v>06.2023</v>
      </c>
      <c r="AS244" s="316">
        <f>SUMIF(Consumo!$C$3:$C$869,tabItens[[#This Row],[CÓDIGO]],Consumo!$N$3:$N$869) + SUMIF(Consumo!$C$3:$C$869,tabItens[[#This Row],[CÓDIGO]],Consumo!$O$3:$O$869) + SUMIF(Consumo!$C$3:$C$869,tabItens[[#This Row],[CÓDIGO]],Consumo!$P$3:$P$869) + SUMIF(Consumo!$C$3:$C$869,tabItens[[#This Row],[CÓDIGO]],Consumo!$Q$3:$Q$869)</f>
        <v>30</v>
      </c>
      <c r="AT244" s="316">
        <f>SUMIF(Consumo!$C$3:$C$869,tabItens[[#This Row],[CÓDIGO]],Consumo!$Z$3:$Z$869)</f>
        <v>58</v>
      </c>
      <c r="AU244" s="317">
        <f>SUMIF(Consumo!$C$3:$C$869,tabItens[[#This Row],[CÓDIGO]],Consumo!$AA$3:$AA$869)</f>
        <v>30</v>
      </c>
      <c r="AV244" s="318">
        <f>SUMIF(Consumo!$C$3:$C$869,tabItens[[#This Row],[CÓDIGO]],Consumo!$Y$3:$Y$869)</f>
        <v>4.166666666666667</v>
      </c>
      <c r="AW244" s="291">
        <f>tabItens[[#This Row],[QTDE ATUAL]] + tabItens[[#This Row],[RC QTDE]] + tabItens[[#This Row],[AF SALDO]] + tabItens[[#This Row],[Recentes]]</f>
        <v>482</v>
      </c>
      <c r="AX244" s="319">
        <v>3</v>
      </c>
      <c r="AY244" s="319">
        <v>4</v>
      </c>
      <c r="AZ244" s="319">
        <f>IF(ISBLANK(tabItens[[#This Row],[CÓDIGO]]),"",tabItens[[#This Row],[PontoMês]] * (AZ$2+tabItens[[#This Row],[PontoQtM]]))</f>
        <v>12</v>
      </c>
      <c r="BA244" s="318">
        <f>tabItens[[#This Row],[PontoPed]] - tabItens[[#This Row],[Saldo]] + (1/10)</f>
        <v>-469.9</v>
      </c>
      <c r="BB244" s="318">
        <f xml:space="preserve"> tabItens[[#This Row],[PontoMês]] * BB$2 - tabItens[[#This Row],[QTDE ATUAL]] - (1/10)</f>
        <v>-479.1</v>
      </c>
      <c r="BC244" s="320">
        <f>IF( tabItens[[#This Row],[PontoPed]]&gt;0, IF(tabItens[[#This Row],[PontoPed]]&lt;1, 1, IF( tabItens[[#This Row],[Saldo]]&gt;tabItens[[#This Row],[PontoPed]], 0, (tabItens[[#This Row],[PontoPed]]-tabItens[[#This Row],[Saldo]])/tabItens[[#This Row],[PontoPed]] ) ), 0 )</f>
        <v>0</v>
      </c>
      <c r="BD244" s="321">
        <f>ROUNDDOWN(IF( OR( AND(tabItens[[#This Row],[PontoPed]]&lt;tabItens[[#This Row],[Saldo]],tabItens[[#This Row],[Saldo]]&gt;0), tabItens[[#This Row],[PontoPed]]=0), 99, IF(AND(tabItens[[#This Row],[Saldo]]=0,tabItens[[#This Row],[PontoPed]]&gt;0), 0, (1-tabItens[[#This Row],[PctAb]])*10 ) ),0)</f>
        <v>99</v>
      </c>
      <c r="BE244" s="322">
        <f>MAX(ROUNDDOWN( IF(tabItens[[#This Row],[Abaixo]] &gt; 0,   tabItens[[#This Row],[Abaixo]] + (tabItens[[#This Row],[PontoMês]] * IF( OR( ISBLANK(tabItens[[#This Row],[ATA Nº/ANO]]), tabItens[[#This Row],[ATA Nº/ANO]] = ""),BE$2,BE$1)),0),0),0)</f>
        <v>0</v>
      </c>
      <c r="BF24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23">
        <f>SUMIF(Consumo!$C$3:$C$869,tabItens[[#This Row],[CÓDIGO]],Consumo!$E$3:$E$869)</f>
        <v>0</v>
      </c>
      <c r="BH244" s="324">
        <f>IF(AND(tabItens[[#This Row],[Pend]] &gt; 0,tabItens[[#This Row],[Consumo]] &lt;&gt; 0), tabItens[[#This Row],[Pend]] / tabItens[[#This Row],[Consumo]], 0 )</f>
        <v>0</v>
      </c>
      <c r="BI244" s="323"/>
      <c r="BJ244" s="323"/>
      <c r="BK244" s="325" t="s">
        <v>2064</v>
      </c>
    </row>
    <row r="245" spans="1:63" hidden="1" x14ac:dyDescent="0.3">
      <c r="A245" s="286">
        <v>103344</v>
      </c>
      <c r="B245" s="287" t="s">
        <v>1591</v>
      </c>
      <c r="C245" s="288" t="s">
        <v>256</v>
      </c>
      <c r="D245" s="289">
        <v>1.85</v>
      </c>
      <c r="E245" s="290"/>
      <c r="F245" s="290"/>
      <c r="G245" s="290" t="s">
        <v>883</v>
      </c>
      <c r="H245" s="291">
        <v>516</v>
      </c>
      <c r="I245" s="292">
        <v>103003</v>
      </c>
      <c r="J245" s="293">
        <v>1.85</v>
      </c>
      <c r="K245" s="294">
        <v>28</v>
      </c>
      <c r="L245" s="295">
        <f>IF(tabItens[[#This Row],[Média]] &gt; 0, tabItens[[#This Row],[QTDE ATUAL]] / tabItens[[#This Row],[Média]],999.9)</f>
        <v>221.14285714285714</v>
      </c>
      <c r="M245" s="296">
        <v>0</v>
      </c>
      <c r="N245" s="297">
        <f>tabItens[[#This Row],[VALOR UNIT.]] * tabItens[[#This Row],[LC]]</f>
        <v>0</v>
      </c>
      <c r="O245" s="298" t="s">
        <v>2082</v>
      </c>
      <c r="P245" s="299"/>
      <c r="Q245" s="300"/>
      <c r="R245" s="297"/>
      <c r="S245" s="301"/>
      <c r="T245" s="302">
        <f>ROUNDDOWN(IFERROR(tabItens[[#This Row],[ATA DT.VALID.]] - $D$1,0) / 30,0)</f>
        <v>-1504</v>
      </c>
      <c r="U245" s="287" t="s">
        <v>1100</v>
      </c>
      <c r="V245" s="303">
        <v>1</v>
      </c>
      <c r="W245" s="304" t="s">
        <v>2055</v>
      </c>
      <c r="X245" s="305">
        <v>55</v>
      </c>
      <c r="Y245" s="306">
        <v>35</v>
      </c>
      <c r="Z245" s="307"/>
      <c r="AA245" s="308"/>
      <c r="AB245" s="309"/>
      <c r="AC245" s="309"/>
      <c r="AD245" s="308"/>
      <c r="AE245" s="309"/>
      <c r="AF245" s="302"/>
      <c r="AG245" s="310" t="s">
        <v>2050</v>
      </c>
      <c r="AH245" s="311"/>
      <c r="AI245" s="302">
        <v>10</v>
      </c>
      <c r="AJ245" s="311">
        <v>44677</v>
      </c>
      <c r="AK245" s="311">
        <v>39400</v>
      </c>
      <c r="AL245" s="311">
        <v>44670</v>
      </c>
      <c r="AM245" s="301"/>
      <c r="AN245" s="290"/>
      <c r="AO245" s="312" t="str">
        <f>_xlfn.IFNA(IF(VLOOKUP(tabItens[[#This Row],[CÓDIGO]],tabExcluirDoEstoque[#Data],1,FALSE),"sim",""),"")</f>
        <v/>
      </c>
      <c r="AP245" s="313" t="str">
        <f ca="1">IF(OR(ISBLANK(tabItens[[#This Row],[ATA DT.VALID.]]),tabItens[[#This Row],[ATA DT.VALID.]]="",tabItens[[#This Row],[ATA DT.VALID.]]=" "),"",IF(TYPE(tabItens[[#This Row],[ATA DT.VALID.]])=1,ROUNDUP((tabItens[[#This Row],[ATA DT.VALID.]]-TODAY())/7,0),""))</f>
        <v/>
      </c>
      <c r="AQ245" s="314">
        <v>0</v>
      </c>
      <c r="AR245" s="315" t="str">
        <f>IF(ISBLANK(tabItens[[#This Row],[CÓDIGO]]),"",IFERROR(VLOOKUP(tabItens[[#This Row],[CÓDIGO]],Consumo!$C$2:$AC$869,26,FALSE),0))</f>
        <v>07.2023</v>
      </c>
      <c r="AS245" s="316">
        <f>SUMIF(Consumo!$C$3:$C$869,tabItens[[#This Row],[CÓDIGO]],Consumo!$N$3:$N$869) + SUMIF(Consumo!$C$3:$C$869,tabItens[[#This Row],[CÓDIGO]],Consumo!$O$3:$O$869) + SUMIF(Consumo!$C$3:$C$869,tabItens[[#This Row],[CÓDIGO]],Consumo!$P$3:$P$869) + SUMIF(Consumo!$C$3:$C$869,tabItens[[#This Row],[CÓDIGO]],Consumo!$Q$3:$Q$869)</f>
        <v>10</v>
      </c>
      <c r="AT245" s="316">
        <f>SUMIF(Consumo!$C$3:$C$869,tabItens[[#This Row],[CÓDIGO]],Consumo!$Z$3:$Z$869)</f>
        <v>28</v>
      </c>
      <c r="AU245" s="317">
        <f>SUMIF(Consumo!$C$3:$C$869,tabItens[[#This Row],[CÓDIGO]],Consumo!$AA$3:$AA$869)</f>
        <v>10</v>
      </c>
      <c r="AV245" s="318">
        <f>SUMIF(Consumo!$C$3:$C$869,tabItens[[#This Row],[CÓDIGO]],Consumo!$Y$3:$Y$869)</f>
        <v>2.3333333333333335</v>
      </c>
      <c r="AW245" s="291">
        <f>tabItens[[#This Row],[QTDE ATUAL]] + tabItens[[#This Row],[RC QTDE]] + tabItens[[#This Row],[AF SALDO]] + tabItens[[#This Row],[Recentes]]</f>
        <v>516</v>
      </c>
      <c r="AX245" s="319">
        <v>5</v>
      </c>
      <c r="AY245" s="319">
        <v>4</v>
      </c>
      <c r="AZ245" s="319">
        <f>IF(ISBLANK(tabItens[[#This Row],[CÓDIGO]]),"",tabItens[[#This Row],[PontoMês]] * (AZ$2+tabItens[[#This Row],[PontoQtM]]))</f>
        <v>20</v>
      </c>
      <c r="BA245" s="318">
        <f>tabItens[[#This Row],[PontoPed]] - tabItens[[#This Row],[Saldo]] + (1/10)</f>
        <v>-495.9</v>
      </c>
      <c r="BB245" s="318">
        <f xml:space="preserve"> tabItens[[#This Row],[PontoMês]] * BB$2 - tabItens[[#This Row],[QTDE ATUAL]] - (1/10)</f>
        <v>-511.1</v>
      </c>
      <c r="BC245" s="320">
        <f>IF( tabItens[[#This Row],[PontoPed]]&gt;0, IF(tabItens[[#This Row],[PontoPed]]&lt;1, 1, IF( tabItens[[#This Row],[Saldo]]&gt;tabItens[[#This Row],[PontoPed]], 0, (tabItens[[#This Row],[PontoPed]]-tabItens[[#This Row],[Saldo]])/tabItens[[#This Row],[PontoPed]] ) ), 0 )</f>
        <v>0</v>
      </c>
      <c r="BD245" s="321">
        <f>ROUNDDOWN(IF( OR( AND(tabItens[[#This Row],[PontoPed]]&lt;tabItens[[#This Row],[Saldo]],tabItens[[#This Row],[Saldo]]&gt;0), tabItens[[#This Row],[PontoPed]]=0), 99, IF(AND(tabItens[[#This Row],[Saldo]]=0,tabItens[[#This Row],[PontoPed]]&gt;0), 0, (1-tabItens[[#This Row],[PctAb]])*10 ) ),0)</f>
        <v>99</v>
      </c>
      <c r="BE245" s="322">
        <f>MAX(ROUNDDOWN( IF(tabItens[[#This Row],[Abaixo]] &gt; 0,   tabItens[[#This Row],[Abaixo]] + (tabItens[[#This Row],[PontoMês]] * IF( OR( ISBLANK(tabItens[[#This Row],[ATA Nº/ANO]]), tabItens[[#This Row],[ATA Nº/ANO]] = ""),BE$2,BE$1)),0),0),0)</f>
        <v>0</v>
      </c>
      <c r="BF24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23">
        <f>SUMIF(Consumo!$C$3:$C$869,tabItens[[#This Row],[CÓDIGO]],Consumo!$E$3:$E$869)</f>
        <v>0</v>
      </c>
      <c r="BH245" s="324">
        <f>IF(AND(tabItens[[#This Row],[Pend]] &gt; 0,tabItens[[#This Row],[Consumo]] &lt;&gt; 0), tabItens[[#This Row],[Pend]] / tabItens[[#This Row],[Consumo]], 0 )</f>
        <v>0</v>
      </c>
      <c r="BI245" s="323"/>
      <c r="BJ245" s="323"/>
      <c r="BK245" s="325" t="s">
        <v>2064</v>
      </c>
    </row>
    <row r="246" spans="1:63" hidden="1" x14ac:dyDescent="0.3">
      <c r="A246" s="286">
        <v>14754</v>
      </c>
      <c r="B246" s="287" t="s">
        <v>1069</v>
      </c>
      <c r="C246" s="288" t="s">
        <v>281</v>
      </c>
      <c r="D246" s="289">
        <v>7.58</v>
      </c>
      <c r="E246" s="290"/>
      <c r="F246" s="290"/>
      <c r="G246" s="290" t="s">
        <v>883</v>
      </c>
      <c r="H246" s="291">
        <v>61</v>
      </c>
      <c r="I246" s="292">
        <v>103003</v>
      </c>
      <c r="J246" s="293">
        <v>7.58</v>
      </c>
      <c r="K246" s="294">
        <v>25</v>
      </c>
      <c r="L246" s="295">
        <f>IF(tabItens[[#This Row],[Média]] &gt; 0, tabItens[[#This Row],[QTDE ATUAL]] / tabItens[[#This Row],[Média]],999.9)</f>
        <v>25.241379310344829</v>
      </c>
      <c r="M246" s="296">
        <v>0</v>
      </c>
      <c r="N246" s="297">
        <f>tabItens[[#This Row],[VALOR UNIT.]] * tabItens[[#This Row],[LC]]</f>
        <v>0</v>
      </c>
      <c r="O246" s="298" t="s">
        <v>2082</v>
      </c>
      <c r="P246" s="299"/>
      <c r="Q246" s="300"/>
      <c r="R246" s="297"/>
      <c r="S246" s="301"/>
      <c r="T246" s="302">
        <f>ROUNDDOWN(IFERROR(tabItens[[#This Row],[ATA DT.VALID.]] - $D$1,0) / 30,0)</f>
        <v>-1504</v>
      </c>
      <c r="U246" s="287" t="s">
        <v>1070</v>
      </c>
      <c r="V246" s="303">
        <v>1</v>
      </c>
      <c r="W246" s="304" t="s">
        <v>2055</v>
      </c>
      <c r="X246" s="305">
        <v>55</v>
      </c>
      <c r="Y246" s="306">
        <v>40</v>
      </c>
      <c r="Z246" s="307"/>
      <c r="AA246" s="308"/>
      <c r="AB246" s="309"/>
      <c r="AC246" s="309"/>
      <c r="AD246" s="308"/>
      <c r="AE246" s="309"/>
      <c r="AF246" s="302"/>
      <c r="AG246" s="310" t="s">
        <v>2050</v>
      </c>
      <c r="AH246" s="311"/>
      <c r="AI246" s="302">
        <v>10</v>
      </c>
      <c r="AJ246" s="311">
        <v>43915</v>
      </c>
      <c r="AK246" s="311" t="s">
        <v>883</v>
      </c>
      <c r="AL246" s="311">
        <v>43948</v>
      </c>
      <c r="AM246" s="301"/>
      <c r="AN246" s="290"/>
      <c r="AO246" s="312" t="str">
        <f>_xlfn.IFNA(IF(VLOOKUP(tabItens[[#This Row],[CÓDIGO]],tabExcluirDoEstoque[#Data],1,FALSE),"sim",""),"")</f>
        <v/>
      </c>
      <c r="AP246" s="313" t="str">
        <f ca="1">IF(OR(ISBLANK(tabItens[[#This Row],[ATA DT.VALID.]]),tabItens[[#This Row],[ATA DT.VALID.]]="",tabItens[[#This Row],[ATA DT.VALID.]]=" "),"",IF(TYPE(tabItens[[#This Row],[ATA DT.VALID.]])=1,ROUNDUP((tabItens[[#This Row],[ATA DT.VALID.]]-TODAY())/7,0),""))</f>
        <v/>
      </c>
      <c r="AQ246" s="314">
        <v>0</v>
      </c>
      <c r="AR246" s="315" t="str">
        <f>IF(ISBLANK(tabItens[[#This Row],[CÓDIGO]]),"",IFERROR(VLOOKUP(tabItens[[#This Row],[CÓDIGO]],Consumo!$C$2:$AC$869,26,FALSE),0))</f>
        <v>07.2023</v>
      </c>
      <c r="AS246" s="316">
        <f>SUMIF(Consumo!$C$3:$C$869,tabItens[[#This Row],[CÓDIGO]],Consumo!$N$3:$N$869) + SUMIF(Consumo!$C$3:$C$869,tabItens[[#This Row],[CÓDIGO]],Consumo!$O$3:$O$869) + SUMIF(Consumo!$C$3:$C$869,tabItens[[#This Row],[CÓDIGO]],Consumo!$P$3:$P$869) + SUMIF(Consumo!$C$3:$C$869,tabItens[[#This Row],[CÓDIGO]],Consumo!$Q$3:$Q$869)</f>
        <v>16</v>
      </c>
      <c r="AT246" s="316">
        <f>SUMIF(Consumo!$C$3:$C$869,tabItens[[#This Row],[CÓDIGO]],Consumo!$Z$3:$Z$869)</f>
        <v>32</v>
      </c>
      <c r="AU246" s="317">
        <f>SUMIF(Consumo!$C$3:$C$869,tabItens[[#This Row],[CÓDIGO]],Consumo!$AA$3:$AA$869)</f>
        <v>10</v>
      </c>
      <c r="AV246" s="318">
        <f>SUMIF(Consumo!$C$3:$C$869,tabItens[[#This Row],[CÓDIGO]],Consumo!$Y$3:$Y$869)</f>
        <v>2.4166666666666665</v>
      </c>
      <c r="AW246" s="291">
        <f>tabItens[[#This Row],[QTDE ATUAL]] + tabItens[[#This Row],[RC QTDE]] + tabItens[[#This Row],[AF SALDO]] + tabItens[[#This Row],[Recentes]]</f>
        <v>61</v>
      </c>
      <c r="AX246" s="319">
        <v>13</v>
      </c>
      <c r="AY246" s="319">
        <v>4</v>
      </c>
      <c r="AZ246" s="319">
        <f>IF(ISBLANK(tabItens[[#This Row],[CÓDIGO]]),"",tabItens[[#This Row],[PontoMês]] * (AZ$2+tabItens[[#This Row],[PontoQtM]]))</f>
        <v>52</v>
      </c>
      <c r="BA246" s="318">
        <f>tabItens[[#This Row],[PontoPed]] - tabItens[[#This Row],[Saldo]] + (1/10)</f>
        <v>-8.9</v>
      </c>
      <c r="BB246" s="318">
        <f xml:space="preserve"> tabItens[[#This Row],[PontoMês]] * BB$2 - tabItens[[#This Row],[QTDE ATUAL]] - (1/10)</f>
        <v>-48.1</v>
      </c>
      <c r="BC246" s="320">
        <f>IF( tabItens[[#This Row],[PontoPed]]&gt;0, IF(tabItens[[#This Row],[PontoPed]]&lt;1, 1, IF( tabItens[[#This Row],[Saldo]]&gt;tabItens[[#This Row],[PontoPed]], 0, (tabItens[[#This Row],[PontoPed]]-tabItens[[#This Row],[Saldo]])/tabItens[[#This Row],[PontoPed]] ) ), 0 )</f>
        <v>0</v>
      </c>
      <c r="BD246" s="321">
        <f>ROUNDDOWN(IF( OR( AND(tabItens[[#This Row],[PontoPed]]&lt;tabItens[[#This Row],[Saldo]],tabItens[[#This Row],[Saldo]]&gt;0), tabItens[[#This Row],[PontoPed]]=0), 99, IF(AND(tabItens[[#This Row],[Saldo]]=0,tabItens[[#This Row],[PontoPed]]&gt;0), 0, (1-tabItens[[#This Row],[PctAb]])*10 ) ),0)</f>
        <v>99</v>
      </c>
      <c r="BE246" s="322">
        <f>MAX(ROUNDDOWN( IF(tabItens[[#This Row],[Abaixo]] &gt; 0,   tabItens[[#This Row],[Abaixo]] + (tabItens[[#This Row],[PontoMês]] * IF( OR( ISBLANK(tabItens[[#This Row],[ATA Nº/ANO]]), tabItens[[#This Row],[ATA Nº/ANO]] = ""),BE$2,BE$1)),0),0),0)</f>
        <v>0</v>
      </c>
      <c r="BF24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23">
        <f>SUMIF(Consumo!$C$3:$C$869,tabItens[[#This Row],[CÓDIGO]],Consumo!$E$3:$E$869)</f>
        <v>0</v>
      </c>
      <c r="BH246" s="324">
        <f>IF(AND(tabItens[[#This Row],[Pend]] &gt; 0,tabItens[[#This Row],[Consumo]] &lt;&gt; 0), tabItens[[#This Row],[Pend]] / tabItens[[#This Row],[Consumo]], 0 )</f>
        <v>0</v>
      </c>
      <c r="BI246" s="323"/>
      <c r="BJ246" s="323"/>
      <c r="BK246" s="325" t="s">
        <v>2064</v>
      </c>
    </row>
    <row r="247" spans="1:63" hidden="1" x14ac:dyDescent="0.3">
      <c r="A247" s="286">
        <v>14013</v>
      </c>
      <c r="B247" s="287" t="s">
        <v>1051</v>
      </c>
      <c r="C247" s="288" t="s">
        <v>256</v>
      </c>
      <c r="D247" s="289">
        <v>0.64</v>
      </c>
      <c r="E247" s="290"/>
      <c r="F247" s="290"/>
      <c r="G247" s="290" t="s">
        <v>883</v>
      </c>
      <c r="H247" s="291">
        <v>390</v>
      </c>
      <c r="I247" s="292">
        <v>103003</v>
      </c>
      <c r="J247" s="293">
        <v>0.64</v>
      </c>
      <c r="K247" s="294">
        <v>447</v>
      </c>
      <c r="L247" s="295">
        <f>IF(tabItens[[#This Row],[Média]] &gt; 0, tabItens[[#This Row],[QTDE ATUAL]] / tabItens[[#This Row],[Média]],999.9)</f>
        <v>7.8920741989881957</v>
      </c>
      <c r="M247" s="296">
        <v>0</v>
      </c>
      <c r="N247" s="297">
        <f>tabItens[[#This Row],[VALOR UNIT.]] * tabItens[[#This Row],[LC]]</f>
        <v>0</v>
      </c>
      <c r="O247" s="298" t="s">
        <v>2082</v>
      </c>
      <c r="P247" s="299"/>
      <c r="Q247" s="300"/>
      <c r="R247" s="297"/>
      <c r="S247" s="301"/>
      <c r="T247" s="302">
        <f>ROUNDDOWN(IFERROR(tabItens[[#This Row],[ATA DT.VALID.]] - $D$1,0) / 30,0)</f>
        <v>-1504</v>
      </c>
      <c r="U247" s="287" t="s">
        <v>1050</v>
      </c>
      <c r="V247" s="303">
        <v>1</v>
      </c>
      <c r="W247" s="304" t="s">
        <v>2055</v>
      </c>
      <c r="X247" s="305">
        <v>55</v>
      </c>
      <c r="Y247" s="306">
        <v>46</v>
      </c>
      <c r="Z247" s="307">
        <v>2546</v>
      </c>
      <c r="AA247" s="308">
        <v>2023</v>
      </c>
      <c r="AB247" s="309">
        <v>1000</v>
      </c>
      <c r="AC247" s="309"/>
      <c r="AD247" s="308"/>
      <c r="AE247" s="309"/>
      <c r="AF247" s="302"/>
      <c r="AG247" s="310" t="s">
        <v>2050</v>
      </c>
      <c r="AH247" s="311"/>
      <c r="AI247" s="302">
        <v>198</v>
      </c>
      <c r="AJ247" s="311">
        <v>44883</v>
      </c>
      <c r="AK247" s="311" t="s">
        <v>883</v>
      </c>
      <c r="AL247" s="311">
        <v>44845</v>
      </c>
      <c r="AM247" s="301"/>
      <c r="AN247" s="290"/>
      <c r="AO247" s="312" t="str">
        <f>_xlfn.IFNA(IF(VLOOKUP(tabItens[[#This Row],[CÓDIGO]],tabExcluirDoEstoque[#Data],1,FALSE),"sim",""),"")</f>
        <v/>
      </c>
      <c r="AP247" s="313" t="str">
        <f ca="1">IF(OR(ISBLANK(tabItens[[#This Row],[ATA DT.VALID.]]),tabItens[[#This Row],[ATA DT.VALID.]]="",tabItens[[#This Row],[ATA DT.VALID.]]=" "),"",IF(TYPE(tabItens[[#This Row],[ATA DT.VALID.]])=1,ROUNDUP((tabItens[[#This Row],[ATA DT.VALID.]]-TODAY())/7,0),""))</f>
        <v/>
      </c>
      <c r="AQ247" s="314">
        <v>0</v>
      </c>
      <c r="AR247" s="315" t="str">
        <f>IF(ISBLANK(tabItens[[#This Row],[CÓDIGO]]),"",IFERROR(VLOOKUP(tabItens[[#This Row],[CÓDIGO]],Consumo!$C$2:$AC$869,26,FALSE),0))</f>
        <v>06.2023</v>
      </c>
      <c r="AS247" s="316">
        <f>SUMIF(Consumo!$C$3:$C$869,tabItens[[#This Row],[CÓDIGO]],Consumo!$N$3:$N$869) + SUMIF(Consumo!$C$3:$C$869,tabItens[[#This Row],[CÓDIGO]],Consumo!$O$3:$O$869) + SUMIF(Consumo!$C$3:$C$869,tabItens[[#This Row],[CÓDIGO]],Consumo!$P$3:$P$869) + SUMIF(Consumo!$C$3:$C$869,tabItens[[#This Row],[CÓDIGO]],Consumo!$Q$3:$Q$869)</f>
        <v>190</v>
      </c>
      <c r="AT247" s="316">
        <f>SUMIF(Consumo!$C$3:$C$869,tabItens[[#This Row],[CÓDIGO]],Consumo!$Z$3:$Z$869)</f>
        <v>593</v>
      </c>
      <c r="AU247" s="317">
        <f>SUMIF(Consumo!$C$3:$C$869,tabItens[[#This Row],[CÓDIGO]],Consumo!$AA$3:$AA$869)</f>
        <v>100</v>
      </c>
      <c r="AV247" s="318">
        <f>SUMIF(Consumo!$C$3:$C$869,tabItens[[#This Row],[CÓDIGO]],Consumo!$Y$3:$Y$869)</f>
        <v>49.416666666666664</v>
      </c>
      <c r="AW247" s="291">
        <f>tabItens[[#This Row],[QTDE ATUAL]] + tabItens[[#This Row],[RC QTDE]] + tabItens[[#This Row],[AF SALDO]] + tabItens[[#This Row],[Recentes]]</f>
        <v>1390</v>
      </c>
      <c r="AX247" s="319">
        <v>76</v>
      </c>
      <c r="AY247" s="319">
        <v>4</v>
      </c>
      <c r="AZ247" s="319">
        <f>IF(ISBLANK(tabItens[[#This Row],[CÓDIGO]]),"",tabItens[[#This Row],[PontoMês]] * (AZ$2+tabItens[[#This Row],[PontoQtM]]))</f>
        <v>304</v>
      </c>
      <c r="BA247" s="318">
        <f>tabItens[[#This Row],[PontoPed]] - tabItens[[#This Row],[Saldo]] + (1/10)</f>
        <v>-1085.9000000000001</v>
      </c>
      <c r="BB247" s="318">
        <f xml:space="preserve"> tabItens[[#This Row],[PontoMês]] * BB$2 - tabItens[[#This Row],[QTDE ATUAL]] - (1/10)</f>
        <v>-314.10000000000002</v>
      </c>
      <c r="BC247" s="320">
        <f>IF( tabItens[[#This Row],[PontoPed]]&gt;0, IF(tabItens[[#This Row],[PontoPed]]&lt;1, 1, IF( tabItens[[#This Row],[Saldo]]&gt;tabItens[[#This Row],[PontoPed]], 0, (tabItens[[#This Row],[PontoPed]]-tabItens[[#This Row],[Saldo]])/tabItens[[#This Row],[PontoPed]] ) ), 0 )</f>
        <v>0</v>
      </c>
      <c r="BD247" s="321">
        <f>ROUNDDOWN(IF( OR( AND(tabItens[[#This Row],[PontoPed]]&lt;tabItens[[#This Row],[Saldo]],tabItens[[#This Row],[Saldo]]&gt;0), tabItens[[#This Row],[PontoPed]]=0), 99, IF(AND(tabItens[[#This Row],[Saldo]]=0,tabItens[[#This Row],[PontoPed]]&gt;0), 0, (1-tabItens[[#This Row],[PctAb]])*10 ) ),0)</f>
        <v>99</v>
      </c>
      <c r="BE247" s="322">
        <f>MAX(ROUNDDOWN( IF(tabItens[[#This Row],[Abaixo]] &gt; 0,   tabItens[[#This Row],[Abaixo]] + (tabItens[[#This Row],[PontoMês]] * IF( OR( ISBLANK(tabItens[[#This Row],[ATA Nº/ANO]]), tabItens[[#This Row],[ATA Nº/ANO]] = ""),BE$2,BE$1)),0),0),0)</f>
        <v>0</v>
      </c>
      <c r="BF24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23">
        <f>SUMIF(Consumo!$C$3:$C$869,tabItens[[#This Row],[CÓDIGO]],Consumo!$E$3:$E$869)</f>
        <v>0</v>
      </c>
      <c r="BH247" s="324">
        <f>IF(AND(tabItens[[#This Row],[Pend]] &gt; 0,tabItens[[#This Row],[Consumo]] &lt;&gt; 0), tabItens[[#This Row],[Pend]] / tabItens[[#This Row],[Consumo]], 0 )</f>
        <v>0</v>
      </c>
      <c r="BI247" s="323"/>
      <c r="BJ247" s="323"/>
      <c r="BK247" s="325" t="s">
        <v>2064</v>
      </c>
    </row>
    <row r="248" spans="1:63" hidden="1" x14ac:dyDescent="0.3">
      <c r="A248" s="286">
        <v>119180</v>
      </c>
      <c r="B248" s="287" t="s">
        <v>1725</v>
      </c>
      <c r="C248" s="288" t="s">
        <v>31</v>
      </c>
      <c r="D248" s="289">
        <v>6.28</v>
      </c>
      <c r="E248" s="290"/>
      <c r="F248" s="290"/>
      <c r="G248" s="290" t="s">
        <v>883</v>
      </c>
      <c r="H248" s="291">
        <v>157</v>
      </c>
      <c r="I248" s="292">
        <v>103003</v>
      </c>
      <c r="J248" s="293">
        <v>6.28</v>
      </c>
      <c r="K248" s="294">
        <v>59</v>
      </c>
      <c r="L248" s="295">
        <f>IF(tabItens[[#This Row],[Média]] &gt; 0, tabItens[[#This Row],[QTDE ATUAL]] / tabItens[[#This Row],[Média]],999.9)</f>
        <v>33.05263157894737</v>
      </c>
      <c r="M248" s="296">
        <v>0</v>
      </c>
      <c r="N248" s="297">
        <f>tabItens[[#This Row],[VALOR UNIT.]] * tabItens[[#This Row],[LC]]</f>
        <v>0</v>
      </c>
      <c r="O248" s="298" t="s">
        <v>2140</v>
      </c>
      <c r="P248" s="299"/>
      <c r="Q248" s="300"/>
      <c r="R248" s="297"/>
      <c r="S248" s="301"/>
      <c r="T248" s="302">
        <f>ROUNDDOWN(IFERROR(tabItens[[#This Row],[ATA DT.VALID.]] - $D$1,0) / 30,0)</f>
        <v>-1504</v>
      </c>
      <c r="U248" s="287" t="s">
        <v>1677</v>
      </c>
      <c r="V248" s="303">
        <v>1</v>
      </c>
      <c r="W248" s="304" t="s">
        <v>2055</v>
      </c>
      <c r="X248" s="305">
        <v>55</v>
      </c>
      <c r="Y248" s="306">
        <v>37</v>
      </c>
      <c r="Z248" s="307"/>
      <c r="AA248" s="308"/>
      <c r="AB248" s="309"/>
      <c r="AC248" s="309"/>
      <c r="AD248" s="308"/>
      <c r="AE248" s="309"/>
      <c r="AF248" s="302"/>
      <c r="AG248" s="310" t="s">
        <v>2050</v>
      </c>
      <c r="AH248" s="311"/>
      <c r="AI248" s="302">
        <v>20</v>
      </c>
      <c r="AJ248" s="311">
        <v>41460</v>
      </c>
      <c r="AK248" s="311">
        <v>40581</v>
      </c>
      <c r="AL248" s="311">
        <v>42075</v>
      </c>
      <c r="AM248" s="301"/>
      <c r="AN248" s="290"/>
      <c r="AO248" s="312" t="str">
        <f>_xlfn.IFNA(IF(VLOOKUP(tabItens[[#This Row],[CÓDIGO]],tabExcluirDoEstoque[#Data],1,FALSE),"sim",""),"")</f>
        <v/>
      </c>
      <c r="AP248" s="313" t="str">
        <f ca="1">IF(OR(ISBLANK(tabItens[[#This Row],[ATA DT.VALID.]]),tabItens[[#This Row],[ATA DT.VALID.]]="",tabItens[[#This Row],[ATA DT.VALID.]]=" "),"",IF(TYPE(tabItens[[#This Row],[ATA DT.VALID.]])=1,ROUNDUP((tabItens[[#This Row],[ATA DT.VALID.]]-TODAY())/7,0),""))</f>
        <v/>
      </c>
      <c r="AQ248" s="314">
        <v>0</v>
      </c>
      <c r="AR248" s="315" t="str">
        <f>IF(ISBLANK(tabItens[[#This Row],[CÓDIGO]]),"",IFERROR(VLOOKUP(tabItens[[#This Row],[CÓDIGO]],Consumo!$C$2:$AC$869,26,FALSE),0))</f>
        <v>05.2023</v>
      </c>
      <c r="AS248" s="316">
        <f>SUMIF(Consumo!$C$3:$C$869,tabItens[[#This Row],[CÓDIGO]],Consumo!$N$3:$N$869) + SUMIF(Consumo!$C$3:$C$869,tabItens[[#This Row],[CÓDIGO]],Consumo!$O$3:$O$869) + SUMIF(Consumo!$C$3:$C$869,tabItens[[#This Row],[CÓDIGO]],Consumo!$P$3:$P$869) + SUMIF(Consumo!$C$3:$C$869,tabItens[[#This Row],[CÓDIGO]],Consumo!$Q$3:$Q$869)</f>
        <v>44</v>
      </c>
      <c r="AT248" s="316">
        <f>SUMIF(Consumo!$C$3:$C$869,tabItens[[#This Row],[CÓDIGO]],Consumo!$Z$3:$Z$869)</f>
        <v>59</v>
      </c>
      <c r="AU248" s="317">
        <f>SUMIF(Consumo!$C$3:$C$869,tabItens[[#This Row],[CÓDIGO]],Consumo!$AA$3:$AA$869)</f>
        <v>24</v>
      </c>
      <c r="AV248" s="318">
        <f>SUMIF(Consumo!$C$3:$C$869,tabItens[[#This Row],[CÓDIGO]],Consumo!$Y$3:$Y$869)</f>
        <v>4.75</v>
      </c>
      <c r="AW248" s="291">
        <f>tabItens[[#This Row],[QTDE ATUAL]] + tabItens[[#This Row],[RC QTDE]] + tabItens[[#This Row],[AF SALDO]] + tabItens[[#This Row],[Recentes]]</f>
        <v>157</v>
      </c>
      <c r="AX248" s="319">
        <v>5</v>
      </c>
      <c r="AY248" s="319">
        <v>4</v>
      </c>
      <c r="AZ248" s="319">
        <f>IF(ISBLANK(tabItens[[#This Row],[CÓDIGO]]),"",tabItens[[#This Row],[PontoMês]] * (AZ$2+tabItens[[#This Row],[PontoQtM]]))</f>
        <v>20</v>
      </c>
      <c r="BA248" s="318">
        <f>tabItens[[#This Row],[PontoPed]] - tabItens[[#This Row],[Saldo]] + (1/10)</f>
        <v>-136.9</v>
      </c>
      <c r="BB248" s="318">
        <f xml:space="preserve"> tabItens[[#This Row],[PontoMês]] * BB$2 - tabItens[[#This Row],[QTDE ATUAL]] - (1/10)</f>
        <v>-152.1</v>
      </c>
      <c r="BC248" s="320">
        <f>IF( tabItens[[#This Row],[PontoPed]]&gt;0, IF(tabItens[[#This Row],[PontoPed]]&lt;1, 1, IF( tabItens[[#This Row],[Saldo]]&gt;tabItens[[#This Row],[PontoPed]], 0, (tabItens[[#This Row],[PontoPed]]-tabItens[[#This Row],[Saldo]])/tabItens[[#This Row],[PontoPed]] ) ), 0 )</f>
        <v>0</v>
      </c>
      <c r="BD248" s="321">
        <f>ROUNDDOWN(IF( OR( AND(tabItens[[#This Row],[PontoPed]]&lt;tabItens[[#This Row],[Saldo]],tabItens[[#This Row],[Saldo]]&gt;0), tabItens[[#This Row],[PontoPed]]=0), 99, IF(AND(tabItens[[#This Row],[Saldo]]=0,tabItens[[#This Row],[PontoPed]]&gt;0), 0, (1-tabItens[[#This Row],[PctAb]])*10 ) ),0)</f>
        <v>99</v>
      </c>
      <c r="BE248" s="322">
        <f>MAX(ROUNDDOWN( IF(tabItens[[#This Row],[Abaixo]] &gt; 0,   tabItens[[#This Row],[Abaixo]] + (tabItens[[#This Row],[PontoMês]] * IF( OR( ISBLANK(tabItens[[#This Row],[ATA Nº/ANO]]), tabItens[[#This Row],[ATA Nº/ANO]] = ""),BE$2,BE$1)),0),0),0)</f>
        <v>0</v>
      </c>
      <c r="BF24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23">
        <f>SUMIF(Consumo!$C$3:$C$869,tabItens[[#This Row],[CÓDIGO]],Consumo!$E$3:$E$869)</f>
        <v>0</v>
      </c>
      <c r="BH248" s="324">
        <f>IF(AND(tabItens[[#This Row],[Pend]] &gt; 0,tabItens[[#This Row],[Consumo]] &lt;&gt; 0), tabItens[[#This Row],[Pend]] / tabItens[[#This Row],[Consumo]], 0 )</f>
        <v>0</v>
      </c>
      <c r="BI248" s="323"/>
      <c r="BJ248" s="323"/>
      <c r="BK248" s="325" t="s">
        <v>2064</v>
      </c>
    </row>
    <row r="249" spans="1:63" hidden="1" x14ac:dyDescent="0.3">
      <c r="A249" s="286">
        <v>78399</v>
      </c>
      <c r="B249" s="287" t="s">
        <v>1438</v>
      </c>
      <c r="C249" s="288" t="s">
        <v>256</v>
      </c>
      <c r="D249" s="289">
        <v>1.4</v>
      </c>
      <c r="E249" s="290"/>
      <c r="F249" s="290"/>
      <c r="G249" s="290" t="s">
        <v>883</v>
      </c>
      <c r="H249" s="291">
        <v>325</v>
      </c>
      <c r="I249" s="292">
        <v>103003</v>
      </c>
      <c r="J249" s="293">
        <v>1.4</v>
      </c>
      <c r="K249" s="294">
        <v>61</v>
      </c>
      <c r="L249" s="295">
        <f>IF(tabItens[[#This Row],[Média]] &gt; 0, tabItens[[#This Row],[QTDE ATUAL]] / tabItens[[#This Row],[Média]],999.9)</f>
        <v>82.978723404255319</v>
      </c>
      <c r="M249" s="296">
        <v>0</v>
      </c>
      <c r="N249" s="297">
        <f>tabItens[[#This Row],[VALOR UNIT.]] * tabItens[[#This Row],[LC]]</f>
        <v>0</v>
      </c>
      <c r="O249" s="298" t="s">
        <v>2140</v>
      </c>
      <c r="P249" s="299"/>
      <c r="Q249" s="300"/>
      <c r="R249" s="297"/>
      <c r="S249" s="301"/>
      <c r="T249" s="302">
        <f>ROUNDDOWN(IFERROR(tabItens[[#This Row],[ATA DT.VALID.]] - $D$1,0) / 30,0)</f>
        <v>-1504</v>
      </c>
      <c r="U249" s="287" t="s">
        <v>1050</v>
      </c>
      <c r="V249" s="303">
        <v>1</v>
      </c>
      <c r="W249" s="304" t="s">
        <v>2055</v>
      </c>
      <c r="X249" s="305">
        <v>55</v>
      </c>
      <c r="Y249" s="306">
        <v>46</v>
      </c>
      <c r="Z249" s="307"/>
      <c r="AA249" s="308"/>
      <c r="AB249" s="309"/>
      <c r="AC249" s="309"/>
      <c r="AD249" s="308"/>
      <c r="AE249" s="309"/>
      <c r="AF249" s="302"/>
      <c r="AG249" s="310" t="s">
        <v>2050</v>
      </c>
      <c r="AH249" s="311"/>
      <c r="AI249" s="302">
        <v>20</v>
      </c>
      <c r="AJ249" s="311">
        <v>44186</v>
      </c>
      <c r="AK249" s="311">
        <v>38096</v>
      </c>
      <c r="AL249" s="311">
        <v>44176</v>
      </c>
      <c r="AM249" s="301"/>
      <c r="AN249" s="290"/>
      <c r="AO249" s="312" t="str">
        <f>_xlfn.IFNA(IF(VLOOKUP(tabItens[[#This Row],[CÓDIGO]],tabExcluirDoEstoque[#Data],1,FALSE),"sim",""),"")</f>
        <v/>
      </c>
      <c r="AP249" s="313" t="str">
        <f ca="1">IF(OR(ISBLANK(tabItens[[#This Row],[ATA DT.VALID.]]),tabItens[[#This Row],[ATA DT.VALID.]]="",tabItens[[#This Row],[ATA DT.VALID.]]=" "),"",IF(TYPE(tabItens[[#This Row],[ATA DT.VALID.]])=1,ROUNDUP((tabItens[[#This Row],[ATA DT.VALID.]]-TODAY())/7,0),""))</f>
        <v/>
      </c>
      <c r="AQ249" s="314">
        <v>0</v>
      </c>
      <c r="AR249" s="315" t="str">
        <f>IF(ISBLANK(tabItens[[#This Row],[CÓDIGO]]),"",IFERROR(VLOOKUP(tabItens[[#This Row],[CÓDIGO]],Consumo!$C$2:$AC$869,26,FALSE),0))</f>
        <v>07.2023</v>
      </c>
      <c r="AS249" s="316">
        <f>SUMIF(Consumo!$C$3:$C$869,tabItens[[#This Row],[CÓDIGO]],Consumo!$N$3:$N$869) + SUMIF(Consumo!$C$3:$C$869,tabItens[[#This Row],[CÓDIGO]],Consumo!$O$3:$O$869) + SUMIF(Consumo!$C$3:$C$869,tabItens[[#This Row],[CÓDIGO]],Consumo!$P$3:$P$869) + SUMIF(Consumo!$C$3:$C$869,tabItens[[#This Row],[CÓDIGO]],Consumo!$Q$3:$Q$869)</f>
        <v>10</v>
      </c>
      <c r="AT249" s="316">
        <f>SUMIF(Consumo!$C$3:$C$869,tabItens[[#This Row],[CÓDIGO]],Consumo!$Z$3:$Z$869)</f>
        <v>61</v>
      </c>
      <c r="AU249" s="317">
        <f>SUMIF(Consumo!$C$3:$C$869,tabItens[[#This Row],[CÓDIGO]],Consumo!$AA$3:$AA$869)</f>
        <v>45</v>
      </c>
      <c r="AV249" s="318">
        <f>SUMIF(Consumo!$C$3:$C$869,tabItens[[#This Row],[CÓDIGO]],Consumo!$Y$3:$Y$869)</f>
        <v>3.9166666666666665</v>
      </c>
      <c r="AW249" s="291">
        <f>tabItens[[#This Row],[QTDE ATUAL]] + tabItens[[#This Row],[RC QTDE]] + tabItens[[#This Row],[AF SALDO]] + tabItens[[#This Row],[Recentes]]</f>
        <v>325</v>
      </c>
      <c r="AX249" s="319">
        <v>5</v>
      </c>
      <c r="AY249" s="319">
        <v>4</v>
      </c>
      <c r="AZ249" s="319">
        <f>IF(ISBLANK(tabItens[[#This Row],[CÓDIGO]]),"",tabItens[[#This Row],[PontoMês]] * (AZ$2+tabItens[[#This Row],[PontoQtM]]))</f>
        <v>20</v>
      </c>
      <c r="BA249" s="318">
        <f>tabItens[[#This Row],[PontoPed]] - tabItens[[#This Row],[Saldo]] + (1/10)</f>
        <v>-304.89999999999998</v>
      </c>
      <c r="BB249" s="318">
        <f xml:space="preserve"> tabItens[[#This Row],[PontoMês]] * BB$2 - tabItens[[#This Row],[QTDE ATUAL]] - (1/10)</f>
        <v>-320.10000000000002</v>
      </c>
      <c r="BC249" s="320">
        <f>IF( tabItens[[#This Row],[PontoPed]]&gt;0, IF(tabItens[[#This Row],[PontoPed]]&lt;1, 1, IF( tabItens[[#This Row],[Saldo]]&gt;tabItens[[#This Row],[PontoPed]], 0, (tabItens[[#This Row],[PontoPed]]-tabItens[[#This Row],[Saldo]])/tabItens[[#This Row],[PontoPed]] ) ), 0 )</f>
        <v>0</v>
      </c>
      <c r="BD249" s="321">
        <f>ROUNDDOWN(IF( OR( AND(tabItens[[#This Row],[PontoPed]]&lt;tabItens[[#This Row],[Saldo]],tabItens[[#This Row],[Saldo]]&gt;0), tabItens[[#This Row],[PontoPed]]=0), 99, IF(AND(tabItens[[#This Row],[Saldo]]=0,tabItens[[#This Row],[PontoPed]]&gt;0), 0, (1-tabItens[[#This Row],[PctAb]])*10 ) ),0)</f>
        <v>99</v>
      </c>
      <c r="BE249" s="322">
        <f>MAX(ROUNDDOWN( IF(tabItens[[#This Row],[Abaixo]] &gt; 0,   tabItens[[#This Row],[Abaixo]] + (tabItens[[#This Row],[PontoMês]] * IF( OR( ISBLANK(tabItens[[#This Row],[ATA Nº/ANO]]), tabItens[[#This Row],[ATA Nº/ANO]] = ""),BE$2,BE$1)),0),0),0)</f>
        <v>0</v>
      </c>
      <c r="BF24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23">
        <f>SUMIF(Consumo!$C$3:$C$869,tabItens[[#This Row],[CÓDIGO]],Consumo!$E$3:$E$869)</f>
        <v>0</v>
      </c>
      <c r="BH249" s="324">
        <f>IF(AND(tabItens[[#This Row],[Pend]] &gt; 0,tabItens[[#This Row],[Consumo]] &lt;&gt; 0), tabItens[[#This Row],[Pend]] / tabItens[[#This Row],[Consumo]], 0 )</f>
        <v>0</v>
      </c>
      <c r="BI249" s="323"/>
      <c r="BJ249" s="323"/>
      <c r="BK249" s="325" t="s">
        <v>2064</v>
      </c>
    </row>
    <row r="250" spans="1:63" x14ac:dyDescent="0.3">
      <c r="A250" s="396">
        <v>57900</v>
      </c>
      <c r="B250" s="397" t="s">
        <v>1329</v>
      </c>
      <c r="C250" s="398" t="s">
        <v>273</v>
      </c>
      <c r="D250" s="399">
        <v>139.9</v>
      </c>
      <c r="E250" s="290"/>
      <c r="F250" s="400"/>
      <c r="G250" s="400" t="s">
        <v>883</v>
      </c>
      <c r="H250" s="401">
        <v>0</v>
      </c>
      <c r="I250" s="292">
        <v>103003</v>
      </c>
      <c r="J250" s="293">
        <v>139.9</v>
      </c>
      <c r="K250" s="402">
        <v>27</v>
      </c>
      <c r="L250" s="403">
        <f>IF(tabItens[[#This Row],[Média]] &gt; 0, tabItens[[#This Row],[QTDE ATUAL]] / tabItens[[#This Row],[Média]],999.9)</f>
        <v>0</v>
      </c>
      <c r="M250" s="404">
        <v>0</v>
      </c>
      <c r="N250" s="405">
        <f>tabItens[[#This Row],[VALOR UNIT.]] * tabItens[[#This Row],[LC]]</f>
        <v>0</v>
      </c>
      <c r="O250" s="406" t="s">
        <v>2125</v>
      </c>
      <c r="P250" s="407"/>
      <c r="Q250" s="408"/>
      <c r="R250" s="297"/>
      <c r="S250" s="409"/>
      <c r="T250" s="410">
        <f>ROUNDDOWN(IFERROR(tabItens[[#This Row],[ATA DT.VALID.]] - $D$1,0) / 30,0)</f>
        <v>-1504</v>
      </c>
      <c r="U250" s="287" t="s">
        <v>1330</v>
      </c>
      <c r="V250" s="303">
        <v>1</v>
      </c>
      <c r="W250" s="411" t="s">
        <v>2053</v>
      </c>
      <c r="X250" s="412">
        <v>76</v>
      </c>
      <c r="Y250" s="413">
        <v>8</v>
      </c>
      <c r="Z250" s="414">
        <v>2788</v>
      </c>
      <c r="AA250" s="415">
        <v>2023</v>
      </c>
      <c r="AB250" s="416">
        <v>30</v>
      </c>
      <c r="AC250" s="416"/>
      <c r="AD250" s="415"/>
      <c r="AE250" s="416"/>
      <c r="AF250" s="302"/>
      <c r="AG250" s="417" t="s">
        <v>2050</v>
      </c>
      <c r="AH250" s="418"/>
      <c r="AI250" s="302">
        <v>10</v>
      </c>
      <c r="AJ250" s="418">
        <v>44103</v>
      </c>
      <c r="AK250" s="311" t="s">
        <v>883</v>
      </c>
      <c r="AL250" s="311">
        <v>44098</v>
      </c>
      <c r="AM250" s="301"/>
      <c r="AN250" s="290"/>
      <c r="AO250" s="312" t="str">
        <f>_xlfn.IFNA(IF(VLOOKUP(tabItens[[#This Row],[CÓDIGO]],tabExcluirDoEstoque[#Data],1,FALSE),"sim",""),"")</f>
        <v/>
      </c>
      <c r="AP250" s="419" t="str">
        <f ca="1">IF(OR(ISBLANK(tabItens[[#This Row],[ATA DT.VALID.]]),tabItens[[#This Row],[ATA DT.VALID.]]="",tabItens[[#This Row],[ATA DT.VALID.]]=" "),"",IF(TYPE(tabItens[[#This Row],[ATA DT.VALID.]])=1,ROUNDUP((tabItens[[#This Row],[ATA DT.VALID.]]-TODAY())/7,0),""))</f>
        <v/>
      </c>
      <c r="AQ250" s="314">
        <v>0</v>
      </c>
      <c r="AR250" s="315" t="str">
        <f>IF(ISBLANK(tabItens[[#This Row],[CÓDIGO]]),"",IFERROR(VLOOKUP(tabItens[[#This Row],[CÓDIGO]],Consumo!$C$2:$AC$869,26,FALSE),0))</f>
        <v>04.2023</v>
      </c>
      <c r="AS250" s="316">
        <f>SUMIF(Consumo!$C$3:$C$869,tabItens[[#This Row],[CÓDIGO]],Consumo!$N$3:$N$869) + SUMIF(Consumo!$C$3:$C$869,tabItens[[#This Row],[CÓDIGO]],Consumo!$O$3:$O$869) + SUMIF(Consumo!$C$3:$C$869,tabItens[[#This Row],[CÓDIGO]],Consumo!$P$3:$P$869) + SUMIF(Consumo!$C$3:$C$869,tabItens[[#This Row],[CÓDIGO]],Consumo!$Q$3:$Q$869)</f>
        <v>3</v>
      </c>
      <c r="AT250" s="316">
        <f>SUMIF(Consumo!$C$3:$C$869,tabItens[[#This Row],[CÓDIGO]],Consumo!$Z$3:$Z$869)</f>
        <v>31</v>
      </c>
      <c r="AU250" s="317">
        <f>SUMIF(Consumo!$C$3:$C$869,tabItens[[#This Row],[CÓDIGO]],Consumo!$AA$3:$AA$869)</f>
        <v>10</v>
      </c>
      <c r="AV250" s="318">
        <f>SUMIF(Consumo!$C$3:$C$869,tabItens[[#This Row],[CÓDIGO]],Consumo!$Y$3:$Y$869)</f>
        <v>2.4166666666666665</v>
      </c>
      <c r="AW250" s="401">
        <f>tabItens[[#This Row],[QTDE ATUAL]] + tabItens[[#This Row],[RC QTDE]] + tabItens[[#This Row],[AF SALDO]] + tabItens[[#This Row],[Recentes]]</f>
        <v>30</v>
      </c>
      <c r="AX250" s="420">
        <v>3</v>
      </c>
      <c r="AY250" s="420">
        <v>4</v>
      </c>
      <c r="AZ250" s="420">
        <f>IF(ISBLANK(tabItens[[#This Row],[CÓDIGO]]),"",tabItens[[#This Row],[PontoMês]] * (AZ$2+tabItens[[#This Row],[PontoQtM]]))</f>
        <v>12</v>
      </c>
      <c r="BA250" s="421">
        <f>tabItens[[#This Row],[PontoPed]] - tabItens[[#This Row],[Saldo]] + (1/10)</f>
        <v>-17.899999999999999</v>
      </c>
      <c r="BB250" s="421">
        <f xml:space="preserve"> tabItens[[#This Row],[PontoMês]] * BB$2 - tabItens[[#This Row],[QTDE ATUAL]] - (1/10)</f>
        <v>2.9</v>
      </c>
      <c r="BC250" s="320">
        <f>IF( tabItens[[#This Row],[PontoPed]]&gt;0, IF(tabItens[[#This Row],[PontoPed]]&lt;1, 1, IF( tabItens[[#This Row],[Saldo]]&gt;tabItens[[#This Row],[PontoPed]], 0, (tabItens[[#This Row],[PontoPed]]-tabItens[[#This Row],[Saldo]])/tabItens[[#This Row],[PontoPed]] ) ), 0 )</f>
        <v>0</v>
      </c>
      <c r="BD250" s="422">
        <f>ROUNDDOWN(IF( OR( AND(tabItens[[#This Row],[PontoPed]]&lt;tabItens[[#This Row],[Saldo]],tabItens[[#This Row],[Saldo]]&gt;0), tabItens[[#This Row],[PontoPed]]=0), 99, IF(AND(tabItens[[#This Row],[Saldo]]=0,tabItens[[#This Row],[PontoPed]]&gt;0), 0, (1-tabItens[[#This Row],[PctAb]])*10 ) ),0)</f>
        <v>99</v>
      </c>
      <c r="BE250" s="423">
        <f>MAX(ROUNDDOWN( IF(tabItens[[#This Row],[Abaixo]] &gt; 0,   tabItens[[#This Row],[Abaixo]] + (tabItens[[#This Row],[PontoMês]] * IF( OR( ISBLANK(tabItens[[#This Row],[ATA Nº/ANO]]), tabItens[[#This Row],[ATA Nº/ANO]] = ""),BE$2,BE$1)),0),0),0)</f>
        <v>0</v>
      </c>
      <c r="BF25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23">
        <f>SUMIF(Consumo!$C$3:$C$869,tabItens[[#This Row],[CÓDIGO]],Consumo!$E$3:$E$869)</f>
        <v>3</v>
      </c>
      <c r="BH250" s="324">
        <f>IF(AND(tabItens[[#This Row],[Pend]] &gt; 0,tabItens[[#This Row],[Consumo]] &lt;&gt; 0), tabItens[[#This Row],[Pend]] / tabItens[[#This Row],[Consumo]], 0 )</f>
        <v>9.6774193548387094E-2</v>
      </c>
      <c r="BI250" s="323"/>
      <c r="BJ250" s="424"/>
      <c r="BK250" s="425" t="s">
        <v>2064</v>
      </c>
    </row>
    <row r="251" spans="1:63" hidden="1" x14ac:dyDescent="0.3">
      <c r="A251" s="286">
        <v>75334</v>
      </c>
      <c r="B251" s="287" t="s">
        <v>1410</v>
      </c>
      <c r="C251" s="288" t="s">
        <v>406</v>
      </c>
      <c r="D251" s="289">
        <v>199</v>
      </c>
      <c r="E251" s="290"/>
      <c r="F251" s="290"/>
      <c r="G251" s="290" t="s">
        <v>883</v>
      </c>
      <c r="H251" s="291">
        <v>467</v>
      </c>
      <c r="I251" s="292">
        <v>103003</v>
      </c>
      <c r="J251" s="293">
        <v>199</v>
      </c>
      <c r="K251" s="294">
        <v>378</v>
      </c>
      <c r="L251" s="295">
        <f>IF(tabItens[[#This Row],[Média]] &gt; 0, tabItens[[#This Row],[QTDE ATUAL]] / tabItens[[#This Row],[Média]],999.9)</f>
        <v>12.453333333333333</v>
      </c>
      <c r="M251" s="296">
        <v>0</v>
      </c>
      <c r="N251" s="297">
        <f>tabItens[[#This Row],[VALOR UNIT.]] * tabItens[[#This Row],[LC]]</f>
        <v>0</v>
      </c>
      <c r="O251" s="298" t="s">
        <v>2135</v>
      </c>
      <c r="P251" s="299"/>
      <c r="Q251" s="300"/>
      <c r="R251" s="297"/>
      <c r="S251" s="301"/>
      <c r="T251" s="302">
        <f>ROUNDDOWN(IFERROR(tabItens[[#This Row],[ATA DT.VALID.]] - $D$1,0) / 30,0)</f>
        <v>-1504</v>
      </c>
      <c r="U251" s="287" t="s">
        <v>1112</v>
      </c>
      <c r="V251" s="303">
        <v>1</v>
      </c>
      <c r="W251" s="304" t="s">
        <v>2057</v>
      </c>
      <c r="X251" s="305">
        <v>74</v>
      </c>
      <c r="Y251" s="306">
        <v>8</v>
      </c>
      <c r="Z251" s="307"/>
      <c r="AA251" s="308"/>
      <c r="AB251" s="309"/>
      <c r="AC251" s="309"/>
      <c r="AD251" s="308"/>
      <c r="AE251" s="309"/>
      <c r="AF251" s="302"/>
      <c r="AG251" s="310" t="s">
        <v>2050</v>
      </c>
      <c r="AH251" s="311"/>
      <c r="AI251" s="302">
        <v>154</v>
      </c>
      <c r="AJ251" s="311">
        <v>44844</v>
      </c>
      <c r="AK251" s="311">
        <v>37879</v>
      </c>
      <c r="AL251" s="311">
        <v>45057</v>
      </c>
      <c r="AM251" s="301"/>
      <c r="AN251" s="290"/>
      <c r="AO251" s="312" t="str">
        <f>_xlfn.IFNA(IF(VLOOKUP(tabItens[[#This Row],[CÓDIGO]],tabExcluirDoEstoque[#Data],1,FALSE),"sim",""),"")</f>
        <v/>
      </c>
      <c r="AP251" s="313" t="str">
        <f ca="1">IF(OR(ISBLANK(tabItens[[#This Row],[ATA DT.VALID.]]),tabItens[[#This Row],[ATA DT.VALID.]]="",tabItens[[#This Row],[ATA DT.VALID.]]=" "),"",IF(TYPE(tabItens[[#This Row],[ATA DT.VALID.]])=1,ROUNDUP((tabItens[[#This Row],[ATA DT.VALID.]]-TODAY())/7,0),""))</f>
        <v/>
      </c>
      <c r="AQ251" s="314">
        <v>0</v>
      </c>
      <c r="AR251" s="315" t="str">
        <f>IF(ISBLANK(tabItens[[#This Row],[CÓDIGO]]),"",IFERROR(VLOOKUP(tabItens[[#This Row],[CÓDIGO]],Consumo!$C$2:$AC$869,26,FALSE),0))</f>
        <v>06.2023</v>
      </c>
      <c r="AS251" s="316">
        <f>SUMIF(Consumo!$C$3:$C$869,tabItens[[#This Row],[CÓDIGO]],Consumo!$N$3:$N$869) + SUMIF(Consumo!$C$3:$C$869,tabItens[[#This Row],[CÓDIGO]],Consumo!$O$3:$O$869) + SUMIF(Consumo!$C$3:$C$869,tabItens[[#This Row],[CÓDIGO]],Consumo!$P$3:$P$869) + SUMIF(Consumo!$C$3:$C$869,tabItens[[#This Row],[CÓDIGO]],Consumo!$Q$3:$Q$869)</f>
        <v>168</v>
      </c>
      <c r="AT251" s="316">
        <f>SUMIF(Consumo!$C$3:$C$869,tabItens[[#This Row],[CÓDIGO]],Consumo!$Z$3:$Z$869)</f>
        <v>462</v>
      </c>
      <c r="AU251" s="317">
        <f>SUMIF(Consumo!$C$3:$C$869,tabItens[[#This Row],[CÓDIGO]],Consumo!$AA$3:$AA$869)</f>
        <v>126</v>
      </c>
      <c r="AV251" s="318">
        <f>SUMIF(Consumo!$C$3:$C$869,tabItens[[#This Row],[CÓDIGO]],Consumo!$Y$3:$Y$869)</f>
        <v>37.5</v>
      </c>
      <c r="AW251" s="291">
        <f>tabItens[[#This Row],[QTDE ATUAL]] + tabItens[[#This Row],[RC QTDE]] + tabItens[[#This Row],[AF SALDO]] + tabItens[[#This Row],[Recentes]]</f>
        <v>467</v>
      </c>
      <c r="AX251" s="319">
        <v>100</v>
      </c>
      <c r="AY251" s="319">
        <v>4</v>
      </c>
      <c r="AZ251" s="319">
        <f>IF(ISBLANK(tabItens[[#This Row],[CÓDIGO]]),"",tabItens[[#This Row],[PontoMês]] * (AZ$2+tabItens[[#This Row],[PontoQtM]]))</f>
        <v>400</v>
      </c>
      <c r="BA251" s="318">
        <f>tabItens[[#This Row],[PontoPed]] - tabItens[[#This Row],[Saldo]] + (1/10)</f>
        <v>-66.900000000000006</v>
      </c>
      <c r="BB251" s="318">
        <f xml:space="preserve"> tabItens[[#This Row],[PontoMês]] * BB$2 - tabItens[[#This Row],[QTDE ATUAL]] - (1/10)</f>
        <v>-367.1</v>
      </c>
      <c r="BC251" s="320">
        <f>IF( tabItens[[#This Row],[PontoPed]]&gt;0, IF(tabItens[[#This Row],[PontoPed]]&lt;1, 1, IF( tabItens[[#This Row],[Saldo]]&gt;tabItens[[#This Row],[PontoPed]], 0, (tabItens[[#This Row],[PontoPed]]-tabItens[[#This Row],[Saldo]])/tabItens[[#This Row],[PontoPed]] ) ), 0 )</f>
        <v>0</v>
      </c>
      <c r="BD251" s="321">
        <f>ROUNDDOWN(IF( OR( AND(tabItens[[#This Row],[PontoPed]]&lt;tabItens[[#This Row],[Saldo]],tabItens[[#This Row],[Saldo]]&gt;0), tabItens[[#This Row],[PontoPed]]=0), 99, IF(AND(tabItens[[#This Row],[Saldo]]=0,tabItens[[#This Row],[PontoPed]]&gt;0), 0, (1-tabItens[[#This Row],[PctAb]])*10 ) ),0)</f>
        <v>99</v>
      </c>
      <c r="BE251" s="322">
        <f>MAX(ROUNDDOWN( IF(tabItens[[#This Row],[Abaixo]] &gt; 0,   tabItens[[#This Row],[Abaixo]] + (tabItens[[#This Row],[PontoMês]] * IF( OR( ISBLANK(tabItens[[#This Row],[ATA Nº/ANO]]), tabItens[[#This Row],[ATA Nº/ANO]] = ""),BE$2,BE$1)),0),0),0)</f>
        <v>0</v>
      </c>
      <c r="BF2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23">
        <f>SUMIF(Consumo!$C$3:$C$869,tabItens[[#This Row],[CÓDIGO]],Consumo!$E$3:$E$869)</f>
        <v>0</v>
      </c>
      <c r="BH251" s="324">
        <f>IF(AND(tabItens[[#This Row],[Pend]] &gt; 0,tabItens[[#This Row],[Consumo]] &lt;&gt; 0), tabItens[[#This Row],[Pend]] / tabItens[[#This Row],[Consumo]], 0 )</f>
        <v>0</v>
      </c>
      <c r="BI251" s="323"/>
      <c r="BJ251" s="323"/>
      <c r="BK251" s="325" t="s">
        <v>2064</v>
      </c>
    </row>
    <row r="252" spans="1:63" hidden="1" x14ac:dyDescent="0.3">
      <c r="A252" s="286">
        <v>119554</v>
      </c>
      <c r="B252" s="287" t="s">
        <v>1729</v>
      </c>
      <c r="C252" s="288" t="s">
        <v>406</v>
      </c>
      <c r="D252" s="289">
        <v>482.5</v>
      </c>
      <c r="E252" s="290"/>
      <c r="F252" s="290"/>
      <c r="G252" s="290" t="s">
        <v>883</v>
      </c>
      <c r="H252" s="291">
        <v>188</v>
      </c>
      <c r="I252" s="292">
        <v>103003</v>
      </c>
      <c r="J252" s="293">
        <v>482.5</v>
      </c>
      <c r="K252" s="294">
        <v>146</v>
      </c>
      <c r="L252" s="295">
        <f>IF(tabItens[[#This Row],[Média]] &gt; 0, tabItens[[#This Row],[QTDE ATUAL]] / tabItens[[#This Row],[Média]],999.9)</f>
        <v>15.452054794520549</v>
      </c>
      <c r="M252" s="296">
        <v>0</v>
      </c>
      <c r="N252" s="297">
        <f>tabItens[[#This Row],[VALOR UNIT.]] * tabItens[[#This Row],[LC]]</f>
        <v>0</v>
      </c>
      <c r="O252" s="298" t="s">
        <v>2135</v>
      </c>
      <c r="P252" s="299"/>
      <c r="Q252" s="300"/>
      <c r="R252" s="297"/>
      <c r="S252" s="301"/>
      <c r="T252" s="302">
        <f>ROUNDDOWN(IFERROR(tabItens[[#This Row],[ATA DT.VALID.]] - $D$1,0) / 30,0)</f>
        <v>-1504</v>
      </c>
      <c r="U252" s="287" t="s">
        <v>1209</v>
      </c>
      <c r="V252" s="303">
        <v>1</v>
      </c>
      <c r="W252" s="304" t="s">
        <v>2057</v>
      </c>
      <c r="X252" s="305">
        <v>74</v>
      </c>
      <c r="Y252" s="306">
        <v>9</v>
      </c>
      <c r="Z252" s="307"/>
      <c r="AA252" s="308"/>
      <c r="AB252" s="309"/>
      <c r="AC252" s="309"/>
      <c r="AD252" s="308"/>
      <c r="AE252" s="309"/>
      <c r="AF252" s="302"/>
      <c r="AG252" s="310" t="s">
        <v>2050</v>
      </c>
      <c r="AH252" s="311"/>
      <c r="AI252" s="302">
        <v>48</v>
      </c>
      <c r="AJ252" s="311">
        <v>44545</v>
      </c>
      <c r="AK252" s="311">
        <v>40632</v>
      </c>
      <c r="AL252" s="311">
        <v>44539</v>
      </c>
      <c r="AM252" s="301"/>
      <c r="AN252" s="290"/>
      <c r="AO252" s="312" t="str">
        <f>_xlfn.IFNA(IF(VLOOKUP(tabItens[[#This Row],[CÓDIGO]],tabExcluirDoEstoque[#Data],1,FALSE),"sim",""),"")</f>
        <v/>
      </c>
      <c r="AP252" s="313" t="str">
        <f ca="1">IF(OR(ISBLANK(tabItens[[#This Row],[ATA DT.VALID.]]),tabItens[[#This Row],[ATA DT.VALID.]]="",tabItens[[#This Row],[ATA DT.VALID.]]=" "),"",IF(TYPE(tabItens[[#This Row],[ATA DT.VALID.]])=1,ROUNDUP((tabItens[[#This Row],[ATA DT.VALID.]]-TODAY())/7,0),""))</f>
        <v/>
      </c>
      <c r="AQ252" s="314">
        <v>0</v>
      </c>
      <c r="AR252" s="315" t="str">
        <f>IF(ISBLANK(tabItens[[#This Row],[CÓDIGO]]),"",IFERROR(VLOOKUP(tabItens[[#This Row],[CÓDIGO]],Consumo!$C$2:$AC$869,26,FALSE),0))</f>
        <v>07.2023</v>
      </c>
      <c r="AS252" s="316">
        <f>SUMIF(Consumo!$C$3:$C$869,tabItens[[#This Row],[CÓDIGO]],Consumo!$N$3:$N$869) + SUMIF(Consumo!$C$3:$C$869,tabItens[[#This Row],[CÓDIGO]],Consumo!$O$3:$O$869) + SUMIF(Consumo!$C$3:$C$869,tabItens[[#This Row],[CÓDIGO]],Consumo!$P$3:$P$869) + SUMIF(Consumo!$C$3:$C$869,tabItens[[#This Row],[CÓDIGO]],Consumo!$Q$3:$Q$869)</f>
        <v>84</v>
      </c>
      <c r="AT252" s="316">
        <f>SUMIF(Consumo!$C$3:$C$869,tabItens[[#This Row],[CÓDIGO]],Consumo!$Z$3:$Z$869)</f>
        <v>146</v>
      </c>
      <c r="AU252" s="317">
        <f>SUMIF(Consumo!$C$3:$C$869,tabItens[[#This Row],[CÓDIGO]],Consumo!$AA$3:$AA$869)</f>
        <v>42</v>
      </c>
      <c r="AV252" s="318">
        <f>SUMIF(Consumo!$C$3:$C$869,tabItens[[#This Row],[CÓDIGO]],Consumo!$Y$3:$Y$869)</f>
        <v>12.166666666666666</v>
      </c>
      <c r="AW252" s="291">
        <f>tabItens[[#This Row],[QTDE ATUAL]] + tabItens[[#This Row],[RC QTDE]] + tabItens[[#This Row],[AF SALDO]] + tabItens[[#This Row],[Recentes]]</f>
        <v>188</v>
      </c>
      <c r="AX252" s="319">
        <v>9</v>
      </c>
      <c r="AY252" s="319">
        <v>4</v>
      </c>
      <c r="AZ252" s="319">
        <f>IF(ISBLANK(tabItens[[#This Row],[CÓDIGO]]),"",tabItens[[#This Row],[PontoMês]] * (AZ$2+tabItens[[#This Row],[PontoQtM]]))</f>
        <v>36</v>
      </c>
      <c r="BA252" s="318">
        <f>tabItens[[#This Row],[PontoPed]] - tabItens[[#This Row],[Saldo]] + (1/10)</f>
        <v>-151.9</v>
      </c>
      <c r="BB252" s="318">
        <f xml:space="preserve"> tabItens[[#This Row],[PontoMês]] * BB$2 - tabItens[[#This Row],[QTDE ATUAL]] - (1/10)</f>
        <v>-179.1</v>
      </c>
      <c r="BC252" s="320">
        <f>IF( tabItens[[#This Row],[PontoPed]]&gt;0, IF(tabItens[[#This Row],[PontoPed]]&lt;1, 1, IF( tabItens[[#This Row],[Saldo]]&gt;tabItens[[#This Row],[PontoPed]], 0, (tabItens[[#This Row],[PontoPed]]-tabItens[[#This Row],[Saldo]])/tabItens[[#This Row],[PontoPed]] ) ), 0 )</f>
        <v>0</v>
      </c>
      <c r="BD252" s="321">
        <f>ROUNDDOWN(IF( OR( AND(tabItens[[#This Row],[PontoPed]]&lt;tabItens[[#This Row],[Saldo]],tabItens[[#This Row],[Saldo]]&gt;0), tabItens[[#This Row],[PontoPed]]=0), 99, IF(AND(tabItens[[#This Row],[Saldo]]=0,tabItens[[#This Row],[PontoPed]]&gt;0), 0, (1-tabItens[[#This Row],[PctAb]])*10 ) ),0)</f>
        <v>99</v>
      </c>
      <c r="BE252" s="322">
        <f>MAX(ROUNDDOWN( IF(tabItens[[#This Row],[Abaixo]] &gt; 0,   tabItens[[#This Row],[Abaixo]] + (tabItens[[#This Row],[PontoMês]] * IF( OR( ISBLANK(tabItens[[#This Row],[ATA Nº/ANO]]), tabItens[[#This Row],[ATA Nº/ANO]] = ""),BE$2,BE$1)),0),0),0)</f>
        <v>0</v>
      </c>
      <c r="BF2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23">
        <f>SUMIF(Consumo!$C$3:$C$869,tabItens[[#This Row],[CÓDIGO]],Consumo!$E$3:$E$869)</f>
        <v>0</v>
      </c>
      <c r="BH252" s="324">
        <f>IF(AND(tabItens[[#This Row],[Pend]] &gt; 0,tabItens[[#This Row],[Consumo]] &lt;&gt; 0), tabItens[[#This Row],[Pend]] / tabItens[[#This Row],[Consumo]], 0 )</f>
        <v>0</v>
      </c>
      <c r="BI252" s="323"/>
      <c r="BJ252" s="323"/>
      <c r="BK252" s="325" t="s">
        <v>2064</v>
      </c>
    </row>
    <row r="253" spans="1:63" x14ac:dyDescent="0.3">
      <c r="A253" s="396">
        <v>78181</v>
      </c>
      <c r="B253" s="397" t="s">
        <v>1433</v>
      </c>
      <c r="C253" s="398" t="s">
        <v>625</v>
      </c>
      <c r="D253" s="399">
        <v>7</v>
      </c>
      <c r="E253" s="290"/>
      <c r="F253" s="400"/>
      <c r="G253" s="400" t="s">
        <v>883</v>
      </c>
      <c r="H253" s="401">
        <v>0</v>
      </c>
      <c r="I253" s="292">
        <v>103003</v>
      </c>
      <c r="J253" s="293">
        <v>7</v>
      </c>
      <c r="K253" s="402">
        <v>74</v>
      </c>
      <c r="L253" s="403">
        <f>IF(tabItens[[#This Row],[Média]] &gt; 0, tabItens[[#This Row],[QTDE ATUAL]] / tabItens[[#This Row],[Média]],999.9)</f>
        <v>0</v>
      </c>
      <c r="M253" s="404">
        <v>0</v>
      </c>
      <c r="N253" s="405">
        <f>tabItens[[#This Row],[VALOR UNIT.]] * tabItens[[#This Row],[LC]]</f>
        <v>0</v>
      </c>
      <c r="O253" s="406" t="s">
        <v>2139</v>
      </c>
      <c r="P253" s="407"/>
      <c r="Q253" s="408"/>
      <c r="R253" s="297"/>
      <c r="S253" s="409"/>
      <c r="T253" s="410">
        <f>ROUNDDOWN(IFERROR(tabItens[[#This Row],[ATA DT.VALID.]] - $D$1,0) / 30,0)</f>
        <v>-1504</v>
      </c>
      <c r="U253" s="287" t="s">
        <v>1434</v>
      </c>
      <c r="V253" s="303">
        <v>1</v>
      </c>
      <c r="W253" s="411" t="s">
        <v>2051</v>
      </c>
      <c r="X253" s="412">
        <v>72</v>
      </c>
      <c r="Y253" s="413">
        <v>8</v>
      </c>
      <c r="Z253" s="414"/>
      <c r="AA253" s="415"/>
      <c r="AB253" s="416"/>
      <c r="AC253" s="416">
        <v>9091</v>
      </c>
      <c r="AD253" s="415">
        <v>2023</v>
      </c>
      <c r="AE253" s="416">
        <v>200</v>
      </c>
      <c r="AF253" s="302">
        <v>200</v>
      </c>
      <c r="AG253" s="417" t="s">
        <v>2041</v>
      </c>
      <c r="AH253" s="418">
        <v>45159</v>
      </c>
      <c r="AI253" s="302">
        <v>24</v>
      </c>
      <c r="AJ253" s="418">
        <v>44595</v>
      </c>
      <c r="AK253" s="311">
        <v>38079</v>
      </c>
      <c r="AL253" s="311">
        <v>45133</v>
      </c>
      <c r="AM253" s="301"/>
      <c r="AN253" s="290"/>
      <c r="AO253" s="312" t="str">
        <f>_xlfn.IFNA(IF(VLOOKUP(tabItens[[#This Row],[CÓDIGO]],tabExcluirDoEstoque[#Data],1,FALSE),"sim",""),"")</f>
        <v/>
      </c>
      <c r="AP253" s="419" t="str">
        <f ca="1">IF(OR(ISBLANK(tabItens[[#This Row],[ATA DT.VALID.]]),tabItens[[#This Row],[ATA DT.VALID.]]="",tabItens[[#This Row],[ATA DT.VALID.]]=" "),"",IF(TYPE(tabItens[[#This Row],[ATA DT.VALID.]])=1,ROUNDUP((tabItens[[#This Row],[ATA DT.VALID.]]-TODAY())/7,0),""))</f>
        <v/>
      </c>
      <c r="AQ253" s="314">
        <v>0</v>
      </c>
      <c r="AR253" s="315" t="str">
        <f>IF(ISBLANK(tabItens[[#This Row],[CÓDIGO]]),"",IFERROR(VLOOKUP(tabItens[[#This Row],[CÓDIGO]],Consumo!$C$2:$AC$869,26,FALSE),0))</f>
        <v>12.2022</v>
      </c>
      <c r="AS253" s="316">
        <f>SUMIF(Consumo!$C$3:$C$869,tabItens[[#This Row],[CÓDIGO]],Consumo!$N$3:$N$869) + SUMIF(Consumo!$C$3:$C$869,tabItens[[#This Row],[CÓDIGO]],Consumo!$O$3:$O$869) + SUMIF(Consumo!$C$3:$C$869,tabItens[[#This Row],[CÓDIGO]],Consumo!$P$3:$P$869) + SUMIF(Consumo!$C$3:$C$869,tabItens[[#This Row],[CÓDIGO]],Consumo!$Q$3:$Q$869)</f>
        <v>0</v>
      </c>
      <c r="AT253" s="316">
        <f>SUMIF(Consumo!$C$3:$C$869,tabItens[[#This Row],[CÓDIGO]],Consumo!$Z$3:$Z$869)</f>
        <v>139</v>
      </c>
      <c r="AU253" s="317">
        <f>SUMIF(Consumo!$C$3:$C$869,tabItens[[#This Row],[CÓDIGO]],Consumo!$AA$3:$AA$869)</f>
        <v>20</v>
      </c>
      <c r="AV253" s="318">
        <f>SUMIF(Consumo!$C$3:$C$869,tabItens[[#This Row],[CÓDIGO]],Consumo!$Y$3:$Y$869)</f>
        <v>11.583333333333334</v>
      </c>
      <c r="AW253" s="401">
        <f>tabItens[[#This Row],[QTDE ATUAL]] + tabItens[[#This Row],[RC QTDE]] + tabItens[[#This Row],[AF SALDO]] + tabItens[[#This Row],[Recentes]]</f>
        <v>200</v>
      </c>
      <c r="AX253" s="420">
        <v>18</v>
      </c>
      <c r="AY253" s="420">
        <v>4</v>
      </c>
      <c r="AZ253" s="420">
        <f>IF(ISBLANK(tabItens[[#This Row],[CÓDIGO]]),"",tabItens[[#This Row],[PontoMês]] * (AZ$2+tabItens[[#This Row],[PontoQtM]]))</f>
        <v>72</v>
      </c>
      <c r="BA253" s="421">
        <f>tabItens[[#This Row],[PontoPed]] - tabItens[[#This Row],[Saldo]] + (1/10)</f>
        <v>-127.9</v>
      </c>
      <c r="BB253" s="421">
        <f xml:space="preserve"> tabItens[[#This Row],[PontoMês]] * BB$2 - tabItens[[#This Row],[QTDE ATUAL]] - (1/10)</f>
        <v>17.899999999999999</v>
      </c>
      <c r="BC253" s="320">
        <f>IF( tabItens[[#This Row],[PontoPed]]&gt;0, IF(tabItens[[#This Row],[PontoPed]]&lt;1, 1, IF( tabItens[[#This Row],[Saldo]]&gt;tabItens[[#This Row],[PontoPed]], 0, (tabItens[[#This Row],[PontoPed]]-tabItens[[#This Row],[Saldo]])/tabItens[[#This Row],[PontoPed]] ) ), 0 )</f>
        <v>0</v>
      </c>
      <c r="BD253" s="422">
        <f>ROUNDDOWN(IF( OR( AND(tabItens[[#This Row],[PontoPed]]&lt;tabItens[[#This Row],[Saldo]],tabItens[[#This Row],[Saldo]]&gt;0), tabItens[[#This Row],[PontoPed]]=0), 99, IF(AND(tabItens[[#This Row],[Saldo]]=0,tabItens[[#This Row],[PontoPed]]&gt;0), 0, (1-tabItens[[#This Row],[PctAb]])*10 ) ),0)</f>
        <v>99</v>
      </c>
      <c r="BE253" s="423">
        <f>MAX(ROUNDDOWN( IF(tabItens[[#This Row],[Abaixo]] &gt; 0,   tabItens[[#This Row],[Abaixo]] + (tabItens[[#This Row],[PontoMês]] * IF( OR( ISBLANK(tabItens[[#This Row],[ATA Nº/ANO]]), tabItens[[#This Row],[ATA Nº/ANO]] = ""),BE$2,BE$1)),0),0),0)</f>
        <v>0</v>
      </c>
      <c r="BF25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23">
        <f>SUMIF(Consumo!$C$3:$C$869,tabItens[[#This Row],[CÓDIGO]],Consumo!$E$3:$E$869)</f>
        <v>65</v>
      </c>
      <c r="BH253" s="324">
        <f>IF(AND(tabItens[[#This Row],[Pend]] &gt; 0,tabItens[[#This Row],[Consumo]] &lt;&gt; 0), tabItens[[#This Row],[Pend]] / tabItens[[#This Row],[Consumo]], 0 )</f>
        <v>0.46762589928057552</v>
      </c>
      <c r="BI253" s="323"/>
      <c r="BJ253" s="424"/>
      <c r="BK253" s="425" t="s">
        <v>2064</v>
      </c>
    </row>
    <row r="254" spans="1:63" x14ac:dyDescent="0.3">
      <c r="A254" s="396">
        <v>128288</v>
      </c>
      <c r="B254" s="397" t="s">
        <v>1780</v>
      </c>
      <c r="C254" s="398" t="s">
        <v>596</v>
      </c>
      <c r="D254" s="399">
        <v>135.71</v>
      </c>
      <c r="E254" s="290"/>
      <c r="F254" s="400"/>
      <c r="G254" s="400" t="s">
        <v>883</v>
      </c>
      <c r="H254" s="401">
        <v>0</v>
      </c>
      <c r="I254" s="292">
        <v>103003</v>
      </c>
      <c r="J254" s="293">
        <v>135.71</v>
      </c>
      <c r="K254" s="402">
        <v>19</v>
      </c>
      <c r="L254" s="403">
        <f>IF(tabItens[[#This Row],[Média]] &gt; 0, tabItens[[#This Row],[QTDE ATUAL]] / tabItens[[#This Row],[Média]],999.9)</f>
        <v>0</v>
      </c>
      <c r="M254" s="404">
        <v>0</v>
      </c>
      <c r="N254" s="405">
        <f>tabItens[[#This Row],[VALOR UNIT.]] * tabItens[[#This Row],[LC]]</f>
        <v>0</v>
      </c>
      <c r="O254" s="406" t="s">
        <v>2171</v>
      </c>
      <c r="P254" s="407"/>
      <c r="Q254" s="408"/>
      <c r="R254" s="297"/>
      <c r="S254" s="409"/>
      <c r="T254" s="410">
        <f>ROUNDDOWN(IFERROR(tabItens[[#This Row],[ATA DT.VALID.]] - $D$1,0) / 30,0)</f>
        <v>-1504</v>
      </c>
      <c r="U254" s="287" t="s">
        <v>1509</v>
      </c>
      <c r="V254" s="303">
        <v>1</v>
      </c>
      <c r="W254" s="411" t="s">
        <v>2053</v>
      </c>
      <c r="X254" s="412">
        <v>76</v>
      </c>
      <c r="Y254" s="413">
        <v>13</v>
      </c>
      <c r="Z254" s="414">
        <v>2790</v>
      </c>
      <c r="AA254" s="415">
        <v>2023</v>
      </c>
      <c r="AB254" s="416">
        <v>50</v>
      </c>
      <c r="AC254" s="416">
        <v>14002</v>
      </c>
      <c r="AD254" s="415">
        <v>2022</v>
      </c>
      <c r="AE254" s="416">
        <v>0</v>
      </c>
      <c r="AF254" s="302">
        <v>20</v>
      </c>
      <c r="AG254" s="417" t="s">
        <v>2046</v>
      </c>
      <c r="AH254" s="418">
        <v>44875</v>
      </c>
      <c r="AI254" s="302">
        <v>6</v>
      </c>
      <c r="AJ254" s="418">
        <v>44742</v>
      </c>
      <c r="AK254" s="311">
        <v>41830</v>
      </c>
      <c r="AL254" s="311">
        <v>44865</v>
      </c>
      <c r="AM254" s="301"/>
      <c r="AN254" s="290"/>
      <c r="AO254" s="312" t="str">
        <f>_xlfn.IFNA(IF(VLOOKUP(tabItens[[#This Row],[CÓDIGO]],tabExcluirDoEstoque[#Data],1,FALSE),"sim",""),"")</f>
        <v/>
      </c>
      <c r="AP254" s="419" t="str">
        <f ca="1">IF(OR(ISBLANK(tabItens[[#This Row],[ATA DT.VALID.]]),tabItens[[#This Row],[ATA DT.VALID.]]="",tabItens[[#This Row],[ATA DT.VALID.]]=" "),"",IF(TYPE(tabItens[[#This Row],[ATA DT.VALID.]])=1,ROUNDUP((tabItens[[#This Row],[ATA DT.VALID.]]-TODAY())/7,0),""))</f>
        <v/>
      </c>
      <c r="AQ254" s="314">
        <v>0</v>
      </c>
      <c r="AR254" s="315" t="str">
        <f>IF(ISBLANK(tabItens[[#This Row],[CÓDIGO]]),"",IFERROR(VLOOKUP(tabItens[[#This Row],[CÓDIGO]],Consumo!$C$2:$AC$869,26,FALSE),0))</f>
        <v>02.2023</v>
      </c>
      <c r="AS254" s="316">
        <f>SUMIF(Consumo!$C$3:$C$869,tabItens[[#This Row],[CÓDIGO]],Consumo!$N$3:$N$869) + SUMIF(Consumo!$C$3:$C$869,tabItens[[#This Row],[CÓDIGO]],Consumo!$O$3:$O$869) + SUMIF(Consumo!$C$3:$C$869,tabItens[[#This Row],[CÓDIGO]],Consumo!$P$3:$P$869) + SUMIF(Consumo!$C$3:$C$869,tabItens[[#This Row],[CÓDIGO]],Consumo!$Q$3:$Q$869)</f>
        <v>0</v>
      </c>
      <c r="AT254" s="316">
        <f>SUMIF(Consumo!$C$3:$C$869,tabItens[[#This Row],[CÓDIGO]],Consumo!$Z$3:$Z$869)</f>
        <v>21</v>
      </c>
      <c r="AU254" s="317">
        <f>SUMIF(Consumo!$C$3:$C$869,tabItens[[#This Row],[CÓDIGO]],Consumo!$AA$3:$AA$869)</f>
        <v>10</v>
      </c>
      <c r="AV254" s="318">
        <f>SUMIF(Consumo!$C$3:$C$869,tabItens[[#This Row],[CÓDIGO]],Consumo!$Y$3:$Y$869)</f>
        <v>1.5</v>
      </c>
      <c r="AW254" s="401">
        <f>tabItens[[#This Row],[QTDE ATUAL]] + tabItens[[#This Row],[RC QTDE]] + tabItens[[#This Row],[AF SALDO]] + tabItens[[#This Row],[Recentes]]</f>
        <v>50</v>
      </c>
      <c r="AX254" s="420">
        <v>2</v>
      </c>
      <c r="AY254" s="420">
        <v>4</v>
      </c>
      <c r="AZ254" s="420">
        <f>IF(ISBLANK(tabItens[[#This Row],[CÓDIGO]]),"",tabItens[[#This Row],[PontoMês]] * (AZ$2+tabItens[[#This Row],[PontoQtM]]))</f>
        <v>8</v>
      </c>
      <c r="BA254" s="421">
        <f>tabItens[[#This Row],[PontoPed]] - tabItens[[#This Row],[Saldo]] + (1/10)</f>
        <v>-41.9</v>
      </c>
      <c r="BB254" s="421">
        <f xml:space="preserve"> tabItens[[#This Row],[PontoMês]] * BB$2 - tabItens[[#This Row],[QTDE ATUAL]] - (1/10)</f>
        <v>1.9</v>
      </c>
      <c r="BC254" s="320">
        <f>IF( tabItens[[#This Row],[PontoPed]]&gt;0, IF(tabItens[[#This Row],[PontoPed]]&lt;1, 1, IF( tabItens[[#This Row],[Saldo]]&gt;tabItens[[#This Row],[PontoPed]], 0, (tabItens[[#This Row],[PontoPed]]-tabItens[[#This Row],[Saldo]])/tabItens[[#This Row],[PontoPed]] ) ), 0 )</f>
        <v>0</v>
      </c>
      <c r="BD254" s="422">
        <f>ROUNDDOWN(IF( OR( AND(tabItens[[#This Row],[PontoPed]]&lt;tabItens[[#This Row],[Saldo]],tabItens[[#This Row],[Saldo]]&gt;0), tabItens[[#This Row],[PontoPed]]=0), 99, IF(AND(tabItens[[#This Row],[Saldo]]=0,tabItens[[#This Row],[PontoPed]]&gt;0), 0, (1-tabItens[[#This Row],[PctAb]])*10 ) ),0)</f>
        <v>99</v>
      </c>
      <c r="BE254" s="423">
        <f>MAX(ROUNDDOWN( IF(tabItens[[#This Row],[Abaixo]] &gt; 0,   tabItens[[#This Row],[Abaixo]] + (tabItens[[#This Row],[PontoMês]] * IF( OR( ISBLANK(tabItens[[#This Row],[ATA Nº/ANO]]), tabItens[[#This Row],[ATA Nº/ANO]] = ""),BE$2,BE$1)),0),0),0)</f>
        <v>0</v>
      </c>
      <c r="BF25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23">
        <f>SUMIF(Consumo!$C$3:$C$869,tabItens[[#This Row],[CÓDIGO]],Consumo!$E$3:$E$869)</f>
        <v>2</v>
      </c>
      <c r="BH254" s="324">
        <f>IF(AND(tabItens[[#This Row],[Pend]] &gt; 0,tabItens[[#This Row],[Consumo]] &lt;&gt; 0), tabItens[[#This Row],[Pend]] / tabItens[[#This Row],[Consumo]], 0 )</f>
        <v>9.5238095238095233E-2</v>
      </c>
      <c r="BI254" s="323"/>
      <c r="BJ254" s="424"/>
      <c r="BK254" s="425" t="s">
        <v>2064</v>
      </c>
    </row>
    <row r="255" spans="1:63" hidden="1" x14ac:dyDescent="0.3">
      <c r="A255" s="286">
        <v>11448</v>
      </c>
      <c r="B255" s="287" t="s">
        <v>930</v>
      </c>
      <c r="C255" s="288" t="s">
        <v>275</v>
      </c>
      <c r="D255" s="289">
        <v>1.8</v>
      </c>
      <c r="E255" s="290"/>
      <c r="F255" s="290"/>
      <c r="G255" s="290" t="s">
        <v>883</v>
      </c>
      <c r="H255" s="291">
        <v>682</v>
      </c>
      <c r="I255" s="292">
        <v>103003</v>
      </c>
      <c r="J255" s="293">
        <v>1.8</v>
      </c>
      <c r="K255" s="294">
        <v>452</v>
      </c>
      <c r="L255" s="295">
        <f>IF(tabItens[[#This Row],[Média]] &gt; 0, tabItens[[#This Row],[QTDE ATUAL]] / tabItens[[#This Row],[Média]],999.9)</f>
        <v>11.64153627311522</v>
      </c>
      <c r="M255" s="296">
        <v>0</v>
      </c>
      <c r="N255" s="297">
        <f>tabItens[[#This Row],[VALOR UNIT.]] * tabItens[[#This Row],[LC]]</f>
        <v>0</v>
      </c>
      <c r="O255" s="298" t="s">
        <v>2066</v>
      </c>
      <c r="P255" s="299"/>
      <c r="Q255" s="300"/>
      <c r="R255" s="297"/>
      <c r="S255" s="301"/>
      <c r="T255" s="302">
        <f>ROUNDDOWN(IFERROR(tabItens[[#This Row],[ATA DT.VALID.]] - $D$1,0) / 30,0)</f>
        <v>-1504</v>
      </c>
      <c r="U255" s="287" t="s">
        <v>931</v>
      </c>
      <c r="V255" s="303">
        <v>1</v>
      </c>
      <c r="W255" s="304" t="s">
        <v>2052</v>
      </c>
      <c r="X255" s="305">
        <v>45</v>
      </c>
      <c r="Y255" s="306">
        <v>9</v>
      </c>
      <c r="Z255" s="307"/>
      <c r="AA255" s="308"/>
      <c r="AB255" s="309"/>
      <c r="AC255" s="309"/>
      <c r="AD255" s="308"/>
      <c r="AE255" s="309"/>
      <c r="AF255" s="302"/>
      <c r="AG255" s="310" t="s">
        <v>2050</v>
      </c>
      <c r="AH255" s="311"/>
      <c r="AI255" s="302">
        <v>210</v>
      </c>
      <c r="AJ255" s="311">
        <v>45013</v>
      </c>
      <c r="AK255" s="311" t="s">
        <v>883</v>
      </c>
      <c r="AL255" s="311">
        <v>45107</v>
      </c>
      <c r="AM255" s="301"/>
      <c r="AN255" s="290"/>
      <c r="AO255" s="312" t="str">
        <f>_xlfn.IFNA(IF(VLOOKUP(tabItens[[#This Row],[CÓDIGO]],tabExcluirDoEstoque[#Data],1,FALSE),"sim",""),"")</f>
        <v/>
      </c>
      <c r="AP255" s="313" t="str">
        <f ca="1">IF(OR(ISBLANK(tabItens[[#This Row],[ATA DT.VALID.]]),tabItens[[#This Row],[ATA DT.VALID.]]="",tabItens[[#This Row],[ATA DT.VALID.]]=" "),"",IF(TYPE(tabItens[[#This Row],[ATA DT.VALID.]])=1,ROUNDUP((tabItens[[#This Row],[ATA DT.VALID.]]-TODAY())/7,0),""))</f>
        <v/>
      </c>
      <c r="AQ255" s="314">
        <v>0</v>
      </c>
      <c r="AR255" s="315" t="str">
        <f>IF(ISBLANK(tabItens[[#This Row],[CÓDIGO]]),"",IFERROR(VLOOKUP(tabItens[[#This Row],[CÓDIGO]],Consumo!$C$2:$AC$869,26,FALSE),0))</f>
        <v>07.2023</v>
      </c>
      <c r="AS255" s="316">
        <f>SUMIF(Consumo!$C$3:$C$869,tabItens[[#This Row],[CÓDIGO]],Consumo!$N$3:$N$869) + SUMIF(Consumo!$C$3:$C$869,tabItens[[#This Row],[CÓDIGO]],Consumo!$O$3:$O$869) + SUMIF(Consumo!$C$3:$C$869,tabItens[[#This Row],[CÓDIGO]],Consumo!$P$3:$P$869) + SUMIF(Consumo!$C$3:$C$869,tabItens[[#This Row],[CÓDIGO]],Consumo!$Q$3:$Q$869)</f>
        <v>320</v>
      </c>
      <c r="AT255" s="316">
        <f>SUMIF(Consumo!$C$3:$C$869,tabItens[[#This Row],[CÓDIGO]],Consumo!$Z$3:$Z$869)</f>
        <v>703</v>
      </c>
      <c r="AU255" s="317">
        <f>SUMIF(Consumo!$C$3:$C$869,tabItens[[#This Row],[CÓDIGO]],Consumo!$AA$3:$AA$869)</f>
        <v>94</v>
      </c>
      <c r="AV255" s="318">
        <f>SUMIF(Consumo!$C$3:$C$869,tabItens[[#This Row],[CÓDIGO]],Consumo!$Y$3:$Y$869)</f>
        <v>58.583333333333336</v>
      </c>
      <c r="AW255" s="291">
        <f>tabItens[[#This Row],[QTDE ATUAL]] + tabItens[[#This Row],[RC QTDE]] + tabItens[[#This Row],[AF SALDO]] + tabItens[[#This Row],[Recentes]]</f>
        <v>682</v>
      </c>
      <c r="AX255" s="319">
        <v>125</v>
      </c>
      <c r="AY255" s="319">
        <v>4</v>
      </c>
      <c r="AZ255" s="319">
        <f>IF(ISBLANK(tabItens[[#This Row],[CÓDIGO]]),"",tabItens[[#This Row],[PontoMês]] * (AZ$2+tabItens[[#This Row],[PontoQtM]]))</f>
        <v>500</v>
      </c>
      <c r="BA255" s="318">
        <f>tabItens[[#This Row],[PontoPed]] - tabItens[[#This Row],[Saldo]] + (1/10)</f>
        <v>-181.9</v>
      </c>
      <c r="BB255" s="318">
        <f xml:space="preserve"> tabItens[[#This Row],[PontoMês]] * BB$2 - tabItens[[#This Row],[QTDE ATUAL]] - (1/10)</f>
        <v>-557.1</v>
      </c>
      <c r="BC255" s="320">
        <f>IF( tabItens[[#This Row],[PontoPed]]&gt;0, IF(tabItens[[#This Row],[PontoPed]]&lt;1, 1, IF( tabItens[[#This Row],[Saldo]]&gt;tabItens[[#This Row],[PontoPed]], 0, (tabItens[[#This Row],[PontoPed]]-tabItens[[#This Row],[Saldo]])/tabItens[[#This Row],[PontoPed]] ) ), 0 )</f>
        <v>0</v>
      </c>
      <c r="BD255" s="321">
        <f>ROUNDDOWN(IF( OR( AND(tabItens[[#This Row],[PontoPed]]&lt;tabItens[[#This Row],[Saldo]],tabItens[[#This Row],[Saldo]]&gt;0), tabItens[[#This Row],[PontoPed]]=0), 99, IF(AND(tabItens[[#This Row],[Saldo]]=0,tabItens[[#This Row],[PontoPed]]&gt;0), 0, (1-tabItens[[#This Row],[PctAb]])*10 ) ),0)</f>
        <v>99</v>
      </c>
      <c r="BE255" s="322">
        <f>MAX(ROUNDDOWN( IF(tabItens[[#This Row],[Abaixo]] &gt; 0,   tabItens[[#This Row],[Abaixo]] + (tabItens[[#This Row],[PontoMês]] * IF( OR( ISBLANK(tabItens[[#This Row],[ATA Nº/ANO]]), tabItens[[#This Row],[ATA Nº/ANO]] = ""),BE$2,BE$1)),0),0),0)</f>
        <v>0</v>
      </c>
      <c r="BF25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23">
        <f>SUMIF(Consumo!$C$3:$C$869,tabItens[[#This Row],[CÓDIGO]],Consumo!$E$3:$E$869)</f>
        <v>76</v>
      </c>
      <c r="BH255" s="324">
        <f>IF(AND(tabItens[[#This Row],[Pend]] &gt; 0,tabItens[[#This Row],[Consumo]] &lt;&gt; 0), tabItens[[#This Row],[Pend]] / tabItens[[#This Row],[Consumo]], 0 )</f>
        <v>0.10810810810810811</v>
      </c>
      <c r="BI255" s="323"/>
      <c r="BJ255" s="323"/>
      <c r="BK255" s="325" t="s">
        <v>2064</v>
      </c>
    </row>
    <row r="256" spans="1:63" hidden="1" x14ac:dyDescent="0.3">
      <c r="A256" s="286">
        <v>17454</v>
      </c>
      <c r="B256" s="287" t="s">
        <v>1134</v>
      </c>
      <c r="C256" s="288" t="s">
        <v>569</v>
      </c>
      <c r="D256" s="289">
        <v>0.24</v>
      </c>
      <c r="E256" s="290"/>
      <c r="F256" s="290"/>
      <c r="G256" s="290" t="s">
        <v>883</v>
      </c>
      <c r="H256" s="291">
        <v>3420</v>
      </c>
      <c r="I256" s="292">
        <v>103003</v>
      </c>
      <c r="J256" s="293">
        <v>0.24</v>
      </c>
      <c r="K256" s="294">
        <v>4824</v>
      </c>
      <c r="L256" s="295">
        <f>IF(tabItens[[#This Row],[Média]] &gt; 0, tabItens[[#This Row],[QTDE ATUAL]] / tabItens[[#This Row],[Média]],999.9)</f>
        <v>5.5677655677655675</v>
      </c>
      <c r="M256" s="296">
        <v>0</v>
      </c>
      <c r="N256" s="297">
        <f>tabItens[[#This Row],[VALOR UNIT.]] * tabItens[[#This Row],[LC]]</f>
        <v>0</v>
      </c>
      <c r="O256" s="298" t="s">
        <v>2066</v>
      </c>
      <c r="P256" s="299"/>
      <c r="Q256" s="300"/>
      <c r="R256" s="297"/>
      <c r="S256" s="301"/>
      <c r="T256" s="302">
        <f>ROUNDDOWN(IFERROR(tabItens[[#This Row],[ATA DT.VALID.]] - $D$1,0) / 30,0)</f>
        <v>-1504</v>
      </c>
      <c r="U256" s="287" t="s">
        <v>1135</v>
      </c>
      <c r="V256" s="303">
        <v>1</v>
      </c>
      <c r="W256" s="304" t="s">
        <v>2052</v>
      </c>
      <c r="X256" s="305">
        <v>57</v>
      </c>
      <c r="Y256" s="306">
        <v>2</v>
      </c>
      <c r="Z256" s="307"/>
      <c r="AA256" s="308"/>
      <c r="AB256" s="309"/>
      <c r="AC256" s="309"/>
      <c r="AD256" s="308"/>
      <c r="AE256" s="309"/>
      <c r="AF256" s="302"/>
      <c r="AG256" s="310" t="s">
        <v>2050</v>
      </c>
      <c r="AH256" s="311"/>
      <c r="AI256" s="302">
        <v>2462</v>
      </c>
      <c r="AJ256" s="311">
        <v>44147</v>
      </c>
      <c r="AK256" s="311" t="s">
        <v>883</v>
      </c>
      <c r="AL256" s="311">
        <v>44126</v>
      </c>
      <c r="AM256" s="301"/>
      <c r="AN256" s="290"/>
      <c r="AO256" s="312" t="str">
        <f>_xlfn.IFNA(IF(VLOOKUP(tabItens[[#This Row],[CÓDIGO]],tabExcluirDoEstoque[#Data],1,FALSE),"sim",""),"")</f>
        <v/>
      </c>
      <c r="AP256" s="313" t="str">
        <f ca="1">IF(OR(ISBLANK(tabItens[[#This Row],[ATA DT.VALID.]]),tabItens[[#This Row],[ATA DT.VALID.]]="",tabItens[[#This Row],[ATA DT.VALID.]]=" "),"",IF(TYPE(tabItens[[#This Row],[ATA DT.VALID.]])=1,ROUNDUP((tabItens[[#This Row],[ATA DT.VALID.]]-TODAY())/7,0),""))</f>
        <v/>
      </c>
      <c r="AQ256" s="314">
        <v>0</v>
      </c>
      <c r="AR256" s="315" t="str">
        <f>IF(ISBLANK(tabItens[[#This Row],[CÓDIGO]]),"",IFERROR(VLOOKUP(tabItens[[#This Row],[CÓDIGO]],Consumo!$C$2:$AC$869,26,FALSE),0))</f>
        <v>07.2023</v>
      </c>
      <c r="AS256" s="316">
        <f>SUMIF(Consumo!$C$3:$C$869,tabItens[[#This Row],[CÓDIGO]],Consumo!$N$3:$N$869) + SUMIF(Consumo!$C$3:$C$869,tabItens[[#This Row],[CÓDIGO]],Consumo!$O$3:$O$869) + SUMIF(Consumo!$C$3:$C$869,tabItens[[#This Row],[CÓDIGO]],Consumo!$P$3:$P$869) + SUMIF(Consumo!$C$3:$C$869,tabItens[[#This Row],[CÓDIGO]],Consumo!$Q$3:$Q$869)</f>
        <v>3092</v>
      </c>
      <c r="AT256" s="316">
        <f>SUMIF(Consumo!$C$3:$C$869,tabItens[[#This Row],[CÓDIGO]],Consumo!$Z$3:$Z$869)</f>
        <v>7385</v>
      </c>
      <c r="AU256" s="317">
        <f>SUMIF(Consumo!$C$3:$C$869,tabItens[[#This Row],[CÓDIGO]],Consumo!$AA$3:$AA$869)</f>
        <v>1131</v>
      </c>
      <c r="AV256" s="318">
        <f>SUMIF(Consumo!$C$3:$C$869,tabItens[[#This Row],[CÓDIGO]],Consumo!$Y$3:$Y$869)</f>
        <v>614.25</v>
      </c>
      <c r="AW256" s="291">
        <f>tabItens[[#This Row],[QTDE ATUAL]] + tabItens[[#This Row],[RC QTDE]] + tabItens[[#This Row],[AF SALDO]] + tabItens[[#This Row],[Recentes]]</f>
        <v>3420</v>
      </c>
      <c r="AX256" s="319">
        <v>716</v>
      </c>
      <c r="AY256" s="319">
        <v>4</v>
      </c>
      <c r="AZ256" s="319">
        <f>IF(ISBLANK(tabItens[[#This Row],[CÓDIGO]]),"",tabItens[[#This Row],[PontoMês]] * (AZ$2+tabItens[[#This Row],[PontoQtM]]))</f>
        <v>2864</v>
      </c>
      <c r="BA256" s="318">
        <f>tabItens[[#This Row],[PontoPed]] - tabItens[[#This Row],[Saldo]] + (1/10)</f>
        <v>-555.9</v>
      </c>
      <c r="BB256" s="318">
        <f xml:space="preserve"> tabItens[[#This Row],[PontoMês]] * BB$2 - tabItens[[#This Row],[QTDE ATUAL]] - (1/10)</f>
        <v>-2704.1</v>
      </c>
      <c r="BC256" s="320">
        <f>IF( tabItens[[#This Row],[PontoPed]]&gt;0, IF(tabItens[[#This Row],[PontoPed]]&lt;1, 1, IF( tabItens[[#This Row],[Saldo]]&gt;tabItens[[#This Row],[PontoPed]], 0, (tabItens[[#This Row],[PontoPed]]-tabItens[[#This Row],[Saldo]])/tabItens[[#This Row],[PontoPed]] ) ), 0 )</f>
        <v>0</v>
      </c>
      <c r="BD256" s="321">
        <f>ROUNDDOWN(IF( OR( AND(tabItens[[#This Row],[PontoPed]]&lt;tabItens[[#This Row],[Saldo]],tabItens[[#This Row],[Saldo]]&gt;0), tabItens[[#This Row],[PontoPed]]=0), 99, IF(AND(tabItens[[#This Row],[Saldo]]=0,tabItens[[#This Row],[PontoPed]]&gt;0), 0, (1-tabItens[[#This Row],[PctAb]])*10 ) ),0)</f>
        <v>99</v>
      </c>
      <c r="BE256" s="322">
        <f>MAX(ROUNDDOWN( IF(tabItens[[#This Row],[Abaixo]] &gt; 0,   tabItens[[#This Row],[Abaixo]] + (tabItens[[#This Row],[PontoMês]] * IF( OR( ISBLANK(tabItens[[#This Row],[ATA Nº/ANO]]), tabItens[[#This Row],[ATA Nº/ANO]] = ""),BE$2,BE$1)),0),0),0)</f>
        <v>0</v>
      </c>
      <c r="BF25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23">
        <f>SUMIF(Consumo!$C$3:$C$869,tabItens[[#This Row],[CÓDIGO]],Consumo!$E$3:$E$869)</f>
        <v>0</v>
      </c>
      <c r="BH256" s="324">
        <f>IF(AND(tabItens[[#This Row],[Pend]] &gt; 0,tabItens[[#This Row],[Consumo]] &lt;&gt; 0), tabItens[[#This Row],[Pend]] / tabItens[[#This Row],[Consumo]], 0 )</f>
        <v>0</v>
      </c>
      <c r="BI256" s="323"/>
      <c r="BJ256" s="323"/>
      <c r="BK256" s="325" t="s">
        <v>2064</v>
      </c>
    </row>
    <row r="257" spans="1:63" hidden="1" x14ac:dyDescent="0.3">
      <c r="A257" s="286">
        <v>24476</v>
      </c>
      <c r="B257" s="287" t="s">
        <v>1198</v>
      </c>
      <c r="C257" s="288" t="s">
        <v>281</v>
      </c>
      <c r="D257" s="289">
        <v>1.71</v>
      </c>
      <c r="E257" s="290"/>
      <c r="F257" s="290"/>
      <c r="G257" s="290" t="s">
        <v>883</v>
      </c>
      <c r="H257" s="291">
        <v>1416</v>
      </c>
      <c r="I257" s="292">
        <v>103003</v>
      </c>
      <c r="J257" s="293">
        <v>1.71</v>
      </c>
      <c r="K257" s="294">
        <v>5242</v>
      </c>
      <c r="L257" s="295">
        <f>IF(tabItens[[#This Row],[Média]] &gt; 0, tabItens[[#This Row],[QTDE ATUAL]] / tabItens[[#This Row],[Média]],999.9)</f>
        <v>2.1024498886414253</v>
      </c>
      <c r="M257" s="296">
        <v>0</v>
      </c>
      <c r="N257" s="297">
        <f>tabItens[[#This Row],[VALOR UNIT.]] * tabItens[[#This Row],[LC]]</f>
        <v>0</v>
      </c>
      <c r="O257" s="298" t="s">
        <v>2066</v>
      </c>
      <c r="P257" s="299"/>
      <c r="Q257" s="300"/>
      <c r="R257" s="297"/>
      <c r="S257" s="301"/>
      <c r="T257" s="302">
        <f>ROUNDDOWN(IFERROR(tabItens[[#This Row],[ATA DT.VALID.]] - $D$1,0) / 30,0)</f>
        <v>-1504</v>
      </c>
      <c r="U257" s="287" t="s">
        <v>1135</v>
      </c>
      <c r="V257" s="303">
        <v>1</v>
      </c>
      <c r="W257" s="304" t="s">
        <v>2052</v>
      </c>
      <c r="X257" s="305">
        <v>57</v>
      </c>
      <c r="Y257" s="306">
        <v>2</v>
      </c>
      <c r="Z257" s="307">
        <v>6216</v>
      </c>
      <c r="AA257" s="308">
        <v>2023</v>
      </c>
      <c r="AB257" s="309">
        <v>2000</v>
      </c>
      <c r="AC257" s="309"/>
      <c r="AD257" s="308"/>
      <c r="AE257" s="309"/>
      <c r="AF257" s="302"/>
      <c r="AG257" s="310" t="s">
        <v>2050</v>
      </c>
      <c r="AH257" s="311"/>
      <c r="AI257" s="302">
        <v>2682</v>
      </c>
      <c r="AJ257" s="311">
        <v>44974</v>
      </c>
      <c r="AK257" s="311" t="s">
        <v>883</v>
      </c>
      <c r="AL257" s="311">
        <v>45083</v>
      </c>
      <c r="AM257" s="301"/>
      <c r="AN257" s="290"/>
      <c r="AO257" s="312" t="str">
        <f>_xlfn.IFNA(IF(VLOOKUP(tabItens[[#This Row],[CÓDIGO]],tabExcluirDoEstoque[#Data],1,FALSE),"sim",""),"")</f>
        <v/>
      </c>
      <c r="AP257" s="313" t="str">
        <f ca="1">IF(OR(ISBLANK(tabItens[[#This Row],[ATA DT.VALID.]]),tabItens[[#This Row],[ATA DT.VALID.]]="",tabItens[[#This Row],[ATA DT.VALID.]]=" "),"",IF(TYPE(tabItens[[#This Row],[ATA DT.VALID.]])=1,ROUNDUP((tabItens[[#This Row],[ATA DT.VALID.]]-TODAY())/7,0),""))</f>
        <v/>
      </c>
      <c r="AQ257" s="314">
        <v>0</v>
      </c>
      <c r="AR257" s="315" t="str">
        <f>IF(ISBLANK(tabItens[[#This Row],[CÓDIGO]]),"",IFERROR(VLOOKUP(tabItens[[#This Row],[CÓDIGO]],Consumo!$C$2:$AC$869,26,FALSE),0))</f>
        <v>07.2023</v>
      </c>
      <c r="AS257" s="316">
        <f>SUMIF(Consumo!$C$3:$C$869,tabItens[[#This Row],[CÓDIGO]],Consumo!$N$3:$N$869) + SUMIF(Consumo!$C$3:$C$869,tabItens[[#This Row],[CÓDIGO]],Consumo!$O$3:$O$869) + SUMIF(Consumo!$C$3:$C$869,tabItens[[#This Row],[CÓDIGO]],Consumo!$P$3:$P$869) + SUMIF(Consumo!$C$3:$C$869,tabItens[[#This Row],[CÓDIGO]],Consumo!$Q$3:$Q$869)</f>
        <v>3434</v>
      </c>
      <c r="AT257" s="316">
        <f>SUMIF(Consumo!$C$3:$C$869,tabItens[[#This Row],[CÓDIGO]],Consumo!$Z$3:$Z$869)</f>
        <v>8082</v>
      </c>
      <c r="AU257" s="317">
        <f>SUMIF(Consumo!$C$3:$C$869,tabItens[[#This Row],[CÓDIGO]],Consumo!$AA$3:$AA$869)</f>
        <v>1100</v>
      </c>
      <c r="AV257" s="318">
        <f>SUMIF(Consumo!$C$3:$C$869,tabItens[[#This Row],[CÓDIGO]],Consumo!$Y$3:$Y$869)</f>
        <v>673.5</v>
      </c>
      <c r="AW257" s="291">
        <f>tabItens[[#This Row],[QTDE ATUAL]] + tabItens[[#This Row],[RC QTDE]] + tabItens[[#This Row],[AF SALDO]] + tabItens[[#This Row],[Recentes]]</f>
        <v>3416</v>
      </c>
      <c r="AX257" s="319">
        <v>834</v>
      </c>
      <c r="AY257" s="319">
        <v>4</v>
      </c>
      <c r="AZ257" s="319">
        <f>IF(ISBLANK(tabItens[[#This Row],[CÓDIGO]]),"",tabItens[[#This Row],[PontoMês]] * (AZ$2+tabItens[[#This Row],[PontoQtM]]))</f>
        <v>3336</v>
      </c>
      <c r="BA257" s="318">
        <f>tabItens[[#This Row],[PontoPed]] - tabItens[[#This Row],[Saldo]] + (1/10)</f>
        <v>-79.900000000000006</v>
      </c>
      <c r="BB257" s="318">
        <f xml:space="preserve"> tabItens[[#This Row],[PontoMês]] * BB$2 - tabItens[[#This Row],[QTDE ATUAL]] - (1/10)</f>
        <v>-582.1</v>
      </c>
      <c r="BC257" s="320">
        <f>IF( tabItens[[#This Row],[PontoPed]]&gt;0, IF(tabItens[[#This Row],[PontoPed]]&lt;1, 1, IF( tabItens[[#This Row],[Saldo]]&gt;tabItens[[#This Row],[PontoPed]], 0, (tabItens[[#This Row],[PontoPed]]-tabItens[[#This Row],[Saldo]])/tabItens[[#This Row],[PontoPed]] ) ), 0 )</f>
        <v>0</v>
      </c>
      <c r="BD257" s="321">
        <f>ROUNDDOWN(IF( OR( AND(tabItens[[#This Row],[PontoPed]]&lt;tabItens[[#This Row],[Saldo]],tabItens[[#This Row],[Saldo]]&gt;0), tabItens[[#This Row],[PontoPed]]=0), 99, IF(AND(tabItens[[#This Row],[Saldo]]=0,tabItens[[#This Row],[PontoPed]]&gt;0), 0, (1-tabItens[[#This Row],[PctAb]])*10 ) ),0)</f>
        <v>99</v>
      </c>
      <c r="BE257" s="322">
        <f>MAX(ROUNDDOWN( IF(tabItens[[#This Row],[Abaixo]] &gt; 0,   tabItens[[#This Row],[Abaixo]] + (tabItens[[#This Row],[PontoMês]] * IF( OR( ISBLANK(tabItens[[#This Row],[ATA Nº/ANO]]), tabItens[[#This Row],[ATA Nº/ANO]] = ""),BE$2,BE$1)),0),0),0)</f>
        <v>0</v>
      </c>
      <c r="BF25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23">
        <f>SUMIF(Consumo!$C$3:$C$869,tabItens[[#This Row],[CÓDIGO]],Consumo!$E$3:$E$869)</f>
        <v>35</v>
      </c>
      <c r="BH257" s="324">
        <f>IF(AND(tabItens[[#This Row],[Pend]] &gt; 0,tabItens[[#This Row],[Consumo]] &lt;&gt; 0), tabItens[[#This Row],[Pend]] / tabItens[[#This Row],[Consumo]], 0 )</f>
        <v>4.3306112348428603E-3</v>
      </c>
      <c r="BI257" s="323"/>
      <c r="BJ257" s="323"/>
      <c r="BK257" s="325" t="s">
        <v>2064</v>
      </c>
    </row>
    <row r="258" spans="1:63" hidden="1" x14ac:dyDescent="0.3">
      <c r="A258" s="286">
        <v>25559</v>
      </c>
      <c r="B258" s="287" t="s">
        <v>1205</v>
      </c>
      <c r="C258" s="288" t="s">
        <v>569</v>
      </c>
      <c r="D258" s="289">
        <v>1.6</v>
      </c>
      <c r="E258" s="290"/>
      <c r="F258" s="290"/>
      <c r="G258" s="290" t="s">
        <v>883</v>
      </c>
      <c r="H258" s="291">
        <v>5288</v>
      </c>
      <c r="I258" s="292">
        <v>103003</v>
      </c>
      <c r="J258" s="293">
        <v>1.6</v>
      </c>
      <c r="K258" s="294">
        <v>4278</v>
      </c>
      <c r="L258" s="295">
        <f>IF(tabItens[[#This Row],[Média]] &gt; 0, tabItens[[#This Row],[QTDE ATUAL]] / tabItens[[#This Row],[Média]],999.9)</f>
        <v>9.244755244755245</v>
      </c>
      <c r="M258" s="296">
        <v>0</v>
      </c>
      <c r="N258" s="297">
        <f>tabItens[[#This Row],[VALOR UNIT.]] * tabItens[[#This Row],[LC]]</f>
        <v>0</v>
      </c>
      <c r="O258" s="298" t="s">
        <v>2066</v>
      </c>
      <c r="P258" s="299"/>
      <c r="Q258" s="300"/>
      <c r="R258" s="297"/>
      <c r="S258" s="301"/>
      <c r="T258" s="302">
        <f>ROUNDDOWN(IFERROR(tabItens[[#This Row],[ATA DT.VALID.]] - $D$1,0) / 30,0)</f>
        <v>-1504</v>
      </c>
      <c r="U258" s="287" t="s">
        <v>1135</v>
      </c>
      <c r="V258" s="303">
        <v>1</v>
      </c>
      <c r="W258" s="304" t="s">
        <v>2052</v>
      </c>
      <c r="X258" s="305">
        <v>57</v>
      </c>
      <c r="Y258" s="306">
        <v>2</v>
      </c>
      <c r="Z258" s="307"/>
      <c r="AA258" s="308"/>
      <c r="AB258" s="309"/>
      <c r="AC258" s="309"/>
      <c r="AD258" s="308"/>
      <c r="AE258" s="309"/>
      <c r="AF258" s="302"/>
      <c r="AG258" s="310" t="s">
        <v>2050</v>
      </c>
      <c r="AH258" s="311"/>
      <c r="AI258" s="302">
        <v>2544</v>
      </c>
      <c r="AJ258" s="311">
        <v>44203</v>
      </c>
      <c r="AK258" s="311" t="s">
        <v>883</v>
      </c>
      <c r="AL258" s="311">
        <v>45083</v>
      </c>
      <c r="AM258" s="301"/>
      <c r="AN258" s="290"/>
      <c r="AO258" s="312" t="str">
        <f>_xlfn.IFNA(IF(VLOOKUP(tabItens[[#This Row],[CÓDIGO]],tabExcluirDoEstoque[#Data],1,FALSE),"sim",""),"")</f>
        <v/>
      </c>
      <c r="AP258" s="313" t="str">
        <f ca="1">IF(OR(ISBLANK(tabItens[[#This Row],[ATA DT.VALID.]]),tabItens[[#This Row],[ATA DT.VALID.]]="",tabItens[[#This Row],[ATA DT.VALID.]]=" "),"",IF(TYPE(tabItens[[#This Row],[ATA DT.VALID.]])=1,ROUNDUP((tabItens[[#This Row],[ATA DT.VALID.]]-TODAY())/7,0),""))</f>
        <v/>
      </c>
      <c r="AQ258" s="314">
        <v>0</v>
      </c>
      <c r="AR258" s="315" t="str">
        <f>IF(ISBLANK(tabItens[[#This Row],[CÓDIGO]]),"",IFERROR(VLOOKUP(tabItens[[#This Row],[CÓDIGO]],Consumo!$C$2:$AC$869,26,FALSE),0))</f>
        <v>07.2023</v>
      </c>
      <c r="AS258" s="316">
        <f>SUMIF(Consumo!$C$3:$C$869,tabItens[[#This Row],[CÓDIGO]],Consumo!$N$3:$N$869) + SUMIF(Consumo!$C$3:$C$869,tabItens[[#This Row],[CÓDIGO]],Consumo!$O$3:$O$869) + SUMIF(Consumo!$C$3:$C$869,tabItens[[#This Row],[CÓDIGO]],Consumo!$P$3:$P$869) + SUMIF(Consumo!$C$3:$C$869,tabItens[[#This Row],[CÓDIGO]],Consumo!$Q$3:$Q$869)</f>
        <v>2501</v>
      </c>
      <c r="AT258" s="316">
        <f>SUMIF(Consumo!$C$3:$C$869,tabItens[[#This Row],[CÓDIGO]],Consumo!$Z$3:$Z$869)</f>
        <v>6878</v>
      </c>
      <c r="AU258" s="317">
        <f>SUMIF(Consumo!$C$3:$C$869,tabItens[[#This Row],[CÓDIGO]],Consumo!$AA$3:$AA$869)</f>
        <v>965</v>
      </c>
      <c r="AV258" s="318">
        <f>SUMIF(Consumo!$C$3:$C$869,tabItens[[#This Row],[CÓDIGO]],Consumo!$Y$3:$Y$869)</f>
        <v>572</v>
      </c>
      <c r="AW258" s="291">
        <f>tabItens[[#This Row],[QTDE ATUAL]] + tabItens[[#This Row],[RC QTDE]] + tabItens[[#This Row],[AF SALDO]] + tabItens[[#This Row],[Recentes]]</f>
        <v>5288</v>
      </c>
      <c r="AX258" s="319">
        <v>834</v>
      </c>
      <c r="AY258" s="319">
        <v>4</v>
      </c>
      <c r="AZ258" s="319">
        <f>IF(ISBLANK(tabItens[[#This Row],[CÓDIGO]]),"",tabItens[[#This Row],[PontoMês]] * (AZ$2+tabItens[[#This Row],[PontoQtM]]))</f>
        <v>3336</v>
      </c>
      <c r="BA258" s="318">
        <f>tabItens[[#This Row],[PontoPed]] - tabItens[[#This Row],[Saldo]] + (1/10)</f>
        <v>-1951.9</v>
      </c>
      <c r="BB258" s="318">
        <f xml:space="preserve"> tabItens[[#This Row],[PontoMês]] * BB$2 - tabItens[[#This Row],[QTDE ATUAL]] - (1/10)</f>
        <v>-4454.1000000000004</v>
      </c>
      <c r="BC258" s="320">
        <f>IF( tabItens[[#This Row],[PontoPed]]&gt;0, IF(tabItens[[#This Row],[PontoPed]]&lt;1, 1, IF( tabItens[[#This Row],[Saldo]]&gt;tabItens[[#This Row],[PontoPed]], 0, (tabItens[[#This Row],[PontoPed]]-tabItens[[#This Row],[Saldo]])/tabItens[[#This Row],[PontoPed]] ) ), 0 )</f>
        <v>0</v>
      </c>
      <c r="BD258" s="321">
        <f>ROUNDDOWN(IF( OR( AND(tabItens[[#This Row],[PontoPed]]&lt;tabItens[[#This Row],[Saldo]],tabItens[[#This Row],[Saldo]]&gt;0), tabItens[[#This Row],[PontoPed]]=0), 99, IF(AND(tabItens[[#This Row],[Saldo]]=0,tabItens[[#This Row],[PontoPed]]&gt;0), 0, (1-tabItens[[#This Row],[PctAb]])*10 ) ),0)</f>
        <v>99</v>
      </c>
      <c r="BE258" s="322">
        <f>MAX(ROUNDDOWN( IF(tabItens[[#This Row],[Abaixo]] &gt; 0,   tabItens[[#This Row],[Abaixo]] + (tabItens[[#This Row],[PontoMês]] * IF( OR( ISBLANK(tabItens[[#This Row],[ATA Nº/ANO]]), tabItens[[#This Row],[ATA Nº/ANO]] = ""),BE$2,BE$1)),0),0),0)</f>
        <v>0</v>
      </c>
      <c r="BF25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23">
        <f>SUMIF(Consumo!$C$3:$C$869,tabItens[[#This Row],[CÓDIGO]],Consumo!$E$3:$E$869)</f>
        <v>0</v>
      </c>
      <c r="BH258" s="324">
        <f>IF(AND(tabItens[[#This Row],[Pend]] &gt; 0,tabItens[[#This Row],[Consumo]] &lt;&gt; 0), tabItens[[#This Row],[Pend]] / tabItens[[#This Row],[Consumo]], 0 )</f>
        <v>0</v>
      </c>
      <c r="BI258" s="323"/>
      <c r="BJ258" s="323"/>
      <c r="BK258" s="325" t="s">
        <v>2064</v>
      </c>
    </row>
    <row r="259" spans="1:63" hidden="1" x14ac:dyDescent="0.3">
      <c r="A259" s="286">
        <v>27137</v>
      </c>
      <c r="B259" s="287" t="s">
        <v>1219</v>
      </c>
      <c r="C259" s="288" t="s">
        <v>569</v>
      </c>
      <c r="D259" s="289">
        <v>1.49</v>
      </c>
      <c r="E259" s="290"/>
      <c r="F259" s="290"/>
      <c r="G259" s="290" t="s">
        <v>883</v>
      </c>
      <c r="H259" s="291">
        <v>10030</v>
      </c>
      <c r="I259" s="292">
        <v>103003</v>
      </c>
      <c r="J259" s="293">
        <v>1.49</v>
      </c>
      <c r="K259" s="294">
        <v>3658</v>
      </c>
      <c r="L259" s="295">
        <f>IF(tabItens[[#This Row],[Média]] &gt; 0, tabItens[[#This Row],[QTDE ATUAL]] / tabItens[[#This Row],[Média]],999.9)</f>
        <v>21.064053202660133</v>
      </c>
      <c r="M259" s="296">
        <v>0</v>
      </c>
      <c r="N259" s="297">
        <f>tabItens[[#This Row],[VALOR UNIT.]] * tabItens[[#This Row],[LC]]</f>
        <v>0</v>
      </c>
      <c r="O259" s="298" t="s">
        <v>2066</v>
      </c>
      <c r="P259" s="299"/>
      <c r="Q259" s="300"/>
      <c r="R259" s="297"/>
      <c r="S259" s="301"/>
      <c r="T259" s="302">
        <f>ROUNDDOWN(IFERROR(tabItens[[#This Row],[ATA DT.VALID.]] - $D$1,0) / 30,0)</f>
        <v>-1504</v>
      </c>
      <c r="U259" s="287" t="s">
        <v>1135</v>
      </c>
      <c r="V259" s="303">
        <v>1</v>
      </c>
      <c r="W259" s="304" t="s">
        <v>2052</v>
      </c>
      <c r="X259" s="305">
        <v>57</v>
      </c>
      <c r="Y259" s="306">
        <v>2</v>
      </c>
      <c r="Z259" s="307"/>
      <c r="AA259" s="308"/>
      <c r="AB259" s="309"/>
      <c r="AC259" s="309"/>
      <c r="AD259" s="308"/>
      <c r="AE259" s="309"/>
      <c r="AF259" s="302"/>
      <c r="AG259" s="310" t="s">
        <v>2050</v>
      </c>
      <c r="AH259" s="311"/>
      <c r="AI259" s="302">
        <v>1922</v>
      </c>
      <c r="AJ259" s="311">
        <v>44133</v>
      </c>
      <c r="AK259" s="311" t="s">
        <v>883</v>
      </c>
      <c r="AL259" s="311">
        <v>44951</v>
      </c>
      <c r="AM259" s="301"/>
      <c r="AN259" s="290"/>
      <c r="AO259" s="312" t="str">
        <f>_xlfn.IFNA(IF(VLOOKUP(tabItens[[#This Row],[CÓDIGO]],tabExcluirDoEstoque[#Data],1,FALSE),"sim",""),"")</f>
        <v/>
      </c>
      <c r="AP259" s="313" t="str">
        <f ca="1">IF(OR(ISBLANK(tabItens[[#This Row],[ATA DT.VALID.]]),tabItens[[#This Row],[ATA DT.VALID.]]="",tabItens[[#This Row],[ATA DT.VALID.]]=" "),"",IF(TYPE(tabItens[[#This Row],[ATA DT.VALID.]])=1,ROUNDUP((tabItens[[#This Row],[ATA DT.VALID.]]-TODAY())/7,0),""))</f>
        <v/>
      </c>
      <c r="AQ259" s="314">
        <v>0</v>
      </c>
      <c r="AR259" s="315" t="str">
        <f>IF(ISBLANK(tabItens[[#This Row],[CÓDIGO]]),"",IFERROR(VLOOKUP(tabItens[[#This Row],[CÓDIGO]],Consumo!$C$2:$AC$869,26,FALSE),0))</f>
        <v>07.2023</v>
      </c>
      <c r="AS259" s="316">
        <f>SUMIF(Consumo!$C$3:$C$869,tabItens[[#This Row],[CÓDIGO]],Consumo!$N$3:$N$869) + SUMIF(Consumo!$C$3:$C$869,tabItens[[#This Row],[CÓDIGO]],Consumo!$O$3:$O$869) + SUMIF(Consumo!$C$3:$C$869,tabItens[[#This Row],[CÓDIGO]],Consumo!$P$3:$P$869) + SUMIF(Consumo!$C$3:$C$869,tabItens[[#This Row],[CÓDIGO]],Consumo!$Q$3:$Q$869)</f>
        <v>2175</v>
      </c>
      <c r="AT259" s="316">
        <f>SUMIF(Consumo!$C$3:$C$869,tabItens[[#This Row],[CÓDIGO]],Consumo!$Z$3:$Z$869)</f>
        <v>5766</v>
      </c>
      <c r="AU259" s="317">
        <f>SUMIF(Consumo!$C$3:$C$869,tabItens[[#This Row],[CÓDIGO]],Consumo!$AA$3:$AA$869)</f>
        <v>875</v>
      </c>
      <c r="AV259" s="318">
        <f>SUMIF(Consumo!$C$3:$C$869,tabItens[[#This Row],[CÓDIGO]],Consumo!$Y$3:$Y$869)</f>
        <v>476.16666666666669</v>
      </c>
      <c r="AW259" s="291">
        <f>tabItens[[#This Row],[QTDE ATUAL]] + tabItens[[#This Row],[RC QTDE]] + tabItens[[#This Row],[AF SALDO]] + tabItens[[#This Row],[Recentes]]</f>
        <v>10030</v>
      </c>
      <c r="AX259" s="319">
        <v>834</v>
      </c>
      <c r="AY259" s="319">
        <v>4</v>
      </c>
      <c r="AZ259" s="319">
        <f>IF(ISBLANK(tabItens[[#This Row],[CÓDIGO]]),"",tabItens[[#This Row],[PontoMês]] * (AZ$2+tabItens[[#This Row],[PontoQtM]]))</f>
        <v>3336</v>
      </c>
      <c r="BA259" s="318">
        <f>tabItens[[#This Row],[PontoPed]] - tabItens[[#This Row],[Saldo]] + (1/10)</f>
        <v>-6693.9</v>
      </c>
      <c r="BB259" s="318">
        <f xml:space="preserve"> tabItens[[#This Row],[PontoMês]] * BB$2 - tabItens[[#This Row],[QTDE ATUAL]] - (1/10)</f>
        <v>-9196.1</v>
      </c>
      <c r="BC259" s="320">
        <f>IF( tabItens[[#This Row],[PontoPed]]&gt;0, IF(tabItens[[#This Row],[PontoPed]]&lt;1, 1, IF( tabItens[[#This Row],[Saldo]]&gt;tabItens[[#This Row],[PontoPed]], 0, (tabItens[[#This Row],[PontoPed]]-tabItens[[#This Row],[Saldo]])/tabItens[[#This Row],[PontoPed]] ) ), 0 )</f>
        <v>0</v>
      </c>
      <c r="BD259" s="321">
        <f>ROUNDDOWN(IF( OR( AND(tabItens[[#This Row],[PontoPed]]&lt;tabItens[[#This Row],[Saldo]],tabItens[[#This Row],[Saldo]]&gt;0), tabItens[[#This Row],[PontoPed]]=0), 99, IF(AND(tabItens[[#This Row],[Saldo]]=0,tabItens[[#This Row],[PontoPed]]&gt;0), 0, (1-tabItens[[#This Row],[PctAb]])*10 ) ),0)</f>
        <v>99</v>
      </c>
      <c r="BE259" s="322">
        <f>MAX(ROUNDDOWN( IF(tabItens[[#This Row],[Abaixo]] &gt; 0,   tabItens[[#This Row],[Abaixo]] + (tabItens[[#This Row],[PontoMês]] * IF( OR( ISBLANK(tabItens[[#This Row],[ATA Nº/ANO]]), tabItens[[#This Row],[ATA Nº/ANO]] = ""),BE$2,BE$1)),0),0),0)</f>
        <v>0</v>
      </c>
      <c r="BF25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23">
        <f>SUMIF(Consumo!$C$3:$C$869,tabItens[[#This Row],[CÓDIGO]],Consumo!$E$3:$E$869)</f>
        <v>0</v>
      </c>
      <c r="BH259" s="324">
        <f>IF(AND(tabItens[[#This Row],[Pend]] &gt; 0,tabItens[[#This Row],[Consumo]] &lt;&gt; 0), tabItens[[#This Row],[Pend]] / tabItens[[#This Row],[Consumo]], 0 )</f>
        <v>0</v>
      </c>
      <c r="BI259" s="323"/>
      <c r="BJ259" s="323"/>
      <c r="BK259" s="325" t="s">
        <v>2064</v>
      </c>
    </row>
    <row r="260" spans="1:63" hidden="1" x14ac:dyDescent="0.3">
      <c r="A260" s="286">
        <v>27138</v>
      </c>
      <c r="B260" s="287" t="s">
        <v>1220</v>
      </c>
      <c r="C260" s="288" t="s">
        <v>569</v>
      </c>
      <c r="D260" s="289">
        <v>0.48</v>
      </c>
      <c r="E260" s="290"/>
      <c r="F260" s="290"/>
      <c r="G260" s="290" t="s">
        <v>883</v>
      </c>
      <c r="H260" s="291">
        <v>8964</v>
      </c>
      <c r="I260" s="292">
        <v>103003</v>
      </c>
      <c r="J260" s="293">
        <v>0.48</v>
      </c>
      <c r="K260" s="294">
        <v>3631</v>
      </c>
      <c r="L260" s="295">
        <f>IF(tabItens[[#This Row],[Média]] &gt; 0, tabItens[[#This Row],[QTDE ATUAL]] / tabItens[[#This Row],[Média]],999.9)</f>
        <v>18.485650455404709</v>
      </c>
      <c r="M260" s="296">
        <v>0</v>
      </c>
      <c r="N260" s="297">
        <f>tabItens[[#This Row],[VALOR UNIT.]] * tabItens[[#This Row],[LC]]</f>
        <v>0</v>
      </c>
      <c r="O260" s="298" t="s">
        <v>2066</v>
      </c>
      <c r="P260" s="299"/>
      <c r="Q260" s="300"/>
      <c r="R260" s="297"/>
      <c r="S260" s="301"/>
      <c r="T260" s="302">
        <f>ROUNDDOWN(IFERROR(tabItens[[#This Row],[ATA DT.VALID.]] - $D$1,0) / 30,0)</f>
        <v>-1504</v>
      </c>
      <c r="U260" s="287" t="s">
        <v>1135</v>
      </c>
      <c r="V260" s="303">
        <v>1</v>
      </c>
      <c r="W260" s="304" t="s">
        <v>2052</v>
      </c>
      <c r="X260" s="305">
        <v>57</v>
      </c>
      <c r="Y260" s="306">
        <v>2</v>
      </c>
      <c r="Z260" s="307"/>
      <c r="AA260" s="308"/>
      <c r="AB260" s="309"/>
      <c r="AC260" s="309"/>
      <c r="AD260" s="308"/>
      <c r="AE260" s="309"/>
      <c r="AF260" s="302"/>
      <c r="AG260" s="310" t="s">
        <v>2050</v>
      </c>
      <c r="AH260" s="311"/>
      <c r="AI260" s="302">
        <v>1950</v>
      </c>
      <c r="AJ260" s="311">
        <v>44133</v>
      </c>
      <c r="AK260" s="311" t="s">
        <v>883</v>
      </c>
      <c r="AL260" s="311">
        <v>44126</v>
      </c>
      <c r="AM260" s="301"/>
      <c r="AN260" s="290"/>
      <c r="AO260" s="312" t="str">
        <f>_xlfn.IFNA(IF(VLOOKUP(tabItens[[#This Row],[CÓDIGO]],tabExcluirDoEstoque[#Data],1,FALSE),"sim",""),"")</f>
        <v/>
      </c>
      <c r="AP260" s="313" t="str">
        <f ca="1">IF(OR(ISBLANK(tabItens[[#This Row],[ATA DT.VALID.]]),tabItens[[#This Row],[ATA DT.VALID.]]="",tabItens[[#This Row],[ATA DT.VALID.]]=" "),"",IF(TYPE(tabItens[[#This Row],[ATA DT.VALID.]])=1,ROUNDUP((tabItens[[#This Row],[ATA DT.VALID.]]-TODAY())/7,0),""))</f>
        <v/>
      </c>
      <c r="AQ260" s="314">
        <v>0</v>
      </c>
      <c r="AR260" s="315" t="str">
        <f>IF(ISBLANK(tabItens[[#This Row],[CÓDIGO]]),"",IFERROR(VLOOKUP(tabItens[[#This Row],[CÓDIGO]],Consumo!$C$2:$AC$869,26,FALSE),0))</f>
        <v>07.2023</v>
      </c>
      <c r="AS260" s="316">
        <f>SUMIF(Consumo!$C$3:$C$869,tabItens[[#This Row],[CÓDIGO]],Consumo!$N$3:$N$869) + SUMIF(Consumo!$C$3:$C$869,tabItens[[#This Row],[CÓDIGO]],Consumo!$O$3:$O$869) + SUMIF(Consumo!$C$3:$C$869,tabItens[[#This Row],[CÓDIGO]],Consumo!$P$3:$P$869) + SUMIF(Consumo!$C$3:$C$869,tabItens[[#This Row],[CÓDIGO]],Consumo!$Q$3:$Q$869)</f>
        <v>2263</v>
      </c>
      <c r="AT260" s="316">
        <f>SUMIF(Consumo!$C$3:$C$869,tabItens[[#This Row],[CÓDIGO]],Consumo!$Z$3:$Z$869)</f>
        <v>5848</v>
      </c>
      <c r="AU260" s="317">
        <f>SUMIF(Consumo!$C$3:$C$869,tabItens[[#This Row],[CÓDIGO]],Consumo!$AA$3:$AA$869)</f>
        <v>845</v>
      </c>
      <c r="AV260" s="318">
        <f>SUMIF(Consumo!$C$3:$C$869,tabItens[[#This Row],[CÓDIGO]],Consumo!$Y$3:$Y$869)</f>
        <v>484.91666666666669</v>
      </c>
      <c r="AW260" s="291">
        <f>tabItens[[#This Row],[QTDE ATUAL]] + tabItens[[#This Row],[RC QTDE]] + tabItens[[#This Row],[AF SALDO]] + tabItens[[#This Row],[Recentes]]</f>
        <v>8964</v>
      </c>
      <c r="AX260" s="319">
        <v>834</v>
      </c>
      <c r="AY260" s="319">
        <v>4</v>
      </c>
      <c r="AZ260" s="319">
        <f>IF(ISBLANK(tabItens[[#This Row],[CÓDIGO]]),"",tabItens[[#This Row],[PontoMês]] * (AZ$2+tabItens[[#This Row],[PontoQtM]]))</f>
        <v>3336</v>
      </c>
      <c r="BA260" s="318">
        <f>tabItens[[#This Row],[PontoPed]] - tabItens[[#This Row],[Saldo]] + (1/10)</f>
        <v>-5627.9</v>
      </c>
      <c r="BB260" s="318">
        <f xml:space="preserve"> tabItens[[#This Row],[PontoMês]] * BB$2 - tabItens[[#This Row],[QTDE ATUAL]] - (1/10)</f>
        <v>-8130.1</v>
      </c>
      <c r="BC260" s="320">
        <f>IF( tabItens[[#This Row],[PontoPed]]&gt;0, IF(tabItens[[#This Row],[PontoPed]]&lt;1, 1, IF( tabItens[[#This Row],[Saldo]]&gt;tabItens[[#This Row],[PontoPed]], 0, (tabItens[[#This Row],[PontoPed]]-tabItens[[#This Row],[Saldo]])/tabItens[[#This Row],[PontoPed]] ) ), 0 )</f>
        <v>0</v>
      </c>
      <c r="BD260" s="321">
        <f>ROUNDDOWN(IF( OR( AND(tabItens[[#This Row],[PontoPed]]&lt;tabItens[[#This Row],[Saldo]],tabItens[[#This Row],[Saldo]]&gt;0), tabItens[[#This Row],[PontoPed]]=0), 99, IF(AND(tabItens[[#This Row],[Saldo]]=0,tabItens[[#This Row],[PontoPed]]&gt;0), 0, (1-tabItens[[#This Row],[PctAb]])*10 ) ),0)</f>
        <v>99</v>
      </c>
      <c r="BE260" s="322">
        <f>MAX(ROUNDDOWN( IF(tabItens[[#This Row],[Abaixo]] &gt; 0,   tabItens[[#This Row],[Abaixo]] + (tabItens[[#This Row],[PontoMês]] * IF( OR( ISBLANK(tabItens[[#This Row],[ATA Nº/ANO]]), tabItens[[#This Row],[ATA Nº/ANO]] = ""),BE$2,BE$1)),0),0),0)</f>
        <v>0</v>
      </c>
      <c r="BF26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23">
        <f>SUMIF(Consumo!$C$3:$C$869,tabItens[[#This Row],[CÓDIGO]],Consumo!$E$3:$E$869)</f>
        <v>0</v>
      </c>
      <c r="BH260" s="324">
        <f>IF(AND(tabItens[[#This Row],[Pend]] &gt; 0,tabItens[[#This Row],[Consumo]] &lt;&gt; 0), tabItens[[#This Row],[Pend]] / tabItens[[#This Row],[Consumo]], 0 )</f>
        <v>0</v>
      </c>
      <c r="BI260" s="323"/>
      <c r="BJ260" s="323"/>
      <c r="BK260" s="325" t="s">
        <v>2064</v>
      </c>
    </row>
    <row r="261" spans="1:63" hidden="1" x14ac:dyDescent="0.3">
      <c r="A261" s="286">
        <v>27139</v>
      </c>
      <c r="B261" s="287" t="s">
        <v>1221</v>
      </c>
      <c r="C261" s="288" t="s">
        <v>569</v>
      </c>
      <c r="D261" s="289">
        <v>1.49</v>
      </c>
      <c r="E261" s="290"/>
      <c r="F261" s="290"/>
      <c r="G261" s="290" t="s">
        <v>883</v>
      </c>
      <c r="H261" s="291">
        <v>8768</v>
      </c>
      <c r="I261" s="292">
        <v>103003</v>
      </c>
      <c r="J261" s="293">
        <v>1.49</v>
      </c>
      <c r="K261" s="294">
        <v>3694</v>
      </c>
      <c r="L261" s="295">
        <f>IF(tabItens[[#This Row],[Média]] &gt; 0, tabItens[[#This Row],[QTDE ATUAL]] / tabItens[[#This Row],[Média]],999.9)</f>
        <v>18.22869022869023</v>
      </c>
      <c r="M261" s="296">
        <v>0</v>
      </c>
      <c r="N261" s="297">
        <f>tabItens[[#This Row],[VALOR UNIT.]] * tabItens[[#This Row],[LC]]</f>
        <v>0</v>
      </c>
      <c r="O261" s="298" t="s">
        <v>2066</v>
      </c>
      <c r="P261" s="299"/>
      <c r="Q261" s="300"/>
      <c r="R261" s="297"/>
      <c r="S261" s="301"/>
      <c r="T261" s="302">
        <f>ROUNDDOWN(IFERROR(tabItens[[#This Row],[ATA DT.VALID.]] - $D$1,0) / 30,0)</f>
        <v>-1504</v>
      </c>
      <c r="U261" s="287" t="s">
        <v>1135</v>
      </c>
      <c r="V261" s="303">
        <v>1</v>
      </c>
      <c r="W261" s="304" t="s">
        <v>2052</v>
      </c>
      <c r="X261" s="305">
        <v>57</v>
      </c>
      <c r="Y261" s="306">
        <v>2</v>
      </c>
      <c r="Z261" s="307"/>
      <c r="AA261" s="308"/>
      <c r="AB261" s="309"/>
      <c r="AC261" s="309"/>
      <c r="AD261" s="308"/>
      <c r="AE261" s="309"/>
      <c r="AF261" s="302"/>
      <c r="AG261" s="310" t="s">
        <v>2050</v>
      </c>
      <c r="AH261" s="311"/>
      <c r="AI261" s="302">
        <v>1930</v>
      </c>
      <c r="AJ261" s="311">
        <v>44133</v>
      </c>
      <c r="AK261" s="311" t="s">
        <v>883</v>
      </c>
      <c r="AL261" s="311">
        <v>44951</v>
      </c>
      <c r="AM261" s="301"/>
      <c r="AN261" s="290"/>
      <c r="AO261" s="312" t="str">
        <f>_xlfn.IFNA(IF(VLOOKUP(tabItens[[#This Row],[CÓDIGO]],tabExcluirDoEstoque[#Data],1,FALSE),"sim",""),"")</f>
        <v/>
      </c>
      <c r="AP261" s="313" t="str">
        <f ca="1">IF(OR(ISBLANK(tabItens[[#This Row],[ATA DT.VALID.]]),tabItens[[#This Row],[ATA DT.VALID.]]="",tabItens[[#This Row],[ATA DT.VALID.]]=" "),"",IF(TYPE(tabItens[[#This Row],[ATA DT.VALID.]])=1,ROUNDUP((tabItens[[#This Row],[ATA DT.VALID.]]-TODAY())/7,0),""))</f>
        <v/>
      </c>
      <c r="AQ261" s="314">
        <v>0</v>
      </c>
      <c r="AR261" s="315" t="str">
        <f>IF(ISBLANK(tabItens[[#This Row],[CÓDIGO]]),"",IFERROR(VLOOKUP(tabItens[[#This Row],[CÓDIGO]],Consumo!$C$2:$AC$869,26,FALSE),0))</f>
        <v>07.2023</v>
      </c>
      <c r="AS261" s="316">
        <f>SUMIF(Consumo!$C$3:$C$869,tabItens[[#This Row],[CÓDIGO]],Consumo!$N$3:$N$869) + SUMIF(Consumo!$C$3:$C$869,tabItens[[#This Row],[CÓDIGO]],Consumo!$O$3:$O$869) + SUMIF(Consumo!$C$3:$C$869,tabItens[[#This Row],[CÓDIGO]],Consumo!$P$3:$P$869) + SUMIF(Consumo!$C$3:$C$869,tabItens[[#This Row],[CÓDIGO]],Consumo!$Q$3:$Q$869)</f>
        <v>2190</v>
      </c>
      <c r="AT261" s="316">
        <f>SUMIF(Consumo!$C$3:$C$869,tabItens[[#This Row],[CÓDIGO]],Consumo!$Z$3:$Z$869)</f>
        <v>5788</v>
      </c>
      <c r="AU261" s="317">
        <f>SUMIF(Consumo!$C$3:$C$869,tabItens[[#This Row],[CÓDIGO]],Consumo!$AA$3:$AA$869)</f>
        <v>840</v>
      </c>
      <c r="AV261" s="318">
        <f>SUMIF(Consumo!$C$3:$C$869,tabItens[[#This Row],[CÓDIGO]],Consumo!$Y$3:$Y$869)</f>
        <v>481</v>
      </c>
      <c r="AW261" s="291">
        <f>tabItens[[#This Row],[QTDE ATUAL]] + tabItens[[#This Row],[RC QTDE]] + tabItens[[#This Row],[AF SALDO]] + tabItens[[#This Row],[Recentes]]</f>
        <v>8768</v>
      </c>
      <c r="AX261" s="319">
        <v>834</v>
      </c>
      <c r="AY261" s="319">
        <v>4</v>
      </c>
      <c r="AZ261" s="319">
        <f>IF(ISBLANK(tabItens[[#This Row],[CÓDIGO]]),"",tabItens[[#This Row],[PontoMês]] * (AZ$2+tabItens[[#This Row],[PontoQtM]]))</f>
        <v>3336</v>
      </c>
      <c r="BA261" s="318">
        <f>tabItens[[#This Row],[PontoPed]] - tabItens[[#This Row],[Saldo]] + (1/10)</f>
        <v>-5431.9</v>
      </c>
      <c r="BB261" s="318">
        <f xml:space="preserve"> tabItens[[#This Row],[PontoMês]] * BB$2 - tabItens[[#This Row],[QTDE ATUAL]] - (1/10)</f>
        <v>-7934.1</v>
      </c>
      <c r="BC261" s="320">
        <f>IF( tabItens[[#This Row],[PontoPed]]&gt;0, IF(tabItens[[#This Row],[PontoPed]]&lt;1, 1, IF( tabItens[[#This Row],[Saldo]]&gt;tabItens[[#This Row],[PontoPed]], 0, (tabItens[[#This Row],[PontoPed]]-tabItens[[#This Row],[Saldo]])/tabItens[[#This Row],[PontoPed]] ) ), 0 )</f>
        <v>0</v>
      </c>
      <c r="BD261" s="321">
        <f>ROUNDDOWN(IF( OR( AND(tabItens[[#This Row],[PontoPed]]&lt;tabItens[[#This Row],[Saldo]],tabItens[[#This Row],[Saldo]]&gt;0), tabItens[[#This Row],[PontoPed]]=0), 99, IF(AND(tabItens[[#This Row],[Saldo]]=0,tabItens[[#This Row],[PontoPed]]&gt;0), 0, (1-tabItens[[#This Row],[PctAb]])*10 ) ),0)</f>
        <v>99</v>
      </c>
      <c r="BE261" s="322">
        <f>MAX(ROUNDDOWN( IF(tabItens[[#This Row],[Abaixo]] &gt; 0,   tabItens[[#This Row],[Abaixo]] + (tabItens[[#This Row],[PontoMês]] * IF( OR( ISBLANK(tabItens[[#This Row],[ATA Nº/ANO]]), tabItens[[#This Row],[ATA Nº/ANO]] = ""),BE$2,BE$1)),0),0),0)</f>
        <v>0</v>
      </c>
      <c r="BF2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23">
        <f>SUMIF(Consumo!$C$3:$C$869,tabItens[[#This Row],[CÓDIGO]],Consumo!$E$3:$E$869)</f>
        <v>0</v>
      </c>
      <c r="BH261" s="324">
        <f>IF(AND(tabItens[[#This Row],[Pend]] &gt; 0,tabItens[[#This Row],[Consumo]] &lt;&gt; 0), tabItens[[#This Row],[Pend]] / tabItens[[#This Row],[Consumo]], 0 )</f>
        <v>0</v>
      </c>
      <c r="BI261" s="323"/>
      <c r="BJ261" s="323"/>
      <c r="BK261" s="325" t="s">
        <v>2064</v>
      </c>
    </row>
    <row r="262" spans="1:63" hidden="1" x14ac:dyDescent="0.3">
      <c r="A262" s="286">
        <v>27140</v>
      </c>
      <c r="B262" s="287" t="s">
        <v>1222</v>
      </c>
      <c r="C262" s="288" t="s">
        <v>569</v>
      </c>
      <c r="D262" s="289">
        <v>1.6</v>
      </c>
      <c r="E262" s="290"/>
      <c r="F262" s="290"/>
      <c r="G262" s="290" t="s">
        <v>883</v>
      </c>
      <c r="H262" s="291">
        <v>5196</v>
      </c>
      <c r="I262" s="292">
        <v>103003</v>
      </c>
      <c r="J262" s="293">
        <v>1.6</v>
      </c>
      <c r="K262" s="294">
        <v>4376</v>
      </c>
      <c r="L262" s="295">
        <f>IF(tabItens[[#This Row],[Média]] &gt; 0, tabItens[[#This Row],[QTDE ATUAL]] / tabItens[[#This Row],[Média]],999.9)</f>
        <v>8.9150700600514714</v>
      </c>
      <c r="M262" s="296">
        <v>0</v>
      </c>
      <c r="N262" s="297">
        <f>tabItens[[#This Row],[VALOR UNIT.]] * tabItens[[#This Row],[LC]]</f>
        <v>0</v>
      </c>
      <c r="O262" s="298" t="s">
        <v>2066</v>
      </c>
      <c r="P262" s="299"/>
      <c r="Q262" s="300"/>
      <c r="R262" s="297"/>
      <c r="S262" s="301"/>
      <c r="T262" s="302">
        <f>ROUNDDOWN(IFERROR(tabItens[[#This Row],[ATA DT.VALID.]] - $D$1,0) / 30,0)</f>
        <v>-1504</v>
      </c>
      <c r="U262" s="287" t="s">
        <v>1135</v>
      </c>
      <c r="V262" s="303">
        <v>1</v>
      </c>
      <c r="W262" s="304" t="s">
        <v>2052</v>
      </c>
      <c r="X262" s="305">
        <v>57</v>
      </c>
      <c r="Y262" s="306">
        <v>2</v>
      </c>
      <c r="Z262" s="307"/>
      <c r="AA262" s="308"/>
      <c r="AB262" s="309"/>
      <c r="AC262" s="309"/>
      <c r="AD262" s="308"/>
      <c r="AE262" s="309"/>
      <c r="AF262" s="302"/>
      <c r="AG262" s="310" t="s">
        <v>2050</v>
      </c>
      <c r="AH262" s="311"/>
      <c r="AI262" s="302">
        <v>2332</v>
      </c>
      <c r="AJ262" s="311">
        <v>44133</v>
      </c>
      <c r="AK262" s="311" t="s">
        <v>883</v>
      </c>
      <c r="AL262" s="311">
        <v>45083</v>
      </c>
      <c r="AM262" s="301"/>
      <c r="AN262" s="290"/>
      <c r="AO262" s="312" t="str">
        <f>_xlfn.IFNA(IF(VLOOKUP(tabItens[[#This Row],[CÓDIGO]],tabExcluirDoEstoque[#Data],1,FALSE),"sim",""),"")</f>
        <v/>
      </c>
      <c r="AP262" s="313" t="str">
        <f ca="1">IF(OR(ISBLANK(tabItens[[#This Row],[ATA DT.VALID.]]),tabItens[[#This Row],[ATA DT.VALID.]]="",tabItens[[#This Row],[ATA DT.VALID.]]=" "),"",IF(TYPE(tabItens[[#This Row],[ATA DT.VALID.]])=1,ROUNDUP((tabItens[[#This Row],[ATA DT.VALID.]]-TODAY())/7,0),""))</f>
        <v/>
      </c>
      <c r="AQ262" s="314">
        <v>0</v>
      </c>
      <c r="AR262" s="315" t="str">
        <f>IF(ISBLANK(tabItens[[#This Row],[CÓDIGO]]),"",IFERROR(VLOOKUP(tabItens[[#This Row],[CÓDIGO]],Consumo!$C$2:$AC$869,26,FALSE),0))</f>
        <v>07.2023</v>
      </c>
      <c r="AS262" s="316">
        <f>SUMIF(Consumo!$C$3:$C$869,tabItens[[#This Row],[CÓDIGO]],Consumo!$N$3:$N$869) + SUMIF(Consumo!$C$3:$C$869,tabItens[[#This Row],[CÓDIGO]],Consumo!$O$3:$O$869) + SUMIF(Consumo!$C$3:$C$869,tabItens[[#This Row],[CÓDIGO]],Consumo!$P$3:$P$869) + SUMIF(Consumo!$C$3:$C$869,tabItens[[#This Row],[CÓDIGO]],Consumo!$Q$3:$Q$869)</f>
        <v>2480</v>
      </c>
      <c r="AT262" s="316">
        <f>SUMIF(Consumo!$C$3:$C$869,tabItens[[#This Row],[CÓDIGO]],Consumo!$Z$3:$Z$869)</f>
        <v>6994</v>
      </c>
      <c r="AU262" s="317">
        <f>SUMIF(Consumo!$C$3:$C$869,tabItens[[#This Row],[CÓDIGO]],Consumo!$AA$3:$AA$869)</f>
        <v>945</v>
      </c>
      <c r="AV262" s="318">
        <f>SUMIF(Consumo!$C$3:$C$869,tabItens[[#This Row],[CÓDIGO]],Consumo!$Y$3:$Y$869)</f>
        <v>582.83333333333337</v>
      </c>
      <c r="AW262" s="291">
        <f>tabItens[[#This Row],[QTDE ATUAL]] + tabItens[[#This Row],[RC QTDE]] + tabItens[[#This Row],[AF SALDO]] + tabItens[[#This Row],[Recentes]]</f>
        <v>5196</v>
      </c>
      <c r="AX262" s="319">
        <v>834</v>
      </c>
      <c r="AY262" s="319">
        <v>4</v>
      </c>
      <c r="AZ262" s="319">
        <f>IF(ISBLANK(tabItens[[#This Row],[CÓDIGO]]),"",tabItens[[#This Row],[PontoMês]] * (AZ$2+tabItens[[#This Row],[PontoQtM]]))</f>
        <v>3336</v>
      </c>
      <c r="BA262" s="318">
        <f>tabItens[[#This Row],[PontoPed]] - tabItens[[#This Row],[Saldo]] + (1/10)</f>
        <v>-1859.9</v>
      </c>
      <c r="BB262" s="318">
        <f xml:space="preserve"> tabItens[[#This Row],[PontoMês]] * BB$2 - tabItens[[#This Row],[QTDE ATUAL]] - (1/10)</f>
        <v>-4362.1000000000004</v>
      </c>
      <c r="BC262" s="320">
        <f>IF( tabItens[[#This Row],[PontoPed]]&gt;0, IF(tabItens[[#This Row],[PontoPed]]&lt;1, 1, IF( tabItens[[#This Row],[Saldo]]&gt;tabItens[[#This Row],[PontoPed]], 0, (tabItens[[#This Row],[PontoPed]]-tabItens[[#This Row],[Saldo]])/tabItens[[#This Row],[PontoPed]] ) ), 0 )</f>
        <v>0</v>
      </c>
      <c r="BD262" s="321">
        <f>ROUNDDOWN(IF( OR( AND(tabItens[[#This Row],[PontoPed]]&lt;tabItens[[#This Row],[Saldo]],tabItens[[#This Row],[Saldo]]&gt;0), tabItens[[#This Row],[PontoPed]]=0), 99, IF(AND(tabItens[[#This Row],[Saldo]]=0,tabItens[[#This Row],[PontoPed]]&gt;0), 0, (1-tabItens[[#This Row],[PctAb]])*10 ) ),0)</f>
        <v>99</v>
      </c>
      <c r="BE262" s="322">
        <f>MAX(ROUNDDOWN( IF(tabItens[[#This Row],[Abaixo]] &gt; 0,   tabItens[[#This Row],[Abaixo]] + (tabItens[[#This Row],[PontoMês]] * IF( OR( ISBLANK(tabItens[[#This Row],[ATA Nº/ANO]]), tabItens[[#This Row],[ATA Nº/ANO]] = ""),BE$2,BE$1)),0),0),0)</f>
        <v>0</v>
      </c>
      <c r="BF2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23">
        <f>SUMIF(Consumo!$C$3:$C$869,tabItens[[#This Row],[CÓDIGO]],Consumo!$E$3:$E$869)</f>
        <v>0</v>
      </c>
      <c r="BH262" s="324">
        <f>IF(AND(tabItens[[#This Row],[Pend]] &gt; 0,tabItens[[#This Row],[Consumo]] &lt;&gt; 0), tabItens[[#This Row],[Pend]] / tabItens[[#This Row],[Consumo]], 0 )</f>
        <v>0</v>
      </c>
      <c r="BI262" s="323"/>
      <c r="BJ262" s="323"/>
      <c r="BK262" s="325" t="s">
        <v>2064</v>
      </c>
    </row>
    <row r="263" spans="1:63" x14ac:dyDescent="0.3">
      <c r="A263" s="396">
        <v>93454</v>
      </c>
      <c r="B263" s="397" t="s">
        <v>1535</v>
      </c>
      <c r="C263" s="398" t="s">
        <v>569</v>
      </c>
      <c r="D263" s="399">
        <v>0.24</v>
      </c>
      <c r="E263" s="290"/>
      <c r="F263" s="400"/>
      <c r="G263" s="400" t="s">
        <v>883</v>
      </c>
      <c r="H263" s="401">
        <v>0</v>
      </c>
      <c r="I263" s="292">
        <v>103003</v>
      </c>
      <c r="J263" s="293">
        <v>0.24</v>
      </c>
      <c r="K263" s="402">
        <v>4303</v>
      </c>
      <c r="L263" s="403">
        <f>IF(tabItens[[#This Row],[Média]] &gt; 0, tabItens[[#This Row],[QTDE ATUAL]] / tabItens[[#This Row],[Média]],999.9)</f>
        <v>0</v>
      </c>
      <c r="M263" s="404">
        <v>0</v>
      </c>
      <c r="N263" s="405">
        <f>tabItens[[#This Row],[VALOR UNIT.]] * tabItens[[#This Row],[LC]]</f>
        <v>0</v>
      </c>
      <c r="O263" s="406" t="s">
        <v>2066</v>
      </c>
      <c r="P263" s="407"/>
      <c r="Q263" s="408"/>
      <c r="R263" s="297"/>
      <c r="S263" s="409"/>
      <c r="T263" s="410">
        <f>ROUNDDOWN(IFERROR(tabItens[[#This Row],[ATA DT.VALID.]] - $D$1,0) / 30,0)</f>
        <v>-1504</v>
      </c>
      <c r="U263" s="287" t="s">
        <v>1135</v>
      </c>
      <c r="V263" s="303">
        <v>1</v>
      </c>
      <c r="W263" s="411" t="s">
        <v>2052</v>
      </c>
      <c r="X263" s="412">
        <v>57</v>
      </c>
      <c r="Y263" s="413">
        <v>2</v>
      </c>
      <c r="Z263" s="414">
        <v>6985</v>
      </c>
      <c r="AA263" s="415">
        <v>2023</v>
      </c>
      <c r="AB263" s="416">
        <v>3500</v>
      </c>
      <c r="AC263" s="416"/>
      <c r="AD263" s="415"/>
      <c r="AE263" s="416"/>
      <c r="AF263" s="302"/>
      <c r="AG263" s="417" t="s">
        <v>2050</v>
      </c>
      <c r="AH263" s="418"/>
      <c r="AI263" s="302">
        <v>2578</v>
      </c>
      <c r="AJ263" s="418">
        <v>44147</v>
      </c>
      <c r="AK263" s="311">
        <v>38930</v>
      </c>
      <c r="AL263" s="311">
        <v>44126</v>
      </c>
      <c r="AM263" s="301"/>
      <c r="AN263" s="290"/>
      <c r="AO263" s="312" t="str">
        <f>_xlfn.IFNA(IF(VLOOKUP(tabItens[[#This Row],[CÓDIGO]],tabExcluirDoEstoque[#Data],1,FALSE),"sim",""),"")</f>
        <v/>
      </c>
      <c r="AP263" s="419" t="str">
        <f ca="1">IF(OR(ISBLANK(tabItens[[#This Row],[ATA DT.VALID.]]),tabItens[[#This Row],[ATA DT.VALID.]]="",tabItens[[#This Row],[ATA DT.VALID.]]=" "),"",IF(TYPE(tabItens[[#This Row],[ATA DT.VALID.]])=1,ROUNDUP((tabItens[[#This Row],[ATA DT.VALID.]]-TODAY())/7,0),""))</f>
        <v/>
      </c>
      <c r="AQ263" s="314">
        <v>0</v>
      </c>
      <c r="AR263" s="315" t="str">
        <f>IF(ISBLANK(tabItens[[#This Row],[CÓDIGO]]),"",IFERROR(VLOOKUP(tabItens[[#This Row],[CÓDIGO]],Consumo!$C$2:$AC$869,26,FALSE),0))</f>
        <v>06.2023</v>
      </c>
      <c r="AS263" s="316">
        <f>SUMIF(Consumo!$C$3:$C$869,tabItens[[#This Row],[CÓDIGO]],Consumo!$N$3:$N$869) + SUMIF(Consumo!$C$3:$C$869,tabItens[[#This Row],[CÓDIGO]],Consumo!$O$3:$O$869) + SUMIF(Consumo!$C$3:$C$869,tabItens[[#This Row],[CÓDIGO]],Consumo!$P$3:$P$869) + SUMIF(Consumo!$C$3:$C$869,tabItens[[#This Row],[CÓDIGO]],Consumo!$Q$3:$Q$869)</f>
        <v>1648</v>
      </c>
      <c r="AT263" s="316">
        <f>SUMIF(Consumo!$C$3:$C$869,tabItens[[#This Row],[CÓDIGO]],Consumo!$Z$3:$Z$869)</f>
        <v>7151</v>
      </c>
      <c r="AU263" s="317">
        <f>SUMIF(Consumo!$C$3:$C$869,tabItens[[#This Row],[CÓDIGO]],Consumo!$AA$3:$AA$869)</f>
        <v>1265</v>
      </c>
      <c r="AV263" s="318">
        <f>SUMIF(Consumo!$C$3:$C$869,tabItens[[#This Row],[CÓDIGO]],Consumo!$Y$3:$Y$869)</f>
        <v>588.08333333333337</v>
      </c>
      <c r="AW263" s="401">
        <f>tabItens[[#This Row],[QTDE ATUAL]] + tabItens[[#This Row],[RC QTDE]] + tabItens[[#This Row],[AF SALDO]] + tabItens[[#This Row],[Recentes]]</f>
        <v>3500</v>
      </c>
      <c r="AX263" s="420">
        <v>850</v>
      </c>
      <c r="AY263" s="420">
        <v>4</v>
      </c>
      <c r="AZ263" s="420">
        <f>IF(ISBLANK(tabItens[[#This Row],[CÓDIGO]]),"",tabItens[[#This Row],[PontoMês]] * (AZ$2+tabItens[[#This Row],[PontoQtM]]))</f>
        <v>3400</v>
      </c>
      <c r="BA263" s="421">
        <f>tabItens[[#This Row],[PontoPed]] - tabItens[[#This Row],[Saldo]] + (1/10)</f>
        <v>-99.9</v>
      </c>
      <c r="BB263" s="421">
        <f xml:space="preserve"> tabItens[[#This Row],[PontoMês]] * BB$2 - tabItens[[#This Row],[QTDE ATUAL]] - (1/10)</f>
        <v>849.9</v>
      </c>
      <c r="BC263" s="320">
        <f>IF( tabItens[[#This Row],[PontoPed]]&gt;0, IF(tabItens[[#This Row],[PontoPed]]&lt;1, 1, IF( tabItens[[#This Row],[Saldo]]&gt;tabItens[[#This Row],[PontoPed]], 0, (tabItens[[#This Row],[PontoPed]]-tabItens[[#This Row],[Saldo]])/tabItens[[#This Row],[PontoPed]] ) ), 0 )</f>
        <v>0</v>
      </c>
      <c r="BD263" s="422">
        <f>ROUNDDOWN(IF( OR( AND(tabItens[[#This Row],[PontoPed]]&lt;tabItens[[#This Row],[Saldo]],tabItens[[#This Row],[Saldo]]&gt;0), tabItens[[#This Row],[PontoPed]]=0), 99, IF(AND(tabItens[[#This Row],[Saldo]]=0,tabItens[[#This Row],[PontoPed]]&gt;0), 0, (1-tabItens[[#This Row],[PctAb]])*10 ) ),0)</f>
        <v>99</v>
      </c>
      <c r="BE263" s="423">
        <f>MAX(ROUNDDOWN( IF(tabItens[[#This Row],[Abaixo]] &gt; 0,   tabItens[[#This Row],[Abaixo]] + (tabItens[[#This Row],[PontoMês]] * IF( OR( ISBLANK(tabItens[[#This Row],[ATA Nº/ANO]]), tabItens[[#This Row],[ATA Nº/ANO]] = ""),BE$2,BE$1)),0),0),0)</f>
        <v>0</v>
      </c>
      <c r="BF26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23">
        <f>SUMIF(Consumo!$C$3:$C$869,tabItens[[#This Row],[CÓDIGO]],Consumo!$E$3:$E$869)</f>
        <v>737</v>
      </c>
      <c r="BH263" s="324">
        <f>IF(AND(tabItens[[#This Row],[Pend]] &gt; 0,tabItens[[#This Row],[Consumo]] &lt;&gt; 0), tabItens[[#This Row],[Pend]] / tabItens[[#This Row],[Consumo]], 0 )</f>
        <v>0.10306250874003636</v>
      </c>
      <c r="BI263" s="323"/>
      <c r="BJ263" s="424"/>
      <c r="BK263" s="425" t="s">
        <v>2064</v>
      </c>
    </row>
    <row r="264" spans="1:63" hidden="1" x14ac:dyDescent="0.3">
      <c r="A264" s="286">
        <v>12623</v>
      </c>
      <c r="B264" s="287" t="s">
        <v>940</v>
      </c>
      <c r="C264" s="288" t="s">
        <v>569</v>
      </c>
      <c r="D264" s="289">
        <v>1.1499999999999999</v>
      </c>
      <c r="E264" s="290"/>
      <c r="F264" s="290"/>
      <c r="G264" s="290" t="s">
        <v>883</v>
      </c>
      <c r="H264" s="291">
        <v>57846</v>
      </c>
      <c r="I264" s="292">
        <v>103003</v>
      </c>
      <c r="J264" s="293">
        <v>1.1499999999999999</v>
      </c>
      <c r="K264" s="294">
        <v>23478</v>
      </c>
      <c r="L264" s="295">
        <f>IF(tabItens[[#This Row],[Média]] &gt; 0, tabItens[[#This Row],[QTDE ATUAL]] / tabItens[[#This Row],[Média]],999.9)</f>
        <v>26.736201517544195</v>
      </c>
      <c r="M264" s="296">
        <v>0</v>
      </c>
      <c r="N264" s="297">
        <f>tabItens[[#This Row],[VALOR UNIT.]] * tabItens[[#This Row],[LC]]</f>
        <v>0</v>
      </c>
      <c r="O264" s="298" t="s">
        <v>2066</v>
      </c>
      <c r="P264" s="299"/>
      <c r="Q264" s="300"/>
      <c r="R264" s="297"/>
      <c r="S264" s="301"/>
      <c r="T264" s="302">
        <f>ROUNDDOWN(IFERROR(tabItens[[#This Row],[ATA DT.VALID.]] - $D$1,0) / 30,0)</f>
        <v>-1504</v>
      </c>
      <c r="U264" s="287" t="s">
        <v>941</v>
      </c>
      <c r="V264" s="303">
        <v>1</v>
      </c>
      <c r="W264" s="304" t="s">
        <v>2052</v>
      </c>
      <c r="X264" s="305">
        <v>57</v>
      </c>
      <c r="Y264" s="306">
        <v>16</v>
      </c>
      <c r="Z264" s="307"/>
      <c r="AA264" s="308"/>
      <c r="AB264" s="309"/>
      <c r="AC264" s="309"/>
      <c r="AD264" s="308"/>
      <c r="AE264" s="309"/>
      <c r="AF264" s="302"/>
      <c r="AG264" s="310" t="s">
        <v>2050</v>
      </c>
      <c r="AH264" s="311"/>
      <c r="AI264" s="302">
        <v>8220</v>
      </c>
      <c r="AJ264" s="311">
        <v>44971</v>
      </c>
      <c r="AK264" s="311" t="s">
        <v>883</v>
      </c>
      <c r="AL264" s="311">
        <v>45089</v>
      </c>
      <c r="AM264" s="301"/>
      <c r="AN264" s="290"/>
      <c r="AO264" s="312" t="str">
        <f>_xlfn.IFNA(IF(VLOOKUP(tabItens[[#This Row],[CÓDIGO]],tabExcluirDoEstoque[#Data],1,FALSE),"sim",""),"")</f>
        <v/>
      </c>
      <c r="AP264" s="313" t="str">
        <f ca="1">IF(OR(ISBLANK(tabItens[[#This Row],[ATA DT.VALID.]]),tabItens[[#This Row],[ATA DT.VALID.]]="",tabItens[[#This Row],[ATA DT.VALID.]]=" "),"",IF(TYPE(tabItens[[#This Row],[ATA DT.VALID.]])=1,ROUNDUP((tabItens[[#This Row],[ATA DT.VALID.]]-TODAY())/7,0),""))</f>
        <v/>
      </c>
      <c r="AQ264" s="314">
        <v>0</v>
      </c>
      <c r="AR264" s="315" t="str">
        <f>IF(ISBLANK(tabItens[[#This Row],[CÓDIGO]]),"",IFERROR(VLOOKUP(tabItens[[#This Row],[CÓDIGO]],Consumo!$C$2:$AC$869,26,FALSE),0))</f>
        <v>07.2023</v>
      </c>
      <c r="AS264" s="316">
        <f>SUMIF(Consumo!$C$3:$C$869,tabItens[[#This Row],[CÓDIGO]],Consumo!$N$3:$N$869) + SUMIF(Consumo!$C$3:$C$869,tabItens[[#This Row],[CÓDIGO]],Consumo!$O$3:$O$869) + SUMIF(Consumo!$C$3:$C$869,tabItens[[#This Row],[CÓDIGO]],Consumo!$P$3:$P$869) + SUMIF(Consumo!$C$3:$C$869,tabItens[[#This Row],[CÓDIGO]],Consumo!$Q$3:$Q$869)</f>
        <v>14814</v>
      </c>
      <c r="AT264" s="316">
        <f>SUMIF(Consumo!$C$3:$C$869,tabItens[[#This Row],[CÓDIGO]],Consumo!$Z$3:$Z$869)</f>
        <v>25963</v>
      </c>
      <c r="AU264" s="317">
        <f>SUMIF(Consumo!$C$3:$C$869,tabItens[[#This Row],[CÓDIGO]],Consumo!$AA$3:$AA$869)</f>
        <v>6115</v>
      </c>
      <c r="AV264" s="318">
        <f>SUMIF(Consumo!$C$3:$C$869,tabItens[[#This Row],[CÓDIGO]],Consumo!$Y$3:$Y$869)</f>
        <v>2163.5833333333335</v>
      </c>
      <c r="AW264" s="291">
        <f>tabItens[[#This Row],[QTDE ATUAL]] + tabItens[[#This Row],[RC QTDE]] + tabItens[[#This Row],[AF SALDO]] + tabItens[[#This Row],[Recentes]]</f>
        <v>57846</v>
      </c>
      <c r="AX264" s="319">
        <v>3334</v>
      </c>
      <c r="AY264" s="319">
        <v>4</v>
      </c>
      <c r="AZ264" s="319">
        <f>IF(ISBLANK(tabItens[[#This Row],[CÓDIGO]]),"",tabItens[[#This Row],[PontoMês]] * (AZ$2+tabItens[[#This Row],[PontoQtM]]))</f>
        <v>13336</v>
      </c>
      <c r="BA264" s="318">
        <f>tabItens[[#This Row],[PontoPed]] - tabItens[[#This Row],[Saldo]] + (1/10)</f>
        <v>-44509.9</v>
      </c>
      <c r="BB264" s="318">
        <f xml:space="preserve"> tabItens[[#This Row],[PontoMês]] * BB$2 - tabItens[[#This Row],[QTDE ATUAL]] - (1/10)</f>
        <v>-54512.1</v>
      </c>
      <c r="BC264" s="320">
        <f>IF( tabItens[[#This Row],[PontoPed]]&gt;0, IF(tabItens[[#This Row],[PontoPed]]&lt;1, 1, IF( tabItens[[#This Row],[Saldo]]&gt;tabItens[[#This Row],[PontoPed]], 0, (tabItens[[#This Row],[PontoPed]]-tabItens[[#This Row],[Saldo]])/tabItens[[#This Row],[PontoPed]] ) ), 0 )</f>
        <v>0</v>
      </c>
      <c r="BD264" s="321">
        <f>ROUNDDOWN(IF( OR( AND(tabItens[[#This Row],[PontoPed]]&lt;tabItens[[#This Row],[Saldo]],tabItens[[#This Row],[Saldo]]&gt;0), tabItens[[#This Row],[PontoPed]]=0), 99, IF(AND(tabItens[[#This Row],[Saldo]]=0,tabItens[[#This Row],[PontoPed]]&gt;0), 0, (1-tabItens[[#This Row],[PctAb]])*10 ) ),0)</f>
        <v>99</v>
      </c>
      <c r="BE264" s="322">
        <f>MAX(ROUNDDOWN( IF(tabItens[[#This Row],[Abaixo]] &gt; 0,   tabItens[[#This Row],[Abaixo]] + (tabItens[[#This Row],[PontoMês]] * IF( OR( ISBLANK(tabItens[[#This Row],[ATA Nº/ANO]]), tabItens[[#This Row],[ATA Nº/ANO]] = ""),BE$2,BE$1)),0),0),0)</f>
        <v>0</v>
      </c>
      <c r="BF26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23">
        <f>SUMIF(Consumo!$C$3:$C$869,tabItens[[#This Row],[CÓDIGO]],Consumo!$E$3:$E$869)</f>
        <v>1765</v>
      </c>
      <c r="BH264" s="324">
        <f>IF(AND(tabItens[[#This Row],[Pend]] &gt; 0,tabItens[[#This Row],[Consumo]] &lt;&gt; 0), tabItens[[#This Row],[Pend]] / tabItens[[#This Row],[Consumo]], 0 )</f>
        <v>6.7981358086507723E-2</v>
      </c>
      <c r="BI264" s="323"/>
      <c r="BJ264" s="323"/>
      <c r="BK264" s="325" t="s">
        <v>2064</v>
      </c>
    </row>
    <row r="265" spans="1:63" hidden="1" x14ac:dyDescent="0.3">
      <c r="A265" s="286">
        <v>23687</v>
      </c>
      <c r="B265" s="287" t="s">
        <v>1180</v>
      </c>
      <c r="C265" s="288" t="s">
        <v>569</v>
      </c>
      <c r="D265" s="289">
        <v>1.55</v>
      </c>
      <c r="E265" s="290"/>
      <c r="F265" s="290"/>
      <c r="G265" s="290" t="s">
        <v>883</v>
      </c>
      <c r="H265" s="291">
        <v>11853</v>
      </c>
      <c r="I265" s="292">
        <v>103003</v>
      </c>
      <c r="J265" s="293">
        <v>1.55</v>
      </c>
      <c r="K265" s="294">
        <v>14991</v>
      </c>
      <c r="L265" s="295">
        <f>IF(tabItens[[#This Row],[Média]] &gt; 0, tabItens[[#This Row],[QTDE ATUAL]] / tabItens[[#This Row],[Média]],999.9)</f>
        <v>6.4856139710911496</v>
      </c>
      <c r="M265" s="296">
        <v>0</v>
      </c>
      <c r="N265" s="297">
        <f>tabItens[[#This Row],[VALOR UNIT.]] * tabItens[[#This Row],[LC]]</f>
        <v>0</v>
      </c>
      <c r="O265" s="298" t="s">
        <v>2066</v>
      </c>
      <c r="P265" s="299"/>
      <c r="Q265" s="300"/>
      <c r="R265" s="297"/>
      <c r="S265" s="301"/>
      <c r="T265" s="302">
        <f>ROUNDDOWN(IFERROR(tabItens[[#This Row],[ATA DT.VALID.]] - $D$1,0) / 30,0)</f>
        <v>-1504</v>
      </c>
      <c r="U265" s="287" t="s">
        <v>941</v>
      </c>
      <c r="V265" s="303">
        <v>1</v>
      </c>
      <c r="W265" s="304" t="s">
        <v>2052</v>
      </c>
      <c r="X265" s="305">
        <v>57</v>
      </c>
      <c r="Y265" s="306">
        <v>16</v>
      </c>
      <c r="Z265" s="307"/>
      <c r="AA265" s="308"/>
      <c r="AB265" s="309"/>
      <c r="AC265" s="309"/>
      <c r="AD265" s="308"/>
      <c r="AE265" s="309"/>
      <c r="AF265" s="302"/>
      <c r="AG265" s="310" t="s">
        <v>2050</v>
      </c>
      <c r="AH265" s="311"/>
      <c r="AI265" s="302">
        <v>7298</v>
      </c>
      <c r="AJ265" s="311">
        <v>44971</v>
      </c>
      <c r="AK265" s="311" t="s">
        <v>883</v>
      </c>
      <c r="AL265" s="311">
        <v>44971</v>
      </c>
      <c r="AM265" s="301"/>
      <c r="AN265" s="290"/>
      <c r="AO265" s="312" t="str">
        <f>_xlfn.IFNA(IF(VLOOKUP(tabItens[[#This Row],[CÓDIGO]],tabExcluirDoEstoque[#Data],1,FALSE),"sim",""),"")</f>
        <v/>
      </c>
      <c r="AP265" s="313" t="str">
        <f ca="1">IF(OR(ISBLANK(tabItens[[#This Row],[ATA DT.VALID.]]),tabItens[[#This Row],[ATA DT.VALID.]]="",tabItens[[#This Row],[ATA DT.VALID.]]=" "),"",IF(TYPE(tabItens[[#This Row],[ATA DT.VALID.]])=1,ROUNDUP((tabItens[[#This Row],[ATA DT.VALID.]]-TODAY())/7,0),""))</f>
        <v/>
      </c>
      <c r="AQ265" s="314">
        <v>0</v>
      </c>
      <c r="AR265" s="315" t="str">
        <f>IF(ISBLANK(tabItens[[#This Row],[CÓDIGO]]),"",IFERROR(VLOOKUP(tabItens[[#This Row],[CÓDIGO]],Consumo!$C$2:$AC$869,26,FALSE),0))</f>
        <v>07.2023</v>
      </c>
      <c r="AS265" s="316">
        <f>SUMIF(Consumo!$C$3:$C$869,tabItens[[#This Row],[CÓDIGO]],Consumo!$N$3:$N$869) + SUMIF(Consumo!$C$3:$C$869,tabItens[[#This Row],[CÓDIGO]],Consumo!$O$3:$O$869) + SUMIF(Consumo!$C$3:$C$869,tabItens[[#This Row],[CÓDIGO]],Consumo!$P$3:$P$869) + SUMIF(Consumo!$C$3:$C$869,tabItens[[#This Row],[CÓDIGO]],Consumo!$Q$3:$Q$869)</f>
        <v>7367</v>
      </c>
      <c r="AT265" s="316">
        <f>SUMIF(Consumo!$C$3:$C$869,tabItens[[#This Row],[CÓDIGO]],Consumo!$Z$3:$Z$869)</f>
        <v>21931</v>
      </c>
      <c r="AU265" s="317">
        <f>SUMIF(Consumo!$C$3:$C$869,tabItens[[#This Row],[CÓDIGO]],Consumo!$AA$3:$AA$869)</f>
        <v>3767</v>
      </c>
      <c r="AV265" s="318">
        <f>SUMIF(Consumo!$C$3:$C$869,tabItens[[#This Row],[CÓDIGO]],Consumo!$Y$3:$Y$869)</f>
        <v>1827.5833333333333</v>
      </c>
      <c r="AW265" s="291">
        <f>tabItens[[#This Row],[QTDE ATUAL]] + tabItens[[#This Row],[RC QTDE]] + tabItens[[#This Row],[AF SALDO]] + tabItens[[#This Row],[Recentes]]</f>
        <v>11853</v>
      </c>
      <c r="AX265" s="319">
        <v>2084</v>
      </c>
      <c r="AY265" s="319">
        <v>4</v>
      </c>
      <c r="AZ265" s="319">
        <f>IF(ISBLANK(tabItens[[#This Row],[CÓDIGO]]),"",tabItens[[#This Row],[PontoMês]] * (AZ$2+tabItens[[#This Row],[PontoQtM]]))</f>
        <v>8336</v>
      </c>
      <c r="BA265" s="318">
        <f>tabItens[[#This Row],[PontoPed]] - tabItens[[#This Row],[Saldo]] + (1/10)</f>
        <v>-3516.9</v>
      </c>
      <c r="BB265" s="318">
        <f xml:space="preserve"> tabItens[[#This Row],[PontoMês]] * BB$2 - tabItens[[#This Row],[QTDE ATUAL]] - (1/10)</f>
        <v>-9769.1</v>
      </c>
      <c r="BC265" s="320">
        <f>IF( tabItens[[#This Row],[PontoPed]]&gt;0, IF(tabItens[[#This Row],[PontoPed]]&lt;1, 1, IF( tabItens[[#This Row],[Saldo]]&gt;tabItens[[#This Row],[PontoPed]], 0, (tabItens[[#This Row],[PontoPed]]-tabItens[[#This Row],[Saldo]])/tabItens[[#This Row],[PontoPed]] ) ), 0 )</f>
        <v>0</v>
      </c>
      <c r="BD265" s="321">
        <f>ROUNDDOWN(IF( OR( AND(tabItens[[#This Row],[PontoPed]]&lt;tabItens[[#This Row],[Saldo]],tabItens[[#This Row],[Saldo]]&gt;0), tabItens[[#This Row],[PontoPed]]=0), 99, IF(AND(tabItens[[#This Row],[Saldo]]=0,tabItens[[#This Row],[PontoPed]]&gt;0), 0, (1-tabItens[[#This Row],[PctAb]])*10 ) ),0)</f>
        <v>99</v>
      </c>
      <c r="BE265" s="322">
        <f>MAX(ROUNDDOWN( IF(tabItens[[#This Row],[Abaixo]] &gt; 0,   tabItens[[#This Row],[Abaixo]] + (tabItens[[#This Row],[PontoMês]] * IF( OR( ISBLANK(tabItens[[#This Row],[ATA Nº/ANO]]), tabItens[[#This Row],[ATA Nº/ANO]] = ""),BE$2,BE$1)),0),0),0)</f>
        <v>0</v>
      </c>
      <c r="BF26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23">
        <f>SUMIF(Consumo!$C$3:$C$869,tabItens[[#This Row],[CÓDIGO]],Consumo!$E$3:$E$869)</f>
        <v>40</v>
      </c>
      <c r="BH265" s="324">
        <f>IF(AND(tabItens[[#This Row],[Pend]] &gt; 0,tabItens[[#This Row],[Consumo]] &lt;&gt; 0), tabItens[[#This Row],[Pend]] / tabItens[[#This Row],[Consumo]], 0 )</f>
        <v>1.8239022388399982E-3</v>
      </c>
      <c r="BI265" s="323"/>
      <c r="BJ265" s="323"/>
      <c r="BK265" s="325" t="s">
        <v>2064</v>
      </c>
    </row>
    <row r="266" spans="1:63" hidden="1" x14ac:dyDescent="0.3">
      <c r="A266" s="286">
        <v>23692</v>
      </c>
      <c r="B266" s="287" t="s">
        <v>1181</v>
      </c>
      <c r="C266" s="288" t="s">
        <v>569</v>
      </c>
      <c r="D266" s="289">
        <v>1.55</v>
      </c>
      <c r="E266" s="290"/>
      <c r="F266" s="290"/>
      <c r="G266" s="290" t="s">
        <v>883</v>
      </c>
      <c r="H266" s="291">
        <v>14223</v>
      </c>
      <c r="I266" s="292">
        <v>103003</v>
      </c>
      <c r="J266" s="293">
        <v>1.55</v>
      </c>
      <c r="K266" s="294">
        <v>9479</v>
      </c>
      <c r="L266" s="295">
        <f>IF(tabItens[[#This Row],[Média]] &gt; 0, tabItens[[#This Row],[QTDE ATUAL]] / tabItens[[#This Row],[Média]],999.9)</f>
        <v>11.455533928451574</v>
      </c>
      <c r="M266" s="296">
        <v>0</v>
      </c>
      <c r="N266" s="297">
        <f>tabItens[[#This Row],[VALOR UNIT.]] * tabItens[[#This Row],[LC]]</f>
        <v>0</v>
      </c>
      <c r="O266" s="298" t="s">
        <v>2066</v>
      </c>
      <c r="P266" s="299"/>
      <c r="Q266" s="300"/>
      <c r="R266" s="297"/>
      <c r="S266" s="301"/>
      <c r="T266" s="302">
        <f>ROUNDDOWN(IFERROR(tabItens[[#This Row],[ATA DT.VALID.]] - $D$1,0) / 30,0)</f>
        <v>-1504</v>
      </c>
      <c r="U266" s="287" t="s">
        <v>941</v>
      </c>
      <c r="V266" s="303">
        <v>1</v>
      </c>
      <c r="W266" s="304" t="s">
        <v>2052</v>
      </c>
      <c r="X266" s="305">
        <v>57</v>
      </c>
      <c r="Y266" s="306">
        <v>16</v>
      </c>
      <c r="Z266" s="307"/>
      <c r="AA266" s="308"/>
      <c r="AB266" s="309"/>
      <c r="AC266" s="309"/>
      <c r="AD266" s="308"/>
      <c r="AE266" s="309"/>
      <c r="AF266" s="302"/>
      <c r="AG266" s="310" t="s">
        <v>2050</v>
      </c>
      <c r="AH266" s="311"/>
      <c r="AI266" s="302">
        <v>4954</v>
      </c>
      <c r="AJ266" s="311">
        <v>44425</v>
      </c>
      <c r="AK266" s="311" t="s">
        <v>883</v>
      </c>
      <c r="AL266" s="311">
        <v>44971</v>
      </c>
      <c r="AM266" s="301"/>
      <c r="AN266" s="290"/>
      <c r="AO266" s="312" t="str">
        <f>_xlfn.IFNA(IF(VLOOKUP(tabItens[[#This Row],[CÓDIGO]],tabExcluirDoEstoque[#Data],1,FALSE),"sim",""),"")</f>
        <v/>
      </c>
      <c r="AP266" s="313" t="str">
        <f ca="1">IF(OR(ISBLANK(tabItens[[#This Row],[ATA DT.VALID.]]),tabItens[[#This Row],[ATA DT.VALID.]]="",tabItens[[#This Row],[ATA DT.VALID.]]=" "),"",IF(TYPE(tabItens[[#This Row],[ATA DT.VALID.]])=1,ROUNDUP((tabItens[[#This Row],[ATA DT.VALID.]]-TODAY())/7,0),""))</f>
        <v/>
      </c>
      <c r="AQ266" s="314">
        <v>0</v>
      </c>
      <c r="AR266" s="315" t="str">
        <f>IF(ISBLANK(tabItens[[#This Row],[CÓDIGO]]),"",IFERROR(VLOOKUP(tabItens[[#This Row],[CÓDIGO]],Consumo!$C$2:$AC$869,26,FALSE),0))</f>
        <v>07.2023</v>
      </c>
      <c r="AS266" s="316">
        <f>SUMIF(Consumo!$C$3:$C$869,tabItens[[#This Row],[CÓDIGO]],Consumo!$N$3:$N$869) + SUMIF(Consumo!$C$3:$C$869,tabItens[[#This Row],[CÓDIGO]],Consumo!$O$3:$O$869) + SUMIF(Consumo!$C$3:$C$869,tabItens[[#This Row],[CÓDIGO]],Consumo!$P$3:$P$869) + SUMIF(Consumo!$C$3:$C$869,tabItens[[#This Row],[CÓDIGO]],Consumo!$Q$3:$Q$869)</f>
        <v>6262</v>
      </c>
      <c r="AT266" s="316">
        <f>SUMIF(Consumo!$C$3:$C$869,tabItens[[#This Row],[CÓDIGO]],Consumo!$Z$3:$Z$869)</f>
        <v>14899</v>
      </c>
      <c r="AU266" s="317">
        <f>SUMIF(Consumo!$C$3:$C$869,tabItens[[#This Row],[CÓDIGO]],Consumo!$AA$3:$AA$869)</f>
        <v>2340</v>
      </c>
      <c r="AV266" s="318">
        <f>SUMIF(Consumo!$C$3:$C$869,tabItens[[#This Row],[CÓDIGO]],Consumo!$Y$3:$Y$869)</f>
        <v>1241.5833333333333</v>
      </c>
      <c r="AW266" s="291">
        <f>tabItens[[#This Row],[QTDE ATUAL]] + tabItens[[#This Row],[RC QTDE]] + tabItens[[#This Row],[AF SALDO]] + tabItens[[#This Row],[Recentes]]</f>
        <v>14223</v>
      </c>
      <c r="AX266" s="319">
        <v>2084</v>
      </c>
      <c r="AY266" s="319">
        <v>4</v>
      </c>
      <c r="AZ266" s="319">
        <f>IF(ISBLANK(tabItens[[#This Row],[CÓDIGO]]),"",tabItens[[#This Row],[PontoMês]] * (AZ$2+tabItens[[#This Row],[PontoQtM]]))</f>
        <v>8336</v>
      </c>
      <c r="BA266" s="318">
        <f>tabItens[[#This Row],[PontoPed]] - tabItens[[#This Row],[Saldo]] + (1/10)</f>
        <v>-5886.9</v>
      </c>
      <c r="BB266" s="318">
        <f xml:space="preserve"> tabItens[[#This Row],[PontoMês]] * BB$2 - tabItens[[#This Row],[QTDE ATUAL]] - (1/10)</f>
        <v>-12139.1</v>
      </c>
      <c r="BC266" s="320">
        <f>IF( tabItens[[#This Row],[PontoPed]]&gt;0, IF(tabItens[[#This Row],[PontoPed]]&lt;1, 1, IF( tabItens[[#This Row],[Saldo]]&gt;tabItens[[#This Row],[PontoPed]], 0, (tabItens[[#This Row],[PontoPed]]-tabItens[[#This Row],[Saldo]])/tabItens[[#This Row],[PontoPed]] ) ), 0 )</f>
        <v>0</v>
      </c>
      <c r="BD266" s="321">
        <f>ROUNDDOWN(IF( OR( AND(tabItens[[#This Row],[PontoPed]]&lt;tabItens[[#This Row],[Saldo]],tabItens[[#This Row],[Saldo]]&gt;0), tabItens[[#This Row],[PontoPed]]=0), 99, IF(AND(tabItens[[#This Row],[Saldo]]=0,tabItens[[#This Row],[PontoPed]]&gt;0), 0, (1-tabItens[[#This Row],[PctAb]])*10 ) ),0)</f>
        <v>99</v>
      </c>
      <c r="BE266" s="322">
        <f>MAX(ROUNDDOWN( IF(tabItens[[#This Row],[Abaixo]] &gt; 0,   tabItens[[#This Row],[Abaixo]] + (tabItens[[#This Row],[PontoMês]] * IF( OR( ISBLANK(tabItens[[#This Row],[ATA Nº/ANO]]), tabItens[[#This Row],[ATA Nº/ANO]] = ""),BE$2,BE$1)),0),0),0)</f>
        <v>0</v>
      </c>
      <c r="BF26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23">
        <f>SUMIF(Consumo!$C$3:$C$869,tabItens[[#This Row],[CÓDIGO]],Consumo!$E$3:$E$869)</f>
        <v>40</v>
      </c>
      <c r="BH266" s="324">
        <f>IF(AND(tabItens[[#This Row],[Pend]] &gt; 0,tabItens[[#This Row],[Consumo]] &lt;&gt; 0), tabItens[[#This Row],[Pend]] / tabItens[[#This Row],[Consumo]], 0 )</f>
        <v>2.6847439425464795E-3</v>
      </c>
      <c r="BI266" s="323"/>
      <c r="BJ266" s="323"/>
      <c r="BK266" s="325" t="s">
        <v>2064</v>
      </c>
    </row>
    <row r="267" spans="1:63" hidden="1" x14ac:dyDescent="0.3">
      <c r="A267" s="286">
        <v>47447</v>
      </c>
      <c r="B267" s="287" t="s">
        <v>1288</v>
      </c>
      <c r="C267" s="288" t="s">
        <v>569</v>
      </c>
      <c r="D267" s="289">
        <v>1.55</v>
      </c>
      <c r="E267" s="290"/>
      <c r="F267" s="290"/>
      <c r="G267" s="290" t="s">
        <v>883</v>
      </c>
      <c r="H267" s="291">
        <v>15291</v>
      </c>
      <c r="I267" s="292">
        <v>103003</v>
      </c>
      <c r="J267" s="293">
        <v>1.55</v>
      </c>
      <c r="K267" s="294">
        <v>11991</v>
      </c>
      <c r="L267" s="295">
        <f>IF(tabItens[[#This Row],[Média]] &gt; 0, tabItens[[#This Row],[QTDE ATUAL]] / tabItens[[#This Row],[Média]],999.9)</f>
        <v>9.9491405953478278</v>
      </c>
      <c r="M267" s="296">
        <v>0</v>
      </c>
      <c r="N267" s="297">
        <f>tabItens[[#This Row],[VALOR UNIT.]] * tabItens[[#This Row],[LC]]</f>
        <v>0</v>
      </c>
      <c r="O267" s="298" t="s">
        <v>2066</v>
      </c>
      <c r="P267" s="299"/>
      <c r="Q267" s="300"/>
      <c r="R267" s="297"/>
      <c r="S267" s="301"/>
      <c r="T267" s="302">
        <f>ROUNDDOWN(IFERROR(tabItens[[#This Row],[ATA DT.VALID.]] - $D$1,0) / 30,0)</f>
        <v>-1504</v>
      </c>
      <c r="U267" s="287" t="s">
        <v>941</v>
      </c>
      <c r="V267" s="303">
        <v>1</v>
      </c>
      <c r="W267" s="304" t="s">
        <v>2052</v>
      </c>
      <c r="X267" s="305">
        <v>57</v>
      </c>
      <c r="Y267" s="306">
        <v>16</v>
      </c>
      <c r="Z267" s="307"/>
      <c r="AA267" s="308"/>
      <c r="AB267" s="309"/>
      <c r="AC267" s="309"/>
      <c r="AD267" s="308"/>
      <c r="AE267" s="309"/>
      <c r="AF267" s="302"/>
      <c r="AG267" s="310" t="s">
        <v>2050</v>
      </c>
      <c r="AH267" s="311"/>
      <c r="AI267" s="302">
        <v>6276</v>
      </c>
      <c r="AJ267" s="311">
        <v>44960</v>
      </c>
      <c r="AK267" s="311" t="s">
        <v>883</v>
      </c>
      <c r="AL267" s="311">
        <v>44971</v>
      </c>
      <c r="AM267" s="301"/>
      <c r="AN267" s="290"/>
      <c r="AO267" s="312" t="str">
        <f>_xlfn.IFNA(IF(VLOOKUP(tabItens[[#This Row],[CÓDIGO]],tabExcluirDoEstoque[#Data],1,FALSE),"sim",""),"")</f>
        <v/>
      </c>
      <c r="AP267" s="313" t="str">
        <f ca="1">IF(OR(ISBLANK(tabItens[[#This Row],[ATA DT.VALID.]]),tabItens[[#This Row],[ATA DT.VALID.]]="",tabItens[[#This Row],[ATA DT.VALID.]]=" "),"",IF(TYPE(tabItens[[#This Row],[ATA DT.VALID.]])=1,ROUNDUP((tabItens[[#This Row],[ATA DT.VALID.]]-TODAY())/7,0),""))</f>
        <v/>
      </c>
      <c r="AQ267" s="314">
        <v>0</v>
      </c>
      <c r="AR267" s="315" t="str">
        <f>IF(ISBLANK(tabItens[[#This Row],[CÓDIGO]]),"",IFERROR(VLOOKUP(tabItens[[#This Row],[CÓDIGO]],Consumo!$C$2:$AC$869,26,FALSE),0))</f>
        <v>07.2023</v>
      </c>
      <c r="AS267" s="316">
        <f>SUMIF(Consumo!$C$3:$C$869,tabItens[[#This Row],[CÓDIGO]],Consumo!$N$3:$N$869) + SUMIF(Consumo!$C$3:$C$869,tabItens[[#This Row],[CÓDIGO]],Consumo!$O$3:$O$869) + SUMIF(Consumo!$C$3:$C$869,tabItens[[#This Row],[CÓDIGO]],Consumo!$P$3:$P$869) + SUMIF(Consumo!$C$3:$C$869,tabItens[[#This Row],[CÓDIGO]],Consumo!$Q$3:$Q$869)</f>
        <v>6905</v>
      </c>
      <c r="AT267" s="316">
        <f>SUMIF(Consumo!$C$3:$C$869,tabItens[[#This Row],[CÓDIGO]],Consumo!$Z$3:$Z$869)</f>
        <v>18443</v>
      </c>
      <c r="AU267" s="317">
        <f>SUMIF(Consumo!$C$3:$C$869,tabItens[[#This Row],[CÓDIGO]],Consumo!$AA$3:$AA$869)</f>
        <v>2795</v>
      </c>
      <c r="AV267" s="318">
        <f>SUMIF(Consumo!$C$3:$C$869,tabItens[[#This Row],[CÓDIGO]],Consumo!$Y$3:$Y$869)</f>
        <v>1536.9166666666667</v>
      </c>
      <c r="AW267" s="291">
        <f>tabItens[[#This Row],[QTDE ATUAL]] + tabItens[[#This Row],[RC QTDE]] + tabItens[[#This Row],[AF SALDO]] + tabItens[[#This Row],[Recentes]]</f>
        <v>15291</v>
      </c>
      <c r="AX267" s="319">
        <v>2084</v>
      </c>
      <c r="AY267" s="319">
        <v>4</v>
      </c>
      <c r="AZ267" s="319">
        <f>IF(ISBLANK(tabItens[[#This Row],[CÓDIGO]]),"",tabItens[[#This Row],[PontoMês]] * (AZ$2+tabItens[[#This Row],[PontoQtM]]))</f>
        <v>8336</v>
      </c>
      <c r="BA267" s="318">
        <f>tabItens[[#This Row],[PontoPed]] - tabItens[[#This Row],[Saldo]] + (1/10)</f>
        <v>-6954.9</v>
      </c>
      <c r="BB267" s="318">
        <f xml:space="preserve"> tabItens[[#This Row],[PontoMês]] * BB$2 - tabItens[[#This Row],[QTDE ATUAL]] - (1/10)</f>
        <v>-13207.1</v>
      </c>
      <c r="BC267" s="320">
        <f>IF( tabItens[[#This Row],[PontoPed]]&gt;0, IF(tabItens[[#This Row],[PontoPed]]&lt;1, 1, IF( tabItens[[#This Row],[Saldo]]&gt;tabItens[[#This Row],[PontoPed]], 0, (tabItens[[#This Row],[PontoPed]]-tabItens[[#This Row],[Saldo]])/tabItens[[#This Row],[PontoPed]] ) ), 0 )</f>
        <v>0</v>
      </c>
      <c r="BD267" s="321">
        <f>ROUNDDOWN(IF( OR( AND(tabItens[[#This Row],[PontoPed]]&lt;tabItens[[#This Row],[Saldo]],tabItens[[#This Row],[Saldo]]&gt;0), tabItens[[#This Row],[PontoPed]]=0), 99, IF(AND(tabItens[[#This Row],[Saldo]]=0,tabItens[[#This Row],[PontoPed]]&gt;0), 0, (1-tabItens[[#This Row],[PctAb]])*10 ) ),0)</f>
        <v>99</v>
      </c>
      <c r="BE267" s="322">
        <f>MAX(ROUNDDOWN( IF(tabItens[[#This Row],[Abaixo]] &gt; 0,   tabItens[[#This Row],[Abaixo]] + (tabItens[[#This Row],[PontoMês]] * IF( OR( ISBLANK(tabItens[[#This Row],[ATA Nº/ANO]]), tabItens[[#This Row],[ATA Nº/ANO]] = ""),BE$2,BE$1)),0),0),0)</f>
        <v>0</v>
      </c>
      <c r="BF2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23">
        <f>SUMIF(Consumo!$C$3:$C$869,tabItens[[#This Row],[CÓDIGO]],Consumo!$E$3:$E$869)</f>
        <v>50</v>
      </c>
      <c r="BH267" s="324">
        <f>IF(AND(tabItens[[#This Row],[Pend]] &gt; 0,tabItens[[#This Row],[Consumo]] &lt;&gt; 0), tabItens[[#This Row],[Pend]] / tabItens[[#This Row],[Consumo]], 0 )</f>
        <v>2.7110556850837718E-3</v>
      </c>
      <c r="BI267" s="323"/>
      <c r="BJ267" s="323"/>
      <c r="BK267" s="325" t="s">
        <v>2064</v>
      </c>
    </row>
    <row r="268" spans="1:63" hidden="1" x14ac:dyDescent="0.3">
      <c r="A268" s="286">
        <v>70379</v>
      </c>
      <c r="B268" s="287" t="s">
        <v>1395</v>
      </c>
      <c r="C268" s="288" t="s">
        <v>894</v>
      </c>
      <c r="D268" s="289">
        <v>39.15</v>
      </c>
      <c r="E268" s="290"/>
      <c r="F268" s="290"/>
      <c r="G268" s="290" t="s">
        <v>883</v>
      </c>
      <c r="H268" s="291">
        <v>2414</v>
      </c>
      <c r="I268" s="292">
        <v>103003</v>
      </c>
      <c r="J268" s="293">
        <v>39.15</v>
      </c>
      <c r="K268" s="294">
        <v>3524</v>
      </c>
      <c r="L268" s="295">
        <f>IF(tabItens[[#This Row],[Média]] &gt; 0, tabItens[[#This Row],[QTDE ATUAL]] / tabItens[[#This Row],[Média]],999.9)</f>
        <v>7.8440292445166531</v>
      </c>
      <c r="M268" s="296">
        <v>0</v>
      </c>
      <c r="N268" s="297">
        <f>tabItens[[#This Row],[VALOR UNIT.]] * tabItens[[#This Row],[LC]]</f>
        <v>0</v>
      </c>
      <c r="O268" s="298" t="s">
        <v>2066</v>
      </c>
      <c r="P268" s="299"/>
      <c r="Q268" s="300"/>
      <c r="R268" s="297"/>
      <c r="S268" s="301"/>
      <c r="T268" s="302">
        <f>ROUNDDOWN(IFERROR(tabItens[[#This Row],[ATA DT.VALID.]] - $D$1,0) / 30,0)</f>
        <v>-1504</v>
      </c>
      <c r="U268" s="287" t="s">
        <v>1359</v>
      </c>
      <c r="V268" s="303">
        <v>1</v>
      </c>
      <c r="W268" s="304" t="s">
        <v>2052</v>
      </c>
      <c r="X268" s="305">
        <v>57</v>
      </c>
      <c r="Y268" s="306">
        <v>17</v>
      </c>
      <c r="Z268" s="307"/>
      <c r="AA268" s="308"/>
      <c r="AB268" s="309"/>
      <c r="AC268" s="309"/>
      <c r="AD268" s="308"/>
      <c r="AE268" s="309"/>
      <c r="AF268" s="302"/>
      <c r="AG268" s="310" t="s">
        <v>2050</v>
      </c>
      <c r="AH268" s="311"/>
      <c r="AI268" s="302">
        <v>1260</v>
      </c>
      <c r="AJ268" s="311">
        <v>45090</v>
      </c>
      <c r="AK268" s="311" t="s">
        <v>883</v>
      </c>
      <c r="AL268" s="311">
        <v>45002</v>
      </c>
      <c r="AM268" s="301"/>
      <c r="AN268" s="290"/>
      <c r="AO268" s="312" t="str">
        <f>_xlfn.IFNA(IF(VLOOKUP(tabItens[[#This Row],[CÓDIGO]],tabExcluirDoEstoque[#Data],1,FALSE),"sim",""),"")</f>
        <v/>
      </c>
      <c r="AP268" s="313" t="str">
        <f ca="1">IF(OR(ISBLANK(tabItens[[#This Row],[ATA DT.VALID.]]),tabItens[[#This Row],[ATA DT.VALID.]]="",tabItens[[#This Row],[ATA DT.VALID.]]=" "),"",IF(TYPE(tabItens[[#This Row],[ATA DT.VALID.]])=1,ROUNDUP((tabItens[[#This Row],[ATA DT.VALID.]]-TODAY())/7,0),""))</f>
        <v/>
      </c>
      <c r="AQ268" s="314">
        <v>0</v>
      </c>
      <c r="AR268" s="315" t="str">
        <f>IF(ISBLANK(tabItens[[#This Row],[CÓDIGO]]),"",IFERROR(VLOOKUP(tabItens[[#This Row],[CÓDIGO]],Consumo!$C$2:$AC$869,26,FALSE),0))</f>
        <v>07.2023</v>
      </c>
      <c r="AS268" s="316">
        <f>SUMIF(Consumo!$C$3:$C$869,tabItens[[#This Row],[CÓDIGO]],Consumo!$N$3:$N$869) + SUMIF(Consumo!$C$3:$C$869,tabItens[[#This Row],[CÓDIGO]],Consumo!$O$3:$O$869) + SUMIF(Consumo!$C$3:$C$869,tabItens[[#This Row],[CÓDIGO]],Consumo!$P$3:$P$869) + SUMIF(Consumo!$C$3:$C$869,tabItens[[#This Row],[CÓDIGO]],Consumo!$Q$3:$Q$869)</f>
        <v>653</v>
      </c>
      <c r="AT268" s="316">
        <f>SUMIF(Consumo!$C$3:$C$869,tabItens[[#This Row],[CÓDIGO]],Consumo!$Z$3:$Z$869)</f>
        <v>3803</v>
      </c>
      <c r="AU268" s="317">
        <f>SUMIF(Consumo!$C$3:$C$869,tabItens[[#This Row],[CÓDIGO]],Consumo!$AA$3:$AA$869)</f>
        <v>1285</v>
      </c>
      <c r="AV268" s="318">
        <f>SUMIF(Consumo!$C$3:$C$869,tabItens[[#This Row],[CÓDIGO]],Consumo!$Y$3:$Y$869)</f>
        <v>307.75</v>
      </c>
      <c r="AW268" s="291">
        <f>tabItens[[#This Row],[QTDE ATUAL]] + tabItens[[#This Row],[RC QTDE]] + tabItens[[#This Row],[AF SALDO]] + tabItens[[#This Row],[Recentes]]</f>
        <v>2414</v>
      </c>
      <c r="AX268" s="319">
        <v>275</v>
      </c>
      <c r="AY268" s="319">
        <v>4</v>
      </c>
      <c r="AZ268" s="319">
        <f>IF(ISBLANK(tabItens[[#This Row],[CÓDIGO]]),"",tabItens[[#This Row],[PontoMês]] * (AZ$2+tabItens[[#This Row],[PontoQtM]]))</f>
        <v>1100</v>
      </c>
      <c r="BA268" s="318">
        <f>tabItens[[#This Row],[PontoPed]] - tabItens[[#This Row],[Saldo]] + (1/10)</f>
        <v>-1313.9</v>
      </c>
      <c r="BB268" s="318">
        <f xml:space="preserve"> tabItens[[#This Row],[PontoMês]] * BB$2 - tabItens[[#This Row],[QTDE ATUAL]] - (1/10)</f>
        <v>-2139.1</v>
      </c>
      <c r="BC268" s="320">
        <f>IF( tabItens[[#This Row],[PontoPed]]&gt;0, IF(tabItens[[#This Row],[PontoPed]]&lt;1, 1, IF( tabItens[[#This Row],[Saldo]]&gt;tabItens[[#This Row],[PontoPed]], 0, (tabItens[[#This Row],[PontoPed]]-tabItens[[#This Row],[Saldo]])/tabItens[[#This Row],[PontoPed]] ) ), 0 )</f>
        <v>0</v>
      </c>
      <c r="BD268" s="321">
        <f>ROUNDDOWN(IF( OR( AND(tabItens[[#This Row],[PontoPed]]&lt;tabItens[[#This Row],[Saldo]],tabItens[[#This Row],[Saldo]]&gt;0), tabItens[[#This Row],[PontoPed]]=0), 99, IF(AND(tabItens[[#This Row],[Saldo]]=0,tabItens[[#This Row],[PontoPed]]&gt;0), 0, (1-tabItens[[#This Row],[PctAb]])*10 ) ),0)</f>
        <v>99</v>
      </c>
      <c r="BE268" s="322">
        <f>MAX(ROUNDDOWN( IF(tabItens[[#This Row],[Abaixo]] &gt; 0,   tabItens[[#This Row],[Abaixo]] + (tabItens[[#This Row],[PontoMês]] * IF( OR( ISBLANK(tabItens[[#This Row],[ATA Nº/ANO]]), tabItens[[#This Row],[ATA Nº/ANO]] = ""),BE$2,BE$1)),0),0),0)</f>
        <v>0</v>
      </c>
      <c r="BF2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23">
        <f>SUMIF(Consumo!$C$3:$C$869,tabItens[[#This Row],[CÓDIGO]],Consumo!$E$3:$E$869)</f>
        <v>25</v>
      </c>
      <c r="BH268" s="324">
        <f>IF(AND(tabItens[[#This Row],[Pend]] &gt; 0,tabItens[[#This Row],[Consumo]] &lt;&gt; 0), tabItens[[#This Row],[Pend]] / tabItens[[#This Row],[Consumo]], 0 )</f>
        <v>6.5737575598211941E-3</v>
      </c>
      <c r="BI268" s="323"/>
      <c r="BJ268" s="323"/>
      <c r="BK268" s="325" t="s">
        <v>2064</v>
      </c>
    </row>
    <row r="269" spans="1:63" hidden="1" x14ac:dyDescent="0.3">
      <c r="A269" s="286">
        <v>92907</v>
      </c>
      <c r="B269" s="287" t="s">
        <v>1524</v>
      </c>
      <c r="C269" s="288" t="s">
        <v>268</v>
      </c>
      <c r="D269" s="289">
        <v>38</v>
      </c>
      <c r="E269" s="290"/>
      <c r="F269" s="290"/>
      <c r="G269" s="290" t="s">
        <v>883</v>
      </c>
      <c r="H269" s="291">
        <v>2972</v>
      </c>
      <c r="I269" s="292">
        <v>103003</v>
      </c>
      <c r="J269" s="293">
        <v>38</v>
      </c>
      <c r="K269" s="294">
        <v>2844</v>
      </c>
      <c r="L269" s="295">
        <f>IF(tabItens[[#This Row],[Média]] &gt; 0, tabItens[[#This Row],[QTDE ATUAL]] / tabItens[[#This Row],[Média]],999.9)</f>
        <v>11.817097415506959</v>
      </c>
      <c r="M269" s="296">
        <v>0</v>
      </c>
      <c r="N269" s="297">
        <f>tabItens[[#This Row],[VALOR UNIT.]] * tabItens[[#This Row],[LC]]</f>
        <v>0</v>
      </c>
      <c r="O269" s="298" t="s">
        <v>2066</v>
      </c>
      <c r="P269" s="299"/>
      <c r="Q269" s="300"/>
      <c r="R269" s="297"/>
      <c r="S269" s="301"/>
      <c r="T269" s="302">
        <f>ROUNDDOWN(IFERROR(tabItens[[#This Row],[ATA DT.VALID.]] - $D$1,0) / 30,0)</f>
        <v>-1504</v>
      </c>
      <c r="U269" s="287" t="s">
        <v>1359</v>
      </c>
      <c r="V269" s="303">
        <v>1</v>
      </c>
      <c r="W269" s="304" t="s">
        <v>2052</v>
      </c>
      <c r="X269" s="305">
        <v>57</v>
      </c>
      <c r="Y269" s="306">
        <v>17</v>
      </c>
      <c r="Z269" s="307"/>
      <c r="AA269" s="308"/>
      <c r="AB269" s="309"/>
      <c r="AC269" s="309"/>
      <c r="AD269" s="308"/>
      <c r="AE269" s="309"/>
      <c r="AF269" s="302"/>
      <c r="AG269" s="310" t="s">
        <v>2050</v>
      </c>
      <c r="AH269" s="311"/>
      <c r="AI269" s="302">
        <v>1208</v>
      </c>
      <c r="AJ269" s="311">
        <v>44131</v>
      </c>
      <c r="AK269" s="311">
        <v>38904</v>
      </c>
      <c r="AL269" s="311">
        <v>45049</v>
      </c>
      <c r="AM269" s="301"/>
      <c r="AN269" s="290"/>
      <c r="AO269" s="312" t="str">
        <f>_xlfn.IFNA(IF(VLOOKUP(tabItens[[#This Row],[CÓDIGO]],tabExcluirDoEstoque[#Data],1,FALSE),"sim",""),"")</f>
        <v/>
      </c>
      <c r="AP269" s="313" t="str">
        <f ca="1">IF(OR(ISBLANK(tabItens[[#This Row],[ATA DT.VALID.]]),tabItens[[#This Row],[ATA DT.VALID.]]="",tabItens[[#This Row],[ATA DT.VALID.]]=" "),"",IF(TYPE(tabItens[[#This Row],[ATA DT.VALID.]])=1,ROUNDUP((tabItens[[#This Row],[ATA DT.VALID.]]-TODAY())/7,0),""))</f>
        <v/>
      </c>
      <c r="AQ269" s="314">
        <v>0</v>
      </c>
      <c r="AR269" s="315" t="str">
        <f>IF(ISBLANK(tabItens[[#This Row],[CÓDIGO]]),"",IFERROR(VLOOKUP(tabItens[[#This Row],[CÓDIGO]],Consumo!$C$2:$AC$869,26,FALSE),0))</f>
        <v>07.2023</v>
      </c>
      <c r="AS269" s="316">
        <f>SUMIF(Consumo!$C$3:$C$869,tabItens[[#This Row],[CÓDIGO]],Consumo!$N$3:$N$869) + SUMIF(Consumo!$C$3:$C$869,tabItens[[#This Row],[CÓDIGO]],Consumo!$O$3:$O$869) + SUMIF(Consumo!$C$3:$C$869,tabItens[[#This Row],[CÓDIGO]],Consumo!$P$3:$P$869) + SUMIF(Consumo!$C$3:$C$869,tabItens[[#This Row],[CÓDIGO]],Consumo!$Q$3:$Q$869)</f>
        <v>802</v>
      </c>
      <c r="AT269" s="316">
        <f>SUMIF(Consumo!$C$3:$C$869,tabItens[[#This Row],[CÓDIGO]],Consumo!$Z$3:$Z$869)</f>
        <v>3626</v>
      </c>
      <c r="AU269" s="317">
        <f>SUMIF(Consumo!$C$3:$C$869,tabItens[[#This Row],[CÓDIGO]],Consumo!$AA$3:$AA$869)</f>
        <v>1876</v>
      </c>
      <c r="AV269" s="318">
        <f>SUMIF(Consumo!$C$3:$C$869,tabItens[[#This Row],[CÓDIGO]],Consumo!$Y$3:$Y$869)</f>
        <v>251.5</v>
      </c>
      <c r="AW269" s="291">
        <f>tabItens[[#This Row],[QTDE ATUAL]] + tabItens[[#This Row],[RC QTDE]] + tabItens[[#This Row],[AF SALDO]] + tabItens[[#This Row],[Recentes]]</f>
        <v>2972</v>
      </c>
      <c r="AX269" s="319">
        <v>325</v>
      </c>
      <c r="AY269" s="319">
        <v>4</v>
      </c>
      <c r="AZ269" s="319">
        <f>IF(ISBLANK(tabItens[[#This Row],[CÓDIGO]]),"",tabItens[[#This Row],[PontoMês]] * (AZ$2+tabItens[[#This Row],[PontoQtM]]))</f>
        <v>1300</v>
      </c>
      <c r="BA269" s="318">
        <f>tabItens[[#This Row],[PontoPed]] - tabItens[[#This Row],[Saldo]] + (1/10)</f>
        <v>-1671.9</v>
      </c>
      <c r="BB269" s="318">
        <f xml:space="preserve"> tabItens[[#This Row],[PontoMês]] * BB$2 - tabItens[[#This Row],[QTDE ATUAL]] - (1/10)</f>
        <v>-2647.1</v>
      </c>
      <c r="BC269" s="320">
        <f>IF( tabItens[[#This Row],[PontoPed]]&gt;0, IF(tabItens[[#This Row],[PontoPed]]&lt;1, 1, IF( tabItens[[#This Row],[Saldo]]&gt;tabItens[[#This Row],[PontoPed]], 0, (tabItens[[#This Row],[PontoPed]]-tabItens[[#This Row],[Saldo]])/tabItens[[#This Row],[PontoPed]] ) ), 0 )</f>
        <v>0</v>
      </c>
      <c r="BD269" s="321">
        <f>ROUNDDOWN(IF( OR( AND(tabItens[[#This Row],[PontoPed]]&lt;tabItens[[#This Row],[Saldo]],tabItens[[#This Row],[Saldo]]&gt;0), tabItens[[#This Row],[PontoPed]]=0), 99, IF(AND(tabItens[[#This Row],[Saldo]]=0,tabItens[[#This Row],[PontoPed]]&gt;0), 0, (1-tabItens[[#This Row],[PctAb]])*10 ) ),0)</f>
        <v>99</v>
      </c>
      <c r="BE269" s="322">
        <f>MAX(ROUNDDOWN( IF(tabItens[[#This Row],[Abaixo]] &gt; 0,   tabItens[[#This Row],[Abaixo]] + (tabItens[[#This Row],[PontoMês]] * IF( OR( ISBLANK(tabItens[[#This Row],[ATA Nº/ANO]]), tabItens[[#This Row],[ATA Nº/ANO]] = ""),BE$2,BE$1)),0),0),0)</f>
        <v>0</v>
      </c>
      <c r="BF2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23">
        <f>SUMIF(Consumo!$C$3:$C$869,tabItens[[#This Row],[CÓDIGO]],Consumo!$E$3:$E$869)</f>
        <v>2</v>
      </c>
      <c r="BH269" s="324">
        <f>IF(AND(tabItens[[#This Row],[Pend]] &gt; 0,tabItens[[#This Row],[Consumo]] &lt;&gt; 0), tabItens[[#This Row],[Pend]] / tabItens[[#This Row],[Consumo]], 0 )</f>
        <v>5.5157198014340876E-4</v>
      </c>
      <c r="BI269" s="323"/>
      <c r="BJ269" s="323"/>
      <c r="BK269" s="325" t="s">
        <v>2064</v>
      </c>
    </row>
    <row r="270" spans="1:63" hidden="1" x14ac:dyDescent="0.3">
      <c r="A270" s="286">
        <v>92908</v>
      </c>
      <c r="B270" s="287" t="s">
        <v>1525</v>
      </c>
      <c r="C270" s="288" t="s">
        <v>268</v>
      </c>
      <c r="D270" s="289">
        <v>38</v>
      </c>
      <c r="E270" s="290"/>
      <c r="F270" s="290"/>
      <c r="G270" s="290" t="s">
        <v>883</v>
      </c>
      <c r="H270" s="291">
        <v>2478</v>
      </c>
      <c r="I270" s="292">
        <v>103003</v>
      </c>
      <c r="J270" s="293">
        <v>38</v>
      </c>
      <c r="K270" s="294">
        <v>2972</v>
      </c>
      <c r="L270" s="295">
        <f>IF(tabItens[[#This Row],[Média]] &gt; 0, tabItens[[#This Row],[QTDE ATUAL]] / tabItens[[#This Row],[Média]],999.9)</f>
        <v>9.3070422535211268</v>
      </c>
      <c r="M270" s="296">
        <v>0</v>
      </c>
      <c r="N270" s="297">
        <f>tabItens[[#This Row],[VALOR UNIT.]] * tabItens[[#This Row],[LC]]</f>
        <v>0</v>
      </c>
      <c r="O270" s="298" t="s">
        <v>2066</v>
      </c>
      <c r="P270" s="299"/>
      <c r="Q270" s="300"/>
      <c r="R270" s="297"/>
      <c r="S270" s="301"/>
      <c r="T270" s="302">
        <f>ROUNDDOWN(IFERROR(tabItens[[#This Row],[ATA DT.VALID.]] - $D$1,0) / 30,0)</f>
        <v>-1504</v>
      </c>
      <c r="U270" s="287" t="s">
        <v>1359</v>
      </c>
      <c r="V270" s="303">
        <v>1</v>
      </c>
      <c r="W270" s="304" t="s">
        <v>2052</v>
      </c>
      <c r="X270" s="305">
        <v>57</v>
      </c>
      <c r="Y270" s="306">
        <v>17</v>
      </c>
      <c r="Z270" s="307"/>
      <c r="AA270" s="308"/>
      <c r="AB270" s="309"/>
      <c r="AC270" s="309"/>
      <c r="AD270" s="308"/>
      <c r="AE270" s="309"/>
      <c r="AF270" s="302"/>
      <c r="AG270" s="310" t="s">
        <v>2050</v>
      </c>
      <c r="AH270" s="311"/>
      <c r="AI270" s="302">
        <v>1268</v>
      </c>
      <c r="AJ270" s="311">
        <v>44141</v>
      </c>
      <c r="AK270" s="311">
        <v>38904</v>
      </c>
      <c r="AL270" s="311">
        <v>45049</v>
      </c>
      <c r="AM270" s="301"/>
      <c r="AN270" s="290"/>
      <c r="AO270" s="312" t="str">
        <f>_xlfn.IFNA(IF(VLOOKUP(tabItens[[#This Row],[CÓDIGO]],tabExcluirDoEstoque[#Data],1,FALSE),"sim",""),"")</f>
        <v/>
      </c>
      <c r="AP270" s="313" t="str">
        <f ca="1">IF(OR(ISBLANK(tabItens[[#This Row],[ATA DT.VALID.]]),tabItens[[#This Row],[ATA DT.VALID.]]="",tabItens[[#This Row],[ATA DT.VALID.]]=" "),"",IF(TYPE(tabItens[[#This Row],[ATA DT.VALID.]])=1,ROUNDUP((tabItens[[#This Row],[ATA DT.VALID.]]-TODAY())/7,0),""))</f>
        <v/>
      </c>
      <c r="AQ270" s="314">
        <v>0</v>
      </c>
      <c r="AR270" s="315" t="str">
        <f>IF(ISBLANK(tabItens[[#This Row],[CÓDIGO]]),"",IFERROR(VLOOKUP(tabItens[[#This Row],[CÓDIGO]],Consumo!$C$2:$AC$869,26,FALSE),0))</f>
        <v>07.2023</v>
      </c>
      <c r="AS270" s="316">
        <f>SUMIF(Consumo!$C$3:$C$869,tabItens[[#This Row],[CÓDIGO]],Consumo!$N$3:$N$869) + SUMIF(Consumo!$C$3:$C$869,tabItens[[#This Row],[CÓDIGO]],Consumo!$O$3:$O$869) + SUMIF(Consumo!$C$3:$C$869,tabItens[[#This Row],[CÓDIGO]],Consumo!$P$3:$P$869) + SUMIF(Consumo!$C$3:$C$869,tabItens[[#This Row],[CÓDIGO]],Consumo!$Q$3:$Q$869)</f>
        <v>880</v>
      </c>
      <c r="AT270" s="316">
        <f>SUMIF(Consumo!$C$3:$C$869,tabItens[[#This Row],[CÓDIGO]],Consumo!$Z$3:$Z$869)</f>
        <v>3804</v>
      </c>
      <c r="AU270" s="317">
        <f>SUMIF(Consumo!$C$3:$C$869,tabItens[[#This Row],[CÓDIGO]],Consumo!$AA$3:$AA$869)</f>
        <v>1900</v>
      </c>
      <c r="AV270" s="318">
        <f>SUMIF(Consumo!$C$3:$C$869,tabItens[[#This Row],[CÓDIGO]],Consumo!$Y$3:$Y$869)</f>
        <v>266.25</v>
      </c>
      <c r="AW270" s="291">
        <f>tabItens[[#This Row],[QTDE ATUAL]] + tabItens[[#This Row],[RC QTDE]] + tabItens[[#This Row],[AF SALDO]] + tabItens[[#This Row],[Recentes]]</f>
        <v>2478</v>
      </c>
      <c r="AX270" s="319">
        <v>327</v>
      </c>
      <c r="AY270" s="319">
        <v>4</v>
      </c>
      <c r="AZ270" s="319">
        <f>IF(ISBLANK(tabItens[[#This Row],[CÓDIGO]]),"",tabItens[[#This Row],[PontoMês]] * (AZ$2+tabItens[[#This Row],[PontoQtM]]))</f>
        <v>1308</v>
      </c>
      <c r="BA270" s="318">
        <f>tabItens[[#This Row],[PontoPed]] - tabItens[[#This Row],[Saldo]] + (1/10)</f>
        <v>-1169.9000000000001</v>
      </c>
      <c r="BB270" s="318">
        <f xml:space="preserve"> tabItens[[#This Row],[PontoMês]] * BB$2 - tabItens[[#This Row],[QTDE ATUAL]] - (1/10)</f>
        <v>-2151.1</v>
      </c>
      <c r="BC270" s="320">
        <f>IF( tabItens[[#This Row],[PontoPed]]&gt;0, IF(tabItens[[#This Row],[PontoPed]]&lt;1, 1, IF( tabItens[[#This Row],[Saldo]]&gt;tabItens[[#This Row],[PontoPed]], 0, (tabItens[[#This Row],[PontoPed]]-tabItens[[#This Row],[Saldo]])/tabItens[[#This Row],[PontoPed]] ) ), 0 )</f>
        <v>0</v>
      </c>
      <c r="BD270" s="321">
        <f>ROUNDDOWN(IF( OR( AND(tabItens[[#This Row],[PontoPed]]&lt;tabItens[[#This Row],[Saldo]],tabItens[[#This Row],[Saldo]]&gt;0), tabItens[[#This Row],[PontoPed]]=0), 99, IF(AND(tabItens[[#This Row],[Saldo]]=0,tabItens[[#This Row],[PontoPed]]&gt;0), 0, (1-tabItens[[#This Row],[PctAb]])*10 ) ),0)</f>
        <v>99</v>
      </c>
      <c r="BE270" s="322">
        <f>MAX(ROUNDDOWN( IF(tabItens[[#This Row],[Abaixo]] &gt; 0,   tabItens[[#This Row],[Abaixo]] + (tabItens[[#This Row],[PontoMês]] * IF( OR( ISBLANK(tabItens[[#This Row],[ATA Nº/ANO]]), tabItens[[#This Row],[ATA Nº/ANO]] = ""),BE$2,BE$1)),0),0),0)</f>
        <v>0</v>
      </c>
      <c r="BF2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23">
        <f>SUMIF(Consumo!$C$3:$C$869,tabItens[[#This Row],[CÓDIGO]],Consumo!$E$3:$E$869)</f>
        <v>2</v>
      </c>
      <c r="BH270" s="324">
        <f>IF(AND(tabItens[[#This Row],[Pend]] &gt; 0,tabItens[[#This Row],[Consumo]] &lt;&gt; 0), tabItens[[#This Row],[Pend]] / tabItens[[#This Row],[Consumo]], 0 )</f>
        <v>5.2576235541535224E-4</v>
      </c>
      <c r="BI270" s="323"/>
      <c r="BJ270" s="323"/>
      <c r="BK270" s="325" t="s">
        <v>2064</v>
      </c>
    </row>
    <row r="271" spans="1:63" hidden="1" x14ac:dyDescent="0.3">
      <c r="A271" s="286">
        <v>130624</v>
      </c>
      <c r="B271" s="287" t="s">
        <v>1796</v>
      </c>
      <c r="C271" s="288" t="s">
        <v>268</v>
      </c>
      <c r="D271" s="289">
        <v>9.5500000000000007</v>
      </c>
      <c r="E271" s="290"/>
      <c r="F271" s="290"/>
      <c r="G271" s="290" t="s">
        <v>883</v>
      </c>
      <c r="H271" s="291">
        <v>9912</v>
      </c>
      <c r="I271" s="292">
        <v>103003</v>
      </c>
      <c r="J271" s="293">
        <v>9.5500000000000007</v>
      </c>
      <c r="K271" s="294">
        <v>21639</v>
      </c>
      <c r="L271" s="295">
        <f>IF(tabItens[[#This Row],[Média]] &gt; 0, tabItens[[#This Row],[QTDE ATUAL]] / tabItens[[#This Row],[Média]],999.9)</f>
        <v>5.2216515211378898</v>
      </c>
      <c r="M271" s="296">
        <v>0</v>
      </c>
      <c r="N271" s="297">
        <f>tabItens[[#This Row],[VALOR UNIT.]] * tabItens[[#This Row],[LC]]</f>
        <v>0</v>
      </c>
      <c r="O271" s="298" t="s">
        <v>2066</v>
      </c>
      <c r="P271" s="299"/>
      <c r="Q271" s="300"/>
      <c r="R271" s="297"/>
      <c r="S271" s="301"/>
      <c r="T271" s="302">
        <f>ROUNDDOWN(IFERROR(tabItens[[#This Row],[ATA DT.VALID.]] - $D$1,0) / 30,0)</f>
        <v>-1504</v>
      </c>
      <c r="U271" s="287" t="s">
        <v>1359</v>
      </c>
      <c r="V271" s="303">
        <v>1</v>
      </c>
      <c r="W271" s="304" t="s">
        <v>2052</v>
      </c>
      <c r="X271" s="305">
        <v>57</v>
      </c>
      <c r="Y271" s="306">
        <v>17</v>
      </c>
      <c r="Z271" s="307">
        <v>6217</v>
      </c>
      <c r="AA271" s="308">
        <v>2023</v>
      </c>
      <c r="AB271" s="309">
        <v>1000</v>
      </c>
      <c r="AC271" s="309"/>
      <c r="AD271" s="308"/>
      <c r="AE271" s="309"/>
      <c r="AF271" s="302"/>
      <c r="AG271" s="310" t="s">
        <v>2050</v>
      </c>
      <c r="AH271" s="311"/>
      <c r="AI271" s="302">
        <v>9194</v>
      </c>
      <c r="AJ271" s="311">
        <v>44991</v>
      </c>
      <c r="AK271" s="311">
        <v>42205</v>
      </c>
      <c r="AL271" s="311">
        <v>45043</v>
      </c>
      <c r="AM271" s="301"/>
      <c r="AN271" s="290"/>
      <c r="AO271" s="312" t="str">
        <f>_xlfn.IFNA(IF(VLOOKUP(tabItens[[#This Row],[CÓDIGO]],tabExcluirDoEstoque[#Data],1,FALSE),"sim",""),"")</f>
        <v/>
      </c>
      <c r="AP271" s="313" t="str">
        <f ca="1">IF(OR(ISBLANK(tabItens[[#This Row],[ATA DT.VALID.]]),tabItens[[#This Row],[ATA DT.VALID.]]="",tabItens[[#This Row],[ATA DT.VALID.]]=" "),"",IF(TYPE(tabItens[[#This Row],[ATA DT.VALID.]])=1,ROUNDUP((tabItens[[#This Row],[ATA DT.VALID.]]-TODAY())/7,0),""))</f>
        <v/>
      </c>
      <c r="AQ271" s="314">
        <v>0</v>
      </c>
      <c r="AR271" s="315" t="str">
        <f>IF(ISBLANK(tabItens[[#This Row],[CÓDIGO]]),"",IFERROR(VLOOKUP(tabItens[[#This Row],[CÓDIGO]],Consumo!$C$2:$AC$869,26,FALSE),0))</f>
        <v>07.2023</v>
      </c>
      <c r="AS271" s="316">
        <f>SUMIF(Consumo!$C$3:$C$869,tabItens[[#This Row],[CÓDIGO]],Consumo!$N$3:$N$869) + SUMIF(Consumo!$C$3:$C$869,tabItens[[#This Row],[CÓDIGO]],Consumo!$O$3:$O$869) + SUMIF(Consumo!$C$3:$C$869,tabItens[[#This Row],[CÓDIGO]],Consumo!$P$3:$P$869) + SUMIF(Consumo!$C$3:$C$869,tabItens[[#This Row],[CÓDIGO]],Consumo!$Q$3:$Q$869)</f>
        <v>5210</v>
      </c>
      <c r="AT271" s="316">
        <f>SUMIF(Consumo!$C$3:$C$869,tabItens[[#This Row],[CÓDIGO]],Consumo!$Z$3:$Z$869)</f>
        <v>27609</v>
      </c>
      <c r="AU271" s="317">
        <f>SUMIF(Consumo!$C$3:$C$869,tabItens[[#This Row],[CÓDIGO]],Consumo!$AA$3:$AA$869)</f>
        <v>14769</v>
      </c>
      <c r="AV271" s="318">
        <f>SUMIF(Consumo!$C$3:$C$869,tabItens[[#This Row],[CÓDIGO]],Consumo!$Y$3:$Y$869)</f>
        <v>1898.25</v>
      </c>
      <c r="AW271" s="291">
        <f>tabItens[[#This Row],[QTDE ATUAL]] + tabItens[[#This Row],[RC QTDE]] + tabItens[[#This Row],[AF SALDO]] + tabItens[[#This Row],[Recentes]]</f>
        <v>10912</v>
      </c>
      <c r="AX271" s="319">
        <v>2667</v>
      </c>
      <c r="AY271" s="319">
        <v>4</v>
      </c>
      <c r="AZ271" s="319">
        <f>IF(ISBLANK(tabItens[[#This Row],[CÓDIGO]]),"",tabItens[[#This Row],[PontoMês]] * (AZ$2+tabItens[[#This Row],[PontoQtM]]))</f>
        <v>10668</v>
      </c>
      <c r="BA271" s="318">
        <f>tabItens[[#This Row],[PontoPed]] - tabItens[[#This Row],[Saldo]] + (1/10)</f>
        <v>-243.9</v>
      </c>
      <c r="BB271" s="318">
        <f xml:space="preserve"> tabItens[[#This Row],[PontoMês]] * BB$2 - tabItens[[#This Row],[QTDE ATUAL]] - (1/10)</f>
        <v>-7245.1</v>
      </c>
      <c r="BC271" s="320">
        <f>IF( tabItens[[#This Row],[PontoPed]]&gt;0, IF(tabItens[[#This Row],[PontoPed]]&lt;1, 1, IF( tabItens[[#This Row],[Saldo]]&gt;tabItens[[#This Row],[PontoPed]], 0, (tabItens[[#This Row],[PontoPed]]-tabItens[[#This Row],[Saldo]])/tabItens[[#This Row],[PontoPed]] ) ), 0 )</f>
        <v>0</v>
      </c>
      <c r="BD271" s="321">
        <f>ROUNDDOWN(IF( OR( AND(tabItens[[#This Row],[PontoPed]]&lt;tabItens[[#This Row],[Saldo]],tabItens[[#This Row],[Saldo]]&gt;0), tabItens[[#This Row],[PontoPed]]=0), 99, IF(AND(tabItens[[#This Row],[Saldo]]=0,tabItens[[#This Row],[PontoPed]]&gt;0), 0, (1-tabItens[[#This Row],[PctAb]])*10 ) ),0)</f>
        <v>99</v>
      </c>
      <c r="BE271" s="322">
        <f>MAX(ROUNDDOWN( IF(tabItens[[#This Row],[Abaixo]] &gt; 0,   tabItens[[#This Row],[Abaixo]] + (tabItens[[#This Row],[PontoMês]] * IF( OR( ISBLANK(tabItens[[#This Row],[ATA Nº/ANO]]), tabItens[[#This Row],[ATA Nº/ANO]] = ""),BE$2,BE$1)),0),0),0)</f>
        <v>0</v>
      </c>
      <c r="BF27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23">
        <f>SUMIF(Consumo!$C$3:$C$869,tabItens[[#This Row],[CÓDIGO]],Consumo!$E$3:$E$869)</f>
        <v>30</v>
      </c>
      <c r="BH271" s="324">
        <f>IF(AND(tabItens[[#This Row],[Pend]] &gt; 0,tabItens[[#This Row],[Consumo]] &lt;&gt; 0), tabItens[[#This Row],[Pend]] / tabItens[[#This Row],[Consumo]], 0 )</f>
        <v>1.0866021949364338E-3</v>
      </c>
      <c r="BI271" s="323"/>
      <c r="BJ271" s="323"/>
      <c r="BK271" s="325" t="s">
        <v>2064</v>
      </c>
    </row>
    <row r="272" spans="1:63" hidden="1" x14ac:dyDescent="0.3">
      <c r="A272" s="286">
        <v>132303</v>
      </c>
      <c r="B272" s="287" t="s">
        <v>1819</v>
      </c>
      <c r="C272" s="288" t="s">
        <v>1338</v>
      </c>
      <c r="D272" s="289">
        <v>6.22</v>
      </c>
      <c r="E272" s="290"/>
      <c r="F272" s="290"/>
      <c r="G272" s="290" t="s">
        <v>883</v>
      </c>
      <c r="H272" s="291">
        <v>11014</v>
      </c>
      <c r="I272" s="292">
        <v>103003</v>
      </c>
      <c r="J272" s="293">
        <v>6.22</v>
      </c>
      <c r="K272" s="294">
        <v>14939</v>
      </c>
      <c r="L272" s="295">
        <f>IF(tabItens[[#This Row],[Média]] &gt; 0, tabItens[[#This Row],[QTDE ATUAL]] / tabItens[[#This Row],[Média]],999.9)</f>
        <v>7.8215173393300974</v>
      </c>
      <c r="M272" s="296">
        <v>0</v>
      </c>
      <c r="N272" s="297">
        <f>tabItens[[#This Row],[VALOR UNIT.]] * tabItens[[#This Row],[LC]]</f>
        <v>0</v>
      </c>
      <c r="O272" s="298" t="s">
        <v>2066</v>
      </c>
      <c r="P272" s="299"/>
      <c r="Q272" s="300"/>
      <c r="R272" s="297"/>
      <c r="S272" s="301"/>
      <c r="T272" s="302">
        <f>ROUNDDOWN(IFERROR(tabItens[[#This Row],[ATA DT.VALID.]] - $D$1,0) / 30,0)</f>
        <v>-1504</v>
      </c>
      <c r="U272" s="287" t="s">
        <v>1359</v>
      </c>
      <c r="V272" s="303">
        <v>1</v>
      </c>
      <c r="W272" s="304" t="s">
        <v>2052</v>
      </c>
      <c r="X272" s="305">
        <v>57</v>
      </c>
      <c r="Y272" s="306">
        <v>17</v>
      </c>
      <c r="Z272" s="307"/>
      <c r="AA272" s="308"/>
      <c r="AB272" s="309"/>
      <c r="AC272" s="309"/>
      <c r="AD272" s="308"/>
      <c r="AE272" s="309"/>
      <c r="AF272" s="302"/>
      <c r="AG272" s="310" t="s">
        <v>2050</v>
      </c>
      <c r="AH272" s="311"/>
      <c r="AI272" s="302">
        <v>6588</v>
      </c>
      <c r="AJ272" s="311">
        <v>44466</v>
      </c>
      <c r="AK272" s="311">
        <v>42685</v>
      </c>
      <c r="AL272" s="311">
        <v>44460</v>
      </c>
      <c r="AM272" s="301"/>
      <c r="AN272" s="290"/>
      <c r="AO272" s="312" t="str">
        <f>_xlfn.IFNA(IF(VLOOKUP(tabItens[[#This Row],[CÓDIGO]],tabExcluirDoEstoque[#Data],1,FALSE),"sim",""),"")</f>
        <v/>
      </c>
      <c r="AP272" s="313" t="str">
        <f ca="1">IF(OR(ISBLANK(tabItens[[#This Row],[ATA DT.VALID.]]),tabItens[[#This Row],[ATA DT.VALID.]]="",tabItens[[#This Row],[ATA DT.VALID.]]=" "),"",IF(TYPE(tabItens[[#This Row],[ATA DT.VALID.]])=1,ROUNDUP((tabItens[[#This Row],[ATA DT.VALID.]]-TODAY())/7,0),""))</f>
        <v/>
      </c>
      <c r="AQ272" s="314">
        <v>0</v>
      </c>
      <c r="AR272" s="315" t="str">
        <f>IF(ISBLANK(tabItens[[#This Row],[CÓDIGO]]),"",IFERROR(VLOOKUP(tabItens[[#This Row],[CÓDIGO]],Consumo!$C$2:$AC$869,26,FALSE),0))</f>
        <v>07.2023</v>
      </c>
      <c r="AS272" s="316">
        <f>SUMIF(Consumo!$C$3:$C$869,tabItens[[#This Row],[CÓDIGO]],Consumo!$N$3:$N$869) + SUMIF(Consumo!$C$3:$C$869,tabItens[[#This Row],[CÓDIGO]],Consumo!$O$3:$O$869) + SUMIF(Consumo!$C$3:$C$869,tabItens[[#This Row],[CÓDIGO]],Consumo!$P$3:$P$869) + SUMIF(Consumo!$C$3:$C$869,tabItens[[#This Row],[CÓDIGO]],Consumo!$Q$3:$Q$869)</f>
        <v>4021</v>
      </c>
      <c r="AT272" s="316">
        <f>SUMIF(Consumo!$C$3:$C$869,tabItens[[#This Row],[CÓDIGO]],Consumo!$Z$3:$Z$869)</f>
        <v>19819</v>
      </c>
      <c r="AU272" s="317">
        <f>SUMIF(Consumo!$C$3:$C$869,tabItens[[#This Row],[CÓDIGO]],Consumo!$AA$3:$AA$869)</f>
        <v>9277</v>
      </c>
      <c r="AV272" s="318">
        <f>SUMIF(Consumo!$C$3:$C$869,tabItens[[#This Row],[CÓDIGO]],Consumo!$Y$3:$Y$869)</f>
        <v>1408.1666666666667</v>
      </c>
      <c r="AW272" s="291">
        <f>tabItens[[#This Row],[QTDE ATUAL]] + tabItens[[#This Row],[RC QTDE]] + tabItens[[#This Row],[AF SALDO]] + tabItens[[#This Row],[Recentes]]</f>
        <v>11014</v>
      </c>
      <c r="AX272" s="319">
        <v>2084</v>
      </c>
      <c r="AY272" s="319">
        <v>4</v>
      </c>
      <c r="AZ272" s="319">
        <f>IF(ISBLANK(tabItens[[#This Row],[CÓDIGO]]),"",tabItens[[#This Row],[PontoMês]] * (AZ$2+tabItens[[#This Row],[PontoQtM]]))</f>
        <v>8336</v>
      </c>
      <c r="BA272" s="318">
        <f>tabItens[[#This Row],[PontoPed]] - tabItens[[#This Row],[Saldo]] + (1/10)</f>
        <v>-2677.9</v>
      </c>
      <c r="BB272" s="318">
        <f xml:space="preserve"> tabItens[[#This Row],[PontoMês]] * BB$2 - tabItens[[#This Row],[QTDE ATUAL]] - (1/10)</f>
        <v>-8930.1</v>
      </c>
      <c r="BC272" s="320">
        <f>IF( tabItens[[#This Row],[PontoPed]]&gt;0, IF(tabItens[[#This Row],[PontoPed]]&lt;1, 1, IF( tabItens[[#This Row],[Saldo]]&gt;tabItens[[#This Row],[PontoPed]], 0, (tabItens[[#This Row],[PontoPed]]-tabItens[[#This Row],[Saldo]])/tabItens[[#This Row],[PontoPed]] ) ), 0 )</f>
        <v>0</v>
      </c>
      <c r="BD272" s="321">
        <f>ROUNDDOWN(IF( OR( AND(tabItens[[#This Row],[PontoPed]]&lt;tabItens[[#This Row],[Saldo]],tabItens[[#This Row],[Saldo]]&gt;0), tabItens[[#This Row],[PontoPed]]=0), 99, IF(AND(tabItens[[#This Row],[Saldo]]=0,tabItens[[#This Row],[PontoPed]]&gt;0), 0, (1-tabItens[[#This Row],[PctAb]])*10 ) ),0)</f>
        <v>99</v>
      </c>
      <c r="BE272" s="322">
        <f>MAX(ROUNDDOWN( IF(tabItens[[#This Row],[Abaixo]] &gt; 0,   tabItens[[#This Row],[Abaixo]] + (tabItens[[#This Row],[PontoMês]] * IF( OR( ISBLANK(tabItens[[#This Row],[ATA Nº/ANO]]), tabItens[[#This Row],[ATA Nº/ANO]] = ""),BE$2,BE$1)),0),0),0)</f>
        <v>0</v>
      </c>
      <c r="BF27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23">
        <f>SUMIF(Consumo!$C$3:$C$869,tabItens[[#This Row],[CÓDIGO]],Consumo!$E$3:$E$869)</f>
        <v>58</v>
      </c>
      <c r="BH272" s="324">
        <f>IF(AND(tabItens[[#This Row],[Pend]] &gt; 0,tabItens[[#This Row],[Consumo]] &lt;&gt; 0), tabItens[[#This Row],[Pend]] / tabItens[[#This Row],[Consumo]], 0 )</f>
        <v>2.9264846864120288E-3</v>
      </c>
      <c r="BI272" s="323"/>
      <c r="BJ272" s="323"/>
      <c r="BK272" s="325" t="s">
        <v>2064</v>
      </c>
    </row>
    <row r="273" spans="1:63" hidden="1" x14ac:dyDescent="0.3">
      <c r="A273" s="286">
        <v>10302</v>
      </c>
      <c r="B273" s="287" t="s">
        <v>893</v>
      </c>
      <c r="C273" s="288" t="s">
        <v>894</v>
      </c>
      <c r="D273" s="289">
        <v>15.86</v>
      </c>
      <c r="E273" s="290"/>
      <c r="F273" s="290"/>
      <c r="G273" s="290" t="s">
        <v>883</v>
      </c>
      <c r="H273" s="291">
        <v>8202</v>
      </c>
      <c r="I273" s="292">
        <v>103003</v>
      </c>
      <c r="J273" s="293">
        <v>15.86</v>
      </c>
      <c r="K273" s="294">
        <v>2768</v>
      </c>
      <c r="L273" s="295">
        <f>IF(tabItens[[#This Row],[Média]] &gt; 0, tabItens[[#This Row],[QTDE ATUAL]] / tabItens[[#This Row],[Média]],999.9)</f>
        <v>35.113806635747409</v>
      </c>
      <c r="M273" s="296">
        <v>0</v>
      </c>
      <c r="N273" s="297">
        <f>tabItens[[#This Row],[VALOR UNIT.]] * tabItens[[#This Row],[LC]]</f>
        <v>0</v>
      </c>
      <c r="O273" s="298" t="s">
        <v>2066</v>
      </c>
      <c r="P273" s="299"/>
      <c r="Q273" s="300"/>
      <c r="R273" s="297"/>
      <c r="S273" s="301"/>
      <c r="T273" s="302">
        <f>ROUNDDOWN(IFERROR(tabItens[[#This Row],[ATA DT.VALID.]] - $D$1,0) / 30,0)</f>
        <v>-1504</v>
      </c>
      <c r="U273" s="287" t="s">
        <v>895</v>
      </c>
      <c r="V273" s="303">
        <v>1</v>
      </c>
      <c r="W273" s="304" t="s">
        <v>2052</v>
      </c>
      <c r="X273" s="305">
        <v>57</v>
      </c>
      <c r="Y273" s="306">
        <v>19</v>
      </c>
      <c r="Z273" s="307"/>
      <c r="AA273" s="308"/>
      <c r="AB273" s="309"/>
      <c r="AC273" s="309"/>
      <c r="AD273" s="308"/>
      <c r="AE273" s="309"/>
      <c r="AF273" s="302"/>
      <c r="AG273" s="310" t="s">
        <v>2050</v>
      </c>
      <c r="AH273" s="311"/>
      <c r="AI273" s="302">
        <v>1134</v>
      </c>
      <c r="AJ273" s="311">
        <v>43826</v>
      </c>
      <c r="AK273" s="311" t="s">
        <v>883</v>
      </c>
      <c r="AL273" s="311">
        <v>43815</v>
      </c>
      <c r="AM273" s="301"/>
      <c r="AN273" s="290"/>
      <c r="AO273" s="312" t="str">
        <f>_xlfn.IFNA(IF(VLOOKUP(tabItens[[#This Row],[CÓDIGO]],tabExcluirDoEstoque[#Data],1,FALSE),"sim",""),"")</f>
        <v/>
      </c>
      <c r="AP273" s="313" t="str">
        <f ca="1">IF(OR(ISBLANK(tabItens[[#This Row],[ATA DT.VALID.]]),tabItens[[#This Row],[ATA DT.VALID.]]="",tabItens[[#This Row],[ATA DT.VALID.]]=" "),"",IF(TYPE(tabItens[[#This Row],[ATA DT.VALID.]])=1,ROUNDUP((tabItens[[#This Row],[ATA DT.VALID.]]-TODAY())/7,0),""))</f>
        <v/>
      </c>
      <c r="AQ273" s="314">
        <v>0</v>
      </c>
      <c r="AR273" s="315" t="str">
        <f>IF(ISBLANK(tabItens[[#This Row],[CÓDIGO]]),"",IFERROR(VLOOKUP(tabItens[[#This Row],[CÓDIGO]],Consumo!$C$2:$AC$869,26,FALSE),0))</f>
        <v>07.2023</v>
      </c>
      <c r="AS273" s="316">
        <f>SUMIF(Consumo!$C$3:$C$869,tabItens[[#This Row],[CÓDIGO]],Consumo!$N$3:$N$869) + SUMIF(Consumo!$C$3:$C$869,tabItens[[#This Row],[CÓDIGO]],Consumo!$O$3:$O$869) + SUMIF(Consumo!$C$3:$C$869,tabItens[[#This Row],[CÓDIGO]],Consumo!$P$3:$P$869) + SUMIF(Consumo!$C$3:$C$869,tabItens[[#This Row],[CÓDIGO]],Consumo!$Q$3:$Q$869)</f>
        <v>775</v>
      </c>
      <c r="AT273" s="316">
        <f>SUMIF(Consumo!$C$3:$C$869,tabItens[[#This Row],[CÓDIGO]],Consumo!$Z$3:$Z$869)</f>
        <v>3403</v>
      </c>
      <c r="AU273" s="317">
        <f>SUMIF(Consumo!$C$3:$C$869,tabItens[[#This Row],[CÓDIGO]],Consumo!$AA$3:$AA$869)</f>
        <v>1839</v>
      </c>
      <c r="AV273" s="318">
        <f>SUMIF(Consumo!$C$3:$C$869,tabItens[[#This Row],[CÓDIGO]],Consumo!$Y$3:$Y$869)</f>
        <v>233.58333333333334</v>
      </c>
      <c r="AW273" s="291">
        <f>tabItens[[#This Row],[QTDE ATUAL]] + tabItens[[#This Row],[RC QTDE]] + tabItens[[#This Row],[AF SALDO]] + tabItens[[#This Row],[Recentes]]</f>
        <v>8202</v>
      </c>
      <c r="AX273" s="319">
        <v>316</v>
      </c>
      <c r="AY273" s="319">
        <v>4</v>
      </c>
      <c r="AZ273" s="319">
        <f>IF(ISBLANK(tabItens[[#This Row],[CÓDIGO]]),"",tabItens[[#This Row],[PontoMês]] * (AZ$2+tabItens[[#This Row],[PontoQtM]]))</f>
        <v>1264</v>
      </c>
      <c r="BA273" s="318">
        <f>tabItens[[#This Row],[PontoPed]] - tabItens[[#This Row],[Saldo]] + (1/10)</f>
        <v>-6937.9</v>
      </c>
      <c r="BB273" s="318">
        <f xml:space="preserve"> tabItens[[#This Row],[PontoMês]] * BB$2 - tabItens[[#This Row],[QTDE ATUAL]] - (1/10)</f>
        <v>-7886.1</v>
      </c>
      <c r="BC273" s="320">
        <f>IF( tabItens[[#This Row],[PontoPed]]&gt;0, IF(tabItens[[#This Row],[PontoPed]]&lt;1, 1, IF( tabItens[[#This Row],[Saldo]]&gt;tabItens[[#This Row],[PontoPed]], 0, (tabItens[[#This Row],[PontoPed]]-tabItens[[#This Row],[Saldo]])/tabItens[[#This Row],[PontoPed]] ) ), 0 )</f>
        <v>0</v>
      </c>
      <c r="BD273" s="321">
        <f>ROUNDDOWN(IF( OR( AND(tabItens[[#This Row],[PontoPed]]&lt;tabItens[[#This Row],[Saldo]],tabItens[[#This Row],[Saldo]]&gt;0), tabItens[[#This Row],[PontoPed]]=0), 99, IF(AND(tabItens[[#This Row],[Saldo]]=0,tabItens[[#This Row],[PontoPed]]&gt;0), 0, (1-tabItens[[#This Row],[PctAb]])*10 ) ),0)</f>
        <v>99</v>
      </c>
      <c r="BE273" s="322">
        <f>MAX(ROUNDDOWN( IF(tabItens[[#This Row],[Abaixo]] &gt; 0,   tabItens[[#This Row],[Abaixo]] + (tabItens[[#This Row],[PontoMês]] * IF( OR( ISBLANK(tabItens[[#This Row],[ATA Nº/ANO]]), tabItens[[#This Row],[ATA Nº/ANO]] = ""),BE$2,BE$1)),0),0),0)</f>
        <v>0</v>
      </c>
      <c r="BF2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23">
        <f>SUMIF(Consumo!$C$3:$C$869,tabItens[[#This Row],[CÓDIGO]],Consumo!$E$3:$E$869)</f>
        <v>3</v>
      </c>
      <c r="BH273" s="324">
        <f>IF(AND(tabItens[[#This Row],[Pend]] &gt; 0,tabItens[[#This Row],[Consumo]] &lt;&gt; 0), tabItens[[#This Row],[Pend]] / tabItens[[#This Row],[Consumo]], 0 )</f>
        <v>8.8157508081104904E-4</v>
      </c>
      <c r="BI273" s="323"/>
      <c r="BJ273" s="323"/>
      <c r="BK273" s="325" t="s">
        <v>2064</v>
      </c>
    </row>
    <row r="274" spans="1:63" hidden="1" x14ac:dyDescent="0.3">
      <c r="A274" s="286">
        <v>83838</v>
      </c>
      <c r="B274" s="287" t="s">
        <v>1480</v>
      </c>
      <c r="C274" s="288" t="s">
        <v>413</v>
      </c>
      <c r="D274" s="289">
        <v>11.87</v>
      </c>
      <c r="E274" s="290"/>
      <c r="F274" s="290"/>
      <c r="G274" s="290" t="s">
        <v>883</v>
      </c>
      <c r="H274" s="291">
        <v>9020</v>
      </c>
      <c r="I274" s="292">
        <v>103003</v>
      </c>
      <c r="J274" s="293">
        <v>11.87</v>
      </c>
      <c r="K274" s="294">
        <v>12438</v>
      </c>
      <c r="L274" s="295">
        <f>IF(tabItens[[#This Row],[Média]] &gt; 0, tabItens[[#This Row],[QTDE ATUAL]] / tabItens[[#This Row],[Média]],999.9)</f>
        <v>5.1784518227920779</v>
      </c>
      <c r="M274" s="296"/>
      <c r="N274" s="297">
        <f>tabItens[[#This Row],[VALOR UNIT.]] * tabItens[[#This Row],[LC]]</f>
        <v>0</v>
      </c>
      <c r="O274" s="298" t="s">
        <v>2144</v>
      </c>
      <c r="P274" s="299"/>
      <c r="Q274" s="300"/>
      <c r="R274" s="297"/>
      <c r="S274" s="301"/>
      <c r="T274" s="302">
        <f>ROUNDDOWN(IFERROR(tabItens[[#This Row],[ATA DT.VALID.]] - $D$1,0) / 30,0)</f>
        <v>-1504</v>
      </c>
      <c r="U274" s="287" t="s">
        <v>1481</v>
      </c>
      <c r="V274" s="303">
        <v>1</v>
      </c>
      <c r="W274" s="304" t="s">
        <v>2058</v>
      </c>
      <c r="X274" s="305">
        <v>54</v>
      </c>
      <c r="Y274" s="306">
        <v>4</v>
      </c>
      <c r="Z274" s="307"/>
      <c r="AA274" s="308"/>
      <c r="AB274" s="309"/>
      <c r="AC274" s="309"/>
      <c r="AD274" s="308"/>
      <c r="AE274" s="309"/>
      <c r="AF274" s="302"/>
      <c r="AG274" s="310" t="s">
        <v>2050</v>
      </c>
      <c r="AH274" s="311"/>
      <c r="AI274" s="302">
        <v>6990</v>
      </c>
      <c r="AJ274" s="311">
        <v>44876</v>
      </c>
      <c r="AK274" s="311">
        <v>38384</v>
      </c>
      <c r="AL274" s="311">
        <v>44833</v>
      </c>
      <c r="AM274" s="301"/>
      <c r="AN274" s="290"/>
      <c r="AO274" s="312" t="str">
        <f>_xlfn.IFNA(IF(VLOOKUP(tabItens[[#This Row],[CÓDIGO]],tabExcluirDoEstoque[#Data],1,FALSE),"sim",""),"")</f>
        <v/>
      </c>
      <c r="AP274" s="313" t="str">
        <f ca="1">IF(OR(ISBLANK(tabItens[[#This Row],[ATA DT.VALID.]]),tabItens[[#This Row],[ATA DT.VALID.]]="",tabItens[[#This Row],[ATA DT.VALID.]]=" "),"",IF(TYPE(tabItens[[#This Row],[ATA DT.VALID.]])=1,ROUNDUP((tabItens[[#This Row],[ATA DT.VALID.]]-TODAY())/7,0),""))</f>
        <v/>
      </c>
      <c r="AQ274" s="314">
        <v>0</v>
      </c>
      <c r="AR274" s="315" t="str">
        <f>IF(ISBLANK(tabItens[[#This Row],[CÓDIGO]]),"",IFERROR(VLOOKUP(tabItens[[#This Row],[CÓDIGO]],Consumo!$C$2:$AC$869,26,FALSE),0))</f>
        <v>07.2023</v>
      </c>
      <c r="AS274" s="316">
        <f>SUMIF(Consumo!$C$3:$C$869,tabItens[[#This Row],[CÓDIGO]],Consumo!$N$3:$N$869) + SUMIF(Consumo!$C$3:$C$869,tabItens[[#This Row],[CÓDIGO]],Consumo!$O$3:$O$869) + SUMIF(Consumo!$C$3:$C$869,tabItens[[#This Row],[CÓDIGO]],Consumo!$P$3:$P$869) + SUMIF(Consumo!$C$3:$C$869,tabItens[[#This Row],[CÓDIGO]],Consumo!$Q$3:$Q$869)</f>
        <v>7509</v>
      </c>
      <c r="AT274" s="316">
        <f>SUMIF(Consumo!$C$3:$C$869,tabItens[[#This Row],[CÓDIGO]],Consumo!$Z$3:$Z$869)</f>
        <v>20902</v>
      </c>
      <c r="AU274" s="317">
        <f>SUMIF(Consumo!$C$3:$C$869,tabItens[[#This Row],[CÓDIGO]],Consumo!$AA$3:$AA$869)</f>
        <v>2515</v>
      </c>
      <c r="AV274" s="318">
        <f>SUMIF(Consumo!$C$3:$C$869,tabItens[[#This Row],[CÓDIGO]],Consumo!$Y$3:$Y$869)</f>
        <v>1741.8333333333333</v>
      </c>
      <c r="AW274" s="291">
        <f>tabItens[[#This Row],[QTDE ATUAL]] + tabItens[[#This Row],[RC QTDE]] + tabItens[[#This Row],[AF SALDO]] + tabItens[[#This Row],[Recentes]]</f>
        <v>9020</v>
      </c>
      <c r="AX274" s="319">
        <v>1501</v>
      </c>
      <c r="AY274" s="319">
        <v>4</v>
      </c>
      <c r="AZ274" s="319">
        <f>IF(ISBLANK(tabItens[[#This Row],[CÓDIGO]]),"",tabItens[[#This Row],[PontoMês]] * (AZ$2+tabItens[[#This Row],[PontoQtM]]))</f>
        <v>6004</v>
      </c>
      <c r="BA274" s="318">
        <f>tabItens[[#This Row],[PontoPed]] - tabItens[[#This Row],[Saldo]] + (1/10)</f>
        <v>-3015.9</v>
      </c>
      <c r="BB274" s="318">
        <f xml:space="preserve"> tabItens[[#This Row],[PontoMês]] * BB$2 - tabItens[[#This Row],[QTDE ATUAL]] - (1/10)</f>
        <v>-7519.1</v>
      </c>
      <c r="BC274" s="320">
        <f>IF( tabItens[[#This Row],[PontoPed]]&gt;0, IF(tabItens[[#This Row],[PontoPed]]&lt;1, 1, IF( tabItens[[#This Row],[Saldo]]&gt;tabItens[[#This Row],[PontoPed]], 0, (tabItens[[#This Row],[PontoPed]]-tabItens[[#This Row],[Saldo]])/tabItens[[#This Row],[PontoPed]] ) ), 0 )</f>
        <v>0</v>
      </c>
      <c r="BD274" s="321">
        <f>ROUNDDOWN(IF( OR( AND(tabItens[[#This Row],[PontoPed]]&lt;tabItens[[#This Row],[Saldo]],tabItens[[#This Row],[Saldo]]&gt;0), tabItens[[#This Row],[PontoPed]]=0), 99, IF(AND(tabItens[[#This Row],[Saldo]]=0,tabItens[[#This Row],[PontoPed]]&gt;0), 0, (1-tabItens[[#This Row],[PctAb]])*10 ) ),0)</f>
        <v>99</v>
      </c>
      <c r="BE274" s="322">
        <f>MAX(ROUNDDOWN( IF(tabItens[[#This Row],[Abaixo]] &gt; 0,   tabItens[[#This Row],[Abaixo]] + (tabItens[[#This Row],[PontoMês]] * IF( OR( ISBLANK(tabItens[[#This Row],[ATA Nº/ANO]]), tabItens[[#This Row],[ATA Nº/ANO]] = ""),BE$2,BE$1)),0),0),0)</f>
        <v>0</v>
      </c>
      <c r="BF2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23">
        <f>SUMIF(Consumo!$C$3:$C$869,tabItens[[#This Row],[CÓDIGO]],Consumo!$E$3:$E$869)</f>
        <v>35</v>
      </c>
      <c r="BH274" s="324">
        <f>IF(AND(tabItens[[#This Row],[Pend]] &gt; 0,tabItens[[#This Row],[Consumo]] &lt;&gt; 0), tabItens[[#This Row],[Pend]] / tabItens[[#This Row],[Consumo]], 0 )</f>
        <v>1.6744809109176155E-3</v>
      </c>
      <c r="BI274" s="323"/>
      <c r="BJ274" s="323"/>
      <c r="BK274" s="325" t="s">
        <v>2064</v>
      </c>
    </row>
    <row r="275" spans="1:63" hidden="1" x14ac:dyDescent="0.3">
      <c r="A275" s="286">
        <v>42566</v>
      </c>
      <c r="B275" s="287" t="s">
        <v>1277</v>
      </c>
      <c r="C275" s="288" t="s">
        <v>31</v>
      </c>
      <c r="D275" s="289">
        <v>309.08999999999997</v>
      </c>
      <c r="E275" s="290"/>
      <c r="F275" s="290"/>
      <c r="G275" s="290" t="s">
        <v>883</v>
      </c>
      <c r="H275" s="291">
        <v>49</v>
      </c>
      <c r="I275" s="292">
        <v>103003</v>
      </c>
      <c r="J275" s="293">
        <v>309.08999999999997</v>
      </c>
      <c r="K275" s="294">
        <v>20</v>
      </c>
      <c r="L275" s="295">
        <f>IF(tabItens[[#This Row],[Média]] &gt; 0, tabItens[[#This Row],[QTDE ATUAL]] / tabItens[[#This Row],[Média]],999.9)</f>
        <v>39.200000000000003</v>
      </c>
      <c r="M275" s="296">
        <v>0</v>
      </c>
      <c r="N275" s="297">
        <f>tabItens[[#This Row],[VALOR UNIT.]] * tabItens[[#This Row],[LC]]</f>
        <v>0</v>
      </c>
      <c r="O275" s="298" t="s">
        <v>2120</v>
      </c>
      <c r="P275" s="299"/>
      <c r="Q275" s="300"/>
      <c r="R275" s="297"/>
      <c r="S275" s="301"/>
      <c r="T275" s="302">
        <f>ROUNDDOWN(IFERROR(tabItens[[#This Row],[ATA DT.VALID.]] - $D$1,0) / 30,0)</f>
        <v>-1504</v>
      </c>
      <c r="U275" s="287" t="s">
        <v>1278</v>
      </c>
      <c r="V275" s="303">
        <v>1</v>
      </c>
      <c r="W275" s="304" t="s">
        <v>2049</v>
      </c>
      <c r="X275" s="305">
        <v>51</v>
      </c>
      <c r="Y275" s="306">
        <v>28</v>
      </c>
      <c r="Z275" s="307"/>
      <c r="AA275" s="308"/>
      <c r="AB275" s="309"/>
      <c r="AC275" s="309"/>
      <c r="AD275" s="308"/>
      <c r="AE275" s="309"/>
      <c r="AF275" s="302"/>
      <c r="AG275" s="310" t="s">
        <v>2050</v>
      </c>
      <c r="AH275" s="311"/>
      <c r="AI275" s="302">
        <v>6</v>
      </c>
      <c r="AJ275" s="311">
        <v>45005</v>
      </c>
      <c r="AK275" s="311" t="s">
        <v>883</v>
      </c>
      <c r="AL275" s="311">
        <v>44995</v>
      </c>
      <c r="AM275" s="301"/>
      <c r="AN275" s="290"/>
      <c r="AO275" s="312" t="str">
        <f>_xlfn.IFNA(IF(VLOOKUP(tabItens[[#This Row],[CÓDIGO]],tabExcluirDoEstoque[#Data],1,FALSE),"sim",""),"")</f>
        <v/>
      </c>
      <c r="AP275" s="313" t="str">
        <f ca="1">IF(OR(ISBLANK(tabItens[[#This Row],[ATA DT.VALID.]]),tabItens[[#This Row],[ATA DT.VALID.]]="",tabItens[[#This Row],[ATA DT.VALID.]]=" "),"",IF(TYPE(tabItens[[#This Row],[ATA DT.VALID.]])=1,ROUNDUP((tabItens[[#This Row],[ATA DT.VALID.]]-TODAY())/7,0),""))</f>
        <v/>
      </c>
      <c r="AQ275" s="314">
        <v>0</v>
      </c>
      <c r="AR275" s="315" t="str">
        <f>IF(ISBLANK(tabItens[[#This Row],[CÓDIGO]]),"",IFERROR(VLOOKUP(tabItens[[#This Row],[CÓDIGO]],Consumo!$C$2:$AC$869,26,FALSE),0))</f>
        <v>04.2023</v>
      </c>
      <c r="AS275" s="316">
        <f>SUMIF(Consumo!$C$3:$C$869,tabItens[[#This Row],[CÓDIGO]],Consumo!$N$3:$N$869) + SUMIF(Consumo!$C$3:$C$869,tabItens[[#This Row],[CÓDIGO]],Consumo!$O$3:$O$869) + SUMIF(Consumo!$C$3:$C$869,tabItens[[#This Row],[CÓDIGO]],Consumo!$P$3:$P$869) + SUMIF(Consumo!$C$3:$C$869,tabItens[[#This Row],[CÓDIGO]],Consumo!$Q$3:$Q$869)</f>
        <v>1</v>
      </c>
      <c r="AT275" s="316">
        <f>SUMIF(Consumo!$C$3:$C$869,tabItens[[#This Row],[CÓDIGO]],Consumo!$Z$3:$Z$869)</f>
        <v>20</v>
      </c>
      <c r="AU275" s="317">
        <f>SUMIF(Consumo!$C$3:$C$869,tabItens[[#This Row],[CÓDIGO]],Consumo!$AA$3:$AA$869)</f>
        <v>14</v>
      </c>
      <c r="AV275" s="318">
        <f>SUMIF(Consumo!$C$3:$C$869,tabItens[[#This Row],[CÓDIGO]],Consumo!$Y$3:$Y$869)</f>
        <v>1.25</v>
      </c>
      <c r="AW275" s="291">
        <f>tabItens[[#This Row],[QTDE ATUAL]] + tabItens[[#This Row],[RC QTDE]] + tabItens[[#This Row],[AF SALDO]] + tabItens[[#This Row],[Recentes]]</f>
        <v>49</v>
      </c>
      <c r="AX275" s="319">
        <v>5</v>
      </c>
      <c r="AY275" s="319">
        <v>4</v>
      </c>
      <c r="AZ275" s="319">
        <f>IF(ISBLANK(tabItens[[#This Row],[CÓDIGO]]),"",tabItens[[#This Row],[PontoMês]] * (AZ$2+tabItens[[#This Row],[PontoQtM]]))</f>
        <v>20</v>
      </c>
      <c r="BA275" s="318">
        <f>tabItens[[#This Row],[PontoPed]] - tabItens[[#This Row],[Saldo]] + (1/10)</f>
        <v>-28.9</v>
      </c>
      <c r="BB275" s="318">
        <f xml:space="preserve"> tabItens[[#This Row],[PontoMês]] * BB$2 - tabItens[[#This Row],[QTDE ATUAL]] - (1/10)</f>
        <v>-44.1</v>
      </c>
      <c r="BC275" s="320">
        <f>IF( tabItens[[#This Row],[PontoPed]]&gt;0, IF(tabItens[[#This Row],[PontoPed]]&lt;1, 1, IF( tabItens[[#This Row],[Saldo]]&gt;tabItens[[#This Row],[PontoPed]], 0, (tabItens[[#This Row],[PontoPed]]-tabItens[[#This Row],[Saldo]])/tabItens[[#This Row],[PontoPed]] ) ), 0 )</f>
        <v>0</v>
      </c>
      <c r="BD275" s="321">
        <f>ROUNDDOWN(IF( OR( AND(tabItens[[#This Row],[PontoPed]]&lt;tabItens[[#This Row],[Saldo]],tabItens[[#This Row],[Saldo]]&gt;0), tabItens[[#This Row],[PontoPed]]=0), 99, IF(AND(tabItens[[#This Row],[Saldo]]=0,tabItens[[#This Row],[PontoPed]]&gt;0), 0, (1-tabItens[[#This Row],[PctAb]])*10 ) ),0)</f>
        <v>99</v>
      </c>
      <c r="BE275" s="322">
        <f>MAX(ROUNDDOWN( IF(tabItens[[#This Row],[Abaixo]] &gt; 0,   tabItens[[#This Row],[Abaixo]] + (tabItens[[#This Row],[PontoMês]] * IF( OR( ISBLANK(tabItens[[#This Row],[ATA Nº/ANO]]), tabItens[[#This Row],[ATA Nº/ANO]] = ""),BE$2,BE$1)),0),0),0)</f>
        <v>0</v>
      </c>
      <c r="BF2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23">
        <f>SUMIF(Consumo!$C$3:$C$869,tabItens[[#This Row],[CÓDIGO]],Consumo!$E$3:$E$869)</f>
        <v>0</v>
      </c>
      <c r="BH275" s="324">
        <f>IF(AND(tabItens[[#This Row],[Pend]] &gt; 0,tabItens[[#This Row],[Consumo]] &lt;&gt; 0), tabItens[[#This Row],[Pend]] / tabItens[[#This Row],[Consumo]], 0 )</f>
        <v>0</v>
      </c>
      <c r="BI275" s="323"/>
      <c r="BJ275" s="323"/>
      <c r="BK275" s="325" t="s">
        <v>2064</v>
      </c>
    </row>
    <row r="276" spans="1:63" hidden="1" x14ac:dyDescent="0.3">
      <c r="A276" s="286">
        <v>49033</v>
      </c>
      <c r="B276" s="287" t="s">
        <v>1290</v>
      </c>
      <c r="C276" s="288" t="s">
        <v>256</v>
      </c>
      <c r="D276" s="289">
        <v>308.64999999999998</v>
      </c>
      <c r="E276" s="290"/>
      <c r="F276" s="290"/>
      <c r="G276" s="290" t="s">
        <v>883</v>
      </c>
      <c r="H276" s="291">
        <v>32</v>
      </c>
      <c r="I276" s="292">
        <v>103003</v>
      </c>
      <c r="J276" s="293">
        <v>308.64999999999998</v>
      </c>
      <c r="K276" s="294">
        <v>14</v>
      </c>
      <c r="L276" s="295">
        <f>IF(tabItens[[#This Row],[Média]] &gt; 0, tabItens[[#This Row],[QTDE ATUAL]] / tabItens[[#This Row],[Média]],999.9)</f>
        <v>25.6</v>
      </c>
      <c r="M276" s="296">
        <v>0</v>
      </c>
      <c r="N276" s="297">
        <f>tabItens[[#This Row],[VALOR UNIT.]] * tabItens[[#This Row],[LC]]</f>
        <v>0</v>
      </c>
      <c r="O276" s="298" t="s">
        <v>2120</v>
      </c>
      <c r="P276" s="299"/>
      <c r="Q276" s="300"/>
      <c r="R276" s="297"/>
      <c r="S276" s="301"/>
      <c r="T276" s="302">
        <f>ROUNDDOWN(IFERROR(tabItens[[#This Row],[ATA DT.VALID.]] - $D$1,0) / 30,0)</f>
        <v>-1504</v>
      </c>
      <c r="U276" s="287" t="s">
        <v>1278</v>
      </c>
      <c r="V276" s="303">
        <v>1</v>
      </c>
      <c r="W276" s="304" t="s">
        <v>2049</v>
      </c>
      <c r="X276" s="305">
        <v>51</v>
      </c>
      <c r="Y276" s="306">
        <v>28</v>
      </c>
      <c r="Z276" s="307"/>
      <c r="AA276" s="308"/>
      <c r="AB276" s="309"/>
      <c r="AC276" s="309"/>
      <c r="AD276" s="308"/>
      <c r="AE276" s="309"/>
      <c r="AF276" s="302"/>
      <c r="AG276" s="310" t="s">
        <v>2050</v>
      </c>
      <c r="AH276" s="311"/>
      <c r="AI276" s="302">
        <v>6</v>
      </c>
      <c r="AJ276" s="311">
        <v>45069</v>
      </c>
      <c r="AK276" s="311" t="s">
        <v>883</v>
      </c>
      <c r="AL276" s="311">
        <v>45034</v>
      </c>
      <c r="AM276" s="301"/>
      <c r="AN276" s="290"/>
      <c r="AO276" s="312" t="str">
        <f>_xlfn.IFNA(IF(VLOOKUP(tabItens[[#This Row],[CÓDIGO]],tabExcluirDoEstoque[#Data],1,FALSE),"sim",""),"")</f>
        <v/>
      </c>
      <c r="AP276" s="313" t="str">
        <f ca="1">IF(OR(ISBLANK(tabItens[[#This Row],[ATA DT.VALID.]]),tabItens[[#This Row],[ATA DT.VALID.]]="",tabItens[[#This Row],[ATA DT.VALID.]]=" "),"",IF(TYPE(tabItens[[#This Row],[ATA DT.VALID.]])=1,ROUNDUP((tabItens[[#This Row],[ATA DT.VALID.]]-TODAY())/7,0),""))</f>
        <v/>
      </c>
      <c r="AQ276" s="314">
        <v>0</v>
      </c>
      <c r="AR276" s="315" t="str">
        <f>IF(ISBLANK(tabItens[[#This Row],[CÓDIGO]]),"",IFERROR(VLOOKUP(tabItens[[#This Row],[CÓDIGO]],Consumo!$C$2:$AC$869,26,FALSE),0))</f>
        <v>03.2023</v>
      </c>
      <c r="AS276" s="316">
        <f>SUMIF(Consumo!$C$3:$C$869,tabItens[[#This Row],[CÓDIGO]],Consumo!$N$3:$N$869) + SUMIF(Consumo!$C$3:$C$869,tabItens[[#This Row],[CÓDIGO]],Consumo!$O$3:$O$869) + SUMIF(Consumo!$C$3:$C$869,tabItens[[#This Row],[CÓDIGO]],Consumo!$P$3:$P$869) + SUMIF(Consumo!$C$3:$C$869,tabItens[[#This Row],[CÓDIGO]],Consumo!$Q$3:$Q$869)</f>
        <v>0</v>
      </c>
      <c r="AT276" s="316">
        <f>SUMIF(Consumo!$C$3:$C$869,tabItens[[#This Row],[CÓDIGO]],Consumo!$Z$3:$Z$869)</f>
        <v>16</v>
      </c>
      <c r="AU276" s="317">
        <f>SUMIF(Consumo!$C$3:$C$869,tabItens[[#This Row],[CÓDIGO]],Consumo!$AA$3:$AA$869)</f>
        <v>4</v>
      </c>
      <c r="AV276" s="318">
        <f>SUMIF(Consumo!$C$3:$C$869,tabItens[[#This Row],[CÓDIGO]],Consumo!$Y$3:$Y$869)</f>
        <v>1.25</v>
      </c>
      <c r="AW276" s="291">
        <f>tabItens[[#This Row],[QTDE ATUAL]] + tabItens[[#This Row],[RC QTDE]] + tabItens[[#This Row],[AF SALDO]] + tabItens[[#This Row],[Recentes]]</f>
        <v>32</v>
      </c>
      <c r="AX276" s="319">
        <v>4</v>
      </c>
      <c r="AY276" s="319">
        <v>4</v>
      </c>
      <c r="AZ276" s="319">
        <f>IF(ISBLANK(tabItens[[#This Row],[CÓDIGO]]),"",tabItens[[#This Row],[PontoMês]] * (AZ$2+tabItens[[#This Row],[PontoQtM]]))</f>
        <v>16</v>
      </c>
      <c r="BA276" s="318">
        <f>tabItens[[#This Row],[PontoPed]] - tabItens[[#This Row],[Saldo]] + (1/10)</f>
        <v>-15.9</v>
      </c>
      <c r="BB276" s="318">
        <f xml:space="preserve"> tabItens[[#This Row],[PontoMês]] * BB$2 - tabItens[[#This Row],[QTDE ATUAL]] - (1/10)</f>
        <v>-28.1</v>
      </c>
      <c r="BC276" s="320">
        <f>IF( tabItens[[#This Row],[PontoPed]]&gt;0, IF(tabItens[[#This Row],[PontoPed]]&lt;1, 1, IF( tabItens[[#This Row],[Saldo]]&gt;tabItens[[#This Row],[PontoPed]], 0, (tabItens[[#This Row],[PontoPed]]-tabItens[[#This Row],[Saldo]])/tabItens[[#This Row],[PontoPed]] ) ), 0 )</f>
        <v>0</v>
      </c>
      <c r="BD276" s="321">
        <f>ROUNDDOWN(IF( OR( AND(tabItens[[#This Row],[PontoPed]]&lt;tabItens[[#This Row],[Saldo]],tabItens[[#This Row],[Saldo]]&gt;0), tabItens[[#This Row],[PontoPed]]=0), 99, IF(AND(tabItens[[#This Row],[Saldo]]=0,tabItens[[#This Row],[PontoPed]]&gt;0), 0, (1-tabItens[[#This Row],[PctAb]])*10 ) ),0)</f>
        <v>99</v>
      </c>
      <c r="BE276" s="322">
        <f>MAX(ROUNDDOWN( IF(tabItens[[#This Row],[Abaixo]] &gt; 0,   tabItens[[#This Row],[Abaixo]] + (tabItens[[#This Row],[PontoMês]] * IF( OR( ISBLANK(tabItens[[#This Row],[ATA Nº/ANO]]), tabItens[[#This Row],[ATA Nº/ANO]] = ""),BE$2,BE$1)),0),0),0)</f>
        <v>0</v>
      </c>
      <c r="BF27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23">
        <f>SUMIF(Consumo!$C$3:$C$869,tabItens[[#This Row],[CÓDIGO]],Consumo!$E$3:$E$869)</f>
        <v>1</v>
      </c>
      <c r="BH276" s="324">
        <f>IF(AND(tabItens[[#This Row],[Pend]] &gt; 0,tabItens[[#This Row],[Consumo]] &lt;&gt; 0), tabItens[[#This Row],[Pend]] / tabItens[[#This Row],[Consumo]], 0 )</f>
        <v>6.25E-2</v>
      </c>
      <c r="BI276" s="323"/>
      <c r="BJ276" s="323"/>
      <c r="BK276" s="325" t="s">
        <v>2064</v>
      </c>
    </row>
    <row r="277" spans="1:63" hidden="1" x14ac:dyDescent="0.3">
      <c r="A277" s="286">
        <v>50591</v>
      </c>
      <c r="B277" s="287" t="s">
        <v>1295</v>
      </c>
      <c r="C277" s="288" t="s">
        <v>256</v>
      </c>
      <c r="D277" s="289">
        <v>113.47</v>
      </c>
      <c r="E277" s="290"/>
      <c r="F277" s="290"/>
      <c r="G277" s="290" t="s">
        <v>883</v>
      </c>
      <c r="H277" s="291">
        <v>30</v>
      </c>
      <c r="I277" s="292">
        <v>103003</v>
      </c>
      <c r="J277" s="293">
        <v>113.47</v>
      </c>
      <c r="K277" s="294">
        <v>17</v>
      </c>
      <c r="L277" s="295">
        <f>IF(tabItens[[#This Row],[Média]] &gt; 0, tabItens[[#This Row],[QTDE ATUAL]] / tabItens[[#This Row],[Média]],999.9)</f>
        <v>20</v>
      </c>
      <c r="M277" s="296">
        <v>0</v>
      </c>
      <c r="N277" s="297">
        <f>tabItens[[#This Row],[VALOR UNIT.]] * tabItens[[#This Row],[LC]]</f>
        <v>0</v>
      </c>
      <c r="O277" s="298" t="s">
        <v>2120</v>
      </c>
      <c r="P277" s="299"/>
      <c r="Q277" s="300"/>
      <c r="R277" s="297"/>
      <c r="S277" s="301"/>
      <c r="T277" s="302">
        <f>ROUNDDOWN(IFERROR(tabItens[[#This Row],[ATA DT.VALID.]] - $D$1,0) / 30,0)</f>
        <v>-1504</v>
      </c>
      <c r="U277" s="287" t="s">
        <v>1278</v>
      </c>
      <c r="V277" s="303">
        <v>1</v>
      </c>
      <c r="W277" s="304" t="s">
        <v>2049</v>
      </c>
      <c r="X277" s="305">
        <v>51</v>
      </c>
      <c r="Y277" s="306">
        <v>28</v>
      </c>
      <c r="Z277" s="307"/>
      <c r="AA277" s="308"/>
      <c r="AB277" s="309"/>
      <c r="AC277" s="309"/>
      <c r="AD277" s="308"/>
      <c r="AE277" s="309"/>
      <c r="AF277" s="302"/>
      <c r="AG277" s="310" t="s">
        <v>2050</v>
      </c>
      <c r="AH277" s="311"/>
      <c r="AI277" s="302">
        <v>6</v>
      </c>
      <c r="AJ277" s="311">
        <v>43818</v>
      </c>
      <c r="AK277" s="311" t="s">
        <v>883</v>
      </c>
      <c r="AL277" s="311">
        <v>44238</v>
      </c>
      <c r="AM277" s="301"/>
      <c r="AN277" s="290"/>
      <c r="AO277" s="312" t="str">
        <f>_xlfn.IFNA(IF(VLOOKUP(tabItens[[#This Row],[CÓDIGO]],tabExcluirDoEstoque[#Data],1,FALSE),"sim",""),"")</f>
        <v/>
      </c>
      <c r="AP277" s="313" t="str">
        <f ca="1">IF(OR(ISBLANK(tabItens[[#This Row],[ATA DT.VALID.]]),tabItens[[#This Row],[ATA DT.VALID.]]="",tabItens[[#This Row],[ATA DT.VALID.]]=" "),"",IF(TYPE(tabItens[[#This Row],[ATA DT.VALID.]])=1,ROUNDUP((tabItens[[#This Row],[ATA DT.VALID.]]-TODAY())/7,0),""))</f>
        <v/>
      </c>
      <c r="AQ277" s="314">
        <v>0</v>
      </c>
      <c r="AR277" s="315" t="str">
        <f>IF(ISBLANK(tabItens[[#This Row],[CÓDIGO]]),"",IFERROR(VLOOKUP(tabItens[[#This Row],[CÓDIGO]],Consumo!$C$2:$AC$869,26,FALSE),0))</f>
        <v>03.2023</v>
      </c>
      <c r="AS277" s="316">
        <f>SUMIF(Consumo!$C$3:$C$869,tabItens[[#This Row],[CÓDIGO]],Consumo!$N$3:$N$869) + SUMIF(Consumo!$C$3:$C$869,tabItens[[#This Row],[CÓDIGO]],Consumo!$O$3:$O$869) + SUMIF(Consumo!$C$3:$C$869,tabItens[[#This Row],[CÓDIGO]],Consumo!$P$3:$P$869) + SUMIF(Consumo!$C$3:$C$869,tabItens[[#This Row],[CÓDIGO]],Consumo!$Q$3:$Q$869)</f>
        <v>0</v>
      </c>
      <c r="AT277" s="316">
        <f>SUMIF(Consumo!$C$3:$C$869,tabItens[[#This Row],[CÓDIGO]],Consumo!$Z$3:$Z$869)</f>
        <v>18</v>
      </c>
      <c r="AU277" s="317">
        <f>SUMIF(Consumo!$C$3:$C$869,tabItens[[#This Row],[CÓDIGO]],Consumo!$AA$3:$AA$869)</f>
        <v>4</v>
      </c>
      <c r="AV277" s="318">
        <f>SUMIF(Consumo!$C$3:$C$869,tabItens[[#This Row],[CÓDIGO]],Consumo!$Y$3:$Y$869)</f>
        <v>1.5</v>
      </c>
      <c r="AW277" s="291">
        <f>tabItens[[#This Row],[QTDE ATUAL]] + tabItens[[#This Row],[RC QTDE]] + tabItens[[#This Row],[AF SALDO]] + tabItens[[#This Row],[Recentes]]</f>
        <v>30</v>
      </c>
      <c r="AX277" s="319">
        <v>5</v>
      </c>
      <c r="AY277" s="319">
        <v>4</v>
      </c>
      <c r="AZ277" s="319">
        <f>IF(ISBLANK(tabItens[[#This Row],[CÓDIGO]]),"",tabItens[[#This Row],[PontoMês]] * (AZ$2+tabItens[[#This Row],[PontoQtM]]))</f>
        <v>20</v>
      </c>
      <c r="BA277" s="318">
        <f>tabItens[[#This Row],[PontoPed]] - tabItens[[#This Row],[Saldo]] + (1/10)</f>
        <v>-9.9</v>
      </c>
      <c r="BB277" s="318">
        <f xml:space="preserve"> tabItens[[#This Row],[PontoMês]] * BB$2 - tabItens[[#This Row],[QTDE ATUAL]] - (1/10)</f>
        <v>-25.1</v>
      </c>
      <c r="BC277" s="320">
        <f>IF( tabItens[[#This Row],[PontoPed]]&gt;0, IF(tabItens[[#This Row],[PontoPed]]&lt;1, 1, IF( tabItens[[#This Row],[Saldo]]&gt;tabItens[[#This Row],[PontoPed]], 0, (tabItens[[#This Row],[PontoPed]]-tabItens[[#This Row],[Saldo]])/tabItens[[#This Row],[PontoPed]] ) ), 0 )</f>
        <v>0</v>
      </c>
      <c r="BD277" s="321">
        <f>ROUNDDOWN(IF( OR( AND(tabItens[[#This Row],[PontoPed]]&lt;tabItens[[#This Row],[Saldo]],tabItens[[#This Row],[Saldo]]&gt;0), tabItens[[#This Row],[PontoPed]]=0), 99, IF(AND(tabItens[[#This Row],[Saldo]]=0,tabItens[[#This Row],[PontoPed]]&gt;0), 0, (1-tabItens[[#This Row],[PctAb]])*10 ) ),0)</f>
        <v>99</v>
      </c>
      <c r="BE277" s="322">
        <f>MAX(ROUNDDOWN( IF(tabItens[[#This Row],[Abaixo]] &gt; 0,   tabItens[[#This Row],[Abaixo]] + (tabItens[[#This Row],[PontoMês]] * IF( OR( ISBLANK(tabItens[[#This Row],[ATA Nº/ANO]]), tabItens[[#This Row],[ATA Nº/ANO]] = ""),BE$2,BE$1)),0),0),0)</f>
        <v>0</v>
      </c>
      <c r="BF27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23">
        <f>SUMIF(Consumo!$C$3:$C$869,tabItens[[#This Row],[CÓDIGO]],Consumo!$E$3:$E$869)</f>
        <v>0</v>
      </c>
      <c r="BH277" s="324">
        <f>IF(AND(tabItens[[#This Row],[Pend]] &gt; 0,tabItens[[#This Row],[Consumo]] &lt;&gt; 0), tabItens[[#This Row],[Pend]] / tabItens[[#This Row],[Consumo]], 0 )</f>
        <v>0</v>
      </c>
      <c r="BI277" s="323"/>
      <c r="BJ277" s="323"/>
      <c r="BK277" s="325" t="s">
        <v>2064</v>
      </c>
    </row>
    <row r="278" spans="1:63" hidden="1" x14ac:dyDescent="0.3">
      <c r="A278" s="286">
        <v>56519</v>
      </c>
      <c r="B278" s="287" t="s">
        <v>1326</v>
      </c>
      <c r="C278" s="288" t="s">
        <v>256</v>
      </c>
      <c r="D278" s="289">
        <v>689.98</v>
      </c>
      <c r="E278" s="290"/>
      <c r="F278" s="290"/>
      <c r="G278" s="290" t="s">
        <v>883</v>
      </c>
      <c r="H278" s="291">
        <v>41</v>
      </c>
      <c r="I278" s="292">
        <v>103003</v>
      </c>
      <c r="J278" s="293">
        <v>689.98</v>
      </c>
      <c r="K278" s="294">
        <v>31</v>
      </c>
      <c r="L278" s="295">
        <f>IF(tabItens[[#This Row],[Média]] &gt; 0, tabItens[[#This Row],[QTDE ATUAL]] / tabItens[[#This Row],[Média]],999.9)</f>
        <v>14.909090909090908</v>
      </c>
      <c r="M278" s="296">
        <v>0</v>
      </c>
      <c r="N278" s="297">
        <f>tabItens[[#This Row],[VALOR UNIT.]] * tabItens[[#This Row],[LC]]</f>
        <v>0</v>
      </c>
      <c r="O278" s="298" t="s">
        <v>2120</v>
      </c>
      <c r="P278" s="299"/>
      <c r="Q278" s="300"/>
      <c r="R278" s="297"/>
      <c r="S278" s="301"/>
      <c r="T278" s="302">
        <f>ROUNDDOWN(IFERROR(tabItens[[#This Row],[ATA DT.VALID.]] - $D$1,0) / 30,0)</f>
        <v>-1504</v>
      </c>
      <c r="U278" s="287" t="s">
        <v>1278</v>
      </c>
      <c r="V278" s="303">
        <v>1</v>
      </c>
      <c r="W278" s="304" t="s">
        <v>2049</v>
      </c>
      <c r="X278" s="305">
        <v>51</v>
      </c>
      <c r="Y278" s="306">
        <v>28</v>
      </c>
      <c r="Z278" s="307"/>
      <c r="AA278" s="308"/>
      <c r="AB278" s="309"/>
      <c r="AC278" s="309"/>
      <c r="AD278" s="308"/>
      <c r="AE278" s="309"/>
      <c r="AF278" s="302"/>
      <c r="AG278" s="310" t="s">
        <v>2050</v>
      </c>
      <c r="AH278" s="311"/>
      <c r="AI278" s="302">
        <v>12</v>
      </c>
      <c r="AJ278" s="311">
        <v>45048</v>
      </c>
      <c r="AK278" s="311" t="s">
        <v>883</v>
      </c>
      <c r="AL278" s="311">
        <v>45016</v>
      </c>
      <c r="AM278" s="301"/>
      <c r="AN278" s="290"/>
      <c r="AO278" s="312" t="str">
        <f>_xlfn.IFNA(IF(VLOOKUP(tabItens[[#This Row],[CÓDIGO]],tabExcluirDoEstoque[#Data],1,FALSE),"sim",""),"")</f>
        <v/>
      </c>
      <c r="AP278" s="313" t="str">
        <f ca="1">IF(OR(ISBLANK(tabItens[[#This Row],[ATA DT.VALID.]]),tabItens[[#This Row],[ATA DT.VALID.]]="",tabItens[[#This Row],[ATA DT.VALID.]]=" "),"",IF(TYPE(tabItens[[#This Row],[ATA DT.VALID.]])=1,ROUNDUP((tabItens[[#This Row],[ATA DT.VALID.]]-TODAY())/7,0),""))</f>
        <v/>
      </c>
      <c r="AQ278" s="314">
        <v>0</v>
      </c>
      <c r="AR278" s="315" t="str">
        <f>IF(ISBLANK(tabItens[[#This Row],[CÓDIGO]]),"",IFERROR(VLOOKUP(tabItens[[#This Row],[CÓDIGO]],Consumo!$C$2:$AC$869,26,FALSE),0))</f>
        <v>07.2023</v>
      </c>
      <c r="AS278" s="316">
        <f>SUMIF(Consumo!$C$3:$C$869,tabItens[[#This Row],[CÓDIGO]],Consumo!$N$3:$N$869) + SUMIF(Consumo!$C$3:$C$869,tabItens[[#This Row],[CÓDIGO]],Consumo!$O$3:$O$869) + SUMIF(Consumo!$C$3:$C$869,tabItens[[#This Row],[CÓDIGO]],Consumo!$P$3:$P$869) + SUMIF(Consumo!$C$3:$C$869,tabItens[[#This Row],[CÓDIGO]],Consumo!$Q$3:$Q$869)</f>
        <v>7</v>
      </c>
      <c r="AT278" s="316">
        <f>SUMIF(Consumo!$C$3:$C$869,tabItens[[#This Row],[CÓDIGO]],Consumo!$Z$3:$Z$869)</f>
        <v>33</v>
      </c>
      <c r="AU278" s="317">
        <f>SUMIF(Consumo!$C$3:$C$869,tabItens[[#This Row],[CÓDIGO]],Consumo!$AA$3:$AA$869)</f>
        <v>9</v>
      </c>
      <c r="AV278" s="318">
        <f>SUMIF(Consumo!$C$3:$C$869,tabItens[[#This Row],[CÓDIGO]],Consumo!$Y$3:$Y$869)</f>
        <v>2.75</v>
      </c>
      <c r="AW278" s="291">
        <f>tabItens[[#This Row],[QTDE ATUAL]] + tabItens[[#This Row],[RC QTDE]] + tabItens[[#This Row],[AF SALDO]] + tabItens[[#This Row],[Recentes]]</f>
        <v>41</v>
      </c>
      <c r="AX278" s="319">
        <v>3</v>
      </c>
      <c r="AY278" s="319">
        <v>4</v>
      </c>
      <c r="AZ278" s="319">
        <f>IF(ISBLANK(tabItens[[#This Row],[CÓDIGO]]),"",tabItens[[#This Row],[PontoMês]] * (AZ$2+tabItens[[#This Row],[PontoQtM]]))</f>
        <v>12</v>
      </c>
      <c r="BA278" s="318">
        <f>tabItens[[#This Row],[PontoPed]] - tabItens[[#This Row],[Saldo]] + (1/10)</f>
        <v>-28.9</v>
      </c>
      <c r="BB278" s="318">
        <f xml:space="preserve"> tabItens[[#This Row],[PontoMês]] * BB$2 - tabItens[[#This Row],[QTDE ATUAL]] - (1/10)</f>
        <v>-38.1</v>
      </c>
      <c r="BC278" s="320">
        <f>IF( tabItens[[#This Row],[PontoPed]]&gt;0, IF(tabItens[[#This Row],[PontoPed]]&lt;1, 1, IF( tabItens[[#This Row],[Saldo]]&gt;tabItens[[#This Row],[PontoPed]], 0, (tabItens[[#This Row],[PontoPed]]-tabItens[[#This Row],[Saldo]])/tabItens[[#This Row],[PontoPed]] ) ), 0 )</f>
        <v>0</v>
      </c>
      <c r="BD278" s="321">
        <f>ROUNDDOWN(IF( OR( AND(tabItens[[#This Row],[PontoPed]]&lt;tabItens[[#This Row],[Saldo]],tabItens[[#This Row],[Saldo]]&gt;0), tabItens[[#This Row],[PontoPed]]=0), 99, IF(AND(tabItens[[#This Row],[Saldo]]=0,tabItens[[#This Row],[PontoPed]]&gt;0), 0, (1-tabItens[[#This Row],[PctAb]])*10 ) ),0)</f>
        <v>99</v>
      </c>
      <c r="BE278" s="322">
        <f>MAX(ROUNDDOWN( IF(tabItens[[#This Row],[Abaixo]] &gt; 0,   tabItens[[#This Row],[Abaixo]] + (tabItens[[#This Row],[PontoMês]] * IF( OR( ISBLANK(tabItens[[#This Row],[ATA Nº/ANO]]), tabItens[[#This Row],[ATA Nº/ANO]] = ""),BE$2,BE$1)),0),0),0)</f>
        <v>0</v>
      </c>
      <c r="BF2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23">
        <f>SUMIF(Consumo!$C$3:$C$869,tabItens[[#This Row],[CÓDIGO]],Consumo!$E$3:$E$869)</f>
        <v>0</v>
      </c>
      <c r="BH278" s="324">
        <f>IF(AND(tabItens[[#This Row],[Pend]] &gt; 0,tabItens[[#This Row],[Consumo]] &lt;&gt; 0), tabItens[[#This Row],[Pend]] / tabItens[[#This Row],[Consumo]], 0 )</f>
        <v>0</v>
      </c>
      <c r="BI278" s="323"/>
      <c r="BJ278" s="323"/>
      <c r="BK278" s="325" t="s">
        <v>2064</v>
      </c>
    </row>
    <row r="279" spans="1:63" hidden="1" x14ac:dyDescent="0.3">
      <c r="A279" s="286">
        <v>56520</v>
      </c>
      <c r="B279" s="287" t="s">
        <v>1327</v>
      </c>
      <c r="C279" s="288" t="s">
        <v>256</v>
      </c>
      <c r="D279" s="289">
        <v>701.97</v>
      </c>
      <c r="E279" s="290"/>
      <c r="F279" s="290"/>
      <c r="G279" s="290" t="s">
        <v>883</v>
      </c>
      <c r="H279" s="291">
        <v>13</v>
      </c>
      <c r="I279" s="292">
        <v>103003</v>
      </c>
      <c r="J279" s="293">
        <v>701.97</v>
      </c>
      <c r="K279" s="294">
        <v>47</v>
      </c>
      <c r="L279" s="295">
        <f>IF(tabItens[[#This Row],[Média]] &gt; 0, tabItens[[#This Row],[QTDE ATUAL]] / tabItens[[#This Row],[Média]],999.9)</f>
        <v>2.1666666666666665</v>
      </c>
      <c r="M279" s="296">
        <v>0</v>
      </c>
      <c r="N279" s="297">
        <f>tabItens[[#This Row],[VALOR UNIT.]] * tabItens[[#This Row],[LC]]</f>
        <v>0</v>
      </c>
      <c r="O279" s="298" t="s">
        <v>2120</v>
      </c>
      <c r="P279" s="299"/>
      <c r="Q279" s="300"/>
      <c r="R279" s="297"/>
      <c r="S279" s="301"/>
      <c r="T279" s="302">
        <f>ROUNDDOWN(IFERROR(tabItens[[#This Row],[ATA DT.VALID.]] - $D$1,0) / 30,0)</f>
        <v>-1504</v>
      </c>
      <c r="U279" s="287" t="s">
        <v>1278</v>
      </c>
      <c r="V279" s="303">
        <v>1</v>
      </c>
      <c r="W279" s="304" t="s">
        <v>2049</v>
      </c>
      <c r="X279" s="305">
        <v>51</v>
      </c>
      <c r="Y279" s="306">
        <v>28</v>
      </c>
      <c r="Z279" s="307">
        <v>2770</v>
      </c>
      <c r="AA279" s="308">
        <v>2023</v>
      </c>
      <c r="AB279" s="309">
        <v>40</v>
      </c>
      <c r="AC279" s="309"/>
      <c r="AD279" s="308"/>
      <c r="AE279" s="309"/>
      <c r="AF279" s="302"/>
      <c r="AG279" s="310" t="s">
        <v>2050</v>
      </c>
      <c r="AH279" s="311"/>
      <c r="AI279" s="302">
        <v>16</v>
      </c>
      <c r="AJ279" s="311">
        <v>45048</v>
      </c>
      <c r="AK279" s="311" t="s">
        <v>883</v>
      </c>
      <c r="AL279" s="311">
        <v>45016</v>
      </c>
      <c r="AM279" s="301"/>
      <c r="AN279" s="290"/>
      <c r="AO279" s="312" t="str">
        <f>_xlfn.IFNA(IF(VLOOKUP(tabItens[[#This Row],[CÓDIGO]],tabExcluirDoEstoque[#Data],1,FALSE),"sim",""),"")</f>
        <v/>
      </c>
      <c r="AP279" s="313" t="str">
        <f ca="1">IF(OR(ISBLANK(tabItens[[#This Row],[ATA DT.VALID.]]),tabItens[[#This Row],[ATA DT.VALID.]]="",tabItens[[#This Row],[ATA DT.VALID.]]=" "),"",IF(TYPE(tabItens[[#This Row],[ATA DT.VALID.]])=1,ROUNDUP((tabItens[[#This Row],[ATA DT.VALID.]]-TODAY())/7,0),""))</f>
        <v/>
      </c>
      <c r="AQ279" s="314">
        <v>0</v>
      </c>
      <c r="AR279" s="315" t="str">
        <f>IF(ISBLANK(tabItens[[#This Row],[CÓDIGO]]),"",IFERROR(VLOOKUP(tabItens[[#This Row],[CÓDIGO]],Consumo!$C$2:$AC$869,26,FALSE),0))</f>
        <v>03.2023</v>
      </c>
      <c r="AS279" s="316">
        <f>SUMIF(Consumo!$C$3:$C$869,tabItens[[#This Row],[CÓDIGO]],Consumo!$N$3:$N$869) + SUMIF(Consumo!$C$3:$C$869,tabItens[[#This Row],[CÓDIGO]],Consumo!$O$3:$O$869) + SUMIF(Consumo!$C$3:$C$869,tabItens[[#This Row],[CÓDIGO]],Consumo!$P$3:$P$869) + SUMIF(Consumo!$C$3:$C$869,tabItens[[#This Row],[CÓDIGO]],Consumo!$Q$3:$Q$869)</f>
        <v>0</v>
      </c>
      <c r="AT279" s="316">
        <f>SUMIF(Consumo!$C$3:$C$869,tabItens[[#This Row],[CÓDIGO]],Consumo!$Z$3:$Z$869)</f>
        <v>72</v>
      </c>
      <c r="AU279" s="317">
        <f>SUMIF(Consumo!$C$3:$C$869,tabItens[[#This Row],[CÓDIGO]],Consumo!$AA$3:$AA$869)</f>
        <v>12</v>
      </c>
      <c r="AV279" s="318">
        <f>SUMIF(Consumo!$C$3:$C$869,tabItens[[#This Row],[CÓDIGO]],Consumo!$Y$3:$Y$869)</f>
        <v>6</v>
      </c>
      <c r="AW279" s="291">
        <f>tabItens[[#This Row],[QTDE ATUAL]] + tabItens[[#This Row],[RC QTDE]] + tabItens[[#This Row],[AF SALDO]] + tabItens[[#This Row],[Recentes]]</f>
        <v>53</v>
      </c>
      <c r="AX279" s="319">
        <v>5</v>
      </c>
      <c r="AY279" s="319">
        <v>4</v>
      </c>
      <c r="AZ279" s="319">
        <f>IF(ISBLANK(tabItens[[#This Row],[CÓDIGO]]),"",tabItens[[#This Row],[PontoMês]] * (AZ$2+tabItens[[#This Row],[PontoQtM]]))</f>
        <v>20</v>
      </c>
      <c r="BA279" s="318">
        <f>tabItens[[#This Row],[PontoPed]] - tabItens[[#This Row],[Saldo]] + (1/10)</f>
        <v>-32.9</v>
      </c>
      <c r="BB279" s="318">
        <f xml:space="preserve"> tabItens[[#This Row],[PontoMês]] * BB$2 - tabItens[[#This Row],[QTDE ATUAL]] - (1/10)</f>
        <v>-8.1</v>
      </c>
      <c r="BC279" s="320">
        <f>IF( tabItens[[#This Row],[PontoPed]]&gt;0, IF(tabItens[[#This Row],[PontoPed]]&lt;1, 1, IF( tabItens[[#This Row],[Saldo]]&gt;tabItens[[#This Row],[PontoPed]], 0, (tabItens[[#This Row],[PontoPed]]-tabItens[[#This Row],[Saldo]])/tabItens[[#This Row],[PontoPed]] ) ), 0 )</f>
        <v>0</v>
      </c>
      <c r="BD279" s="321">
        <f>ROUNDDOWN(IF( OR( AND(tabItens[[#This Row],[PontoPed]]&lt;tabItens[[#This Row],[Saldo]],tabItens[[#This Row],[Saldo]]&gt;0), tabItens[[#This Row],[PontoPed]]=0), 99, IF(AND(tabItens[[#This Row],[Saldo]]=0,tabItens[[#This Row],[PontoPed]]&gt;0), 0, (1-tabItens[[#This Row],[PctAb]])*10 ) ),0)</f>
        <v>99</v>
      </c>
      <c r="BE279" s="322">
        <f>MAX(ROUNDDOWN( IF(tabItens[[#This Row],[Abaixo]] &gt; 0,   tabItens[[#This Row],[Abaixo]] + (tabItens[[#This Row],[PontoMês]] * IF( OR( ISBLANK(tabItens[[#This Row],[ATA Nº/ANO]]), tabItens[[#This Row],[ATA Nº/ANO]] = ""),BE$2,BE$1)),0),0),0)</f>
        <v>0</v>
      </c>
      <c r="BF27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23">
        <f>SUMIF(Consumo!$C$3:$C$869,tabItens[[#This Row],[CÓDIGO]],Consumo!$E$3:$E$869)</f>
        <v>22</v>
      </c>
      <c r="BH279" s="324">
        <f>IF(AND(tabItens[[#This Row],[Pend]] &gt; 0,tabItens[[#This Row],[Consumo]] &lt;&gt; 0), tabItens[[#This Row],[Pend]] / tabItens[[#This Row],[Consumo]], 0 )</f>
        <v>0.30555555555555558</v>
      </c>
      <c r="BI279" s="323"/>
      <c r="BJ279" s="323"/>
      <c r="BK279" s="325" t="s">
        <v>2064</v>
      </c>
    </row>
    <row r="280" spans="1:63" hidden="1" x14ac:dyDescent="0.3">
      <c r="A280" s="286">
        <v>78307</v>
      </c>
      <c r="B280" s="287" t="s">
        <v>1437</v>
      </c>
      <c r="C280" s="288" t="s">
        <v>256</v>
      </c>
      <c r="D280" s="289">
        <v>273</v>
      </c>
      <c r="E280" s="290"/>
      <c r="F280" s="290"/>
      <c r="G280" s="290" t="s">
        <v>883</v>
      </c>
      <c r="H280" s="291">
        <v>34</v>
      </c>
      <c r="I280" s="292">
        <v>103003</v>
      </c>
      <c r="J280" s="293">
        <v>273</v>
      </c>
      <c r="K280" s="294"/>
      <c r="L280" s="295">
        <f>IF(tabItens[[#This Row],[Média]] &gt; 0, tabItens[[#This Row],[QTDE ATUAL]] / tabItens[[#This Row],[Média]],999.9)</f>
        <v>999.9</v>
      </c>
      <c r="M280" s="296">
        <v>0</v>
      </c>
      <c r="N280" s="297">
        <f>tabItens[[#This Row],[VALOR UNIT.]] * tabItens[[#This Row],[LC]]</f>
        <v>0</v>
      </c>
      <c r="O280" s="298" t="s">
        <v>2120</v>
      </c>
      <c r="P280" s="299"/>
      <c r="Q280" s="300"/>
      <c r="R280" s="297"/>
      <c r="S280" s="301"/>
      <c r="T280" s="302">
        <f>ROUNDDOWN(IFERROR(tabItens[[#This Row],[ATA DT.VALID.]] - $D$1,0) / 30,0)</f>
        <v>-1504</v>
      </c>
      <c r="U280" s="287" t="s">
        <v>1278</v>
      </c>
      <c r="V280" s="303">
        <v>1</v>
      </c>
      <c r="W280" s="304" t="s">
        <v>2049</v>
      </c>
      <c r="X280" s="305">
        <v>51</v>
      </c>
      <c r="Y280" s="306">
        <v>28</v>
      </c>
      <c r="Z280" s="307"/>
      <c r="AA280" s="308"/>
      <c r="AB280" s="309"/>
      <c r="AC280" s="309"/>
      <c r="AD280" s="308"/>
      <c r="AE280" s="309"/>
      <c r="AF280" s="302"/>
      <c r="AG280" s="310" t="s">
        <v>2050</v>
      </c>
      <c r="AH280" s="311"/>
      <c r="AI280" s="302">
        <v>0</v>
      </c>
      <c r="AJ280" s="311">
        <v>43818</v>
      </c>
      <c r="AK280" s="311">
        <v>38085</v>
      </c>
      <c r="AL280" s="311">
        <v>44579</v>
      </c>
      <c r="AM280" s="301"/>
      <c r="AN280" s="290"/>
      <c r="AO280" s="312" t="str">
        <f>_xlfn.IFNA(IF(VLOOKUP(tabItens[[#This Row],[CÓDIGO]],tabExcluirDoEstoque[#Data],1,FALSE),"sim",""),"")</f>
        <v/>
      </c>
      <c r="AP280" s="313" t="str">
        <f ca="1">IF(OR(ISBLANK(tabItens[[#This Row],[ATA DT.VALID.]]),tabItens[[#This Row],[ATA DT.VALID.]]="",tabItens[[#This Row],[ATA DT.VALID.]]=" "),"",IF(TYPE(tabItens[[#This Row],[ATA DT.VALID.]])=1,ROUNDUP((tabItens[[#This Row],[ATA DT.VALID.]]-TODAY())/7,0),""))</f>
        <v/>
      </c>
      <c r="AQ280" s="314">
        <v>0</v>
      </c>
      <c r="AR280" s="315">
        <f>IF(ISBLANK(tabItens[[#This Row],[CÓDIGO]]),"",IFERROR(VLOOKUP(tabItens[[#This Row],[CÓDIGO]],Consumo!$C$2:$AC$869,26,FALSE),0))</f>
        <v>0</v>
      </c>
      <c r="AS280" s="316">
        <f>SUMIF(Consumo!$C$3:$C$869,tabItens[[#This Row],[CÓDIGO]],Consumo!$N$3:$N$869) + SUMIF(Consumo!$C$3:$C$869,tabItens[[#This Row],[CÓDIGO]],Consumo!$O$3:$O$869) + SUMIF(Consumo!$C$3:$C$869,tabItens[[#This Row],[CÓDIGO]],Consumo!$P$3:$P$869) + SUMIF(Consumo!$C$3:$C$869,tabItens[[#This Row],[CÓDIGO]],Consumo!$Q$3:$Q$869)</f>
        <v>0</v>
      </c>
      <c r="AT280" s="316">
        <f>SUMIF(Consumo!$C$3:$C$869,tabItens[[#This Row],[CÓDIGO]],Consumo!$Z$3:$Z$869)</f>
        <v>0</v>
      </c>
      <c r="AU280" s="317">
        <f>SUMIF(Consumo!$C$3:$C$869,tabItens[[#This Row],[CÓDIGO]],Consumo!$AA$3:$AA$869)</f>
        <v>0</v>
      </c>
      <c r="AV280" s="318">
        <f>SUMIF(Consumo!$C$3:$C$869,tabItens[[#This Row],[CÓDIGO]],Consumo!$Y$3:$Y$869)</f>
        <v>0</v>
      </c>
      <c r="AW280" s="291">
        <f>tabItens[[#This Row],[QTDE ATUAL]] + tabItens[[#This Row],[RC QTDE]] + tabItens[[#This Row],[AF SALDO]] + tabItens[[#This Row],[Recentes]]</f>
        <v>34</v>
      </c>
      <c r="AX280" s="319">
        <v>3</v>
      </c>
      <c r="AY280" s="319">
        <v>4</v>
      </c>
      <c r="AZ280" s="319">
        <f>IF(ISBLANK(tabItens[[#This Row],[CÓDIGO]]),"",tabItens[[#This Row],[PontoMês]] * (AZ$2+tabItens[[#This Row],[PontoQtM]]))</f>
        <v>12</v>
      </c>
      <c r="BA280" s="318">
        <f>tabItens[[#This Row],[PontoPed]] - tabItens[[#This Row],[Saldo]] + (1/10)</f>
        <v>-21.9</v>
      </c>
      <c r="BB280" s="318">
        <f xml:space="preserve"> tabItens[[#This Row],[PontoMês]] * BB$2 - tabItens[[#This Row],[QTDE ATUAL]] - (1/10)</f>
        <v>-31.1</v>
      </c>
      <c r="BC280" s="320">
        <f>IF( tabItens[[#This Row],[PontoPed]]&gt;0, IF(tabItens[[#This Row],[PontoPed]]&lt;1, 1, IF( tabItens[[#This Row],[Saldo]]&gt;tabItens[[#This Row],[PontoPed]], 0, (tabItens[[#This Row],[PontoPed]]-tabItens[[#This Row],[Saldo]])/tabItens[[#This Row],[PontoPed]] ) ), 0 )</f>
        <v>0</v>
      </c>
      <c r="BD280" s="321">
        <f>ROUNDDOWN(IF( OR( AND(tabItens[[#This Row],[PontoPed]]&lt;tabItens[[#This Row],[Saldo]],tabItens[[#This Row],[Saldo]]&gt;0), tabItens[[#This Row],[PontoPed]]=0), 99, IF(AND(tabItens[[#This Row],[Saldo]]=0,tabItens[[#This Row],[PontoPed]]&gt;0), 0, (1-tabItens[[#This Row],[PctAb]])*10 ) ),0)</f>
        <v>99</v>
      </c>
      <c r="BE280" s="322">
        <f>MAX(ROUNDDOWN( IF(tabItens[[#This Row],[Abaixo]] &gt; 0,   tabItens[[#This Row],[Abaixo]] + (tabItens[[#This Row],[PontoMês]] * IF( OR( ISBLANK(tabItens[[#This Row],[ATA Nº/ANO]]), tabItens[[#This Row],[ATA Nº/ANO]] = ""),BE$2,BE$1)),0),0),0)</f>
        <v>0</v>
      </c>
      <c r="BF28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23">
        <f>SUMIF(Consumo!$C$3:$C$869,tabItens[[#This Row],[CÓDIGO]],Consumo!$E$3:$E$869)</f>
        <v>0</v>
      </c>
      <c r="BH280" s="324">
        <f>IF(AND(tabItens[[#This Row],[Pend]] &gt; 0,tabItens[[#This Row],[Consumo]] &lt;&gt; 0), tabItens[[#This Row],[Pend]] / tabItens[[#This Row],[Consumo]], 0 )</f>
        <v>0</v>
      </c>
      <c r="BI280" s="323"/>
      <c r="BJ280" s="323"/>
      <c r="BK280" s="325" t="s">
        <v>2064</v>
      </c>
    </row>
    <row r="281" spans="1:63" hidden="1" x14ac:dyDescent="0.3">
      <c r="A281" s="286">
        <v>77562</v>
      </c>
      <c r="B281" s="287" t="s">
        <v>1421</v>
      </c>
      <c r="C281" s="288" t="s">
        <v>256</v>
      </c>
      <c r="D281" s="289">
        <v>53.28</v>
      </c>
      <c r="E281" s="290"/>
      <c r="F281" s="290"/>
      <c r="G281" s="290" t="s">
        <v>883</v>
      </c>
      <c r="H281" s="291">
        <v>431</v>
      </c>
      <c r="I281" s="292">
        <v>103003</v>
      </c>
      <c r="J281" s="293">
        <v>53.28</v>
      </c>
      <c r="K281" s="294">
        <v>4105</v>
      </c>
      <c r="L281" s="295">
        <f>IF(tabItens[[#This Row],[Média]] &gt; 0, tabItens[[#This Row],[QTDE ATUAL]] / tabItens[[#This Row],[Média]],999.9)</f>
        <v>0.88713550600343061</v>
      </c>
      <c r="M281" s="296">
        <v>0</v>
      </c>
      <c r="N281" s="297">
        <f>tabItens[[#This Row],[VALOR UNIT.]] * tabItens[[#This Row],[LC]]</f>
        <v>0</v>
      </c>
      <c r="O281" s="298" t="s">
        <v>2120</v>
      </c>
      <c r="P281" s="299"/>
      <c r="Q281" s="300"/>
      <c r="R281" s="297"/>
      <c r="S281" s="301"/>
      <c r="T281" s="302">
        <f>ROUNDDOWN(IFERROR(tabItens[[#This Row],[ATA DT.VALID.]] - $D$1,0) / 30,0)</f>
        <v>-1504</v>
      </c>
      <c r="U281" s="287" t="s">
        <v>1422</v>
      </c>
      <c r="V281" s="303">
        <v>1</v>
      </c>
      <c r="W281" s="304" t="s">
        <v>2049</v>
      </c>
      <c r="X281" s="305">
        <v>74</v>
      </c>
      <c r="Y281" s="306">
        <v>2</v>
      </c>
      <c r="Z281" s="307">
        <v>2951</v>
      </c>
      <c r="AA281" s="308">
        <v>2023</v>
      </c>
      <c r="AB281" s="309">
        <v>9000</v>
      </c>
      <c r="AC281" s="309"/>
      <c r="AD281" s="308"/>
      <c r="AE281" s="309"/>
      <c r="AF281" s="302"/>
      <c r="AG281" s="310" t="s">
        <v>2050</v>
      </c>
      <c r="AH281" s="311"/>
      <c r="AI281" s="302">
        <v>3074</v>
      </c>
      <c r="AJ281" s="311">
        <v>44985</v>
      </c>
      <c r="AK281" s="311">
        <v>38056</v>
      </c>
      <c r="AL281" s="311">
        <v>44886</v>
      </c>
      <c r="AM281" s="301"/>
      <c r="AN281" s="290"/>
      <c r="AO281" s="312" t="str">
        <f>_xlfn.IFNA(IF(VLOOKUP(tabItens[[#This Row],[CÓDIGO]],tabExcluirDoEstoque[#Data],1,FALSE),"sim",""),"")</f>
        <v/>
      </c>
      <c r="AP281" s="313" t="str">
        <f ca="1">IF(OR(ISBLANK(tabItens[[#This Row],[ATA DT.VALID.]]),tabItens[[#This Row],[ATA DT.VALID.]]="",tabItens[[#This Row],[ATA DT.VALID.]]=" "),"",IF(TYPE(tabItens[[#This Row],[ATA DT.VALID.]])=1,ROUNDUP((tabItens[[#This Row],[ATA DT.VALID.]]-TODAY())/7,0),""))</f>
        <v/>
      </c>
      <c r="AQ281" s="314">
        <v>0</v>
      </c>
      <c r="AR281" s="315" t="str">
        <f>IF(ISBLANK(tabItens[[#This Row],[CÓDIGO]]),"",IFERROR(VLOOKUP(tabItens[[#This Row],[CÓDIGO]],Consumo!$C$2:$AC$869,26,FALSE),0))</f>
        <v>07.2023</v>
      </c>
      <c r="AS281" s="316">
        <f>SUMIF(Consumo!$C$3:$C$869,tabItens[[#This Row],[CÓDIGO]],Consumo!$N$3:$N$869) + SUMIF(Consumo!$C$3:$C$869,tabItens[[#This Row],[CÓDIGO]],Consumo!$O$3:$O$869) + SUMIF(Consumo!$C$3:$C$869,tabItens[[#This Row],[CÓDIGO]],Consumo!$P$3:$P$869) + SUMIF(Consumo!$C$3:$C$869,tabItens[[#This Row],[CÓDIGO]],Consumo!$Q$3:$Q$869)</f>
        <v>1545</v>
      </c>
      <c r="AT281" s="316">
        <f>SUMIF(Consumo!$C$3:$C$869,tabItens[[#This Row],[CÓDIGO]],Consumo!$Z$3:$Z$869)</f>
        <v>5830</v>
      </c>
      <c r="AU281" s="317">
        <f>SUMIF(Consumo!$C$3:$C$869,tabItens[[#This Row],[CÓDIGO]],Consumo!$AA$3:$AA$869)</f>
        <v>985</v>
      </c>
      <c r="AV281" s="318">
        <f>SUMIF(Consumo!$C$3:$C$869,tabItens[[#This Row],[CÓDIGO]],Consumo!$Y$3:$Y$869)</f>
        <v>485.83333333333331</v>
      </c>
      <c r="AW281" s="291">
        <f>tabItens[[#This Row],[QTDE ATUAL]] + tabItens[[#This Row],[RC QTDE]] + tabItens[[#This Row],[AF SALDO]] + tabItens[[#This Row],[Recentes]]</f>
        <v>9431</v>
      </c>
      <c r="AX281" s="319">
        <v>604</v>
      </c>
      <c r="AY281" s="319">
        <v>4</v>
      </c>
      <c r="AZ281" s="319">
        <f>IF(ISBLANK(tabItens[[#This Row],[CÓDIGO]]),"",tabItens[[#This Row],[PontoMês]] * (AZ$2+tabItens[[#This Row],[PontoQtM]]))</f>
        <v>2416</v>
      </c>
      <c r="BA281" s="318">
        <f>tabItens[[#This Row],[PontoPed]] - tabItens[[#This Row],[Saldo]] + (1/10)</f>
        <v>-7014.9</v>
      </c>
      <c r="BB281" s="318">
        <f xml:space="preserve"> tabItens[[#This Row],[PontoMês]] * BB$2 - tabItens[[#This Row],[QTDE ATUAL]] - (1/10)</f>
        <v>172.9</v>
      </c>
      <c r="BC281" s="320">
        <f>IF( tabItens[[#This Row],[PontoPed]]&gt;0, IF(tabItens[[#This Row],[PontoPed]]&lt;1, 1, IF( tabItens[[#This Row],[Saldo]]&gt;tabItens[[#This Row],[PontoPed]], 0, (tabItens[[#This Row],[PontoPed]]-tabItens[[#This Row],[Saldo]])/tabItens[[#This Row],[PontoPed]] ) ), 0 )</f>
        <v>0</v>
      </c>
      <c r="BD281" s="321">
        <f>ROUNDDOWN(IF( OR( AND(tabItens[[#This Row],[PontoPed]]&lt;tabItens[[#This Row],[Saldo]],tabItens[[#This Row],[Saldo]]&gt;0), tabItens[[#This Row],[PontoPed]]=0), 99, IF(AND(tabItens[[#This Row],[Saldo]]=0,tabItens[[#This Row],[PontoPed]]&gt;0), 0, (1-tabItens[[#This Row],[PctAb]])*10 ) ),0)</f>
        <v>99</v>
      </c>
      <c r="BE281" s="322">
        <f>MAX(ROUNDDOWN( IF(tabItens[[#This Row],[Abaixo]] &gt; 0,   tabItens[[#This Row],[Abaixo]] + (tabItens[[#This Row],[PontoMês]] * IF( OR( ISBLANK(tabItens[[#This Row],[ATA Nº/ANO]]), tabItens[[#This Row],[ATA Nº/ANO]] = ""),BE$2,BE$1)),0),0),0)</f>
        <v>0</v>
      </c>
      <c r="BF2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23">
        <f>SUMIF(Consumo!$C$3:$C$869,tabItens[[#This Row],[CÓDIGO]],Consumo!$E$3:$E$869)</f>
        <v>183</v>
      </c>
      <c r="BH281" s="324">
        <f>IF(AND(tabItens[[#This Row],[Pend]] &gt; 0,tabItens[[#This Row],[Consumo]] &lt;&gt; 0), tabItens[[#This Row],[Pend]] / tabItens[[#This Row],[Consumo]], 0 )</f>
        <v>3.1389365351629506E-2</v>
      </c>
      <c r="BI281" s="323"/>
      <c r="BJ281" s="323"/>
      <c r="BK281" s="325" t="s">
        <v>2064</v>
      </c>
    </row>
    <row r="282" spans="1:63" hidden="1" x14ac:dyDescent="0.3">
      <c r="A282" s="286">
        <v>118427</v>
      </c>
      <c r="B282" s="287" t="s">
        <v>1721</v>
      </c>
      <c r="C282" s="288" t="s">
        <v>331</v>
      </c>
      <c r="D282" s="289">
        <v>128.11000000000001</v>
      </c>
      <c r="E282" s="290"/>
      <c r="F282" s="290"/>
      <c r="G282" s="290" t="s">
        <v>883</v>
      </c>
      <c r="H282" s="291">
        <v>31</v>
      </c>
      <c r="I282" s="292">
        <v>103003</v>
      </c>
      <c r="J282" s="293">
        <v>128.11000000000001</v>
      </c>
      <c r="K282" s="294">
        <v>5144</v>
      </c>
      <c r="L282" s="295">
        <f>IF(tabItens[[#This Row],[Média]] &gt; 0, tabItens[[#This Row],[QTDE ATUAL]] / tabItens[[#This Row],[Média]],999.9)</f>
        <v>6.0645582001956307E-2</v>
      </c>
      <c r="M282" s="296">
        <v>0</v>
      </c>
      <c r="N282" s="297">
        <f>tabItens[[#This Row],[VALOR UNIT.]] * tabItens[[#This Row],[LC]]</f>
        <v>0</v>
      </c>
      <c r="O282" s="298" t="s">
        <v>2120</v>
      </c>
      <c r="P282" s="299"/>
      <c r="Q282" s="300"/>
      <c r="R282" s="297"/>
      <c r="S282" s="301"/>
      <c r="T282" s="302">
        <f>ROUNDDOWN(IFERROR(tabItens[[#This Row],[ATA DT.VALID.]] - $D$1,0) / 30,0)</f>
        <v>-1504</v>
      </c>
      <c r="U282" s="287" t="s">
        <v>1422</v>
      </c>
      <c r="V282" s="303">
        <v>1</v>
      </c>
      <c r="W282" s="304" t="s">
        <v>2049</v>
      </c>
      <c r="X282" s="305">
        <v>74</v>
      </c>
      <c r="Y282" s="306">
        <v>2</v>
      </c>
      <c r="Z282" s="307">
        <v>8996</v>
      </c>
      <c r="AA282" s="308">
        <v>2023</v>
      </c>
      <c r="AB282" s="309">
        <v>3200</v>
      </c>
      <c r="AC282" s="309"/>
      <c r="AD282" s="308"/>
      <c r="AE282" s="309"/>
      <c r="AF282" s="302"/>
      <c r="AG282" s="310" t="s">
        <v>2050</v>
      </c>
      <c r="AH282" s="311"/>
      <c r="AI282" s="302">
        <v>2044</v>
      </c>
      <c r="AJ282" s="311">
        <v>44974</v>
      </c>
      <c r="AK282" s="311">
        <v>40490</v>
      </c>
      <c r="AL282" s="311">
        <v>44960</v>
      </c>
      <c r="AM282" s="301"/>
      <c r="AN282" s="290"/>
      <c r="AO282" s="312" t="str">
        <f>_xlfn.IFNA(IF(VLOOKUP(tabItens[[#This Row],[CÓDIGO]],tabExcluirDoEstoque[#Data],1,FALSE),"sim",""),"")</f>
        <v/>
      </c>
      <c r="AP282" s="313" t="str">
        <f ca="1">IF(OR(ISBLANK(tabItens[[#This Row],[ATA DT.VALID.]]),tabItens[[#This Row],[ATA DT.VALID.]]="",tabItens[[#This Row],[ATA DT.VALID.]]=" "),"",IF(TYPE(tabItens[[#This Row],[ATA DT.VALID.]])=1,ROUNDUP((tabItens[[#This Row],[ATA DT.VALID.]]-TODAY())/7,0),""))</f>
        <v/>
      </c>
      <c r="AQ282" s="314">
        <v>0</v>
      </c>
      <c r="AR282" s="315" t="str">
        <f>IF(ISBLANK(tabItens[[#This Row],[CÓDIGO]]),"",IFERROR(VLOOKUP(tabItens[[#This Row],[CÓDIGO]],Consumo!$C$2:$AC$869,26,FALSE),0))</f>
        <v>06.2023</v>
      </c>
      <c r="AS282" s="316">
        <f>SUMIF(Consumo!$C$3:$C$869,tabItens[[#This Row],[CÓDIGO]],Consumo!$N$3:$N$869) + SUMIF(Consumo!$C$3:$C$869,tabItens[[#This Row],[CÓDIGO]],Consumo!$O$3:$O$869) + SUMIF(Consumo!$C$3:$C$869,tabItens[[#This Row],[CÓDIGO]],Consumo!$P$3:$P$869) + SUMIF(Consumo!$C$3:$C$869,tabItens[[#This Row],[CÓDIGO]],Consumo!$Q$3:$Q$869)</f>
        <v>590</v>
      </c>
      <c r="AT282" s="316">
        <f>SUMIF(Consumo!$C$3:$C$869,tabItens[[#This Row],[CÓDIGO]],Consumo!$Z$3:$Z$869)</f>
        <v>6134</v>
      </c>
      <c r="AU282" s="317">
        <f>SUMIF(Consumo!$C$3:$C$869,tabItens[[#This Row],[CÓDIGO]],Consumo!$AA$3:$AA$869)</f>
        <v>1259</v>
      </c>
      <c r="AV282" s="318">
        <f>SUMIF(Consumo!$C$3:$C$869,tabItens[[#This Row],[CÓDIGO]],Consumo!$Y$3:$Y$869)</f>
        <v>511.16666666666669</v>
      </c>
      <c r="AW282" s="291">
        <f>tabItens[[#This Row],[QTDE ATUAL]] + tabItens[[#This Row],[RC QTDE]] + tabItens[[#This Row],[AF SALDO]] + tabItens[[#This Row],[Recentes]]</f>
        <v>3231</v>
      </c>
      <c r="AX282" s="319">
        <v>467</v>
      </c>
      <c r="AY282" s="319">
        <v>4</v>
      </c>
      <c r="AZ282" s="319">
        <f>IF(ISBLANK(tabItens[[#This Row],[CÓDIGO]]),"",tabItens[[#This Row],[PontoMês]] * (AZ$2+tabItens[[#This Row],[PontoQtM]]))</f>
        <v>1868</v>
      </c>
      <c r="BA282" s="318">
        <f>tabItens[[#This Row],[PontoPed]] - tabItens[[#This Row],[Saldo]] + (1/10)</f>
        <v>-1362.9</v>
      </c>
      <c r="BB282" s="318">
        <f xml:space="preserve"> tabItens[[#This Row],[PontoMês]] * BB$2 - tabItens[[#This Row],[QTDE ATUAL]] - (1/10)</f>
        <v>435.9</v>
      </c>
      <c r="BC282" s="320">
        <f>IF( tabItens[[#This Row],[PontoPed]]&gt;0, IF(tabItens[[#This Row],[PontoPed]]&lt;1, 1, IF( tabItens[[#This Row],[Saldo]]&gt;tabItens[[#This Row],[PontoPed]], 0, (tabItens[[#This Row],[PontoPed]]-tabItens[[#This Row],[Saldo]])/tabItens[[#This Row],[PontoPed]] ) ), 0 )</f>
        <v>0</v>
      </c>
      <c r="BD282" s="321">
        <f>ROUNDDOWN(IF( OR( AND(tabItens[[#This Row],[PontoPed]]&lt;tabItens[[#This Row],[Saldo]],tabItens[[#This Row],[Saldo]]&gt;0), tabItens[[#This Row],[PontoPed]]=0), 99, IF(AND(tabItens[[#This Row],[Saldo]]=0,tabItens[[#This Row],[PontoPed]]&gt;0), 0, (1-tabItens[[#This Row],[PctAb]])*10 ) ),0)</f>
        <v>99</v>
      </c>
      <c r="BE282" s="322">
        <f>MAX(ROUNDDOWN( IF(tabItens[[#This Row],[Abaixo]] &gt; 0,   tabItens[[#This Row],[Abaixo]] + (tabItens[[#This Row],[PontoMês]] * IF( OR( ISBLANK(tabItens[[#This Row],[ATA Nº/ANO]]), tabItens[[#This Row],[ATA Nº/ANO]] = ""),BE$2,BE$1)),0),0),0)</f>
        <v>0</v>
      </c>
      <c r="BF2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23">
        <f>SUMIF(Consumo!$C$3:$C$869,tabItens[[#This Row],[CÓDIGO]],Consumo!$E$3:$E$869)</f>
        <v>0</v>
      </c>
      <c r="BH282" s="324">
        <f>IF(AND(tabItens[[#This Row],[Pend]] &gt; 0,tabItens[[#This Row],[Consumo]] &lt;&gt; 0), tabItens[[#This Row],[Pend]] / tabItens[[#This Row],[Consumo]], 0 )</f>
        <v>0</v>
      </c>
      <c r="BI282" s="323"/>
      <c r="BJ282" s="323"/>
      <c r="BK282" s="325" t="s">
        <v>2064</v>
      </c>
    </row>
    <row r="283" spans="1:63" x14ac:dyDescent="0.3">
      <c r="A283" s="396">
        <v>134556</v>
      </c>
      <c r="B283" s="397" t="s">
        <v>1877</v>
      </c>
      <c r="C283" s="398" t="s">
        <v>281</v>
      </c>
      <c r="D283" s="399">
        <v>165</v>
      </c>
      <c r="E283" s="290"/>
      <c r="F283" s="400"/>
      <c r="G283" s="400" t="s">
        <v>883</v>
      </c>
      <c r="H283" s="401">
        <v>0</v>
      </c>
      <c r="I283" s="292">
        <v>103003</v>
      </c>
      <c r="J283" s="293">
        <v>165</v>
      </c>
      <c r="K283" s="402">
        <v>183</v>
      </c>
      <c r="L283" s="403">
        <f>IF(tabItens[[#This Row],[Média]] &gt; 0, tabItens[[#This Row],[QTDE ATUAL]] / tabItens[[#This Row],[Média]],999.9)</f>
        <v>0</v>
      </c>
      <c r="M283" s="404">
        <v>0</v>
      </c>
      <c r="N283" s="405">
        <f>tabItens[[#This Row],[VALOR UNIT.]] * tabItens[[#This Row],[LC]]</f>
        <v>0</v>
      </c>
      <c r="O283" s="406" t="s">
        <v>2120</v>
      </c>
      <c r="P283" s="407"/>
      <c r="Q283" s="408"/>
      <c r="R283" s="297"/>
      <c r="S283" s="409"/>
      <c r="T283" s="410">
        <f>ROUNDDOWN(IFERROR(tabItens[[#This Row],[ATA DT.VALID.]] - $D$1,0) / 30,0)</f>
        <v>-1504</v>
      </c>
      <c r="U283" s="287" t="s">
        <v>1422</v>
      </c>
      <c r="V283" s="303">
        <v>1</v>
      </c>
      <c r="W283" s="411" t="s">
        <v>2049</v>
      </c>
      <c r="X283" s="412">
        <v>74</v>
      </c>
      <c r="Y283" s="413">
        <v>2</v>
      </c>
      <c r="Z283" s="414">
        <v>2217</v>
      </c>
      <c r="AA283" s="415">
        <v>2023</v>
      </c>
      <c r="AB283" s="416">
        <v>600</v>
      </c>
      <c r="AC283" s="416"/>
      <c r="AD283" s="415"/>
      <c r="AE283" s="416"/>
      <c r="AF283" s="302"/>
      <c r="AG283" s="417" t="s">
        <v>2050</v>
      </c>
      <c r="AH283" s="418"/>
      <c r="AI283" s="302">
        <v>62</v>
      </c>
      <c r="AJ283" s="418">
        <v>44854</v>
      </c>
      <c r="AK283" s="311">
        <v>43174</v>
      </c>
      <c r="AL283" s="311">
        <v>44852</v>
      </c>
      <c r="AM283" s="301"/>
      <c r="AN283" s="290"/>
      <c r="AO283" s="312" t="str">
        <f>_xlfn.IFNA(IF(VLOOKUP(tabItens[[#This Row],[CÓDIGO]],tabExcluirDoEstoque[#Data],1,FALSE),"sim",""),"")</f>
        <v/>
      </c>
      <c r="AP283" s="419" t="str">
        <f ca="1">IF(OR(ISBLANK(tabItens[[#This Row],[ATA DT.VALID.]]),tabItens[[#This Row],[ATA DT.VALID.]]="",tabItens[[#This Row],[ATA DT.VALID.]]=" "),"",IF(TYPE(tabItens[[#This Row],[ATA DT.VALID.]])=1,ROUNDUP((tabItens[[#This Row],[ATA DT.VALID.]]-TODAY())/7,0),""))</f>
        <v/>
      </c>
      <c r="AQ283" s="314">
        <v>0</v>
      </c>
      <c r="AR283" s="315" t="str">
        <f>IF(ISBLANK(tabItens[[#This Row],[CÓDIGO]]),"",IFERROR(VLOOKUP(tabItens[[#This Row],[CÓDIGO]],Consumo!$C$2:$AC$869,26,FALSE),0))</f>
        <v>12.2022</v>
      </c>
      <c r="AS283" s="316">
        <f>SUMIF(Consumo!$C$3:$C$869,tabItens[[#This Row],[CÓDIGO]],Consumo!$N$3:$N$869) + SUMIF(Consumo!$C$3:$C$869,tabItens[[#This Row],[CÓDIGO]],Consumo!$O$3:$O$869) + SUMIF(Consumo!$C$3:$C$869,tabItens[[#This Row],[CÓDIGO]],Consumo!$P$3:$P$869) + SUMIF(Consumo!$C$3:$C$869,tabItens[[#This Row],[CÓDIGO]],Consumo!$Q$3:$Q$869)</f>
        <v>0</v>
      </c>
      <c r="AT283" s="316">
        <f>SUMIF(Consumo!$C$3:$C$869,tabItens[[#This Row],[CÓDIGO]],Consumo!$Z$3:$Z$869)</f>
        <v>192</v>
      </c>
      <c r="AU283" s="317">
        <f>SUMIF(Consumo!$C$3:$C$869,tabItens[[#This Row],[CÓDIGO]],Consumo!$AA$3:$AA$869)</f>
        <v>60</v>
      </c>
      <c r="AV283" s="318">
        <f>SUMIF(Consumo!$C$3:$C$869,tabItens[[#This Row],[CÓDIGO]],Consumo!$Y$3:$Y$869)</f>
        <v>15.916666666666666</v>
      </c>
      <c r="AW283" s="401">
        <f>tabItens[[#This Row],[QTDE ATUAL]] + tabItens[[#This Row],[RC QTDE]] + tabItens[[#This Row],[AF SALDO]] + tabItens[[#This Row],[Recentes]]</f>
        <v>600</v>
      </c>
      <c r="AX283" s="420">
        <v>7</v>
      </c>
      <c r="AY283" s="420">
        <v>4</v>
      </c>
      <c r="AZ283" s="420">
        <f>IF(ISBLANK(tabItens[[#This Row],[CÓDIGO]]),"",tabItens[[#This Row],[PontoMês]] * (AZ$2+tabItens[[#This Row],[PontoQtM]]))</f>
        <v>28</v>
      </c>
      <c r="BA283" s="421">
        <f>tabItens[[#This Row],[PontoPed]] - tabItens[[#This Row],[Saldo]] + (1/10)</f>
        <v>-571.9</v>
      </c>
      <c r="BB283" s="421">
        <f xml:space="preserve"> tabItens[[#This Row],[PontoMês]] * BB$2 - tabItens[[#This Row],[QTDE ATUAL]] - (1/10)</f>
        <v>6.9</v>
      </c>
      <c r="BC283" s="320">
        <f>IF( tabItens[[#This Row],[PontoPed]]&gt;0, IF(tabItens[[#This Row],[PontoPed]]&lt;1, 1, IF( tabItens[[#This Row],[Saldo]]&gt;tabItens[[#This Row],[PontoPed]], 0, (tabItens[[#This Row],[PontoPed]]-tabItens[[#This Row],[Saldo]])/tabItens[[#This Row],[PontoPed]] ) ), 0 )</f>
        <v>0</v>
      </c>
      <c r="BD283" s="422">
        <f>ROUNDDOWN(IF( OR( AND(tabItens[[#This Row],[PontoPed]]&lt;tabItens[[#This Row],[Saldo]],tabItens[[#This Row],[Saldo]]&gt;0), tabItens[[#This Row],[PontoPed]]=0), 99, IF(AND(tabItens[[#This Row],[Saldo]]=0,tabItens[[#This Row],[PontoPed]]&gt;0), 0, (1-tabItens[[#This Row],[PctAb]])*10 ) ),0)</f>
        <v>99</v>
      </c>
      <c r="BE283" s="423">
        <f>MAX(ROUNDDOWN( IF(tabItens[[#This Row],[Abaixo]] &gt; 0,   tabItens[[#This Row],[Abaixo]] + (tabItens[[#This Row],[PontoMês]] * IF( OR( ISBLANK(tabItens[[#This Row],[ATA Nº/ANO]]), tabItens[[#This Row],[ATA Nº/ANO]] = ""),BE$2,BE$1)),0),0),0)</f>
        <v>0</v>
      </c>
      <c r="BF28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23">
        <f>SUMIF(Consumo!$C$3:$C$869,tabItens[[#This Row],[CÓDIGO]],Consumo!$E$3:$E$869)</f>
        <v>9</v>
      </c>
      <c r="BH283" s="324">
        <f>IF(AND(tabItens[[#This Row],[Pend]] &gt; 0,tabItens[[#This Row],[Consumo]] &lt;&gt; 0), tabItens[[#This Row],[Pend]] / tabItens[[#This Row],[Consumo]], 0 )</f>
        <v>4.6875E-2</v>
      </c>
      <c r="BI283" s="323"/>
      <c r="BJ283" s="424"/>
      <c r="BK283" s="425" t="s">
        <v>2064</v>
      </c>
    </row>
    <row r="284" spans="1:63" hidden="1" x14ac:dyDescent="0.3">
      <c r="A284" s="286">
        <v>74907</v>
      </c>
      <c r="B284" s="287" t="s">
        <v>1403</v>
      </c>
      <c r="C284" s="288" t="s">
        <v>256</v>
      </c>
      <c r="D284" s="289">
        <v>215.33</v>
      </c>
      <c r="E284" s="290"/>
      <c r="F284" s="290"/>
      <c r="G284" s="290" t="s">
        <v>883</v>
      </c>
      <c r="H284" s="291">
        <v>11</v>
      </c>
      <c r="I284" s="292">
        <v>103003</v>
      </c>
      <c r="J284" s="293">
        <v>215.33</v>
      </c>
      <c r="K284" s="294">
        <v>87</v>
      </c>
      <c r="L284" s="295">
        <f>IF(tabItens[[#This Row],[Média]] &gt; 0, tabItens[[#This Row],[QTDE ATUAL]] / tabItens[[#This Row],[Média]],999.9)</f>
        <v>1.7837837837837838</v>
      </c>
      <c r="M284" s="296"/>
      <c r="N284" s="297">
        <f>tabItens[[#This Row],[VALOR UNIT.]] * tabItens[[#This Row],[LC]]</f>
        <v>0</v>
      </c>
      <c r="O284" s="298" t="s">
        <v>2120</v>
      </c>
      <c r="P284" s="299"/>
      <c r="Q284" s="300"/>
      <c r="R284" s="297"/>
      <c r="S284" s="301"/>
      <c r="T284" s="302">
        <f>ROUNDDOWN(IFERROR(tabItens[[#This Row],[ATA DT.VALID.]] - $D$1,0) / 30,0)</f>
        <v>-1504</v>
      </c>
      <c r="U284" s="287" t="s">
        <v>1334</v>
      </c>
      <c r="V284" s="303">
        <v>1</v>
      </c>
      <c r="W284" s="304" t="s">
        <v>2049</v>
      </c>
      <c r="X284" s="305">
        <v>74</v>
      </c>
      <c r="Y284" s="306">
        <v>3</v>
      </c>
      <c r="Z284" s="307">
        <v>8996</v>
      </c>
      <c r="AA284" s="308">
        <v>2023</v>
      </c>
      <c r="AB284" s="309">
        <v>20</v>
      </c>
      <c r="AC284" s="309"/>
      <c r="AD284" s="308"/>
      <c r="AE284" s="309"/>
      <c r="AF284" s="302"/>
      <c r="AG284" s="310" t="s">
        <v>2050</v>
      </c>
      <c r="AH284" s="311"/>
      <c r="AI284" s="302">
        <v>30</v>
      </c>
      <c r="AJ284" s="311">
        <v>44158</v>
      </c>
      <c r="AK284" s="311">
        <v>37845</v>
      </c>
      <c r="AL284" s="311">
        <v>44783</v>
      </c>
      <c r="AM284" s="301"/>
      <c r="AN284" s="290"/>
      <c r="AO284" s="312" t="str">
        <f>_xlfn.IFNA(IF(VLOOKUP(tabItens[[#This Row],[CÓDIGO]],tabExcluirDoEstoque[#Data],1,FALSE),"sim",""),"")</f>
        <v/>
      </c>
      <c r="AP284" s="313" t="str">
        <f ca="1">IF(OR(ISBLANK(tabItens[[#This Row],[ATA DT.VALID.]]),tabItens[[#This Row],[ATA DT.VALID.]]="",tabItens[[#This Row],[ATA DT.VALID.]]=" "),"",IF(TYPE(tabItens[[#This Row],[ATA DT.VALID.]])=1,ROUNDUP((tabItens[[#This Row],[ATA DT.VALID.]]-TODAY())/7,0),""))</f>
        <v/>
      </c>
      <c r="AQ284" s="314">
        <v>0</v>
      </c>
      <c r="AR284" s="315" t="str">
        <f>IF(ISBLANK(tabItens[[#This Row],[CÓDIGO]]),"",IFERROR(VLOOKUP(tabItens[[#This Row],[CÓDIGO]],Consumo!$C$2:$AC$869,26,FALSE),0))</f>
        <v>07.2023</v>
      </c>
      <c r="AS284" s="316">
        <f>SUMIF(Consumo!$C$3:$C$869,tabItens[[#This Row],[CÓDIGO]],Consumo!$N$3:$N$869) + SUMIF(Consumo!$C$3:$C$869,tabItens[[#This Row],[CÓDIGO]],Consumo!$O$3:$O$869) + SUMIF(Consumo!$C$3:$C$869,tabItens[[#This Row],[CÓDIGO]],Consumo!$P$3:$P$869) + SUMIF(Consumo!$C$3:$C$869,tabItens[[#This Row],[CÓDIGO]],Consumo!$Q$3:$Q$869)</f>
        <v>64</v>
      </c>
      <c r="AT284" s="316">
        <f>SUMIF(Consumo!$C$3:$C$869,tabItens[[#This Row],[CÓDIGO]],Consumo!$Z$3:$Z$869)</f>
        <v>87</v>
      </c>
      <c r="AU284" s="317">
        <f>SUMIF(Consumo!$C$3:$C$869,tabItens[[#This Row],[CÓDIGO]],Consumo!$AA$3:$AA$869)</f>
        <v>50</v>
      </c>
      <c r="AV284" s="318">
        <f>SUMIF(Consumo!$C$3:$C$869,tabItens[[#This Row],[CÓDIGO]],Consumo!$Y$3:$Y$869)</f>
        <v>6.166666666666667</v>
      </c>
      <c r="AW284" s="291">
        <f>tabItens[[#This Row],[QTDE ATUAL]] + tabItens[[#This Row],[RC QTDE]] + tabItens[[#This Row],[AF SALDO]] + tabItens[[#This Row],[Recentes]]</f>
        <v>31</v>
      </c>
      <c r="AX284" s="319">
        <v>5</v>
      </c>
      <c r="AY284" s="319">
        <v>4</v>
      </c>
      <c r="AZ284" s="319">
        <f>IF(ISBLANK(tabItens[[#This Row],[CÓDIGO]]),"",tabItens[[#This Row],[PontoMês]] * (AZ$2+tabItens[[#This Row],[PontoQtM]]))</f>
        <v>20</v>
      </c>
      <c r="BA284" s="318">
        <f>tabItens[[#This Row],[PontoPed]] - tabItens[[#This Row],[Saldo]] + (1/10)</f>
        <v>-10.9</v>
      </c>
      <c r="BB284" s="318">
        <f xml:space="preserve"> tabItens[[#This Row],[PontoMês]] * BB$2 - tabItens[[#This Row],[QTDE ATUAL]] - (1/10)</f>
        <v>-6.1</v>
      </c>
      <c r="BC284" s="320">
        <f>IF( tabItens[[#This Row],[PontoPed]]&gt;0, IF(tabItens[[#This Row],[PontoPed]]&lt;1, 1, IF( tabItens[[#This Row],[Saldo]]&gt;tabItens[[#This Row],[PontoPed]], 0, (tabItens[[#This Row],[PontoPed]]-tabItens[[#This Row],[Saldo]])/tabItens[[#This Row],[PontoPed]] ) ), 0 )</f>
        <v>0</v>
      </c>
      <c r="BD284" s="321">
        <f>ROUNDDOWN(IF( OR( AND(tabItens[[#This Row],[PontoPed]]&lt;tabItens[[#This Row],[Saldo]],tabItens[[#This Row],[Saldo]]&gt;0), tabItens[[#This Row],[PontoPed]]=0), 99, IF(AND(tabItens[[#This Row],[Saldo]]=0,tabItens[[#This Row],[PontoPed]]&gt;0), 0, (1-tabItens[[#This Row],[PctAb]])*10 ) ),0)</f>
        <v>99</v>
      </c>
      <c r="BE284" s="322">
        <f>MAX(ROUNDDOWN( IF(tabItens[[#This Row],[Abaixo]] &gt; 0,   tabItens[[#This Row],[Abaixo]] + (tabItens[[#This Row],[PontoMês]] * IF( OR( ISBLANK(tabItens[[#This Row],[ATA Nº/ANO]]), tabItens[[#This Row],[ATA Nº/ANO]] = ""),BE$2,BE$1)),0),0),0)</f>
        <v>0</v>
      </c>
      <c r="BF2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23">
        <f>SUMIF(Consumo!$C$3:$C$869,tabItens[[#This Row],[CÓDIGO]],Consumo!$E$3:$E$869)</f>
        <v>0</v>
      </c>
      <c r="BH284" s="324">
        <f>IF(AND(tabItens[[#This Row],[Pend]] &gt; 0,tabItens[[#This Row],[Consumo]] &lt;&gt; 0), tabItens[[#This Row],[Pend]] / tabItens[[#This Row],[Consumo]], 0 )</f>
        <v>0</v>
      </c>
      <c r="BI284" s="323"/>
      <c r="BJ284" s="323"/>
      <c r="BK284" s="325" t="s">
        <v>2064</v>
      </c>
    </row>
    <row r="285" spans="1:63" hidden="1" x14ac:dyDescent="0.3">
      <c r="A285" s="286">
        <v>77556</v>
      </c>
      <c r="B285" s="287" t="s">
        <v>1419</v>
      </c>
      <c r="C285" s="288" t="s">
        <v>256</v>
      </c>
      <c r="D285" s="289">
        <v>253.2</v>
      </c>
      <c r="E285" s="290"/>
      <c r="F285" s="290"/>
      <c r="G285" s="290" t="s">
        <v>883</v>
      </c>
      <c r="H285" s="291">
        <v>87</v>
      </c>
      <c r="I285" s="292">
        <v>103003</v>
      </c>
      <c r="J285" s="293">
        <v>253.2</v>
      </c>
      <c r="K285" s="294">
        <v>65</v>
      </c>
      <c r="L285" s="295">
        <f>IF(tabItens[[#This Row],[Média]] &gt; 0, tabItens[[#This Row],[QTDE ATUAL]] / tabItens[[#This Row],[Média]],999.9)</f>
        <v>21.306122448979593</v>
      </c>
      <c r="M285" s="296">
        <v>0</v>
      </c>
      <c r="N285" s="297">
        <f>tabItens[[#This Row],[VALOR UNIT.]] * tabItens[[#This Row],[LC]]</f>
        <v>0</v>
      </c>
      <c r="O285" s="298" t="s">
        <v>2120</v>
      </c>
      <c r="P285" s="299"/>
      <c r="Q285" s="300"/>
      <c r="R285" s="297"/>
      <c r="S285" s="301"/>
      <c r="T285" s="302">
        <f>ROUNDDOWN(IFERROR(tabItens[[#This Row],[ATA DT.VALID.]] - $D$1,0) / 30,0)</f>
        <v>-1504</v>
      </c>
      <c r="U285" s="287" t="s">
        <v>1334</v>
      </c>
      <c r="V285" s="303">
        <v>1</v>
      </c>
      <c r="W285" s="304" t="s">
        <v>2049</v>
      </c>
      <c r="X285" s="305">
        <v>74</v>
      </c>
      <c r="Y285" s="306">
        <v>3</v>
      </c>
      <c r="Z285" s="307"/>
      <c r="AA285" s="308"/>
      <c r="AB285" s="309"/>
      <c r="AC285" s="309"/>
      <c r="AD285" s="308"/>
      <c r="AE285" s="309"/>
      <c r="AF285" s="302"/>
      <c r="AG285" s="310" t="s">
        <v>2050</v>
      </c>
      <c r="AH285" s="311"/>
      <c r="AI285" s="302">
        <v>22</v>
      </c>
      <c r="AJ285" s="311">
        <v>44158</v>
      </c>
      <c r="AK285" s="311">
        <v>38056</v>
      </c>
      <c r="AL285" s="311">
        <v>45084</v>
      </c>
      <c r="AM285" s="301"/>
      <c r="AN285" s="290"/>
      <c r="AO285" s="312" t="str">
        <f>_xlfn.IFNA(IF(VLOOKUP(tabItens[[#This Row],[CÓDIGO]],tabExcluirDoEstoque[#Data],1,FALSE),"sim",""),"")</f>
        <v/>
      </c>
      <c r="AP285" s="313" t="str">
        <f ca="1">IF(OR(ISBLANK(tabItens[[#This Row],[ATA DT.VALID.]]),tabItens[[#This Row],[ATA DT.VALID.]]="",tabItens[[#This Row],[ATA DT.VALID.]]=" "),"",IF(TYPE(tabItens[[#This Row],[ATA DT.VALID.]])=1,ROUNDUP((tabItens[[#This Row],[ATA DT.VALID.]]-TODAY())/7,0),""))</f>
        <v/>
      </c>
      <c r="AQ285" s="314">
        <v>0</v>
      </c>
      <c r="AR285" s="315" t="str">
        <f>IF(ISBLANK(tabItens[[#This Row],[CÓDIGO]]),"",IFERROR(VLOOKUP(tabItens[[#This Row],[CÓDIGO]],Consumo!$C$2:$AC$869,26,FALSE),0))</f>
        <v>06.2023</v>
      </c>
      <c r="AS285" s="316">
        <f>SUMIF(Consumo!$C$3:$C$869,tabItens[[#This Row],[CÓDIGO]],Consumo!$N$3:$N$869) + SUMIF(Consumo!$C$3:$C$869,tabItens[[#This Row],[CÓDIGO]],Consumo!$O$3:$O$869) + SUMIF(Consumo!$C$3:$C$869,tabItens[[#This Row],[CÓDIGO]],Consumo!$P$3:$P$869) + SUMIF(Consumo!$C$3:$C$869,tabItens[[#This Row],[CÓDIGO]],Consumo!$Q$3:$Q$869)</f>
        <v>65</v>
      </c>
      <c r="AT285" s="316">
        <f>SUMIF(Consumo!$C$3:$C$869,tabItens[[#This Row],[CÓDIGO]],Consumo!$Z$3:$Z$869)</f>
        <v>65</v>
      </c>
      <c r="AU285" s="317">
        <f>SUMIF(Consumo!$C$3:$C$869,tabItens[[#This Row],[CÓDIGO]],Consumo!$AA$3:$AA$869)</f>
        <v>50</v>
      </c>
      <c r="AV285" s="318">
        <f>SUMIF(Consumo!$C$3:$C$869,tabItens[[#This Row],[CÓDIGO]],Consumo!$Y$3:$Y$869)</f>
        <v>4.083333333333333</v>
      </c>
      <c r="AW285" s="291">
        <f>tabItens[[#This Row],[QTDE ATUAL]] + tabItens[[#This Row],[RC QTDE]] + tabItens[[#This Row],[AF SALDO]] + tabItens[[#This Row],[Recentes]]</f>
        <v>87</v>
      </c>
      <c r="AX285" s="319">
        <v>11</v>
      </c>
      <c r="AY285" s="319">
        <v>4</v>
      </c>
      <c r="AZ285" s="319">
        <f>IF(ISBLANK(tabItens[[#This Row],[CÓDIGO]]),"",tabItens[[#This Row],[PontoMês]] * (AZ$2+tabItens[[#This Row],[PontoQtM]]))</f>
        <v>44</v>
      </c>
      <c r="BA285" s="318">
        <f>tabItens[[#This Row],[PontoPed]] - tabItens[[#This Row],[Saldo]] + (1/10)</f>
        <v>-42.9</v>
      </c>
      <c r="BB285" s="318">
        <f xml:space="preserve"> tabItens[[#This Row],[PontoMês]] * BB$2 - tabItens[[#This Row],[QTDE ATUAL]] - (1/10)</f>
        <v>-76.099999999999994</v>
      </c>
      <c r="BC285" s="320">
        <f>IF( tabItens[[#This Row],[PontoPed]]&gt;0, IF(tabItens[[#This Row],[PontoPed]]&lt;1, 1, IF( tabItens[[#This Row],[Saldo]]&gt;tabItens[[#This Row],[PontoPed]], 0, (tabItens[[#This Row],[PontoPed]]-tabItens[[#This Row],[Saldo]])/tabItens[[#This Row],[PontoPed]] ) ), 0 )</f>
        <v>0</v>
      </c>
      <c r="BD285" s="321">
        <f>ROUNDDOWN(IF( OR( AND(tabItens[[#This Row],[PontoPed]]&lt;tabItens[[#This Row],[Saldo]],tabItens[[#This Row],[Saldo]]&gt;0), tabItens[[#This Row],[PontoPed]]=0), 99, IF(AND(tabItens[[#This Row],[Saldo]]=0,tabItens[[#This Row],[PontoPed]]&gt;0), 0, (1-tabItens[[#This Row],[PctAb]])*10 ) ),0)</f>
        <v>99</v>
      </c>
      <c r="BE285" s="322">
        <f>MAX(ROUNDDOWN( IF(tabItens[[#This Row],[Abaixo]] &gt; 0,   tabItens[[#This Row],[Abaixo]] + (tabItens[[#This Row],[PontoMês]] * IF( OR( ISBLANK(tabItens[[#This Row],[ATA Nº/ANO]]), tabItens[[#This Row],[ATA Nº/ANO]] = ""),BE$2,BE$1)),0),0),0)</f>
        <v>0</v>
      </c>
      <c r="BF28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23">
        <f>SUMIF(Consumo!$C$3:$C$869,tabItens[[#This Row],[CÓDIGO]],Consumo!$E$3:$E$869)</f>
        <v>0</v>
      </c>
      <c r="BH285" s="324">
        <f>IF(AND(tabItens[[#This Row],[Pend]] &gt; 0,tabItens[[#This Row],[Consumo]] &lt;&gt; 0), tabItens[[#This Row],[Pend]] / tabItens[[#This Row],[Consumo]], 0 )</f>
        <v>0</v>
      </c>
      <c r="BI285" s="323"/>
      <c r="BJ285" s="323"/>
      <c r="BK285" s="325" t="s">
        <v>2064</v>
      </c>
    </row>
    <row r="286" spans="1:63" hidden="1" x14ac:dyDescent="0.3">
      <c r="A286" s="286">
        <v>135013</v>
      </c>
      <c r="B286" s="287" t="s">
        <v>1895</v>
      </c>
      <c r="C286" s="288" t="s">
        <v>301</v>
      </c>
      <c r="D286" s="289">
        <v>51.52</v>
      </c>
      <c r="E286" s="290"/>
      <c r="F286" s="290"/>
      <c r="G286" s="290" t="s">
        <v>883</v>
      </c>
      <c r="H286" s="291">
        <v>1</v>
      </c>
      <c r="I286" s="292">
        <v>103003</v>
      </c>
      <c r="J286" s="293">
        <v>51.52</v>
      </c>
      <c r="K286" s="294"/>
      <c r="L286" s="295">
        <f>IF(tabItens[[#This Row],[Média]] &gt; 0, tabItens[[#This Row],[QTDE ATUAL]] / tabItens[[#This Row],[Média]],999.9)</f>
        <v>999.9</v>
      </c>
      <c r="M286" s="296">
        <v>0</v>
      </c>
      <c r="N286" s="297">
        <f>tabItens[[#This Row],[VALOR UNIT.]] * tabItens[[#This Row],[LC]]</f>
        <v>0</v>
      </c>
      <c r="O286" s="298" t="s">
        <v>2180</v>
      </c>
      <c r="P286" s="299"/>
      <c r="Q286" s="300"/>
      <c r="R286" s="297"/>
      <c r="S286" s="301"/>
      <c r="T286" s="302">
        <f>ROUNDDOWN(IFERROR(tabItens[[#This Row],[ATA DT.VALID.]] - $D$1,0) / 30,0)</f>
        <v>-1504</v>
      </c>
      <c r="U286" s="287" t="s">
        <v>1481</v>
      </c>
      <c r="V286" s="303">
        <v>1</v>
      </c>
      <c r="W286" s="304" t="s">
        <v>2058</v>
      </c>
      <c r="X286" s="305">
        <v>54</v>
      </c>
      <c r="Y286" s="306">
        <v>4</v>
      </c>
      <c r="Z286" s="307"/>
      <c r="AA286" s="308"/>
      <c r="AB286" s="309"/>
      <c r="AC286" s="309"/>
      <c r="AD286" s="308"/>
      <c r="AE286" s="309"/>
      <c r="AF286" s="302"/>
      <c r="AG286" s="310" t="s">
        <v>2050</v>
      </c>
      <c r="AH286" s="311"/>
      <c r="AI286" s="302">
        <v>0</v>
      </c>
      <c r="AJ286" s="311">
        <v>43818</v>
      </c>
      <c r="AK286" s="311">
        <v>43235</v>
      </c>
      <c r="AL286" s="311">
        <v>43780</v>
      </c>
      <c r="AM286" s="301"/>
      <c r="AN286" s="290"/>
      <c r="AO286" s="312" t="str">
        <f>_xlfn.IFNA(IF(VLOOKUP(tabItens[[#This Row],[CÓDIGO]],tabExcluirDoEstoque[#Data],1,FALSE),"sim",""),"")</f>
        <v/>
      </c>
      <c r="AP286" s="313" t="str">
        <f ca="1">IF(OR(ISBLANK(tabItens[[#This Row],[ATA DT.VALID.]]),tabItens[[#This Row],[ATA DT.VALID.]]="",tabItens[[#This Row],[ATA DT.VALID.]]=" "),"",IF(TYPE(tabItens[[#This Row],[ATA DT.VALID.]])=1,ROUNDUP((tabItens[[#This Row],[ATA DT.VALID.]]-TODAY())/7,0),""))</f>
        <v/>
      </c>
      <c r="AQ286" s="314">
        <v>0</v>
      </c>
      <c r="AR286" s="315">
        <f>IF(ISBLANK(tabItens[[#This Row],[CÓDIGO]]),"",IFERROR(VLOOKUP(tabItens[[#This Row],[CÓDIGO]],Consumo!$C$2:$AC$869,26,FALSE),0))</f>
        <v>0</v>
      </c>
      <c r="AS286" s="316">
        <f>SUMIF(Consumo!$C$3:$C$869,tabItens[[#This Row],[CÓDIGO]],Consumo!$N$3:$N$869) + SUMIF(Consumo!$C$3:$C$869,tabItens[[#This Row],[CÓDIGO]],Consumo!$O$3:$O$869) + SUMIF(Consumo!$C$3:$C$869,tabItens[[#This Row],[CÓDIGO]],Consumo!$P$3:$P$869) + SUMIF(Consumo!$C$3:$C$869,tabItens[[#This Row],[CÓDIGO]],Consumo!$Q$3:$Q$869)</f>
        <v>0</v>
      </c>
      <c r="AT286" s="316">
        <f>SUMIF(Consumo!$C$3:$C$869,tabItens[[#This Row],[CÓDIGO]],Consumo!$Z$3:$Z$869)</f>
        <v>0</v>
      </c>
      <c r="AU286" s="317">
        <f>SUMIF(Consumo!$C$3:$C$869,tabItens[[#This Row],[CÓDIGO]],Consumo!$AA$3:$AA$869)</f>
        <v>0</v>
      </c>
      <c r="AV286" s="318">
        <f>SUMIF(Consumo!$C$3:$C$869,tabItens[[#This Row],[CÓDIGO]],Consumo!$Y$3:$Y$869)</f>
        <v>0</v>
      </c>
      <c r="AW286" s="291">
        <f>tabItens[[#This Row],[QTDE ATUAL]] + tabItens[[#This Row],[RC QTDE]] + tabItens[[#This Row],[AF SALDO]] + tabItens[[#This Row],[Recentes]]</f>
        <v>1</v>
      </c>
      <c r="AX286" s="319">
        <v>0</v>
      </c>
      <c r="AY286" s="319">
        <v>4</v>
      </c>
      <c r="AZ286" s="319">
        <f>IF(ISBLANK(tabItens[[#This Row],[CÓDIGO]]),"",tabItens[[#This Row],[PontoMês]] * (AZ$2+tabItens[[#This Row],[PontoQtM]]))</f>
        <v>0</v>
      </c>
      <c r="BA286" s="318">
        <f>tabItens[[#This Row],[PontoPed]] - tabItens[[#This Row],[Saldo]] + (1/10)</f>
        <v>-0.9</v>
      </c>
      <c r="BB286" s="318">
        <f xml:space="preserve"> tabItens[[#This Row],[PontoMês]] * BB$2 - tabItens[[#This Row],[QTDE ATUAL]] - (1/10)</f>
        <v>-1.1000000000000001</v>
      </c>
      <c r="BC286" s="320">
        <f>IF( tabItens[[#This Row],[PontoPed]]&gt;0, IF(tabItens[[#This Row],[PontoPed]]&lt;1, 1, IF( tabItens[[#This Row],[Saldo]]&gt;tabItens[[#This Row],[PontoPed]], 0, (tabItens[[#This Row],[PontoPed]]-tabItens[[#This Row],[Saldo]])/tabItens[[#This Row],[PontoPed]] ) ), 0 )</f>
        <v>0</v>
      </c>
      <c r="BD286" s="321">
        <f>ROUNDDOWN(IF( OR( AND(tabItens[[#This Row],[PontoPed]]&lt;tabItens[[#This Row],[Saldo]],tabItens[[#This Row],[Saldo]]&gt;0), tabItens[[#This Row],[PontoPed]]=0), 99, IF(AND(tabItens[[#This Row],[Saldo]]=0,tabItens[[#This Row],[PontoPed]]&gt;0), 0, (1-tabItens[[#This Row],[PctAb]])*10 ) ),0)</f>
        <v>99</v>
      </c>
      <c r="BE286" s="322">
        <f>MAX(ROUNDDOWN( IF(tabItens[[#This Row],[Abaixo]] &gt; 0,   tabItens[[#This Row],[Abaixo]] + (tabItens[[#This Row],[PontoMês]] * IF( OR( ISBLANK(tabItens[[#This Row],[ATA Nº/ANO]]), tabItens[[#This Row],[ATA Nº/ANO]] = ""),BE$2,BE$1)),0),0),0)</f>
        <v>0</v>
      </c>
      <c r="BF28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23">
        <f>SUMIF(Consumo!$C$3:$C$869,tabItens[[#This Row],[CÓDIGO]],Consumo!$E$3:$E$869)</f>
        <v>0</v>
      </c>
      <c r="BH286" s="324">
        <f>IF(AND(tabItens[[#This Row],[Pend]] &gt; 0,tabItens[[#This Row],[Consumo]] &lt;&gt; 0), tabItens[[#This Row],[Pend]] / tabItens[[#This Row],[Consumo]], 0 )</f>
        <v>0</v>
      </c>
      <c r="BI286" s="323"/>
      <c r="BJ286" s="323"/>
      <c r="BK286" s="325" t="s">
        <v>2064</v>
      </c>
    </row>
    <row r="287" spans="1:63" hidden="1" x14ac:dyDescent="0.3">
      <c r="A287" s="286">
        <v>135014</v>
      </c>
      <c r="B287" s="287" t="s">
        <v>1896</v>
      </c>
      <c r="C287" s="288" t="s">
        <v>301</v>
      </c>
      <c r="D287" s="289">
        <v>51.52</v>
      </c>
      <c r="E287" s="290"/>
      <c r="F287" s="290"/>
      <c r="G287" s="290" t="s">
        <v>883</v>
      </c>
      <c r="H287" s="291">
        <v>0</v>
      </c>
      <c r="I287" s="292">
        <v>103003</v>
      </c>
      <c r="J287" s="293">
        <v>51.52</v>
      </c>
      <c r="K287" s="294">
        <v>4</v>
      </c>
      <c r="L287" s="295">
        <f>IF(tabItens[[#This Row],[Média]] &gt; 0, tabItens[[#This Row],[QTDE ATUAL]] / tabItens[[#This Row],[Média]],999.9)</f>
        <v>0</v>
      </c>
      <c r="M287" s="296">
        <v>0</v>
      </c>
      <c r="N287" s="297">
        <f>tabItens[[#This Row],[VALOR UNIT.]] * tabItens[[#This Row],[LC]]</f>
        <v>0</v>
      </c>
      <c r="O287" s="298" t="s">
        <v>2180</v>
      </c>
      <c r="P287" s="299"/>
      <c r="Q287" s="300"/>
      <c r="R287" s="297"/>
      <c r="S287" s="301"/>
      <c r="T287" s="302">
        <f>ROUNDDOWN(IFERROR(tabItens[[#This Row],[ATA DT.VALID.]] - $D$1,0) / 30,0)</f>
        <v>-1504</v>
      </c>
      <c r="U287" s="287" t="s">
        <v>1481</v>
      </c>
      <c r="V287" s="303">
        <v>1</v>
      </c>
      <c r="W287" s="304" t="s">
        <v>2058</v>
      </c>
      <c r="X287" s="305">
        <v>54</v>
      </c>
      <c r="Y287" s="306">
        <v>4</v>
      </c>
      <c r="Z287" s="307"/>
      <c r="AA287" s="308"/>
      <c r="AB287" s="309"/>
      <c r="AC287" s="309"/>
      <c r="AD287" s="308"/>
      <c r="AE287" s="309"/>
      <c r="AF287" s="302"/>
      <c r="AG287" s="310" t="s">
        <v>2050</v>
      </c>
      <c r="AH287" s="311"/>
      <c r="AI287" s="302">
        <v>2</v>
      </c>
      <c r="AJ287" s="311">
        <v>43819</v>
      </c>
      <c r="AK287" s="311">
        <v>43235</v>
      </c>
      <c r="AL287" s="311">
        <v>43780</v>
      </c>
      <c r="AM287" s="301"/>
      <c r="AN287" s="290"/>
      <c r="AO287" s="312" t="str">
        <f>_xlfn.IFNA(IF(VLOOKUP(tabItens[[#This Row],[CÓDIGO]],tabExcluirDoEstoque[#Data],1,FALSE),"sim",""),"")</f>
        <v/>
      </c>
      <c r="AP287" s="313" t="str">
        <f ca="1">IF(OR(ISBLANK(tabItens[[#This Row],[ATA DT.VALID.]]),tabItens[[#This Row],[ATA DT.VALID.]]="",tabItens[[#This Row],[ATA DT.VALID.]]=" "),"",IF(TYPE(tabItens[[#This Row],[ATA DT.VALID.]])=1,ROUNDUP((tabItens[[#This Row],[ATA DT.VALID.]]-TODAY())/7,0),""))</f>
        <v/>
      </c>
      <c r="AQ287" s="314">
        <v>0</v>
      </c>
      <c r="AR287" s="315" t="str">
        <f>IF(ISBLANK(tabItens[[#This Row],[CÓDIGO]]),"",IFERROR(VLOOKUP(tabItens[[#This Row],[CÓDIGO]],Consumo!$C$2:$AC$869,26,FALSE),0))</f>
        <v>04.2023</v>
      </c>
      <c r="AS287" s="316">
        <f>SUMIF(Consumo!$C$3:$C$869,tabItens[[#This Row],[CÓDIGO]],Consumo!$N$3:$N$869) + SUMIF(Consumo!$C$3:$C$869,tabItens[[#This Row],[CÓDIGO]],Consumo!$O$3:$O$869) + SUMIF(Consumo!$C$3:$C$869,tabItens[[#This Row],[CÓDIGO]],Consumo!$P$3:$P$869) + SUMIF(Consumo!$C$3:$C$869,tabItens[[#This Row],[CÓDIGO]],Consumo!$Q$3:$Q$869)</f>
        <v>2</v>
      </c>
      <c r="AT287" s="316">
        <f>SUMIF(Consumo!$C$3:$C$869,tabItens[[#This Row],[CÓDIGO]],Consumo!$Z$3:$Z$869)</f>
        <v>4</v>
      </c>
      <c r="AU287" s="317">
        <f>SUMIF(Consumo!$C$3:$C$869,tabItens[[#This Row],[CÓDIGO]],Consumo!$AA$3:$AA$869)</f>
        <v>2</v>
      </c>
      <c r="AV287" s="318">
        <f>SUMIF(Consumo!$C$3:$C$869,tabItens[[#This Row],[CÓDIGO]],Consumo!$Y$3:$Y$869)</f>
        <v>0.25</v>
      </c>
      <c r="AW287" s="291">
        <f>tabItens[[#This Row],[QTDE ATUAL]] + tabItens[[#This Row],[RC QTDE]] + tabItens[[#This Row],[AF SALDO]] + tabItens[[#This Row],[Recentes]]</f>
        <v>0</v>
      </c>
      <c r="AX287" s="319">
        <v>0</v>
      </c>
      <c r="AY287" s="319">
        <v>4</v>
      </c>
      <c r="AZ287" s="319">
        <f>IF(ISBLANK(tabItens[[#This Row],[CÓDIGO]]),"",tabItens[[#This Row],[PontoMês]] * (AZ$2+tabItens[[#This Row],[PontoQtM]]))</f>
        <v>0</v>
      </c>
      <c r="BA287" s="318">
        <f>tabItens[[#This Row],[PontoPed]] - tabItens[[#This Row],[Saldo]] + (1/10)</f>
        <v>0.1</v>
      </c>
      <c r="BB287" s="318">
        <f xml:space="preserve"> tabItens[[#This Row],[PontoMês]] * BB$2 - tabItens[[#This Row],[QTDE ATUAL]] - (1/10)</f>
        <v>-0.1</v>
      </c>
      <c r="BC287" s="320">
        <f>IF( tabItens[[#This Row],[PontoPed]]&gt;0, IF(tabItens[[#This Row],[PontoPed]]&lt;1, 1, IF( tabItens[[#This Row],[Saldo]]&gt;tabItens[[#This Row],[PontoPed]], 0, (tabItens[[#This Row],[PontoPed]]-tabItens[[#This Row],[Saldo]])/tabItens[[#This Row],[PontoPed]] ) ), 0 )</f>
        <v>0</v>
      </c>
      <c r="BD287" s="321">
        <f>ROUNDDOWN(IF( OR( AND(tabItens[[#This Row],[PontoPed]]&lt;tabItens[[#This Row],[Saldo]],tabItens[[#This Row],[Saldo]]&gt;0), tabItens[[#This Row],[PontoPed]]=0), 99, IF(AND(tabItens[[#This Row],[Saldo]]=0,tabItens[[#This Row],[PontoPed]]&gt;0), 0, (1-tabItens[[#This Row],[PctAb]])*10 ) ),0)</f>
        <v>99</v>
      </c>
      <c r="BE287" s="322">
        <f>MAX(ROUNDDOWN( IF(tabItens[[#This Row],[Abaixo]] &gt; 0,   tabItens[[#This Row],[Abaixo]] + (tabItens[[#This Row],[PontoMês]] * IF( OR( ISBLANK(tabItens[[#This Row],[ATA Nº/ANO]]), tabItens[[#This Row],[ATA Nº/ANO]] = ""),BE$2,BE$1)),0),0),0)</f>
        <v>0</v>
      </c>
      <c r="BF2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23">
        <f>SUMIF(Consumo!$C$3:$C$869,tabItens[[#This Row],[CÓDIGO]],Consumo!$E$3:$E$869)</f>
        <v>0</v>
      </c>
      <c r="BH287" s="324">
        <f>IF(AND(tabItens[[#This Row],[Pend]] &gt; 0,tabItens[[#This Row],[Consumo]] &lt;&gt; 0), tabItens[[#This Row],[Pend]] / tabItens[[#This Row],[Consumo]], 0 )</f>
        <v>0</v>
      </c>
      <c r="BI287" s="323"/>
      <c r="BJ287" s="323"/>
      <c r="BK287" s="325" t="s">
        <v>2064</v>
      </c>
    </row>
    <row r="288" spans="1:63" hidden="1" x14ac:dyDescent="0.3">
      <c r="A288" s="286">
        <v>106914</v>
      </c>
      <c r="B288" s="287" t="s">
        <v>1634</v>
      </c>
      <c r="C288" s="288" t="s">
        <v>256</v>
      </c>
      <c r="D288" s="289">
        <v>86.54</v>
      </c>
      <c r="E288" s="290"/>
      <c r="F288" s="290"/>
      <c r="G288" s="290" t="s">
        <v>883</v>
      </c>
      <c r="H288" s="291">
        <v>3</v>
      </c>
      <c r="I288" s="292">
        <v>103003</v>
      </c>
      <c r="J288" s="293">
        <v>86.54</v>
      </c>
      <c r="K288" s="294"/>
      <c r="L288" s="295">
        <f>IF(tabItens[[#This Row],[Média]] &gt; 0, tabItens[[#This Row],[QTDE ATUAL]] / tabItens[[#This Row],[Média]],999.9)</f>
        <v>999.9</v>
      </c>
      <c r="M288" s="296">
        <v>0</v>
      </c>
      <c r="N288" s="297">
        <f>tabItens[[#This Row],[VALOR UNIT.]] * tabItens[[#This Row],[LC]]</f>
        <v>0</v>
      </c>
      <c r="O288" s="298" t="s">
        <v>2153</v>
      </c>
      <c r="P288" s="299"/>
      <c r="Q288" s="300"/>
      <c r="R288" s="297"/>
      <c r="S288" s="301"/>
      <c r="T288" s="302">
        <f>ROUNDDOWN(IFERROR(tabItens[[#This Row],[ATA DT.VALID.]] - $D$1,0) / 30,0)</f>
        <v>-1504</v>
      </c>
      <c r="U288" s="287" t="s">
        <v>1481</v>
      </c>
      <c r="V288" s="303">
        <v>1</v>
      </c>
      <c r="W288" s="304" t="s">
        <v>2058</v>
      </c>
      <c r="X288" s="305">
        <v>54</v>
      </c>
      <c r="Y288" s="306">
        <v>4</v>
      </c>
      <c r="Z288" s="307"/>
      <c r="AA288" s="308"/>
      <c r="AB288" s="309"/>
      <c r="AC288" s="309"/>
      <c r="AD288" s="308"/>
      <c r="AE288" s="309"/>
      <c r="AF288" s="302"/>
      <c r="AG288" s="310" t="s">
        <v>2050</v>
      </c>
      <c r="AH288" s="311"/>
      <c r="AI288" s="302">
        <v>0</v>
      </c>
      <c r="AJ288" s="311">
        <v>43703</v>
      </c>
      <c r="AK288" s="311">
        <v>39624</v>
      </c>
      <c r="AL288" s="311">
        <v>43677</v>
      </c>
      <c r="AM288" s="301"/>
      <c r="AN288" s="290"/>
      <c r="AO288" s="312" t="str">
        <f>_xlfn.IFNA(IF(VLOOKUP(tabItens[[#This Row],[CÓDIGO]],tabExcluirDoEstoque[#Data],1,FALSE),"sim",""),"")</f>
        <v/>
      </c>
      <c r="AP288" s="313" t="str">
        <f ca="1">IF(OR(ISBLANK(tabItens[[#This Row],[ATA DT.VALID.]]),tabItens[[#This Row],[ATA DT.VALID.]]="",tabItens[[#This Row],[ATA DT.VALID.]]=" "),"",IF(TYPE(tabItens[[#This Row],[ATA DT.VALID.]])=1,ROUNDUP((tabItens[[#This Row],[ATA DT.VALID.]]-TODAY())/7,0),""))</f>
        <v/>
      </c>
      <c r="AQ288" s="314">
        <v>0</v>
      </c>
      <c r="AR288" s="315">
        <f>IF(ISBLANK(tabItens[[#This Row],[CÓDIGO]]),"",IFERROR(VLOOKUP(tabItens[[#This Row],[CÓDIGO]],Consumo!$C$2:$AC$869,26,FALSE),0))</f>
        <v>0</v>
      </c>
      <c r="AS288" s="316">
        <f>SUMIF(Consumo!$C$3:$C$869,tabItens[[#This Row],[CÓDIGO]],Consumo!$N$3:$N$869) + SUMIF(Consumo!$C$3:$C$869,tabItens[[#This Row],[CÓDIGO]],Consumo!$O$3:$O$869) + SUMIF(Consumo!$C$3:$C$869,tabItens[[#This Row],[CÓDIGO]],Consumo!$P$3:$P$869) + SUMIF(Consumo!$C$3:$C$869,tabItens[[#This Row],[CÓDIGO]],Consumo!$Q$3:$Q$869)</f>
        <v>0</v>
      </c>
      <c r="AT288" s="316">
        <f>SUMIF(Consumo!$C$3:$C$869,tabItens[[#This Row],[CÓDIGO]],Consumo!$Z$3:$Z$869)</f>
        <v>0</v>
      </c>
      <c r="AU288" s="317">
        <f>SUMIF(Consumo!$C$3:$C$869,tabItens[[#This Row],[CÓDIGO]],Consumo!$AA$3:$AA$869)</f>
        <v>0</v>
      </c>
      <c r="AV288" s="318">
        <f>SUMIF(Consumo!$C$3:$C$869,tabItens[[#This Row],[CÓDIGO]],Consumo!$Y$3:$Y$869)</f>
        <v>0</v>
      </c>
      <c r="AW288" s="291">
        <f>tabItens[[#This Row],[QTDE ATUAL]] + tabItens[[#This Row],[RC QTDE]] + tabItens[[#This Row],[AF SALDO]] + tabItens[[#This Row],[Recentes]]</f>
        <v>3</v>
      </c>
      <c r="AX288" s="319">
        <v>0</v>
      </c>
      <c r="AY288" s="319">
        <v>4</v>
      </c>
      <c r="AZ288" s="319">
        <f>IF(ISBLANK(tabItens[[#This Row],[CÓDIGO]]),"",tabItens[[#This Row],[PontoMês]] * (AZ$2+tabItens[[#This Row],[PontoQtM]]))</f>
        <v>0</v>
      </c>
      <c r="BA288" s="318">
        <f>tabItens[[#This Row],[PontoPed]] - tabItens[[#This Row],[Saldo]] + (1/10)</f>
        <v>-2.9</v>
      </c>
      <c r="BB288" s="318">
        <f xml:space="preserve"> tabItens[[#This Row],[PontoMês]] * BB$2 - tabItens[[#This Row],[QTDE ATUAL]] - (1/10)</f>
        <v>-3.1</v>
      </c>
      <c r="BC288" s="320">
        <f>IF( tabItens[[#This Row],[PontoPed]]&gt;0, IF(tabItens[[#This Row],[PontoPed]]&lt;1, 1, IF( tabItens[[#This Row],[Saldo]]&gt;tabItens[[#This Row],[PontoPed]], 0, (tabItens[[#This Row],[PontoPed]]-tabItens[[#This Row],[Saldo]])/tabItens[[#This Row],[PontoPed]] ) ), 0 )</f>
        <v>0</v>
      </c>
      <c r="BD288" s="321">
        <f>ROUNDDOWN(IF( OR( AND(tabItens[[#This Row],[PontoPed]]&lt;tabItens[[#This Row],[Saldo]],tabItens[[#This Row],[Saldo]]&gt;0), tabItens[[#This Row],[PontoPed]]=0), 99, IF(AND(tabItens[[#This Row],[Saldo]]=0,tabItens[[#This Row],[PontoPed]]&gt;0), 0, (1-tabItens[[#This Row],[PctAb]])*10 ) ),0)</f>
        <v>99</v>
      </c>
      <c r="BE288" s="322">
        <f>MAX(ROUNDDOWN( IF(tabItens[[#This Row],[Abaixo]] &gt; 0,   tabItens[[#This Row],[Abaixo]] + (tabItens[[#This Row],[PontoMês]] * IF( OR( ISBLANK(tabItens[[#This Row],[ATA Nº/ANO]]), tabItens[[#This Row],[ATA Nº/ANO]] = ""),BE$2,BE$1)),0),0),0)</f>
        <v>0</v>
      </c>
      <c r="BF28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23">
        <f>SUMIF(Consumo!$C$3:$C$869,tabItens[[#This Row],[CÓDIGO]],Consumo!$E$3:$E$869)</f>
        <v>0</v>
      </c>
      <c r="BH288" s="324">
        <f>IF(AND(tabItens[[#This Row],[Pend]] &gt; 0,tabItens[[#This Row],[Consumo]] &lt;&gt; 0), tabItens[[#This Row],[Pend]] / tabItens[[#This Row],[Consumo]], 0 )</f>
        <v>0</v>
      </c>
      <c r="BI288" s="323"/>
      <c r="BJ288" s="323"/>
      <c r="BK288" s="325" t="s">
        <v>2064</v>
      </c>
    </row>
    <row r="289" spans="1:63" hidden="1" x14ac:dyDescent="0.3">
      <c r="A289" s="286">
        <v>106916</v>
      </c>
      <c r="B289" s="287" t="s">
        <v>1635</v>
      </c>
      <c r="C289" s="288" t="s">
        <v>256</v>
      </c>
      <c r="D289" s="289">
        <v>86.54</v>
      </c>
      <c r="E289" s="290"/>
      <c r="F289" s="290"/>
      <c r="G289" s="290" t="s">
        <v>883</v>
      </c>
      <c r="H289" s="291">
        <v>8</v>
      </c>
      <c r="I289" s="292">
        <v>103003</v>
      </c>
      <c r="J289" s="293">
        <v>86.54</v>
      </c>
      <c r="K289" s="294"/>
      <c r="L289" s="295">
        <f>IF(tabItens[[#This Row],[Média]] &gt; 0, tabItens[[#This Row],[QTDE ATUAL]] / tabItens[[#This Row],[Média]],999.9)</f>
        <v>999.9</v>
      </c>
      <c r="M289" s="296">
        <v>0</v>
      </c>
      <c r="N289" s="297">
        <f>tabItens[[#This Row],[VALOR UNIT.]] * tabItens[[#This Row],[LC]]</f>
        <v>0</v>
      </c>
      <c r="O289" s="298" t="s">
        <v>2153</v>
      </c>
      <c r="P289" s="299"/>
      <c r="Q289" s="300"/>
      <c r="R289" s="297"/>
      <c r="S289" s="301"/>
      <c r="T289" s="302">
        <f>ROUNDDOWN(IFERROR(tabItens[[#This Row],[ATA DT.VALID.]] - $D$1,0) / 30,0)</f>
        <v>-1504</v>
      </c>
      <c r="U289" s="287" t="s">
        <v>1481</v>
      </c>
      <c r="V289" s="303">
        <v>1</v>
      </c>
      <c r="W289" s="304" t="s">
        <v>2058</v>
      </c>
      <c r="X289" s="305">
        <v>54</v>
      </c>
      <c r="Y289" s="306">
        <v>4</v>
      </c>
      <c r="Z289" s="307"/>
      <c r="AA289" s="308"/>
      <c r="AB289" s="309"/>
      <c r="AC289" s="309"/>
      <c r="AD289" s="308"/>
      <c r="AE289" s="309"/>
      <c r="AF289" s="302"/>
      <c r="AG289" s="310" t="s">
        <v>2050</v>
      </c>
      <c r="AH289" s="311"/>
      <c r="AI289" s="302">
        <v>0</v>
      </c>
      <c r="AJ289" s="311">
        <v>43703</v>
      </c>
      <c r="AK289" s="311">
        <v>39624</v>
      </c>
      <c r="AL289" s="311">
        <v>43677</v>
      </c>
      <c r="AM289" s="301"/>
      <c r="AN289" s="290"/>
      <c r="AO289" s="312" t="str">
        <f>_xlfn.IFNA(IF(VLOOKUP(tabItens[[#This Row],[CÓDIGO]],tabExcluirDoEstoque[#Data],1,FALSE),"sim",""),"")</f>
        <v/>
      </c>
      <c r="AP289" s="313" t="str">
        <f ca="1">IF(OR(ISBLANK(tabItens[[#This Row],[ATA DT.VALID.]]),tabItens[[#This Row],[ATA DT.VALID.]]="",tabItens[[#This Row],[ATA DT.VALID.]]=" "),"",IF(TYPE(tabItens[[#This Row],[ATA DT.VALID.]])=1,ROUNDUP((tabItens[[#This Row],[ATA DT.VALID.]]-TODAY())/7,0),""))</f>
        <v/>
      </c>
      <c r="AQ289" s="314">
        <v>0</v>
      </c>
      <c r="AR289" s="315">
        <f>IF(ISBLANK(tabItens[[#This Row],[CÓDIGO]]),"",IFERROR(VLOOKUP(tabItens[[#This Row],[CÓDIGO]],Consumo!$C$2:$AC$869,26,FALSE),0))</f>
        <v>0</v>
      </c>
      <c r="AS289" s="316">
        <f>SUMIF(Consumo!$C$3:$C$869,tabItens[[#This Row],[CÓDIGO]],Consumo!$N$3:$N$869) + SUMIF(Consumo!$C$3:$C$869,tabItens[[#This Row],[CÓDIGO]],Consumo!$O$3:$O$869) + SUMIF(Consumo!$C$3:$C$869,tabItens[[#This Row],[CÓDIGO]],Consumo!$P$3:$P$869) + SUMIF(Consumo!$C$3:$C$869,tabItens[[#This Row],[CÓDIGO]],Consumo!$Q$3:$Q$869)</f>
        <v>0</v>
      </c>
      <c r="AT289" s="316">
        <f>SUMIF(Consumo!$C$3:$C$869,tabItens[[#This Row],[CÓDIGO]],Consumo!$Z$3:$Z$869)</f>
        <v>0</v>
      </c>
      <c r="AU289" s="317">
        <f>SUMIF(Consumo!$C$3:$C$869,tabItens[[#This Row],[CÓDIGO]],Consumo!$AA$3:$AA$869)</f>
        <v>0</v>
      </c>
      <c r="AV289" s="318">
        <f>SUMIF(Consumo!$C$3:$C$869,tabItens[[#This Row],[CÓDIGO]],Consumo!$Y$3:$Y$869)</f>
        <v>0</v>
      </c>
      <c r="AW289" s="291">
        <f>tabItens[[#This Row],[QTDE ATUAL]] + tabItens[[#This Row],[RC QTDE]] + tabItens[[#This Row],[AF SALDO]] + tabItens[[#This Row],[Recentes]]</f>
        <v>8</v>
      </c>
      <c r="AX289" s="319">
        <v>0</v>
      </c>
      <c r="AY289" s="319">
        <v>4</v>
      </c>
      <c r="AZ289" s="319">
        <f>IF(ISBLANK(tabItens[[#This Row],[CÓDIGO]]),"",tabItens[[#This Row],[PontoMês]] * (AZ$2+tabItens[[#This Row],[PontoQtM]]))</f>
        <v>0</v>
      </c>
      <c r="BA289" s="318">
        <f>tabItens[[#This Row],[PontoPed]] - tabItens[[#This Row],[Saldo]] + (1/10)</f>
        <v>-7.9</v>
      </c>
      <c r="BB289" s="318">
        <f xml:space="preserve"> tabItens[[#This Row],[PontoMês]] * BB$2 - tabItens[[#This Row],[QTDE ATUAL]] - (1/10)</f>
        <v>-8.1</v>
      </c>
      <c r="BC289" s="320">
        <f>IF( tabItens[[#This Row],[PontoPed]]&gt;0, IF(tabItens[[#This Row],[PontoPed]]&lt;1, 1, IF( tabItens[[#This Row],[Saldo]]&gt;tabItens[[#This Row],[PontoPed]], 0, (tabItens[[#This Row],[PontoPed]]-tabItens[[#This Row],[Saldo]])/tabItens[[#This Row],[PontoPed]] ) ), 0 )</f>
        <v>0</v>
      </c>
      <c r="BD289" s="321">
        <f>ROUNDDOWN(IF( OR( AND(tabItens[[#This Row],[PontoPed]]&lt;tabItens[[#This Row],[Saldo]],tabItens[[#This Row],[Saldo]]&gt;0), tabItens[[#This Row],[PontoPed]]=0), 99, IF(AND(tabItens[[#This Row],[Saldo]]=0,tabItens[[#This Row],[PontoPed]]&gt;0), 0, (1-tabItens[[#This Row],[PctAb]])*10 ) ),0)</f>
        <v>99</v>
      </c>
      <c r="BE289" s="322">
        <f>MAX(ROUNDDOWN( IF(tabItens[[#This Row],[Abaixo]] &gt; 0,   tabItens[[#This Row],[Abaixo]] + (tabItens[[#This Row],[PontoMês]] * IF( OR( ISBLANK(tabItens[[#This Row],[ATA Nº/ANO]]), tabItens[[#This Row],[ATA Nº/ANO]] = ""),BE$2,BE$1)),0),0),0)</f>
        <v>0</v>
      </c>
      <c r="BF2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23">
        <f>SUMIF(Consumo!$C$3:$C$869,tabItens[[#This Row],[CÓDIGO]],Consumo!$E$3:$E$869)</f>
        <v>0</v>
      </c>
      <c r="BH289" s="324">
        <f>IF(AND(tabItens[[#This Row],[Pend]] &gt; 0,tabItens[[#This Row],[Consumo]] &lt;&gt; 0), tabItens[[#This Row],[Pend]] / tabItens[[#This Row],[Consumo]], 0 )</f>
        <v>0</v>
      </c>
      <c r="BI289" s="323"/>
      <c r="BJ289" s="323"/>
      <c r="BK289" s="325" t="s">
        <v>2064</v>
      </c>
    </row>
    <row r="290" spans="1:63" hidden="1" x14ac:dyDescent="0.3">
      <c r="A290" s="286">
        <v>106917</v>
      </c>
      <c r="B290" s="287" t="s">
        <v>1636</v>
      </c>
      <c r="C290" s="288" t="s">
        <v>256</v>
      </c>
      <c r="D290" s="289">
        <v>86.56</v>
      </c>
      <c r="E290" s="290"/>
      <c r="F290" s="290"/>
      <c r="G290" s="290" t="s">
        <v>883</v>
      </c>
      <c r="H290" s="291">
        <v>0</v>
      </c>
      <c r="I290" s="292">
        <v>103003</v>
      </c>
      <c r="J290" s="293">
        <v>86.56</v>
      </c>
      <c r="K290" s="294">
        <v>1</v>
      </c>
      <c r="L290" s="295">
        <f>IF(tabItens[[#This Row],[Média]] &gt; 0, tabItens[[#This Row],[QTDE ATUAL]] / tabItens[[#This Row],[Média]],999.9)</f>
        <v>0</v>
      </c>
      <c r="M290" s="296">
        <v>0</v>
      </c>
      <c r="N290" s="297">
        <f>tabItens[[#This Row],[VALOR UNIT.]] * tabItens[[#This Row],[LC]]</f>
        <v>0</v>
      </c>
      <c r="O290" s="298" t="s">
        <v>2153</v>
      </c>
      <c r="P290" s="299"/>
      <c r="Q290" s="300"/>
      <c r="R290" s="297"/>
      <c r="S290" s="301"/>
      <c r="T290" s="302">
        <f>ROUNDDOWN(IFERROR(tabItens[[#This Row],[ATA DT.VALID.]] - $D$1,0) / 30,0)</f>
        <v>-1504</v>
      </c>
      <c r="U290" s="287" t="s">
        <v>1481</v>
      </c>
      <c r="V290" s="303">
        <v>1</v>
      </c>
      <c r="W290" s="304" t="s">
        <v>2058</v>
      </c>
      <c r="X290" s="305">
        <v>54</v>
      </c>
      <c r="Y290" s="306">
        <v>4</v>
      </c>
      <c r="Z290" s="307">
        <v>2813</v>
      </c>
      <c r="AA290" s="308">
        <v>2023</v>
      </c>
      <c r="AB290" s="309">
        <v>4</v>
      </c>
      <c r="AC290" s="309"/>
      <c r="AD290" s="308"/>
      <c r="AE290" s="309"/>
      <c r="AF290" s="302"/>
      <c r="AG290" s="310" t="s">
        <v>2050</v>
      </c>
      <c r="AH290" s="311"/>
      <c r="AI290" s="302">
        <v>0</v>
      </c>
      <c r="AJ290" s="311">
        <v>43703</v>
      </c>
      <c r="AK290" s="311">
        <v>39624</v>
      </c>
      <c r="AL290" s="311">
        <v>43677</v>
      </c>
      <c r="AM290" s="301"/>
      <c r="AN290" s="290"/>
      <c r="AO290" s="312" t="str">
        <f>_xlfn.IFNA(IF(VLOOKUP(tabItens[[#This Row],[CÓDIGO]],tabExcluirDoEstoque[#Data],1,FALSE),"sim",""),"")</f>
        <v/>
      </c>
      <c r="AP290" s="313" t="str">
        <f ca="1">IF(OR(ISBLANK(tabItens[[#This Row],[ATA DT.VALID.]]),tabItens[[#This Row],[ATA DT.VALID.]]="",tabItens[[#This Row],[ATA DT.VALID.]]=" "),"",IF(TYPE(tabItens[[#This Row],[ATA DT.VALID.]])=1,ROUNDUP((tabItens[[#This Row],[ATA DT.VALID.]]-TODAY())/7,0),""))</f>
        <v/>
      </c>
      <c r="AQ290" s="314">
        <v>0</v>
      </c>
      <c r="AR290" s="315" t="str">
        <f>IF(ISBLANK(tabItens[[#This Row],[CÓDIGO]]),"",IFERROR(VLOOKUP(tabItens[[#This Row],[CÓDIGO]],Consumo!$C$2:$AC$869,26,FALSE),0))</f>
        <v>10.2022</v>
      </c>
      <c r="AS290" s="316">
        <f>SUMIF(Consumo!$C$3:$C$869,tabItens[[#This Row],[CÓDIGO]],Consumo!$N$3:$N$869) + SUMIF(Consumo!$C$3:$C$869,tabItens[[#This Row],[CÓDIGO]],Consumo!$O$3:$O$869) + SUMIF(Consumo!$C$3:$C$869,tabItens[[#This Row],[CÓDIGO]],Consumo!$P$3:$P$869) + SUMIF(Consumo!$C$3:$C$869,tabItens[[#This Row],[CÓDIGO]],Consumo!$Q$3:$Q$869)</f>
        <v>0</v>
      </c>
      <c r="AT290" s="316">
        <f>SUMIF(Consumo!$C$3:$C$869,tabItens[[#This Row],[CÓDIGO]],Consumo!$Z$3:$Z$869)</f>
        <v>2</v>
      </c>
      <c r="AU290" s="317">
        <f>SUMIF(Consumo!$C$3:$C$869,tabItens[[#This Row],[CÓDIGO]],Consumo!$AA$3:$AA$869)</f>
        <v>1</v>
      </c>
      <c r="AV290" s="318">
        <f>SUMIF(Consumo!$C$3:$C$869,tabItens[[#This Row],[CÓDIGO]],Consumo!$Y$3:$Y$869)</f>
        <v>8.3333333333333329E-2</v>
      </c>
      <c r="AW290" s="291">
        <f>tabItens[[#This Row],[QTDE ATUAL]] + tabItens[[#This Row],[RC QTDE]] + tabItens[[#This Row],[AF SALDO]] + tabItens[[#This Row],[Recentes]]</f>
        <v>4</v>
      </c>
      <c r="AX290" s="319">
        <v>0</v>
      </c>
      <c r="AY290" s="319">
        <v>4</v>
      </c>
      <c r="AZ290" s="319">
        <f>IF(ISBLANK(tabItens[[#This Row],[CÓDIGO]]),"",tabItens[[#This Row],[PontoMês]] * (AZ$2+tabItens[[#This Row],[PontoQtM]]))</f>
        <v>0</v>
      </c>
      <c r="BA290" s="318">
        <f>tabItens[[#This Row],[PontoPed]] - tabItens[[#This Row],[Saldo]] + (1/10)</f>
        <v>-3.9</v>
      </c>
      <c r="BB290" s="318">
        <f xml:space="preserve"> tabItens[[#This Row],[PontoMês]] * BB$2 - tabItens[[#This Row],[QTDE ATUAL]] - (1/10)</f>
        <v>-0.1</v>
      </c>
      <c r="BC290" s="320">
        <f>IF( tabItens[[#This Row],[PontoPed]]&gt;0, IF(tabItens[[#This Row],[PontoPed]]&lt;1, 1, IF( tabItens[[#This Row],[Saldo]]&gt;tabItens[[#This Row],[PontoPed]], 0, (tabItens[[#This Row],[PontoPed]]-tabItens[[#This Row],[Saldo]])/tabItens[[#This Row],[PontoPed]] ) ), 0 )</f>
        <v>0</v>
      </c>
      <c r="BD290" s="321">
        <f>ROUNDDOWN(IF( OR( AND(tabItens[[#This Row],[PontoPed]]&lt;tabItens[[#This Row],[Saldo]],tabItens[[#This Row],[Saldo]]&gt;0), tabItens[[#This Row],[PontoPed]]=0), 99, IF(AND(tabItens[[#This Row],[Saldo]]=0,tabItens[[#This Row],[PontoPed]]&gt;0), 0, (1-tabItens[[#This Row],[PctAb]])*10 ) ),0)</f>
        <v>99</v>
      </c>
      <c r="BE290" s="322">
        <f>MAX(ROUNDDOWN( IF(tabItens[[#This Row],[Abaixo]] &gt; 0,   tabItens[[#This Row],[Abaixo]] + (tabItens[[#This Row],[PontoMês]] * IF( OR( ISBLANK(tabItens[[#This Row],[ATA Nº/ANO]]), tabItens[[#This Row],[ATA Nº/ANO]] = ""),BE$2,BE$1)),0),0),0)</f>
        <v>0</v>
      </c>
      <c r="BF29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23">
        <f>SUMIF(Consumo!$C$3:$C$869,tabItens[[#This Row],[CÓDIGO]],Consumo!$E$3:$E$869)</f>
        <v>1</v>
      </c>
      <c r="BH290" s="324">
        <f>IF(AND(tabItens[[#This Row],[Pend]] &gt; 0,tabItens[[#This Row],[Consumo]] &lt;&gt; 0), tabItens[[#This Row],[Pend]] / tabItens[[#This Row],[Consumo]], 0 )</f>
        <v>0.5</v>
      </c>
      <c r="BI290" s="323"/>
      <c r="BJ290" s="323"/>
      <c r="BK290" s="325" t="s">
        <v>2064</v>
      </c>
    </row>
    <row r="291" spans="1:63" hidden="1" x14ac:dyDescent="0.3">
      <c r="A291" s="286">
        <v>106918</v>
      </c>
      <c r="B291" s="287" t="s">
        <v>1637</v>
      </c>
      <c r="C291" s="288" t="s">
        <v>256</v>
      </c>
      <c r="D291" s="289">
        <v>86.54</v>
      </c>
      <c r="E291" s="290"/>
      <c r="F291" s="290"/>
      <c r="G291" s="290" t="s">
        <v>883</v>
      </c>
      <c r="H291" s="291">
        <v>8</v>
      </c>
      <c r="I291" s="292">
        <v>103003</v>
      </c>
      <c r="J291" s="293">
        <v>86.54</v>
      </c>
      <c r="K291" s="294">
        <v>2</v>
      </c>
      <c r="L291" s="295">
        <f>IF(tabItens[[#This Row],[Média]] &gt; 0, tabItens[[#This Row],[QTDE ATUAL]] / tabItens[[#This Row],[Média]],999.9)</f>
        <v>96</v>
      </c>
      <c r="M291" s="296">
        <v>0</v>
      </c>
      <c r="N291" s="297">
        <f>tabItens[[#This Row],[VALOR UNIT.]] * tabItens[[#This Row],[LC]]</f>
        <v>0</v>
      </c>
      <c r="O291" s="298" t="s">
        <v>2153</v>
      </c>
      <c r="P291" s="299"/>
      <c r="Q291" s="300"/>
      <c r="R291" s="297"/>
      <c r="S291" s="301"/>
      <c r="T291" s="302">
        <f>ROUNDDOWN(IFERROR(tabItens[[#This Row],[ATA DT.VALID.]] - $D$1,0) / 30,0)</f>
        <v>-1504</v>
      </c>
      <c r="U291" s="287" t="s">
        <v>1481</v>
      </c>
      <c r="V291" s="303">
        <v>1</v>
      </c>
      <c r="W291" s="304" t="s">
        <v>2058</v>
      </c>
      <c r="X291" s="305">
        <v>54</v>
      </c>
      <c r="Y291" s="306">
        <v>4</v>
      </c>
      <c r="Z291" s="307"/>
      <c r="AA291" s="308"/>
      <c r="AB291" s="309"/>
      <c r="AC291" s="309"/>
      <c r="AD291" s="308"/>
      <c r="AE291" s="309"/>
      <c r="AF291" s="302"/>
      <c r="AG291" s="310" t="s">
        <v>2050</v>
      </c>
      <c r="AH291" s="311"/>
      <c r="AI291" s="302">
        <v>0</v>
      </c>
      <c r="AJ291" s="311">
        <v>43703</v>
      </c>
      <c r="AK291" s="311">
        <v>39624</v>
      </c>
      <c r="AL291" s="311">
        <v>43677</v>
      </c>
      <c r="AM291" s="301"/>
      <c r="AN291" s="290"/>
      <c r="AO291" s="312" t="str">
        <f>_xlfn.IFNA(IF(VLOOKUP(tabItens[[#This Row],[CÓDIGO]],tabExcluirDoEstoque[#Data],1,FALSE),"sim",""),"")</f>
        <v/>
      </c>
      <c r="AP291" s="313" t="str">
        <f ca="1">IF(OR(ISBLANK(tabItens[[#This Row],[ATA DT.VALID.]]),tabItens[[#This Row],[ATA DT.VALID.]]="",tabItens[[#This Row],[ATA DT.VALID.]]=" "),"",IF(TYPE(tabItens[[#This Row],[ATA DT.VALID.]])=1,ROUNDUP((tabItens[[#This Row],[ATA DT.VALID.]]-TODAY())/7,0),""))</f>
        <v/>
      </c>
      <c r="AQ291" s="314">
        <v>0</v>
      </c>
      <c r="AR291" s="315" t="str">
        <f>IF(ISBLANK(tabItens[[#This Row],[CÓDIGO]]),"",IFERROR(VLOOKUP(tabItens[[#This Row],[CÓDIGO]],Consumo!$C$2:$AC$869,26,FALSE),0))</f>
        <v>07.2023</v>
      </c>
      <c r="AS291" s="316">
        <f>SUMIF(Consumo!$C$3:$C$869,tabItens[[#This Row],[CÓDIGO]],Consumo!$N$3:$N$869) + SUMIF(Consumo!$C$3:$C$869,tabItens[[#This Row],[CÓDIGO]],Consumo!$O$3:$O$869) + SUMIF(Consumo!$C$3:$C$869,tabItens[[#This Row],[CÓDIGO]],Consumo!$P$3:$P$869) + SUMIF(Consumo!$C$3:$C$869,tabItens[[#This Row],[CÓDIGO]],Consumo!$Q$3:$Q$869)</f>
        <v>2</v>
      </c>
      <c r="AT291" s="316">
        <f>SUMIF(Consumo!$C$3:$C$869,tabItens[[#This Row],[CÓDIGO]],Consumo!$Z$3:$Z$869)</f>
        <v>2</v>
      </c>
      <c r="AU291" s="317">
        <f>SUMIF(Consumo!$C$3:$C$869,tabItens[[#This Row],[CÓDIGO]],Consumo!$AA$3:$AA$869)</f>
        <v>2</v>
      </c>
      <c r="AV291" s="318">
        <f>SUMIF(Consumo!$C$3:$C$869,tabItens[[#This Row],[CÓDIGO]],Consumo!$Y$3:$Y$869)</f>
        <v>8.3333333333333329E-2</v>
      </c>
      <c r="AW291" s="291">
        <f>tabItens[[#This Row],[QTDE ATUAL]] + tabItens[[#This Row],[RC QTDE]] + tabItens[[#This Row],[AF SALDO]] + tabItens[[#This Row],[Recentes]]</f>
        <v>8</v>
      </c>
      <c r="AX291" s="319">
        <v>0</v>
      </c>
      <c r="AY291" s="319">
        <v>4</v>
      </c>
      <c r="AZ291" s="319">
        <f>IF(ISBLANK(tabItens[[#This Row],[CÓDIGO]]),"",tabItens[[#This Row],[PontoMês]] * (AZ$2+tabItens[[#This Row],[PontoQtM]]))</f>
        <v>0</v>
      </c>
      <c r="BA291" s="318">
        <f>tabItens[[#This Row],[PontoPed]] - tabItens[[#This Row],[Saldo]] + (1/10)</f>
        <v>-7.9</v>
      </c>
      <c r="BB291" s="318">
        <f xml:space="preserve"> tabItens[[#This Row],[PontoMês]] * BB$2 - tabItens[[#This Row],[QTDE ATUAL]] - (1/10)</f>
        <v>-8.1</v>
      </c>
      <c r="BC291" s="320">
        <f>IF( tabItens[[#This Row],[PontoPed]]&gt;0, IF(tabItens[[#This Row],[PontoPed]]&lt;1, 1, IF( tabItens[[#This Row],[Saldo]]&gt;tabItens[[#This Row],[PontoPed]], 0, (tabItens[[#This Row],[PontoPed]]-tabItens[[#This Row],[Saldo]])/tabItens[[#This Row],[PontoPed]] ) ), 0 )</f>
        <v>0</v>
      </c>
      <c r="BD291" s="321">
        <f>ROUNDDOWN(IF( OR( AND(tabItens[[#This Row],[PontoPed]]&lt;tabItens[[#This Row],[Saldo]],tabItens[[#This Row],[Saldo]]&gt;0), tabItens[[#This Row],[PontoPed]]=0), 99, IF(AND(tabItens[[#This Row],[Saldo]]=0,tabItens[[#This Row],[PontoPed]]&gt;0), 0, (1-tabItens[[#This Row],[PctAb]])*10 ) ),0)</f>
        <v>99</v>
      </c>
      <c r="BE291" s="322">
        <f>MAX(ROUNDDOWN( IF(tabItens[[#This Row],[Abaixo]] &gt; 0,   tabItens[[#This Row],[Abaixo]] + (tabItens[[#This Row],[PontoMês]] * IF( OR( ISBLANK(tabItens[[#This Row],[ATA Nº/ANO]]), tabItens[[#This Row],[ATA Nº/ANO]] = ""),BE$2,BE$1)),0),0),0)</f>
        <v>0</v>
      </c>
      <c r="BF29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23">
        <f>SUMIF(Consumo!$C$3:$C$869,tabItens[[#This Row],[CÓDIGO]],Consumo!$E$3:$E$869)</f>
        <v>0</v>
      </c>
      <c r="BH291" s="324">
        <f>IF(AND(tabItens[[#This Row],[Pend]] &gt; 0,tabItens[[#This Row],[Consumo]] &lt;&gt; 0), tabItens[[#This Row],[Pend]] / tabItens[[#This Row],[Consumo]], 0 )</f>
        <v>0</v>
      </c>
      <c r="BI291" s="323"/>
      <c r="BJ291" s="323"/>
      <c r="BK291" s="325" t="s">
        <v>2064</v>
      </c>
    </row>
    <row r="292" spans="1:63" hidden="1" x14ac:dyDescent="0.3">
      <c r="A292" s="286">
        <v>106919</v>
      </c>
      <c r="B292" s="287" t="s">
        <v>1638</v>
      </c>
      <c r="C292" s="288" t="s">
        <v>256</v>
      </c>
      <c r="D292" s="289">
        <v>86.54</v>
      </c>
      <c r="E292" s="290"/>
      <c r="F292" s="290"/>
      <c r="G292" s="290" t="s">
        <v>883</v>
      </c>
      <c r="H292" s="291">
        <v>1</v>
      </c>
      <c r="I292" s="292">
        <v>103003</v>
      </c>
      <c r="J292" s="293">
        <v>86.54</v>
      </c>
      <c r="K292" s="294"/>
      <c r="L292" s="295">
        <f>IF(tabItens[[#This Row],[Média]] &gt; 0, tabItens[[#This Row],[QTDE ATUAL]] / tabItens[[#This Row],[Média]],999.9)</f>
        <v>999.9</v>
      </c>
      <c r="M292" s="296">
        <v>0</v>
      </c>
      <c r="N292" s="297">
        <f>tabItens[[#This Row],[VALOR UNIT.]] * tabItens[[#This Row],[LC]]</f>
        <v>0</v>
      </c>
      <c r="O292" s="298" t="s">
        <v>2153</v>
      </c>
      <c r="P292" s="299"/>
      <c r="Q292" s="300"/>
      <c r="R292" s="297"/>
      <c r="S292" s="301"/>
      <c r="T292" s="302">
        <f>ROUNDDOWN(IFERROR(tabItens[[#This Row],[ATA DT.VALID.]] - $D$1,0) / 30,0)</f>
        <v>-1504</v>
      </c>
      <c r="U292" s="287" t="s">
        <v>1481</v>
      </c>
      <c r="V292" s="303">
        <v>1</v>
      </c>
      <c r="W292" s="304" t="s">
        <v>2058</v>
      </c>
      <c r="X292" s="305">
        <v>54</v>
      </c>
      <c r="Y292" s="306">
        <v>4</v>
      </c>
      <c r="Z292" s="307">
        <v>2813</v>
      </c>
      <c r="AA292" s="308">
        <v>2023</v>
      </c>
      <c r="AB292" s="309">
        <v>2</v>
      </c>
      <c r="AC292" s="309"/>
      <c r="AD292" s="308"/>
      <c r="AE292" s="309"/>
      <c r="AF292" s="302"/>
      <c r="AG292" s="310" t="s">
        <v>2050</v>
      </c>
      <c r="AH292" s="311"/>
      <c r="AI292" s="302">
        <v>0</v>
      </c>
      <c r="AJ292" s="311">
        <v>43703</v>
      </c>
      <c r="AK292" s="311">
        <v>39624</v>
      </c>
      <c r="AL292" s="311">
        <v>43677</v>
      </c>
      <c r="AM292" s="301"/>
      <c r="AN292" s="290"/>
      <c r="AO292" s="312" t="str">
        <f>_xlfn.IFNA(IF(VLOOKUP(tabItens[[#This Row],[CÓDIGO]],tabExcluirDoEstoque[#Data],1,FALSE),"sim",""),"")</f>
        <v/>
      </c>
      <c r="AP292" s="313" t="str">
        <f ca="1">IF(OR(ISBLANK(tabItens[[#This Row],[ATA DT.VALID.]]),tabItens[[#This Row],[ATA DT.VALID.]]="",tabItens[[#This Row],[ATA DT.VALID.]]=" "),"",IF(TYPE(tabItens[[#This Row],[ATA DT.VALID.]])=1,ROUNDUP((tabItens[[#This Row],[ATA DT.VALID.]]-TODAY())/7,0),""))</f>
        <v/>
      </c>
      <c r="AQ292" s="314">
        <v>0</v>
      </c>
      <c r="AR292" s="315">
        <f>IF(ISBLANK(tabItens[[#This Row],[CÓDIGO]]),"",IFERROR(VLOOKUP(tabItens[[#This Row],[CÓDIGO]],Consumo!$C$2:$AC$869,26,FALSE),0))</f>
        <v>0</v>
      </c>
      <c r="AS292" s="316">
        <f>SUMIF(Consumo!$C$3:$C$869,tabItens[[#This Row],[CÓDIGO]],Consumo!$N$3:$N$869) + SUMIF(Consumo!$C$3:$C$869,tabItens[[#This Row],[CÓDIGO]],Consumo!$O$3:$O$869) + SUMIF(Consumo!$C$3:$C$869,tabItens[[#This Row],[CÓDIGO]],Consumo!$P$3:$P$869) + SUMIF(Consumo!$C$3:$C$869,tabItens[[#This Row],[CÓDIGO]],Consumo!$Q$3:$Q$869)</f>
        <v>0</v>
      </c>
      <c r="AT292" s="316">
        <f>SUMIF(Consumo!$C$3:$C$869,tabItens[[#This Row],[CÓDIGO]],Consumo!$Z$3:$Z$869)</f>
        <v>0</v>
      </c>
      <c r="AU292" s="317">
        <f>SUMIF(Consumo!$C$3:$C$869,tabItens[[#This Row],[CÓDIGO]],Consumo!$AA$3:$AA$869)</f>
        <v>0</v>
      </c>
      <c r="AV292" s="318">
        <f>SUMIF(Consumo!$C$3:$C$869,tabItens[[#This Row],[CÓDIGO]],Consumo!$Y$3:$Y$869)</f>
        <v>0</v>
      </c>
      <c r="AW292" s="291">
        <f>tabItens[[#This Row],[QTDE ATUAL]] + tabItens[[#This Row],[RC QTDE]] + tabItens[[#This Row],[AF SALDO]] + tabItens[[#This Row],[Recentes]]</f>
        <v>3</v>
      </c>
      <c r="AX292" s="319">
        <v>0</v>
      </c>
      <c r="AY292" s="319">
        <v>4</v>
      </c>
      <c r="AZ292" s="319">
        <f>IF(ISBLANK(tabItens[[#This Row],[CÓDIGO]]),"",tabItens[[#This Row],[PontoMês]] * (AZ$2+tabItens[[#This Row],[PontoQtM]]))</f>
        <v>0</v>
      </c>
      <c r="BA292" s="318">
        <f>tabItens[[#This Row],[PontoPed]] - tabItens[[#This Row],[Saldo]] + (1/10)</f>
        <v>-2.9</v>
      </c>
      <c r="BB292" s="318">
        <f xml:space="preserve"> tabItens[[#This Row],[PontoMês]] * BB$2 - tabItens[[#This Row],[QTDE ATUAL]] - (1/10)</f>
        <v>-1.1000000000000001</v>
      </c>
      <c r="BC292" s="320">
        <f>IF( tabItens[[#This Row],[PontoPed]]&gt;0, IF(tabItens[[#This Row],[PontoPed]]&lt;1, 1, IF( tabItens[[#This Row],[Saldo]]&gt;tabItens[[#This Row],[PontoPed]], 0, (tabItens[[#This Row],[PontoPed]]-tabItens[[#This Row],[Saldo]])/tabItens[[#This Row],[PontoPed]] ) ), 0 )</f>
        <v>0</v>
      </c>
      <c r="BD292" s="321">
        <f>ROUNDDOWN(IF( OR( AND(tabItens[[#This Row],[PontoPed]]&lt;tabItens[[#This Row],[Saldo]],tabItens[[#This Row],[Saldo]]&gt;0), tabItens[[#This Row],[PontoPed]]=0), 99, IF(AND(tabItens[[#This Row],[Saldo]]=0,tabItens[[#This Row],[PontoPed]]&gt;0), 0, (1-tabItens[[#This Row],[PctAb]])*10 ) ),0)</f>
        <v>99</v>
      </c>
      <c r="BE292" s="322">
        <f>MAX(ROUNDDOWN( IF(tabItens[[#This Row],[Abaixo]] &gt; 0,   tabItens[[#This Row],[Abaixo]] + (tabItens[[#This Row],[PontoMês]] * IF( OR( ISBLANK(tabItens[[#This Row],[ATA Nº/ANO]]), tabItens[[#This Row],[ATA Nº/ANO]] = ""),BE$2,BE$1)),0),0),0)</f>
        <v>0</v>
      </c>
      <c r="BF29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23">
        <f>SUMIF(Consumo!$C$3:$C$869,tabItens[[#This Row],[CÓDIGO]],Consumo!$E$3:$E$869)</f>
        <v>0</v>
      </c>
      <c r="BH292" s="324">
        <f>IF(AND(tabItens[[#This Row],[Pend]] &gt; 0,tabItens[[#This Row],[Consumo]] &lt;&gt; 0), tabItens[[#This Row],[Pend]] / tabItens[[#This Row],[Consumo]], 0 )</f>
        <v>0</v>
      </c>
      <c r="BI292" s="323"/>
      <c r="BJ292" s="323"/>
      <c r="BK292" s="325" t="s">
        <v>2064</v>
      </c>
    </row>
    <row r="293" spans="1:63" hidden="1" x14ac:dyDescent="0.3">
      <c r="A293" s="286">
        <v>14977</v>
      </c>
      <c r="B293" s="287" t="s">
        <v>1077</v>
      </c>
      <c r="C293" s="288" t="s">
        <v>256</v>
      </c>
      <c r="D293" s="289">
        <v>51.56</v>
      </c>
      <c r="E293" s="290"/>
      <c r="F293" s="290"/>
      <c r="G293" s="290" t="s">
        <v>883</v>
      </c>
      <c r="H293" s="291">
        <v>100</v>
      </c>
      <c r="I293" s="292">
        <v>103003</v>
      </c>
      <c r="J293" s="293">
        <v>51.56</v>
      </c>
      <c r="K293" s="294">
        <v>79</v>
      </c>
      <c r="L293" s="295">
        <f>IF(tabItens[[#This Row],[Média]] &gt; 0, tabItens[[#This Row],[QTDE ATUAL]] / tabItens[[#This Row],[Média]],999.9)</f>
        <v>12.76595744680851</v>
      </c>
      <c r="M293" s="296">
        <v>0</v>
      </c>
      <c r="N293" s="297">
        <f>tabItens[[#This Row],[VALOR UNIT.]] * tabItens[[#This Row],[LC]]</f>
        <v>0</v>
      </c>
      <c r="O293" s="298" t="s">
        <v>2099</v>
      </c>
      <c r="P293" s="299"/>
      <c r="Q293" s="300"/>
      <c r="R293" s="297"/>
      <c r="S293" s="301"/>
      <c r="T293" s="302">
        <f>ROUNDDOWN(IFERROR(tabItens[[#This Row],[ATA DT.VALID.]] - $D$1,0) / 30,0)</f>
        <v>-1504</v>
      </c>
      <c r="U293" s="287" t="s">
        <v>1078</v>
      </c>
      <c r="V293" s="303">
        <v>1</v>
      </c>
      <c r="W293" s="304" t="s">
        <v>2049</v>
      </c>
      <c r="X293" s="305">
        <v>51</v>
      </c>
      <c r="Y293" s="306">
        <v>37</v>
      </c>
      <c r="Z293" s="307">
        <v>2549</v>
      </c>
      <c r="AA293" s="308">
        <v>2023</v>
      </c>
      <c r="AB293" s="309">
        <v>100</v>
      </c>
      <c r="AC293" s="309"/>
      <c r="AD293" s="308"/>
      <c r="AE293" s="309"/>
      <c r="AF293" s="302"/>
      <c r="AG293" s="310" t="s">
        <v>2050</v>
      </c>
      <c r="AH293" s="311"/>
      <c r="AI293" s="302">
        <v>32</v>
      </c>
      <c r="AJ293" s="311">
        <v>44634</v>
      </c>
      <c r="AK293" s="311" t="s">
        <v>883</v>
      </c>
      <c r="AL293" s="311">
        <v>44607</v>
      </c>
      <c r="AM293" s="301"/>
      <c r="AN293" s="290"/>
      <c r="AO293" s="312" t="str">
        <f>_xlfn.IFNA(IF(VLOOKUP(tabItens[[#This Row],[CÓDIGO]],tabExcluirDoEstoque[#Data],1,FALSE),"sim",""),"")</f>
        <v/>
      </c>
      <c r="AP293" s="313" t="str">
        <f ca="1">IF(OR(ISBLANK(tabItens[[#This Row],[ATA DT.VALID.]]),tabItens[[#This Row],[ATA DT.VALID.]]="",tabItens[[#This Row],[ATA DT.VALID.]]=" "),"",IF(TYPE(tabItens[[#This Row],[ATA DT.VALID.]])=1,ROUNDUP((tabItens[[#This Row],[ATA DT.VALID.]]-TODAY())/7,0),""))</f>
        <v/>
      </c>
      <c r="AQ293" s="314">
        <v>0</v>
      </c>
      <c r="AR293" s="315" t="str">
        <f>IF(ISBLANK(tabItens[[#This Row],[CÓDIGO]]),"",IFERROR(VLOOKUP(tabItens[[#This Row],[CÓDIGO]],Consumo!$C$2:$AC$869,26,FALSE),0))</f>
        <v>04.2023</v>
      </c>
      <c r="AS293" s="316">
        <f>SUMIF(Consumo!$C$3:$C$869,tabItens[[#This Row],[CÓDIGO]],Consumo!$N$3:$N$869) + SUMIF(Consumo!$C$3:$C$869,tabItens[[#This Row],[CÓDIGO]],Consumo!$O$3:$O$869) + SUMIF(Consumo!$C$3:$C$869,tabItens[[#This Row],[CÓDIGO]],Consumo!$P$3:$P$869) + SUMIF(Consumo!$C$3:$C$869,tabItens[[#This Row],[CÓDIGO]],Consumo!$Q$3:$Q$869)</f>
        <v>15</v>
      </c>
      <c r="AT293" s="316">
        <f>SUMIF(Consumo!$C$3:$C$869,tabItens[[#This Row],[CÓDIGO]],Consumo!$Z$3:$Z$869)</f>
        <v>94</v>
      </c>
      <c r="AU293" s="317">
        <f>SUMIF(Consumo!$C$3:$C$869,tabItens[[#This Row],[CÓDIGO]],Consumo!$AA$3:$AA$869)</f>
        <v>15</v>
      </c>
      <c r="AV293" s="318">
        <f>SUMIF(Consumo!$C$3:$C$869,tabItens[[#This Row],[CÓDIGO]],Consumo!$Y$3:$Y$869)</f>
        <v>7.833333333333333</v>
      </c>
      <c r="AW293" s="291">
        <f>tabItens[[#This Row],[QTDE ATUAL]] + tabItens[[#This Row],[RC QTDE]] + tabItens[[#This Row],[AF SALDO]] + tabItens[[#This Row],[Recentes]]</f>
        <v>200</v>
      </c>
      <c r="AX293" s="319">
        <v>15</v>
      </c>
      <c r="AY293" s="319">
        <v>4</v>
      </c>
      <c r="AZ293" s="319">
        <f>IF(ISBLANK(tabItens[[#This Row],[CÓDIGO]]),"",tabItens[[#This Row],[PontoMês]] * (AZ$2+tabItens[[#This Row],[PontoQtM]]))</f>
        <v>60</v>
      </c>
      <c r="BA293" s="318">
        <f>tabItens[[#This Row],[PontoPed]] - tabItens[[#This Row],[Saldo]] + (1/10)</f>
        <v>-139.9</v>
      </c>
      <c r="BB293" s="318">
        <f xml:space="preserve"> tabItens[[#This Row],[PontoMês]] * BB$2 - tabItens[[#This Row],[QTDE ATUAL]] - (1/10)</f>
        <v>-85.1</v>
      </c>
      <c r="BC293" s="320">
        <f>IF( tabItens[[#This Row],[PontoPed]]&gt;0, IF(tabItens[[#This Row],[PontoPed]]&lt;1, 1, IF( tabItens[[#This Row],[Saldo]]&gt;tabItens[[#This Row],[PontoPed]], 0, (tabItens[[#This Row],[PontoPed]]-tabItens[[#This Row],[Saldo]])/tabItens[[#This Row],[PontoPed]] ) ), 0 )</f>
        <v>0</v>
      </c>
      <c r="BD293" s="321">
        <f>ROUNDDOWN(IF( OR( AND(tabItens[[#This Row],[PontoPed]]&lt;tabItens[[#This Row],[Saldo]],tabItens[[#This Row],[Saldo]]&gt;0), tabItens[[#This Row],[PontoPed]]=0), 99, IF(AND(tabItens[[#This Row],[Saldo]]=0,tabItens[[#This Row],[PontoPed]]&gt;0), 0, (1-tabItens[[#This Row],[PctAb]])*10 ) ),0)</f>
        <v>99</v>
      </c>
      <c r="BE293" s="322">
        <f>MAX(ROUNDDOWN( IF(tabItens[[#This Row],[Abaixo]] &gt; 0,   tabItens[[#This Row],[Abaixo]] + (tabItens[[#This Row],[PontoMês]] * IF( OR( ISBLANK(tabItens[[#This Row],[ATA Nº/ANO]]), tabItens[[#This Row],[ATA Nº/ANO]] = ""),BE$2,BE$1)),0),0),0)</f>
        <v>0</v>
      </c>
      <c r="BF2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23">
        <f>SUMIF(Consumo!$C$3:$C$869,tabItens[[#This Row],[CÓDIGO]],Consumo!$E$3:$E$869)</f>
        <v>0</v>
      </c>
      <c r="BH293" s="324">
        <f>IF(AND(tabItens[[#This Row],[Pend]] &gt; 0,tabItens[[#This Row],[Consumo]] &lt;&gt; 0), tabItens[[#This Row],[Pend]] / tabItens[[#This Row],[Consumo]], 0 )</f>
        <v>0</v>
      </c>
      <c r="BI293" s="323"/>
      <c r="BJ293" s="323"/>
      <c r="BK293" s="325" t="s">
        <v>2064</v>
      </c>
    </row>
    <row r="294" spans="1:63" hidden="1" x14ac:dyDescent="0.3">
      <c r="A294" s="286">
        <v>20037</v>
      </c>
      <c r="B294" s="287" t="s">
        <v>1158</v>
      </c>
      <c r="C294" s="288" t="s">
        <v>256</v>
      </c>
      <c r="D294" s="289">
        <v>9.98</v>
      </c>
      <c r="E294" s="290"/>
      <c r="F294" s="290"/>
      <c r="G294" s="290" t="s">
        <v>883</v>
      </c>
      <c r="H294" s="291">
        <v>158</v>
      </c>
      <c r="I294" s="292">
        <v>103003</v>
      </c>
      <c r="J294" s="293">
        <v>9.98</v>
      </c>
      <c r="K294" s="294">
        <v>110</v>
      </c>
      <c r="L294" s="295">
        <f>IF(tabItens[[#This Row],[Média]] &gt; 0, tabItens[[#This Row],[QTDE ATUAL]] / tabItens[[#This Row],[Média]],999.9)</f>
        <v>15.932773109243698</v>
      </c>
      <c r="M294" s="296">
        <v>0</v>
      </c>
      <c r="N294" s="297">
        <f>tabItens[[#This Row],[VALOR UNIT.]] * tabItens[[#This Row],[LC]]</f>
        <v>0</v>
      </c>
      <c r="O294" s="298" t="s">
        <v>2110</v>
      </c>
      <c r="P294" s="299"/>
      <c r="Q294" s="300"/>
      <c r="R294" s="297"/>
      <c r="S294" s="301"/>
      <c r="T294" s="302">
        <f>ROUNDDOWN(IFERROR(tabItens[[#This Row],[ATA DT.VALID.]] - $D$1,0) / 30,0)</f>
        <v>-1504</v>
      </c>
      <c r="U294" s="287" t="s">
        <v>1151</v>
      </c>
      <c r="V294" s="303">
        <v>1</v>
      </c>
      <c r="W294" s="304" t="s">
        <v>2056</v>
      </c>
      <c r="X294" s="305">
        <v>70</v>
      </c>
      <c r="Y294" s="306">
        <v>31</v>
      </c>
      <c r="Z294" s="307"/>
      <c r="AA294" s="308"/>
      <c r="AB294" s="309"/>
      <c r="AC294" s="309"/>
      <c r="AD294" s="308"/>
      <c r="AE294" s="309"/>
      <c r="AF294" s="302"/>
      <c r="AG294" s="310" t="s">
        <v>2050</v>
      </c>
      <c r="AH294" s="311"/>
      <c r="AI294" s="302">
        <v>42</v>
      </c>
      <c r="AJ294" s="311">
        <v>44607</v>
      </c>
      <c r="AK294" s="311" t="s">
        <v>883</v>
      </c>
      <c r="AL294" s="311">
        <v>44592</v>
      </c>
      <c r="AM294" s="301"/>
      <c r="AN294" s="290"/>
      <c r="AO294" s="312" t="str">
        <f>_xlfn.IFNA(IF(VLOOKUP(tabItens[[#This Row],[CÓDIGO]],tabExcluirDoEstoque[#Data],1,FALSE),"sim",""),"")</f>
        <v/>
      </c>
      <c r="AP294" s="313" t="str">
        <f ca="1">IF(OR(ISBLANK(tabItens[[#This Row],[ATA DT.VALID.]]),tabItens[[#This Row],[ATA DT.VALID.]]="",tabItens[[#This Row],[ATA DT.VALID.]]=" "),"",IF(TYPE(tabItens[[#This Row],[ATA DT.VALID.]])=1,ROUNDUP((tabItens[[#This Row],[ATA DT.VALID.]]-TODAY())/7,0),""))</f>
        <v/>
      </c>
      <c r="AQ294" s="314">
        <v>0</v>
      </c>
      <c r="AR294" s="315" t="str">
        <f>IF(ISBLANK(tabItens[[#This Row],[CÓDIGO]]),"",IFERROR(VLOOKUP(tabItens[[#This Row],[CÓDIGO]],Consumo!$C$2:$AC$869,26,FALSE),0))</f>
        <v>04.2023</v>
      </c>
      <c r="AS294" s="316">
        <f>SUMIF(Consumo!$C$3:$C$869,tabItens[[#This Row],[CÓDIGO]],Consumo!$N$3:$N$869) + SUMIF(Consumo!$C$3:$C$869,tabItens[[#This Row],[CÓDIGO]],Consumo!$O$3:$O$869) + SUMIF(Consumo!$C$3:$C$869,tabItens[[#This Row],[CÓDIGO]],Consumo!$P$3:$P$869) + SUMIF(Consumo!$C$3:$C$869,tabItens[[#This Row],[CÓDIGO]],Consumo!$Q$3:$Q$869)</f>
        <v>23</v>
      </c>
      <c r="AT294" s="316">
        <f>SUMIF(Consumo!$C$3:$C$869,tabItens[[#This Row],[CÓDIGO]],Consumo!$Z$3:$Z$869)</f>
        <v>123</v>
      </c>
      <c r="AU294" s="317">
        <f>SUMIF(Consumo!$C$3:$C$869,tabItens[[#This Row],[CÓDIGO]],Consumo!$AA$3:$AA$869)</f>
        <v>36</v>
      </c>
      <c r="AV294" s="318">
        <f>SUMIF(Consumo!$C$3:$C$869,tabItens[[#This Row],[CÓDIGO]],Consumo!$Y$3:$Y$869)</f>
        <v>9.9166666666666661</v>
      </c>
      <c r="AW294" s="291">
        <f>tabItens[[#This Row],[QTDE ATUAL]] + tabItens[[#This Row],[RC QTDE]] + tabItens[[#This Row],[AF SALDO]] + tabItens[[#This Row],[Recentes]]</f>
        <v>158</v>
      </c>
      <c r="AX294" s="319">
        <v>13</v>
      </c>
      <c r="AY294" s="319">
        <v>4</v>
      </c>
      <c r="AZ294" s="319">
        <f>IF(ISBLANK(tabItens[[#This Row],[CÓDIGO]]),"",tabItens[[#This Row],[PontoMês]] * (AZ$2+tabItens[[#This Row],[PontoQtM]]))</f>
        <v>52</v>
      </c>
      <c r="BA294" s="318">
        <f>tabItens[[#This Row],[PontoPed]] - tabItens[[#This Row],[Saldo]] + (1/10)</f>
        <v>-105.9</v>
      </c>
      <c r="BB294" s="318">
        <f xml:space="preserve"> tabItens[[#This Row],[PontoMês]] * BB$2 - tabItens[[#This Row],[QTDE ATUAL]] - (1/10)</f>
        <v>-145.1</v>
      </c>
      <c r="BC294" s="320">
        <f>IF( tabItens[[#This Row],[PontoPed]]&gt;0, IF(tabItens[[#This Row],[PontoPed]]&lt;1, 1, IF( tabItens[[#This Row],[Saldo]]&gt;tabItens[[#This Row],[PontoPed]], 0, (tabItens[[#This Row],[PontoPed]]-tabItens[[#This Row],[Saldo]])/tabItens[[#This Row],[PontoPed]] ) ), 0 )</f>
        <v>0</v>
      </c>
      <c r="BD294" s="321">
        <f>ROUNDDOWN(IF( OR( AND(tabItens[[#This Row],[PontoPed]]&lt;tabItens[[#This Row],[Saldo]],tabItens[[#This Row],[Saldo]]&gt;0), tabItens[[#This Row],[PontoPed]]=0), 99, IF(AND(tabItens[[#This Row],[Saldo]]=0,tabItens[[#This Row],[PontoPed]]&gt;0), 0, (1-tabItens[[#This Row],[PctAb]])*10 ) ),0)</f>
        <v>99</v>
      </c>
      <c r="BE294" s="322">
        <f>MAX(ROUNDDOWN( IF(tabItens[[#This Row],[Abaixo]] &gt; 0,   tabItens[[#This Row],[Abaixo]] + (tabItens[[#This Row],[PontoMês]] * IF( OR( ISBLANK(tabItens[[#This Row],[ATA Nº/ANO]]), tabItens[[#This Row],[ATA Nº/ANO]] = ""),BE$2,BE$1)),0),0),0)</f>
        <v>0</v>
      </c>
      <c r="BF2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23">
        <f>SUMIF(Consumo!$C$3:$C$869,tabItens[[#This Row],[CÓDIGO]],Consumo!$E$3:$E$869)</f>
        <v>0</v>
      </c>
      <c r="BH294" s="324">
        <f>IF(AND(tabItens[[#This Row],[Pend]] &gt; 0,tabItens[[#This Row],[Consumo]] &lt;&gt; 0), tabItens[[#This Row],[Pend]] / tabItens[[#This Row],[Consumo]], 0 )</f>
        <v>0</v>
      </c>
      <c r="BI294" s="323"/>
      <c r="BJ294" s="323"/>
      <c r="BK294" s="325" t="s">
        <v>2064</v>
      </c>
    </row>
    <row r="295" spans="1:63" hidden="1" x14ac:dyDescent="0.3">
      <c r="A295" s="286">
        <v>14737</v>
      </c>
      <c r="B295" s="287" t="s">
        <v>1066</v>
      </c>
      <c r="C295" s="288" t="s">
        <v>1067</v>
      </c>
      <c r="D295" s="289">
        <v>430</v>
      </c>
      <c r="E295" s="290"/>
      <c r="F295" s="290"/>
      <c r="G295" s="290" t="s">
        <v>883</v>
      </c>
      <c r="H295" s="291">
        <v>33</v>
      </c>
      <c r="I295" s="292">
        <v>103003</v>
      </c>
      <c r="J295" s="293">
        <v>430</v>
      </c>
      <c r="K295" s="294">
        <v>13</v>
      </c>
      <c r="L295" s="295">
        <f>IF(tabItens[[#This Row],[Média]] &gt; 0, tabItens[[#This Row],[QTDE ATUAL]] / tabItens[[#This Row],[Média]],999.9)</f>
        <v>30.461538461538463</v>
      </c>
      <c r="M295" s="296">
        <v>0</v>
      </c>
      <c r="N295" s="297">
        <f>tabItens[[#This Row],[VALOR UNIT.]] * tabItens[[#This Row],[LC]]</f>
        <v>0</v>
      </c>
      <c r="O295" s="298" t="s">
        <v>2095</v>
      </c>
      <c r="P295" s="299"/>
      <c r="Q295" s="300"/>
      <c r="R295" s="297"/>
      <c r="S295" s="301"/>
      <c r="T295" s="302">
        <f>ROUNDDOWN(IFERROR(tabItens[[#This Row],[ATA DT.VALID.]] - $D$1,0) / 30,0)</f>
        <v>-1504</v>
      </c>
      <c r="U295" s="287" t="s">
        <v>1068</v>
      </c>
      <c r="V295" s="303">
        <v>1</v>
      </c>
      <c r="W295" s="304" t="s">
        <v>2053</v>
      </c>
      <c r="X295" s="305">
        <v>76</v>
      </c>
      <c r="Y295" s="306">
        <v>5</v>
      </c>
      <c r="Z295" s="307"/>
      <c r="AA295" s="308"/>
      <c r="AB295" s="309"/>
      <c r="AC295" s="309"/>
      <c r="AD295" s="308"/>
      <c r="AE295" s="309"/>
      <c r="AF295" s="302"/>
      <c r="AG295" s="310" t="s">
        <v>2050</v>
      </c>
      <c r="AH295" s="311"/>
      <c r="AI295" s="302">
        <v>4</v>
      </c>
      <c r="AJ295" s="311">
        <v>44986</v>
      </c>
      <c r="AK295" s="311" t="s">
        <v>883</v>
      </c>
      <c r="AL295" s="311">
        <v>44916</v>
      </c>
      <c r="AM295" s="301"/>
      <c r="AN295" s="290"/>
      <c r="AO295" s="312" t="str">
        <f>_xlfn.IFNA(IF(VLOOKUP(tabItens[[#This Row],[CÓDIGO]],tabExcluirDoEstoque[#Data],1,FALSE),"sim",""),"")</f>
        <v/>
      </c>
      <c r="AP295" s="313" t="str">
        <f ca="1">IF(OR(ISBLANK(tabItens[[#This Row],[ATA DT.VALID.]]),tabItens[[#This Row],[ATA DT.VALID.]]="",tabItens[[#This Row],[ATA DT.VALID.]]=" "),"",IF(TYPE(tabItens[[#This Row],[ATA DT.VALID.]])=1,ROUNDUP((tabItens[[#This Row],[ATA DT.VALID.]]-TODAY())/7,0),""))</f>
        <v/>
      </c>
      <c r="AQ295" s="314">
        <v>0</v>
      </c>
      <c r="AR295" s="315" t="str">
        <f>IF(ISBLANK(tabItens[[#This Row],[CÓDIGO]]),"",IFERROR(VLOOKUP(tabItens[[#This Row],[CÓDIGO]],Consumo!$C$2:$AC$869,26,FALSE),0))</f>
        <v>03.2023</v>
      </c>
      <c r="AS295" s="316">
        <f>SUMIF(Consumo!$C$3:$C$869,tabItens[[#This Row],[CÓDIGO]],Consumo!$N$3:$N$869) + SUMIF(Consumo!$C$3:$C$869,tabItens[[#This Row],[CÓDIGO]],Consumo!$O$3:$O$869) + SUMIF(Consumo!$C$3:$C$869,tabItens[[#This Row],[CÓDIGO]],Consumo!$P$3:$P$869) + SUMIF(Consumo!$C$3:$C$869,tabItens[[#This Row],[CÓDIGO]],Consumo!$Q$3:$Q$869)</f>
        <v>0</v>
      </c>
      <c r="AT295" s="316">
        <f>SUMIF(Consumo!$C$3:$C$869,tabItens[[#This Row],[CÓDIGO]],Consumo!$Z$3:$Z$869)</f>
        <v>13</v>
      </c>
      <c r="AU295" s="317">
        <f>SUMIF(Consumo!$C$3:$C$869,tabItens[[#This Row],[CÓDIGO]],Consumo!$AA$3:$AA$869)</f>
        <v>3</v>
      </c>
      <c r="AV295" s="318">
        <f>SUMIF(Consumo!$C$3:$C$869,tabItens[[#This Row],[CÓDIGO]],Consumo!$Y$3:$Y$869)</f>
        <v>1.0833333333333333</v>
      </c>
      <c r="AW295" s="291">
        <f>tabItens[[#This Row],[QTDE ATUAL]] + tabItens[[#This Row],[RC QTDE]] + tabItens[[#This Row],[AF SALDO]] + tabItens[[#This Row],[Recentes]]</f>
        <v>33</v>
      </c>
      <c r="AX295" s="319">
        <v>1</v>
      </c>
      <c r="AY295" s="319">
        <v>4</v>
      </c>
      <c r="AZ295" s="319">
        <f>IF(ISBLANK(tabItens[[#This Row],[CÓDIGO]]),"",tabItens[[#This Row],[PontoMês]] * (AZ$2+tabItens[[#This Row],[PontoQtM]]))</f>
        <v>4</v>
      </c>
      <c r="BA295" s="318">
        <f>tabItens[[#This Row],[PontoPed]] - tabItens[[#This Row],[Saldo]] + (1/10)</f>
        <v>-28.9</v>
      </c>
      <c r="BB295" s="318">
        <f xml:space="preserve"> tabItens[[#This Row],[PontoMês]] * BB$2 - tabItens[[#This Row],[QTDE ATUAL]] - (1/10)</f>
        <v>-32.1</v>
      </c>
      <c r="BC295" s="320">
        <f>IF( tabItens[[#This Row],[PontoPed]]&gt;0, IF(tabItens[[#This Row],[PontoPed]]&lt;1, 1, IF( tabItens[[#This Row],[Saldo]]&gt;tabItens[[#This Row],[PontoPed]], 0, (tabItens[[#This Row],[PontoPed]]-tabItens[[#This Row],[Saldo]])/tabItens[[#This Row],[PontoPed]] ) ), 0 )</f>
        <v>0</v>
      </c>
      <c r="BD295" s="321">
        <f>ROUNDDOWN(IF( OR( AND(tabItens[[#This Row],[PontoPed]]&lt;tabItens[[#This Row],[Saldo]],tabItens[[#This Row],[Saldo]]&gt;0), tabItens[[#This Row],[PontoPed]]=0), 99, IF(AND(tabItens[[#This Row],[Saldo]]=0,tabItens[[#This Row],[PontoPed]]&gt;0), 0, (1-tabItens[[#This Row],[PctAb]])*10 ) ),0)</f>
        <v>99</v>
      </c>
      <c r="BE295" s="322">
        <f>MAX(ROUNDDOWN( IF(tabItens[[#This Row],[Abaixo]] &gt; 0,   tabItens[[#This Row],[Abaixo]] + (tabItens[[#This Row],[PontoMês]] * IF( OR( ISBLANK(tabItens[[#This Row],[ATA Nº/ANO]]), tabItens[[#This Row],[ATA Nº/ANO]] = ""),BE$2,BE$1)),0),0),0)</f>
        <v>0</v>
      </c>
      <c r="BF2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23">
        <f>SUMIF(Consumo!$C$3:$C$869,tabItens[[#This Row],[CÓDIGO]],Consumo!$E$3:$E$869)</f>
        <v>0</v>
      </c>
      <c r="BH295" s="324">
        <f>IF(AND(tabItens[[#This Row],[Pend]] &gt; 0,tabItens[[#This Row],[Consumo]] &lt;&gt; 0), tabItens[[#This Row],[Pend]] / tabItens[[#This Row],[Consumo]], 0 )</f>
        <v>0</v>
      </c>
      <c r="BI295" s="323"/>
      <c r="BJ295" s="323"/>
      <c r="BK295" s="325" t="s">
        <v>2064</v>
      </c>
    </row>
    <row r="296" spans="1:63" hidden="1" x14ac:dyDescent="0.3">
      <c r="A296" s="286">
        <v>20760</v>
      </c>
      <c r="B296" s="287" t="s">
        <v>1173</v>
      </c>
      <c r="C296" s="288" t="s">
        <v>1067</v>
      </c>
      <c r="D296" s="289">
        <v>425.98</v>
      </c>
      <c r="E296" s="290"/>
      <c r="F296" s="290"/>
      <c r="G296" s="290" t="s">
        <v>883</v>
      </c>
      <c r="H296" s="291">
        <v>45</v>
      </c>
      <c r="I296" s="292">
        <v>103003</v>
      </c>
      <c r="J296" s="293">
        <v>425.98</v>
      </c>
      <c r="K296" s="294">
        <v>85</v>
      </c>
      <c r="L296" s="295">
        <f>IF(tabItens[[#This Row],[Média]] &gt; 0, tabItens[[#This Row],[QTDE ATUAL]] / tabItens[[#This Row],[Média]],999.9)</f>
        <v>5.2427184466019412</v>
      </c>
      <c r="M296" s="296">
        <v>0</v>
      </c>
      <c r="N296" s="297">
        <f>tabItens[[#This Row],[VALOR UNIT.]] * tabItens[[#This Row],[LC]]</f>
        <v>0</v>
      </c>
      <c r="O296" s="298" t="s">
        <v>2095</v>
      </c>
      <c r="P296" s="299"/>
      <c r="Q296" s="300"/>
      <c r="R296" s="297"/>
      <c r="S296" s="301"/>
      <c r="T296" s="302">
        <f>ROUNDDOWN(IFERROR(tabItens[[#This Row],[ATA DT.VALID.]] - $D$1,0) / 30,0)</f>
        <v>-1504</v>
      </c>
      <c r="U296" s="287" t="s">
        <v>1068</v>
      </c>
      <c r="V296" s="303">
        <v>1</v>
      </c>
      <c r="W296" s="304" t="s">
        <v>2053</v>
      </c>
      <c r="X296" s="305">
        <v>76</v>
      </c>
      <c r="Y296" s="306">
        <v>5</v>
      </c>
      <c r="Z296" s="307">
        <v>2973</v>
      </c>
      <c r="AA296" s="308">
        <v>2023</v>
      </c>
      <c r="AB296" s="309">
        <v>60</v>
      </c>
      <c r="AC296" s="309"/>
      <c r="AD296" s="308"/>
      <c r="AE296" s="309"/>
      <c r="AF296" s="302"/>
      <c r="AG296" s="310" t="s">
        <v>2050</v>
      </c>
      <c r="AH296" s="311"/>
      <c r="AI296" s="302">
        <v>34</v>
      </c>
      <c r="AJ296" s="311">
        <v>45043</v>
      </c>
      <c r="AK296" s="311" t="s">
        <v>883</v>
      </c>
      <c r="AL296" s="311">
        <v>44915</v>
      </c>
      <c r="AM296" s="301"/>
      <c r="AN296" s="290"/>
      <c r="AO296" s="312" t="str">
        <f>_xlfn.IFNA(IF(VLOOKUP(tabItens[[#This Row],[CÓDIGO]],tabExcluirDoEstoque[#Data],1,FALSE),"sim",""),"")</f>
        <v/>
      </c>
      <c r="AP296" s="313" t="str">
        <f ca="1">IF(OR(ISBLANK(tabItens[[#This Row],[ATA DT.VALID.]]),tabItens[[#This Row],[ATA DT.VALID.]]="",tabItens[[#This Row],[ATA DT.VALID.]]=" "),"",IF(TYPE(tabItens[[#This Row],[ATA DT.VALID.]])=1,ROUNDUP((tabItens[[#This Row],[ATA DT.VALID.]]-TODAY())/7,0),""))</f>
        <v/>
      </c>
      <c r="AQ296" s="314">
        <v>0</v>
      </c>
      <c r="AR296" s="315" t="str">
        <f>IF(ISBLANK(tabItens[[#This Row],[CÓDIGO]]),"",IFERROR(VLOOKUP(tabItens[[#This Row],[CÓDIGO]],Consumo!$C$2:$AC$869,26,FALSE),0))</f>
        <v>07.2023</v>
      </c>
      <c r="AS296" s="316">
        <f>SUMIF(Consumo!$C$3:$C$869,tabItens[[#This Row],[CÓDIGO]],Consumo!$N$3:$N$869) + SUMIF(Consumo!$C$3:$C$869,tabItens[[#This Row],[CÓDIGO]],Consumo!$O$3:$O$869) + SUMIF(Consumo!$C$3:$C$869,tabItens[[#This Row],[CÓDIGO]],Consumo!$P$3:$P$869) + SUMIF(Consumo!$C$3:$C$869,tabItens[[#This Row],[CÓDIGO]],Consumo!$Q$3:$Q$869)</f>
        <v>22</v>
      </c>
      <c r="AT296" s="316">
        <f>SUMIF(Consumo!$C$3:$C$869,tabItens[[#This Row],[CÓDIGO]],Consumo!$Z$3:$Z$869)</f>
        <v>105</v>
      </c>
      <c r="AU296" s="317">
        <f>SUMIF(Consumo!$C$3:$C$869,tabItens[[#This Row],[CÓDIGO]],Consumo!$AA$3:$AA$869)</f>
        <v>25</v>
      </c>
      <c r="AV296" s="318">
        <f>SUMIF(Consumo!$C$3:$C$869,tabItens[[#This Row],[CÓDIGO]],Consumo!$Y$3:$Y$869)</f>
        <v>8.5833333333333339</v>
      </c>
      <c r="AW296" s="291">
        <f>tabItens[[#This Row],[QTDE ATUAL]] + tabItens[[#This Row],[RC QTDE]] + tabItens[[#This Row],[AF SALDO]] + tabItens[[#This Row],[Recentes]]</f>
        <v>105</v>
      </c>
      <c r="AX296" s="319">
        <v>8</v>
      </c>
      <c r="AY296" s="319">
        <v>3</v>
      </c>
      <c r="AZ296" s="319">
        <f>IF(ISBLANK(tabItens[[#This Row],[CÓDIGO]]),"",tabItens[[#This Row],[PontoMês]] * (AZ$2+tabItens[[#This Row],[PontoQtM]]))</f>
        <v>24</v>
      </c>
      <c r="BA296" s="318">
        <f>tabItens[[#This Row],[PontoPed]] - tabItens[[#This Row],[Saldo]] + (1/10)</f>
        <v>-80.900000000000006</v>
      </c>
      <c r="BB296" s="318">
        <f xml:space="preserve"> tabItens[[#This Row],[PontoMês]] * BB$2 - tabItens[[#This Row],[QTDE ATUAL]] - (1/10)</f>
        <v>-37.1</v>
      </c>
      <c r="BC296" s="320">
        <f>IF( tabItens[[#This Row],[PontoPed]]&gt;0, IF(tabItens[[#This Row],[PontoPed]]&lt;1, 1, IF( tabItens[[#This Row],[Saldo]]&gt;tabItens[[#This Row],[PontoPed]], 0, (tabItens[[#This Row],[PontoPed]]-tabItens[[#This Row],[Saldo]])/tabItens[[#This Row],[PontoPed]] ) ), 0 )</f>
        <v>0</v>
      </c>
      <c r="BD296" s="321">
        <f>ROUNDDOWN(IF( OR( AND(tabItens[[#This Row],[PontoPed]]&lt;tabItens[[#This Row],[Saldo]],tabItens[[#This Row],[Saldo]]&gt;0), tabItens[[#This Row],[PontoPed]]=0), 99, IF(AND(tabItens[[#This Row],[Saldo]]=0,tabItens[[#This Row],[PontoPed]]&gt;0), 0, (1-tabItens[[#This Row],[PctAb]])*10 ) ),0)</f>
        <v>99</v>
      </c>
      <c r="BE296" s="322">
        <f>MAX(ROUNDDOWN( IF(tabItens[[#This Row],[Abaixo]] &gt; 0,   tabItens[[#This Row],[Abaixo]] + (tabItens[[#This Row],[PontoMês]] * IF( OR( ISBLANK(tabItens[[#This Row],[ATA Nº/ANO]]), tabItens[[#This Row],[ATA Nº/ANO]] = ""),BE$2,BE$1)),0),0),0)</f>
        <v>0</v>
      </c>
      <c r="BF29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23">
        <f>SUMIF(Consumo!$C$3:$C$869,tabItens[[#This Row],[CÓDIGO]],Consumo!$E$3:$E$869)</f>
        <v>1</v>
      </c>
      <c r="BH296" s="324">
        <f>IF(AND(tabItens[[#This Row],[Pend]] &gt; 0,tabItens[[#This Row],[Consumo]] &lt;&gt; 0), tabItens[[#This Row],[Pend]] / tabItens[[#This Row],[Consumo]], 0 )</f>
        <v>9.5238095238095247E-3</v>
      </c>
      <c r="BI296" s="323"/>
      <c r="BJ296" s="323"/>
      <c r="BK296" s="325" t="s">
        <v>2064</v>
      </c>
    </row>
    <row r="297" spans="1:63" hidden="1" x14ac:dyDescent="0.3">
      <c r="A297" s="286">
        <v>20763</v>
      </c>
      <c r="B297" s="287" t="s">
        <v>1174</v>
      </c>
      <c r="C297" s="288" t="s">
        <v>1067</v>
      </c>
      <c r="D297" s="289">
        <v>370</v>
      </c>
      <c r="E297" s="290"/>
      <c r="F297" s="290"/>
      <c r="G297" s="290" t="s">
        <v>883</v>
      </c>
      <c r="H297" s="291">
        <v>17</v>
      </c>
      <c r="I297" s="292">
        <v>103003</v>
      </c>
      <c r="J297" s="293">
        <v>370</v>
      </c>
      <c r="K297" s="294">
        <v>32</v>
      </c>
      <c r="L297" s="295">
        <f>IF(tabItens[[#This Row],[Média]] &gt; 0, tabItens[[#This Row],[QTDE ATUAL]] / tabItens[[#This Row],[Média]],999.9)</f>
        <v>6</v>
      </c>
      <c r="M297" s="296">
        <v>0</v>
      </c>
      <c r="N297" s="297">
        <f>tabItens[[#This Row],[VALOR UNIT.]] * tabItens[[#This Row],[LC]]</f>
        <v>0</v>
      </c>
      <c r="O297" s="298" t="s">
        <v>2095</v>
      </c>
      <c r="P297" s="299"/>
      <c r="Q297" s="300"/>
      <c r="R297" s="297"/>
      <c r="S297" s="301"/>
      <c r="T297" s="302">
        <f>ROUNDDOWN(IFERROR(tabItens[[#This Row],[ATA DT.VALID.]] - $D$1,0) / 30,0)</f>
        <v>-1504</v>
      </c>
      <c r="U297" s="287" t="s">
        <v>1068</v>
      </c>
      <c r="V297" s="303">
        <v>1</v>
      </c>
      <c r="W297" s="304" t="s">
        <v>2053</v>
      </c>
      <c r="X297" s="305">
        <v>76</v>
      </c>
      <c r="Y297" s="306">
        <v>5</v>
      </c>
      <c r="Z297" s="307">
        <v>2791</v>
      </c>
      <c r="AA297" s="308">
        <v>2023</v>
      </c>
      <c r="AB297" s="309">
        <v>40</v>
      </c>
      <c r="AC297" s="309"/>
      <c r="AD297" s="308"/>
      <c r="AE297" s="309"/>
      <c r="AF297" s="302"/>
      <c r="AG297" s="310" t="s">
        <v>2050</v>
      </c>
      <c r="AH297" s="311"/>
      <c r="AI297" s="302">
        <v>12</v>
      </c>
      <c r="AJ297" s="311">
        <v>44986</v>
      </c>
      <c r="AK297" s="311" t="s">
        <v>883</v>
      </c>
      <c r="AL297" s="311">
        <v>44916</v>
      </c>
      <c r="AM297" s="301"/>
      <c r="AN297" s="290"/>
      <c r="AO297" s="312" t="str">
        <f>_xlfn.IFNA(IF(VLOOKUP(tabItens[[#This Row],[CÓDIGO]],tabExcluirDoEstoque[#Data],1,FALSE),"sim",""),"")</f>
        <v/>
      </c>
      <c r="AP297" s="313" t="str">
        <f ca="1">IF(OR(ISBLANK(tabItens[[#This Row],[ATA DT.VALID.]]),tabItens[[#This Row],[ATA DT.VALID.]]="",tabItens[[#This Row],[ATA DT.VALID.]]=" "),"",IF(TYPE(tabItens[[#This Row],[ATA DT.VALID.]])=1,ROUNDUP((tabItens[[#This Row],[ATA DT.VALID.]]-TODAY())/7,0),""))</f>
        <v/>
      </c>
      <c r="AQ297" s="314">
        <v>0</v>
      </c>
      <c r="AR297" s="315" t="str">
        <f>IF(ISBLANK(tabItens[[#This Row],[CÓDIGO]]),"",IFERROR(VLOOKUP(tabItens[[#This Row],[CÓDIGO]],Consumo!$C$2:$AC$869,26,FALSE),0))</f>
        <v>07.2023</v>
      </c>
      <c r="AS297" s="316">
        <f>SUMIF(Consumo!$C$3:$C$869,tabItens[[#This Row],[CÓDIGO]],Consumo!$N$3:$N$869) + SUMIF(Consumo!$C$3:$C$869,tabItens[[#This Row],[CÓDIGO]],Consumo!$O$3:$O$869) + SUMIF(Consumo!$C$3:$C$869,tabItens[[#This Row],[CÓDIGO]],Consumo!$P$3:$P$869) + SUMIF(Consumo!$C$3:$C$869,tabItens[[#This Row],[CÓDIGO]],Consumo!$Q$3:$Q$869)</f>
        <v>9</v>
      </c>
      <c r="AT297" s="316">
        <f>SUMIF(Consumo!$C$3:$C$869,tabItens[[#This Row],[CÓDIGO]],Consumo!$Z$3:$Z$869)</f>
        <v>34</v>
      </c>
      <c r="AU297" s="317">
        <f>SUMIF(Consumo!$C$3:$C$869,tabItens[[#This Row],[CÓDIGO]],Consumo!$AA$3:$AA$869)</f>
        <v>9</v>
      </c>
      <c r="AV297" s="318">
        <f>SUMIF(Consumo!$C$3:$C$869,tabItens[[#This Row],[CÓDIGO]],Consumo!$Y$3:$Y$869)</f>
        <v>2.8333333333333335</v>
      </c>
      <c r="AW297" s="291">
        <f>tabItens[[#This Row],[QTDE ATUAL]] + tabItens[[#This Row],[RC QTDE]] + tabItens[[#This Row],[AF SALDO]] + tabItens[[#This Row],[Recentes]]</f>
        <v>57</v>
      </c>
      <c r="AX297" s="319">
        <v>5</v>
      </c>
      <c r="AY297" s="319">
        <v>4</v>
      </c>
      <c r="AZ297" s="319">
        <f>IF(ISBLANK(tabItens[[#This Row],[CÓDIGO]]),"",tabItens[[#This Row],[PontoMês]] * (AZ$2+tabItens[[#This Row],[PontoQtM]]))</f>
        <v>20</v>
      </c>
      <c r="BA297" s="318">
        <f>tabItens[[#This Row],[PontoPed]] - tabItens[[#This Row],[Saldo]] + (1/10)</f>
        <v>-36.9</v>
      </c>
      <c r="BB297" s="318">
        <f xml:space="preserve"> tabItens[[#This Row],[PontoMês]] * BB$2 - tabItens[[#This Row],[QTDE ATUAL]] - (1/10)</f>
        <v>-12.1</v>
      </c>
      <c r="BC297" s="320">
        <f>IF( tabItens[[#This Row],[PontoPed]]&gt;0, IF(tabItens[[#This Row],[PontoPed]]&lt;1, 1, IF( tabItens[[#This Row],[Saldo]]&gt;tabItens[[#This Row],[PontoPed]], 0, (tabItens[[#This Row],[PontoPed]]-tabItens[[#This Row],[Saldo]])/tabItens[[#This Row],[PontoPed]] ) ), 0 )</f>
        <v>0</v>
      </c>
      <c r="BD297" s="321">
        <f>ROUNDDOWN(IF( OR( AND(tabItens[[#This Row],[PontoPed]]&lt;tabItens[[#This Row],[Saldo]],tabItens[[#This Row],[Saldo]]&gt;0), tabItens[[#This Row],[PontoPed]]=0), 99, IF(AND(tabItens[[#This Row],[Saldo]]=0,tabItens[[#This Row],[PontoPed]]&gt;0), 0, (1-tabItens[[#This Row],[PctAb]])*10 ) ),0)</f>
        <v>99</v>
      </c>
      <c r="BE297" s="322">
        <f>MAX(ROUNDDOWN( IF(tabItens[[#This Row],[Abaixo]] &gt; 0,   tabItens[[#This Row],[Abaixo]] + (tabItens[[#This Row],[PontoMês]] * IF( OR( ISBLANK(tabItens[[#This Row],[ATA Nº/ANO]]), tabItens[[#This Row],[ATA Nº/ANO]] = ""),BE$2,BE$1)),0),0),0)</f>
        <v>0</v>
      </c>
      <c r="BF29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23">
        <f>SUMIF(Consumo!$C$3:$C$869,tabItens[[#This Row],[CÓDIGO]],Consumo!$E$3:$E$869)</f>
        <v>0</v>
      </c>
      <c r="BH297" s="324">
        <f>IF(AND(tabItens[[#This Row],[Pend]] &gt; 0,tabItens[[#This Row],[Consumo]] &lt;&gt; 0), tabItens[[#This Row],[Pend]] / tabItens[[#This Row],[Consumo]], 0 )</f>
        <v>0</v>
      </c>
      <c r="BI297" s="323"/>
      <c r="BJ297" s="323"/>
      <c r="BK297" s="325" t="s">
        <v>2064</v>
      </c>
    </row>
    <row r="298" spans="1:63" hidden="1" x14ac:dyDescent="0.3">
      <c r="A298" s="286">
        <v>69229</v>
      </c>
      <c r="B298" s="287" t="s">
        <v>1173</v>
      </c>
      <c r="C298" s="288" t="s">
        <v>1067</v>
      </c>
      <c r="D298" s="289">
        <v>483.3</v>
      </c>
      <c r="E298" s="290"/>
      <c r="F298" s="290"/>
      <c r="G298" s="290" t="s">
        <v>883</v>
      </c>
      <c r="H298" s="291">
        <v>74</v>
      </c>
      <c r="I298" s="292">
        <v>103003</v>
      </c>
      <c r="J298" s="293">
        <v>483.3</v>
      </c>
      <c r="K298" s="294">
        <v>64</v>
      </c>
      <c r="L298" s="295">
        <f>IF(tabItens[[#This Row],[Média]] &gt; 0, tabItens[[#This Row],[QTDE ATUAL]] / tabItens[[#This Row],[Média]],999.9)</f>
        <v>14.8</v>
      </c>
      <c r="M298" s="296">
        <v>0</v>
      </c>
      <c r="N298" s="297">
        <f>tabItens[[#This Row],[VALOR UNIT.]] * tabItens[[#This Row],[LC]]</f>
        <v>0</v>
      </c>
      <c r="O298" s="298" t="s">
        <v>2095</v>
      </c>
      <c r="P298" s="299"/>
      <c r="Q298" s="300"/>
      <c r="R298" s="297"/>
      <c r="S298" s="301"/>
      <c r="T298" s="302">
        <f>ROUNDDOWN(IFERROR(tabItens[[#This Row],[ATA DT.VALID.]] - $D$1,0) / 30,0)</f>
        <v>-1504</v>
      </c>
      <c r="U298" s="287" t="s">
        <v>1068</v>
      </c>
      <c r="V298" s="303">
        <v>1</v>
      </c>
      <c r="W298" s="304" t="s">
        <v>2053</v>
      </c>
      <c r="X298" s="305">
        <v>76</v>
      </c>
      <c r="Y298" s="306">
        <v>5</v>
      </c>
      <c r="Z298" s="307">
        <v>2973</v>
      </c>
      <c r="AA298" s="308">
        <v>2023</v>
      </c>
      <c r="AB298" s="309">
        <v>60</v>
      </c>
      <c r="AC298" s="309"/>
      <c r="AD298" s="308"/>
      <c r="AE298" s="309"/>
      <c r="AF298" s="302"/>
      <c r="AG298" s="310" t="s">
        <v>2050</v>
      </c>
      <c r="AH298" s="311"/>
      <c r="AI298" s="302">
        <v>22</v>
      </c>
      <c r="AJ298" s="311">
        <v>45043</v>
      </c>
      <c r="AK298" s="311" t="s">
        <v>883</v>
      </c>
      <c r="AL298" s="311">
        <v>44915</v>
      </c>
      <c r="AM298" s="301"/>
      <c r="AN298" s="290"/>
      <c r="AO298" s="312" t="str">
        <f>_xlfn.IFNA(IF(VLOOKUP(tabItens[[#This Row],[CÓDIGO]],tabExcluirDoEstoque[#Data],1,FALSE),"sim",""),"")</f>
        <v/>
      </c>
      <c r="AP298" s="313" t="str">
        <f ca="1">IF(OR(ISBLANK(tabItens[[#This Row],[ATA DT.VALID.]]),tabItens[[#This Row],[ATA DT.VALID.]]="",tabItens[[#This Row],[ATA DT.VALID.]]=" "),"",IF(TYPE(tabItens[[#This Row],[ATA DT.VALID.]])=1,ROUNDUP((tabItens[[#This Row],[ATA DT.VALID.]]-TODAY())/7,0),""))</f>
        <v/>
      </c>
      <c r="AQ298" s="314">
        <v>0</v>
      </c>
      <c r="AR298" s="315" t="str">
        <f>IF(ISBLANK(tabItens[[#This Row],[CÓDIGO]]),"",IFERROR(VLOOKUP(tabItens[[#This Row],[CÓDIGO]],Consumo!$C$2:$AC$869,26,FALSE),0))</f>
        <v>07.2023</v>
      </c>
      <c r="AS298" s="316">
        <f>SUMIF(Consumo!$C$3:$C$869,tabItens[[#This Row],[CÓDIGO]],Consumo!$N$3:$N$869) + SUMIF(Consumo!$C$3:$C$869,tabItens[[#This Row],[CÓDIGO]],Consumo!$O$3:$O$869) + SUMIF(Consumo!$C$3:$C$869,tabItens[[#This Row],[CÓDIGO]],Consumo!$P$3:$P$869) + SUMIF(Consumo!$C$3:$C$869,tabItens[[#This Row],[CÓDIGO]],Consumo!$Q$3:$Q$869)</f>
        <v>9</v>
      </c>
      <c r="AT298" s="316">
        <f>SUMIF(Consumo!$C$3:$C$869,tabItens[[#This Row],[CÓDIGO]],Consumo!$Z$3:$Z$869)</f>
        <v>65</v>
      </c>
      <c r="AU298" s="317">
        <f>SUMIF(Consumo!$C$3:$C$869,tabItens[[#This Row],[CÓDIGO]],Consumo!$AA$3:$AA$869)</f>
        <v>25</v>
      </c>
      <c r="AV298" s="318">
        <f>SUMIF(Consumo!$C$3:$C$869,tabItens[[#This Row],[CÓDIGO]],Consumo!$Y$3:$Y$869)</f>
        <v>5</v>
      </c>
      <c r="AW298" s="291">
        <f>tabItens[[#This Row],[QTDE ATUAL]] + tabItens[[#This Row],[RC QTDE]] + tabItens[[#This Row],[AF SALDO]] + tabItens[[#This Row],[Recentes]]</f>
        <v>134</v>
      </c>
      <c r="AX298" s="319">
        <v>8</v>
      </c>
      <c r="AY298" s="319">
        <v>3</v>
      </c>
      <c r="AZ298" s="319">
        <f>IF(ISBLANK(tabItens[[#This Row],[CÓDIGO]]),"",tabItens[[#This Row],[PontoMês]] * (AZ$2+tabItens[[#This Row],[PontoQtM]]))</f>
        <v>24</v>
      </c>
      <c r="BA298" s="318">
        <f>tabItens[[#This Row],[PontoPed]] - tabItens[[#This Row],[Saldo]] + (1/10)</f>
        <v>-109.9</v>
      </c>
      <c r="BB298" s="318">
        <f xml:space="preserve"> tabItens[[#This Row],[PontoMês]] * BB$2 - tabItens[[#This Row],[QTDE ATUAL]] - (1/10)</f>
        <v>-66.099999999999994</v>
      </c>
      <c r="BC298" s="320">
        <f>IF( tabItens[[#This Row],[PontoPed]]&gt;0, IF(tabItens[[#This Row],[PontoPed]]&lt;1, 1, IF( tabItens[[#This Row],[Saldo]]&gt;tabItens[[#This Row],[PontoPed]], 0, (tabItens[[#This Row],[PontoPed]]-tabItens[[#This Row],[Saldo]])/tabItens[[#This Row],[PontoPed]] ) ), 0 )</f>
        <v>0</v>
      </c>
      <c r="BD298" s="321">
        <f>ROUNDDOWN(IF( OR( AND(tabItens[[#This Row],[PontoPed]]&lt;tabItens[[#This Row],[Saldo]],tabItens[[#This Row],[Saldo]]&gt;0), tabItens[[#This Row],[PontoPed]]=0), 99, IF(AND(tabItens[[#This Row],[Saldo]]=0,tabItens[[#This Row],[PontoPed]]&gt;0), 0, (1-tabItens[[#This Row],[PctAb]])*10 ) ),0)</f>
        <v>99</v>
      </c>
      <c r="BE298" s="322">
        <f>MAX(ROUNDDOWN( IF(tabItens[[#This Row],[Abaixo]] &gt; 0,   tabItens[[#This Row],[Abaixo]] + (tabItens[[#This Row],[PontoMês]] * IF( OR( ISBLANK(tabItens[[#This Row],[ATA Nº/ANO]]), tabItens[[#This Row],[ATA Nº/ANO]] = ""),BE$2,BE$1)),0),0),0)</f>
        <v>0</v>
      </c>
      <c r="BF2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23">
        <f>SUMIF(Consumo!$C$3:$C$869,tabItens[[#This Row],[CÓDIGO]],Consumo!$E$3:$E$869)</f>
        <v>0</v>
      </c>
      <c r="BH298" s="324">
        <f>IF(AND(tabItens[[#This Row],[Pend]] &gt; 0,tabItens[[#This Row],[Consumo]] &lt;&gt; 0), tabItens[[#This Row],[Pend]] / tabItens[[#This Row],[Consumo]], 0 )</f>
        <v>0</v>
      </c>
      <c r="BI298" s="323"/>
      <c r="BJ298" s="323"/>
      <c r="BK298" s="325" t="s">
        <v>2064</v>
      </c>
    </row>
    <row r="299" spans="1:63" hidden="1" x14ac:dyDescent="0.3">
      <c r="A299" s="286">
        <v>87586</v>
      </c>
      <c r="B299" s="287" t="s">
        <v>1486</v>
      </c>
      <c r="C299" s="288" t="s">
        <v>1067</v>
      </c>
      <c r="D299" s="289">
        <v>440</v>
      </c>
      <c r="E299" s="290"/>
      <c r="F299" s="290"/>
      <c r="G299" s="290" t="s">
        <v>883</v>
      </c>
      <c r="H299" s="291">
        <v>15</v>
      </c>
      <c r="I299" s="292">
        <v>103003</v>
      </c>
      <c r="J299" s="293">
        <v>440</v>
      </c>
      <c r="K299" s="294">
        <v>26</v>
      </c>
      <c r="L299" s="295">
        <f>IF(tabItens[[#This Row],[Média]] &gt; 0, tabItens[[#This Row],[QTDE ATUAL]] / tabItens[[#This Row],[Média]],999.9)</f>
        <v>7.8260869565217392</v>
      </c>
      <c r="M299" s="296">
        <v>0</v>
      </c>
      <c r="N299" s="297">
        <f>tabItens[[#This Row],[VALOR UNIT.]] * tabItens[[#This Row],[LC]]</f>
        <v>0</v>
      </c>
      <c r="O299" s="298" t="s">
        <v>2095</v>
      </c>
      <c r="P299" s="299"/>
      <c r="Q299" s="300"/>
      <c r="R299" s="297"/>
      <c r="S299" s="301"/>
      <c r="T299" s="302">
        <f>ROUNDDOWN(IFERROR(tabItens[[#This Row],[ATA DT.VALID.]] - $D$1,0) / 30,0)</f>
        <v>-1504</v>
      </c>
      <c r="U299" s="287" t="s">
        <v>1068</v>
      </c>
      <c r="V299" s="303">
        <v>1</v>
      </c>
      <c r="W299" s="304" t="s">
        <v>2053</v>
      </c>
      <c r="X299" s="305">
        <v>76</v>
      </c>
      <c r="Y299" s="306">
        <v>5</v>
      </c>
      <c r="Z299" s="307">
        <v>2787</v>
      </c>
      <c r="AA299" s="308">
        <v>2023</v>
      </c>
      <c r="AB299" s="309">
        <v>10</v>
      </c>
      <c r="AC299" s="309"/>
      <c r="AD299" s="308"/>
      <c r="AE299" s="309"/>
      <c r="AF299" s="302"/>
      <c r="AG299" s="310" t="s">
        <v>2050</v>
      </c>
      <c r="AH299" s="311"/>
      <c r="AI299" s="302">
        <v>8</v>
      </c>
      <c r="AJ299" s="311">
        <v>44986</v>
      </c>
      <c r="AK299" s="311">
        <v>38603</v>
      </c>
      <c r="AL299" s="311">
        <v>44916</v>
      </c>
      <c r="AM299" s="301"/>
      <c r="AN299" s="290"/>
      <c r="AO299" s="312" t="str">
        <f>_xlfn.IFNA(IF(VLOOKUP(tabItens[[#This Row],[CÓDIGO]],tabExcluirDoEstoque[#Data],1,FALSE),"sim",""),"")</f>
        <v/>
      </c>
      <c r="AP299" s="313" t="str">
        <f ca="1">IF(OR(ISBLANK(tabItens[[#This Row],[ATA DT.VALID.]]),tabItens[[#This Row],[ATA DT.VALID.]]="",tabItens[[#This Row],[ATA DT.VALID.]]=" "),"",IF(TYPE(tabItens[[#This Row],[ATA DT.VALID.]])=1,ROUNDUP((tabItens[[#This Row],[ATA DT.VALID.]]-TODAY())/7,0),""))</f>
        <v/>
      </c>
      <c r="AQ299" s="314">
        <v>0</v>
      </c>
      <c r="AR299" s="315" t="str">
        <f>IF(ISBLANK(tabItens[[#This Row],[CÓDIGO]]),"",IFERROR(VLOOKUP(tabItens[[#This Row],[CÓDIGO]],Consumo!$C$2:$AC$869,26,FALSE),0))</f>
        <v>10.2022</v>
      </c>
      <c r="AS299" s="316">
        <f>SUMIF(Consumo!$C$3:$C$869,tabItens[[#This Row],[CÓDIGO]],Consumo!$N$3:$N$869) + SUMIF(Consumo!$C$3:$C$869,tabItens[[#This Row],[CÓDIGO]],Consumo!$O$3:$O$869) + SUMIF(Consumo!$C$3:$C$869,tabItens[[#This Row],[CÓDIGO]],Consumo!$P$3:$P$869) + SUMIF(Consumo!$C$3:$C$869,tabItens[[#This Row],[CÓDIGO]],Consumo!$Q$3:$Q$869)</f>
        <v>0</v>
      </c>
      <c r="AT299" s="316">
        <f>SUMIF(Consumo!$C$3:$C$869,tabItens[[#This Row],[CÓDIGO]],Consumo!$Z$3:$Z$869)</f>
        <v>26</v>
      </c>
      <c r="AU299" s="317">
        <f>SUMIF(Consumo!$C$3:$C$869,tabItens[[#This Row],[CÓDIGO]],Consumo!$AA$3:$AA$869)</f>
        <v>15</v>
      </c>
      <c r="AV299" s="318">
        <f>SUMIF(Consumo!$C$3:$C$869,tabItens[[#This Row],[CÓDIGO]],Consumo!$Y$3:$Y$869)</f>
        <v>1.9166666666666667</v>
      </c>
      <c r="AW299" s="291">
        <f>tabItens[[#This Row],[QTDE ATUAL]] + tabItens[[#This Row],[RC QTDE]] + tabItens[[#This Row],[AF SALDO]] + tabItens[[#This Row],[Recentes]]</f>
        <v>25</v>
      </c>
      <c r="AX299" s="319">
        <v>2</v>
      </c>
      <c r="AY299" s="319">
        <v>4</v>
      </c>
      <c r="AZ299" s="319">
        <f>IF(ISBLANK(tabItens[[#This Row],[CÓDIGO]]),"",tabItens[[#This Row],[PontoMês]] * (AZ$2+tabItens[[#This Row],[PontoQtM]]))</f>
        <v>8</v>
      </c>
      <c r="BA299" s="318">
        <f>tabItens[[#This Row],[PontoPed]] - tabItens[[#This Row],[Saldo]] + (1/10)</f>
        <v>-16.899999999999999</v>
      </c>
      <c r="BB299" s="318">
        <f xml:space="preserve"> tabItens[[#This Row],[PontoMês]] * BB$2 - tabItens[[#This Row],[QTDE ATUAL]] - (1/10)</f>
        <v>-13.1</v>
      </c>
      <c r="BC299" s="320">
        <f>IF( tabItens[[#This Row],[PontoPed]]&gt;0, IF(tabItens[[#This Row],[PontoPed]]&lt;1, 1, IF( tabItens[[#This Row],[Saldo]]&gt;tabItens[[#This Row],[PontoPed]], 0, (tabItens[[#This Row],[PontoPed]]-tabItens[[#This Row],[Saldo]])/tabItens[[#This Row],[PontoPed]] ) ), 0 )</f>
        <v>0</v>
      </c>
      <c r="BD299" s="321">
        <f>ROUNDDOWN(IF( OR( AND(tabItens[[#This Row],[PontoPed]]&lt;tabItens[[#This Row],[Saldo]],tabItens[[#This Row],[Saldo]]&gt;0), tabItens[[#This Row],[PontoPed]]=0), 99, IF(AND(tabItens[[#This Row],[Saldo]]=0,tabItens[[#This Row],[PontoPed]]&gt;0), 0, (1-tabItens[[#This Row],[PctAb]])*10 ) ),0)</f>
        <v>99</v>
      </c>
      <c r="BE299" s="322">
        <f>MAX(ROUNDDOWN( IF(tabItens[[#This Row],[Abaixo]] &gt; 0,   tabItens[[#This Row],[Abaixo]] + (tabItens[[#This Row],[PontoMês]] * IF( OR( ISBLANK(tabItens[[#This Row],[ATA Nº/ANO]]), tabItens[[#This Row],[ATA Nº/ANO]] = ""),BE$2,BE$1)),0),0),0)</f>
        <v>0</v>
      </c>
      <c r="BF29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23">
        <f>SUMIF(Consumo!$C$3:$C$869,tabItens[[#This Row],[CÓDIGO]],Consumo!$E$3:$E$869)</f>
        <v>0</v>
      </c>
      <c r="BH299" s="324">
        <f>IF(AND(tabItens[[#This Row],[Pend]] &gt; 0,tabItens[[#This Row],[Consumo]] &lt;&gt; 0), tabItens[[#This Row],[Pend]] / tabItens[[#This Row],[Consumo]], 0 )</f>
        <v>0</v>
      </c>
      <c r="BI299" s="323"/>
      <c r="BJ299" s="323"/>
      <c r="BK299" s="325" t="s">
        <v>2064</v>
      </c>
    </row>
    <row r="300" spans="1:63" hidden="1" x14ac:dyDescent="0.3">
      <c r="A300" s="286">
        <v>23778</v>
      </c>
      <c r="B300" s="287" t="s">
        <v>1182</v>
      </c>
      <c r="C300" s="288" t="s">
        <v>1067</v>
      </c>
      <c r="D300" s="289">
        <v>266</v>
      </c>
      <c r="E300" s="290"/>
      <c r="F300" s="290"/>
      <c r="G300" s="290" t="s">
        <v>883</v>
      </c>
      <c r="H300" s="291">
        <v>107</v>
      </c>
      <c r="I300" s="292">
        <v>103003</v>
      </c>
      <c r="J300" s="293">
        <v>266</v>
      </c>
      <c r="K300" s="294">
        <v>89</v>
      </c>
      <c r="L300" s="295">
        <f>IF(tabItens[[#This Row],[Média]] &gt; 0, tabItens[[#This Row],[QTDE ATUAL]] / tabItens[[#This Row],[Média]],999.9)</f>
        <v>9.304347826086957</v>
      </c>
      <c r="M300" s="296">
        <v>0</v>
      </c>
      <c r="N300" s="297">
        <f>tabItens[[#This Row],[VALOR UNIT.]] * tabItens[[#This Row],[LC]]</f>
        <v>0</v>
      </c>
      <c r="O300" s="298" t="s">
        <v>2095</v>
      </c>
      <c r="P300" s="299"/>
      <c r="Q300" s="300"/>
      <c r="R300" s="297"/>
      <c r="S300" s="301"/>
      <c r="T300" s="302">
        <f>ROUNDDOWN(IFERROR(tabItens[[#This Row],[ATA DT.VALID.]] - $D$1,0) / 30,0)</f>
        <v>-1504</v>
      </c>
      <c r="U300" s="287" t="s">
        <v>1183</v>
      </c>
      <c r="V300" s="303">
        <v>1</v>
      </c>
      <c r="W300" s="304" t="s">
        <v>2053</v>
      </c>
      <c r="X300" s="305">
        <v>76</v>
      </c>
      <c r="Y300" s="306">
        <v>16</v>
      </c>
      <c r="Z300" s="307">
        <v>2973</v>
      </c>
      <c r="AA300" s="308">
        <v>2023</v>
      </c>
      <c r="AB300" s="309">
        <v>50</v>
      </c>
      <c r="AC300" s="309"/>
      <c r="AD300" s="308"/>
      <c r="AE300" s="309"/>
      <c r="AF300" s="302"/>
      <c r="AG300" s="310" t="s">
        <v>2050</v>
      </c>
      <c r="AH300" s="311"/>
      <c r="AI300" s="302">
        <v>46</v>
      </c>
      <c r="AJ300" s="311">
        <v>44986</v>
      </c>
      <c r="AK300" s="311" t="s">
        <v>883</v>
      </c>
      <c r="AL300" s="311">
        <v>44916</v>
      </c>
      <c r="AM300" s="301"/>
      <c r="AN300" s="290"/>
      <c r="AO300" s="312" t="str">
        <f>_xlfn.IFNA(IF(VLOOKUP(tabItens[[#This Row],[CÓDIGO]],tabExcluirDoEstoque[#Data],1,FALSE),"sim",""),"")</f>
        <v/>
      </c>
      <c r="AP300" s="313" t="str">
        <f ca="1">IF(OR(ISBLANK(tabItens[[#This Row],[ATA DT.VALID.]]),tabItens[[#This Row],[ATA DT.VALID.]]="",tabItens[[#This Row],[ATA DT.VALID.]]=" "),"",IF(TYPE(tabItens[[#This Row],[ATA DT.VALID.]])=1,ROUNDUP((tabItens[[#This Row],[ATA DT.VALID.]]-TODAY())/7,0),""))</f>
        <v/>
      </c>
      <c r="AQ300" s="314">
        <v>0</v>
      </c>
      <c r="AR300" s="315" t="str">
        <f>IF(ISBLANK(tabItens[[#This Row],[CÓDIGO]]),"",IFERROR(VLOOKUP(tabItens[[#This Row],[CÓDIGO]],Consumo!$C$2:$AC$869,26,FALSE),0))</f>
        <v>07.2023</v>
      </c>
      <c r="AS300" s="316">
        <f>SUMIF(Consumo!$C$3:$C$869,tabItens[[#This Row],[CÓDIGO]],Consumo!$N$3:$N$869) + SUMIF(Consumo!$C$3:$C$869,tabItens[[#This Row],[CÓDIGO]],Consumo!$O$3:$O$869) + SUMIF(Consumo!$C$3:$C$869,tabItens[[#This Row],[CÓDIGO]],Consumo!$P$3:$P$869) + SUMIF(Consumo!$C$3:$C$869,tabItens[[#This Row],[CÓDIGO]],Consumo!$Q$3:$Q$869)</f>
        <v>63</v>
      </c>
      <c r="AT300" s="316">
        <f>SUMIF(Consumo!$C$3:$C$869,tabItens[[#This Row],[CÓDIGO]],Consumo!$Z$3:$Z$869)</f>
        <v>140</v>
      </c>
      <c r="AU300" s="317">
        <f>SUMIF(Consumo!$C$3:$C$869,tabItens[[#This Row],[CÓDIGO]],Consumo!$AA$3:$AA$869)</f>
        <v>22</v>
      </c>
      <c r="AV300" s="318">
        <f>SUMIF(Consumo!$C$3:$C$869,tabItens[[#This Row],[CÓDIGO]],Consumo!$Y$3:$Y$869)</f>
        <v>11.5</v>
      </c>
      <c r="AW300" s="291">
        <f>tabItens[[#This Row],[QTDE ATUAL]] + tabItens[[#This Row],[RC QTDE]] + tabItens[[#This Row],[AF SALDO]] + tabItens[[#This Row],[Recentes]]</f>
        <v>157</v>
      </c>
      <c r="AX300" s="319">
        <v>10</v>
      </c>
      <c r="AY300" s="319">
        <v>4</v>
      </c>
      <c r="AZ300" s="319">
        <f>IF(ISBLANK(tabItens[[#This Row],[CÓDIGO]]),"",tabItens[[#This Row],[PontoMês]] * (AZ$2+tabItens[[#This Row],[PontoQtM]]))</f>
        <v>40</v>
      </c>
      <c r="BA300" s="318">
        <f>tabItens[[#This Row],[PontoPed]] - tabItens[[#This Row],[Saldo]] + (1/10)</f>
        <v>-116.9</v>
      </c>
      <c r="BB300" s="318">
        <f xml:space="preserve"> tabItens[[#This Row],[PontoMês]] * BB$2 - tabItens[[#This Row],[QTDE ATUAL]] - (1/10)</f>
        <v>-97.1</v>
      </c>
      <c r="BC300" s="320">
        <f>IF( tabItens[[#This Row],[PontoPed]]&gt;0, IF(tabItens[[#This Row],[PontoPed]]&lt;1, 1, IF( tabItens[[#This Row],[Saldo]]&gt;tabItens[[#This Row],[PontoPed]], 0, (tabItens[[#This Row],[PontoPed]]-tabItens[[#This Row],[Saldo]])/tabItens[[#This Row],[PontoPed]] ) ), 0 )</f>
        <v>0</v>
      </c>
      <c r="BD300" s="321">
        <f>ROUNDDOWN(IF( OR( AND(tabItens[[#This Row],[PontoPed]]&lt;tabItens[[#This Row],[Saldo]],tabItens[[#This Row],[Saldo]]&gt;0), tabItens[[#This Row],[PontoPed]]=0), 99, IF(AND(tabItens[[#This Row],[Saldo]]=0,tabItens[[#This Row],[PontoPed]]&gt;0), 0, (1-tabItens[[#This Row],[PctAb]])*10 ) ),0)</f>
        <v>99</v>
      </c>
      <c r="BE300" s="322">
        <f>MAX(ROUNDDOWN( IF(tabItens[[#This Row],[Abaixo]] &gt; 0,   tabItens[[#This Row],[Abaixo]] + (tabItens[[#This Row],[PontoMês]] * IF( OR( ISBLANK(tabItens[[#This Row],[ATA Nº/ANO]]), tabItens[[#This Row],[ATA Nº/ANO]] = ""),BE$2,BE$1)),0),0),0)</f>
        <v>0</v>
      </c>
      <c r="BF30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23">
        <f>SUMIF(Consumo!$C$3:$C$869,tabItens[[#This Row],[CÓDIGO]],Consumo!$E$3:$E$869)</f>
        <v>0</v>
      </c>
      <c r="BH300" s="324">
        <f>IF(AND(tabItens[[#This Row],[Pend]] &gt; 0,tabItens[[#This Row],[Consumo]] &lt;&gt; 0), tabItens[[#This Row],[Pend]] / tabItens[[#This Row],[Consumo]], 0 )</f>
        <v>0</v>
      </c>
      <c r="BI300" s="323"/>
      <c r="BJ300" s="323"/>
      <c r="BK300" s="325" t="s">
        <v>2064</v>
      </c>
    </row>
    <row r="301" spans="1:63" hidden="1" x14ac:dyDescent="0.3">
      <c r="A301" s="286">
        <v>114430</v>
      </c>
      <c r="B301" s="287" t="s">
        <v>1693</v>
      </c>
      <c r="C301" s="288" t="s">
        <v>31</v>
      </c>
      <c r="D301" s="289">
        <v>13.47</v>
      </c>
      <c r="E301" s="290"/>
      <c r="F301" s="290"/>
      <c r="G301" s="290" t="s">
        <v>883</v>
      </c>
      <c r="H301" s="291">
        <v>25</v>
      </c>
      <c r="I301" s="292">
        <v>103003</v>
      </c>
      <c r="J301" s="293">
        <v>13.47</v>
      </c>
      <c r="K301" s="294">
        <v>259</v>
      </c>
      <c r="L301" s="295">
        <f>IF(tabItens[[#This Row],[Média]] &gt; 0, tabItens[[#This Row],[QTDE ATUAL]] / tabItens[[#This Row],[Média]],999.9)</f>
        <v>0.83798882681564246</v>
      </c>
      <c r="M301" s="296">
        <v>0</v>
      </c>
      <c r="N301" s="297">
        <f>tabItens[[#This Row],[VALOR UNIT.]] * tabItens[[#This Row],[LC]]</f>
        <v>0</v>
      </c>
      <c r="O301" s="298" t="s">
        <v>2157</v>
      </c>
      <c r="P301" s="299"/>
      <c r="Q301" s="300"/>
      <c r="R301" s="297"/>
      <c r="S301" s="301"/>
      <c r="T301" s="302">
        <f>ROUNDDOWN(IFERROR(tabItens[[#This Row],[ATA DT.VALID.]] - $D$1,0) / 30,0)</f>
        <v>-1504</v>
      </c>
      <c r="U301" s="287" t="s">
        <v>1694</v>
      </c>
      <c r="V301" s="303">
        <v>1</v>
      </c>
      <c r="W301" s="304" t="s">
        <v>2051</v>
      </c>
      <c r="X301" s="305">
        <v>62</v>
      </c>
      <c r="Y301" s="306">
        <v>25</v>
      </c>
      <c r="Z301" s="307">
        <v>2832</v>
      </c>
      <c r="AA301" s="308">
        <v>2023</v>
      </c>
      <c r="AB301" s="309">
        <v>200</v>
      </c>
      <c r="AC301" s="309"/>
      <c r="AD301" s="308"/>
      <c r="AE301" s="309"/>
      <c r="AF301" s="302"/>
      <c r="AG301" s="310" t="s">
        <v>2050</v>
      </c>
      <c r="AH301" s="311"/>
      <c r="AI301" s="302">
        <v>122</v>
      </c>
      <c r="AJ301" s="311">
        <v>44844</v>
      </c>
      <c r="AK301" s="311">
        <v>40249</v>
      </c>
      <c r="AL301" s="311">
        <v>44834</v>
      </c>
      <c r="AM301" s="301"/>
      <c r="AN301" s="290"/>
      <c r="AO301" s="312" t="str">
        <f>_xlfn.IFNA(IF(VLOOKUP(tabItens[[#This Row],[CÓDIGO]],tabExcluirDoEstoque[#Data],1,FALSE),"sim",""),"")</f>
        <v/>
      </c>
      <c r="AP301" s="313" t="str">
        <f ca="1">IF(OR(ISBLANK(tabItens[[#This Row],[ATA DT.VALID.]]),tabItens[[#This Row],[ATA DT.VALID.]]="",tabItens[[#This Row],[ATA DT.VALID.]]=" "),"",IF(TYPE(tabItens[[#This Row],[ATA DT.VALID.]])=1,ROUNDUP((tabItens[[#This Row],[ATA DT.VALID.]]-TODAY())/7,0),""))</f>
        <v/>
      </c>
      <c r="AQ301" s="314">
        <v>0</v>
      </c>
      <c r="AR301" s="315" t="str">
        <f>IF(ISBLANK(tabItens[[#This Row],[CÓDIGO]]),"",IFERROR(VLOOKUP(tabItens[[#This Row],[CÓDIGO]],Consumo!$C$2:$AC$869,26,FALSE),0))</f>
        <v>07.2023</v>
      </c>
      <c r="AS301" s="316">
        <f>SUMIF(Consumo!$C$3:$C$869,tabItens[[#This Row],[CÓDIGO]],Consumo!$N$3:$N$869) + SUMIF(Consumo!$C$3:$C$869,tabItens[[#This Row],[CÓDIGO]],Consumo!$O$3:$O$869) + SUMIF(Consumo!$C$3:$C$869,tabItens[[#This Row],[CÓDIGO]],Consumo!$P$3:$P$869) + SUMIF(Consumo!$C$3:$C$869,tabItens[[#This Row],[CÓDIGO]],Consumo!$Q$3:$Q$869)</f>
        <v>134</v>
      </c>
      <c r="AT301" s="316">
        <f>SUMIF(Consumo!$C$3:$C$869,tabItens[[#This Row],[CÓDIGO]],Consumo!$Z$3:$Z$869)</f>
        <v>368</v>
      </c>
      <c r="AU301" s="317">
        <f>SUMIF(Consumo!$C$3:$C$869,tabItens[[#This Row],[CÓDIGO]],Consumo!$AA$3:$AA$869)</f>
        <v>76</v>
      </c>
      <c r="AV301" s="318">
        <f>SUMIF(Consumo!$C$3:$C$869,tabItens[[#This Row],[CÓDIGO]],Consumo!$Y$3:$Y$869)</f>
        <v>29.833333333333332</v>
      </c>
      <c r="AW301" s="291">
        <f>tabItens[[#This Row],[QTDE ATUAL]] + tabItens[[#This Row],[RC QTDE]] + tabItens[[#This Row],[AF SALDO]] + tabItens[[#This Row],[Recentes]]</f>
        <v>225</v>
      </c>
      <c r="AX301" s="319">
        <v>15</v>
      </c>
      <c r="AY301" s="319">
        <v>4</v>
      </c>
      <c r="AZ301" s="319">
        <f>IF(ISBLANK(tabItens[[#This Row],[CÓDIGO]]),"",tabItens[[#This Row],[PontoMês]] * (AZ$2+tabItens[[#This Row],[PontoQtM]]))</f>
        <v>60</v>
      </c>
      <c r="BA301" s="318">
        <f>tabItens[[#This Row],[PontoPed]] - tabItens[[#This Row],[Saldo]] + (1/10)</f>
        <v>-164.9</v>
      </c>
      <c r="BB301" s="318">
        <f xml:space="preserve"> tabItens[[#This Row],[PontoMês]] * BB$2 - tabItens[[#This Row],[QTDE ATUAL]] - (1/10)</f>
        <v>-10.1</v>
      </c>
      <c r="BC301" s="320">
        <f>IF( tabItens[[#This Row],[PontoPed]]&gt;0, IF(tabItens[[#This Row],[PontoPed]]&lt;1, 1, IF( tabItens[[#This Row],[Saldo]]&gt;tabItens[[#This Row],[PontoPed]], 0, (tabItens[[#This Row],[PontoPed]]-tabItens[[#This Row],[Saldo]])/tabItens[[#This Row],[PontoPed]] ) ), 0 )</f>
        <v>0</v>
      </c>
      <c r="BD301" s="321">
        <f>ROUNDDOWN(IF( OR( AND(tabItens[[#This Row],[PontoPed]]&lt;tabItens[[#This Row],[Saldo]],tabItens[[#This Row],[Saldo]]&gt;0), tabItens[[#This Row],[PontoPed]]=0), 99, IF(AND(tabItens[[#This Row],[Saldo]]=0,tabItens[[#This Row],[PontoPed]]&gt;0), 0, (1-tabItens[[#This Row],[PctAb]])*10 ) ),0)</f>
        <v>99</v>
      </c>
      <c r="BE301" s="322">
        <f>MAX(ROUNDDOWN( IF(tabItens[[#This Row],[Abaixo]] &gt; 0,   tabItens[[#This Row],[Abaixo]] + (tabItens[[#This Row],[PontoMês]] * IF( OR( ISBLANK(tabItens[[#This Row],[ATA Nº/ANO]]), tabItens[[#This Row],[ATA Nº/ANO]] = ""),BE$2,BE$1)),0),0),0)</f>
        <v>0</v>
      </c>
      <c r="BF30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23">
        <f>SUMIF(Consumo!$C$3:$C$869,tabItens[[#This Row],[CÓDIGO]],Consumo!$E$3:$E$869)</f>
        <v>0</v>
      </c>
      <c r="BH301" s="324">
        <f>IF(AND(tabItens[[#This Row],[Pend]] &gt; 0,tabItens[[#This Row],[Consumo]] &lt;&gt; 0), tabItens[[#This Row],[Pend]] / tabItens[[#This Row],[Consumo]], 0 )</f>
        <v>0</v>
      </c>
      <c r="BI301" s="323"/>
      <c r="BJ301" s="323"/>
      <c r="BK301" s="325" t="s">
        <v>2064</v>
      </c>
    </row>
    <row r="302" spans="1:63" hidden="1" x14ac:dyDescent="0.3">
      <c r="A302" s="286">
        <v>81493</v>
      </c>
      <c r="B302" s="287" t="s">
        <v>1466</v>
      </c>
      <c r="C302" s="288" t="s">
        <v>273</v>
      </c>
      <c r="D302" s="289">
        <v>14.8</v>
      </c>
      <c r="E302" s="290"/>
      <c r="F302" s="290"/>
      <c r="G302" s="290" t="s">
        <v>883</v>
      </c>
      <c r="H302" s="291">
        <v>2</v>
      </c>
      <c r="I302" s="292">
        <v>103003</v>
      </c>
      <c r="J302" s="293">
        <v>14.8</v>
      </c>
      <c r="K302" s="294">
        <v>96</v>
      </c>
      <c r="L302" s="295">
        <f>IF(tabItens[[#This Row],[Média]] &gt; 0, tabItens[[#This Row],[QTDE ATUAL]] / tabItens[[#This Row],[Média]],999.9)</f>
        <v>0.16666666666666666</v>
      </c>
      <c r="M302" s="296">
        <v>0</v>
      </c>
      <c r="N302" s="297">
        <f>tabItens[[#This Row],[VALOR UNIT.]] * tabItens[[#This Row],[LC]]</f>
        <v>0</v>
      </c>
      <c r="O302" s="298" t="s">
        <v>2143</v>
      </c>
      <c r="P302" s="299"/>
      <c r="Q302" s="300"/>
      <c r="R302" s="297"/>
      <c r="S302" s="301"/>
      <c r="T302" s="302">
        <f>ROUNDDOWN(IFERROR(tabItens[[#This Row],[ATA DT.VALID.]] - $D$1,0) / 30,0)</f>
        <v>-1504</v>
      </c>
      <c r="U302" s="287" t="s">
        <v>1467</v>
      </c>
      <c r="V302" s="303">
        <v>1</v>
      </c>
      <c r="W302" s="304" t="s">
        <v>2053</v>
      </c>
      <c r="X302" s="305">
        <v>76</v>
      </c>
      <c r="Y302" s="306">
        <v>6</v>
      </c>
      <c r="Z302" s="307">
        <v>2792</v>
      </c>
      <c r="AA302" s="308">
        <v>2023</v>
      </c>
      <c r="AB302" s="309">
        <v>50</v>
      </c>
      <c r="AC302" s="309"/>
      <c r="AD302" s="308"/>
      <c r="AE302" s="309"/>
      <c r="AF302" s="302"/>
      <c r="AG302" s="310" t="s">
        <v>2050</v>
      </c>
      <c r="AH302" s="311"/>
      <c r="AI302" s="302">
        <v>44</v>
      </c>
      <c r="AJ302" s="311">
        <v>44742</v>
      </c>
      <c r="AK302" s="311">
        <v>38225</v>
      </c>
      <c r="AL302" s="311">
        <v>44713</v>
      </c>
      <c r="AM302" s="301"/>
      <c r="AN302" s="290"/>
      <c r="AO302" s="312" t="str">
        <f>_xlfn.IFNA(IF(VLOOKUP(tabItens[[#This Row],[CÓDIGO]],tabExcluirDoEstoque[#Data],1,FALSE),"sim",""),"")</f>
        <v/>
      </c>
      <c r="AP302" s="313" t="str">
        <f ca="1">IF(OR(ISBLANK(tabItens[[#This Row],[ATA DT.VALID.]]),tabItens[[#This Row],[ATA DT.VALID.]]="",tabItens[[#This Row],[ATA DT.VALID.]]=" "),"",IF(TYPE(tabItens[[#This Row],[ATA DT.VALID.]])=1,ROUNDUP((tabItens[[#This Row],[ATA DT.VALID.]]-TODAY())/7,0),""))</f>
        <v/>
      </c>
      <c r="AQ302" s="314">
        <v>0</v>
      </c>
      <c r="AR302" s="315" t="str">
        <f>IF(ISBLANK(tabItens[[#This Row],[CÓDIGO]]),"",IFERROR(VLOOKUP(tabItens[[#This Row],[CÓDIGO]],Consumo!$C$2:$AC$869,26,FALSE),0))</f>
        <v>06.2023</v>
      </c>
      <c r="AS302" s="316">
        <f>SUMIF(Consumo!$C$3:$C$869,tabItens[[#This Row],[CÓDIGO]],Consumo!$N$3:$N$869) + SUMIF(Consumo!$C$3:$C$869,tabItens[[#This Row],[CÓDIGO]],Consumo!$O$3:$O$869) + SUMIF(Consumo!$C$3:$C$869,tabItens[[#This Row],[CÓDIGO]],Consumo!$P$3:$P$869) + SUMIF(Consumo!$C$3:$C$869,tabItens[[#This Row],[CÓDIGO]],Consumo!$Q$3:$Q$869)</f>
        <v>43</v>
      </c>
      <c r="AT302" s="316">
        <f>SUMIF(Consumo!$C$3:$C$869,tabItens[[#This Row],[CÓDIGO]],Consumo!$Z$3:$Z$869)</f>
        <v>144</v>
      </c>
      <c r="AU302" s="317">
        <f>SUMIF(Consumo!$C$3:$C$869,tabItens[[#This Row],[CÓDIGO]],Consumo!$AA$3:$AA$869)</f>
        <v>23</v>
      </c>
      <c r="AV302" s="318">
        <f>SUMIF(Consumo!$C$3:$C$869,tabItens[[#This Row],[CÓDIGO]],Consumo!$Y$3:$Y$869)</f>
        <v>12</v>
      </c>
      <c r="AW302" s="291">
        <f>tabItens[[#This Row],[QTDE ATUAL]] + tabItens[[#This Row],[RC QTDE]] + tabItens[[#This Row],[AF SALDO]] + tabItens[[#This Row],[Recentes]]</f>
        <v>52</v>
      </c>
      <c r="AX302" s="319">
        <v>17</v>
      </c>
      <c r="AY302" s="319">
        <v>3</v>
      </c>
      <c r="AZ302" s="319">
        <f>IF(ISBLANK(tabItens[[#This Row],[CÓDIGO]]),"",tabItens[[#This Row],[PontoMês]] * (AZ$2+tabItens[[#This Row],[PontoQtM]]))</f>
        <v>51</v>
      </c>
      <c r="BA302" s="318">
        <f>tabItens[[#This Row],[PontoPed]] - tabItens[[#This Row],[Saldo]] + (1/10)</f>
        <v>-0.9</v>
      </c>
      <c r="BB302" s="318">
        <f xml:space="preserve"> tabItens[[#This Row],[PontoMês]] * BB$2 - tabItens[[#This Row],[QTDE ATUAL]] - (1/10)</f>
        <v>14.9</v>
      </c>
      <c r="BC302" s="320">
        <f>IF( tabItens[[#This Row],[PontoPed]]&gt;0, IF(tabItens[[#This Row],[PontoPed]]&lt;1, 1, IF( tabItens[[#This Row],[Saldo]]&gt;tabItens[[#This Row],[PontoPed]], 0, (tabItens[[#This Row],[PontoPed]]-tabItens[[#This Row],[Saldo]])/tabItens[[#This Row],[PontoPed]] ) ), 0 )</f>
        <v>0</v>
      </c>
      <c r="BD302" s="321">
        <f>ROUNDDOWN(IF( OR( AND(tabItens[[#This Row],[PontoPed]]&lt;tabItens[[#This Row],[Saldo]],tabItens[[#This Row],[Saldo]]&gt;0), tabItens[[#This Row],[PontoPed]]=0), 99, IF(AND(tabItens[[#This Row],[Saldo]]=0,tabItens[[#This Row],[PontoPed]]&gt;0), 0, (1-tabItens[[#This Row],[PctAb]])*10 ) ),0)</f>
        <v>99</v>
      </c>
      <c r="BE302" s="322">
        <f>MAX(ROUNDDOWN( IF(tabItens[[#This Row],[Abaixo]] &gt; 0,   tabItens[[#This Row],[Abaixo]] + (tabItens[[#This Row],[PontoMês]] * IF( OR( ISBLANK(tabItens[[#This Row],[ATA Nº/ANO]]), tabItens[[#This Row],[ATA Nº/ANO]] = ""),BE$2,BE$1)),0),0),0)</f>
        <v>0</v>
      </c>
      <c r="BF3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23">
        <f>SUMIF(Consumo!$C$3:$C$869,tabItens[[#This Row],[CÓDIGO]],Consumo!$E$3:$E$869)</f>
        <v>15</v>
      </c>
      <c r="BH302" s="324">
        <f>IF(AND(tabItens[[#This Row],[Pend]] &gt; 0,tabItens[[#This Row],[Consumo]] &lt;&gt; 0), tabItens[[#This Row],[Pend]] / tabItens[[#This Row],[Consumo]], 0 )</f>
        <v>0.10416666666666667</v>
      </c>
      <c r="BI302" s="323"/>
      <c r="BJ302" s="323"/>
      <c r="BK302" s="325" t="s">
        <v>2064</v>
      </c>
    </row>
    <row r="303" spans="1:63" x14ac:dyDescent="0.3">
      <c r="A303" s="396">
        <v>20135</v>
      </c>
      <c r="B303" s="397" t="s">
        <v>1161</v>
      </c>
      <c r="C303" s="398" t="s">
        <v>256</v>
      </c>
      <c r="D303" s="399">
        <v>124</v>
      </c>
      <c r="E303" s="290"/>
      <c r="F303" s="400"/>
      <c r="G303" s="400" t="s">
        <v>883</v>
      </c>
      <c r="H303" s="401">
        <v>0</v>
      </c>
      <c r="I303" s="292">
        <v>103003</v>
      </c>
      <c r="J303" s="293">
        <v>124</v>
      </c>
      <c r="K303" s="402">
        <v>230</v>
      </c>
      <c r="L303" s="403">
        <f>IF(tabItens[[#This Row],[Média]] &gt; 0, tabItens[[#This Row],[QTDE ATUAL]] / tabItens[[#This Row],[Média]],999.9)</f>
        <v>0</v>
      </c>
      <c r="M303" s="404">
        <v>0</v>
      </c>
      <c r="N303" s="405">
        <f>tabItens[[#This Row],[VALOR UNIT.]] * tabItens[[#This Row],[LC]]</f>
        <v>0</v>
      </c>
      <c r="O303" s="406" t="s">
        <v>2111</v>
      </c>
      <c r="P303" s="407"/>
      <c r="Q303" s="408"/>
      <c r="R303" s="297"/>
      <c r="S303" s="409"/>
      <c r="T303" s="410">
        <f>ROUNDDOWN(IFERROR(tabItens[[#This Row],[ATA DT.VALID.]] - $D$1,0) / 30,0)</f>
        <v>-1504</v>
      </c>
      <c r="U303" s="287" t="s">
        <v>1162</v>
      </c>
      <c r="V303" s="303">
        <v>1</v>
      </c>
      <c r="W303" s="411" t="s">
        <v>2056</v>
      </c>
      <c r="X303" s="412">
        <v>69</v>
      </c>
      <c r="Y303" s="413">
        <v>1</v>
      </c>
      <c r="Z303" s="414"/>
      <c r="AA303" s="415"/>
      <c r="AB303" s="416"/>
      <c r="AC303" s="416">
        <v>8862</v>
      </c>
      <c r="AD303" s="415">
        <v>2023</v>
      </c>
      <c r="AE303" s="416">
        <v>300</v>
      </c>
      <c r="AF303" s="302">
        <v>300</v>
      </c>
      <c r="AG303" s="417" t="s">
        <v>2039</v>
      </c>
      <c r="AH303" s="418">
        <v>45159</v>
      </c>
      <c r="AI303" s="302">
        <v>84</v>
      </c>
      <c r="AJ303" s="418">
        <v>44420</v>
      </c>
      <c r="AK303" s="311" t="s">
        <v>883</v>
      </c>
      <c r="AL303" s="311">
        <v>45128</v>
      </c>
      <c r="AM303" s="301"/>
      <c r="AN303" s="290"/>
      <c r="AO303" s="312" t="str">
        <f>_xlfn.IFNA(IF(VLOOKUP(tabItens[[#This Row],[CÓDIGO]],tabExcluirDoEstoque[#Data],1,FALSE),"sim",""),"")</f>
        <v/>
      </c>
      <c r="AP303" s="419" t="str">
        <f ca="1">IF(OR(ISBLANK(tabItens[[#This Row],[ATA DT.VALID.]]),tabItens[[#This Row],[ATA DT.VALID.]]="",tabItens[[#This Row],[ATA DT.VALID.]]=" "),"",IF(TYPE(tabItens[[#This Row],[ATA DT.VALID.]])=1,ROUNDUP((tabItens[[#This Row],[ATA DT.VALID.]]-TODAY())/7,0),""))</f>
        <v/>
      </c>
      <c r="AQ303" s="314">
        <v>0</v>
      </c>
      <c r="AR303" s="315" t="str">
        <f>IF(ISBLANK(tabItens[[#This Row],[CÓDIGO]]),"",IFERROR(VLOOKUP(tabItens[[#This Row],[CÓDIGO]],Consumo!$C$2:$AC$869,26,FALSE),0))</f>
        <v>03.2023</v>
      </c>
      <c r="AS303" s="316">
        <f>SUMIF(Consumo!$C$3:$C$869,tabItens[[#This Row],[CÓDIGO]],Consumo!$N$3:$N$869) + SUMIF(Consumo!$C$3:$C$869,tabItens[[#This Row],[CÓDIGO]],Consumo!$O$3:$O$869) + SUMIF(Consumo!$C$3:$C$869,tabItens[[#This Row],[CÓDIGO]],Consumo!$P$3:$P$869) + SUMIF(Consumo!$C$3:$C$869,tabItens[[#This Row],[CÓDIGO]],Consumo!$Q$3:$Q$869)</f>
        <v>0</v>
      </c>
      <c r="AT303" s="316">
        <f>SUMIF(Consumo!$C$3:$C$869,tabItens[[#This Row],[CÓDIGO]],Consumo!$Z$3:$Z$869)</f>
        <v>256</v>
      </c>
      <c r="AU303" s="317">
        <f>SUMIF(Consumo!$C$3:$C$869,tabItens[[#This Row],[CÓDIGO]],Consumo!$AA$3:$AA$869)</f>
        <v>51</v>
      </c>
      <c r="AV303" s="318">
        <f>SUMIF(Consumo!$C$3:$C$869,tabItens[[#This Row],[CÓDIGO]],Consumo!$Y$3:$Y$869)</f>
        <v>21.333333333333332</v>
      </c>
      <c r="AW303" s="401">
        <f>tabItens[[#This Row],[QTDE ATUAL]] + tabItens[[#This Row],[RC QTDE]] + tabItens[[#This Row],[AF SALDO]] + tabItens[[#This Row],[Recentes]]</f>
        <v>300</v>
      </c>
      <c r="AX303" s="420">
        <v>50</v>
      </c>
      <c r="AY303" s="420">
        <v>4</v>
      </c>
      <c r="AZ303" s="420">
        <f>IF(ISBLANK(tabItens[[#This Row],[CÓDIGO]]),"",tabItens[[#This Row],[PontoMês]] * (AZ$2+tabItens[[#This Row],[PontoQtM]]))</f>
        <v>200</v>
      </c>
      <c r="BA303" s="421">
        <f>tabItens[[#This Row],[PontoPed]] - tabItens[[#This Row],[Saldo]] + (1/10)</f>
        <v>-99.9</v>
      </c>
      <c r="BB303" s="421">
        <f xml:space="preserve"> tabItens[[#This Row],[PontoMês]] * BB$2 - tabItens[[#This Row],[QTDE ATUAL]] - (1/10)</f>
        <v>49.9</v>
      </c>
      <c r="BC303" s="320">
        <f>IF( tabItens[[#This Row],[PontoPed]]&gt;0, IF(tabItens[[#This Row],[PontoPed]]&lt;1, 1, IF( tabItens[[#This Row],[Saldo]]&gt;tabItens[[#This Row],[PontoPed]], 0, (tabItens[[#This Row],[PontoPed]]-tabItens[[#This Row],[Saldo]])/tabItens[[#This Row],[PontoPed]] ) ), 0 )</f>
        <v>0</v>
      </c>
      <c r="BD303" s="422">
        <f>ROUNDDOWN(IF( OR( AND(tabItens[[#This Row],[PontoPed]]&lt;tabItens[[#This Row],[Saldo]],tabItens[[#This Row],[Saldo]]&gt;0), tabItens[[#This Row],[PontoPed]]=0), 99, IF(AND(tabItens[[#This Row],[Saldo]]=0,tabItens[[#This Row],[PontoPed]]&gt;0), 0, (1-tabItens[[#This Row],[PctAb]])*10 ) ),0)</f>
        <v>99</v>
      </c>
      <c r="BE303" s="423">
        <f>MAX(ROUNDDOWN( IF(tabItens[[#This Row],[Abaixo]] &gt; 0,   tabItens[[#This Row],[Abaixo]] + (tabItens[[#This Row],[PontoMês]] * IF( OR( ISBLANK(tabItens[[#This Row],[ATA Nº/ANO]]), tabItens[[#This Row],[ATA Nº/ANO]] = ""),BE$2,BE$1)),0),0),0)</f>
        <v>0</v>
      </c>
      <c r="BF30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23">
        <f>SUMIF(Consumo!$C$3:$C$869,tabItens[[#This Row],[CÓDIGO]],Consumo!$E$3:$E$869)</f>
        <v>5</v>
      </c>
      <c r="BH303" s="324">
        <f>IF(AND(tabItens[[#This Row],[Pend]] &gt; 0,tabItens[[#This Row],[Consumo]] &lt;&gt; 0), tabItens[[#This Row],[Pend]] / tabItens[[#This Row],[Consumo]], 0 )</f>
        <v>1.953125E-2</v>
      </c>
      <c r="BI303" s="323"/>
      <c r="BJ303" s="424"/>
      <c r="BK303" s="425" t="s">
        <v>2064</v>
      </c>
    </row>
    <row r="304" spans="1:63" hidden="1" x14ac:dyDescent="0.3">
      <c r="A304" s="286">
        <v>64253</v>
      </c>
      <c r="B304" s="287" t="s">
        <v>1365</v>
      </c>
      <c r="C304" s="288" t="s">
        <v>294</v>
      </c>
      <c r="D304" s="289">
        <v>56.66</v>
      </c>
      <c r="E304" s="290"/>
      <c r="F304" s="290"/>
      <c r="G304" s="290" t="s">
        <v>883</v>
      </c>
      <c r="H304" s="291">
        <v>2118</v>
      </c>
      <c r="I304" s="292">
        <v>103003</v>
      </c>
      <c r="J304" s="293">
        <v>56.66</v>
      </c>
      <c r="K304" s="294">
        <v>1148</v>
      </c>
      <c r="L304" s="295">
        <f>IF(tabItens[[#This Row],[Média]] &gt; 0, tabItens[[#This Row],[QTDE ATUAL]] / tabItens[[#This Row],[Média]],999.9)</f>
        <v>22.652406417112299</v>
      </c>
      <c r="M304" s="296">
        <v>0</v>
      </c>
      <c r="N304" s="297">
        <f>tabItens[[#This Row],[VALOR UNIT.]] * tabItens[[#This Row],[LC]]</f>
        <v>0</v>
      </c>
      <c r="O304" s="298" t="s">
        <v>2111</v>
      </c>
      <c r="P304" s="299"/>
      <c r="Q304" s="300"/>
      <c r="R304" s="297"/>
      <c r="S304" s="301"/>
      <c r="T304" s="302">
        <f>ROUNDDOWN(IFERROR(tabItens[[#This Row],[ATA DT.VALID.]] - $D$1,0) / 30,0)</f>
        <v>-1504</v>
      </c>
      <c r="U304" s="287" t="s">
        <v>1366</v>
      </c>
      <c r="V304" s="303">
        <v>1</v>
      </c>
      <c r="W304" s="304" t="s">
        <v>2056</v>
      </c>
      <c r="X304" s="305">
        <v>69</v>
      </c>
      <c r="Y304" s="306">
        <v>17</v>
      </c>
      <c r="Z304" s="307"/>
      <c r="AA304" s="308"/>
      <c r="AB304" s="309"/>
      <c r="AC304" s="309"/>
      <c r="AD304" s="308"/>
      <c r="AE304" s="309"/>
      <c r="AF304" s="302"/>
      <c r="AG304" s="310" t="s">
        <v>2050</v>
      </c>
      <c r="AH304" s="311"/>
      <c r="AI304" s="302">
        <v>388</v>
      </c>
      <c r="AJ304" s="311">
        <v>44895</v>
      </c>
      <c r="AK304" s="311" t="s">
        <v>883</v>
      </c>
      <c r="AL304" s="311">
        <v>44881</v>
      </c>
      <c r="AM304" s="301"/>
      <c r="AN304" s="290"/>
      <c r="AO304" s="312" t="str">
        <f>_xlfn.IFNA(IF(VLOOKUP(tabItens[[#This Row],[CÓDIGO]],tabExcluirDoEstoque[#Data],1,FALSE),"sim",""),"")</f>
        <v/>
      </c>
      <c r="AP304" s="313" t="str">
        <f ca="1">IF(OR(ISBLANK(tabItens[[#This Row],[ATA DT.VALID.]]),tabItens[[#This Row],[ATA DT.VALID.]]="",tabItens[[#This Row],[ATA DT.VALID.]]=" "),"",IF(TYPE(tabItens[[#This Row],[ATA DT.VALID.]])=1,ROUNDUP((tabItens[[#This Row],[ATA DT.VALID.]]-TODAY())/7,0),""))</f>
        <v/>
      </c>
      <c r="AQ304" s="314">
        <v>0</v>
      </c>
      <c r="AR304" s="315" t="str">
        <f>IF(ISBLANK(tabItens[[#This Row],[CÓDIGO]]),"",IFERROR(VLOOKUP(tabItens[[#This Row],[CÓDIGO]],Consumo!$C$2:$AC$869,26,FALSE),0))</f>
        <v>06.2023</v>
      </c>
      <c r="AS304" s="316">
        <f>SUMIF(Consumo!$C$3:$C$869,tabItens[[#This Row],[CÓDIGO]],Consumo!$N$3:$N$869) + SUMIF(Consumo!$C$3:$C$869,tabItens[[#This Row],[CÓDIGO]],Consumo!$O$3:$O$869) + SUMIF(Consumo!$C$3:$C$869,tabItens[[#This Row],[CÓDIGO]],Consumo!$P$3:$P$869) + SUMIF(Consumo!$C$3:$C$869,tabItens[[#This Row],[CÓDIGO]],Consumo!$Q$3:$Q$869)</f>
        <v>522</v>
      </c>
      <c r="AT304" s="316">
        <f>SUMIF(Consumo!$C$3:$C$869,tabItens[[#This Row],[CÓDIGO]],Consumo!$Z$3:$Z$869)</f>
        <v>1148</v>
      </c>
      <c r="AU304" s="317">
        <f>SUMIF(Consumo!$C$3:$C$869,tabItens[[#This Row],[CÓDIGO]],Consumo!$AA$3:$AA$869)</f>
        <v>352</v>
      </c>
      <c r="AV304" s="318">
        <f>SUMIF(Consumo!$C$3:$C$869,tabItens[[#This Row],[CÓDIGO]],Consumo!$Y$3:$Y$869)</f>
        <v>93.5</v>
      </c>
      <c r="AW304" s="291">
        <f>tabItens[[#This Row],[QTDE ATUAL]] + tabItens[[#This Row],[RC QTDE]] + tabItens[[#This Row],[AF SALDO]] + tabItens[[#This Row],[Recentes]]</f>
        <v>2118</v>
      </c>
      <c r="AX304" s="319">
        <v>167</v>
      </c>
      <c r="AY304" s="319">
        <v>4</v>
      </c>
      <c r="AZ304" s="319">
        <f>IF(ISBLANK(tabItens[[#This Row],[CÓDIGO]]),"",tabItens[[#This Row],[PontoMês]] * (AZ$2+tabItens[[#This Row],[PontoQtM]]))</f>
        <v>668</v>
      </c>
      <c r="BA304" s="318">
        <f>tabItens[[#This Row],[PontoPed]] - tabItens[[#This Row],[Saldo]] + (1/10)</f>
        <v>-1449.9</v>
      </c>
      <c r="BB304" s="318">
        <f xml:space="preserve"> tabItens[[#This Row],[PontoMês]] * BB$2 - tabItens[[#This Row],[QTDE ATUAL]] - (1/10)</f>
        <v>-1951.1</v>
      </c>
      <c r="BC304" s="320">
        <f>IF( tabItens[[#This Row],[PontoPed]]&gt;0, IF(tabItens[[#This Row],[PontoPed]]&lt;1, 1, IF( tabItens[[#This Row],[Saldo]]&gt;tabItens[[#This Row],[PontoPed]], 0, (tabItens[[#This Row],[PontoPed]]-tabItens[[#This Row],[Saldo]])/tabItens[[#This Row],[PontoPed]] ) ), 0 )</f>
        <v>0</v>
      </c>
      <c r="BD304" s="321">
        <f>ROUNDDOWN(IF( OR( AND(tabItens[[#This Row],[PontoPed]]&lt;tabItens[[#This Row],[Saldo]],tabItens[[#This Row],[Saldo]]&gt;0), tabItens[[#This Row],[PontoPed]]=0), 99, IF(AND(tabItens[[#This Row],[Saldo]]=0,tabItens[[#This Row],[PontoPed]]&gt;0), 0, (1-tabItens[[#This Row],[PctAb]])*10 ) ),0)</f>
        <v>99</v>
      </c>
      <c r="BE304" s="322">
        <f>MAX(ROUNDDOWN( IF(tabItens[[#This Row],[Abaixo]] &gt; 0,   tabItens[[#This Row],[Abaixo]] + (tabItens[[#This Row],[PontoMês]] * IF( OR( ISBLANK(tabItens[[#This Row],[ATA Nº/ANO]]), tabItens[[#This Row],[ATA Nº/ANO]] = ""),BE$2,BE$1)),0),0),0)</f>
        <v>0</v>
      </c>
      <c r="BF30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23">
        <f>SUMIF(Consumo!$C$3:$C$869,tabItens[[#This Row],[CÓDIGO]],Consumo!$E$3:$E$869)</f>
        <v>0</v>
      </c>
      <c r="BH304" s="324">
        <f>IF(AND(tabItens[[#This Row],[Pend]] &gt; 0,tabItens[[#This Row],[Consumo]] &lt;&gt; 0), tabItens[[#This Row],[Pend]] / tabItens[[#This Row],[Consumo]], 0 )</f>
        <v>0</v>
      </c>
      <c r="BI304" s="323"/>
      <c r="BJ304" s="323"/>
      <c r="BK304" s="325" t="s">
        <v>2064</v>
      </c>
    </row>
    <row r="305" spans="1:63" x14ac:dyDescent="0.3">
      <c r="A305" s="396">
        <v>64610</v>
      </c>
      <c r="B305" s="397" t="s">
        <v>1374</v>
      </c>
      <c r="C305" s="398" t="s">
        <v>256</v>
      </c>
      <c r="D305" s="399">
        <v>96.6</v>
      </c>
      <c r="E305" s="290"/>
      <c r="F305" s="400"/>
      <c r="G305" s="400" t="s">
        <v>883</v>
      </c>
      <c r="H305" s="401">
        <v>0</v>
      </c>
      <c r="I305" s="292">
        <v>103003</v>
      </c>
      <c r="J305" s="293">
        <v>96.6</v>
      </c>
      <c r="K305" s="402">
        <v>466</v>
      </c>
      <c r="L305" s="403">
        <f>IF(tabItens[[#This Row],[Média]] &gt; 0, tabItens[[#This Row],[QTDE ATUAL]] / tabItens[[#This Row],[Média]],999.9)</f>
        <v>0</v>
      </c>
      <c r="M305" s="404">
        <v>0</v>
      </c>
      <c r="N305" s="405">
        <f>tabItens[[#This Row],[VALOR UNIT.]] * tabItens[[#This Row],[LC]]</f>
        <v>0</v>
      </c>
      <c r="O305" s="406" t="s">
        <v>2132</v>
      </c>
      <c r="P305" s="407"/>
      <c r="Q305" s="408"/>
      <c r="R305" s="297"/>
      <c r="S305" s="409"/>
      <c r="T305" s="410">
        <f>ROUNDDOWN(IFERROR(tabItens[[#This Row],[ATA DT.VALID.]] - $D$1,0) / 30,0)</f>
        <v>-1504</v>
      </c>
      <c r="U305" s="287" t="s">
        <v>1162</v>
      </c>
      <c r="V305" s="303">
        <v>1</v>
      </c>
      <c r="W305" s="411" t="s">
        <v>2056</v>
      </c>
      <c r="X305" s="412">
        <v>69</v>
      </c>
      <c r="Y305" s="413">
        <v>1</v>
      </c>
      <c r="Z305" s="414"/>
      <c r="AA305" s="415"/>
      <c r="AB305" s="416"/>
      <c r="AC305" s="416">
        <v>8864</v>
      </c>
      <c r="AD305" s="415">
        <v>2023</v>
      </c>
      <c r="AE305" s="416">
        <v>1000</v>
      </c>
      <c r="AF305" s="302">
        <v>1000</v>
      </c>
      <c r="AG305" s="417" t="s">
        <v>2039</v>
      </c>
      <c r="AH305" s="418">
        <v>45159</v>
      </c>
      <c r="AI305" s="302">
        <v>156</v>
      </c>
      <c r="AJ305" s="418">
        <v>44504</v>
      </c>
      <c r="AK305" s="311" t="s">
        <v>883</v>
      </c>
      <c r="AL305" s="311">
        <v>45128</v>
      </c>
      <c r="AM305" s="301"/>
      <c r="AN305" s="290"/>
      <c r="AO305" s="312" t="str">
        <f>_xlfn.IFNA(IF(VLOOKUP(tabItens[[#This Row],[CÓDIGO]],tabExcluirDoEstoque[#Data],1,FALSE),"sim",""),"")</f>
        <v/>
      </c>
      <c r="AP305" s="419" t="str">
        <f ca="1">IF(OR(ISBLANK(tabItens[[#This Row],[ATA DT.VALID.]]),tabItens[[#This Row],[ATA DT.VALID.]]="",tabItens[[#This Row],[ATA DT.VALID.]]=" "),"",IF(TYPE(tabItens[[#This Row],[ATA DT.VALID.]])=1,ROUNDUP((tabItens[[#This Row],[ATA DT.VALID.]]-TODAY())/7,0),""))</f>
        <v/>
      </c>
      <c r="AQ305" s="314">
        <v>0</v>
      </c>
      <c r="AR305" s="315" t="str">
        <f>IF(ISBLANK(tabItens[[#This Row],[CÓDIGO]]),"",IFERROR(VLOOKUP(tabItens[[#This Row],[CÓDIGO]],Consumo!$C$2:$AC$869,26,FALSE),0))</f>
        <v>12.2022</v>
      </c>
      <c r="AS305" s="316">
        <f>SUMIF(Consumo!$C$3:$C$869,tabItens[[#This Row],[CÓDIGO]],Consumo!$N$3:$N$869) + SUMIF(Consumo!$C$3:$C$869,tabItens[[#This Row],[CÓDIGO]],Consumo!$O$3:$O$869) + SUMIF(Consumo!$C$3:$C$869,tabItens[[#This Row],[CÓDIGO]],Consumo!$P$3:$P$869) + SUMIF(Consumo!$C$3:$C$869,tabItens[[#This Row],[CÓDIGO]],Consumo!$Q$3:$Q$869)</f>
        <v>0</v>
      </c>
      <c r="AT305" s="316">
        <f>SUMIF(Consumo!$C$3:$C$869,tabItens[[#This Row],[CÓDIGO]],Consumo!$Z$3:$Z$869)</f>
        <v>478</v>
      </c>
      <c r="AU305" s="317">
        <f>SUMIF(Consumo!$C$3:$C$869,tabItens[[#This Row],[CÓDIGO]],Consumo!$AA$3:$AA$869)</f>
        <v>265</v>
      </c>
      <c r="AV305" s="318">
        <f>SUMIF(Consumo!$C$3:$C$869,tabItens[[#This Row],[CÓDIGO]],Consumo!$Y$3:$Y$869)</f>
        <v>33.25</v>
      </c>
      <c r="AW305" s="401">
        <f>tabItens[[#This Row],[QTDE ATUAL]] + tabItens[[#This Row],[RC QTDE]] + tabItens[[#This Row],[AF SALDO]] + tabItens[[#This Row],[Recentes]]</f>
        <v>1000</v>
      </c>
      <c r="AX305" s="420">
        <v>84</v>
      </c>
      <c r="AY305" s="420">
        <v>4</v>
      </c>
      <c r="AZ305" s="420">
        <f>IF(ISBLANK(tabItens[[#This Row],[CÓDIGO]]),"",tabItens[[#This Row],[PontoMês]] * (AZ$2+tabItens[[#This Row],[PontoQtM]]))</f>
        <v>336</v>
      </c>
      <c r="BA305" s="421">
        <f>tabItens[[#This Row],[PontoPed]] - tabItens[[#This Row],[Saldo]] + (1/10)</f>
        <v>-663.9</v>
      </c>
      <c r="BB305" s="421">
        <f xml:space="preserve"> tabItens[[#This Row],[PontoMês]] * BB$2 - tabItens[[#This Row],[QTDE ATUAL]] - (1/10)</f>
        <v>83.9</v>
      </c>
      <c r="BC305" s="320">
        <f>IF( tabItens[[#This Row],[PontoPed]]&gt;0, IF(tabItens[[#This Row],[PontoPed]]&lt;1, 1, IF( tabItens[[#This Row],[Saldo]]&gt;tabItens[[#This Row],[PontoPed]], 0, (tabItens[[#This Row],[PontoPed]]-tabItens[[#This Row],[Saldo]])/tabItens[[#This Row],[PontoPed]] ) ), 0 )</f>
        <v>0</v>
      </c>
      <c r="BD305" s="422">
        <f>ROUNDDOWN(IF( OR( AND(tabItens[[#This Row],[PontoPed]]&lt;tabItens[[#This Row],[Saldo]],tabItens[[#This Row],[Saldo]]&gt;0), tabItens[[#This Row],[PontoPed]]=0), 99, IF(AND(tabItens[[#This Row],[Saldo]]=0,tabItens[[#This Row],[PontoPed]]&gt;0), 0, (1-tabItens[[#This Row],[PctAb]])*10 ) ),0)</f>
        <v>99</v>
      </c>
      <c r="BE305" s="423">
        <f>MAX(ROUNDDOWN( IF(tabItens[[#This Row],[Abaixo]] &gt; 0,   tabItens[[#This Row],[Abaixo]] + (tabItens[[#This Row],[PontoMês]] * IF( OR( ISBLANK(tabItens[[#This Row],[ATA Nº/ANO]]), tabItens[[#This Row],[ATA Nº/ANO]] = ""),BE$2,BE$1)),0),0),0)</f>
        <v>0</v>
      </c>
      <c r="BF305"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23">
        <f>SUMIF(Consumo!$C$3:$C$869,tabItens[[#This Row],[CÓDIGO]],Consumo!$E$3:$E$869)</f>
        <v>12</v>
      </c>
      <c r="BH305" s="324">
        <f>IF(AND(tabItens[[#This Row],[Pend]] &gt; 0,tabItens[[#This Row],[Consumo]] &lt;&gt; 0), tabItens[[#This Row],[Pend]] / tabItens[[#This Row],[Consumo]], 0 )</f>
        <v>2.5104602510460251E-2</v>
      </c>
      <c r="BI305" s="323"/>
      <c r="BJ305" s="424"/>
      <c r="BK305" s="425" t="s">
        <v>2064</v>
      </c>
    </row>
    <row r="306" spans="1:63" hidden="1" x14ac:dyDescent="0.3">
      <c r="A306" s="286">
        <v>116751</v>
      </c>
      <c r="B306" s="287" t="s">
        <v>1714</v>
      </c>
      <c r="C306" s="288" t="s">
        <v>294</v>
      </c>
      <c r="D306" s="289">
        <v>35.47</v>
      </c>
      <c r="E306" s="290"/>
      <c r="F306" s="290"/>
      <c r="G306" s="290" t="s">
        <v>883</v>
      </c>
      <c r="H306" s="291">
        <v>906</v>
      </c>
      <c r="I306" s="292">
        <v>103003</v>
      </c>
      <c r="J306" s="293">
        <v>35.47</v>
      </c>
      <c r="K306" s="294">
        <v>19</v>
      </c>
      <c r="L306" s="295">
        <f>IF(tabItens[[#This Row],[Média]] &gt; 0, tabItens[[#This Row],[QTDE ATUAL]] / tabItens[[#This Row],[Média]],999.9)</f>
        <v>906</v>
      </c>
      <c r="M306" s="296">
        <v>0</v>
      </c>
      <c r="N306" s="297">
        <f>tabItens[[#This Row],[VALOR UNIT.]] * tabItens[[#This Row],[LC]]</f>
        <v>0</v>
      </c>
      <c r="O306" s="298" t="s">
        <v>2132</v>
      </c>
      <c r="P306" s="299"/>
      <c r="Q306" s="300"/>
      <c r="R306" s="297"/>
      <c r="S306" s="301"/>
      <c r="T306" s="302">
        <f>ROUNDDOWN(IFERROR(tabItens[[#This Row],[ATA DT.VALID.]] - $D$1,0) / 30,0)</f>
        <v>-1504</v>
      </c>
      <c r="U306" s="287" t="s">
        <v>1332</v>
      </c>
      <c r="V306" s="303">
        <v>1</v>
      </c>
      <c r="W306" s="304" t="s">
        <v>2056</v>
      </c>
      <c r="X306" s="305">
        <v>69</v>
      </c>
      <c r="Y306" s="306">
        <v>2</v>
      </c>
      <c r="Z306" s="307"/>
      <c r="AA306" s="308"/>
      <c r="AB306" s="309"/>
      <c r="AC306" s="309"/>
      <c r="AD306" s="308"/>
      <c r="AE306" s="309"/>
      <c r="AF306" s="302"/>
      <c r="AG306" s="310" t="s">
        <v>2050</v>
      </c>
      <c r="AH306" s="311"/>
      <c r="AI306" s="302">
        <v>6</v>
      </c>
      <c r="AJ306" s="311">
        <v>43622</v>
      </c>
      <c r="AK306" s="311">
        <v>40395</v>
      </c>
      <c r="AL306" s="311">
        <v>43614</v>
      </c>
      <c r="AM306" s="301"/>
      <c r="AN306" s="290"/>
      <c r="AO306" s="312" t="str">
        <f>_xlfn.IFNA(IF(VLOOKUP(tabItens[[#This Row],[CÓDIGO]],tabExcluirDoEstoque[#Data],1,FALSE),"sim",""),"")</f>
        <v/>
      </c>
      <c r="AP306" s="313" t="str">
        <f ca="1">IF(OR(ISBLANK(tabItens[[#This Row],[ATA DT.VALID.]]),tabItens[[#This Row],[ATA DT.VALID.]]="",tabItens[[#This Row],[ATA DT.VALID.]]=" "),"",IF(TYPE(tabItens[[#This Row],[ATA DT.VALID.]])=1,ROUNDUP((tabItens[[#This Row],[ATA DT.VALID.]]-TODAY())/7,0),""))</f>
        <v/>
      </c>
      <c r="AQ306" s="314">
        <v>0</v>
      </c>
      <c r="AR306" s="315" t="str">
        <f>IF(ISBLANK(tabItens[[#This Row],[CÓDIGO]]),"",IFERROR(VLOOKUP(tabItens[[#This Row],[CÓDIGO]],Consumo!$C$2:$AC$869,26,FALSE),0))</f>
        <v>12.2022</v>
      </c>
      <c r="AS306" s="316">
        <f>SUMIF(Consumo!$C$3:$C$869,tabItens[[#This Row],[CÓDIGO]],Consumo!$N$3:$N$869) + SUMIF(Consumo!$C$3:$C$869,tabItens[[#This Row],[CÓDIGO]],Consumo!$O$3:$O$869) + SUMIF(Consumo!$C$3:$C$869,tabItens[[#This Row],[CÓDIGO]],Consumo!$P$3:$P$869) + SUMIF(Consumo!$C$3:$C$869,tabItens[[#This Row],[CÓDIGO]],Consumo!$Q$3:$Q$869)</f>
        <v>0</v>
      </c>
      <c r="AT306" s="316">
        <f>SUMIF(Consumo!$C$3:$C$869,tabItens[[#This Row],[CÓDIGO]],Consumo!$Z$3:$Z$869)</f>
        <v>19</v>
      </c>
      <c r="AU306" s="317">
        <f>SUMIF(Consumo!$C$3:$C$869,tabItens[[#This Row],[CÓDIGO]],Consumo!$AA$3:$AA$869)</f>
        <v>19</v>
      </c>
      <c r="AV306" s="318">
        <f>SUMIF(Consumo!$C$3:$C$869,tabItens[[#This Row],[CÓDIGO]],Consumo!$Y$3:$Y$869)</f>
        <v>1</v>
      </c>
      <c r="AW306" s="291">
        <f>tabItens[[#This Row],[QTDE ATUAL]] + tabItens[[#This Row],[RC QTDE]] + tabItens[[#This Row],[AF SALDO]] + tabItens[[#This Row],[Recentes]]</f>
        <v>906</v>
      </c>
      <c r="AX306" s="319">
        <v>9</v>
      </c>
      <c r="AY306" s="319">
        <v>4</v>
      </c>
      <c r="AZ306" s="319">
        <f>IF(ISBLANK(tabItens[[#This Row],[CÓDIGO]]),"",tabItens[[#This Row],[PontoMês]] * (AZ$2+tabItens[[#This Row],[PontoQtM]]))</f>
        <v>36</v>
      </c>
      <c r="BA306" s="318">
        <f>tabItens[[#This Row],[PontoPed]] - tabItens[[#This Row],[Saldo]] + (1/10)</f>
        <v>-869.9</v>
      </c>
      <c r="BB306" s="318">
        <f xml:space="preserve"> tabItens[[#This Row],[PontoMês]] * BB$2 - tabItens[[#This Row],[QTDE ATUAL]] - (1/10)</f>
        <v>-897.1</v>
      </c>
      <c r="BC306" s="320">
        <f>IF( tabItens[[#This Row],[PontoPed]]&gt;0, IF(tabItens[[#This Row],[PontoPed]]&lt;1, 1, IF( tabItens[[#This Row],[Saldo]]&gt;tabItens[[#This Row],[PontoPed]], 0, (tabItens[[#This Row],[PontoPed]]-tabItens[[#This Row],[Saldo]])/tabItens[[#This Row],[PontoPed]] ) ), 0 )</f>
        <v>0</v>
      </c>
      <c r="BD306" s="321">
        <f>ROUNDDOWN(IF( OR( AND(tabItens[[#This Row],[PontoPed]]&lt;tabItens[[#This Row],[Saldo]],tabItens[[#This Row],[Saldo]]&gt;0), tabItens[[#This Row],[PontoPed]]=0), 99, IF(AND(tabItens[[#This Row],[Saldo]]=0,tabItens[[#This Row],[PontoPed]]&gt;0), 0, (1-tabItens[[#This Row],[PctAb]])*10 ) ),0)</f>
        <v>99</v>
      </c>
      <c r="BE306" s="322">
        <f>MAX(ROUNDDOWN( IF(tabItens[[#This Row],[Abaixo]] &gt; 0,   tabItens[[#This Row],[Abaixo]] + (tabItens[[#This Row],[PontoMês]] * IF( OR( ISBLANK(tabItens[[#This Row],[ATA Nº/ANO]]), tabItens[[#This Row],[ATA Nº/ANO]] = ""),BE$2,BE$1)),0),0),0)</f>
        <v>0</v>
      </c>
      <c r="BF3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23">
        <f>SUMIF(Consumo!$C$3:$C$869,tabItens[[#This Row],[CÓDIGO]],Consumo!$E$3:$E$869)</f>
        <v>0</v>
      </c>
      <c r="BH306" s="324">
        <f>IF(AND(tabItens[[#This Row],[Pend]] &gt; 0,tabItens[[#This Row],[Consumo]] &lt;&gt; 0), tabItens[[#This Row],[Pend]] / tabItens[[#This Row],[Consumo]], 0 )</f>
        <v>0</v>
      </c>
      <c r="BI306" s="323"/>
      <c r="BJ306" s="323"/>
      <c r="BK306" s="325" t="s">
        <v>2064</v>
      </c>
    </row>
    <row r="307" spans="1:63" hidden="1" x14ac:dyDescent="0.3">
      <c r="A307" s="286">
        <v>116754</v>
      </c>
      <c r="B307" s="287" t="s">
        <v>1715</v>
      </c>
      <c r="C307" s="288" t="s">
        <v>294</v>
      </c>
      <c r="D307" s="289">
        <v>98.43</v>
      </c>
      <c r="E307" s="290"/>
      <c r="F307" s="290"/>
      <c r="G307" s="290" t="s">
        <v>883</v>
      </c>
      <c r="H307" s="291">
        <v>365</v>
      </c>
      <c r="I307" s="292">
        <v>103003</v>
      </c>
      <c r="J307" s="293">
        <v>98.43</v>
      </c>
      <c r="K307" s="294">
        <v>81</v>
      </c>
      <c r="L307" s="295">
        <f>IF(tabItens[[#This Row],[Média]] &gt; 0, tabItens[[#This Row],[QTDE ATUAL]] / tabItens[[#This Row],[Média]],999.9)</f>
        <v>82.641509433962256</v>
      </c>
      <c r="M307" s="296">
        <v>0</v>
      </c>
      <c r="N307" s="297">
        <f>tabItens[[#This Row],[VALOR UNIT.]] * tabItens[[#This Row],[LC]]</f>
        <v>0</v>
      </c>
      <c r="O307" s="298" t="s">
        <v>2132</v>
      </c>
      <c r="P307" s="299"/>
      <c r="Q307" s="300"/>
      <c r="R307" s="297"/>
      <c r="S307" s="301"/>
      <c r="T307" s="302">
        <f>ROUNDDOWN(IFERROR(tabItens[[#This Row],[ATA DT.VALID.]] - $D$1,0) / 30,0)</f>
        <v>-1504</v>
      </c>
      <c r="U307" s="287" t="s">
        <v>1332</v>
      </c>
      <c r="V307" s="303">
        <v>1</v>
      </c>
      <c r="W307" s="304" t="s">
        <v>2056</v>
      </c>
      <c r="X307" s="305">
        <v>69</v>
      </c>
      <c r="Y307" s="306">
        <v>2</v>
      </c>
      <c r="Z307" s="307"/>
      <c r="AA307" s="308"/>
      <c r="AB307" s="309"/>
      <c r="AC307" s="309"/>
      <c r="AD307" s="308"/>
      <c r="AE307" s="309"/>
      <c r="AF307" s="302"/>
      <c r="AG307" s="310" t="s">
        <v>2050</v>
      </c>
      <c r="AH307" s="311"/>
      <c r="AI307" s="302">
        <v>28</v>
      </c>
      <c r="AJ307" s="311">
        <v>44526</v>
      </c>
      <c r="AK307" s="311">
        <v>40395</v>
      </c>
      <c r="AL307" s="311">
        <v>44483</v>
      </c>
      <c r="AM307" s="301"/>
      <c r="AN307" s="290"/>
      <c r="AO307" s="312" t="str">
        <f>_xlfn.IFNA(IF(VLOOKUP(tabItens[[#This Row],[CÓDIGO]],tabExcluirDoEstoque[#Data],1,FALSE),"sim",""),"")</f>
        <v/>
      </c>
      <c r="AP307" s="313" t="str">
        <f ca="1">IF(OR(ISBLANK(tabItens[[#This Row],[ATA DT.VALID.]]),tabItens[[#This Row],[ATA DT.VALID.]]="",tabItens[[#This Row],[ATA DT.VALID.]]=" "),"",IF(TYPE(tabItens[[#This Row],[ATA DT.VALID.]])=1,ROUNDUP((tabItens[[#This Row],[ATA DT.VALID.]]-TODAY())/7,0),""))</f>
        <v/>
      </c>
      <c r="AQ307" s="314">
        <v>0</v>
      </c>
      <c r="AR307" s="315" t="str">
        <f>IF(ISBLANK(tabItens[[#This Row],[CÓDIGO]]),"",IFERROR(VLOOKUP(tabItens[[#This Row],[CÓDIGO]],Consumo!$C$2:$AC$869,26,FALSE),0))</f>
        <v>12.2022</v>
      </c>
      <c r="AS307" s="316">
        <f>SUMIF(Consumo!$C$3:$C$869,tabItens[[#This Row],[CÓDIGO]],Consumo!$N$3:$N$869) + SUMIF(Consumo!$C$3:$C$869,tabItens[[#This Row],[CÓDIGO]],Consumo!$O$3:$O$869) + SUMIF(Consumo!$C$3:$C$869,tabItens[[#This Row],[CÓDIGO]],Consumo!$P$3:$P$869) + SUMIF(Consumo!$C$3:$C$869,tabItens[[#This Row],[CÓDIGO]],Consumo!$Q$3:$Q$869)</f>
        <v>0</v>
      </c>
      <c r="AT307" s="316">
        <f>SUMIF(Consumo!$C$3:$C$869,tabItens[[#This Row],[CÓDIGO]],Consumo!$Z$3:$Z$869)</f>
        <v>81</v>
      </c>
      <c r="AU307" s="317">
        <f>SUMIF(Consumo!$C$3:$C$869,tabItens[[#This Row],[CÓDIGO]],Consumo!$AA$3:$AA$869)</f>
        <v>81</v>
      </c>
      <c r="AV307" s="318">
        <f>SUMIF(Consumo!$C$3:$C$869,tabItens[[#This Row],[CÓDIGO]],Consumo!$Y$3:$Y$869)</f>
        <v>4.416666666666667</v>
      </c>
      <c r="AW307" s="291">
        <f>tabItens[[#This Row],[QTDE ATUAL]] + tabItens[[#This Row],[RC QTDE]] + tabItens[[#This Row],[AF SALDO]] + tabItens[[#This Row],[Recentes]]</f>
        <v>365</v>
      </c>
      <c r="AX307" s="319">
        <v>10</v>
      </c>
      <c r="AY307" s="319">
        <v>4</v>
      </c>
      <c r="AZ307" s="319">
        <f>IF(ISBLANK(tabItens[[#This Row],[CÓDIGO]]),"",tabItens[[#This Row],[PontoMês]] * (AZ$2+tabItens[[#This Row],[PontoQtM]]))</f>
        <v>40</v>
      </c>
      <c r="BA307" s="318">
        <f>tabItens[[#This Row],[PontoPed]] - tabItens[[#This Row],[Saldo]] + (1/10)</f>
        <v>-324.89999999999998</v>
      </c>
      <c r="BB307" s="318">
        <f xml:space="preserve"> tabItens[[#This Row],[PontoMês]] * BB$2 - tabItens[[#This Row],[QTDE ATUAL]] - (1/10)</f>
        <v>-355.1</v>
      </c>
      <c r="BC307" s="320">
        <f>IF( tabItens[[#This Row],[PontoPed]]&gt;0, IF(tabItens[[#This Row],[PontoPed]]&lt;1, 1, IF( tabItens[[#This Row],[Saldo]]&gt;tabItens[[#This Row],[PontoPed]], 0, (tabItens[[#This Row],[PontoPed]]-tabItens[[#This Row],[Saldo]])/tabItens[[#This Row],[PontoPed]] ) ), 0 )</f>
        <v>0</v>
      </c>
      <c r="BD307" s="321">
        <f>ROUNDDOWN(IF( OR( AND(tabItens[[#This Row],[PontoPed]]&lt;tabItens[[#This Row],[Saldo]],tabItens[[#This Row],[Saldo]]&gt;0), tabItens[[#This Row],[PontoPed]]=0), 99, IF(AND(tabItens[[#This Row],[Saldo]]=0,tabItens[[#This Row],[PontoPed]]&gt;0), 0, (1-tabItens[[#This Row],[PctAb]])*10 ) ),0)</f>
        <v>99</v>
      </c>
      <c r="BE307" s="322">
        <f>MAX(ROUNDDOWN( IF(tabItens[[#This Row],[Abaixo]] &gt; 0,   tabItens[[#This Row],[Abaixo]] + (tabItens[[#This Row],[PontoMês]] * IF( OR( ISBLANK(tabItens[[#This Row],[ATA Nº/ANO]]), tabItens[[#This Row],[ATA Nº/ANO]] = ""),BE$2,BE$1)),0),0),0)</f>
        <v>0</v>
      </c>
      <c r="BF30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23">
        <f>SUMIF(Consumo!$C$3:$C$869,tabItens[[#This Row],[CÓDIGO]],Consumo!$E$3:$E$869)</f>
        <v>0</v>
      </c>
      <c r="BH307" s="324">
        <f>IF(AND(tabItens[[#This Row],[Pend]] &gt; 0,tabItens[[#This Row],[Consumo]] &lt;&gt; 0), tabItens[[#This Row],[Pend]] / tabItens[[#This Row],[Consumo]], 0 )</f>
        <v>0</v>
      </c>
      <c r="BI307" s="323"/>
      <c r="BJ307" s="323"/>
      <c r="BK307" s="325" t="s">
        <v>2064</v>
      </c>
    </row>
    <row r="308" spans="1:63" x14ac:dyDescent="0.3">
      <c r="A308" s="396">
        <v>13192</v>
      </c>
      <c r="B308" s="397" t="s">
        <v>1023</v>
      </c>
      <c r="C308" s="398" t="s">
        <v>256</v>
      </c>
      <c r="D308" s="399">
        <v>133.85</v>
      </c>
      <c r="E308" s="290"/>
      <c r="F308" s="400"/>
      <c r="G308" s="400" t="s">
        <v>883</v>
      </c>
      <c r="H308" s="401">
        <v>0</v>
      </c>
      <c r="I308" s="292">
        <v>103003</v>
      </c>
      <c r="J308" s="293">
        <v>133.85</v>
      </c>
      <c r="K308" s="402">
        <v>52</v>
      </c>
      <c r="L308" s="403">
        <f>IF(tabItens[[#This Row],[Média]] &gt; 0, tabItens[[#This Row],[QTDE ATUAL]] / tabItens[[#This Row],[Média]],999.9)</f>
        <v>0</v>
      </c>
      <c r="M308" s="404">
        <v>0</v>
      </c>
      <c r="N308" s="405">
        <f>tabItens[[#This Row],[VALOR UNIT.]] * tabItens[[#This Row],[LC]]</f>
        <v>0</v>
      </c>
      <c r="O308" s="406" t="s">
        <v>2084</v>
      </c>
      <c r="P308" s="407"/>
      <c r="Q308" s="408"/>
      <c r="R308" s="297"/>
      <c r="S308" s="409"/>
      <c r="T308" s="410">
        <f>ROUNDDOWN(IFERROR(tabItens[[#This Row],[ATA DT.VALID.]] - $D$1,0) / 30,0)</f>
        <v>-1504</v>
      </c>
      <c r="U308" s="287" t="s">
        <v>1024</v>
      </c>
      <c r="V308" s="303">
        <v>1</v>
      </c>
      <c r="W308" s="411" t="s">
        <v>2049</v>
      </c>
      <c r="X308" s="412">
        <v>51</v>
      </c>
      <c r="Y308" s="413">
        <v>35</v>
      </c>
      <c r="Z308" s="414"/>
      <c r="AA308" s="415"/>
      <c r="AB308" s="416"/>
      <c r="AC308" s="416">
        <v>8937</v>
      </c>
      <c r="AD308" s="415">
        <v>2023</v>
      </c>
      <c r="AE308" s="416">
        <v>80</v>
      </c>
      <c r="AF308" s="302">
        <v>80</v>
      </c>
      <c r="AG308" s="417" t="s">
        <v>2036</v>
      </c>
      <c r="AH308" s="418">
        <v>45162</v>
      </c>
      <c r="AI308" s="302">
        <v>18</v>
      </c>
      <c r="AJ308" s="418">
        <v>44509</v>
      </c>
      <c r="AK308" s="311" t="s">
        <v>883</v>
      </c>
      <c r="AL308" s="311">
        <v>45131</v>
      </c>
      <c r="AM308" s="301"/>
      <c r="AN308" s="290"/>
      <c r="AO308" s="312" t="str">
        <f>_xlfn.IFNA(IF(VLOOKUP(tabItens[[#This Row],[CÓDIGO]],tabExcluirDoEstoque[#Data],1,FALSE),"sim",""),"")</f>
        <v/>
      </c>
      <c r="AP308" s="419" t="str">
        <f ca="1">IF(OR(ISBLANK(tabItens[[#This Row],[ATA DT.VALID.]]),tabItens[[#This Row],[ATA DT.VALID.]]="",tabItens[[#This Row],[ATA DT.VALID.]]=" "),"",IF(TYPE(tabItens[[#This Row],[ATA DT.VALID.]])=1,ROUNDUP((tabItens[[#This Row],[ATA DT.VALID.]]-TODAY())/7,0),""))</f>
        <v/>
      </c>
      <c r="AQ308" s="314">
        <v>0</v>
      </c>
      <c r="AR308" s="315" t="str">
        <f>IF(ISBLANK(tabItens[[#This Row],[CÓDIGO]]),"",IFERROR(VLOOKUP(tabItens[[#This Row],[CÓDIGO]],Consumo!$C$2:$AC$869,26,FALSE),0))</f>
        <v>03.2023</v>
      </c>
      <c r="AS308" s="316">
        <f>SUMIF(Consumo!$C$3:$C$869,tabItens[[#This Row],[CÓDIGO]],Consumo!$N$3:$N$869) + SUMIF(Consumo!$C$3:$C$869,tabItens[[#This Row],[CÓDIGO]],Consumo!$O$3:$O$869) + SUMIF(Consumo!$C$3:$C$869,tabItens[[#This Row],[CÓDIGO]],Consumo!$P$3:$P$869) + SUMIF(Consumo!$C$3:$C$869,tabItens[[#This Row],[CÓDIGO]],Consumo!$Q$3:$Q$869)</f>
        <v>0</v>
      </c>
      <c r="AT308" s="316">
        <f>SUMIF(Consumo!$C$3:$C$869,tabItens[[#This Row],[CÓDIGO]],Consumo!$Z$3:$Z$869)</f>
        <v>60</v>
      </c>
      <c r="AU308" s="317">
        <f>SUMIF(Consumo!$C$3:$C$869,tabItens[[#This Row],[CÓDIGO]],Consumo!$AA$3:$AA$869)</f>
        <v>24</v>
      </c>
      <c r="AV308" s="318">
        <f>SUMIF(Consumo!$C$3:$C$869,tabItens[[#This Row],[CÓDIGO]],Consumo!$Y$3:$Y$869)</f>
        <v>4.5</v>
      </c>
      <c r="AW308" s="401">
        <f>tabItens[[#This Row],[QTDE ATUAL]] + tabItens[[#This Row],[RC QTDE]] + tabItens[[#This Row],[AF SALDO]] + tabItens[[#This Row],[Recentes]]</f>
        <v>80</v>
      </c>
      <c r="AX308" s="420">
        <v>3</v>
      </c>
      <c r="AY308" s="420">
        <v>4</v>
      </c>
      <c r="AZ308" s="420">
        <f>IF(ISBLANK(tabItens[[#This Row],[CÓDIGO]]),"",tabItens[[#This Row],[PontoMês]] * (AZ$2+tabItens[[#This Row],[PontoQtM]]))</f>
        <v>12</v>
      </c>
      <c r="BA308" s="421">
        <f>tabItens[[#This Row],[PontoPed]] - tabItens[[#This Row],[Saldo]] + (1/10)</f>
        <v>-67.900000000000006</v>
      </c>
      <c r="BB308" s="421">
        <f xml:space="preserve"> tabItens[[#This Row],[PontoMês]] * BB$2 - tabItens[[#This Row],[QTDE ATUAL]] - (1/10)</f>
        <v>2.9</v>
      </c>
      <c r="BC308" s="320">
        <f>IF( tabItens[[#This Row],[PontoPed]]&gt;0, IF(tabItens[[#This Row],[PontoPed]]&lt;1, 1, IF( tabItens[[#This Row],[Saldo]]&gt;tabItens[[#This Row],[PontoPed]], 0, (tabItens[[#This Row],[PontoPed]]-tabItens[[#This Row],[Saldo]])/tabItens[[#This Row],[PontoPed]] ) ), 0 )</f>
        <v>0</v>
      </c>
      <c r="BD308" s="422">
        <f>ROUNDDOWN(IF( OR( AND(tabItens[[#This Row],[PontoPed]]&lt;tabItens[[#This Row],[Saldo]],tabItens[[#This Row],[Saldo]]&gt;0), tabItens[[#This Row],[PontoPed]]=0), 99, IF(AND(tabItens[[#This Row],[Saldo]]=0,tabItens[[#This Row],[PontoPed]]&gt;0), 0, (1-tabItens[[#This Row],[PctAb]])*10 ) ),0)</f>
        <v>99</v>
      </c>
      <c r="BE308" s="423">
        <f>MAX(ROUNDDOWN( IF(tabItens[[#This Row],[Abaixo]] &gt; 0,   tabItens[[#This Row],[Abaixo]] + (tabItens[[#This Row],[PontoMês]] * IF( OR( ISBLANK(tabItens[[#This Row],[ATA Nº/ANO]]), tabItens[[#This Row],[ATA Nº/ANO]] = ""),BE$2,BE$1)),0),0),0)</f>
        <v>0</v>
      </c>
      <c r="BF30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23">
        <f>SUMIF(Consumo!$C$3:$C$869,tabItens[[#This Row],[CÓDIGO]],Consumo!$E$3:$E$869)</f>
        <v>5</v>
      </c>
      <c r="BH308" s="324">
        <f>IF(AND(tabItens[[#This Row],[Pend]] &gt; 0,tabItens[[#This Row],[Consumo]] &lt;&gt; 0), tabItens[[#This Row],[Pend]] / tabItens[[#This Row],[Consumo]], 0 )</f>
        <v>8.3333333333333329E-2</v>
      </c>
      <c r="BI308" s="323"/>
      <c r="BJ308" s="424"/>
      <c r="BK308" s="425" t="s">
        <v>2064</v>
      </c>
    </row>
    <row r="309" spans="1:63" hidden="1" x14ac:dyDescent="0.3">
      <c r="A309" s="286">
        <v>77110</v>
      </c>
      <c r="B309" s="287" t="s">
        <v>1416</v>
      </c>
      <c r="C309" s="288" t="s">
        <v>256</v>
      </c>
      <c r="D309" s="289">
        <v>0.47</v>
      </c>
      <c r="E309" s="290"/>
      <c r="F309" s="290"/>
      <c r="G309" s="290" t="s">
        <v>883</v>
      </c>
      <c r="H309" s="291">
        <v>228</v>
      </c>
      <c r="I309" s="292">
        <v>103003</v>
      </c>
      <c r="J309" s="293">
        <v>0.47</v>
      </c>
      <c r="K309" s="294">
        <v>22</v>
      </c>
      <c r="L309" s="295">
        <f>IF(tabItens[[#This Row],[Média]] &gt; 0, tabItens[[#This Row],[QTDE ATUAL]] / tabItens[[#This Row],[Média]],999.9)</f>
        <v>144</v>
      </c>
      <c r="M309" s="296">
        <v>0</v>
      </c>
      <c r="N309" s="297">
        <f>tabItens[[#This Row],[VALOR UNIT.]] * tabItens[[#This Row],[LC]]</f>
        <v>0</v>
      </c>
      <c r="O309" s="298" t="s">
        <v>2084</v>
      </c>
      <c r="P309" s="299"/>
      <c r="Q309" s="300"/>
      <c r="R309" s="297"/>
      <c r="S309" s="301"/>
      <c r="T309" s="302">
        <f>ROUNDDOWN(IFERROR(tabItens[[#This Row],[ATA DT.VALID.]] - $D$1,0) / 30,0)</f>
        <v>-1504</v>
      </c>
      <c r="U309" s="287" t="s">
        <v>964</v>
      </c>
      <c r="V309" s="303">
        <v>1</v>
      </c>
      <c r="W309" s="304" t="s">
        <v>2054</v>
      </c>
      <c r="X309" s="305">
        <v>61</v>
      </c>
      <c r="Y309" s="306">
        <v>8</v>
      </c>
      <c r="Z309" s="307"/>
      <c r="AA309" s="308"/>
      <c r="AB309" s="309"/>
      <c r="AC309" s="309"/>
      <c r="AD309" s="308"/>
      <c r="AE309" s="309"/>
      <c r="AF309" s="302"/>
      <c r="AG309" s="310" t="s">
        <v>2050</v>
      </c>
      <c r="AH309" s="311"/>
      <c r="AI309" s="302">
        <v>8</v>
      </c>
      <c r="AJ309" s="311">
        <v>41942</v>
      </c>
      <c r="AK309" s="311">
        <v>38028</v>
      </c>
      <c r="AL309" s="311">
        <v>42594</v>
      </c>
      <c r="AM309" s="301"/>
      <c r="AN309" s="290"/>
      <c r="AO309" s="312" t="str">
        <f>_xlfn.IFNA(IF(VLOOKUP(tabItens[[#This Row],[CÓDIGO]],tabExcluirDoEstoque[#Data],1,FALSE),"sim",""),"")</f>
        <v/>
      </c>
      <c r="AP309" s="313" t="str">
        <f ca="1">IF(OR(ISBLANK(tabItens[[#This Row],[ATA DT.VALID.]]),tabItens[[#This Row],[ATA DT.VALID.]]="",tabItens[[#This Row],[ATA DT.VALID.]]=" "),"",IF(TYPE(tabItens[[#This Row],[ATA DT.VALID.]])=1,ROUNDUP((tabItens[[#This Row],[ATA DT.VALID.]]-TODAY())/7,0),""))</f>
        <v/>
      </c>
      <c r="AQ309" s="314">
        <v>0</v>
      </c>
      <c r="AR309" s="315" t="str">
        <f>IF(ISBLANK(tabItens[[#This Row],[CÓDIGO]]),"",IFERROR(VLOOKUP(tabItens[[#This Row],[CÓDIGO]],Consumo!$C$2:$AC$869,26,FALSE),0))</f>
        <v>04.2023</v>
      </c>
      <c r="AS309" s="316">
        <f>SUMIF(Consumo!$C$3:$C$869,tabItens[[#This Row],[CÓDIGO]],Consumo!$N$3:$N$869) + SUMIF(Consumo!$C$3:$C$869,tabItens[[#This Row],[CÓDIGO]],Consumo!$O$3:$O$869) + SUMIF(Consumo!$C$3:$C$869,tabItens[[#This Row],[CÓDIGO]],Consumo!$P$3:$P$869) + SUMIF(Consumo!$C$3:$C$869,tabItens[[#This Row],[CÓDIGO]],Consumo!$Q$3:$Q$869)</f>
        <v>12</v>
      </c>
      <c r="AT309" s="316">
        <f>SUMIF(Consumo!$C$3:$C$869,tabItens[[#This Row],[CÓDIGO]],Consumo!$Z$3:$Z$869)</f>
        <v>22</v>
      </c>
      <c r="AU309" s="317">
        <f>SUMIF(Consumo!$C$3:$C$869,tabItens[[#This Row],[CÓDIGO]],Consumo!$AA$3:$AA$869)</f>
        <v>12</v>
      </c>
      <c r="AV309" s="318">
        <f>SUMIF(Consumo!$C$3:$C$869,tabItens[[#This Row],[CÓDIGO]],Consumo!$Y$3:$Y$869)</f>
        <v>1.5833333333333333</v>
      </c>
      <c r="AW309" s="291">
        <f>tabItens[[#This Row],[QTDE ATUAL]] + tabItens[[#This Row],[RC QTDE]] + tabItens[[#This Row],[AF SALDO]] + tabItens[[#This Row],[Recentes]]</f>
        <v>228</v>
      </c>
      <c r="AX309" s="319">
        <v>5</v>
      </c>
      <c r="AY309" s="319">
        <v>4</v>
      </c>
      <c r="AZ309" s="319">
        <f>IF(ISBLANK(tabItens[[#This Row],[CÓDIGO]]),"",tabItens[[#This Row],[PontoMês]] * (AZ$2+tabItens[[#This Row],[PontoQtM]]))</f>
        <v>20</v>
      </c>
      <c r="BA309" s="318">
        <f>tabItens[[#This Row],[PontoPed]] - tabItens[[#This Row],[Saldo]] + (1/10)</f>
        <v>-207.9</v>
      </c>
      <c r="BB309" s="318">
        <f xml:space="preserve"> tabItens[[#This Row],[PontoMês]] * BB$2 - tabItens[[#This Row],[QTDE ATUAL]] - (1/10)</f>
        <v>-223.1</v>
      </c>
      <c r="BC309" s="320">
        <f>IF( tabItens[[#This Row],[PontoPed]]&gt;0, IF(tabItens[[#This Row],[PontoPed]]&lt;1, 1, IF( tabItens[[#This Row],[Saldo]]&gt;tabItens[[#This Row],[PontoPed]], 0, (tabItens[[#This Row],[PontoPed]]-tabItens[[#This Row],[Saldo]])/tabItens[[#This Row],[PontoPed]] ) ), 0 )</f>
        <v>0</v>
      </c>
      <c r="BD309" s="321">
        <f>ROUNDDOWN(IF( OR( AND(tabItens[[#This Row],[PontoPed]]&lt;tabItens[[#This Row],[Saldo]],tabItens[[#This Row],[Saldo]]&gt;0), tabItens[[#This Row],[PontoPed]]=0), 99, IF(AND(tabItens[[#This Row],[Saldo]]=0,tabItens[[#This Row],[PontoPed]]&gt;0), 0, (1-tabItens[[#This Row],[PctAb]])*10 ) ),0)</f>
        <v>99</v>
      </c>
      <c r="BE309" s="322">
        <f>MAX(ROUNDDOWN( IF(tabItens[[#This Row],[Abaixo]] &gt; 0,   tabItens[[#This Row],[Abaixo]] + (tabItens[[#This Row],[PontoMês]] * IF( OR( ISBLANK(tabItens[[#This Row],[ATA Nº/ANO]]), tabItens[[#This Row],[ATA Nº/ANO]] = ""),BE$2,BE$1)),0),0),0)</f>
        <v>0</v>
      </c>
      <c r="BF3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23">
        <f>SUMIF(Consumo!$C$3:$C$869,tabItens[[#This Row],[CÓDIGO]],Consumo!$E$3:$E$869)</f>
        <v>0</v>
      </c>
      <c r="BH309" s="324">
        <f>IF(AND(tabItens[[#This Row],[Pend]] &gt; 0,tabItens[[#This Row],[Consumo]] &lt;&gt; 0), tabItens[[#This Row],[Pend]] / tabItens[[#This Row],[Consumo]], 0 )</f>
        <v>0</v>
      </c>
      <c r="BI309" s="323"/>
      <c r="BJ309" s="323"/>
      <c r="BK309" s="325" t="s">
        <v>2064</v>
      </c>
    </row>
    <row r="310" spans="1:63" hidden="1" x14ac:dyDescent="0.3">
      <c r="A310" s="286">
        <v>13063</v>
      </c>
      <c r="B310" s="287" t="s">
        <v>990</v>
      </c>
      <c r="C310" s="288" t="s">
        <v>270</v>
      </c>
      <c r="D310" s="289">
        <v>4.5</v>
      </c>
      <c r="E310" s="290"/>
      <c r="F310" s="290"/>
      <c r="G310" s="290" t="s">
        <v>883</v>
      </c>
      <c r="H310" s="291">
        <v>723</v>
      </c>
      <c r="I310" s="292">
        <v>103003</v>
      </c>
      <c r="J310" s="293">
        <v>4.0741300000000003</v>
      </c>
      <c r="K310" s="294">
        <v>532</v>
      </c>
      <c r="L310" s="295">
        <f>IF(tabItens[[#This Row],[Média]] &gt; 0, tabItens[[#This Row],[QTDE ATUAL]] / tabItens[[#This Row],[Média]],999.9)</f>
        <v>11.901234567901234</v>
      </c>
      <c r="M310" s="296">
        <v>0</v>
      </c>
      <c r="N310" s="297">
        <f>tabItens[[#This Row],[VALOR UNIT.]] * tabItens[[#This Row],[LC]]</f>
        <v>0</v>
      </c>
      <c r="O310" s="298" t="s">
        <v>2084</v>
      </c>
      <c r="P310" s="299"/>
      <c r="Q310" s="300"/>
      <c r="R310" s="297"/>
      <c r="S310" s="301"/>
      <c r="T310" s="302">
        <f>ROUNDDOWN(IFERROR(tabItens[[#This Row],[ATA DT.VALID.]] - $D$1,0) / 30,0)</f>
        <v>-1504</v>
      </c>
      <c r="U310" s="287" t="s">
        <v>991</v>
      </c>
      <c r="V310" s="303">
        <v>1</v>
      </c>
      <c r="W310" s="304" t="s">
        <v>2054</v>
      </c>
      <c r="X310" s="305">
        <v>61</v>
      </c>
      <c r="Y310" s="306">
        <v>9</v>
      </c>
      <c r="Z310" s="307">
        <v>2555</v>
      </c>
      <c r="AA310" s="308">
        <v>2023</v>
      </c>
      <c r="AB310" s="309">
        <v>600</v>
      </c>
      <c r="AC310" s="309"/>
      <c r="AD310" s="308"/>
      <c r="AE310" s="309"/>
      <c r="AF310" s="302"/>
      <c r="AG310" s="310" t="s">
        <v>2050</v>
      </c>
      <c r="AH310" s="311"/>
      <c r="AI310" s="302">
        <v>246</v>
      </c>
      <c r="AJ310" s="311">
        <v>44952</v>
      </c>
      <c r="AK310" s="311" t="s">
        <v>883</v>
      </c>
      <c r="AL310" s="311">
        <v>44939</v>
      </c>
      <c r="AM310" s="301"/>
      <c r="AN310" s="290"/>
      <c r="AO310" s="312" t="str">
        <f>_xlfn.IFNA(IF(VLOOKUP(tabItens[[#This Row],[CÓDIGO]],tabExcluirDoEstoque[#Data],1,FALSE),"sim",""),"")</f>
        <v/>
      </c>
      <c r="AP310" s="313" t="str">
        <f ca="1">IF(OR(ISBLANK(tabItens[[#This Row],[ATA DT.VALID.]]),tabItens[[#This Row],[ATA DT.VALID.]]="",tabItens[[#This Row],[ATA DT.VALID.]]=" "),"",IF(TYPE(tabItens[[#This Row],[ATA DT.VALID.]])=1,ROUNDUP((tabItens[[#This Row],[ATA DT.VALID.]]-TODAY())/7,0),""))</f>
        <v/>
      </c>
      <c r="AQ310" s="314">
        <v>1000</v>
      </c>
      <c r="AR310" s="315" t="str">
        <f>IF(ISBLANK(tabItens[[#This Row],[CÓDIGO]]),"",IFERROR(VLOOKUP(tabItens[[#This Row],[CÓDIGO]],Consumo!$C$2:$AC$869,26,FALSE),0))</f>
        <v>07.2023</v>
      </c>
      <c r="AS310" s="316">
        <f>SUMIF(Consumo!$C$3:$C$869,tabItens[[#This Row],[CÓDIGO]],Consumo!$N$3:$N$869) + SUMIF(Consumo!$C$3:$C$869,tabItens[[#This Row],[CÓDIGO]],Consumo!$O$3:$O$869) + SUMIF(Consumo!$C$3:$C$869,tabItens[[#This Row],[CÓDIGO]],Consumo!$P$3:$P$869) + SUMIF(Consumo!$C$3:$C$869,tabItens[[#This Row],[CÓDIGO]],Consumo!$Q$3:$Q$869)</f>
        <v>166</v>
      </c>
      <c r="AT310" s="316">
        <f>SUMIF(Consumo!$C$3:$C$869,tabItens[[#This Row],[CÓDIGO]],Consumo!$Z$3:$Z$869)</f>
        <v>738</v>
      </c>
      <c r="AU310" s="317">
        <f>SUMIF(Consumo!$C$3:$C$869,tabItens[[#This Row],[CÓDIGO]],Consumo!$AA$3:$AA$869)</f>
        <v>142</v>
      </c>
      <c r="AV310" s="318">
        <f>SUMIF(Consumo!$C$3:$C$869,tabItens[[#This Row],[CÓDIGO]],Consumo!$Y$3:$Y$869)</f>
        <v>60.75</v>
      </c>
      <c r="AW310" s="291">
        <f>tabItens[[#This Row],[QTDE ATUAL]] + tabItens[[#This Row],[RC QTDE]] + tabItens[[#This Row],[AF SALDO]] + tabItens[[#This Row],[Recentes]]</f>
        <v>2323</v>
      </c>
      <c r="AX310" s="319">
        <v>63</v>
      </c>
      <c r="AY310" s="319">
        <v>4</v>
      </c>
      <c r="AZ310" s="319">
        <f>IF(ISBLANK(tabItens[[#This Row],[CÓDIGO]]),"",tabItens[[#This Row],[PontoMês]] * (AZ$2+tabItens[[#This Row],[PontoQtM]]))</f>
        <v>252</v>
      </c>
      <c r="BA310" s="318">
        <f>tabItens[[#This Row],[PontoPed]] - tabItens[[#This Row],[Saldo]] + (1/10)</f>
        <v>-2070.9</v>
      </c>
      <c r="BB310" s="318">
        <f xml:space="preserve"> tabItens[[#This Row],[PontoMês]] * BB$2 - tabItens[[#This Row],[QTDE ATUAL]] - (1/10)</f>
        <v>-660.1</v>
      </c>
      <c r="BC310" s="320">
        <f>IF( tabItens[[#This Row],[PontoPed]]&gt;0, IF(tabItens[[#This Row],[PontoPed]]&lt;1, 1, IF( tabItens[[#This Row],[Saldo]]&gt;tabItens[[#This Row],[PontoPed]], 0, (tabItens[[#This Row],[PontoPed]]-tabItens[[#This Row],[Saldo]])/tabItens[[#This Row],[PontoPed]] ) ), 0 )</f>
        <v>0</v>
      </c>
      <c r="BD310" s="321">
        <f>ROUNDDOWN(IF( OR( AND(tabItens[[#This Row],[PontoPed]]&lt;tabItens[[#This Row],[Saldo]],tabItens[[#This Row],[Saldo]]&gt;0), tabItens[[#This Row],[PontoPed]]=0), 99, IF(AND(tabItens[[#This Row],[Saldo]]=0,tabItens[[#This Row],[PontoPed]]&gt;0), 0, (1-tabItens[[#This Row],[PctAb]])*10 ) ),0)</f>
        <v>99</v>
      </c>
      <c r="BE310" s="322">
        <f>MAX(ROUNDDOWN( IF(tabItens[[#This Row],[Abaixo]] &gt; 0,   tabItens[[#This Row],[Abaixo]] + (tabItens[[#This Row],[PontoMês]] * IF( OR( ISBLANK(tabItens[[#This Row],[ATA Nº/ANO]]), tabItens[[#This Row],[ATA Nº/ANO]] = ""),BE$2,BE$1)),0),0),0)</f>
        <v>0</v>
      </c>
      <c r="BF3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23">
        <f>SUMIF(Consumo!$C$3:$C$869,tabItens[[#This Row],[CÓDIGO]],Consumo!$E$3:$E$869)</f>
        <v>0</v>
      </c>
      <c r="BH310" s="324">
        <f>IF(AND(tabItens[[#This Row],[Pend]] &gt; 0,tabItens[[#This Row],[Consumo]] &lt;&gt; 0), tabItens[[#This Row],[Pend]] / tabItens[[#This Row],[Consumo]], 0 )</f>
        <v>0</v>
      </c>
      <c r="BI310" s="323"/>
      <c r="BJ310" s="323"/>
      <c r="BK310" s="325" t="s">
        <v>2064</v>
      </c>
    </row>
    <row r="311" spans="1:63" hidden="1" x14ac:dyDescent="0.3">
      <c r="A311" s="286">
        <v>13064</v>
      </c>
      <c r="B311" s="287" t="s">
        <v>992</v>
      </c>
      <c r="C311" s="288" t="s">
        <v>281</v>
      </c>
      <c r="D311" s="289">
        <v>1.83</v>
      </c>
      <c r="E311" s="290"/>
      <c r="F311" s="290"/>
      <c r="G311" s="290" t="s">
        <v>883</v>
      </c>
      <c r="H311" s="291">
        <v>877</v>
      </c>
      <c r="I311" s="292">
        <v>103003</v>
      </c>
      <c r="J311" s="293">
        <v>1.83</v>
      </c>
      <c r="K311" s="294">
        <v>1217</v>
      </c>
      <c r="L311" s="295">
        <f>IF(tabItens[[#This Row],[Média]] &gt; 0, tabItens[[#This Row],[QTDE ATUAL]] / tabItens[[#This Row],[Média]],999.9)</f>
        <v>5.4670129870129873</v>
      </c>
      <c r="M311" s="296">
        <v>0</v>
      </c>
      <c r="N311" s="297">
        <f>tabItens[[#This Row],[VALOR UNIT.]] * tabItens[[#This Row],[LC]]</f>
        <v>0</v>
      </c>
      <c r="O311" s="298" t="s">
        <v>2084</v>
      </c>
      <c r="P311" s="299"/>
      <c r="Q311" s="300"/>
      <c r="R311" s="297"/>
      <c r="S311" s="301"/>
      <c r="T311" s="302">
        <f>ROUNDDOWN(IFERROR(tabItens[[#This Row],[ATA DT.VALID.]] - $D$1,0) / 30,0)</f>
        <v>-1504</v>
      </c>
      <c r="U311" s="287" t="s">
        <v>991</v>
      </c>
      <c r="V311" s="303">
        <v>1</v>
      </c>
      <c r="W311" s="304" t="s">
        <v>2054</v>
      </c>
      <c r="X311" s="305">
        <v>61</v>
      </c>
      <c r="Y311" s="306">
        <v>9</v>
      </c>
      <c r="Z311" s="307">
        <v>2556</v>
      </c>
      <c r="AA311" s="308">
        <v>2023</v>
      </c>
      <c r="AB311" s="309">
        <v>300</v>
      </c>
      <c r="AC311" s="309"/>
      <c r="AD311" s="308"/>
      <c r="AE311" s="309"/>
      <c r="AF311" s="302"/>
      <c r="AG311" s="310" t="s">
        <v>2050</v>
      </c>
      <c r="AH311" s="311"/>
      <c r="AI311" s="302">
        <v>654</v>
      </c>
      <c r="AJ311" s="311">
        <v>44796</v>
      </c>
      <c r="AK311" s="311" t="s">
        <v>883</v>
      </c>
      <c r="AL311" s="311">
        <v>45105</v>
      </c>
      <c r="AM311" s="301"/>
      <c r="AN311" s="290"/>
      <c r="AO311" s="312" t="str">
        <f>_xlfn.IFNA(IF(VLOOKUP(tabItens[[#This Row],[CÓDIGO]],tabExcluirDoEstoque[#Data],1,FALSE),"sim",""),"")</f>
        <v/>
      </c>
      <c r="AP311" s="313" t="str">
        <f ca="1">IF(OR(ISBLANK(tabItens[[#This Row],[ATA DT.VALID.]]),tabItens[[#This Row],[ATA DT.VALID.]]="",tabItens[[#This Row],[ATA DT.VALID.]]=" "),"",IF(TYPE(tabItens[[#This Row],[ATA DT.VALID.]])=1,ROUNDUP((tabItens[[#This Row],[ATA DT.VALID.]]-TODAY())/7,0),""))</f>
        <v/>
      </c>
      <c r="AQ311" s="314">
        <v>0</v>
      </c>
      <c r="AR311" s="315" t="str">
        <f>IF(ISBLANK(tabItens[[#This Row],[CÓDIGO]]),"",IFERROR(VLOOKUP(tabItens[[#This Row],[CÓDIGO]],Consumo!$C$2:$AC$869,26,FALSE),0))</f>
        <v>07.2023</v>
      </c>
      <c r="AS311" s="316">
        <f>SUMIF(Consumo!$C$3:$C$869,tabItens[[#This Row],[CÓDIGO]],Consumo!$N$3:$N$869) + SUMIF(Consumo!$C$3:$C$869,tabItens[[#This Row],[CÓDIGO]],Consumo!$O$3:$O$869) + SUMIF(Consumo!$C$3:$C$869,tabItens[[#This Row],[CÓDIGO]],Consumo!$P$3:$P$869) + SUMIF(Consumo!$C$3:$C$869,tabItens[[#This Row],[CÓDIGO]],Consumo!$Q$3:$Q$869)</f>
        <v>659</v>
      </c>
      <c r="AT311" s="316">
        <f>SUMIF(Consumo!$C$3:$C$869,tabItens[[#This Row],[CÓDIGO]],Consumo!$Z$3:$Z$869)</f>
        <v>1960</v>
      </c>
      <c r="AU311" s="317">
        <f>SUMIF(Consumo!$C$3:$C$869,tabItens[[#This Row],[CÓDIGO]],Consumo!$AA$3:$AA$869)</f>
        <v>316</v>
      </c>
      <c r="AV311" s="318">
        <f>SUMIF(Consumo!$C$3:$C$869,tabItens[[#This Row],[CÓDIGO]],Consumo!$Y$3:$Y$869)</f>
        <v>160.41666666666666</v>
      </c>
      <c r="AW311" s="291">
        <f>tabItens[[#This Row],[QTDE ATUAL]] + tabItens[[#This Row],[RC QTDE]] + tabItens[[#This Row],[AF SALDO]] + tabItens[[#This Row],[Recentes]]</f>
        <v>1177</v>
      </c>
      <c r="AX311" s="319">
        <v>138</v>
      </c>
      <c r="AY311" s="319">
        <v>4</v>
      </c>
      <c r="AZ311" s="319">
        <f>IF(ISBLANK(tabItens[[#This Row],[CÓDIGO]]),"",tabItens[[#This Row],[PontoMês]] * (AZ$2+tabItens[[#This Row],[PontoQtM]]))</f>
        <v>552</v>
      </c>
      <c r="BA311" s="318">
        <f>tabItens[[#This Row],[PontoPed]] - tabItens[[#This Row],[Saldo]] + (1/10)</f>
        <v>-624.9</v>
      </c>
      <c r="BB311" s="318">
        <f xml:space="preserve"> tabItens[[#This Row],[PontoMês]] * BB$2 - tabItens[[#This Row],[QTDE ATUAL]] - (1/10)</f>
        <v>-739.1</v>
      </c>
      <c r="BC311" s="320">
        <f>IF( tabItens[[#This Row],[PontoPed]]&gt;0, IF(tabItens[[#This Row],[PontoPed]]&lt;1, 1, IF( tabItens[[#This Row],[Saldo]]&gt;tabItens[[#This Row],[PontoPed]], 0, (tabItens[[#This Row],[PontoPed]]-tabItens[[#This Row],[Saldo]])/tabItens[[#This Row],[PontoPed]] ) ), 0 )</f>
        <v>0</v>
      </c>
      <c r="BD311" s="321">
        <f>ROUNDDOWN(IF( OR( AND(tabItens[[#This Row],[PontoPed]]&lt;tabItens[[#This Row],[Saldo]],tabItens[[#This Row],[Saldo]]&gt;0), tabItens[[#This Row],[PontoPed]]=0), 99, IF(AND(tabItens[[#This Row],[Saldo]]=0,tabItens[[#This Row],[PontoPed]]&gt;0), 0, (1-tabItens[[#This Row],[PctAb]])*10 ) ),0)</f>
        <v>99</v>
      </c>
      <c r="BE311" s="322">
        <f>MAX(ROUNDDOWN( IF(tabItens[[#This Row],[Abaixo]] &gt; 0,   tabItens[[#This Row],[Abaixo]] + (tabItens[[#This Row],[PontoMês]] * IF( OR( ISBLANK(tabItens[[#This Row],[ATA Nº/ANO]]), tabItens[[#This Row],[ATA Nº/ANO]] = ""),BE$2,BE$1)),0),0),0)</f>
        <v>0</v>
      </c>
      <c r="BF31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23">
        <f>SUMIF(Consumo!$C$3:$C$869,tabItens[[#This Row],[CÓDIGO]],Consumo!$E$3:$E$869)</f>
        <v>0</v>
      </c>
      <c r="BH311" s="324">
        <f>IF(AND(tabItens[[#This Row],[Pend]] &gt; 0,tabItens[[#This Row],[Consumo]] &lt;&gt; 0), tabItens[[#This Row],[Pend]] / tabItens[[#This Row],[Consumo]], 0 )</f>
        <v>0</v>
      </c>
      <c r="BI311" s="323"/>
      <c r="BJ311" s="323"/>
      <c r="BK311" s="325" t="s">
        <v>2064</v>
      </c>
    </row>
    <row r="312" spans="1:63" hidden="1" x14ac:dyDescent="0.3">
      <c r="A312" s="286">
        <v>13165</v>
      </c>
      <c r="B312" s="287" t="s">
        <v>1014</v>
      </c>
      <c r="C312" s="288" t="s">
        <v>256</v>
      </c>
      <c r="D312" s="289">
        <v>25.4</v>
      </c>
      <c r="E312" s="290"/>
      <c r="F312" s="290"/>
      <c r="G312" s="290" t="s">
        <v>883</v>
      </c>
      <c r="H312" s="291">
        <v>132</v>
      </c>
      <c r="I312" s="292">
        <v>103003</v>
      </c>
      <c r="J312" s="293">
        <v>25.4</v>
      </c>
      <c r="K312" s="294">
        <v>356</v>
      </c>
      <c r="L312" s="295">
        <f>IF(tabItens[[#This Row],[Média]] &gt; 0, tabItens[[#This Row],[QTDE ATUAL]] / tabItens[[#This Row],[Média]],999.9)</f>
        <v>2.9171270718232045</v>
      </c>
      <c r="M312" s="296">
        <v>0</v>
      </c>
      <c r="N312" s="297">
        <f>tabItens[[#This Row],[VALOR UNIT.]] * tabItens[[#This Row],[LC]]</f>
        <v>0</v>
      </c>
      <c r="O312" s="298" t="s">
        <v>2084</v>
      </c>
      <c r="P312" s="299"/>
      <c r="Q312" s="300"/>
      <c r="R312" s="297"/>
      <c r="S312" s="301"/>
      <c r="T312" s="302">
        <f>ROUNDDOWN(IFERROR(tabItens[[#This Row],[ATA DT.VALID.]] - $D$1,0) / 30,0)</f>
        <v>-1504</v>
      </c>
      <c r="U312" s="287" t="s">
        <v>1013</v>
      </c>
      <c r="V312" s="303">
        <v>1</v>
      </c>
      <c r="W312" s="304" t="s">
        <v>2054</v>
      </c>
      <c r="X312" s="305">
        <v>61</v>
      </c>
      <c r="Y312" s="306">
        <v>14</v>
      </c>
      <c r="Z312" s="307">
        <v>2555</v>
      </c>
      <c r="AA312" s="308">
        <v>2023</v>
      </c>
      <c r="AB312" s="309">
        <v>100</v>
      </c>
      <c r="AC312" s="309"/>
      <c r="AD312" s="308"/>
      <c r="AE312" s="309"/>
      <c r="AF312" s="302"/>
      <c r="AG312" s="310" t="s">
        <v>2050</v>
      </c>
      <c r="AH312" s="311"/>
      <c r="AI312" s="302">
        <v>178</v>
      </c>
      <c r="AJ312" s="311">
        <v>44946</v>
      </c>
      <c r="AK312" s="311" t="s">
        <v>883</v>
      </c>
      <c r="AL312" s="311">
        <v>44942</v>
      </c>
      <c r="AM312" s="301"/>
      <c r="AN312" s="290"/>
      <c r="AO312" s="312" t="str">
        <f>_xlfn.IFNA(IF(VLOOKUP(tabItens[[#This Row],[CÓDIGO]],tabExcluirDoEstoque[#Data],1,FALSE),"sim",""),"")</f>
        <v/>
      </c>
      <c r="AP312" s="313" t="str">
        <f ca="1">IF(OR(ISBLANK(tabItens[[#This Row],[ATA DT.VALID.]]),tabItens[[#This Row],[ATA DT.VALID.]]="",tabItens[[#This Row],[ATA DT.VALID.]]=" "),"",IF(TYPE(tabItens[[#This Row],[ATA DT.VALID.]])=1,ROUNDUP((tabItens[[#This Row],[ATA DT.VALID.]]-TODAY())/7,0),""))</f>
        <v/>
      </c>
      <c r="AQ312" s="314">
        <v>250</v>
      </c>
      <c r="AR312" s="315" t="str">
        <f>IF(ISBLANK(tabItens[[#This Row],[CÓDIGO]]),"",IFERROR(VLOOKUP(tabItens[[#This Row],[CÓDIGO]],Consumo!$C$2:$AC$869,26,FALSE),0))</f>
        <v>07.2023</v>
      </c>
      <c r="AS312" s="316">
        <f>SUMIF(Consumo!$C$3:$C$869,tabItens[[#This Row],[CÓDIGO]],Consumo!$N$3:$N$869) + SUMIF(Consumo!$C$3:$C$869,tabItens[[#This Row],[CÓDIGO]],Consumo!$O$3:$O$869) + SUMIF(Consumo!$C$3:$C$869,tabItens[[#This Row],[CÓDIGO]],Consumo!$P$3:$P$869) + SUMIF(Consumo!$C$3:$C$869,tabItens[[#This Row],[CÓDIGO]],Consumo!$Q$3:$Q$869)</f>
        <v>175</v>
      </c>
      <c r="AT312" s="316">
        <f>SUMIF(Consumo!$C$3:$C$869,tabItens[[#This Row],[CÓDIGO]],Consumo!$Z$3:$Z$869)</f>
        <v>543</v>
      </c>
      <c r="AU312" s="317">
        <f>SUMIF(Consumo!$C$3:$C$869,tabItens[[#This Row],[CÓDIGO]],Consumo!$AA$3:$AA$869)</f>
        <v>80</v>
      </c>
      <c r="AV312" s="318">
        <f>SUMIF(Consumo!$C$3:$C$869,tabItens[[#This Row],[CÓDIGO]],Consumo!$Y$3:$Y$869)</f>
        <v>45.25</v>
      </c>
      <c r="AW312" s="291">
        <f>tabItens[[#This Row],[QTDE ATUAL]] + tabItens[[#This Row],[RC QTDE]] + tabItens[[#This Row],[AF SALDO]] + tabItens[[#This Row],[Recentes]]</f>
        <v>482</v>
      </c>
      <c r="AX312" s="319">
        <v>61</v>
      </c>
      <c r="AY312" s="319">
        <v>4</v>
      </c>
      <c r="AZ312" s="319">
        <f>IF(ISBLANK(tabItens[[#This Row],[CÓDIGO]]),"",tabItens[[#This Row],[PontoMês]] * (AZ$2+tabItens[[#This Row],[PontoQtM]]))</f>
        <v>244</v>
      </c>
      <c r="BA312" s="318">
        <f>tabItens[[#This Row],[PontoPed]] - tabItens[[#This Row],[Saldo]] + (1/10)</f>
        <v>-237.9</v>
      </c>
      <c r="BB312" s="318">
        <f xml:space="preserve"> tabItens[[#This Row],[PontoMês]] * BB$2 - tabItens[[#This Row],[QTDE ATUAL]] - (1/10)</f>
        <v>-71.099999999999994</v>
      </c>
      <c r="BC312" s="320">
        <f>IF( tabItens[[#This Row],[PontoPed]]&gt;0, IF(tabItens[[#This Row],[PontoPed]]&lt;1, 1, IF( tabItens[[#This Row],[Saldo]]&gt;tabItens[[#This Row],[PontoPed]], 0, (tabItens[[#This Row],[PontoPed]]-tabItens[[#This Row],[Saldo]])/tabItens[[#This Row],[PontoPed]] ) ), 0 )</f>
        <v>0</v>
      </c>
      <c r="BD312" s="321">
        <f>ROUNDDOWN(IF( OR( AND(tabItens[[#This Row],[PontoPed]]&lt;tabItens[[#This Row],[Saldo]],tabItens[[#This Row],[Saldo]]&gt;0), tabItens[[#This Row],[PontoPed]]=0), 99, IF(AND(tabItens[[#This Row],[Saldo]]=0,tabItens[[#This Row],[PontoPed]]&gt;0), 0, (1-tabItens[[#This Row],[PctAb]])*10 ) ),0)</f>
        <v>99</v>
      </c>
      <c r="BE312" s="322">
        <f>MAX(ROUNDDOWN( IF(tabItens[[#This Row],[Abaixo]] &gt; 0,   tabItens[[#This Row],[Abaixo]] + (tabItens[[#This Row],[PontoMês]] * IF( OR( ISBLANK(tabItens[[#This Row],[ATA Nº/ANO]]), tabItens[[#This Row],[ATA Nº/ANO]] = ""),BE$2,BE$1)),0),0),0)</f>
        <v>0</v>
      </c>
      <c r="BF3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23">
        <f>SUMIF(Consumo!$C$3:$C$869,tabItens[[#This Row],[CÓDIGO]],Consumo!$E$3:$E$869)</f>
        <v>10</v>
      </c>
      <c r="BH312" s="324">
        <f>IF(AND(tabItens[[#This Row],[Pend]] &gt; 0,tabItens[[#This Row],[Consumo]] &lt;&gt; 0), tabItens[[#This Row],[Pend]] / tabItens[[#This Row],[Consumo]], 0 )</f>
        <v>1.841620626151013E-2</v>
      </c>
      <c r="BI312" s="323"/>
      <c r="BJ312" s="323"/>
      <c r="BK312" s="325" t="s">
        <v>2064</v>
      </c>
    </row>
    <row r="313" spans="1:63" hidden="1" x14ac:dyDescent="0.3">
      <c r="A313" s="286">
        <v>111524</v>
      </c>
      <c r="B313" s="287" t="s">
        <v>1672</v>
      </c>
      <c r="C313" s="288" t="s">
        <v>256</v>
      </c>
      <c r="D313" s="289">
        <v>53.41</v>
      </c>
      <c r="E313" s="290"/>
      <c r="F313" s="290"/>
      <c r="G313" s="290" t="s">
        <v>883</v>
      </c>
      <c r="H313" s="291">
        <v>127</v>
      </c>
      <c r="I313" s="292">
        <v>103003</v>
      </c>
      <c r="J313" s="293">
        <v>53.41</v>
      </c>
      <c r="K313" s="294">
        <v>219</v>
      </c>
      <c r="L313" s="295">
        <f>IF(tabItens[[#This Row],[Média]] &gt; 0, tabItens[[#This Row],[QTDE ATUAL]] / tabItens[[#This Row],[Média]],999.9)</f>
        <v>5.291666666666667</v>
      </c>
      <c r="M313" s="296">
        <v>0</v>
      </c>
      <c r="N313" s="297">
        <f>tabItens[[#This Row],[VALOR UNIT.]] * tabItens[[#This Row],[LC]]</f>
        <v>0</v>
      </c>
      <c r="O313" s="298" t="s">
        <v>2084</v>
      </c>
      <c r="P313" s="299"/>
      <c r="Q313" s="300"/>
      <c r="R313" s="297"/>
      <c r="S313" s="301"/>
      <c r="T313" s="302">
        <f>ROUNDDOWN(IFERROR(tabItens[[#This Row],[ATA DT.VALID.]] - $D$1,0) / 30,0)</f>
        <v>-1504</v>
      </c>
      <c r="U313" s="287" t="s">
        <v>1013</v>
      </c>
      <c r="V313" s="303">
        <v>1</v>
      </c>
      <c r="W313" s="304" t="s">
        <v>2054</v>
      </c>
      <c r="X313" s="305">
        <v>61</v>
      </c>
      <c r="Y313" s="306">
        <v>14</v>
      </c>
      <c r="Z313" s="307">
        <v>2558</v>
      </c>
      <c r="AA313" s="308">
        <v>2023</v>
      </c>
      <c r="AB313" s="309">
        <v>100</v>
      </c>
      <c r="AC313" s="309"/>
      <c r="AD313" s="308"/>
      <c r="AE313" s="309"/>
      <c r="AF313" s="302"/>
      <c r="AG313" s="310" t="s">
        <v>2050</v>
      </c>
      <c r="AH313" s="311"/>
      <c r="AI313" s="302">
        <v>98</v>
      </c>
      <c r="AJ313" s="311">
        <v>44796</v>
      </c>
      <c r="AK313" s="311">
        <v>39988</v>
      </c>
      <c r="AL313" s="311">
        <v>44750</v>
      </c>
      <c r="AM313" s="301"/>
      <c r="AN313" s="290"/>
      <c r="AO313" s="312" t="str">
        <f>_xlfn.IFNA(IF(VLOOKUP(tabItens[[#This Row],[CÓDIGO]],tabExcluirDoEstoque[#Data],1,FALSE),"sim",""),"")</f>
        <v/>
      </c>
      <c r="AP313" s="313" t="str">
        <f ca="1">IF(OR(ISBLANK(tabItens[[#This Row],[ATA DT.VALID.]]),tabItens[[#This Row],[ATA DT.VALID.]]="",tabItens[[#This Row],[ATA DT.VALID.]]=" "),"",IF(TYPE(tabItens[[#This Row],[ATA DT.VALID.]])=1,ROUNDUP((tabItens[[#This Row],[ATA DT.VALID.]]-TODAY())/7,0),""))</f>
        <v/>
      </c>
      <c r="AQ313" s="314">
        <v>0</v>
      </c>
      <c r="AR313" s="315" t="str">
        <f>IF(ISBLANK(tabItens[[#This Row],[CÓDIGO]]),"",IFERROR(VLOOKUP(tabItens[[#This Row],[CÓDIGO]],Consumo!$C$2:$AC$869,26,FALSE),0))</f>
        <v>05.2023</v>
      </c>
      <c r="AS313" s="316">
        <f>SUMIF(Consumo!$C$3:$C$869,tabItens[[#This Row],[CÓDIGO]],Consumo!$N$3:$N$869) + SUMIF(Consumo!$C$3:$C$869,tabItens[[#This Row],[CÓDIGO]],Consumo!$O$3:$O$869) + SUMIF(Consumo!$C$3:$C$869,tabItens[[#This Row],[CÓDIGO]],Consumo!$P$3:$P$869) + SUMIF(Consumo!$C$3:$C$869,tabItens[[#This Row],[CÓDIGO]],Consumo!$Q$3:$Q$869)</f>
        <v>92</v>
      </c>
      <c r="AT313" s="316">
        <f>SUMIF(Consumo!$C$3:$C$869,tabItens[[#This Row],[CÓDIGO]],Consumo!$Z$3:$Z$869)</f>
        <v>290</v>
      </c>
      <c r="AU313" s="317">
        <f>SUMIF(Consumo!$C$3:$C$869,tabItens[[#This Row],[CÓDIGO]],Consumo!$AA$3:$AA$869)</f>
        <v>60</v>
      </c>
      <c r="AV313" s="318">
        <f>SUMIF(Consumo!$C$3:$C$869,tabItens[[#This Row],[CÓDIGO]],Consumo!$Y$3:$Y$869)</f>
        <v>24</v>
      </c>
      <c r="AW313" s="291">
        <f>tabItens[[#This Row],[QTDE ATUAL]] + tabItens[[#This Row],[RC QTDE]] + tabItens[[#This Row],[AF SALDO]] + tabItens[[#This Row],[Recentes]]</f>
        <v>227</v>
      </c>
      <c r="AX313" s="319">
        <v>24</v>
      </c>
      <c r="AY313" s="319">
        <v>4</v>
      </c>
      <c r="AZ313" s="319">
        <f>IF(ISBLANK(tabItens[[#This Row],[CÓDIGO]]),"",tabItens[[#This Row],[PontoMês]] * (AZ$2+tabItens[[#This Row],[PontoQtM]]))</f>
        <v>96</v>
      </c>
      <c r="BA313" s="318">
        <f>tabItens[[#This Row],[PontoPed]] - tabItens[[#This Row],[Saldo]] + (1/10)</f>
        <v>-130.9</v>
      </c>
      <c r="BB313" s="318">
        <f xml:space="preserve"> tabItens[[#This Row],[PontoMês]] * BB$2 - tabItens[[#This Row],[QTDE ATUAL]] - (1/10)</f>
        <v>-103.1</v>
      </c>
      <c r="BC313" s="320">
        <f>IF( tabItens[[#This Row],[PontoPed]]&gt;0, IF(tabItens[[#This Row],[PontoPed]]&lt;1, 1, IF( tabItens[[#This Row],[Saldo]]&gt;tabItens[[#This Row],[PontoPed]], 0, (tabItens[[#This Row],[PontoPed]]-tabItens[[#This Row],[Saldo]])/tabItens[[#This Row],[PontoPed]] ) ), 0 )</f>
        <v>0</v>
      </c>
      <c r="BD313" s="321">
        <f>ROUNDDOWN(IF( OR( AND(tabItens[[#This Row],[PontoPed]]&lt;tabItens[[#This Row],[Saldo]],tabItens[[#This Row],[Saldo]]&gt;0), tabItens[[#This Row],[PontoPed]]=0), 99, IF(AND(tabItens[[#This Row],[Saldo]]=0,tabItens[[#This Row],[PontoPed]]&gt;0), 0, (1-tabItens[[#This Row],[PctAb]])*10 ) ),0)</f>
        <v>99</v>
      </c>
      <c r="BE313" s="322">
        <f>MAX(ROUNDDOWN( IF(tabItens[[#This Row],[Abaixo]] &gt; 0,   tabItens[[#This Row],[Abaixo]] + (tabItens[[#This Row],[PontoMês]] * IF( OR( ISBLANK(tabItens[[#This Row],[ATA Nº/ANO]]), tabItens[[#This Row],[ATA Nº/ANO]] = ""),BE$2,BE$1)),0),0),0)</f>
        <v>0</v>
      </c>
      <c r="BF31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23">
        <f>SUMIF(Consumo!$C$3:$C$869,tabItens[[#This Row],[CÓDIGO]],Consumo!$E$3:$E$869)</f>
        <v>0</v>
      </c>
      <c r="BH313" s="324">
        <f>IF(AND(tabItens[[#This Row],[Pend]] &gt; 0,tabItens[[#This Row],[Consumo]] &lt;&gt; 0), tabItens[[#This Row],[Pend]] / tabItens[[#This Row],[Consumo]], 0 )</f>
        <v>0</v>
      </c>
      <c r="BI313" s="323"/>
      <c r="BJ313" s="323"/>
      <c r="BK313" s="325" t="s">
        <v>2064</v>
      </c>
    </row>
    <row r="314" spans="1:63" hidden="1" x14ac:dyDescent="0.3">
      <c r="A314" s="286">
        <v>13120</v>
      </c>
      <c r="B314" s="287" t="s">
        <v>1011</v>
      </c>
      <c r="C314" s="288" t="s">
        <v>256</v>
      </c>
      <c r="D314" s="289">
        <v>24</v>
      </c>
      <c r="E314" s="290"/>
      <c r="F314" s="290"/>
      <c r="G314" s="290" t="s">
        <v>883</v>
      </c>
      <c r="H314" s="291">
        <v>54</v>
      </c>
      <c r="I314" s="292">
        <v>103003</v>
      </c>
      <c r="J314" s="293">
        <v>24</v>
      </c>
      <c r="K314" s="294">
        <v>26</v>
      </c>
      <c r="L314" s="295">
        <f>IF(tabItens[[#This Row],[Média]] &gt; 0, tabItens[[#This Row],[QTDE ATUAL]] / tabItens[[#This Row],[Média]],999.9)</f>
        <v>24.923076923076923</v>
      </c>
      <c r="M314" s="296">
        <v>0</v>
      </c>
      <c r="N314" s="297">
        <f>tabItens[[#This Row],[VALOR UNIT.]] * tabItens[[#This Row],[LC]]</f>
        <v>0</v>
      </c>
      <c r="O314" s="298" t="s">
        <v>2084</v>
      </c>
      <c r="P314" s="299"/>
      <c r="Q314" s="300"/>
      <c r="R314" s="297"/>
      <c r="S314" s="301"/>
      <c r="T314" s="302">
        <f>ROUNDDOWN(IFERROR(tabItens[[#This Row],[ATA DT.VALID.]] - $D$1,0) / 30,0)</f>
        <v>-1504</v>
      </c>
      <c r="U314" s="287" t="s">
        <v>1009</v>
      </c>
      <c r="V314" s="303">
        <v>1</v>
      </c>
      <c r="W314" s="304" t="s">
        <v>2054</v>
      </c>
      <c r="X314" s="305">
        <v>61</v>
      </c>
      <c r="Y314" s="306">
        <v>15</v>
      </c>
      <c r="Z314" s="307"/>
      <c r="AA314" s="308"/>
      <c r="AB314" s="309"/>
      <c r="AC314" s="309"/>
      <c r="AD314" s="308"/>
      <c r="AE314" s="309"/>
      <c r="AF314" s="302"/>
      <c r="AG314" s="310" t="s">
        <v>2050</v>
      </c>
      <c r="AH314" s="311"/>
      <c r="AI314" s="302">
        <v>10</v>
      </c>
      <c r="AJ314" s="311">
        <v>44174</v>
      </c>
      <c r="AK314" s="311" t="s">
        <v>883</v>
      </c>
      <c r="AL314" s="311">
        <v>44133</v>
      </c>
      <c r="AM314" s="301"/>
      <c r="AN314" s="290"/>
      <c r="AO314" s="312" t="str">
        <f>_xlfn.IFNA(IF(VLOOKUP(tabItens[[#This Row],[CÓDIGO]],tabExcluirDoEstoque[#Data],1,FALSE),"sim",""),"")</f>
        <v/>
      </c>
      <c r="AP314" s="313" t="str">
        <f ca="1">IF(OR(ISBLANK(tabItens[[#This Row],[ATA DT.VALID.]]),tabItens[[#This Row],[ATA DT.VALID.]]="",tabItens[[#This Row],[ATA DT.VALID.]]=" "),"",IF(TYPE(tabItens[[#This Row],[ATA DT.VALID.]])=1,ROUNDUP((tabItens[[#This Row],[ATA DT.VALID.]]-TODAY())/7,0),""))</f>
        <v/>
      </c>
      <c r="AQ314" s="314">
        <v>0</v>
      </c>
      <c r="AR314" s="315" t="str">
        <f>IF(ISBLANK(tabItens[[#This Row],[CÓDIGO]]),"",IFERROR(VLOOKUP(tabItens[[#This Row],[CÓDIGO]],Consumo!$C$2:$AC$869,26,FALSE),0))</f>
        <v>05.2023</v>
      </c>
      <c r="AS314" s="316">
        <f>SUMIF(Consumo!$C$3:$C$869,tabItens[[#This Row],[CÓDIGO]],Consumo!$N$3:$N$869) + SUMIF(Consumo!$C$3:$C$869,tabItens[[#This Row],[CÓDIGO]],Consumo!$O$3:$O$869) + SUMIF(Consumo!$C$3:$C$869,tabItens[[#This Row],[CÓDIGO]],Consumo!$P$3:$P$869) + SUMIF(Consumo!$C$3:$C$869,tabItens[[#This Row],[CÓDIGO]],Consumo!$Q$3:$Q$869)</f>
        <v>18</v>
      </c>
      <c r="AT314" s="316">
        <f>SUMIF(Consumo!$C$3:$C$869,tabItens[[#This Row],[CÓDIGO]],Consumo!$Z$3:$Z$869)</f>
        <v>27</v>
      </c>
      <c r="AU314" s="317">
        <f>SUMIF(Consumo!$C$3:$C$869,tabItens[[#This Row],[CÓDIGO]],Consumo!$AA$3:$AA$869)</f>
        <v>10</v>
      </c>
      <c r="AV314" s="318">
        <f>SUMIF(Consumo!$C$3:$C$869,tabItens[[#This Row],[CÓDIGO]],Consumo!$Y$3:$Y$869)</f>
        <v>2.1666666666666665</v>
      </c>
      <c r="AW314" s="291">
        <f>tabItens[[#This Row],[QTDE ATUAL]] + tabItens[[#This Row],[RC QTDE]] + tabItens[[#This Row],[AF SALDO]] + tabItens[[#This Row],[Recentes]]</f>
        <v>54</v>
      </c>
      <c r="AX314" s="319">
        <v>5</v>
      </c>
      <c r="AY314" s="319">
        <v>4</v>
      </c>
      <c r="AZ314" s="319">
        <f>IF(ISBLANK(tabItens[[#This Row],[CÓDIGO]]),"",tabItens[[#This Row],[PontoMês]] * (AZ$2+tabItens[[#This Row],[PontoQtM]]))</f>
        <v>20</v>
      </c>
      <c r="BA314" s="318">
        <f>tabItens[[#This Row],[PontoPed]] - tabItens[[#This Row],[Saldo]] + (1/10)</f>
        <v>-33.9</v>
      </c>
      <c r="BB314" s="318">
        <f xml:space="preserve"> tabItens[[#This Row],[PontoMês]] * BB$2 - tabItens[[#This Row],[QTDE ATUAL]] - (1/10)</f>
        <v>-49.1</v>
      </c>
      <c r="BC314" s="320">
        <f>IF( tabItens[[#This Row],[PontoPed]]&gt;0, IF(tabItens[[#This Row],[PontoPed]]&lt;1, 1, IF( tabItens[[#This Row],[Saldo]]&gt;tabItens[[#This Row],[PontoPed]], 0, (tabItens[[#This Row],[PontoPed]]-tabItens[[#This Row],[Saldo]])/tabItens[[#This Row],[PontoPed]] ) ), 0 )</f>
        <v>0</v>
      </c>
      <c r="BD314" s="321">
        <f>ROUNDDOWN(IF( OR( AND(tabItens[[#This Row],[PontoPed]]&lt;tabItens[[#This Row],[Saldo]],tabItens[[#This Row],[Saldo]]&gt;0), tabItens[[#This Row],[PontoPed]]=0), 99, IF(AND(tabItens[[#This Row],[Saldo]]=0,tabItens[[#This Row],[PontoPed]]&gt;0), 0, (1-tabItens[[#This Row],[PctAb]])*10 ) ),0)</f>
        <v>99</v>
      </c>
      <c r="BE314" s="322">
        <f>MAX(ROUNDDOWN( IF(tabItens[[#This Row],[Abaixo]] &gt; 0,   tabItens[[#This Row],[Abaixo]] + (tabItens[[#This Row],[PontoMês]] * IF( OR( ISBLANK(tabItens[[#This Row],[ATA Nº/ANO]]), tabItens[[#This Row],[ATA Nº/ANO]] = ""),BE$2,BE$1)),0),0),0)</f>
        <v>0</v>
      </c>
      <c r="BF3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23">
        <f>SUMIF(Consumo!$C$3:$C$869,tabItens[[#This Row],[CÓDIGO]],Consumo!$E$3:$E$869)</f>
        <v>0</v>
      </c>
      <c r="BH314" s="324">
        <f>IF(AND(tabItens[[#This Row],[Pend]] &gt; 0,tabItens[[#This Row],[Consumo]] &lt;&gt; 0), tabItens[[#This Row],[Pend]] / tabItens[[#This Row],[Consumo]], 0 )</f>
        <v>0</v>
      </c>
      <c r="BI314" s="323"/>
      <c r="BJ314" s="323"/>
      <c r="BK314" s="325" t="s">
        <v>2064</v>
      </c>
    </row>
    <row r="315" spans="1:63" hidden="1" x14ac:dyDescent="0.3">
      <c r="A315" s="286">
        <v>15085</v>
      </c>
      <c r="B315" s="287" t="s">
        <v>1081</v>
      </c>
      <c r="C315" s="288" t="s">
        <v>256</v>
      </c>
      <c r="D315" s="289">
        <v>0.14000000000000001</v>
      </c>
      <c r="E315" s="290"/>
      <c r="F315" s="290"/>
      <c r="G315" s="290" t="s">
        <v>883</v>
      </c>
      <c r="H315" s="291">
        <v>559</v>
      </c>
      <c r="I315" s="292">
        <v>103003</v>
      </c>
      <c r="J315" s="293">
        <v>0.14000000000000001</v>
      </c>
      <c r="K315" s="294">
        <v>140</v>
      </c>
      <c r="L315" s="295">
        <f>IF(tabItens[[#This Row],[Média]] &gt; 0, tabItens[[#This Row],[QTDE ATUAL]] / tabItens[[#This Row],[Média]],999.9)</f>
        <v>47.574468085106382</v>
      </c>
      <c r="M315" s="296">
        <v>0</v>
      </c>
      <c r="N315" s="297">
        <f>tabItens[[#This Row],[VALOR UNIT.]] * tabItens[[#This Row],[LC]]</f>
        <v>0</v>
      </c>
      <c r="O315" s="298" t="s">
        <v>2084</v>
      </c>
      <c r="P315" s="299"/>
      <c r="Q315" s="300"/>
      <c r="R315" s="297"/>
      <c r="S315" s="301"/>
      <c r="T315" s="302">
        <f>ROUNDDOWN(IFERROR(tabItens[[#This Row],[ATA DT.VALID.]] - $D$1,0) / 30,0)</f>
        <v>-1504</v>
      </c>
      <c r="U315" s="287" t="s">
        <v>1009</v>
      </c>
      <c r="V315" s="303">
        <v>1</v>
      </c>
      <c r="W315" s="304" t="s">
        <v>2054</v>
      </c>
      <c r="X315" s="305">
        <v>61</v>
      </c>
      <c r="Y315" s="306">
        <v>15</v>
      </c>
      <c r="Z315" s="307"/>
      <c r="AA315" s="308"/>
      <c r="AB315" s="309"/>
      <c r="AC315" s="309"/>
      <c r="AD315" s="308"/>
      <c r="AE315" s="309"/>
      <c r="AF315" s="302"/>
      <c r="AG315" s="310" t="s">
        <v>2050</v>
      </c>
      <c r="AH315" s="311"/>
      <c r="AI315" s="302">
        <v>50</v>
      </c>
      <c r="AJ315" s="311">
        <v>39752</v>
      </c>
      <c r="AK315" s="311" t="s">
        <v>883</v>
      </c>
      <c r="AL315" s="311">
        <v>42501</v>
      </c>
      <c r="AM315" s="301"/>
      <c r="AN315" s="290"/>
      <c r="AO315" s="312" t="str">
        <f>_xlfn.IFNA(IF(VLOOKUP(tabItens[[#This Row],[CÓDIGO]],tabExcluirDoEstoque[#Data],1,FALSE),"sim",""),"")</f>
        <v/>
      </c>
      <c r="AP315" s="313" t="str">
        <f ca="1">IF(OR(ISBLANK(tabItens[[#This Row],[ATA DT.VALID.]]),tabItens[[#This Row],[ATA DT.VALID.]]="",tabItens[[#This Row],[ATA DT.VALID.]]=" "),"",IF(TYPE(tabItens[[#This Row],[ATA DT.VALID.]])=1,ROUNDUP((tabItens[[#This Row],[ATA DT.VALID.]]-TODAY())/7,0),""))</f>
        <v/>
      </c>
      <c r="AQ315" s="314">
        <v>0</v>
      </c>
      <c r="AR315" s="315" t="str">
        <f>IF(ISBLANK(tabItens[[#This Row],[CÓDIGO]]),"",IFERROR(VLOOKUP(tabItens[[#This Row],[CÓDIGO]],Consumo!$C$2:$AC$869,26,FALSE),0))</f>
        <v>07.2023</v>
      </c>
      <c r="AS315" s="316">
        <f>SUMIF(Consumo!$C$3:$C$869,tabItens[[#This Row],[CÓDIGO]],Consumo!$N$3:$N$869) + SUMIF(Consumo!$C$3:$C$869,tabItens[[#This Row],[CÓDIGO]],Consumo!$O$3:$O$869) + SUMIF(Consumo!$C$3:$C$869,tabItens[[#This Row],[CÓDIGO]],Consumo!$P$3:$P$869) + SUMIF(Consumo!$C$3:$C$869,tabItens[[#This Row],[CÓDIGO]],Consumo!$Q$3:$Q$869)</f>
        <v>61</v>
      </c>
      <c r="AT315" s="316">
        <f>SUMIF(Consumo!$C$3:$C$869,tabItens[[#This Row],[CÓDIGO]],Consumo!$Z$3:$Z$869)</f>
        <v>141</v>
      </c>
      <c r="AU315" s="317">
        <f>SUMIF(Consumo!$C$3:$C$869,tabItens[[#This Row],[CÓDIGO]],Consumo!$AA$3:$AA$869)</f>
        <v>30</v>
      </c>
      <c r="AV315" s="318">
        <f>SUMIF(Consumo!$C$3:$C$869,tabItens[[#This Row],[CÓDIGO]],Consumo!$Y$3:$Y$869)</f>
        <v>11.75</v>
      </c>
      <c r="AW315" s="291">
        <f>tabItens[[#This Row],[QTDE ATUAL]] + tabItens[[#This Row],[RC QTDE]] + tabItens[[#This Row],[AF SALDO]] + tabItens[[#This Row],[Recentes]]</f>
        <v>559</v>
      </c>
      <c r="AX315" s="319">
        <v>11</v>
      </c>
      <c r="AY315" s="319">
        <v>4</v>
      </c>
      <c r="AZ315" s="319">
        <f>IF(ISBLANK(tabItens[[#This Row],[CÓDIGO]]),"",tabItens[[#This Row],[PontoMês]] * (AZ$2+tabItens[[#This Row],[PontoQtM]]))</f>
        <v>44</v>
      </c>
      <c r="BA315" s="318">
        <f>tabItens[[#This Row],[PontoPed]] - tabItens[[#This Row],[Saldo]] + (1/10)</f>
        <v>-514.9</v>
      </c>
      <c r="BB315" s="318">
        <f xml:space="preserve"> tabItens[[#This Row],[PontoMês]] * BB$2 - tabItens[[#This Row],[QTDE ATUAL]] - (1/10)</f>
        <v>-548.1</v>
      </c>
      <c r="BC315" s="320">
        <f>IF( tabItens[[#This Row],[PontoPed]]&gt;0, IF(tabItens[[#This Row],[PontoPed]]&lt;1, 1, IF( tabItens[[#This Row],[Saldo]]&gt;tabItens[[#This Row],[PontoPed]], 0, (tabItens[[#This Row],[PontoPed]]-tabItens[[#This Row],[Saldo]])/tabItens[[#This Row],[PontoPed]] ) ), 0 )</f>
        <v>0</v>
      </c>
      <c r="BD315" s="321">
        <f>ROUNDDOWN(IF( OR( AND(tabItens[[#This Row],[PontoPed]]&lt;tabItens[[#This Row],[Saldo]],tabItens[[#This Row],[Saldo]]&gt;0), tabItens[[#This Row],[PontoPed]]=0), 99, IF(AND(tabItens[[#This Row],[Saldo]]=0,tabItens[[#This Row],[PontoPed]]&gt;0), 0, (1-tabItens[[#This Row],[PctAb]])*10 ) ),0)</f>
        <v>99</v>
      </c>
      <c r="BE315" s="322">
        <f>MAX(ROUNDDOWN( IF(tabItens[[#This Row],[Abaixo]] &gt; 0,   tabItens[[#This Row],[Abaixo]] + (tabItens[[#This Row],[PontoMês]] * IF( OR( ISBLANK(tabItens[[#This Row],[ATA Nº/ANO]]), tabItens[[#This Row],[ATA Nº/ANO]] = ""),BE$2,BE$1)),0),0),0)</f>
        <v>0</v>
      </c>
      <c r="BF3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23">
        <f>SUMIF(Consumo!$C$3:$C$869,tabItens[[#This Row],[CÓDIGO]],Consumo!$E$3:$E$869)</f>
        <v>0</v>
      </c>
      <c r="BH315" s="324">
        <f>IF(AND(tabItens[[#This Row],[Pend]] &gt; 0,tabItens[[#This Row],[Consumo]] &lt;&gt; 0), tabItens[[#This Row],[Pend]] / tabItens[[#This Row],[Consumo]], 0 )</f>
        <v>0</v>
      </c>
      <c r="BI315" s="323"/>
      <c r="BJ315" s="323"/>
      <c r="BK315" s="325" t="s">
        <v>2064</v>
      </c>
    </row>
    <row r="316" spans="1:63" hidden="1" x14ac:dyDescent="0.3">
      <c r="A316" s="286">
        <v>27760</v>
      </c>
      <c r="B316" s="287" t="s">
        <v>1226</v>
      </c>
      <c r="C316" s="288" t="s">
        <v>256</v>
      </c>
      <c r="D316" s="289">
        <v>56</v>
      </c>
      <c r="E316" s="290"/>
      <c r="F316" s="290"/>
      <c r="G316" s="290" t="s">
        <v>883</v>
      </c>
      <c r="H316" s="291">
        <v>28</v>
      </c>
      <c r="I316" s="292">
        <v>103003</v>
      </c>
      <c r="J316" s="293">
        <v>56</v>
      </c>
      <c r="K316" s="294">
        <v>44</v>
      </c>
      <c r="L316" s="295">
        <f>IF(tabItens[[#This Row],[Média]] &gt; 0, tabItens[[#This Row],[QTDE ATUAL]] / tabItens[[#This Row],[Média]],999.9)</f>
        <v>8</v>
      </c>
      <c r="M316" s="296">
        <v>0</v>
      </c>
      <c r="N316" s="297">
        <f>tabItens[[#This Row],[VALOR UNIT.]] * tabItens[[#This Row],[LC]]</f>
        <v>0</v>
      </c>
      <c r="O316" s="298" t="s">
        <v>2084</v>
      </c>
      <c r="P316" s="299"/>
      <c r="Q316" s="300"/>
      <c r="R316" s="297"/>
      <c r="S316" s="301"/>
      <c r="T316" s="302">
        <f>ROUNDDOWN(IFERROR(tabItens[[#This Row],[ATA DT.VALID.]] - $D$1,0) / 30,0)</f>
        <v>-1504</v>
      </c>
      <c r="U316" s="287" t="s">
        <v>1009</v>
      </c>
      <c r="V316" s="303">
        <v>1</v>
      </c>
      <c r="W316" s="304" t="s">
        <v>2054</v>
      </c>
      <c r="X316" s="305">
        <v>61</v>
      </c>
      <c r="Y316" s="306">
        <v>15</v>
      </c>
      <c r="Z316" s="307">
        <v>2555</v>
      </c>
      <c r="AA316" s="308">
        <v>2023</v>
      </c>
      <c r="AB316" s="309">
        <v>20</v>
      </c>
      <c r="AC316" s="309"/>
      <c r="AD316" s="308"/>
      <c r="AE316" s="309"/>
      <c r="AF316" s="302"/>
      <c r="AG316" s="310" t="s">
        <v>2050</v>
      </c>
      <c r="AH316" s="311"/>
      <c r="AI316" s="302">
        <v>16</v>
      </c>
      <c r="AJ316" s="311">
        <v>44236</v>
      </c>
      <c r="AK316" s="311" t="s">
        <v>883</v>
      </c>
      <c r="AL316" s="311">
        <v>44286</v>
      </c>
      <c r="AM316" s="301"/>
      <c r="AN316" s="290"/>
      <c r="AO316" s="312" t="str">
        <f>_xlfn.IFNA(IF(VLOOKUP(tabItens[[#This Row],[CÓDIGO]],tabExcluirDoEstoque[#Data],1,FALSE),"sim",""),"")</f>
        <v/>
      </c>
      <c r="AP316" s="313" t="str">
        <f ca="1">IF(OR(ISBLANK(tabItens[[#This Row],[ATA DT.VALID.]]),tabItens[[#This Row],[ATA DT.VALID.]]="",tabItens[[#This Row],[ATA DT.VALID.]]=" "),"",IF(TYPE(tabItens[[#This Row],[ATA DT.VALID.]])=1,ROUNDUP((tabItens[[#This Row],[ATA DT.VALID.]]-TODAY())/7,0),""))</f>
        <v/>
      </c>
      <c r="AQ316" s="314">
        <v>0</v>
      </c>
      <c r="AR316" s="315" t="str">
        <f>IF(ISBLANK(tabItens[[#This Row],[CÓDIGO]]),"",IFERROR(VLOOKUP(tabItens[[#This Row],[CÓDIGO]],Consumo!$C$2:$AC$869,26,FALSE),0))</f>
        <v>06.2023</v>
      </c>
      <c r="AS316" s="316">
        <f>SUMIF(Consumo!$C$3:$C$869,tabItens[[#This Row],[CÓDIGO]],Consumo!$N$3:$N$869) + SUMIF(Consumo!$C$3:$C$869,tabItens[[#This Row],[CÓDIGO]],Consumo!$O$3:$O$869) + SUMIF(Consumo!$C$3:$C$869,tabItens[[#This Row],[CÓDIGO]],Consumo!$P$3:$P$869) + SUMIF(Consumo!$C$3:$C$869,tabItens[[#This Row],[CÓDIGO]],Consumo!$Q$3:$Q$869)</f>
        <v>28</v>
      </c>
      <c r="AT316" s="316">
        <f>SUMIF(Consumo!$C$3:$C$869,tabItens[[#This Row],[CÓDIGO]],Consumo!$Z$3:$Z$869)</f>
        <v>47</v>
      </c>
      <c r="AU316" s="317">
        <f>SUMIF(Consumo!$C$3:$C$869,tabItens[[#This Row],[CÓDIGO]],Consumo!$AA$3:$AA$869)</f>
        <v>20</v>
      </c>
      <c r="AV316" s="318">
        <f>SUMIF(Consumo!$C$3:$C$869,tabItens[[#This Row],[CÓDIGO]],Consumo!$Y$3:$Y$869)</f>
        <v>3.5</v>
      </c>
      <c r="AW316" s="291">
        <f>tabItens[[#This Row],[QTDE ATUAL]] + tabItens[[#This Row],[RC QTDE]] + tabItens[[#This Row],[AF SALDO]] + tabItens[[#This Row],[Recentes]]</f>
        <v>48</v>
      </c>
      <c r="AX316" s="319">
        <v>5</v>
      </c>
      <c r="AY316" s="319">
        <v>4</v>
      </c>
      <c r="AZ316" s="319">
        <f>IF(ISBLANK(tabItens[[#This Row],[CÓDIGO]]),"",tabItens[[#This Row],[PontoMês]] * (AZ$2+tabItens[[#This Row],[PontoQtM]]))</f>
        <v>20</v>
      </c>
      <c r="BA316" s="318">
        <f>tabItens[[#This Row],[PontoPed]] - tabItens[[#This Row],[Saldo]] + (1/10)</f>
        <v>-27.9</v>
      </c>
      <c r="BB316" s="318">
        <f xml:space="preserve"> tabItens[[#This Row],[PontoMês]] * BB$2 - tabItens[[#This Row],[QTDE ATUAL]] - (1/10)</f>
        <v>-23.1</v>
      </c>
      <c r="BC316" s="320">
        <f>IF( tabItens[[#This Row],[PontoPed]]&gt;0, IF(tabItens[[#This Row],[PontoPed]]&lt;1, 1, IF( tabItens[[#This Row],[Saldo]]&gt;tabItens[[#This Row],[PontoPed]], 0, (tabItens[[#This Row],[PontoPed]]-tabItens[[#This Row],[Saldo]])/tabItens[[#This Row],[PontoPed]] ) ), 0 )</f>
        <v>0</v>
      </c>
      <c r="BD316" s="321">
        <f>ROUNDDOWN(IF( OR( AND(tabItens[[#This Row],[PontoPed]]&lt;tabItens[[#This Row],[Saldo]],tabItens[[#This Row],[Saldo]]&gt;0), tabItens[[#This Row],[PontoPed]]=0), 99, IF(AND(tabItens[[#This Row],[Saldo]]=0,tabItens[[#This Row],[PontoPed]]&gt;0), 0, (1-tabItens[[#This Row],[PctAb]])*10 ) ),0)</f>
        <v>99</v>
      </c>
      <c r="BE316" s="322">
        <f>MAX(ROUNDDOWN( IF(tabItens[[#This Row],[Abaixo]] &gt; 0,   tabItens[[#This Row],[Abaixo]] + (tabItens[[#This Row],[PontoMês]] * IF( OR( ISBLANK(tabItens[[#This Row],[ATA Nº/ANO]]), tabItens[[#This Row],[ATA Nº/ANO]] = ""),BE$2,BE$1)),0),0),0)</f>
        <v>0</v>
      </c>
      <c r="BF3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23">
        <f>SUMIF(Consumo!$C$3:$C$869,tabItens[[#This Row],[CÓDIGO]],Consumo!$E$3:$E$869)</f>
        <v>0</v>
      </c>
      <c r="BH316" s="324">
        <f>IF(AND(tabItens[[#This Row],[Pend]] &gt; 0,tabItens[[#This Row],[Consumo]] &lt;&gt; 0), tabItens[[#This Row],[Pend]] / tabItens[[#This Row],[Consumo]], 0 )</f>
        <v>0</v>
      </c>
      <c r="BI316" s="323"/>
      <c r="BJ316" s="323"/>
      <c r="BK316" s="325" t="s">
        <v>2064</v>
      </c>
    </row>
    <row r="317" spans="1:63" x14ac:dyDescent="0.3">
      <c r="A317" s="396">
        <v>35224</v>
      </c>
      <c r="B317" s="397" t="s">
        <v>1256</v>
      </c>
      <c r="C317" s="398" t="s">
        <v>256</v>
      </c>
      <c r="D317" s="399">
        <v>48</v>
      </c>
      <c r="E317" s="290"/>
      <c r="F317" s="400"/>
      <c r="G317" s="400" t="s">
        <v>883</v>
      </c>
      <c r="H317" s="401">
        <v>0</v>
      </c>
      <c r="I317" s="292">
        <v>103003</v>
      </c>
      <c r="J317" s="293">
        <v>48</v>
      </c>
      <c r="K317" s="402">
        <v>19</v>
      </c>
      <c r="L317" s="403">
        <f>IF(tabItens[[#This Row],[Média]] &gt; 0, tabItens[[#This Row],[QTDE ATUAL]] / tabItens[[#This Row],[Média]],999.9)</f>
        <v>0</v>
      </c>
      <c r="M317" s="404">
        <v>0</v>
      </c>
      <c r="N317" s="405">
        <f>tabItens[[#This Row],[VALOR UNIT.]] * tabItens[[#This Row],[LC]]</f>
        <v>0</v>
      </c>
      <c r="O317" s="406" t="s">
        <v>2084</v>
      </c>
      <c r="P317" s="407"/>
      <c r="Q317" s="408"/>
      <c r="R317" s="297"/>
      <c r="S317" s="409"/>
      <c r="T317" s="410">
        <f>ROUNDDOWN(IFERROR(tabItens[[#This Row],[ATA DT.VALID.]] - $D$1,0) / 30,0)</f>
        <v>-1504</v>
      </c>
      <c r="U317" s="287" t="s">
        <v>1009</v>
      </c>
      <c r="V317" s="303">
        <v>1</v>
      </c>
      <c r="W317" s="411" t="s">
        <v>2054</v>
      </c>
      <c r="X317" s="412">
        <v>61</v>
      </c>
      <c r="Y317" s="413">
        <v>15</v>
      </c>
      <c r="Z317" s="414">
        <v>2556</v>
      </c>
      <c r="AA317" s="415">
        <v>2023</v>
      </c>
      <c r="AB317" s="416">
        <v>20</v>
      </c>
      <c r="AC317" s="416"/>
      <c r="AD317" s="415"/>
      <c r="AE317" s="416"/>
      <c r="AF317" s="302"/>
      <c r="AG317" s="417" t="s">
        <v>2050</v>
      </c>
      <c r="AH317" s="418"/>
      <c r="AI317" s="302">
        <v>8</v>
      </c>
      <c r="AJ317" s="418">
        <v>44558</v>
      </c>
      <c r="AK317" s="311" t="s">
        <v>883</v>
      </c>
      <c r="AL317" s="311">
        <v>44750</v>
      </c>
      <c r="AM317" s="301"/>
      <c r="AN317" s="290"/>
      <c r="AO317" s="312" t="str">
        <f>_xlfn.IFNA(IF(VLOOKUP(tabItens[[#This Row],[CÓDIGO]],tabExcluirDoEstoque[#Data],1,FALSE),"sim",""),"")</f>
        <v/>
      </c>
      <c r="AP317" s="419" t="str">
        <f ca="1">IF(OR(ISBLANK(tabItens[[#This Row],[ATA DT.VALID.]]),tabItens[[#This Row],[ATA DT.VALID.]]="",tabItens[[#This Row],[ATA DT.VALID.]]=" "),"",IF(TYPE(tabItens[[#This Row],[ATA DT.VALID.]])=1,ROUNDUP((tabItens[[#This Row],[ATA DT.VALID.]]-TODAY())/7,0),""))</f>
        <v/>
      </c>
      <c r="AQ317" s="314">
        <v>0</v>
      </c>
      <c r="AR317" s="315" t="str">
        <f>IF(ISBLANK(tabItens[[#This Row],[CÓDIGO]]),"",IFERROR(VLOOKUP(tabItens[[#This Row],[CÓDIGO]],Consumo!$C$2:$AC$869,26,FALSE),0))</f>
        <v>05.2023</v>
      </c>
      <c r="AS317" s="316">
        <f>SUMIF(Consumo!$C$3:$C$869,tabItens[[#This Row],[CÓDIGO]],Consumo!$N$3:$N$869) + SUMIF(Consumo!$C$3:$C$869,tabItens[[#This Row],[CÓDIGO]],Consumo!$O$3:$O$869) + SUMIF(Consumo!$C$3:$C$869,tabItens[[#This Row],[CÓDIGO]],Consumo!$P$3:$P$869) + SUMIF(Consumo!$C$3:$C$869,tabItens[[#This Row],[CÓDIGO]],Consumo!$Q$3:$Q$869)</f>
        <v>7</v>
      </c>
      <c r="AT317" s="316">
        <f>SUMIF(Consumo!$C$3:$C$869,tabItens[[#This Row],[CÓDIGO]],Consumo!$Z$3:$Z$869)</f>
        <v>22</v>
      </c>
      <c r="AU317" s="317">
        <f>SUMIF(Consumo!$C$3:$C$869,tabItens[[#This Row],[CÓDIGO]],Consumo!$AA$3:$AA$869)</f>
        <v>6</v>
      </c>
      <c r="AV317" s="318">
        <f>SUMIF(Consumo!$C$3:$C$869,tabItens[[#This Row],[CÓDIGO]],Consumo!$Y$3:$Y$869)</f>
        <v>1.75</v>
      </c>
      <c r="AW317" s="401">
        <f>tabItens[[#This Row],[QTDE ATUAL]] + tabItens[[#This Row],[RC QTDE]] + tabItens[[#This Row],[AF SALDO]] + tabItens[[#This Row],[Recentes]]</f>
        <v>20</v>
      </c>
      <c r="AX317" s="420">
        <v>3</v>
      </c>
      <c r="AY317" s="420">
        <v>4</v>
      </c>
      <c r="AZ317" s="420">
        <f>IF(ISBLANK(tabItens[[#This Row],[CÓDIGO]]),"",tabItens[[#This Row],[PontoMês]] * (AZ$2+tabItens[[#This Row],[PontoQtM]]))</f>
        <v>12</v>
      </c>
      <c r="BA317" s="421">
        <f>tabItens[[#This Row],[PontoPed]] - tabItens[[#This Row],[Saldo]] + (1/10)</f>
        <v>-7.9</v>
      </c>
      <c r="BB317" s="421">
        <f xml:space="preserve"> tabItens[[#This Row],[PontoMês]] * BB$2 - tabItens[[#This Row],[QTDE ATUAL]] - (1/10)</f>
        <v>2.9</v>
      </c>
      <c r="BC317" s="320">
        <f>IF( tabItens[[#This Row],[PontoPed]]&gt;0, IF(tabItens[[#This Row],[PontoPed]]&lt;1, 1, IF( tabItens[[#This Row],[Saldo]]&gt;tabItens[[#This Row],[PontoPed]], 0, (tabItens[[#This Row],[PontoPed]]-tabItens[[#This Row],[Saldo]])/tabItens[[#This Row],[PontoPed]] ) ), 0 )</f>
        <v>0</v>
      </c>
      <c r="BD317" s="422">
        <f>ROUNDDOWN(IF( OR( AND(tabItens[[#This Row],[PontoPed]]&lt;tabItens[[#This Row],[Saldo]],tabItens[[#This Row],[Saldo]]&gt;0), tabItens[[#This Row],[PontoPed]]=0), 99, IF(AND(tabItens[[#This Row],[Saldo]]=0,tabItens[[#This Row],[PontoPed]]&gt;0), 0, (1-tabItens[[#This Row],[PctAb]])*10 ) ),0)</f>
        <v>99</v>
      </c>
      <c r="BE317" s="423">
        <f>MAX(ROUNDDOWN( IF(tabItens[[#This Row],[Abaixo]] &gt; 0,   tabItens[[#This Row],[Abaixo]] + (tabItens[[#This Row],[PontoMês]] * IF( OR( ISBLANK(tabItens[[#This Row],[ATA Nº/ANO]]), tabItens[[#This Row],[ATA Nº/ANO]] = ""),BE$2,BE$1)),0),0),0)</f>
        <v>0</v>
      </c>
      <c r="BF31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23">
        <f>SUMIF(Consumo!$C$3:$C$869,tabItens[[#This Row],[CÓDIGO]],Consumo!$E$3:$E$869)</f>
        <v>0</v>
      </c>
      <c r="BH317" s="324">
        <f>IF(AND(tabItens[[#This Row],[Pend]] &gt; 0,tabItens[[#This Row],[Consumo]] &lt;&gt; 0), tabItens[[#This Row],[Pend]] / tabItens[[#This Row],[Consumo]], 0 )</f>
        <v>0</v>
      </c>
      <c r="BI317" s="323"/>
      <c r="BJ317" s="424"/>
      <c r="BK317" s="425" t="s">
        <v>2064</v>
      </c>
    </row>
    <row r="318" spans="1:63" hidden="1" x14ac:dyDescent="0.3">
      <c r="A318" s="286">
        <v>65173</v>
      </c>
      <c r="B318" s="287" t="s">
        <v>1389</v>
      </c>
      <c r="C318" s="288" t="s">
        <v>256</v>
      </c>
      <c r="D318" s="289">
        <v>63.75</v>
      </c>
      <c r="E318" s="290"/>
      <c r="F318" s="290"/>
      <c r="G318" s="290" t="s">
        <v>883</v>
      </c>
      <c r="H318" s="291">
        <v>54</v>
      </c>
      <c r="I318" s="292">
        <v>103003</v>
      </c>
      <c r="J318" s="293">
        <v>63.75</v>
      </c>
      <c r="K318" s="294">
        <v>78</v>
      </c>
      <c r="L318" s="295">
        <f>IF(tabItens[[#This Row],[Média]] &gt; 0, tabItens[[#This Row],[QTDE ATUAL]] / tabItens[[#This Row],[Média]],999.9)</f>
        <v>7.6235294117647063</v>
      </c>
      <c r="M318" s="296">
        <v>0</v>
      </c>
      <c r="N318" s="297">
        <f>tabItens[[#This Row],[VALOR UNIT.]] * tabItens[[#This Row],[LC]]</f>
        <v>0</v>
      </c>
      <c r="O318" s="298" t="s">
        <v>2084</v>
      </c>
      <c r="P318" s="299"/>
      <c r="Q318" s="300"/>
      <c r="R318" s="297"/>
      <c r="S318" s="301"/>
      <c r="T318" s="302">
        <f>ROUNDDOWN(IFERROR(tabItens[[#This Row],[ATA DT.VALID.]] - $D$1,0) / 30,0)</f>
        <v>-1504</v>
      </c>
      <c r="U318" s="287" t="s">
        <v>1009</v>
      </c>
      <c r="V318" s="303">
        <v>1</v>
      </c>
      <c r="W318" s="304" t="s">
        <v>2054</v>
      </c>
      <c r="X318" s="305">
        <v>61</v>
      </c>
      <c r="Y318" s="306">
        <v>15</v>
      </c>
      <c r="Z318" s="307">
        <v>2960</v>
      </c>
      <c r="AA318" s="308">
        <v>2023</v>
      </c>
      <c r="AB318" s="309">
        <v>50</v>
      </c>
      <c r="AC318" s="309"/>
      <c r="AD318" s="308"/>
      <c r="AE318" s="309"/>
      <c r="AF318" s="302"/>
      <c r="AG318" s="310" t="s">
        <v>2050</v>
      </c>
      <c r="AH318" s="311"/>
      <c r="AI318" s="302">
        <v>30</v>
      </c>
      <c r="AJ318" s="311">
        <v>44733</v>
      </c>
      <c r="AK318" s="311" t="s">
        <v>883</v>
      </c>
      <c r="AL318" s="311">
        <v>45077</v>
      </c>
      <c r="AM318" s="301"/>
      <c r="AN318" s="290"/>
      <c r="AO318" s="312" t="str">
        <f>_xlfn.IFNA(IF(VLOOKUP(tabItens[[#This Row],[CÓDIGO]],tabExcluirDoEstoque[#Data],1,FALSE),"sim",""),"")</f>
        <v/>
      </c>
      <c r="AP318" s="313" t="str">
        <f ca="1">IF(OR(ISBLANK(tabItens[[#This Row],[ATA DT.VALID.]]),tabItens[[#This Row],[ATA DT.VALID.]]="",tabItens[[#This Row],[ATA DT.VALID.]]=" "),"",IF(TYPE(tabItens[[#This Row],[ATA DT.VALID.]])=1,ROUNDUP((tabItens[[#This Row],[ATA DT.VALID.]]-TODAY())/7,0),""))</f>
        <v/>
      </c>
      <c r="AQ318" s="314">
        <v>0</v>
      </c>
      <c r="AR318" s="315" t="str">
        <f>IF(ISBLANK(tabItens[[#This Row],[CÓDIGO]]),"",IFERROR(VLOOKUP(tabItens[[#This Row],[CÓDIGO]],Consumo!$C$2:$AC$869,26,FALSE),0))</f>
        <v>05.2023</v>
      </c>
      <c r="AS318" s="316">
        <f>SUMIF(Consumo!$C$3:$C$869,tabItens[[#This Row],[CÓDIGO]],Consumo!$N$3:$N$869) + SUMIF(Consumo!$C$3:$C$869,tabItens[[#This Row],[CÓDIGO]],Consumo!$O$3:$O$869) + SUMIF(Consumo!$C$3:$C$869,tabItens[[#This Row],[CÓDIGO]],Consumo!$P$3:$P$869) + SUMIF(Consumo!$C$3:$C$869,tabItens[[#This Row],[CÓDIGO]],Consumo!$Q$3:$Q$869)</f>
        <v>49</v>
      </c>
      <c r="AT318" s="316">
        <f>SUMIF(Consumo!$C$3:$C$869,tabItens[[#This Row],[CÓDIGO]],Consumo!$Z$3:$Z$869)</f>
        <v>90</v>
      </c>
      <c r="AU318" s="317">
        <f>SUMIF(Consumo!$C$3:$C$869,tabItens[[#This Row],[CÓDIGO]],Consumo!$AA$3:$AA$869)</f>
        <v>30</v>
      </c>
      <c r="AV318" s="318">
        <f>SUMIF(Consumo!$C$3:$C$869,tabItens[[#This Row],[CÓDIGO]],Consumo!$Y$3:$Y$869)</f>
        <v>7.083333333333333</v>
      </c>
      <c r="AW318" s="291">
        <f>tabItens[[#This Row],[QTDE ATUAL]] + tabItens[[#This Row],[RC QTDE]] + tabItens[[#This Row],[AF SALDO]] + tabItens[[#This Row],[Recentes]]</f>
        <v>104</v>
      </c>
      <c r="AX318" s="319">
        <v>8</v>
      </c>
      <c r="AY318" s="319">
        <v>4</v>
      </c>
      <c r="AZ318" s="319">
        <f>IF(ISBLANK(tabItens[[#This Row],[CÓDIGO]]),"",tabItens[[#This Row],[PontoMês]] * (AZ$2+tabItens[[#This Row],[PontoQtM]]))</f>
        <v>32</v>
      </c>
      <c r="BA318" s="318">
        <f>tabItens[[#This Row],[PontoPed]] - tabItens[[#This Row],[Saldo]] + (1/10)</f>
        <v>-71.900000000000006</v>
      </c>
      <c r="BB318" s="318">
        <f xml:space="preserve"> tabItens[[#This Row],[PontoMês]] * BB$2 - tabItens[[#This Row],[QTDE ATUAL]] - (1/10)</f>
        <v>-46.1</v>
      </c>
      <c r="BC318" s="320">
        <f>IF( tabItens[[#This Row],[PontoPed]]&gt;0, IF(tabItens[[#This Row],[PontoPed]]&lt;1, 1, IF( tabItens[[#This Row],[Saldo]]&gt;tabItens[[#This Row],[PontoPed]], 0, (tabItens[[#This Row],[PontoPed]]-tabItens[[#This Row],[Saldo]])/tabItens[[#This Row],[PontoPed]] ) ), 0 )</f>
        <v>0</v>
      </c>
      <c r="BD318" s="321">
        <f>ROUNDDOWN(IF( OR( AND(tabItens[[#This Row],[PontoPed]]&lt;tabItens[[#This Row],[Saldo]],tabItens[[#This Row],[Saldo]]&gt;0), tabItens[[#This Row],[PontoPed]]=0), 99, IF(AND(tabItens[[#This Row],[Saldo]]=0,tabItens[[#This Row],[PontoPed]]&gt;0), 0, (1-tabItens[[#This Row],[PctAb]])*10 ) ),0)</f>
        <v>99</v>
      </c>
      <c r="BE318" s="322">
        <f>MAX(ROUNDDOWN( IF(tabItens[[#This Row],[Abaixo]] &gt; 0,   tabItens[[#This Row],[Abaixo]] + (tabItens[[#This Row],[PontoMês]] * IF( OR( ISBLANK(tabItens[[#This Row],[ATA Nº/ANO]]), tabItens[[#This Row],[ATA Nº/ANO]] = ""),BE$2,BE$1)),0),0),0)</f>
        <v>0</v>
      </c>
      <c r="BF31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23">
        <f>SUMIF(Consumo!$C$3:$C$869,tabItens[[#This Row],[CÓDIGO]],Consumo!$E$3:$E$869)</f>
        <v>0</v>
      </c>
      <c r="BH318" s="324">
        <f>IF(AND(tabItens[[#This Row],[Pend]] &gt; 0,tabItens[[#This Row],[Consumo]] &lt;&gt; 0), tabItens[[#This Row],[Pend]] / tabItens[[#This Row],[Consumo]], 0 )</f>
        <v>0</v>
      </c>
      <c r="BI318" s="323"/>
      <c r="BJ318" s="323"/>
      <c r="BK318" s="325" t="s">
        <v>2064</v>
      </c>
    </row>
    <row r="319" spans="1:63" hidden="1" x14ac:dyDescent="0.3">
      <c r="A319" s="286">
        <v>81563</v>
      </c>
      <c r="B319" s="287" t="s">
        <v>1470</v>
      </c>
      <c r="C319" s="288" t="s">
        <v>297</v>
      </c>
      <c r="D319" s="289">
        <v>24.87</v>
      </c>
      <c r="E319" s="290"/>
      <c r="F319" s="290"/>
      <c r="G319" s="290" t="s">
        <v>883</v>
      </c>
      <c r="H319" s="291">
        <v>47</v>
      </c>
      <c r="I319" s="292">
        <v>103003</v>
      </c>
      <c r="J319" s="293">
        <v>24.87</v>
      </c>
      <c r="K319" s="294"/>
      <c r="L319" s="295">
        <f>IF(tabItens[[#This Row],[Média]] &gt; 0, tabItens[[#This Row],[QTDE ATUAL]] / tabItens[[#This Row],[Média]],999.9)</f>
        <v>999.9</v>
      </c>
      <c r="M319" s="296">
        <v>0</v>
      </c>
      <c r="N319" s="297">
        <f>tabItens[[#This Row],[VALOR UNIT.]] * tabItens[[#This Row],[LC]]</f>
        <v>0</v>
      </c>
      <c r="O319" s="298" t="s">
        <v>2084</v>
      </c>
      <c r="P319" s="299"/>
      <c r="Q319" s="300"/>
      <c r="R319" s="297"/>
      <c r="S319" s="301"/>
      <c r="T319" s="302">
        <f>ROUNDDOWN(IFERROR(tabItens[[#This Row],[ATA DT.VALID.]] - $D$1,0) / 30,0)</f>
        <v>-1504</v>
      </c>
      <c r="U319" s="287" t="s">
        <v>1009</v>
      </c>
      <c r="V319" s="303">
        <v>1</v>
      </c>
      <c r="W319" s="304" t="s">
        <v>2054</v>
      </c>
      <c r="X319" s="305">
        <v>61</v>
      </c>
      <c r="Y319" s="306">
        <v>15</v>
      </c>
      <c r="Z319" s="307"/>
      <c r="AA319" s="308"/>
      <c r="AB319" s="309"/>
      <c r="AC319" s="309"/>
      <c r="AD319" s="308"/>
      <c r="AE319" s="309"/>
      <c r="AF319" s="302"/>
      <c r="AG319" s="310" t="s">
        <v>2050</v>
      </c>
      <c r="AH319" s="311"/>
      <c r="AI319" s="302">
        <v>0</v>
      </c>
      <c r="AJ319" s="311">
        <v>44281</v>
      </c>
      <c r="AK319" s="311">
        <v>38231</v>
      </c>
      <c r="AL319" s="311">
        <v>44211</v>
      </c>
      <c r="AM319" s="301"/>
      <c r="AN319" s="290"/>
      <c r="AO319" s="312" t="str">
        <f>_xlfn.IFNA(IF(VLOOKUP(tabItens[[#This Row],[CÓDIGO]],tabExcluirDoEstoque[#Data],1,FALSE),"sim",""),"")</f>
        <v/>
      </c>
      <c r="AP319" s="313" t="str">
        <f ca="1">IF(OR(ISBLANK(tabItens[[#This Row],[ATA DT.VALID.]]),tabItens[[#This Row],[ATA DT.VALID.]]="",tabItens[[#This Row],[ATA DT.VALID.]]=" "),"",IF(TYPE(tabItens[[#This Row],[ATA DT.VALID.]])=1,ROUNDUP((tabItens[[#This Row],[ATA DT.VALID.]]-TODAY())/7,0),""))</f>
        <v/>
      </c>
      <c r="AQ319" s="314">
        <v>0</v>
      </c>
      <c r="AR319" s="315">
        <f>IF(ISBLANK(tabItens[[#This Row],[CÓDIGO]]),"",IFERROR(VLOOKUP(tabItens[[#This Row],[CÓDIGO]],Consumo!$C$2:$AC$869,26,FALSE),0))</f>
        <v>0</v>
      </c>
      <c r="AS319" s="316">
        <f>SUMIF(Consumo!$C$3:$C$869,tabItens[[#This Row],[CÓDIGO]],Consumo!$N$3:$N$869) + SUMIF(Consumo!$C$3:$C$869,tabItens[[#This Row],[CÓDIGO]],Consumo!$O$3:$O$869) + SUMIF(Consumo!$C$3:$C$869,tabItens[[#This Row],[CÓDIGO]],Consumo!$P$3:$P$869) + SUMIF(Consumo!$C$3:$C$869,tabItens[[#This Row],[CÓDIGO]],Consumo!$Q$3:$Q$869)</f>
        <v>0</v>
      </c>
      <c r="AT319" s="316">
        <f>SUMIF(Consumo!$C$3:$C$869,tabItens[[#This Row],[CÓDIGO]],Consumo!$Z$3:$Z$869)</f>
        <v>0</v>
      </c>
      <c r="AU319" s="317">
        <f>SUMIF(Consumo!$C$3:$C$869,tabItens[[#This Row],[CÓDIGO]],Consumo!$AA$3:$AA$869)</f>
        <v>0</v>
      </c>
      <c r="AV319" s="318">
        <f>SUMIF(Consumo!$C$3:$C$869,tabItens[[#This Row],[CÓDIGO]],Consumo!$Y$3:$Y$869)</f>
        <v>0</v>
      </c>
      <c r="AW319" s="291">
        <f>tabItens[[#This Row],[QTDE ATUAL]] + tabItens[[#This Row],[RC QTDE]] + tabItens[[#This Row],[AF SALDO]] + tabItens[[#This Row],[Recentes]]</f>
        <v>47</v>
      </c>
      <c r="AX319" s="319">
        <v>5</v>
      </c>
      <c r="AY319" s="319">
        <v>4</v>
      </c>
      <c r="AZ319" s="319">
        <f>IF(ISBLANK(tabItens[[#This Row],[CÓDIGO]]),"",tabItens[[#This Row],[PontoMês]] * (AZ$2+tabItens[[#This Row],[PontoQtM]]))</f>
        <v>20</v>
      </c>
      <c r="BA319" s="318">
        <f>tabItens[[#This Row],[PontoPed]] - tabItens[[#This Row],[Saldo]] + (1/10)</f>
        <v>-26.9</v>
      </c>
      <c r="BB319" s="318">
        <f xml:space="preserve"> tabItens[[#This Row],[PontoMês]] * BB$2 - tabItens[[#This Row],[QTDE ATUAL]] - (1/10)</f>
        <v>-42.1</v>
      </c>
      <c r="BC319" s="320">
        <f>IF( tabItens[[#This Row],[PontoPed]]&gt;0, IF(tabItens[[#This Row],[PontoPed]]&lt;1, 1, IF( tabItens[[#This Row],[Saldo]]&gt;tabItens[[#This Row],[PontoPed]], 0, (tabItens[[#This Row],[PontoPed]]-tabItens[[#This Row],[Saldo]])/tabItens[[#This Row],[PontoPed]] ) ), 0 )</f>
        <v>0</v>
      </c>
      <c r="BD319" s="321">
        <f>ROUNDDOWN(IF( OR( AND(tabItens[[#This Row],[PontoPed]]&lt;tabItens[[#This Row],[Saldo]],tabItens[[#This Row],[Saldo]]&gt;0), tabItens[[#This Row],[PontoPed]]=0), 99, IF(AND(tabItens[[#This Row],[Saldo]]=0,tabItens[[#This Row],[PontoPed]]&gt;0), 0, (1-tabItens[[#This Row],[PctAb]])*10 ) ),0)</f>
        <v>99</v>
      </c>
      <c r="BE319" s="322">
        <f>MAX(ROUNDDOWN( IF(tabItens[[#This Row],[Abaixo]] &gt; 0,   tabItens[[#This Row],[Abaixo]] + (tabItens[[#This Row],[PontoMês]] * IF( OR( ISBLANK(tabItens[[#This Row],[ATA Nº/ANO]]), tabItens[[#This Row],[ATA Nº/ANO]] = ""),BE$2,BE$1)),0),0),0)</f>
        <v>0</v>
      </c>
      <c r="BF31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23">
        <f>SUMIF(Consumo!$C$3:$C$869,tabItens[[#This Row],[CÓDIGO]],Consumo!$E$3:$E$869)</f>
        <v>0</v>
      </c>
      <c r="BH319" s="324">
        <f>IF(AND(tabItens[[#This Row],[Pend]] &gt; 0,tabItens[[#This Row],[Consumo]] &lt;&gt; 0), tabItens[[#This Row],[Pend]] / tabItens[[#This Row],[Consumo]], 0 )</f>
        <v>0</v>
      </c>
      <c r="BI319" s="323"/>
      <c r="BJ319" s="323"/>
      <c r="BK319" s="325" t="s">
        <v>2064</v>
      </c>
    </row>
    <row r="320" spans="1:63" hidden="1" x14ac:dyDescent="0.3">
      <c r="A320" s="286">
        <v>81564</v>
      </c>
      <c r="B320" s="287" t="s">
        <v>1471</v>
      </c>
      <c r="C320" s="288" t="s">
        <v>297</v>
      </c>
      <c r="D320" s="289">
        <v>4.38</v>
      </c>
      <c r="E320" s="290"/>
      <c r="F320" s="290"/>
      <c r="G320" s="290" t="s">
        <v>883</v>
      </c>
      <c r="H320" s="291">
        <v>11</v>
      </c>
      <c r="I320" s="292">
        <v>103003</v>
      </c>
      <c r="J320" s="293">
        <v>4.38</v>
      </c>
      <c r="K320" s="294"/>
      <c r="L320" s="295">
        <f>IF(tabItens[[#This Row],[Média]] &gt; 0, tabItens[[#This Row],[QTDE ATUAL]] / tabItens[[#This Row],[Média]],999.9)</f>
        <v>999.9</v>
      </c>
      <c r="M320" s="296">
        <v>0</v>
      </c>
      <c r="N320" s="297">
        <f>tabItens[[#This Row],[VALOR UNIT.]] * tabItens[[#This Row],[LC]]</f>
        <v>0</v>
      </c>
      <c r="O320" s="298" t="s">
        <v>2084</v>
      </c>
      <c r="P320" s="299"/>
      <c r="Q320" s="300"/>
      <c r="R320" s="297"/>
      <c r="S320" s="301"/>
      <c r="T320" s="302">
        <f>ROUNDDOWN(IFERROR(tabItens[[#This Row],[ATA DT.VALID.]] - $D$1,0) / 30,0)</f>
        <v>-1504</v>
      </c>
      <c r="U320" s="287" t="s">
        <v>1009</v>
      </c>
      <c r="V320" s="303">
        <v>1</v>
      </c>
      <c r="W320" s="304" t="s">
        <v>2054</v>
      </c>
      <c r="X320" s="305">
        <v>61</v>
      </c>
      <c r="Y320" s="306">
        <v>15</v>
      </c>
      <c r="Z320" s="307"/>
      <c r="AA320" s="308"/>
      <c r="AB320" s="309"/>
      <c r="AC320" s="309"/>
      <c r="AD320" s="308"/>
      <c r="AE320" s="309"/>
      <c r="AF320" s="302"/>
      <c r="AG320" s="310" t="s">
        <v>2050</v>
      </c>
      <c r="AH320" s="311"/>
      <c r="AI320" s="302">
        <v>0</v>
      </c>
      <c r="AJ320" s="311">
        <v>41579</v>
      </c>
      <c r="AK320" s="311">
        <v>38231</v>
      </c>
      <c r="AL320" s="311">
        <v>41557</v>
      </c>
      <c r="AM320" s="301"/>
      <c r="AN320" s="290"/>
      <c r="AO320" s="312" t="str">
        <f>_xlfn.IFNA(IF(VLOOKUP(tabItens[[#This Row],[CÓDIGO]],tabExcluirDoEstoque[#Data],1,FALSE),"sim",""),"")</f>
        <v/>
      </c>
      <c r="AP320" s="313" t="str">
        <f ca="1">IF(OR(ISBLANK(tabItens[[#This Row],[ATA DT.VALID.]]),tabItens[[#This Row],[ATA DT.VALID.]]="",tabItens[[#This Row],[ATA DT.VALID.]]=" "),"",IF(TYPE(tabItens[[#This Row],[ATA DT.VALID.]])=1,ROUNDUP((tabItens[[#This Row],[ATA DT.VALID.]]-TODAY())/7,0),""))</f>
        <v/>
      </c>
      <c r="AQ320" s="314">
        <v>0</v>
      </c>
      <c r="AR320" s="315">
        <f>IF(ISBLANK(tabItens[[#This Row],[CÓDIGO]]),"",IFERROR(VLOOKUP(tabItens[[#This Row],[CÓDIGO]],Consumo!$C$2:$AC$869,26,FALSE),0))</f>
        <v>0</v>
      </c>
      <c r="AS320" s="316">
        <f>SUMIF(Consumo!$C$3:$C$869,tabItens[[#This Row],[CÓDIGO]],Consumo!$N$3:$N$869) + SUMIF(Consumo!$C$3:$C$869,tabItens[[#This Row],[CÓDIGO]],Consumo!$O$3:$O$869) + SUMIF(Consumo!$C$3:$C$869,tabItens[[#This Row],[CÓDIGO]],Consumo!$P$3:$P$869) + SUMIF(Consumo!$C$3:$C$869,tabItens[[#This Row],[CÓDIGO]],Consumo!$Q$3:$Q$869)</f>
        <v>0</v>
      </c>
      <c r="AT320" s="316">
        <f>SUMIF(Consumo!$C$3:$C$869,tabItens[[#This Row],[CÓDIGO]],Consumo!$Z$3:$Z$869)</f>
        <v>0</v>
      </c>
      <c r="AU320" s="317">
        <f>SUMIF(Consumo!$C$3:$C$869,tabItens[[#This Row],[CÓDIGO]],Consumo!$AA$3:$AA$869)</f>
        <v>0</v>
      </c>
      <c r="AV320" s="318">
        <f>SUMIF(Consumo!$C$3:$C$869,tabItens[[#This Row],[CÓDIGO]],Consumo!$Y$3:$Y$869)</f>
        <v>0</v>
      </c>
      <c r="AW320" s="291">
        <f>tabItens[[#This Row],[QTDE ATUAL]] + tabItens[[#This Row],[RC QTDE]] + tabItens[[#This Row],[AF SALDO]] + tabItens[[#This Row],[Recentes]]</f>
        <v>11</v>
      </c>
      <c r="AX320" s="319">
        <v>2</v>
      </c>
      <c r="AY320" s="319">
        <v>4</v>
      </c>
      <c r="AZ320" s="319">
        <f>IF(ISBLANK(tabItens[[#This Row],[CÓDIGO]]),"",tabItens[[#This Row],[PontoMês]] * (AZ$2+tabItens[[#This Row],[PontoQtM]]))</f>
        <v>8</v>
      </c>
      <c r="BA320" s="318">
        <f>tabItens[[#This Row],[PontoPed]] - tabItens[[#This Row],[Saldo]] + (1/10)</f>
        <v>-2.9</v>
      </c>
      <c r="BB320" s="318">
        <f xml:space="preserve"> tabItens[[#This Row],[PontoMês]] * BB$2 - tabItens[[#This Row],[QTDE ATUAL]] - (1/10)</f>
        <v>-9.1</v>
      </c>
      <c r="BC320" s="320">
        <f>IF( tabItens[[#This Row],[PontoPed]]&gt;0, IF(tabItens[[#This Row],[PontoPed]]&lt;1, 1, IF( tabItens[[#This Row],[Saldo]]&gt;tabItens[[#This Row],[PontoPed]], 0, (tabItens[[#This Row],[PontoPed]]-tabItens[[#This Row],[Saldo]])/tabItens[[#This Row],[PontoPed]] ) ), 0 )</f>
        <v>0</v>
      </c>
      <c r="BD320" s="321">
        <f>ROUNDDOWN(IF( OR( AND(tabItens[[#This Row],[PontoPed]]&lt;tabItens[[#This Row],[Saldo]],tabItens[[#This Row],[Saldo]]&gt;0), tabItens[[#This Row],[PontoPed]]=0), 99, IF(AND(tabItens[[#This Row],[Saldo]]=0,tabItens[[#This Row],[PontoPed]]&gt;0), 0, (1-tabItens[[#This Row],[PctAb]])*10 ) ),0)</f>
        <v>99</v>
      </c>
      <c r="BE320" s="322">
        <f>MAX(ROUNDDOWN( IF(tabItens[[#This Row],[Abaixo]] &gt; 0,   tabItens[[#This Row],[Abaixo]] + (tabItens[[#This Row],[PontoMês]] * IF( OR( ISBLANK(tabItens[[#This Row],[ATA Nº/ANO]]), tabItens[[#This Row],[ATA Nº/ANO]] = ""),BE$2,BE$1)),0),0),0)</f>
        <v>0</v>
      </c>
      <c r="BF32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23">
        <f>SUMIF(Consumo!$C$3:$C$869,tabItens[[#This Row],[CÓDIGO]],Consumo!$E$3:$E$869)</f>
        <v>0</v>
      </c>
      <c r="BH320" s="324">
        <f>IF(AND(tabItens[[#This Row],[Pend]] &gt; 0,tabItens[[#This Row],[Consumo]] &lt;&gt; 0), tabItens[[#This Row],[Pend]] / tabItens[[#This Row],[Consumo]], 0 )</f>
        <v>0</v>
      </c>
      <c r="BI320" s="323"/>
      <c r="BJ320" s="323"/>
      <c r="BK320" s="325" t="s">
        <v>2064</v>
      </c>
    </row>
    <row r="321" spans="1:63" hidden="1" x14ac:dyDescent="0.3">
      <c r="A321" s="286">
        <v>81565</v>
      </c>
      <c r="B321" s="287" t="s">
        <v>1472</v>
      </c>
      <c r="C321" s="288" t="s">
        <v>297</v>
      </c>
      <c r="D321" s="289">
        <v>19.690000000000001</v>
      </c>
      <c r="E321" s="290"/>
      <c r="F321" s="290"/>
      <c r="G321" s="290" t="s">
        <v>883</v>
      </c>
      <c r="H321" s="291">
        <v>19</v>
      </c>
      <c r="I321" s="292">
        <v>103003</v>
      </c>
      <c r="J321" s="293">
        <v>19.690000000000001</v>
      </c>
      <c r="K321" s="294"/>
      <c r="L321" s="295">
        <f>IF(tabItens[[#This Row],[Média]] &gt; 0, tabItens[[#This Row],[QTDE ATUAL]] / tabItens[[#This Row],[Média]],999.9)</f>
        <v>999.9</v>
      </c>
      <c r="M321" s="296">
        <v>0</v>
      </c>
      <c r="N321" s="297">
        <f>tabItens[[#This Row],[VALOR UNIT.]] * tabItens[[#This Row],[LC]]</f>
        <v>0</v>
      </c>
      <c r="O321" s="298" t="s">
        <v>2084</v>
      </c>
      <c r="P321" s="299"/>
      <c r="Q321" s="300"/>
      <c r="R321" s="297"/>
      <c r="S321" s="301"/>
      <c r="T321" s="302">
        <f>ROUNDDOWN(IFERROR(tabItens[[#This Row],[ATA DT.VALID.]] - $D$1,0) / 30,0)</f>
        <v>-1504</v>
      </c>
      <c r="U321" s="287" t="s">
        <v>1009</v>
      </c>
      <c r="V321" s="303">
        <v>1</v>
      </c>
      <c r="W321" s="304" t="s">
        <v>2054</v>
      </c>
      <c r="X321" s="305">
        <v>61</v>
      </c>
      <c r="Y321" s="306">
        <v>15</v>
      </c>
      <c r="Z321" s="307"/>
      <c r="AA321" s="308"/>
      <c r="AB321" s="309"/>
      <c r="AC321" s="309"/>
      <c r="AD321" s="308"/>
      <c r="AE321" s="309"/>
      <c r="AF321" s="302"/>
      <c r="AG321" s="310" t="s">
        <v>2050</v>
      </c>
      <c r="AH321" s="311"/>
      <c r="AI321" s="302">
        <v>0</v>
      </c>
      <c r="AJ321" s="311">
        <v>43810</v>
      </c>
      <c r="AK321" s="311">
        <v>38231</v>
      </c>
      <c r="AL321" s="311">
        <v>43788</v>
      </c>
      <c r="AM321" s="301"/>
      <c r="AN321" s="290"/>
      <c r="AO321" s="312" t="str">
        <f>_xlfn.IFNA(IF(VLOOKUP(tabItens[[#This Row],[CÓDIGO]],tabExcluirDoEstoque[#Data],1,FALSE),"sim",""),"")</f>
        <v/>
      </c>
      <c r="AP321" s="313" t="str">
        <f ca="1">IF(OR(ISBLANK(tabItens[[#This Row],[ATA DT.VALID.]]),tabItens[[#This Row],[ATA DT.VALID.]]="",tabItens[[#This Row],[ATA DT.VALID.]]=" "),"",IF(TYPE(tabItens[[#This Row],[ATA DT.VALID.]])=1,ROUNDUP((tabItens[[#This Row],[ATA DT.VALID.]]-TODAY())/7,0),""))</f>
        <v/>
      </c>
      <c r="AQ321" s="314">
        <v>0</v>
      </c>
      <c r="AR321" s="315">
        <f>IF(ISBLANK(tabItens[[#This Row],[CÓDIGO]]),"",IFERROR(VLOOKUP(tabItens[[#This Row],[CÓDIGO]],Consumo!$C$2:$AC$869,26,FALSE),0))</f>
        <v>0</v>
      </c>
      <c r="AS321" s="316">
        <f>SUMIF(Consumo!$C$3:$C$869,tabItens[[#This Row],[CÓDIGO]],Consumo!$N$3:$N$869) + SUMIF(Consumo!$C$3:$C$869,tabItens[[#This Row],[CÓDIGO]],Consumo!$O$3:$O$869) + SUMIF(Consumo!$C$3:$C$869,tabItens[[#This Row],[CÓDIGO]],Consumo!$P$3:$P$869) + SUMIF(Consumo!$C$3:$C$869,tabItens[[#This Row],[CÓDIGO]],Consumo!$Q$3:$Q$869)</f>
        <v>0</v>
      </c>
      <c r="AT321" s="316">
        <f>SUMIF(Consumo!$C$3:$C$869,tabItens[[#This Row],[CÓDIGO]],Consumo!$Z$3:$Z$869)</f>
        <v>0</v>
      </c>
      <c r="AU321" s="317">
        <f>SUMIF(Consumo!$C$3:$C$869,tabItens[[#This Row],[CÓDIGO]],Consumo!$AA$3:$AA$869)</f>
        <v>0</v>
      </c>
      <c r="AV321" s="318">
        <f>SUMIF(Consumo!$C$3:$C$869,tabItens[[#This Row],[CÓDIGO]],Consumo!$Y$3:$Y$869)</f>
        <v>0</v>
      </c>
      <c r="AW321" s="291">
        <f>tabItens[[#This Row],[QTDE ATUAL]] + tabItens[[#This Row],[RC QTDE]] + tabItens[[#This Row],[AF SALDO]] + tabItens[[#This Row],[Recentes]]</f>
        <v>19</v>
      </c>
      <c r="AX321" s="319">
        <v>2</v>
      </c>
      <c r="AY321" s="319">
        <v>4</v>
      </c>
      <c r="AZ321" s="319">
        <f>IF(ISBLANK(tabItens[[#This Row],[CÓDIGO]]),"",tabItens[[#This Row],[PontoMês]] * (AZ$2+tabItens[[#This Row],[PontoQtM]]))</f>
        <v>8</v>
      </c>
      <c r="BA321" s="318">
        <f>tabItens[[#This Row],[PontoPed]] - tabItens[[#This Row],[Saldo]] + (1/10)</f>
        <v>-10.9</v>
      </c>
      <c r="BB321" s="318">
        <f xml:space="preserve"> tabItens[[#This Row],[PontoMês]] * BB$2 - tabItens[[#This Row],[QTDE ATUAL]] - (1/10)</f>
        <v>-17.100000000000001</v>
      </c>
      <c r="BC321" s="320">
        <f>IF( tabItens[[#This Row],[PontoPed]]&gt;0, IF(tabItens[[#This Row],[PontoPed]]&lt;1, 1, IF( tabItens[[#This Row],[Saldo]]&gt;tabItens[[#This Row],[PontoPed]], 0, (tabItens[[#This Row],[PontoPed]]-tabItens[[#This Row],[Saldo]])/tabItens[[#This Row],[PontoPed]] ) ), 0 )</f>
        <v>0</v>
      </c>
      <c r="BD321" s="321">
        <f>ROUNDDOWN(IF( OR( AND(tabItens[[#This Row],[PontoPed]]&lt;tabItens[[#This Row],[Saldo]],tabItens[[#This Row],[Saldo]]&gt;0), tabItens[[#This Row],[PontoPed]]=0), 99, IF(AND(tabItens[[#This Row],[Saldo]]=0,tabItens[[#This Row],[PontoPed]]&gt;0), 0, (1-tabItens[[#This Row],[PctAb]])*10 ) ),0)</f>
        <v>99</v>
      </c>
      <c r="BE321" s="322">
        <f>MAX(ROUNDDOWN( IF(tabItens[[#This Row],[Abaixo]] &gt; 0,   tabItens[[#This Row],[Abaixo]] + (tabItens[[#This Row],[PontoMês]] * IF( OR( ISBLANK(tabItens[[#This Row],[ATA Nº/ANO]]), tabItens[[#This Row],[ATA Nº/ANO]] = ""),BE$2,BE$1)),0),0),0)</f>
        <v>0</v>
      </c>
      <c r="BF32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23">
        <f>SUMIF(Consumo!$C$3:$C$869,tabItens[[#This Row],[CÓDIGO]],Consumo!$E$3:$E$869)</f>
        <v>0</v>
      </c>
      <c r="BH321" s="324">
        <f>IF(AND(tabItens[[#This Row],[Pend]] &gt; 0,tabItens[[#This Row],[Consumo]] &lt;&gt; 0), tabItens[[#This Row],[Pend]] / tabItens[[#This Row],[Consumo]], 0 )</f>
        <v>0</v>
      </c>
      <c r="BI321" s="323"/>
      <c r="BJ321" s="323"/>
      <c r="BK321" s="325" t="s">
        <v>2064</v>
      </c>
    </row>
    <row r="322" spans="1:63" hidden="1" x14ac:dyDescent="0.3">
      <c r="A322" s="286">
        <v>52946</v>
      </c>
      <c r="B322" s="287" t="s">
        <v>1302</v>
      </c>
      <c r="C322" s="288" t="s">
        <v>256</v>
      </c>
      <c r="D322" s="289">
        <v>212</v>
      </c>
      <c r="E322" s="290"/>
      <c r="F322" s="290"/>
      <c r="G322" s="290" t="s">
        <v>883</v>
      </c>
      <c r="H322" s="291">
        <v>34</v>
      </c>
      <c r="I322" s="292">
        <v>103003</v>
      </c>
      <c r="J322" s="293">
        <v>212</v>
      </c>
      <c r="K322" s="294"/>
      <c r="L322" s="295">
        <f>IF(tabItens[[#This Row],[Média]] &gt; 0, tabItens[[#This Row],[QTDE ATUAL]] / tabItens[[#This Row],[Média]],999.9)</f>
        <v>999.9</v>
      </c>
      <c r="M322" s="296">
        <v>0</v>
      </c>
      <c r="N322" s="297">
        <f>tabItens[[#This Row],[VALOR UNIT.]] * tabItens[[#This Row],[LC]]</f>
        <v>0</v>
      </c>
      <c r="O322" s="298" t="s">
        <v>2122</v>
      </c>
      <c r="P322" s="299"/>
      <c r="Q322" s="300"/>
      <c r="R322" s="297"/>
      <c r="S322" s="301"/>
      <c r="T322" s="302">
        <f>ROUNDDOWN(IFERROR(tabItens[[#This Row],[ATA DT.VALID.]] - $D$1,0) / 30,0)</f>
        <v>-1504</v>
      </c>
      <c r="U322" s="287" t="s">
        <v>1211</v>
      </c>
      <c r="V322" s="303">
        <v>1</v>
      </c>
      <c r="W322" s="304" t="s">
        <v>2049</v>
      </c>
      <c r="X322" s="305">
        <v>51</v>
      </c>
      <c r="Y322" s="306">
        <v>26</v>
      </c>
      <c r="Z322" s="307"/>
      <c r="AA322" s="308"/>
      <c r="AB322" s="309"/>
      <c r="AC322" s="309"/>
      <c r="AD322" s="308"/>
      <c r="AE322" s="309"/>
      <c r="AF322" s="302"/>
      <c r="AG322" s="310" t="s">
        <v>2050</v>
      </c>
      <c r="AH322" s="311"/>
      <c r="AI322" s="302">
        <v>0</v>
      </c>
      <c r="AJ322" s="311">
        <v>43644</v>
      </c>
      <c r="AK322" s="311" t="s">
        <v>883</v>
      </c>
      <c r="AL322" s="311">
        <v>44111</v>
      </c>
      <c r="AM322" s="301"/>
      <c r="AN322" s="290"/>
      <c r="AO322" s="312" t="str">
        <f>_xlfn.IFNA(IF(VLOOKUP(tabItens[[#This Row],[CÓDIGO]],tabExcluirDoEstoque[#Data],1,FALSE),"sim",""),"")</f>
        <v/>
      </c>
      <c r="AP322" s="313" t="str">
        <f ca="1">IF(OR(ISBLANK(tabItens[[#This Row],[ATA DT.VALID.]]),tabItens[[#This Row],[ATA DT.VALID.]]="",tabItens[[#This Row],[ATA DT.VALID.]]=" "),"",IF(TYPE(tabItens[[#This Row],[ATA DT.VALID.]])=1,ROUNDUP((tabItens[[#This Row],[ATA DT.VALID.]]-TODAY())/7,0),""))</f>
        <v/>
      </c>
      <c r="AQ322" s="314">
        <v>0</v>
      </c>
      <c r="AR322" s="315">
        <f>IF(ISBLANK(tabItens[[#This Row],[CÓDIGO]]),"",IFERROR(VLOOKUP(tabItens[[#This Row],[CÓDIGO]],Consumo!$C$2:$AC$869,26,FALSE),0))</f>
        <v>0</v>
      </c>
      <c r="AS322" s="316">
        <f>SUMIF(Consumo!$C$3:$C$869,tabItens[[#This Row],[CÓDIGO]],Consumo!$N$3:$N$869) + SUMIF(Consumo!$C$3:$C$869,tabItens[[#This Row],[CÓDIGO]],Consumo!$O$3:$O$869) + SUMIF(Consumo!$C$3:$C$869,tabItens[[#This Row],[CÓDIGO]],Consumo!$P$3:$P$869) + SUMIF(Consumo!$C$3:$C$869,tabItens[[#This Row],[CÓDIGO]],Consumo!$Q$3:$Q$869)</f>
        <v>0</v>
      </c>
      <c r="AT322" s="316">
        <f>SUMIF(Consumo!$C$3:$C$869,tabItens[[#This Row],[CÓDIGO]],Consumo!$Z$3:$Z$869)</f>
        <v>0</v>
      </c>
      <c r="AU322" s="317">
        <f>SUMIF(Consumo!$C$3:$C$869,tabItens[[#This Row],[CÓDIGO]],Consumo!$AA$3:$AA$869)</f>
        <v>0</v>
      </c>
      <c r="AV322" s="318">
        <f>SUMIF(Consumo!$C$3:$C$869,tabItens[[#This Row],[CÓDIGO]],Consumo!$Y$3:$Y$869)</f>
        <v>0</v>
      </c>
      <c r="AW322" s="291">
        <f>tabItens[[#This Row],[QTDE ATUAL]] + tabItens[[#This Row],[RC QTDE]] + tabItens[[#This Row],[AF SALDO]] + tabItens[[#This Row],[Recentes]]</f>
        <v>34</v>
      </c>
      <c r="AX322" s="319">
        <v>6</v>
      </c>
      <c r="AY322" s="319">
        <v>4</v>
      </c>
      <c r="AZ322" s="319">
        <f>IF(ISBLANK(tabItens[[#This Row],[CÓDIGO]]),"",tabItens[[#This Row],[PontoMês]] * (AZ$2+tabItens[[#This Row],[PontoQtM]]))</f>
        <v>24</v>
      </c>
      <c r="BA322" s="318">
        <f>tabItens[[#This Row],[PontoPed]] - tabItens[[#This Row],[Saldo]] + (1/10)</f>
        <v>-9.9</v>
      </c>
      <c r="BB322" s="318">
        <f xml:space="preserve"> tabItens[[#This Row],[PontoMês]] * BB$2 - tabItens[[#This Row],[QTDE ATUAL]] - (1/10)</f>
        <v>-28.1</v>
      </c>
      <c r="BC322" s="320">
        <f>IF( tabItens[[#This Row],[PontoPed]]&gt;0, IF(tabItens[[#This Row],[PontoPed]]&lt;1, 1, IF( tabItens[[#This Row],[Saldo]]&gt;tabItens[[#This Row],[PontoPed]], 0, (tabItens[[#This Row],[PontoPed]]-tabItens[[#This Row],[Saldo]])/tabItens[[#This Row],[PontoPed]] ) ), 0 )</f>
        <v>0</v>
      </c>
      <c r="BD322" s="321">
        <f>ROUNDDOWN(IF( OR( AND(tabItens[[#This Row],[PontoPed]]&lt;tabItens[[#This Row],[Saldo]],tabItens[[#This Row],[Saldo]]&gt;0), tabItens[[#This Row],[PontoPed]]=0), 99, IF(AND(tabItens[[#This Row],[Saldo]]=0,tabItens[[#This Row],[PontoPed]]&gt;0), 0, (1-tabItens[[#This Row],[PctAb]])*10 ) ),0)</f>
        <v>99</v>
      </c>
      <c r="BE322" s="322">
        <f>MAX(ROUNDDOWN( IF(tabItens[[#This Row],[Abaixo]] &gt; 0,   tabItens[[#This Row],[Abaixo]] + (tabItens[[#This Row],[PontoMês]] * IF( OR( ISBLANK(tabItens[[#This Row],[ATA Nº/ANO]]), tabItens[[#This Row],[ATA Nº/ANO]] = ""),BE$2,BE$1)),0),0),0)</f>
        <v>0</v>
      </c>
      <c r="BF32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23">
        <f>SUMIF(Consumo!$C$3:$C$869,tabItens[[#This Row],[CÓDIGO]],Consumo!$E$3:$E$869)</f>
        <v>0</v>
      </c>
      <c r="BH322" s="324">
        <f>IF(AND(tabItens[[#This Row],[Pend]] &gt; 0,tabItens[[#This Row],[Consumo]] &lt;&gt; 0), tabItens[[#This Row],[Pend]] / tabItens[[#This Row],[Consumo]], 0 )</f>
        <v>0</v>
      </c>
      <c r="BI322" s="323"/>
      <c r="BJ322" s="323"/>
      <c r="BK322" s="325" t="s">
        <v>2064</v>
      </c>
    </row>
    <row r="323" spans="1:63" hidden="1" x14ac:dyDescent="0.3">
      <c r="A323" s="286">
        <v>123131</v>
      </c>
      <c r="B323" s="287" t="s">
        <v>1745</v>
      </c>
      <c r="C323" s="288" t="s">
        <v>294</v>
      </c>
      <c r="D323" s="289">
        <v>30</v>
      </c>
      <c r="E323" s="290"/>
      <c r="F323" s="290"/>
      <c r="G323" s="290" t="s">
        <v>883</v>
      </c>
      <c r="H323" s="291">
        <v>332</v>
      </c>
      <c r="I323" s="292">
        <v>103003</v>
      </c>
      <c r="J323" s="293">
        <v>30</v>
      </c>
      <c r="K323" s="294"/>
      <c r="L323" s="295">
        <f>IF(tabItens[[#This Row],[Média]] &gt; 0, tabItens[[#This Row],[QTDE ATUAL]] / tabItens[[#This Row],[Média]],999.9)</f>
        <v>999.9</v>
      </c>
      <c r="M323" s="296">
        <v>0</v>
      </c>
      <c r="N323" s="297">
        <f>tabItens[[#This Row],[VALOR UNIT.]] * tabItens[[#This Row],[LC]]</f>
        <v>0</v>
      </c>
      <c r="O323" s="298" t="s">
        <v>2122</v>
      </c>
      <c r="P323" s="299"/>
      <c r="Q323" s="300"/>
      <c r="R323" s="297"/>
      <c r="S323" s="301"/>
      <c r="T323" s="302">
        <f>ROUNDDOWN(IFERROR(tabItens[[#This Row],[ATA DT.VALID.]] - $D$1,0) / 30,0)</f>
        <v>-1504</v>
      </c>
      <c r="U323" s="287" t="s">
        <v>1332</v>
      </c>
      <c r="V323" s="303">
        <v>1</v>
      </c>
      <c r="W323" s="304" t="s">
        <v>2056</v>
      </c>
      <c r="X323" s="305">
        <v>69</v>
      </c>
      <c r="Y323" s="306">
        <v>2</v>
      </c>
      <c r="Z323" s="307"/>
      <c r="AA323" s="308"/>
      <c r="AB323" s="309"/>
      <c r="AC323" s="309"/>
      <c r="AD323" s="308"/>
      <c r="AE323" s="309"/>
      <c r="AF323" s="302"/>
      <c r="AG323" s="310" t="s">
        <v>2050</v>
      </c>
      <c r="AH323" s="311"/>
      <c r="AI323" s="302">
        <v>0</v>
      </c>
      <c r="AJ323" s="311">
        <v>43622</v>
      </c>
      <c r="AK323" s="311">
        <v>41053</v>
      </c>
      <c r="AL323" s="311">
        <v>43614</v>
      </c>
      <c r="AM323" s="301"/>
      <c r="AN323" s="290"/>
      <c r="AO323" s="312" t="str">
        <f>_xlfn.IFNA(IF(VLOOKUP(tabItens[[#This Row],[CÓDIGO]],tabExcluirDoEstoque[#Data],1,FALSE),"sim",""),"")</f>
        <v/>
      </c>
      <c r="AP323" s="313" t="str">
        <f ca="1">IF(OR(ISBLANK(tabItens[[#This Row],[ATA DT.VALID.]]),tabItens[[#This Row],[ATA DT.VALID.]]="",tabItens[[#This Row],[ATA DT.VALID.]]=" "),"",IF(TYPE(tabItens[[#This Row],[ATA DT.VALID.]])=1,ROUNDUP((tabItens[[#This Row],[ATA DT.VALID.]]-TODAY())/7,0),""))</f>
        <v/>
      </c>
      <c r="AQ323" s="314">
        <v>0</v>
      </c>
      <c r="AR323" s="315">
        <f>IF(ISBLANK(tabItens[[#This Row],[CÓDIGO]]),"",IFERROR(VLOOKUP(tabItens[[#This Row],[CÓDIGO]],Consumo!$C$2:$AC$869,26,FALSE),0))</f>
        <v>0</v>
      </c>
      <c r="AS323" s="316">
        <f>SUMIF(Consumo!$C$3:$C$869,tabItens[[#This Row],[CÓDIGO]],Consumo!$N$3:$N$869) + SUMIF(Consumo!$C$3:$C$869,tabItens[[#This Row],[CÓDIGO]],Consumo!$O$3:$O$869) + SUMIF(Consumo!$C$3:$C$869,tabItens[[#This Row],[CÓDIGO]],Consumo!$P$3:$P$869) + SUMIF(Consumo!$C$3:$C$869,tabItens[[#This Row],[CÓDIGO]],Consumo!$Q$3:$Q$869)</f>
        <v>0</v>
      </c>
      <c r="AT323" s="316">
        <f>SUMIF(Consumo!$C$3:$C$869,tabItens[[#This Row],[CÓDIGO]],Consumo!$Z$3:$Z$869)</f>
        <v>0</v>
      </c>
      <c r="AU323" s="317">
        <f>SUMIF(Consumo!$C$3:$C$869,tabItens[[#This Row],[CÓDIGO]],Consumo!$AA$3:$AA$869)</f>
        <v>0</v>
      </c>
      <c r="AV323" s="318">
        <f>SUMIF(Consumo!$C$3:$C$869,tabItens[[#This Row],[CÓDIGO]],Consumo!$Y$3:$Y$869)</f>
        <v>0</v>
      </c>
      <c r="AW323" s="291">
        <f>tabItens[[#This Row],[QTDE ATUAL]] + tabItens[[#This Row],[RC QTDE]] + tabItens[[#This Row],[AF SALDO]] + tabItens[[#This Row],[Recentes]]</f>
        <v>332</v>
      </c>
      <c r="AX323" s="319">
        <v>67</v>
      </c>
      <c r="AY323" s="319">
        <v>4</v>
      </c>
      <c r="AZ323" s="319">
        <f>IF(ISBLANK(tabItens[[#This Row],[CÓDIGO]]),"",tabItens[[#This Row],[PontoMês]] * (AZ$2+tabItens[[#This Row],[PontoQtM]]))</f>
        <v>268</v>
      </c>
      <c r="BA323" s="318">
        <f>tabItens[[#This Row],[PontoPed]] - tabItens[[#This Row],[Saldo]] + (1/10)</f>
        <v>-63.9</v>
      </c>
      <c r="BB323" s="318">
        <f xml:space="preserve"> tabItens[[#This Row],[PontoMês]] * BB$2 - tabItens[[#This Row],[QTDE ATUAL]] - (1/10)</f>
        <v>-265.10000000000002</v>
      </c>
      <c r="BC323" s="320">
        <f>IF( tabItens[[#This Row],[PontoPed]]&gt;0, IF(tabItens[[#This Row],[PontoPed]]&lt;1, 1, IF( tabItens[[#This Row],[Saldo]]&gt;tabItens[[#This Row],[PontoPed]], 0, (tabItens[[#This Row],[PontoPed]]-tabItens[[#This Row],[Saldo]])/tabItens[[#This Row],[PontoPed]] ) ), 0 )</f>
        <v>0</v>
      </c>
      <c r="BD323" s="321">
        <f>ROUNDDOWN(IF( OR( AND(tabItens[[#This Row],[PontoPed]]&lt;tabItens[[#This Row],[Saldo]],tabItens[[#This Row],[Saldo]]&gt;0), tabItens[[#This Row],[PontoPed]]=0), 99, IF(AND(tabItens[[#This Row],[Saldo]]=0,tabItens[[#This Row],[PontoPed]]&gt;0), 0, (1-tabItens[[#This Row],[PctAb]])*10 ) ),0)</f>
        <v>99</v>
      </c>
      <c r="BE323" s="322">
        <f>MAX(ROUNDDOWN( IF(tabItens[[#This Row],[Abaixo]] &gt; 0,   tabItens[[#This Row],[Abaixo]] + (tabItens[[#This Row],[PontoMês]] * IF( OR( ISBLANK(tabItens[[#This Row],[ATA Nº/ANO]]), tabItens[[#This Row],[ATA Nº/ANO]] = ""),BE$2,BE$1)),0),0),0)</f>
        <v>0</v>
      </c>
      <c r="BF32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23">
        <f>SUMIF(Consumo!$C$3:$C$869,tabItens[[#This Row],[CÓDIGO]],Consumo!$E$3:$E$869)</f>
        <v>0</v>
      </c>
      <c r="BH323" s="324">
        <f>IF(AND(tabItens[[#This Row],[Pend]] &gt; 0,tabItens[[#This Row],[Consumo]] &lt;&gt; 0), tabItens[[#This Row],[Pend]] / tabItens[[#This Row],[Consumo]], 0 )</f>
        <v>0</v>
      </c>
      <c r="BI323" s="323"/>
      <c r="BJ323" s="323"/>
      <c r="BK323" s="325" t="s">
        <v>2064</v>
      </c>
    </row>
    <row r="324" spans="1:63" hidden="1" x14ac:dyDescent="0.3">
      <c r="A324" s="286">
        <v>123132</v>
      </c>
      <c r="B324" s="287" t="s">
        <v>1746</v>
      </c>
      <c r="C324" s="288" t="s">
        <v>294</v>
      </c>
      <c r="D324" s="289">
        <v>53.47</v>
      </c>
      <c r="E324" s="290"/>
      <c r="F324" s="290"/>
      <c r="G324" s="290" t="s">
        <v>883</v>
      </c>
      <c r="H324" s="291">
        <v>527</v>
      </c>
      <c r="I324" s="292">
        <v>103003</v>
      </c>
      <c r="J324" s="293">
        <v>53.47</v>
      </c>
      <c r="K324" s="294"/>
      <c r="L324" s="295">
        <f>IF(tabItens[[#This Row],[Média]] &gt; 0, tabItens[[#This Row],[QTDE ATUAL]] / tabItens[[#This Row],[Média]],999.9)</f>
        <v>999.9</v>
      </c>
      <c r="M324" s="296">
        <v>0</v>
      </c>
      <c r="N324" s="297">
        <f>tabItens[[#This Row],[VALOR UNIT.]] * tabItens[[#This Row],[LC]]</f>
        <v>0</v>
      </c>
      <c r="O324" s="298" t="s">
        <v>2122</v>
      </c>
      <c r="P324" s="299"/>
      <c r="Q324" s="300"/>
      <c r="R324" s="297"/>
      <c r="S324" s="301"/>
      <c r="T324" s="302">
        <f>ROUNDDOWN(IFERROR(tabItens[[#This Row],[ATA DT.VALID.]] - $D$1,0) / 30,0)</f>
        <v>-1504</v>
      </c>
      <c r="U324" s="287" t="s">
        <v>1332</v>
      </c>
      <c r="V324" s="303">
        <v>1</v>
      </c>
      <c r="W324" s="304" t="s">
        <v>2056</v>
      </c>
      <c r="X324" s="305">
        <v>69</v>
      </c>
      <c r="Y324" s="306">
        <v>2</v>
      </c>
      <c r="Z324" s="307"/>
      <c r="AA324" s="308"/>
      <c r="AB324" s="309"/>
      <c r="AC324" s="309"/>
      <c r="AD324" s="308"/>
      <c r="AE324" s="309"/>
      <c r="AF324" s="302"/>
      <c r="AG324" s="310" t="s">
        <v>2050</v>
      </c>
      <c r="AH324" s="311"/>
      <c r="AI324" s="302">
        <v>0</v>
      </c>
      <c r="AJ324" s="311">
        <v>43690</v>
      </c>
      <c r="AK324" s="311">
        <v>41053</v>
      </c>
      <c r="AL324" s="311">
        <v>43671</v>
      </c>
      <c r="AM324" s="301"/>
      <c r="AN324" s="290"/>
      <c r="AO324" s="312" t="str">
        <f>_xlfn.IFNA(IF(VLOOKUP(tabItens[[#This Row],[CÓDIGO]],tabExcluirDoEstoque[#Data],1,FALSE),"sim",""),"")</f>
        <v/>
      </c>
      <c r="AP324" s="313" t="str">
        <f ca="1">IF(OR(ISBLANK(tabItens[[#This Row],[ATA DT.VALID.]]),tabItens[[#This Row],[ATA DT.VALID.]]="",tabItens[[#This Row],[ATA DT.VALID.]]=" "),"",IF(TYPE(tabItens[[#This Row],[ATA DT.VALID.]])=1,ROUNDUP((tabItens[[#This Row],[ATA DT.VALID.]]-TODAY())/7,0),""))</f>
        <v/>
      </c>
      <c r="AQ324" s="314">
        <v>0</v>
      </c>
      <c r="AR324" s="315">
        <f>IF(ISBLANK(tabItens[[#This Row],[CÓDIGO]]),"",IFERROR(VLOOKUP(tabItens[[#This Row],[CÓDIGO]],Consumo!$C$2:$AC$869,26,FALSE),0))</f>
        <v>0</v>
      </c>
      <c r="AS324" s="316">
        <f>SUMIF(Consumo!$C$3:$C$869,tabItens[[#This Row],[CÓDIGO]],Consumo!$N$3:$N$869) + SUMIF(Consumo!$C$3:$C$869,tabItens[[#This Row],[CÓDIGO]],Consumo!$O$3:$O$869) + SUMIF(Consumo!$C$3:$C$869,tabItens[[#This Row],[CÓDIGO]],Consumo!$P$3:$P$869) + SUMIF(Consumo!$C$3:$C$869,tabItens[[#This Row],[CÓDIGO]],Consumo!$Q$3:$Q$869)</f>
        <v>0</v>
      </c>
      <c r="AT324" s="316">
        <f>SUMIF(Consumo!$C$3:$C$869,tabItens[[#This Row],[CÓDIGO]],Consumo!$Z$3:$Z$869)</f>
        <v>0</v>
      </c>
      <c r="AU324" s="317">
        <f>SUMIF(Consumo!$C$3:$C$869,tabItens[[#This Row],[CÓDIGO]],Consumo!$AA$3:$AA$869)</f>
        <v>0</v>
      </c>
      <c r="AV324" s="318">
        <f>SUMIF(Consumo!$C$3:$C$869,tabItens[[#This Row],[CÓDIGO]],Consumo!$Y$3:$Y$869)</f>
        <v>0</v>
      </c>
      <c r="AW324" s="291">
        <f>tabItens[[#This Row],[QTDE ATUAL]] + tabItens[[#This Row],[RC QTDE]] + tabItens[[#This Row],[AF SALDO]] + tabItens[[#This Row],[Recentes]]</f>
        <v>527</v>
      </c>
      <c r="AX324" s="319">
        <v>50</v>
      </c>
      <c r="AY324" s="319">
        <v>4</v>
      </c>
      <c r="AZ324" s="319">
        <f>IF(ISBLANK(tabItens[[#This Row],[CÓDIGO]]),"",tabItens[[#This Row],[PontoMês]] * (AZ$2+tabItens[[#This Row],[PontoQtM]]))</f>
        <v>200</v>
      </c>
      <c r="BA324" s="318">
        <f>tabItens[[#This Row],[PontoPed]] - tabItens[[#This Row],[Saldo]] + (1/10)</f>
        <v>-326.89999999999998</v>
      </c>
      <c r="BB324" s="318">
        <f xml:space="preserve"> tabItens[[#This Row],[PontoMês]] * BB$2 - tabItens[[#This Row],[QTDE ATUAL]] - (1/10)</f>
        <v>-477.1</v>
      </c>
      <c r="BC324" s="320">
        <f>IF( tabItens[[#This Row],[PontoPed]]&gt;0, IF(tabItens[[#This Row],[PontoPed]]&lt;1, 1, IF( tabItens[[#This Row],[Saldo]]&gt;tabItens[[#This Row],[PontoPed]], 0, (tabItens[[#This Row],[PontoPed]]-tabItens[[#This Row],[Saldo]])/tabItens[[#This Row],[PontoPed]] ) ), 0 )</f>
        <v>0</v>
      </c>
      <c r="BD324" s="321">
        <f>ROUNDDOWN(IF( OR( AND(tabItens[[#This Row],[PontoPed]]&lt;tabItens[[#This Row],[Saldo]],tabItens[[#This Row],[Saldo]]&gt;0), tabItens[[#This Row],[PontoPed]]=0), 99, IF(AND(tabItens[[#This Row],[Saldo]]=0,tabItens[[#This Row],[PontoPed]]&gt;0), 0, (1-tabItens[[#This Row],[PctAb]])*10 ) ),0)</f>
        <v>99</v>
      </c>
      <c r="BE324" s="322">
        <f>MAX(ROUNDDOWN( IF(tabItens[[#This Row],[Abaixo]] &gt; 0,   tabItens[[#This Row],[Abaixo]] + (tabItens[[#This Row],[PontoMês]] * IF( OR( ISBLANK(tabItens[[#This Row],[ATA Nº/ANO]]), tabItens[[#This Row],[ATA Nº/ANO]] = ""),BE$2,BE$1)),0),0),0)</f>
        <v>0</v>
      </c>
      <c r="BF32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23">
        <f>SUMIF(Consumo!$C$3:$C$869,tabItens[[#This Row],[CÓDIGO]],Consumo!$E$3:$E$869)</f>
        <v>0</v>
      </c>
      <c r="BH324" s="324">
        <f>IF(AND(tabItens[[#This Row],[Pend]] &gt; 0,tabItens[[#This Row],[Consumo]] &lt;&gt; 0), tabItens[[#This Row],[Pend]] / tabItens[[#This Row],[Consumo]], 0 )</f>
        <v>0</v>
      </c>
      <c r="BI324" s="323"/>
      <c r="BJ324" s="323"/>
      <c r="BK324" s="325" t="s">
        <v>2064</v>
      </c>
    </row>
    <row r="325" spans="1:63" hidden="1" x14ac:dyDescent="0.3">
      <c r="A325" s="286">
        <v>123133</v>
      </c>
      <c r="B325" s="287" t="s">
        <v>1747</v>
      </c>
      <c r="C325" s="288" t="s">
        <v>294</v>
      </c>
      <c r="D325" s="289">
        <v>15.97</v>
      </c>
      <c r="E325" s="290"/>
      <c r="F325" s="290"/>
      <c r="G325" s="290" t="s">
        <v>883</v>
      </c>
      <c r="H325" s="291">
        <v>382</v>
      </c>
      <c r="I325" s="292">
        <v>103003</v>
      </c>
      <c r="J325" s="293">
        <v>15.97</v>
      </c>
      <c r="K325" s="294">
        <v>8</v>
      </c>
      <c r="L325" s="295">
        <f>IF(tabItens[[#This Row],[Média]] &gt; 0, tabItens[[#This Row],[QTDE ATUAL]] / tabItens[[#This Row],[Média]],999.9)</f>
        <v>916.8</v>
      </c>
      <c r="M325" s="296">
        <v>0</v>
      </c>
      <c r="N325" s="297">
        <f>tabItens[[#This Row],[VALOR UNIT.]] * tabItens[[#This Row],[LC]]</f>
        <v>0</v>
      </c>
      <c r="O325" s="298" t="s">
        <v>2122</v>
      </c>
      <c r="P325" s="299"/>
      <c r="Q325" s="300"/>
      <c r="R325" s="297"/>
      <c r="S325" s="301"/>
      <c r="T325" s="302">
        <f>ROUNDDOWN(IFERROR(tabItens[[#This Row],[ATA DT.VALID.]] - $D$1,0) / 30,0)</f>
        <v>-1504</v>
      </c>
      <c r="U325" s="287" t="s">
        <v>1332</v>
      </c>
      <c r="V325" s="303">
        <v>1</v>
      </c>
      <c r="W325" s="304" t="s">
        <v>2056</v>
      </c>
      <c r="X325" s="305">
        <v>69</v>
      </c>
      <c r="Y325" s="306">
        <v>2</v>
      </c>
      <c r="Z325" s="307"/>
      <c r="AA325" s="308"/>
      <c r="AB325" s="309"/>
      <c r="AC325" s="309"/>
      <c r="AD325" s="308"/>
      <c r="AE325" s="309"/>
      <c r="AF325" s="302"/>
      <c r="AG325" s="310" t="s">
        <v>2050</v>
      </c>
      <c r="AH325" s="311"/>
      <c r="AI325" s="302">
        <v>2</v>
      </c>
      <c r="AJ325" s="311">
        <v>43690</v>
      </c>
      <c r="AK325" s="311">
        <v>41053</v>
      </c>
      <c r="AL325" s="311">
        <v>43671</v>
      </c>
      <c r="AM325" s="301"/>
      <c r="AN325" s="290"/>
      <c r="AO325" s="312" t="str">
        <f>_xlfn.IFNA(IF(VLOOKUP(tabItens[[#This Row],[CÓDIGO]],tabExcluirDoEstoque[#Data],1,FALSE),"sim",""),"")</f>
        <v/>
      </c>
      <c r="AP325" s="313" t="str">
        <f ca="1">IF(OR(ISBLANK(tabItens[[#This Row],[ATA DT.VALID.]]),tabItens[[#This Row],[ATA DT.VALID.]]="",tabItens[[#This Row],[ATA DT.VALID.]]=" "),"",IF(TYPE(tabItens[[#This Row],[ATA DT.VALID.]])=1,ROUNDUP((tabItens[[#This Row],[ATA DT.VALID.]]-TODAY())/7,0),""))</f>
        <v/>
      </c>
      <c r="AQ325" s="314">
        <v>0</v>
      </c>
      <c r="AR325" s="315" t="str">
        <f>IF(ISBLANK(tabItens[[#This Row],[CÓDIGO]]),"",IFERROR(VLOOKUP(tabItens[[#This Row],[CÓDIGO]],Consumo!$C$2:$AC$869,26,FALSE),0))</f>
        <v>01.2023</v>
      </c>
      <c r="AS325" s="316">
        <f>SUMIF(Consumo!$C$3:$C$869,tabItens[[#This Row],[CÓDIGO]],Consumo!$N$3:$N$869) + SUMIF(Consumo!$C$3:$C$869,tabItens[[#This Row],[CÓDIGO]],Consumo!$O$3:$O$869) + SUMIF(Consumo!$C$3:$C$869,tabItens[[#This Row],[CÓDIGO]],Consumo!$P$3:$P$869) + SUMIF(Consumo!$C$3:$C$869,tabItens[[#This Row],[CÓDIGO]],Consumo!$Q$3:$Q$869)</f>
        <v>0</v>
      </c>
      <c r="AT325" s="316">
        <f>SUMIF(Consumo!$C$3:$C$869,tabItens[[#This Row],[CÓDIGO]],Consumo!$Z$3:$Z$869)</f>
        <v>8</v>
      </c>
      <c r="AU325" s="317">
        <f>SUMIF(Consumo!$C$3:$C$869,tabItens[[#This Row],[CÓDIGO]],Consumo!$AA$3:$AA$869)</f>
        <v>8</v>
      </c>
      <c r="AV325" s="318">
        <f>SUMIF(Consumo!$C$3:$C$869,tabItens[[#This Row],[CÓDIGO]],Consumo!$Y$3:$Y$869)</f>
        <v>0.41666666666666669</v>
      </c>
      <c r="AW325" s="291">
        <f>tabItens[[#This Row],[QTDE ATUAL]] + tabItens[[#This Row],[RC QTDE]] + tabItens[[#This Row],[AF SALDO]] + tabItens[[#This Row],[Recentes]]</f>
        <v>382</v>
      </c>
      <c r="AX325" s="319">
        <v>50</v>
      </c>
      <c r="AY325" s="319">
        <v>4</v>
      </c>
      <c r="AZ325" s="319">
        <f>IF(ISBLANK(tabItens[[#This Row],[CÓDIGO]]),"",tabItens[[#This Row],[PontoMês]] * (AZ$2+tabItens[[#This Row],[PontoQtM]]))</f>
        <v>200</v>
      </c>
      <c r="BA325" s="318">
        <f>tabItens[[#This Row],[PontoPed]] - tabItens[[#This Row],[Saldo]] + (1/10)</f>
        <v>-181.9</v>
      </c>
      <c r="BB325" s="318">
        <f xml:space="preserve"> tabItens[[#This Row],[PontoMês]] * BB$2 - tabItens[[#This Row],[QTDE ATUAL]] - (1/10)</f>
        <v>-332.1</v>
      </c>
      <c r="BC325" s="320">
        <f>IF( tabItens[[#This Row],[PontoPed]]&gt;0, IF(tabItens[[#This Row],[PontoPed]]&lt;1, 1, IF( tabItens[[#This Row],[Saldo]]&gt;tabItens[[#This Row],[PontoPed]], 0, (tabItens[[#This Row],[PontoPed]]-tabItens[[#This Row],[Saldo]])/tabItens[[#This Row],[PontoPed]] ) ), 0 )</f>
        <v>0</v>
      </c>
      <c r="BD325" s="321">
        <f>ROUNDDOWN(IF( OR( AND(tabItens[[#This Row],[PontoPed]]&lt;tabItens[[#This Row],[Saldo]],tabItens[[#This Row],[Saldo]]&gt;0), tabItens[[#This Row],[PontoPed]]=0), 99, IF(AND(tabItens[[#This Row],[Saldo]]=0,tabItens[[#This Row],[PontoPed]]&gt;0), 0, (1-tabItens[[#This Row],[PctAb]])*10 ) ),0)</f>
        <v>99</v>
      </c>
      <c r="BE325" s="322">
        <f>MAX(ROUNDDOWN( IF(tabItens[[#This Row],[Abaixo]] &gt; 0,   tabItens[[#This Row],[Abaixo]] + (tabItens[[#This Row],[PontoMês]] * IF( OR( ISBLANK(tabItens[[#This Row],[ATA Nº/ANO]]), tabItens[[#This Row],[ATA Nº/ANO]] = ""),BE$2,BE$1)),0),0),0)</f>
        <v>0</v>
      </c>
      <c r="BF3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23">
        <f>SUMIF(Consumo!$C$3:$C$869,tabItens[[#This Row],[CÓDIGO]],Consumo!$E$3:$E$869)</f>
        <v>0</v>
      </c>
      <c r="BH325" s="324">
        <f>IF(AND(tabItens[[#This Row],[Pend]] &gt; 0,tabItens[[#This Row],[Consumo]] &lt;&gt; 0), tabItens[[#This Row],[Pend]] / tabItens[[#This Row],[Consumo]], 0 )</f>
        <v>0</v>
      </c>
      <c r="BI325" s="323"/>
      <c r="BJ325" s="323"/>
      <c r="BK325" s="325" t="s">
        <v>2064</v>
      </c>
    </row>
    <row r="326" spans="1:63" hidden="1" x14ac:dyDescent="0.3">
      <c r="A326" s="286">
        <v>114822</v>
      </c>
      <c r="B326" s="287" t="s">
        <v>1698</v>
      </c>
      <c r="C326" s="288" t="s">
        <v>31</v>
      </c>
      <c r="D326" s="289">
        <v>280</v>
      </c>
      <c r="E326" s="290"/>
      <c r="F326" s="290"/>
      <c r="G326" s="290" t="s">
        <v>883</v>
      </c>
      <c r="H326" s="291">
        <v>42</v>
      </c>
      <c r="I326" s="292">
        <v>103003</v>
      </c>
      <c r="J326" s="293">
        <v>280</v>
      </c>
      <c r="K326" s="294">
        <v>21</v>
      </c>
      <c r="L326" s="295">
        <f>IF(tabItens[[#This Row],[Média]] &gt; 0, tabItens[[#This Row],[QTDE ATUAL]] / tabItens[[#This Row],[Média]],999.9)</f>
        <v>26.526315789473685</v>
      </c>
      <c r="M326" s="296">
        <v>0</v>
      </c>
      <c r="N326" s="297">
        <f>tabItens[[#This Row],[VALOR UNIT.]] * tabItens[[#This Row],[LC]]</f>
        <v>0</v>
      </c>
      <c r="O326" s="298" t="s">
        <v>2159</v>
      </c>
      <c r="P326" s="299"/>
      <c r="Q326" s="300"/>
      <c r="R326" s="297"/>
      <c r="S326" s="301"/>
      <c r="T326" s="302">
        <f>ROUNDDOWN(IFERROR(tabItens[[#This Row],[ATA DT.VALID.]] - $D$1,0) / 30,0)</f>
        <v>-1504</v>
      </c>
      <c r="U326" s="287" t="s">
        <v>964</v>
      </c>
      <c r="V326" s="303">
        <v>1</v>
      </c>
      <c r="W326" s="304" t="s">
        <v>2054</v>
      </c>
      <c r="X326" s="305">
        <v>61</v>
      </c>
      <c r="Y326" s="306">
        <v>8</v>
      </c>
      <c r="Z326" s="307"/>
      <c r="AA326" s="308"/>
      <c r="AB326" s="309"/>
      <c r="AC326" s="309"/>
      <c r="AD326" s="308"/>
      <c r="AE326" s="309"/>
      <c r="AF326" s="302"/>
      <c r="AG326" s="310" t="s">
        <v>2050</v>
      </c>
      <c r="AH326" s="311"/>
      <c r="AI326" s="302">
        <v>8</v>
      </c>
      <c r="AJ326" s="311">
        <v>43803</v>
      </c>
      <c r="AK326" s="311">
        <v>40277</v>
      </c>
      <c r="AL326" s="311">
        <v>43788</v>
      </c>
      <c r="AM326" s="301"/>
      <c r="AN326" s="290"/>
      <c r="AO326" s="312" t="str">
        <f>_xlfn.IFNA(IF(VLOOKUP(tabItens[[#This Row],[CÓDIGO]],tabExcluirDoEstoque[#Data],1,FALSE),"sim",""),"")</f>
        <v/>
      </c>
      <c r="AP326" s="313" t="str">
        <f ca="1">IF(OR(ISBLANK(tabItens[[#This Row],[ATA DT.VALID.]]),tabItens[[#This Row],[ATA DT.VALID.]]="",tabItens[[#This Row],[ATA DT.VALID.]]=" "),"",IF(TYPE(tabItens[[#This Row],[ATA DT.VALID.]])=1,ROUNDUP((tabItens[[#This Row],[ATA DT.VALID.]]-TODAY())/7,0),""))</f>
        <v/>
      </c>
      <c r="AQ326" s="314">
        <v>0</v>
      </c>
      <c r="AR326" s="315" t="str">
        <f>IF(ISBLANK(tabItens[[#This Row],[CÓDIGO]]),"",IFERROR(VLOOKUP(tabItens[[#This Row],[CÓDIGO]],Consumo!$C$2:$AC$869,26,FALSE),0))</f>
        <v>04.2023</v>
      </c>
      <c r="AS326" s="316">
        <f>SUMIF(Consumo!$C$3:$C$869,tabItens[[#This Row],[CÓDIGO]],Consumo!$N$3:$N$869) + SUMIF(Consumo!$C$3:$C$869,tabItens[[#This Row],[CÓDIGO]],Consumo!$O$3:$O$869) + SUMIF(Consumo!$C$3:$C$869,tabItens[[#This Row],[CÓDIGO]],Consumo!$P$3:$P$869) + SUMIF(Consumo!$C$3:$C$869,tabItens[[#This Row],[CÓDIGO]],Consumo!$Q$3:$Q$869)</f>
        <v>8</v>
      </c>
      <c r="AT326" s="316">
        <f>SUMIF(Consumo!$C$3:$C$869,tabItens[[#This Row],[CÓDIGO]],Consumo!$Z$3:$Z$869)</f>
        <v>21</v>
      </c>
      <c r="AU326" s="317">
        <f>SUMIF(Consumo!$C$3:$C$869,tabItens[[#This Row],[CÓDIGO]],Consumo!$AA$3:$AA$869)</f>
        <v>10</v>
      </c>
      <c r="AV326" s="318">
        <f>SUMIF(Consumo!$C$3:$C$869,tabItens[[#This Row],[CÓDIGO]],Consumo!$Y$3:$Y$869)</f>
        <v>1.5833333333333333</v>
      </c>
      <c r="AW326" s="291">
        <f>tabItens[[#This Row],[QTDE ATUAL]] + tabItens[[#This Row],[RC QTDE]] + tabItens[[#This Row],[AF SALDO]] + tabItens[[#This Row],[Recentes]]</f>
        <v>42</v>
      </c>
      <c r="AX326" s="319">
        <v>3</v>
      </c>
      <c r="AY326" s="319">
        <v>4</v>
      </c>
      <c r="AZ326" s="319">
        <f>IF(ISBLANK(tabItens[[#This Row],[CÓDIGO]]),"",tabItens[[#This Row],[PontoMês]] * (AZ$2+tabItens[[#This Row],[PontoQtM]]))</f>
        <v>12</v>
      </c>
      <c r="BA326" s="318">
        <f>tabItens[[#This Row],[PontoPed]] - tabItens[[#This Row],[Saldo]] + (1/10)</f>
        <v>-29.9</v>
      </c>
      <c r="BB326" s="318">
        <f xml:space="preserve"> tabItens[[#This Row],[PontoMês]] * BB$2 - tabItens[[#This Row],[QTDE ATUAL]] - (1/10)</f>
        <v>-39.1</v>
      </c>
      <c r="BC326" s="320">
        <f>IF( tabItens[[#This Row],[PontoPed]]&gt;0, IF(tabItens[[#This Row],[PontoPed]]&lt;1, 1, IF( tabItens[[#This Row],[Saldo]]&gt;tabItens[[#This Row],[PontoPed]], 0, (tabItens[[#This Row],[PontoPed]]-tabItens[[#This Row],[Saldo]])/tabItens[[#This Row],[PontoPed]] ) ), 0 )</f>
        <v>0</v>
      </c>
      <c r="BD326" s="321">
        <f>ROUNDDOWN(IF( OR( AND(tabItens[[#This Row],[PontoPed]]&lt;tabItens[[#This Row],[Saldo]],tabItens[[#This Row],[Saldo]]&gt;0), tabItens[[#This Row],[PontoPed]]=0), 99, IF(AND(tabItens[[#This Row],[Saldo]]=0,tabItens[[#This Row],[PontoPed]]&gt;0), 0, (1-tabItens[[#This Row],[PctAb]])*10 ) ),0)</f>
        <v>99</v>
      </c>
      <c r="BE326" s="322">
        <f>MAX(ROUNDDOWN( IF(tabItens[[#This Row],[Abaixo]] &gt; 0,   tabItens[[#This Row],[Abaixo]] + (tabItens[[#This Row],[PontoMês]] * IF( OR( ISBLANK(tabItens[[#This Row],[ATA Nº/ANO]]), tabItens[[#This Row],[ATA Nº/ANO]] = ""),BE$2,BE$1)),0),0),0)</f>
        <v>0</v>
      </c>
      <c r="BF32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23">
        <f>SUMIF(Consumo!$C$3:$C$869,tabItens[[#This Row],[CÓDIGO]],Consumo!$E$3:$E$869)</f>
        <v>0</v>
      </c>
      <c r="BH326" s="324">
        <f>IF(AND(tabItens[[#This Row],[Pend]] &gt; 0,tabItens[[#This Row],[Consumo]] &lt;&gt; 0), tabItens[[#This Row],[Pend]] / tabItens[[#This Row],[Consumo]], 0 )</f>
        <v>0</v>
      </c>
      <c r="BI326" s="323"/>
      <c r="BJ326" s="323"/>
      <c r="BK326" s="325" t="s">
        <v>2064</v>
      </c>
    </row>
    <row r="327" spans="1:63" hidden="1" x14ac:dyDescent="0.3">
      <c r="A327" s="286">
        <v>88726</v>
      </c>
      <c r="B327" s="287" t="s">
        <v>1492</v>
      </c>
      <c r="C327" s="288" t="s">
        <v>256</v>
      </c>
      <c r="D327" s="289">
        <v>20</v>
      </c>
      <c r="E327" s="290"/>
      <c r="F327" s="290"/>
      <c r="G327" s="290" t="s">
        <v>883</v>
      </c>
      <c r="H327" s="291">
        <v>150</v>
      </c>
      <c r="I327" s="292">
        <v>103003</v>
      </c>
      <c r="J327" s="293">
        <v>20</v>
      </c>
      <c r="K327" s="294">
        <v>29</v>
      </c>
      <c r="L327" s="295">
        <f>IF(tabItens[[#This Row],[Média]] &gt; 0, tabItens[[#This Row],[QTDE ATUAL]] / tabItens[[#This Row],[Média]],999.9)</f>
        <v>62.068965517241381</v>
      </c>
      <c r="M327" s="296">
        <v>0</v>
      </c>
      <c r="N327" s="297">
        <f>tabItens[[#This Row],[VALOR UNIT.]] * tabItens[[#This Row],[LC]]</f>
        <v>0</v>
      </c>
      <c r="O327" s="298" t="s">
        <v>2100</v>
      </c>
      <c r="P327" s="299"/>
      <c r="Q327" s="300"/>
      <c r="R327" s="297"/>
      <c r="S327" s="301"/>
      <c r="T327" s="302">
        <f>ROUNDDOWN(IFERROR(tabItens[[#This Row],[ATA DT.VALID.]] - $D$1,0) / 30,0)</f>
        <v>-1504</v>
      </c>
      <c r="U327" s="287" t="s">
        <v>1491</v>
      </c>
      <c r="V327" s="303">
        <v>1</v>
      </c>
      <c r="W327" s="304" t="s">
        <v>2055</v>
      </c>
      <c r="X327" s="305">
        <v>55</v>
      </c>
      <c r="Y327" s="306">
        <v>26</v>
      </c>
      <c r="Z327" s="307"/>
      <c r="AA327" s="308"/>
      <c r="AB327" s="309"/>
      <c r="AC327" s="309"/>
      <c r="AD327" s="308"/>
      <c r="AE327" s="309"/>
      <c r="AF327" s="302"/>
      <c r="AG327" s="310" t="s">
        <v>2050</v>
      </c>
      <c r="AH327" s="311"/>
      <c r="AI327" s="302">
        <v>12</v>
      </c>
      <c r="AJ327" s="311">
        <v>44336</v>
      </c>
      <c r="AK327" s="311">
        <v>38656</v>
      </c>
      <c r="AL327" s="311">
        <v>44333</v>
      </c>
      <c r="AM327" s="301"/>
      <c r="AN327" s="290"/>
      <c r="AO327" s="312" t="str">
        <f>_xlfn.IFNA(IF(VLOOKUP(tabItens[[#This Row],[CÓDIGO]],tabExcluirDoEstoque[#Data],1,FALSE),"sim",""),"")</f>
        <v/>
      </c>
      <c r="AP327" s="313" t="str">
        <f ca="1">IF(OR(ISBLANK(tabItens[[#This Row],[ATA DT.VALID.]]),tabItens[[#This Row],[ATA DT.VALID.]]="",tabItens[[#This Row],[ATA DT.VALID.]]=" "),"",IF(TYPE(tabItens[[#This Row],[ATA DT.VALID.]])=1,ROUNDUP((tabItens[[#This Row],[ATA DT.VALID.]]-TODAY())/7,0),""))</f>
        <v/>
      </c>
      <c r="AQ327" s="314">
        <v>0</v>
      </c>
      <c r="AR327" s="315" t="str">
        <f>IF(ISBLANK(tabItens[[#This Row],[CÓDIGO]]),"",IFERROR(VLOOKUP(tabItens[[#This Row],[CÓDIGO]],Consumo!$C$2:$AC$869,26,FALSE),0))</f>
        <v>05.2023</v>
      </c>
      <c r="AS327" s="316">
        <f>SUMIF(Consumo!$C$3:$C$869,tabItens[[#This Row],[CÓDIGO]],Consumo!$N$3:$N$869) + SUMIF(Consumo!$C$3:$C$869,tabItens[[#This Row],[CÓDIGO]],Consumo!$O$3:$O$869) + SUMIF(Consumo!$C$3:$C$869,tabItens[[#This Row],[CÓDIGO]],Consumo!$P$3:$P$869) + SUMIF(Consumo!$C$3:$C$869,tabItens[[#This Row],[CÓDIGO]],Consumo!$Q$3:$Q$869)</f>
        <v>16</v>
      </c>
      <c r="AT327" s="316">
        <f>SUMIF(Consumo!$C$3:$C$869,tabItens[[#This Row],[CÓDIGO]],Consumo!$Z$3:$Z$869)</f>
        <v>32</v>
      </c>
      <c r="AU327" s="317">
        <f>SUMIF(Consumo!$C$3:$C$869,tabItens[[#This Row],[CÓDIGO]],Consumo!$AA$3:$AA$869)</f>
        <v>12</v>
      </c>
      <c r="AV327" s="318">
        <f>SUMIF(Consumo!$C$3:$C$869,tabItens[[#This Row],[CÓDIGO]],Consumo!$Y$3:$Y$869)</f>
        <v>2.4166666666666665</v>
      </c>
      <c r="AW327" s="291">
        <f>tabItens[[#This Row],[QTDE ATUAL]] + tabItens[[#This Row],[RC QTDE]] + tabItens[[#This Row],[AF SALDO]] + tabItens[[#This Row],[Recentes]]</f>
        <v>150</v>
      </c>
      <c r="AX327" s="319">
        <v>14</v>
      </c>
      <c r="AY327" s="319">
        <v>4</v>
      </c>
      <c r="AZ327" s="319">
        <f>IF(ISBLANK(tabItens[[#This Row],[CÓDIGO]]),"",tabItens[[#This Row],[PontoMês]] * (AZ$2+tabItens[[#This Row],[PontoQtM]]))</f>
        <v>56</v>
      </c>
      <c r="BA327" s="318">
        <f>tabItens[[#This Row],[PontoPed]] - tabItens[[#This Row],[Saldo]] + (1/10)</f>
        <v>-93.9</v>
      </c>
      <c r="BB327" s="318">
        <f xml:space="preserve"> tabItens[[#This Row],[PontoMês]] * BB$2 - tabItens[[#This Row],[QTDE ATUAL]] - (1/10)</f>
        <v>-136.1</v>
      </c>
      <c r="BC327" s="320">
        <f>IF( tabItens[[#This Row],[PontoPed]]&gt;0, IF(tabItens[[#This Row],[PontoPed]]&lt;1, 1, IF( tabItens[[#This Row],[Saldo]]&gt;tabItens[[#This Row],[PontoPed]], 0, (tabItens[[#This Row],[PontoPed]]-tabItens[[#This Row],[Saldo]])/tabItens[[#This Row],[PontoPed]] ) ), 0 )</f>
        <v>0</v>
      </c>
      <c r="BD327" s="321">
        <f>ROUNDDOWN(IF( OR( AND(tabItens[[#This Row],[PontoPed]]&lt;tabItens[[#This Row],[Saldo]],tabItens[[#This Row],[Saldo]]&gt;0), tabItens[[#This Row],[PontoPed]]=0), 99, IF(AND(tabItens[[#This Row],[Saldo]]=0,tabItens[[#This Row],[PontoPed]]&gt;0), 0, (1-tabItens[[#This Row],[PctAb]])*10 ) ),0)</f>
        <v>99</v>
      </c>
      <c r="BE327" s="322">
        <f>MAX(ROUNDDOWN( IF(tabItens[[#This Row],[Abaixo]] &gt; 0,   tabItens[[#This Row],[Abaixo]] + (tabItens[[#This Row],[PontoMês]] * IF( OR( ISBLANK(tabItens[[#This Row],[ATA Nº/ANO]]), tabItens[[#This Row],[ATA Nº/ANO]] = ""),BE$2,BE$1)),0),0),0)</f>
        <v>0</v>
      </c>
      <c r="BF32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23">
        <f>SUMIF(Consumo!$C$3:$C$869,tabItens[[#This Row],[CÓDIGO]],Consumo!$E$3:$E$869)</f>
        <v>0</v>
      </c>
      <c r="BH327" s="324">
        <f>IF(AND(tabItens[[#This Row],[Pend]] &gt; 0,tabItens[[#This Row],[Consumo]] &lt;&gt; 0), tabItens[[#This Row],[Pend]] / tabItens[[#This Row],[Consumo]], 0 )</f>
        <v>0</v>
      </c>
      <c r="BI327" s="323"/>
      <c r="BJ327" s="323"/>
      <c r="BK327" s="325" t="s">
        <v>2064</v>
      </c>
    </row>
    <row r="328" spans="1:63" hidden="1" x14ac:dyDescent="0.3">
      <c r="A328" s="286">
        <v>88727</v>
      </c>
      <c r="B328" s="287" t="s">
        <v>1493</v>
      </c>
      <c r="C328" s="288" t="s">
        <v>256</v>
      </c>
      <c r="D328" s="289">
        <v>20.61</v>
      </c>
      <c r="E328" s="290"/>
      <c r="F328" s="290"/>
      <c r="G328" s="290" t="s">
        <v>883</v>
      </c>
      <c r="H328" s="291">
        <v>248</v>
      </c>
      <c r="I328" s="292">
        <v>103003</v>
      </c>
      <c r="J328" s="293">
        <v>20.61</v>
      </c>
      <c r="K328" s="294">
        <v>167</v>
      </c>
      <c r="L328" s="295">
        <f>IF(tabItens[[#This Row],[Média]] &gt; 0, tabItens[[#This Row],[QTDE ATUAL]] / tabItens[[#This Row],[Média]],999.9)</f>
        <v>16.086486486486486</v>
      </c>
      <c r="M328" s="296">
        <v>0</v>
      </c>
      <c r="N328" s="297">
        <f>tabItens[[#This Row],[VALOR UNIT.]] * tabItens[[#This Row],[LC]]</f>
        <v>0</v>
      </c>
      <c r="O328" s="298" t="s">
        <v>2100</v>
      </c>
      <c r="P328" s="299"/>
      <c r="Q328" s="300"/>
      <c r="R328" s="297"/>
      <c r="S328" s="301"/>
      <c r="T328" s="302">
        <f>ROUNDDOWN(IFERROR(tabItens[[#This Row],[ATA DT.VALID.]] - $D$1,0) / 30,0)</f>
        <v>-1504</v>
      </c>
      <c r="U328" s="287" t="s">
        <v>1491</v>
      </c>
      <c r="V328" s="303">
        <v>1</v>
      </c>
      <c r="W328" s="304" t="s">
        <v>2055</v>
      </c>
      <c r="X328" s="305">
        <v>55</v>
      </c>
      <c r="Y328" s="306">
        <v>26</v>
      </c>
      <c r="Z328" s="307"/>
      <c r="AA328" s="308"/>
      <c r="AB328" s="309"/>
      <c r="AC328" s="309"/>
      <c r="AD328" s="308"/>
      <c r="AE328" s="309"/>
      <c r="AF328" s="302"/>
      <c r="AG328" s="310" t="s">
        <v>2050</v>
      </c>
      <c r="AH328" s="311"/>
      <c r="AI328" s="302">
        <v>64</v>
      </c>
      <c r="AJ328" s="311">
        <v>44545</v>
      </c>
      <c r="AK328" s="311">
        <v>38656</v>
      </c>
      <c r="AL328" s="311">
        <v>44516</v>
      </c>
      <c r="AM328" s="301"/>
      <c r="AN328" s="290"/>
      <c r="AO328" s="312" t="str">
        <f>_xlfn.IFNA(IF(VLOOKUP(tabItens[[#This Row],[CÓDIGO]],tabExcluirDoEstoque[#Data],1,FALSE),"sim",""),"")</f>
        <v/>
      </c>
      <c r="AP328" s="313" t="str">
        <f ca="1">IF(OR(ISBLANK(tabItens[[#This Row],[ATA DT.VALID.]]),tabItens[[#This Row],[ATA DT.VALID.]]="",tabItens[[#This Row],[ATA DT.VALID.]]=" "),"",IF(TYPE(tabItens[[#This Row],[ATA DT.VALID.]])=1,ROUNDUP((tabItens[[#This Row],[ATA DT.VALID.]]-TODAY())/7,0),""))</f>
        <v/>
      </c>
      <c r="AQ328" s="314">
        <v>0</v>
      </c>
      <c r="AR328" s="315" t="str">
        <f>IF(ISBLANK(tabItens[[#This Row],[CÓDIGO]]),"",IFERROR(VLOOKUP(tabItens[[#This Row],[CÓDIGO]],Consumo!$C$2:$AC$869,26,FALSE),0))</f>
        <v>06.2023</v>
      </c>
      <c r="AS328" s="316">
        <f>SUMIF(Consumo!$C$3:$C$869,tabItens[[#This Row],[CÓDIGO]],Consumo!$N$3:$N$869) + SUMIF(Consumo!$C$3:$C$869,tabItens[[#This Row],[CÓDIGO]],Consumo!$O$3:$O$869) + SUMIF(Consumo!$C$3:$C$869,tabItens[[#This Row],[CÓDIGO]],Consumo!$P$3:$P$869) + SUMIF(Consumo!$C$3:$C$869,tabItens[[#This Row],[CÓDIGO]],Consumo!$Q$3:$Q$869)</f>
        <v>30</v>
      </c>
      <c r="AT328" s="316">
        <f>SUMIF(Consumo!$C$3:$C$869,tabItens[[#This Row],[CÓDIGO]],Consumo!$Z$3:$Z$869)</f>
        <v>189</v>
      </c>
      <c r="AU328" s="317">
        <f>SUMIF(Consumo!$C$3:$C$869,tabItens[[#This Row],[CÓDIGO]],Consumo!$AA$3:$AA$869)</f>
        <v>51</v>
      </c>
      <c r="AV328" s="318">
        <f>SUMIF(Consumo!$C$3:$C$869,tabItens[[#This Row],[CÓDIGO]],Consumo!$Y$3:$Y$869)</f>
        <v>15.416666666666666</v>
      </c>
      <c r="AW328" s="291">
        <f>tabItens[[#This Row],[QTDE ATUAL]] + tabItens[[#This Row],[RC QTDE]] + tabItens[[#This Row],[AF SALDO]] + tabItens[[#This Row],[Recentes]]</f>
        <v>248</v>
      </c>
      <c r="AX328" s="319">
        <v>17</v>
      </c>
      <c r="AY328" s="319">
        <v>4</v>
      </c>
      <c r="AZ328" s="319">
        <f>IF(ISBLANK(tabItens[[#This Row],[CÓDIGO]]),"",tabItens[[#This Row],[PontoMês]] * (AZ$2+tabItens[[#This Row],[PontoQtM]]))</f>
        <v>68</v>
      </c>
      <c r="BA328" s="318">
        <f>tabItens[[#This Row],[PontoPed]] - tabItens[[#This Row],[Saldo]] + (1/10)</f>
        <v>-179.9</v>
      </c>
      <c r="BB328" s="318">
        <f xml:space="preserve"> tabItens[[#This Row],[PontoMês]] * BB$2 - tabItens[[#This Row],[QTDE ATUAL]] - (1/10)</f>
        <v>-231.1</v>
      </c>
      <c r="BC328" s="320">
        <f>IF( tabItens[[#This Row],[PontoPed]]&gt;0, IF(tabItens[[#This Row],[PontoPed]]&lt;1, 1, IF( tabItens[[#This Row],[Saldo]]&gt;tabItens[[#This Row],[PontoPed]], 0, (tabItens[[#This Row],[PontoPed]]-tabItens[[#This Row],[Saldo]])/tabItens[[#This Row],[PontoPed]] ) ), 0 )</f>
        <v>0</v>
      </c>
      <c r="BD328" s="321">
        <f>ROUNDDOWN(IF( OR( AND(tabItens[[#This Row],[PontoPed]]&lt;tabItens[[#This Row],[Saldo]],tabItens[[#This Row],[Saldo]]&gt;0), tabItens[[#This Row],[PontoPed]]=0), 99, IF(AND(tabItens[[#This Row],[Saldo]]=0,tabItens[[#This Row],[PontoPed]]&gt;0), 0, (1-tabItens[[#This Row],[PctAb]])*10 ) ),0)</f>
        <v>99</v>
      </c>
      <c r="BE328" s="322">
        <f>MAX(ROUNDDOWN( IF(tabItens[[#This Row],[Abaixo]] &gt; 0,   tabItens[[#This Row],[Abaixo]] + (tabItens[[#This Row],[PontoMês]] * IF( OR( ISBLANK(tabItens[[#This Row],[ATA Nº/ANO]]), tabItens[[#This Row],[ATA Nº/ANO]] = ""),BE$2,BE$1)),0),0),0)</f>
        <v>0</v>
      </c>
      <c r="BF32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23">
        <f>SUMIF(Consumo!$C$3:$C$869,tabItens[[#This Row],[CÓDIGO]],Consumo!$E$3:$E$869)</f>
        <v>0</v>
      </c>
      <c r="BH328" s="324">
        <f>IF(AND(tabItens[[#This Row],[Pend]] &gt; 0,tabItens[[#This Row],[Consumo]] &lt;&gt; 0), tabItens[[#This Row],[Pend]] / tabItens[[#This Row],[Consumo]], 0 )</f>
        <v>0</v>
      </c>
      <c r="BI328" s="323"/>
      <c r="BJ328" s="323"/>
      <c r="BK328" s="325" t="s">
        <v>2064</v>
      </c>
    </row>
    <row r="329" spans="1:63" hidden="1" x14ac:dyDescent="0.3">
      <c r="A329" s="286">
        <v>88728</v>
      </c>
      <c r="B329" s="287" t="s">
        <v>1494</v>
      </c>
      <c r="C329" s="288" t="s">
        <v>256</v>
      </c>
      <c r="D329" s="289">
        <v>28</v>
      </c>
      <c r="E329" s="290"/>
      <c r="F329" s="290"/>
      <c r="G329" s="290" t="s">
        <v>883</v>
      </c>
      <c r="H329" s="291">
        <v>186</v>
      </c>
      <c r="I329" s="292">
        <v>103003</v>
      </c>
      <c r="J329" s="293">
        <v>28</v>
      </c>
      <c r="K329" s="294">
        <v>88</v>
      </c>
      <c r="L329" s="295">
        <f>IF(tabItens[[#This Row],[Média]] &gt; 0, tabItens[[#This Row],[QTDE ATUAL]] / tabItens[[#This Row],[Média]],999.9)</f>
        <v>20.108108108108109</v>
      </c>
      <c r="M329" s="296">
        <v>0</v>
      </c>
      <c r="N329" s="297">
        <f>tabItens[[#This Row],[VALOR UNIT.]] * tabItens[[#This Row],[LC]]</f>
        <v>0</v>
      </c>
      <c r="O329" s="298" t="s">
        <v>2100</v>
      </c>
      <c r="P329" s="299"/>
      <c r="Q329" s="300"/>
      <c r="R329" s="297"/>
      <c r="S329" s="301"/>
      <c r="T329" s="302">
        <f>ROUNDDOWN(IFERROR(tabItens[[#This Row],[ATA DT.VALID.]] - $D$1,0) / 30,0)</f>
        <v>-1504</v>
      </c>
      <c r="U329" s="287" t="s">
        <v>1491</v>
      </c>
      <c r="V329" s="303">
        <v>1</v>
      </c>
      <c r="W329" s="304" t="s">
        <v>2055</v>
      </c>
      <c r="X329" s="305">
        <v>55</v>
      </c>
      <c r="Y329" s="306">
        <v>26</v>
      </c>
      <c r="Z329" s="307"/>
      <c r="AA329" s="308"/>
      <c r="AB329" s="309"/>
      <c r="AC329" s="309"/>
      <c r="AD329" s="308"/>
      <c r="AE329" s="309"/>
      <c r="AF329" s="302"/>
      <c r="AG329" s="310" t="s">
        <v>2050</v>
      </c>
      <c r="AH329" s="311"/>
      <c r="AI329" s="302">
        <v>38</v>
      </c>
      <c r="AJ329" s="311">
        <v>44336</v>
      </c>
      <c r="AK329" s="311">
        <v>38656</v>
      </c>
      <c r="AL329" s="311">
        <v>45075</v>
      </c>
      <c r="AM329" s="301"/>
      <c r="AN329" s="290"/>
      <c r="AO329" s="312" t="str">
        <f>_xlfn.IFNA(IF(VLOOKUP(tabItens[[#This Row],[CÓDIGO]],tabExcluirDoEstoque[#Data],1,FALSE),"sim",""),"")</f>
        <v/>
      </c>
      <c r="AP329" s="313" t="str">
        <f ca="1">IF(OR(ISBLANK(tabItens[[#This Row],[ATA DT.VALID.]]),tabItens[[#This Row],[ATA DT.VALID.]]="",tabItens[[#This Row],[ATA DT.VALID.]]=" "),"",IF(TYPE(tabItens[[#This Row],[ATA DT.VALID.]])=1,ROUNDUP((tabItens[[#This Row],[ATA DT.VALID.]]-TODAY())/7,0),""))</f>
        <v/>
      </c>
      <c r="AQ329" s="314">
        <v>0</v>
      </c>
      <c r="AR329" s="315" t="str">
        <f>IF(ISBLANK(tabItens[[#This Row],[CÓDIGO]]),"",IFERROR(VLOOKUP(tabItens[[#This Row],[CÓDIGO]],Consumo!$C$2:$AC$869,26,FALSE),0))</f>
        <v>07.2023</v>
      </c>
      <c r="AS329" s="316">
        <f>SUMIF(Consumo!$C$3:$C$869,tabItens[[#This Row],[CÓDIGO]],Consumo!$N$3:$N$869) + SUMIF(Consumo!$C$3:$C$869,tabItens[[#This Row],[CÓDIGO]],Consumo!$O$3:$O$869) + SUMIF(Consumo!$C$3:$C$869,tabItens[[#This Row],[CÓDIGO]],Consumo!$P$3:$P$869) + SUMIF(Consumo!$C$3:$C$869,tabItens[[#This Row],[CÓDIGO]],Consumo!$Q$3:$Q$869)</f>
        <v>44</v>
      </c>
      <c r="AT329" s="316">
        <f>SUMIF(Consumo!$C$3:$C$869,tabItens[[#This Row],[CÓDIGO]],Consumo!$Z$3:$Z$869)</f>
        <v>112</v>
      </c>
      <c r="AU329" s="317">
        <f>SUMIF(Consumo!$C$3:$C$869,tabItens[[#This Row],[CÓDIGO]],Consumo!$AA$3:$AA$869)</f>
        <v>24</v>
      </c>
      <c r="AV329" s="318">
        <f>SUMIF(Consumo!$C$3:$C$869,tabItens[[#This Row],[CÓDIGO]],Consumo!$Y$3:$Y$869)</f>
        <v>9.25</v>
      </c>
      <c r="AW329" s="291">
        <f>tabItens[[#This Row],[QTDE ATUAL]] + tabItens[[#This Row],[RC QTDE]] + tabItens[[#This Row],[AF SALDO]] + tabItens[[#This Row],[Recentes]]</f>
        <v>186</v>
      </c>
      <c r="AX329" s="319">
        <v>13</v>
      </c>
      <c r="AY329" s="319">
        <v>4</v>
      </c>
      <c r="AZ329" s="319">
        <f>IF(ISBLANK(tabItens[[#This Row],[CÓDIGO]]),"",tabItens[[#This Row],[PontoMês]] * (AZ$2+tabItens[[#This Row],[PontoQtM]]))</f>
        <v>52</v>
      </c>
      <c r="BA329" s="318">
        <f>tabItens[[#This Row],[PontoPed]] - tabItens[[#This Row],[Saldo]] + (1/10)</f>
        <v>-133.9</v>
      </c>
      <c r="BB329" s="318">
        <f xml:space="preserve"> tabItens[[#This Row],[PontoMês]] * BB$2 - tabItens[[#This Row],[QTDE ATUAL]] - (1/10)</f>
        <v>-173.1</v>
      </c>
      <c r="BC329" s="320">
        <f>IF( tabItens[[#This Row],[PontoPed]]&gt;0, IF(tabItens[[#This Row],[PontoPed]]&lt;1, 1, IF( tabItens[[#This Row],[Saldo]]&gt;tabItens[[#This Row],[PontoPed]], 0, (tabItens[[#This Row],[PontoPed]]-tabItens[[#This Row],[Saldo]])/tabItens[[#This Row],[PontoPed]] ) ), 0 )</f>
        <v>0</v>
      </c>
      <c r="BD329" s="321">
        <f>ROUNDDOWN(IF( OR( AND(tabItens[[#This Row],[PontoPed]]&lt;tabItens[[#This Row],[Saldo]],tabItens[[#This Row],[Saldo]]&gt;0), tabItens[[#This Row],[PontoPed]]=0), 99, IF(AND(tabItens[[#This Row],[Saldo]]=0,tabItens[[#This Row],[PontoPed]]&gt;0), 0, (1-tabItens[[#This Row],[PctAb]])*10 ) ),0)</f>
        <v>99</v>
      </c>
      <c r="BE329" s="322">
        <f>MAX(ROUNDDOWN( IF(tabItens[[#This Row],[Abaixo]] &gt; 0,   tabItens[[#This Row],[Abaixo]] + (tabItens[[#This Row],[PontoMês]] * IF( OR( ISBLANK(tabItens[[#This Row],[ATA Nº/ANO]]), tabItens[[#This Row],[ATA Nº/ANO]] = ""),BE$2,BE$1)),0),0),0)</f>
        <v>0</v>
      </c>
      <c r="BF32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23">
        <f>SUMIF(Consumo!$C$3:$C$869,tabItens[[#This Row],[CÓDIGO]],Consumo!$E$3:$E$869)</f>
        <v>0</v>
      </c>
      <c r="BH329" s="324">
        <f>IF(AND(tabItens[[#This Row],[Pend]] &gt; 0,tabItens[[#This Row],[Consumo]] &lt;&gt; 0), tabItens[[#This Row],[Pend]] / tabItens[[#This Row],[Consumo]], 0 )</f>
        <v>0</v>
      </c>
      <c r="BI329" s="323"/>
      <c r="BJ329" s="323"/>
      <c r="BK329" s="325" t="s">
        <v>2064</v>
      </c>
    </row>
    <row r="330" spans="1:63" hidden="1" x14ac:dyDescent="0.3">
      <c r="A330" s="286">
        <v>88730</v>
      </c>
      <c r="B330" s="287" t="s">
        <v>1496</v>
      </c>
      <c r="C330" s="288" t="s">
        <v>256</v>
      </c>
      <c r="D330" s="289">
        <v>22.5</v>
      </c>
      <c r="E330" s="290"/>
      <c r="F330" s="290"/>
      <c r="G330" s="290" t="s">
        <v>883</v>
      </c>
      <c r="H330" s="291">
        <v>18</v>
      </c>
      <c r="I330" s="292">
        <v>103003</v>
      </c>
      <c r="J330" s="293">
        <v>22.5</v>
      </c>
      <c r="K330" s="294">
        <v>19</v>
      </c>
      <c r="L330" s="295">
        <f>IF(tabItens[[#This Row],[Média]] &gt; 0, tabItens[[#This Row],[QTDE ATUAL]] / tabItens[[#This Row],[Média]],999.9)</f>
        <v>12</v>
      </c>
      <c r="M330" s="296">
        <v>0</v>
      </c>
      <c r="N330" s="297">
        <f>tabItens[[#This Row],[VALOR UNIT.]] * tabItens[[#This Row],[LC]]</f>
        <v>0</v>
      </c>
      <c r="O330" s="298" t="s">
        <v>2100</v>
      </c>
      <c r="P330" s="299"/>
      <c r="Q330" s="300"/>
      <c r="R330" s="297"/>
      <c r="S330" s="301"/>
      <c r="T330" s="302">
        <f>ROUNDDOWN(IFERROR(tabItens[[#This Row],[ATA DT.VALID.]] - $D$1,0) / 30,0)</f>
        <v>-1504</v>
      </c>
      <c r="U330" s="287" t="s">
        <v>1491</v>
      </c>
      <c r="V330" s="303">
        <v>1</v>
      </c>
      <c r="W330" s="304" t="s">
        <v>2055</v>
      </c>
      <c r="X330" s="305">
        <v>55</v>
      </c>
      <c r="Y330" s="306">
        <v>26</v>
      </c>
      <c r="Z330" s="307">
        <v>2442</v>
      </c>
      <c r="AA330" s="308">
        <v>2023</v>
      </c>
      <c r="AB330" s="309">
        <v>10</v>
      </c>
      <c r="AC330" s="309"/>
      <c r="AD330" s="308"/>
      <c r="AE330" s="309"/>
      <c r="AF330" s="302"/>
      <c r="AG330" s="310" t="s">
        <v>2050</v>
      </c>
      <c r="AH330" s="311"/>
      <c r="AI330" s="302">
        <v>6</v>
      </c>
      <c r="AJ330" s="311">
        <v>44874</v>
      </c>
      <c r="AK330" s="311">
        <v>38656</v>
      </c>
      <c r="AL330" s="311">
        <v>44845</v>
      </c>
      <c r="AM330" s="301"/>
      <c r="AN330" s="290"/>
      <c r="AO330" s="312" t="str">
        <f>_xlfn.IFNA(IF(VLOOKUP(tabItens[[#This Row],[CÓDIGO]],tabExcluirDoEstoque[#Data],1,FALSE),"sim",""),"")</f>
        <v/>
      </c>
      <c r="AP330" s="313" t="str">
        <f ca="1">IF(OR(ISBLANK(tabItens[[#This Row],[ATA DT.VALID.]]),tabItens[[#This Row],[ATA DT.VALID.]]="",tabItens[[#This Row],[ATA DT.VALID.]]=" "),"",IF(TYPE(tabItens[[#This Row],[ATA DT.VALID.]])=1,ROUNDUP((tabItens[[#This Row],[ATA DT.VALID.]]-TODAY())/7,0),""))</f>
        <v/>
      </c>
      <c r="AQ330" s="314">
        <v>0</v>
      </c>
      <c r="AR330" s="315" t="str">
        <f>IF(ISBLANK(tabItens[[#This Row],[CÓDIGO]]),"",IFERROR(VLOOKUP(tabItens[[#This Row],[CÓDIGO]],Consumo!$C$2:$AC$869,26,FALSE),0))</f>
        <v>03.2023</v>
      </c>
      <c r="AS330" s="316">
        <f>SUMIF(Consumo!$C$3:$C$869,tabItens[[#This Row],[CÓDIGO]],Consumo!$N$3:$N$869) + SUMIF(Consumo!$C$3:$C$869,tabItens[[#This Row],[CÓDIGO]],Consumo!$O$3:$O$869) + SUMIF(Consumo!$C$3:$C$869,tabItens[[#This Row],[CÓDIGO]],Consumo!$P$3:$P$869) + SUMIF(Consumo!$C$3:$C$869,tabItens[[#This Row],[CÓDIGO]],Consumo!$Q$3:$Q$869)</f>
        <v>0</v>
      </c>
      <c r="AT330" s="316">
        <f>SUMIF(Consumo!$C$3:$C$869,tabItens[[#This Row],[CÓDIGO]],Consumo!$Z$3:$Z$869)</f>
        <v>19</v>
      </c>
      <c r="AU330" s="317">
        <f>SUMIF(Consumo!$C$3:$C$869,tabItens[[#This Row],[CÓDIGO]],Consumo!$AA$3:$AA$869)</f>
        <v>6</v>
      </c>
      <c r="AV330" s="318">
        <f>SUMIF(Consumo!$C$3:$C$869,tabItens[[#This Row],[CÓDIGO]],Consumo!$Y$3:$Y$869)</f>
        <v>1.5</v>
      </c>
      <c r="AW330" s="291">
        <f>tabItens[[#This Row],[QTDE ATUAL]] + tabItens[[#This Row],[RC QTDE]] + tabItens[[#This Row],[AF SALDO]] + tabItens[[#This Row],[Recentes]]</f>
        <v>28</v>
      </c>
      <c r="AX330" s="319">
        <v>5</v>
      </c>
      <c r="AY330" s="319">
        <v>4</v>
      </c>
      <c r="AZ330" s="319">
        <f>IF(ISBLANK(tabItens[[#This Row],[CÓDIGO]]),"",tabItens[[#This Row],[PontoMês]] * (AZ$2+tabItens[[#This Row],[PontoQtM]]))</f>
        <v>20</v>
      </c>
      <c r="BA330" s="318">
        <f>tabItens[[#This Row],[PontoPed]] - tabItens[[#This Row],[Saldo]] + (1/10)</f>
        <v>-7.9</v>
      </c>
      <c r="BB330" s="318">
        <f xml:space="preserve"> tabItens[[#This Row],[PontoMês]] * BB$2 - tabItens[[#This Row],[QTDE ATUAL]] - (1/10)</f>
        <v>-13.1</v>
      </c>
      <c r="BC330" s="320">
        <f>IF( tabItens[[#This Row],[PontoPed]]&gt;0, IF(tabItens[[#This Row],[PontoPed]]&lt;1, 1, IF( tabItens[[#This Row],[Saldo]]&gt;tabItens[[#This Row],[PontoPed]], 0, (tabItens[[#This Row],[PontoPed]]-tabItens[[#This Row],[Saldo]])/tabItens[[#This Row],[PontoPed]] ) ), 0 )</f>
        <v>0</v>
      </c>
      <c r="BD330" s="321">
        <f>ROUNDDOWN(IF( OR( AND(tabItens[[#This Row],[PontoPed]]&lt;tabItens[[#This Row],[Saldo]],tabItens[[#This Row],[Saldo]]&gt;0), tabItens[[#This Row],[PontoPed]]=0), 99, IF(AND(tabItens[[#This Row],[Saldo]]=0,tabItens[[#This Row],[PontoPed]]&gt;0), 0, (1-tabItens[[#This Row],[PctAb]])*10 ) ),0)</f>
        <v>99</v>
      </c>
      <c r="BE330" s="322">
        <f>MAX(ROUNDDOWN( IF(tabItens[[#This Row],[Abaixo]] &gt; 0,   tabItens[[#This Row],[Abaixo]] + (tabItens[[#This Row],[PontoMês]] * IF( OR( ISBLANK(tabItens[[#This Row],[ATA Nº/ANO]]), tabItens[[#This Row],[ATA Nº/ANO]] = ""),BE$2,BE$1)),0),0),0)</f>
        <v>0</v>
      </c>
      <c r="BF33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23">
        <f>SUMIF(Consumo!$C$3:$C$869,tabItens[[#This Row],[CÓDIGO]],Consumo!$E$3:$E$869)</f>
        <v>0</v>
      </c>
      <c r="BH330" s="324">
        <f>IF(AND(tabItens[[#This Row],[Pend]] &gt; 0,tabItens[[#This Row],[Consumo]] &lt;&gt; 0), tabItens[[#This Row],[Pend]] / tabItens[[#This Row],[Consumo]], 0 )</f>
        <v>0</v>
      </c>
      <c r="BI330" s="323"/>
      <c r="BJ330" s="323"/>
      <c r="BK330" s="325" t="s">
        <v>2064</v>
      </c>
    </row>
    <row r="331" spans="1:63" hidden="1" x14ac:dyDescent="0.3">
      <c r="A331" s="286">
        <v>88734</v>
      </c>
      <c r="B331" s="287" t="s">
        <v>1500</v>
      </c>
      <c r="C331" s="288" t="s">
        <v>256</v>
      </c>
      <c r="D331" s="289">
        <v>44</v>
      </c>
      <c r="E331" s="290"/>
      <c r="F331" s="290"/>
      <c r="G331" s="290" t="s">
        <v>883</v>
      </c>
      <c r="H331" s="291">
        <v>44</v>
      </c>
      <c r="I331" s="292">
        <v>103003</v>
      </c>
      <c r="J331" s="293">
        <v>44</v>
      </c>
      <c r="K331" s="294">
        <v>8</v>
      </c>
      <c r="L331" s="295">
        <f>IF(tabItens[[#This Row],[Média]] &gt; 0, tabItens[[#This Row],[QTDE ATUAL]] / tabItens[[#This Row],[Média]],999.9)</f>
        <v>88</v>
      </c>
      <c r="M331" s="296">
        <v>0</v>
      </c>
      <c r="N331" s="297">
        <f>tabItens[[#This Row],[VALOR UNIT.]] * tabItens[[#This Row],[LC]]</f>
        <v>0</v>
      </c>
      <c r="O331" s="298" t="s">
        <v>2100</v>
      </c>
      <c r="P331" s="299"/>
      <c r="Q331" s="300"/>
      <c r="R331" s="297"/>
      <c r="S331" s="301"/>
      <c r="T331" s="302">
        <f>ROUNDDOWN(IFERROR(tabItens[[#This Row],[ATA DT.VALID.]] - $D$1,0) / 30,0)</f>
        <v>-1504</v>
      </c>
      <c r="U331" s="287" t="s">
        <v>1491</v>
      </c>
      <c r="V331" s="303">
        <v>1</v>
      </c>
      <c r="W331" s="304" t="s">
        <v>2055</v>
      </c>
      <c r="X331" s="305">
        <v>55</v>
      </c>
      <c r="Y331" s="306">
        <v>26</v>
      </c>
      <c r="Z331" s="307"/>
      <c r="AA331" s="308"/>
      <c r="AB331" s="309"/>
      <c r="AC331" s="309"/>
      <c r="AD331" s="308"/>
      <c r="AE331" s="309"/>
      <c r="AF331" s="302"/>
      <c r="AG331" s="310" t="s">
        <v>2050</v>
      </c>
      <c r="AH331" s="311"/>
      <c r="AI331" s="302">
        <v>2</v>
      </c>
      <c r="AJ331" s="311">
        <v>43903</v>
      </c>
      <c r="AK331" s="311">
        <v>38656</v>
      </c>
      <c r="AL331" s="311">
        <v>44687</v>
      </c>
      <c r="AM331" s="301"/>
      <c r="AN331" s="290"/>
      <c r="AO331" s="312" t="str">
        <f>_xlfn.IFNA(IF(VLOOKUP(tabItens[[#This Row],[CÓDIGO]],tabExcluirDoEstoque[#Data],1,FALSE),"sim",""),"")</f>
        <v/>
      </c>
      <c r="AP331" s="313" t="str">
        <f ca="1">IF(OR(ISBLANK(tabItens[[#This Row],[ATA DT.VALID.]]),tabItens[[#This Row],[ATA DT.VALID.]]="",tabItens[[#This Row],[ATA DT.VALID.]]=" "),"",IF(TYPE(tabItens[[#This Row],[ATA DT.VALID.]])=1,ROUNDUP((tabItens[[#This Row],[ATA DT.VALID.]]-TODAY())/7,0),""))</f>
        <v/>
      </c>
      <c r="AQ331" s="314">
        <v>0</v>
      </c>
      <c r="AR331" s="315" t="str">
        <f>IF(ISBLANK(tabItens[[#This Row],[CÓDIGO]]),"",IFERROR(VLOOKUP(tabItens[[#This Row],[CÓDIGO]],Consumo!$C$2:$AC$869,26,FALSE),0))</f>
        <v>02.2023</v>
      </c>
      <c r="AS331" s="316">
        <f>SUMIF(Consumo!$C$3:$C$869,tabItens[[#This Row],[CÓDIGO]],Consumo!$N$3:$N$869) + SUMIF(Consumo!$C$3:$C$869,tabItens[[#This Row],[CÓDIGO]],Consumo!$O$3:$O$869) + SUMIF(Consumo!$C$3:$C$869,tabItens[[#This Row],[CÓDIGO]],Consumo!$P$3:$P$869) + SUMIF(Consumo!$C$3:$C$869,tabItens[[#This Row],[CÓDIGO]],Consumo!$Q$3:$Q$869)</f>
        <v>0</v>
      </c>
      <c r="AT331" s="316">
        <f>SUMIF(Consumo!$C$3:$C$869,tabItens[[#This Row],[CÓDIGO]],Consumo!$Z$3:$Z$869)</f>
        <v>8</v>
      </c>
      <c r="AU331" s="317">
        <f>SUMIF(Consumo!$C$3:$C$869,tabItens[[#This Row],[CÓDIGO]],Consumo!$AA$3:$AA$869)</f>
        <v>3</v>
      </c>
      <c r="AV331" s="318">
        <f>SUMIF(Consumo!$C$3:$C$869,tabItens[[#This Row],[CÓDIGO]],Consumo!$Y$3:$Y$869)</f>
        <v>0.5</v>
      </c>
      <c r="AW331" s="291">
        <f>tabItens[[#This Row],[QTDE ATUAL]] + tabItens[[#This Row],[RC QTDE]] + tabItens[[#This Row],[AF SALDO]] + tabItens[[#This Row],[Recentes]]</f>
        <v>44</v>
      </c>
      <c r="AX331" s="319">
        <v>8</v>
      </c>
      <c r="AY331" s="319">
        <v>4</v>
      </c>
      <c r="AZ331" s="319">
        <f>IF(ISBLANK(tabItens[[#This Row],[CÓDIGO]]),"",tabItens[[#This Row],[PontoMês]] * (AZ$2+tabItens[[#This Row],[PontoQtM]]))</f>
        <v>32</v>
      </c>
      <c r="BA331" s="318">
        <f>tabItens[[#This Row],[PontoPed]] - tabItens[[#This Row],[Saldo]] + (1/10)</f>
        <v>-11.9</v>
      </c>
      <c r="BB331" s="318">
        <f xml:space="preserve"> tabItens[[#This Row],[PontoMês]] * BB$2 - tabItens[[#This Row],[QTDE ATUAL]] - (1/10)</f>
        <v>-36.1</v>
      </c>
      <c r="BC331" s="320">
        <f>IF( tabItens[[#This Row],[PontoPed]]&gt;0, IF(tabItens[[#This Row],[PontoPed]]&lt;1, 1, IF( tabItens[[#This Row],[Saldo]]&gt;tabItens[[#This Row],[PontoPed]], 0, (tabItens[[#This Row],[PontoPed]]-tabItens[[#This Row],[Saldo]])/tabItens[[#This Row],[PontoPed]] ) ), 0 )</f>
        <v>0</v>
      </c>
      <c r="BD331" s="321">
        <f>ROUNDDOWN(IF( OR( AND(tabItens[[#This Row],[PontoPed]]&lt;tabItens[[#This Row],[Saldo]],tabItens[[#This Row],[Saldo]]&gt;0), tabItens[[#This Row],[PontoPed]]=0), 99, IF(AND(tabItens[[#This Row],[Saldo]]=0,tabItens[[#This Row],[PontoPed]]&gt;0), 0, (1-tabItens[[#This Row],[PctAb]])*10 ) ),0)</f>
        <v>99</v>
      </c>
      <c r="BE331" s="322">
        <f>MAX(ROUNDDOWN( IF(tabItens[[#This Row],[Abaixo]] &gt; 0,   tabItens[[#This Row],[Abaixo]] + (tabItens[[#This Row],[PontoMês]] * IF( OR( ISBLANK(tabItens[[#This Row],[ATA Nº/ANO]]), tabItens[[#This Row],[ATA Nº/ANO]] = ""),BE$2,BE$1)),0),0),0)</f>
        <v>0</v>
      </c>
      <c r="BF3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23">
        <f>SUMIF(Consumo!$C$3:$C$869,tabItens[[#This Row],[CÓDIGO]],Consumo!$E$3:$E$869)</f>
        <v>0</v>
      </c>
      <c r="BH331" s="324">
        <f>IF(AND(tabItens[[#This Row],[Pend]] &gt; 0,tabItens[[#This Row],[Consumo]] &lt;&gt; 0), tabItens[[#This Row],[Pend]] / tabItens[[#This Row],[Consumo]], 0 )</f>
        <v>0</v>
      </c>
      <c r="BI331" s="323"/>
      <c r="BJ331" s="323"/>
      <c r="BK331" s="325" t="s">
        <v>2064</v>
      </c>
    </row>
    <row r="332" spans="1:63" hidden="1" x14ac:dyDescent="0.3">
      <c r="A332" s="286">
        <v>88735</v>
      </c>
      <c r="B332" s="287" t="s">
        <v>1501</v>
      </c>
      <c r="C332" s="288" t="s">
        <v>256</v>
      </c>
      <c r="D332" s="289">
        <v>34.299999999999997</v>
      </c>
      <c r="E332" s="290"/>
      <c r="F332" s="290"/>
      <c r="G332" s="290" t="s">
        <v>883</v>
      </c>
      <c r="H332" s="291">
        <v>91</v>
      </c>
      <c r="I332" s="292">
        <v>103003</v>
      </c>
      <c r="J332" s="293">
        <v>34.299999999999997</v>
      </c>
      <c r="K332" s="294">
        <v>22</v>
      </c>
      <c r="L332" s="295">
        <f>IF(tabItens[[#This Row],[Média]] &gt; 0, tabItens[[#This Row],[QTDE ATUAL]] / tabItens[[#This Row],[Média]],999.9)</f>
        <v>47.478260869565219</v>
      </c>
      <c r="M332" s="296">
        <v>0</v>
      </c>
      <c r="N332" s="297">
        <f>tabItens[[#This Row],[VALOR UNIT.]] * tabItens[[#This Row],[LC]]</f>
        <v>0</v>
      </c>
      <c r="O332" s="298" t="s">
        <v>2100</v>
      </c>
      <c r="P332" s="299"/>
      <c r="Q332" s="300"/>
      <c r="R332" s="297"/>
      <c r="S332" s="301"/>
      <c r="T332" s="302">
        <f>ROUNDDOWN(IFERROR(tabItens[[#This Row],[ATA DT.VALID.]] - $D$1,0) / 30,0)</f>
        <v>-1504</v>
      </c>
      <c r="U332" s="287" t="s">
        <v>1491</v>
      </c>
      <c r="V332" s="303">
        <v>1</v>
      </c>
      <c r="W332" s="304" t="s">
        <v>2055</v>
      </c>
      <c r="X332" s="305">
        <v>55</v>
      </c>
      <c r="Y332" s="306">
        <v>26</v>
      </c>
      <c r="Z332" s="307"/>
      <c r="AA332" s="308"/>
      <c r="AB332" s="309"/>
      <c r="AC332" s="309"/>
      <c r="AD332" s="308"/>
      <c r="AE332" s="309"/>
      <c r="AF332" s="302"/>
      <c r="AG332" s="310" t="s">
        <v>2050</v>
      </c>
      <c r="AH332" s="311"/>
      <c r="AI332" s="302">
        <v>8</v>
      </c>
      <c r="AJ332" s="311">
        <v>44628</v>
      </c>
      <c r="AK332" s="311">
        <v>38656</v>
      </c>
      <c r="AL332" s="311">
        <v>44616</v>
      </c>
      <c r="AM332" s="301"/>
      <c r="AN332" s="290"/>
      <c r="AO332" s="312" t="str">
        <f>_xlfn.IFNA(IF(VLOOKUP(tabItens[[#This Row],[CÓDIGO]],tabExcluirDoEstoque[#Data],1,FALSE),"sim",""),"")</f>
        <v/>
      </c>
      <c r="AP332" s="313" t="str">
        <f ca="1">IF(OR(ISBLANK(tabItens[[#This Row],[ATA DT.VALID.]]),tabItens[[#This Row],[ATA DT.VALID.]]="",tabItens[[#This Row],[ATA DT.VALID.]]=" "),"",IF(TYPE(tabItens[[#This Row],[ATA DT.VALID.]])=1,ROUNDUP((tabItens[[#This Row],[ATA DT.VALID.]]-TODAY())/7,0),""))</f>
        <v/>
      </c>
      <c r="AQ332" s="314">
        <v>0</v>
      </c>
      <c r="AR332" s="315" t="str">
        <f>IF(ISBLANK(tabItens[[#This Row],[CÓDIGO]]),"",IFERROR(VLOOKUP(tabItens[[#This Row],[CÓDIGO]],Consumo!$C$2:$AC$869,26,FALSE),0))</f>
        <v>06.2023</v>
      </c>
      <c r="AS332" s="316">
        <f>SUMIF(Consumo!$C$3:$C$869,tabItens[[#This Row],[CÓDIGO]],Consumo!$N$3:$N$869) + SUMIF(Consumo!$C$3:$C$869,tabItens[[#This Row],[CÓDIGO]],Consumo!$O$3:$O$869) + SUMIF(Consumo!$C$3:$C$869,tabItens[[#This Row],[CÓDIGO]],Consumo!$P$3:$P$869) + SUMIF(Consumo!$C$3:$C$869,tabItens[[#This Row],[CÓDIGO]],Consumo!$Q$3:$Q$869)</f>
        <v>10</v>
      </c>
      <c r="AT332" s="316">
        <f>SUMIF(Consumo!$C$3:$C$869,tabItens[[#This Row],[CÓDIGO]],Consumo!$Z$3:$Z$869)</f>
        <v>23</v>
      </c>
      <c r="AU332" s="317">
        <f>SUMIF(Consumo!$C$3:$C$869,tabItens[[#This Row],[CÓDIGO]],Consumo!$AA$3:$AA$869)</f>
        <v>5</v>
      </c>
      <c r="AV332" s="318">
        <f>SUMIF(Consumo!$C$3:$C$869,tabItens[[#This Row],[CÓDIGO]],Consumo!$Y$3:$Y$869)</f>
        <v>1.9166666666666667</v>
      </c>
      <c r="AW332" s="291">
        <f>tabItens[[#This Row],[QTDE ATUAL]] + tabItens[[#This Row],[RC QTDE]] + tabItens[[#This Row],[AF SALDO]] + tabItens[[#This Row],[Recentes]]</f>
        <v>91</v>
      </c>
      <c r="AX332" s="319">
        <v>4</v>
      </c>
      <c r="AY332" s="319">
        <v>4</v>
      </c>
      <c r="AZ332" s="319">
        <f>IF(ISBLANK(tabItens[[#This Row],[CÓDIGO]]),"",tabItens[[#This Row],[PontoMês]] * (AZ$2+tabItens[[#This Row],[PontoQtM]]))</f>
        <v>16</v>
      </c>
      <c r="BA332" s="318">
        <f>tabItens[[#This Row],[PontoPed]] - tabItens[[#This Row],[Saldo]] + (1/10)</f>
        <v>-74.900000000000006</v>
      </c>
      <c r="BB332" s="318">
        <f xml:space="preserve"> tabItens[[#This Row],[PontoMês]] * BB$2 - tabItens[[#This Row],[QTDE ATUAL]] - (1/10)</f>
        <v>-87.1</v>
      </c>
      <c r="BC332" s="320">
        <f>IF( tabItens[[#This Row],[PontoPed]]&gt;0, IF(tabItens[[#This Row],[PontoPed]]&lt;1, 1, IF( tabItens[[#This Row],[Saldo]]&gt;tabItens[[#This Row],[PontoPed]], 0, (tabItens[[#This Row],[PontoPed]]-tabItens[[#This Row],[Saldo]])/tabItens[[#This Row],[PontoPed]] ) ), 0 )</f>
        <v>0</v>
      </c>
      <c r="BD332" s="321">
        <f>ROUNDDOWN(IF( OR( AND(tabItens[[#This Row],[PontoPed]]&lt;tabItens[[#This Row],[Saldo]],tabItens[[#This Row],[Saldo]]&gt;0), tabItens[[#This Row],[PontoPed]]=0), 99, IF(AND(tabItens[[#This Row],[Saldo]]=0,tabItens[[#This Row],[PontoPed]]&gt;0), 0, (1-tabItens[[#This Row],[PctAb]])*10 ) ),0)</f>
        <v>99</v>
      </c>
      <c r="BE332" s="322">
        <f>MAX(ROUNDDOWN( IF(tabItens[[#This Row],[Abaixo]] &gt; 0,   tabItens[[#This Row],[Abaixo]] + (tabItens[[#This Row],[PontoMês]] * IF( OR( ISBLANK(tabItens[[#This Row],[ATA Nº/ANO]]), tabItens[[#This Row],[ATA Nº/ANO]] = ""),BE$2,BE$1)),0),0),0)</f>
        <v>0</v>
      </c>
      <c r="BF33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23">
        <f>SUMIF(Consumo!$C$3:$C$869,tabItens[[#This Row],[CÓDIGO]],Consumo!$E$3:$E$869)</f>
        <v>0</v>
      </c>
      <c r="BH332" s="324">
        <f>IF(AND(tabItens[[#This Row],[Pend]] &gt; 0,tabItens[[#This Row],[Consumo]] &lt;&gt; 0), tabItens[[#This Row],[Pend]] / tabItens[[#This Row],[Consumo]], 0 )</f>
        <v>0</v>
      </c>
      <c r="BI332" s="323"/>
      <c r="BJ332" s="323"/>
      <c r="BK332" s="325" t="s">
        <v>2064</v>
      </c>
    </row>
    <row r="333" spans="1:63" hidden="1" x14ac:dyDescent="0.3">
      <c r="A333" s="286">
        <v>88747</v>
      </c>
      <c r="B333" s="287" t="s">
        <v>1506</v>
      </c>
      <c r="C333" s="288" t="s">
        <v>256</v>
      </c>
      <c r="D333" s="289">
        <v>205</v>
      </c>
      <c r="E333" s="290"/>
      <c r="F333" s="290"/>
      <c r="G333" s="290" t="s">
        <v>883</v>
      </c>
      <c r="H333" s="291">
        <v>7</v>
      </c>
      <c r="I333" s="292">
        <v>103003</v>
      </c>
      <c r="J333" s="293">
        <v>205</v>
      </c>
      <c r="K333" s="294">
        <v>6</v>
      </c>
      <c r="L333" s="295">
        <f>IF(tabItens[[#This Row],[Média]] &gt; 0, tabItens[[#This Row],[QTDE ATUAL]] / tabItens[[#This Row],[Média]],999.9)</f>
        <v>16.8</v>
      </c>
      <c r="M333" s="296">
        <v>0</v>
      </c>
      <c r="N333" s="297">
        <f>tabItens[[#This Row],[VALOR UNIT.]] * tabItens[[#This Row],[LC]]</f>
        <v>0</v>
      </c>
      <c r="O333" s="298" t="s">
        <v>2100</v>
      </c>
      <c r="P333" s="299"/>
      <c r="Q333" s="300"/>
      <c r="R333" s="297"/>
      <c r="S333" s="301"/>
      <c r="T333" s="302">
        <f>ROUNDDOWN(IFERROR(tabItens[[#This Row],[ATA DT.VALID.]] - $D$1,0) / 30,0)</f>
        <v>-1504</v>
      </c>
      <c r="U333" s="287" t="s">
        <v>1491</v>
      </c>
      <c r="V333" s="303">
        <v>1</v>
      </c>
      <c r="W333" s="304" t="s">
        <v>2055</v>
      </c>
      <c r="X333" s="305">
        <v>55</v>
      </c>
      <c r="Y333" s="306">
        <v>26</v>
      </c>
      <c r="Z333" s="307"/>
      <c r="AA333" s="308"/>
      <c r="AB333" s="309"/>
      <c r="AC333" s="309"/>
      <c r="AD333" s="308"/>
      <c r="AE333" s="309"/>
      <c r="AF333" s="302"/>
      <c r="AG333" s="310" t="s">
        <v>2050</v>
      </c>
      <c r="AH333" s="311"/>
      <c r="AI333" s="302">
        <v>2</v>
      </c>
      <c r="AJ333" s="311">
        <v>44649</v>
      </c>
      <c r="AK333" s="311">
        <v>38656</v>
      </c>
      <c r="AL333" s="311">
        <v>44687</v>
      </c>
      <c r="AM333" s="301"/>
      <c r="AN333" s="290"/>
      <c r="AO333" s="312" t="str">
        <f>_xlfn.IFNA(IF(VLOOKUP(tabItens[[#This Row],[CÓDIGO]],tabExcluirDoEstoque[#Data],1,FALSE),"sim",""),"")</f>
        <v/>
      </c>
      <c r="AP333" s="313" t="str">
        <f ca="1">IF(OR(ISBLANK(tabItens[[#This Row],[ATA DT.VALID.]]),tabItens[[#This Row],[ATA DT.VALID.]]="",tabItens[[#This Row],[ATA DT.VALID.]]=" "),"",IF(TYPE(tabItens[[#This Row],[ATA DT.VALID.]])=1,ROUNDUP((tabItens[[#This Row],[ATA DT.VALID.]]-TODAY())/7,0),""))</f>
        <v/>
      </c>
      <c r="AQ333" s="314">
        <v>0</v>
      </c>
      <c r="AR333" s="315" t="str">
        <f>IF(ISBLANK(tabItens[[#This Row],[CÓDIGO]]),"",IFERROR(VLOOKUP(tabItens[[#This Row],[CÓDIGO]],Consumo!$C$2:$AC$869,26,FALSE),0))</f>
        <v>04.2023</v>
      </c>
      <c r="AS333" s="316">
        <f>SUMIF(Consumo!$C$3:$C$869,tabItens[[#This Row],[CÓDIGO]],Consumo!$N$3:$N$869) + SUMIF(Consumo!$C$3:$C$869,tabItens[[#This Row],[CÓDIGO]],Consumo!$O$3:$O$869) + SUMIF(Consumo!$C$3:$C$869,tabItens[[#This Row],[CÓDIGO]],Consumo!$P$3:$P$869) + SUMIF(Consumo!$C$3:$C$869,tabItens[[#This Row],[CÓDIGO]],Consumo!$Q$3:$Q$869)</f>
        <v>3</v>
      </c>
      <c r="AT333" s="316">
        <f>SUMIF(Consumo!$C$3:$C$869,tabItens[[#This Row],[CÓDIGO]],Consumo!$Z$3:$Z$869)</f>
        <v>6</v>
      </c>
      <c r="AU333" s="317">
        <f>SUMIF(Consumo!$C$3:$C$869,tabItens[[#This Row],[CÓDIGO]],Consumo!$AA$3:$AA$869)</f>
        <v>3</v>
      </c>
      <c r="AV333" s="318">
        <f>SUMIF(Consumo!$C$3:$C$869,tabItens[[#This Row],[CÓDIGO]],Consumo!$Y$3:$Y$869)</f>
        <v>0.41666666666666669</v>
      </c>
      <c r="AW333" s="291">
        <f>tabItens[[#This Row],[QTDE ATUAL]] + tabItens[[#This Row],[RC QTDE]] + tabItens[[#This Row],[AF SALDO]] + tabItens[[#This Row],[Recentes]]</f>
        <v>7</v>
      </c>
      <c r="AX333" s="319">
        <v>1.5</v>
      </c>
      <c r="AY333" s="319">
        <v>4</v>
      </c>
      <c r="AZ333" s="319">
        <f>IF(ISBLANK(tabItens[[#This Row],[CÓDIGO]]),"",tabItens[[#This Row],[PontoMês]] * (AZ$2+tabItens[[#This Row],[PontoQtM]]))</f>
        <v>6</v>
      </c>
      <c r="BA333" s="318">
        <f>tabItens[[#This Row],[PontoPed]] - tabItens[[#This Row],[Saldo]] + (1/10)</f>
        <v>-0.9</v>
      </c>
      <c r="BB333" s="318">
        <f xml:space="preserve"> tabItens[[#This Row],[PontoMês]] * BB$2 - tabItens[[#This Row],[QTDE ATUAL]] - (1/10)</f>
        <v>-5.6</v>
      </c>
      <c r="BC333" s="320">
        <f>IF( tabItens[[#This Row],[PontoPed]]&gt;0, IF(tabItens[[#This Row],[PontoPed]]&lt;1, 1, IF( tabItens[[#This Row],[Saldo]]&gt;tabItens[[#This Row],[PontoPed]], 0, (tabItens[[#This Row],[PontoPed]]-tabItens[[#This Row],[Saldo]])/tabItens[[#This Row],[PontoPed]] ) ), 0 )</f>
        <v>0</v>
      </c>
      <c r="BD333" s="321">
        <f>ROUNDDOWN(IF( OR( AND(tabItens[[#This Row],[PontoPed]]&lt;tabItens[[#This Row],[Saldo]],tabItens[[#This Row],[Saldo]]&gt;0), tabItens[[#This Row],[PontoPed]]=0), 99, IF(AND(tabItens[[#This Row],[Saldo]]=0,tabItens[[#This Row],[PontoPed]]&gt;0), 0, (1-tabItens[[#This Row],[PctAb]])*10 ) ),0)</f>
        <v>99</v>
      </c>
      <c r="BE333" s="322">
        <f>MAX(ROUNDDOWN( IF(tabItens[[#This Row],[Abaixo]] &gt; 0,   tabItens[[#This Row],[Abaixo]] + (tabItens[[#This Row],[PontoMês]] * IF( OR( ISBLANK(tabItens[[#This Row],[ATA Nº/ANO]]), tabItens[[#This Row],[ATA Nº/ANO]] = ""),BE$2,BE$1)),0),0),0)</f>
        <v>0</v>
      </c>
      <c r="BF33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23">
        <f>SUMIF(Consumo!$C$3:$C$869,tabItens[[#This Row],[CÓDIGO]],Consumo!$E$3:$E$869)</f>
        <v>0</v>
      </c>
      <c r="BH333" s="324">
        <f>IF(AND(tabItens[[#This Row],[Pend]] &gt; 0,tabItens[[#This Row],[Consumo]] &lt;&gt; 0), tabItens[[#This Row],[Pend]] / tabItens[[#This Row],[Consumo]], 0 )</f>
        <v>0</v>
      </c>
      <c r="BI333" s="323"/>
      <c r="BJ333" s="323"/>
      <c r="BK333" s="325" t="s">
        <v>2064</v>
      </c>
    </row>
    <row r="334" spans="1:63" hidden="1" x14ac:dyDescent="0.3">
      <c r="A334" s="286">
        <v>102819</v>
      </c>
      <c r="B334" s="287" t="s">
        <v>1582</v>
      </c>
      <c r="C334" s="288" t="s">
        <v>256</v>
      </c>
      <c r="D334" s="289">
        <v>231.13</v>
      </c>
      <c r="E334" s="290"/>
      <c r="F334" s="290"/>
      <c r="G334" s="290" t="s">
        <v>883</v>
      </c>
      <c r="H334" s="291">
        <v>3</v>
      </c>
      <c r="I334" s="292">
        <v>103003</v>
      </c>
      <c r="J334" s="293">
        <v>231.13</v>
      </c>
      <c r="K334" s="294">
        <v>11</v>
      </c>
      <c r="L334" s="295">
        <f>IF(tabItens[[#This Row],[Média]] &gt; 0, tabItens[[#This Row],[QTDE ATUAL]] / tabItens[[#This Row],[Média]],999.9)</f>
        <v>3.5999999999999996</v>
      </c>
      <c r="M334" s="296">
        <v>0</v>
      </c>
      <c r="N334" s="297">
        <f>tabItens[[#This Row],[VALOR UNIT.]] * tabItens[[#This Row],[LC]]</f>
        <v>0</v>
      </c>
      <c r="O334" s="298" t="s">
        <v>2100</v>
      </c>
      <c r="P334" s="299"/>
      <c r="Q334" s="300"/>
      <c r="R334" s="297"/>
      <c r="S334" s="301"/>
      <c r="T334" s="302">
        <f>ROUNDDOWN(IFERROR(tabItens[[#This Row],[ATA DT.VALID.]] - $D$1,0) / 30,0)</f>
        <v>-1504</v>
      </c>
      <c r="U334" s="287" t="s">
        <v>1491</v>
      </c>
      <c r="V334" s="303">
        <v>1</v>
      </c>
      <c r="W334" s="304" t="s">
        <v>2055</v>
      </c>
      <c r="X334" s="305">
        <v>55</v>
      </c>
      <c r="Y334" s="306">
        <v>26</v>
      </c>
      <c r="Z334" s="307">
        <v>2956</v>
      </c>
      <c r="AA334" s="308">
        <v>2023</v>
      </c>
      <c r="AB334" s="309">
        <v>3</v>
      </c>
      <c r="AC334" s="309"/>
      <c r="AD334" s="308"/>
      <c r="AE334" s="309"/>
      <c r="AF334" s="302"/>
      <c r="AG334" s="310" t="s">
        <v>2050</v>
      </c>
      <c r="AH334" s="311"/>
      <c r="AI334" s="302">
        <v>4</v>
      </c>
      <c r="AJ334" s="311">
        <v>44357</v>
      </c>
      <c r="AK334" s="311">
        <v>39374</v>
      </c>
      <c r="AL334" s="311">
        <v>44333</v>
      </c>
      <c r="AM334" s="301"/>
      <c r="AN334" s="290"/>
      <c r="AO334" s="312" t="str">
        <f>_xlfn.IFNA(IF(VLOOKUP(tabItens[[#This Row],[CÓDIGO]],tabExcluirDoEstoque[#Data],1,FALSE),"sim",""),"")</f>
        <v/>
      </c>
      <c r="AP334" s="313" t="str">
        <f ca="1">IF(OR(ISBLANK(tabItens[[#This Row],[ATA DT.VALID.]]),tabItens[[#This Row],[ATA DT.VALID.]]="",tabItens[[#This Row],[ATA DT.VALID.]]=" "),"",IF(TYPE(tabItens[[#This Row],[ATA DT.VALID.]])=1,ROUNDUP((tabItens[[#This Row],[ATA DT.VALID.]]-TODAY())/7,0),""))</f>
        <v/>
      </c>
      <c r="AQ334" s="314">
        <v>0</v>
      </c>
      <c r="AR334" s="315" t="str">
        <f>IF(ISBLANK(tabItens[[#This Row],[CÓDIGO]]),"",IFERROR(VLOOKUP(tabItens[[#This Row],[CÓDIGO]],Consumo!$C$2:$AC$869,26,FALSE),0))</f>
        <v>07.2023</v>
      </c>
      <c r="AS334" s="316">
        <f>SUMIF(Consumo!$C$3:$C$869,tabItens[[#This Row],[CÓDIGO]],Consumo!$N$3:$N$869) + SUMIF(Consumo!$C$3:$C$869,tabItens[[#This Row],[CÓDIGO]],Consumo!$O$3:$O$869) + SUMIF(Consumo!$C$3:$C$869,tabItens[[#This Row],[CÓDIGO]],Consumo!$P$3:$P$869) + SUMIF(Consumo!$C$3:$C$869,tabItens[[#This Row],[CÓDIGO]],Consumo!$Q$3:$Q$869)</f>
        <v>5</v>
      </c>
      <c r="AT334" s="316">
        <f>SUMIF(Consumo!$C$3:$C$869,tabItens[[#This Row],[CÓDIGO]],Consumo!$Z$3:$Z$869)</f>
        <v>11</v>
      </c>
      <c r="AU334" s="317">
        <f>SUMIF(Consumo!$C$3:$C$869,tabItens[[#This Row],[CÓDIGO]],Consumo!$AA$3:$AA$869)</f>
        <v>4</v>
      </c>
      <c r="AV334" s="318">
        <f>SUMIF(Consumo!$C$3:$C$869,tabItens[[#This Row],[CÓDIGO]],Consumo!$Y$3:$Y$869)</f>
        <v>0.83333333333333337</v>
      </c>
      <c r="AW334" s="291">
        <f>tabItens[[#This Row],[QTDE ATUAL]] + tabItens[[#This Row],[RC QTDE]] + tabItens[[#This Row],[AF SALDO]] + tabItens[[#This Row],[Recentes]]</f>
        <v>6</v>
      </c>
      <c r="AX334" s="319">
        <v>1</v>
      </c>
      <c r="AY334" s="319">
        <v>4</v>
      </c>
      <c r="AZ334" s="319">
        <f>IF(ISBLANK(tabItens[[#This Row],[CÓDIGO]]),"",tabItens[[#This Row],[PontoMês]] * (AZ$2+tabItens[[#This Row],[PontoQtM]]))</f>
        <v>4</v>
      </c>
      <c r="BA334" s="318">
        <f>tabItens[[#This Row],[PontoPed]] - tabItens[[#This Row],[Saldo]] + (1/10)</f>
        <v>-1.9</v>
      </c>
      <c r="BB334" s="318">
        <f xml:space="preserve"> tabItens[[#This Row],[PontoMês]] * BB$2 - tabItens[[#This Row],[QTDE ATUAL]] - (1/10)</f>
        <v>-2.1</v>
      </c>
      <c r="BC334" s="320">
        <f>IF( tabItens[[#This Row],[PontoPed]]&gt;0, IF(tabItens[[#This Row],[PontoPed]]&lt;1, 1, IF( tabItens[[#This Row],[Saldo]]&gt;tabItens[[#This Row],[PontoPed]], 0, (tabItens[[#This Row],[PontoPed]]-tabItens[[#This Row],[Saldo]])/tabItens[[#This Row],[PontoPed]] ) ), 0 )</f>
        <v>0</v>
      </c>
      <c r="BD334" s="321">
        <f>ROUNDDOWN(IF( OR( AND(tabItens[[#This Row],[PontoPed]]&lt;tabItens[[#This Row],[Saldo]],tabItens[[#This Row],[Saldo]]&gt;0), tabItens[[#This Row],[PontoPed]]=0), 99, IF(AND(tabItens[[#This Row],[Saldo]]=0,tabItens[[#This Row],[PontoPed]]&gt;0), 0, (1-tabItens[[#This Row],[PctAb]])*10 ) ),0)</f>
        <v>99</v>
      </c>
      <c r="BE334" s="322">
        <f>MAX(ROUNDDOWN( IF(tabItens[[#This Row],[Abaixo]] &gt; 0,   tabItens[[#This Row],[Abaixo]] + (tabItens[[#This Row],[PontoMês]] * IF( OR( ISBLANK(tabItens[[#This Row],[ATA Nº/ANO]]), tabItens[[#This Row],[ATA Nº/ANO]] = ""),BE$2,BE$1)),0),0),0)</f>
        <v>0</v>
      </c>
      <c r="BF33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23">
        <f>SUMIF(Consumo!$C$3:$C$869,tabItens[[#This Row],[CÓDIGO]],Consumo!$E$3:$E$869)</f>
        <v>0</v>
      </c>
      <c r="BH334" s="324">
        <f>IF(AND(tabItens[[#This Row],[Pend]] &gt; 0,tabItens[[#This Row],[Consumo]] &lt;&gt; 0), tabItens[[#This Row],[Pend]] / tabItens[[#This Row],[Consumo]], 0 )</f>
        <v>0</v>
      </c>
      <c r="BI334" s="323"/>
      <c r="BJ334" s="323"/>
      <c r="BK334" s="325" t="s">
        <v>2064</v>
      </c>
    </row>
    <row r="335" spans="1:63" hidden="1" x14ac:dyDescent="0.3">
      <c r="A335" s="286">
        <v>110771</v>
      </c>
      <c r="B335" s="287" t="s">
        <v>1663</v>
      </c>
      <c r="C335" s="288" t="s">
        <v>256</v>
      </c>
      <c r="D335" s="289">
        <v>19.3</v>
      </c>
      <c r="E335" s="290"/>
      <c r="F335" s="290"/>
      <c r="G335" s="290" t="s">
        <v>883</v>
      </c>
      <c r="H335" s="291">
        <v>52</v>
      </c>
      <c r="I335" s="292">
        <v>103003</v>
      </c>
      <c r="J335" s="293">
        <v>19.3</v>
      </c>
      <c r="K335" s="294">
        <v>83</v>
      </c>
      <c r="L335" s="295">
        <f>IF(tabItens[[#This Row],[Média]] &gt; 0, tabItens[[#This Row],[QTDE ATUAL]] / tabItens[[#This Row],[Média]],999.9)</f>
        <v>7.3411764705882359</v>
      </c>
      <c r="M335" s="296">
        <v>0</v>
      </c>
      <c r="N335" s="297">
        <f>tabItens[[#This Row],[VALOR UNIT.]] * tabItens[[#This Row],[LC]]</f>
        <v>0</v>
      </c>
      <c r="O335" s="298" t="s">
        <v>2100</v>
      </c>
      <c r="P335" s="299"/>
      <c r="Q335" s="300"/>
      <c r="R335" s="297"/>
      <c r="S335" s="301"/>
      <c r="T335" s="302">
        <f>ROUNDDOWN(IFERROR(tabItens[[#This Row],[ATA DT.VALID.]] - $D$1,0) / 30,0)</f>
        <v>-1504</v>
      </c>
      <c r="U335" s="287" t="s">
        <v>1491</v>
      </c>
      <c r="V335" s="303">
        <v>1</v>
      </c>
      <c r="W335" s="304" t="s">
        <v>2055</v>
      </c>
      <c r="X335" s="305">
        <v>55</v>
      </c>
      <c r="Y335" s="306">
        <v>26</v>
      </c>
      <c r="Z335" s="307">
        <v>2560</v>
      </c>
      <c r="AA335" s="308">
        <v>2023</v>
      </c>
      <c r="AB335" s="309">
        <v>30</v>
      </c>
      <c r="AC335" s="309"/>
      <c r="AD335" s="308"/>
      <c r="AE335" s="309"/>
      <c r="AF335" s="302"/>
      <c r="AG335" s="310" t="s">
        <v>2050</v>
      </c>
      <c r="AH335" s="311"/>
      <c r="AI335" s="302">
        <v>28</v>
      </c>
      <c r="AJ335" s="311">
        <v>44336</v>
      </c>
      <c r="AK335" s="311">
        <v>39933</v>
      </c>
      <c r="AL335" s="311">
        <v>44333</v>
      </c>
      <c r="AM335" s="301"/>
      <c r="AN335" s="290"/>
      <c r="AO335" s="312" t="str">
        <f>_xlfn.IFNA(IF(VLOOKUP(tabItens[[#This Row],[CÓDIGO]],tabExcluirDoEstoque[#Data],1,FALSE),"sim",""),"")</f>
        <v/>
      </c>
      <c r="AP335" s="313" t="str">
        <f ca="1">IF(OR(ISBLANK(tabItens[[#This Row],[ATA DT.VALID.]]),tabItens[[#This Row],[ATA DT.VALID.]]="",tabItens[[#This Row],[ATA DT.VALID.]]=" "),"",IF(TYPE(tabItens[[#This Row],[ATA DT.VALID.]])=1,ROUNDUP((tabItens[[#This Row],[ATA DT.VALID.]]-TODAY())/7,0),""))</f>
        <v/>
      </c>
      <c r="AQ335" s="314">
        <v>0</v>
      </c>
      <c r="AR335" s="315" t="str">
        <f>IF(ISBLANK(tabItens[[#This Row],[CÓDIGO]]),"",IFERROR(VLOOKUP(tabItens[[#This Row],[CÓDIGO]],Consumo!$C$2:$AC$869,26,FALSE),0))</f>
        <v>04.2023</v>
      </c>
      <c r="AS335" s="316">
        <f>SUMIF(Consumo!$C$3:$C$869,tabItens[[#This Row],[CÓDIGO]],Consumo!$N$3:$N$869) + SUMIF(Consumo!$C$3:$C$869,tabItens[[#This Row],[CÓDIGO]],Consumo!$O$3:$O$869) + SUMIF(Consumo!$C$3:$C$869,tabItens[[#This Row],[CÓDIGO]],Consumo!$P$3:$P$869) + SUMIF(Consumo!$C$3:$C$869,tabItens[[#This Row],[CÓDIGO]],Consumo!$Q$3:$Q$869)</f>
        <v>15</v>
      </c>
      <c r="AT335" s="316">
        <f>SUMIF(Consumo!$C$3:$C$869,tabItens[[#This Row],[CÓDIGO]],Consumo!$Z$3:$Z$869)</f>
        <v>86</v>
      </c>
      <c r="AU335" s="317">
        <f>SUMIF(Consumo!$C$3:$C$869,tabItens[[#This Row],[CÓDIGO]],Consumo!$AA$3:$AA$869)</f>
        <v>27</v>
      </c>
      <c r="AV335" s="318">
        <f>SUMIF(Consumo!$C$3:$C$869,tabItens[[#This Row],[CÓDIGO]],Consumo!$Y$3:$Y$869)</f>
        <v>7.083333333333333</v>
      </c>
      <c r="AW335" s="291">
        <f>tabItens[[#This Row],[QTDE ATUAL]] + tabItens[[#This Row],[RC QTDE]] + tabItens[[#This Row],[AF SALDO]] + tabItens[[#This Row],[Recentes]]</f>
        <v>82</v>
      </c>
      <c r="AX335" s="319">
        <v>8</v>
      </c>
      <c r="AY335" s="319">
        <v>4</v>
      </c>
      <c r="AZ335" s="319">
        <f>IF(ISBLANK(tabItens[[#This Row],[CÓDIGO]]),"",tabItens[[#This Row],[PontoMês]] * (AZ$2+tabItens[[#This Row],[PontoQtM]]))</f>
        <v>32</v>
      </c>
      <c r="BA335" s="318">
        <f>tabItens[[#This Row],[PontoPed]] - tabItens[[#This Row],[Saldo]] + (1/10)</f>
        <v>-49.9</v>
      </c>
      <c r="BB335" s="318">
        <f xml:space="preserve"> tabItens[[#This Row],[PontoMês]] * BB$2 - tabItens[[#This Row],[QTDE ATUAL]] - (1/10)</f>
        <v>-44.1</v>
      </c>
      <c r="BC335" s="320">
        <f>IF( tabItens[[#This Row],[PontoPed]]&gt;0, IF(tabItens[[#This Row],[PontoPed]]&lt;1, 1, IF( tabItens[[#This Row],[Saldo]]&gt;tabItens[[#This Row],[PontoPed]], 0, (tabItens[[#This Row],[PontoPed]]-tabItens[[#This Row],[Saldo]])/tabItens[[#This Row],[PontoPed]] ) ), 0 )</f>
        <v>0</v>
      </c>
      <c r="BD335" s="321">
        <f>ROUNDDOWN(IF( OR( AND(tabItens[[#This Row],[PontoPed]]&lt;tabItens[[#This Row],[Saldo]],tabItens[[#This Row],[Saldo]]&gt;0), tabItens[[#This Row],[PontoPed]]=0), 99, IF(AND(tabItens[[#This Row],[Saldo]]=0,tabItens[[#This Row],[PontoPed]]&gt;0), 0, (1-tabItens[[#This Row],[PctAb]])*10 ) ),0)</f>
        <v>99</v>
      </c>
      <c r="BE335" s="322">
        <f>MAX(ROUNDDOWN( IF(tabItens[[#This Row],[Abaixo]] &gt; 0,   tabItens[[#This Row],[Abaixo]] + (tabItens[[#This Row],[PontoMês]] * IF( OR( ISBLANK(tabItens[[#This Row],[ATA Nº/ANO]]), tabItens[[#This Row],[ATA Nº/ANO]] = ""),BE$2,BE$1)),0),0),0)</f>
        <v>0</v>
      </c>
      <c r="BF3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23">
        <f>SUMIF(Consumo!$C$3:$C$869,tabItens[[#This Row],[CÓDIGO]],Consumo!$E$3:$E$869)</f>
        <v>0</v>
      </c>
      <c r="BH335" s="324">
        <f>IF(AND(tabItens[[#This Row],[Pend]] &gt; 0,tabItens[[#This Row],[Consumo]] &lt;&gt; 0), tabItens[[#This Row],[Pend]] / tabItens[[#This Row],[Consumo]], 0 )</f>
        <v>0</v>
      </c>
      <c r="BI335" s="323"/>
      <c r="BJ335" s="323"/>
      <c r="BK335" s="325" t="s">
        <v>2064</v>
      </c>
    </row>
    <row r="336" spans="1:63" hidden="1" x14ac:dyDescent="0.3">
      <c r="A336" s="286">
        <v>15167</v>
      </c>
      <c r="B336" s="287" t="s">
        <v>1082</v>
      </c>
      <c r="C336" s="288" t="s">
        <v>256</v>
      </c>
      <c r="D336" s="289">
        <v>24.4</v>
      </c>
      <c r="E336" s="290"/>
      <c r="F336" s="290"/>
      <c r="G336" s="290" t="s">
        <v>883</v>
      </c>
      <c r="H336" s="291">
        <v>290</v>
      </c>
      <c r="I336" s="292">
        <v>103003</v>
      </c>
      <c r="J336" s="293">
        <v>24.4</v>
      </c>
      <c r="K336" s="294">
        <v>564</v>
      </c>
      <c r="L336" s="295">
        <f>IF(tabItens[[#This Row],[Média]] &gt; 0, tabItens[[#This Row],[QTDE ATUAL]] / tabItens[[#This Row],[Média]],999.9)</f>
        <v>5.594855305466238</v>
      </c>
      <c r="M336" s="296">
        <v>0</v>
      </c>
      <c r="N336" s="297">
        <f>tabItens[[#This Row],[VALOR UNIT.]] * tabItens[[#This Row],[LC]]</f>
        <v>0</v>
      </c>
      <c r="O336" s="298" t="s">
        <v>2100</v>
      </c>
      <c r="P336" s="299"/>
      <c r="Q336" s="300"/>
      <c r="R336" s="297"/>
      <c r="S336" s="301"/>
      <c r="T336" s="302">
        <f>ROUNDDOWN(IFERROR(tabItens[[#This Row],[ATA DT.VALID.]] - $D$1,0) / 30,0)</f>
        <v>-1504</v>
      </c>
      <c r="U336" s="287" t="s">
        <v>1083</v>
      </c>
      <c r="V336" s="303">
        <v>1</v>
      </c>
      <c r="W336" s="304" t="s">
        <v>2055</v>
      </c>
      <c r="X336" s="305">
        <v>55</v>
      </c>
      <c r="Y336" s="306">
        <v>49</v>
      </c>
      <c r="Z336" s="307">
        <v>2376</v>
      </c>
      <c r="AA336" s="308">
        <v>2023</v>
      </c>
      <c r="AB336" s="309">
        <v>1100</v>
      </c>
      <c r="AC336" s="309"/>
      <c r="AD336" s="308"/>
      <c r="AE336" s="309"/>
      <c r="AF336" s="302"/>
      <c r="AG336" s="310" t="s">
        <v>2050</v>
      </c>
      <c r="AH336" s="311"/>
      <c r="AI336" s="302">
        <v>204</v>
      </c>
      <c r="AJ336" s="311">
        <v>45006</v>
      </c>
      <c r="AK336" s="311" t="s">
        <v>883</v>
      </c>
      <c r="AL336" s="311">
        <v>44917</v>
      </c>
      <c r="AM336" s="301"/>
      <c r="AN336" s="290"/>
      <c r="AO336" s="312" t="str">
        <f>_xlfn.IFNA(IF(VLOOKUP(tabItens[[#This Row],[CÓDIGO]],tabExcluirDoEstoque[#Data],1,FALSE),"sim",""),"")</f>
        <v/>
      </c>
      <c r="AP336" s="313" t="str">
        <f ca="1">IF(OR(ISBLANK(tabItens[[#This Row],[ATA DT.VALID.]]),tabItens[[#This Row],[ATA DT.VALID.]]="",tabItens[[#This Row],[ATA DT.VALID.]]=" "),"",IF(TYPE(tabItens[[#This Row],[ATA DT.VALID.]])=1,ROUNDUP((tabItens[[#This Row],[ATA DT.VALID.]]-TODAY())/7,0),""))</f>
        <v/>
      </c>
      <c r="AQ336" s="314">
        <v>0</v>
      </c>
      <c r="AR336" s="315" t="str">
        <f>IF(ISBLANK(tabItens[[#This Row],[CÓDIGO]]),"",IFERROR(VLOOKUP(tabItens[[#This Row],[CÓDIGO]],Consumo!$C$2:$AC$869,26,FALSE),0))</f>
        <v>04.2023</v>
      </c>
      <c r="AS336" s="316">
        <f>SUMIF(Consumo!$C$3:$C$869,tabItens[[#This Row],[CÓDIGO]],Consumo!$N$3:$N$869) + SUMIF(Consumo!$C$3:$C$869,tabItens[[#This Row],[CÓDIGO]],Consumo!$O$3:$O$869) + SUMIF(Consumo!$C$3:$C$869,tabItens[[#This Row],[CÓDIGO]],Consumo!$P$3:$P$869) + SUMIF(Consumo!$C$3:$C$869,tabItens[[#This Row],[CÓDIGO]],Consumo!$Q$3:$Q$869)</f>
        <v>110</v>
      </c>
      <c r="AT336" s="316">
        <f>SUMIF(Consumo!$C$3:$C$869,tabItens[[#This Row],[CÓDIGO]],Consumo!$Z$3:$Z$869)</f>
        <v>622</v>
      </c>
      <c r="AU336" s="317">
        <f>SUMIF(Consumo!$C$3:$C$869,tabItens[[#This Row],[CÓDIGO]],Consumo!$AA$3:$AA$869)</f>
        <v>120</v>
      </c>
      <c r="AV336" s="318">
        <f>SUMIF(Consumo!$C$3:$C$869,tabItens[[#This Row],[CÓDIGO]],Consumo!$Y$3:$Y$869)</f>
        <v>51.833333333333336</v>
      </c>
      <c r="AW336" s="291">
        <f>tabItens[[#This Row],[QTDE ATUAL]] + tabItens[[#This Row],[RC QTDE]] + tabItens[[#This Row],[AF SALDO]] + tabItens[[#This Row],[Recentes]]</f>
        <v>1390</v>
      </c>
      <c r="AX336" s="319">
        <v>55</v>
      </c>
      <c r="AY336" s="319">
        <v>4</v>
      </c>
      <c r="AZ336" s="319">
        <f>IF(ISBLANK(tabItens[[#This Row],[CÓDIGO]]),"",tabItens[[#This Row],[PontoMês]] * (AZ$2+tabItens[[#This Row],[PontoQtM]]))</f>
        <v>220</v>
      </c>
      <c r="BA336" s="318">
        <f>tabItens[[#This Row],[PontoPed]] - tabItens[[#This Row],[Saldo]] + (1/10)</f>
        <v>-1169.9000000000001</v>
      </c>
      <c r="BB336" s="318">
        <f xml:space="preserve"> tabItens[[#This Row],[PontoMês]] * BB$2 - tabItens[[#This Row],[QTDE ATUAL]] - (1/10)</f>
        <v>-235.1</v>
      </c>
      <c r="BC336" s="320">
        <f>IF( tabItens[[#This Row],[PontoPed]]&gt;0, IF(tabItens[[#This Row],[PontoPed]]&lt;1, 1, IF( tabItens[[#This Row],[Saldo]]&gt;tabItens[[#This Row],[PontoPed]], 0, (tabItens[[#This Row],[PontoPed]]-tabItens[[#This Row],[Saldo]])/tabItens[[#This Row],[PontoPed]] ) ), 0 )</f>
        <v>0</v>
      </c>
      <c r="BD336" s="321">
        <f>ROUNDDOWN(IF( OR( AND(tabItens[[#This Row],[PontoPed]]&lt;tabItens[[#This Row],[Saldo]],tabItens[[#This Row],[Saldo]]&gt;0), tabItens[[#This Row],[PontoPed]]=0), 99, IF(AND(tabItens[[#This Row],[Saldo]]=0,tabItens[[#This Row],[PontoPed]]&gt;0), 0, (1-tabItens[[#This Row],[PctAb]])*10 ) ),0)</f>
        <v>99</v>
      </c>
      <c r="BE336" s="322">
        <f>MAX(ROUNDDOWN( IF(tabItens[[#This Row],[Abaixo]] &gt; 0,   tabItens[[#This Row],[Abaixo]] + (tabItens[[#This Row],[PontoMês]] * IF( OR( ISBLANK(tabItens[[#This Row],[ATA Nº/ANO]]), tabItens[[#This Row],[ATA Nº/ANO]] = ""),BE$2,BE$1)),0),0),0)</f>
        <v>0</v>
      </c>
      <c r="BF33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23">
        <f>SUMIF(Consumo!$C$3:$C$869,tabItens[[#This Row],[CÓDIGO]],Consumo!$E$3:$E$869)</f>
        <v>8</v>
      </c>
      <c r="BH336" s="324">
        <f>IF(AND(tabItens[[#This Row],[Pend]] &gt; 0,tabItens[[#This Row],[Consumo]] &lt;&gt; 0), tabItens[[#This Row],[Pend]] / tabItens[[#This Row],[Consumo]], 0 )</f>
        <v>1.2861736334405145E-2</v>
      </c>
      <c r="BI336" s="323"/>
      <c r="BJ336" s="323"/>
      <c r="BK336" s="325" t="s">
        <v>2064</v>
      </c>
    </row>
    <row r="337" spans="1:63" hidden="1" x14ac:dyDescent="0.3">
      <c r="A337" s="286">
        <v>127384</v>
      </c>
      <c r="B337" s="287" t="s">
        <v>1775</v>
      </c>
      <c r="C337" s="288" t="s">
        <v>281</v>
      </c>
      <c r="D337" s="289">
        <v>27.3</v>
      </c>
      <c r="E337" s="290"/>
      <c r="F337" s="290"/>
      <c r="G337" s="290" t="s">
        <v>883</v>
      </c>
      <c r="H337" s="291">
        <v>218</v>
      </c>
      <c r="I337" s="292">
        <v>103003</v>
      </c>
      <c r="J337" s="293">
        <v>27.3</v>
      </c>
      <c r="K337" s="294">
        <v>253</v>
      </c>
      <c r="L337" s="295">
        <f>IF(tabItens[[#This Row],[Média]] &gt; 0, tabItens[[#This Row],[QTDE ATUAL]] / tabItens[[#This Row],[Média]],999.9)</f>
        <v>8.5211726384364823</v>
      </c>
      <c r="M337" s="296">
        <v>0</v>
      </c>
      <c r="N337" s="297">
        <f>tabItens[[#This Row],[VALOR UNIT.]] * tabItens[[#This Row],[LC]]</f>
        <v>0</v>
      </c>
      <c r="O337" s="298" t="s">
        <v>2169</v>
      </c>
      <c r="P337" s="299"/>
      <c r="Q337" s="300"/>
      <c r="R337" s="297"/>
      <c r="S337" s="301"/>
      <c r="T337" s="302">
        <f>ROUNDDOWN(IFERROR(tabItens[[#This Row],[ATA DT.VALID.]] - $D$1,0) / 30,0)</f>
        <v>-1504</v>
      </c>
      <c r="U337" s="287" t="s">
        <v>1110</v>
      </c>
      <c r="V337" s="303">
        <v>1</v>
      </c>
      <c r="W337" s="304" t="s">
        <v>2049</v>
      </c>
      <c r="X337" s="305">
        <v>51</v>
      </c>
      <c r="Y337" s="306">
        <v>33</v>
      </c>
      <c r="Z337" s="307">
        <v>2432</v>
      </c>
      <c r="AA337" s="308">
        <v>2023</v>
      </c>
      <c r="AB337" s="309">
        <v>100</v>
      </c>
      <c r="AC337" s="309"/>
      <c r="AD337" s="308"/>
      <c r="AE337" s="309"/>
      <c r="AF337" s="302"/>
      <c r="AG337" s="310" t="s">
        <v>2050</v>
      </c>
      <c r="AH337" s="311"/>
      <c r="AI337" s="302">
        <v>104</v>
      </c>
      <c r="AJ337" s="311">
        <v>44953</v>
      </c>
      <c r="AK337" s="311">
        <v>41688</v>
      </c>
      <c r="AL337" s="311">
        <v>44914</v>
      </c>
      <c r="AM337" s="301"/>
      <c r="AN337" s="290"/>
      <c r="AO337" s="312" t="str">
        <f>_xlfn.IFNA(IF(VLOOKUP(tabItens[[#This Row],[CÓDIGO]],tabExcluirDoEstoque[#Data],1,FALSE),"sim",""),"")</f>
        <v/>
      </c>
      <c r="AP337" s="313" t="str">
        <f ca="1">IF(OR(ISBLANK(tabItens[[#This Row],[ATA DT.VALID.]]),tabItens[[#This Row],[ATA DT.VALID.]]="",tabItens[[#This Row],[ATA DT.VALID.]]=" "),"",IF(TYPE(tabItens[[#This Row],[ATA DT.VALID.]])=1,ROUNDUP((tabItens[[#This Row],[ATA DT.VALID.]]-TODAY())/7,0),""))</f>
        <v/>
      </c>
      <c r="AQ337" s="314">
        <v>34</v>
      </c>
      <c r="AR337" s="315" t="str">
        <f>IF(ISBLANK(tabItens[[#This Row],[CÓDIGO]]),"",IFERROR(VLOOKUP(tabItens[[#This Row],[CÓDIGO]],Consumo!$C$2:$AC$869,26,FALSE),0))</f>
        <v>06.2023</v>
      </c>
      <c r="AS337" s="316">
        <f>SUMIF(Consumo!$C$3:$C$869,tabItens[[#This Row],[CÓDIGO]],Consumo!$N$3:$N$869) + SUMIF(Consumo!$C$3:$C$869,tabItens[[#This Row],[CÓDIGO]],Consumo!$O$3:$O$869) + SUMIF(Consumo!$C$3:$C$869,tabItens[[#This Row],[CÓDIGO]],Consumo!$P$3:$P$869) + SUMIF(Consumo!$C$3:$C$869,tabItens[[#This Row],[CÓDIGO]],Consumo!$Q$3:$Q$869)</f>
        <v>138</v>
      </c>
      <c r="AT337" s="316">
        <f>SUMIF(Consumo!$C$3:$C$869,tabItens[[#This Row],[CÓDIGO]],Consumo!$Z$3:$Z$869)</f>
        <v>307</v>
      </c>
      <c r="AU337" s="317">
        <f>SUMIF(Consumo!$C$3:$C$869,tabItens[[#This Row],[CÓDIGO]],Consumo!$AA$3:$AA$869)</f>
        <v>63</v>
      </c>
      <c r="AV337" s="318">
        <f>SUMIF(Consumo!$C$3:$C$869,tabItens[[#This Row],[CÓDIGO]],Consumo!$Y$3:$Y$869)</f>
        <v>25.583333333333332</v>
      </c>
      <c r="AW337" s="291">
        <f>tabItens[[#This Row],[QTDE ATUAL]] + tabItens[[#This Row],[RC QTDE]] + tabItens[[#This Row],[AF SALDO]] + tabItens[[#This Row],[Recentes]]</f>
        <v>352</v>
      </c>
      <c r="AX337" s="319">
        <v>13</v>
      </c>
      <c r="AY337" s="319">
        <v>4</v>
      </c>
      <c r="AZ337" s="319">
        <f>IF(ISBLANK(tabItens[[#This Row],[CÓDIGO]]),"",tabItens[[#This Row],[PontoMês]] * (AZ$2+tabItens[[#This Row],[PontoQtM]]))</f>
        <v>52</v>
      </c>
      <c r="BA337" s="318">
        <f>tabItens[[#This Row],[PontoPed]] - tabItens[[#This Row],[Saldo]] + (1/10)</f>
        <v>-299.89999999999998</v>
      </c>
      <c r="BB337" s="318">
        <f xml:space="preserve"> tabItens[[#This Row],[PontoMês]] * BB$2 - tabItens[[#This Row],[QTDE ATUAL]] - (1/10)</f>
        <v>-205.1</v>
      </c>
      <c r="BC337" s="320">
        <f>IF( tabItens[[#This Row],[PontoPed]]&gt;0, IF(tabItens[[#This Row],[PontoPed]]&lt;1, 1, IF( tabItens[[#This Row],[Saldo]]&gt;tabItens[[#This Row],[PontoPed]], 0, (tabItens[[#This Row],[PontoPed]]-tabItens[[#This Row],[Saldo]])/tabItens[[#This Row],[PontoPed]] ) ), 0 )</f>
        <v>0</v>
      </c>
      <c r="BD337" s="321">
        <f>ROUNDDOWN(IF( OR( AND(tabItens[[#This Row],[PontoPed]]&lt;tabItens[[#This Row],[Saldo]],tabItens[[#This Row],[Saldo]]&gt;0), tabItens[[#This Row],[PontoPed]]=0), 99, IF(AND(tabItens[[#This Row],[Saldo]]=0,tabItens[[#This Row],[PontoPed]]&gt;0), 0, (1-tabItens[[#This Row],[PctAb]])*10 ) ),0)</f>
        <v>99</v>
      </c>
      <c r="BE337" s="322">
        <f>MAX(ROUNDDOWN( IF(tabItens[[#This Row],[Abaixo]] &gt; 0,   tabItens[[#This Row],[Abaixo]] + (tabItens[[#This Row],[PontoMês]] * IF( OR( ISBLANK(tabItens[[#This Row],[ATA Nº/ANO]]), tabItens[[#This Row],[ATA Nº/ANO]] = ""),BE$2,BE$1)),0),0),0)</f>
        <v>0</v>
      </c>
      <c r="BF33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23">
        <f>SUMIF(Consumo!$C$3:$C$869,tabItens[[#This Row],[CÓDIGO]],Consumo!$E$3:$E$869)</f>
        <v>0</v>
      </c>
      <c r="BH337" s="324">
        <f>IF(AND(tabItens[[#This Row],[Pend]] &gt; 0,tabItens[[#This Row],[Consumo]] &lt;&gt; 0), tabItens[[#This Row],[Pend]] / tabItens[[#This Row],[Consumo]], 0 )</f>
        <v>0</v>
      </c>
      <c r="BI337" s="323"/>
      <c r="BJ337" s="323"/>
      <c r="BK337" s="325" t="s">
        <v>2064</v>
      </c>
    </row>
    <row r="338" spans="1:63" x14ac:dyDescent="0.3">
      <c r="A338" s="396">
        <v>14001</v>
      </c>
      <c r="B338" s="397" t="s">
        <v>1048</v>
      </c>
      <c r="C338" s="398" t="s">
        <v>273</v>
      </c>
      <c r="D338" s="399">
        <v>60</v>
      </c>
      <c r="E338" s="290"/>
      <c r="F338" s="400"/>
      <c r="G338" s="400" t="s">
        <v>883</v>
      </c>
      <c r="H338" s="401">
        <v>0</v>
      </c>
      <c r="I338" s="292">
        <v>103003</v>
      </c>
      <c r="J338" s="293">
        <v>60</v>
      </c>
      <c r="K338" s="402">
        <v>346</v>
      </c>
      <c r="L338" s="403">
        <f>IF(tabItens[[#This Row],[Média]] &gt; 0, tabItens[[#This Row],[QTDE ATUAL]] / tabItens[[#This Row],[Média]],999.9)</f>
        <v>0</v>
      </c>
      <c r="M338" s="404">
        <v>0</v>
      </c>
      <c r="N338" s="405">
        <f>tabItens[[#This Row],[VALOR UNIT.]] * tabItens[[#This Row],[LC]]</f>
        <v>0</v>
      </c>
      <c r="O338" s="406" t="s">
        <v>2094</v>
      </c>
      <c r="P338" s="407"/>
      <c r="Q338" s="408"/>
      <c r="R338" s="297"/>
      <c r="S338" s="409"/>
      <c r="T338" s="410">
        <f>ROUNDDOWN(IFERROR(tabItens[[#This Row],[ATA DT.VALID.]] - $D$1,0) / 30,0)</f>
        <v>-1504</v>
      </c>
      <c r="U338" s="287" t="s">
        <v>961</v>
      </c>
      <c r="V338" s="303">
        <v>1</v>
      </c>
      <c r="W338" s="411" t="s">
        <v>2049</v>
      </c>
      <c r="X338" s="412">
        <v>51</v>
      </c>
      <c r="Y338" s="413">
        <v>3</v>
      </c>
      <c r="Z338" s="414">
        <v>2566</v>
      </c>
      <c r="AA338" s="415">
        <v>2023</v>
      </c>
      <c r="AB338" s="416">
        <v>800</v>
      </c>
      <c r="AC338" s="416"/>
      <c r="AD338" s="415"/>
      <c r="AE338" s="416"/>
      <c r="AF338" s="302"/>
      <c r="AG338" s="417" t="s">
        <v>2050</v>
      </c>
      <c r="AH338" s="418"/>
      <c r="AI338" s="302">
        <v>142</v>
      </c>
      <c r="AJ338" s="418">
        <v>44762</v>
      </c>
      <c r="AK338" s="311" t="s">
        <v>883</v>
      </c>
      <c r="AL338" s="311">
        <v>45117</v>
      </c>
      <c r="AM338" s="301"/>
      <c r="AN338" s="290"/>
      <c r="AO338" s="312" t="str">
        <f>_xlfn.IFNA(IF(VLOOKUP(tabItens[[#This Row],[CÓDIGO]],tabExcluirDoEstoque[#Data],1,FALSE),"sim",""),"")</f>
        <v/>
      </c>
      <c r="AP338" s="419" t="str">
        <f ca="1">IF(OR(ISBLANK(tabItens[[#This Row],[ATA DT.VALID.]]),tabItens[[#This Row],[ATA DT.VALID.]]="",tabItens[[#This Row],[ATA DT.VALID.]]=" "),"",IF(TYPE(tabItens[[#This Row],[ATA DT.VALID.]])=1,ROUNDUP((tabItens[[#This Row],[ATA DT.VALID.]]-TODAY())/7,0),""))</f>
        <v/>
      </c>
      <c r="AQ338" s="314">
        <v>0</v>
      </c>
      <c r="AR338" s="315" t="str">
        <f>IF(ISBLANK(tabItens[[#This Row],[CÓDIGO]]),"",IFERROR(VLOOKUP(tabItens[[#This Row],[CÓDIGO]],Consumo!$C$2:$AC$869,26,FALSE),0))</f>
        <v>05.2023</v>
      </c>
      <c r="AS338" s="316">
        <f>SUMIF(Consumo!$C$3:$C$869,tabItens[[#This Row],[CÓDIGO]],Consumo!$N$3:$N$869) + SUMIF(Consumo!$C$3:$C$869,tabItens[[#This Row],[CÓDIGO]],Consumo!$O$3:$O$869) + SUMIF(Consumo!$C$3:$C$869,tabItens[[#This Row],[CÓDIGO]],Consumo!$P$3:$P$869) + SUMIF(Consumo!$C$3:$C$869,tabItens[[#This Row],[CÓDIGO]],Consumo!$Q$3:$Q$869)</f>
        <v>50</v>
      </c>
      <c r="AT338" s="316">
        <f>SUMIF(Consumo!$C$3:$C$869,tabItens[[#This Row],[CÓDIGO]],Consumo!$Z$3:$Z$869)</f>
        <v>423</v>
      </c>
      <c r="AU338" s="317">
        <f>SUMIF(Consumo!$C$3:$C$869,tabItens[[#This Row],[CÓDIGO]],Consumo!$AA$3:$AA$869)</f>
        <v>128</v>
      </c>
      <c r="AV338" s="318">
        <f>SUMIF(Consumo!$C$3:$C$869,tabItens[[#This Row],[CÓDIGO]],Consumo!$Y$3:$Y$869)</f>
        <v>33.5</v>
      </c>
      <c r="AW338" s="401">
        <f>tabItens[[#This Row],[QTDE ATUAL]] + tabItens[[#This Row],[RC QTDE]] + tabItens[[#This Row],[AF SALDO]] + tabItens[[#This Row],[Recentes]]</f>
        <v>800</v>
      </c>
      <c r="AX338" s="420">
        <v>18</v>
      </c>
      <c r="AY338" s="420">
        <v>4</v>
      </c>
      <c r="AZ338" s="420">
        <f>IF(ISBLANK(tabItens[[#This Row],[CÓDIGO]]),"",tabItens[[#This Row],[PontoMês]] * (AZ$2+tabItens[[#This Row],[PontoQtM]]))</f>
        <v>72</v>
      </c>
      <c r="BA338" s="421">
        <f>tabItens[[#This Row],[PontoPed]] - tabItens[[#This Row],[Saldo]] + (1/10)</f>
        <v>-727.9</v>
      </c>
      <c r="BB338" s="421">
        <f xml:space="preserve"> tabItens[[#This Row],[PontoMês]] * BB$2 - tabItens[[#This Row],[QTDE ATUAL]] - (1/10)</f>
        <v>17.899999999999999</v>
      </c>
      <c r="BC338" s="320">
        <f>IF( tabItens[[#This Row],[PontoPed]]&gt;0, IF(tabItens[[#This Row],[PontoPed]]&lt;1, 1, IF( tabItens[[#This Row],[Saldo]]&gt;tabItens[[#This Row],[PontoPed]], 0, (tabItens[[#This Row],[PontoPed]]-tabItens[[#This Row],[Saldo]])/tabItens[[#This Row],[PontoPed]] ) ), 0 )</f>
        <v>0</v>
      </c>
      <c r="BD338" s="422">
        <f>ROUNDDOWN(IF( OR( AND(tabItens[[#This Row],[PontoPed]]&lt;tabItens[[#This Row],[Saldo]],tabItens[[#This Row],[Saldo]]&gt;0), tabItens[[#This Row],[PontoPed]]=0), 99, IF(AND(tabItens[[#This Row],[Saldo]]=0,tabItens[[#This Row],[PontoPed]]&gt;0), 0, (1-tabItens[[#This Row],[PctAb]])*10 ) ),0)</f>
        <v>99</v>
      </c>
      <c r="BE338" s="423">
        <f>MAX(ROUNDDOWN( IF(tabItens[[#This Row],[Abaixo]] &gt; 0,   tabItens[[#This Row],[Abaixo]] + (tabItens[[#This Row],[PontoMês]] * IF( OR( ISBLANK(tabItens[[#This Row],[ATA Nº/ANO]]), tabItens[[#This Row],[ATA Nº/ANO]] = ""),BE$2,BE$1)),0),0),0)</f>
        <v>0</v>
      </c>
      <c r="BF33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23">
        <f>SUMIF(Consumo!$C$3:$C$869,tabItens[[#This Row],[CÓDIGO]],Consumo!$E$3:$E$869)</f>
        <v>0</v>
      </c>
      <c r="BH338" s="324">
        <f>IF(AND(tabItens[[#This Row],[Pend]] &gt; 0,tabItens[[#This Row],[Consumo]] &lt;&gt; 0), tabItens[[#This Row],[Pend]] / tabItens[[#This Row],[Consumo]], 0 )</f>
        <v>0</v>
      </c>
      <c r="BI338" s="323"/>
      <c r="BJ338" s="424"/>
      <c r="BK338" s="425" t="s">
        <v>2064</v>
      </c>
    </row>
    <row r="339" spans="1:63" x14ac:dyDescent="0.3">
      <c r="A339" s="396">
        <v>27353</v>
      </c>
      <c r="B339" s="397" t="s">
        <v>1225</v>
      </c>
      <c r="C339" s="398" t="s">
        <v>411</v>
      </c>
      <c r="D339" s="399">
        <v>2.25</v>
      </c>
      <c r="E339" s="290"/>
      <c r="F339" s="400"/>
      <c r="G339" s="400" t="s">
        <v>883</v>
      </c>
      <c r="H339" s="401">
        <v>0</v>
      </c>
      <c r="I339" s="292">
        <v>103003</v>
      </c>
      <c r="J339" s="293">
        <v>2.25</v>
      </c>
      <c r="K339" s="402">
        <v>376</v>
      </c>
      <c r="L339" s="403">
        <f>IF(tabItens[[#This Row],[Média]] &gt; 0, tabItens[[#This Row],[QTDE ATUAL]] / tabItens[[#This Row],[Média]],999.9)</f>
        <v>0</v>
      </c>
      <c r="M339" s="404">
        <v>0</v>
      </c>
      <c r="N339" s="405">
        <f>tabItens[[#This Row],[VALOR UNIT.]] * tabItens[[#This Row],[LC]]</f>
        <v>0</v>
      </c>
      <c r="O339" s="406" t="s">
        <v>2094</v>
      </c>
      <c r="P339" s="407"/>
      <c r="Q339" s="408"/>
      <c r="R339" s="297"/>
      <c r="S339" s="409"/>
      <c r="T339" s="410">
        <f>ROUNDDOWN(IFERROR(tabItens[[#This Row],[ATA DT.VALID.]] - $D$1,0) / 30,0)</f>
        <v>-1504</v>
      </c>
      <c r="U339" s="287" t="s">
        <v>961</v>
      </c>
      <c r="V339" s="303">
        <v>1</v>
      </c>
      <c r="W339" s="411" t="s">
        <v>2049</v>
      </c>
      <c r="X339" s="412">
        <v>51</v>
      </c>
      <c r="Y339" s="413">
        <v>3</v>
      </c>
      <c r="Z339" s="414">
        <v>2569</v>
      </c>
      <c r="AA339" s="415">
        <v>2023</v>
      </c>
      <c r="AB339" s="416">
        <v>100</v>
      </c>
      <c r="AC339" s="416"/>
      <c r="AD339" s="415"/>
      <c r="AE339" s="416"/>
      <c r="AF339" s="302"/>
      <c r="AG339" s="417" t="s">
        <v>2050</v>
      </c>
      <c r="AH339" s="418"/>
      <c r="AI339" s="302">
        <v>146</v>
      </c>
      <c r="AJ339" s="418">
        <v>44550</v>
      </c>
      <c r="AK339" s="311" t="s">
        <v>883</v>
      </c>
      <c r="AL339" s="311">
        <v>45121</v>
      </c>
      <c r="AM339" s="301"/>
      <c r="AN339" s="290"/>
      <c r="AO339" s="312" t="str">
        <f>_xlfn.IFNA(IF(VLOOKUP(tabItens[[#This Row],[CÓDIGO]],tabExcluirDoEstoque[#Data],1,FALSE),"sim",""),"")</f>
        <v/>
      </c>
      <c r="AP339" s="419" t="str">
        <f ca="1">IF(OR(ISBLANK(tabItens[[#This Row],[ATA DT.VALID.]]),tabItens[[#This Row],[ATA DT.VALID.]]="",tabItens[[#This Row],[ATA DT.VALID.]]=" "),"",IF(TYPE(tabItens[[#This Row],[ATA DT.VALID.]])=1,ROUNDUP((tabItens[[#This Row],[ATA DT.VALID.]]-TODAY())/7,0),""))</f>
        <v/>
      </c>
      <c r="AQ339" s="314">
        <v>0</v>
      </c>
      <c r="AR339" s="315" t="str">
        <f>IF(ISBLANK(tabItens[[#This Row],[CÓDIGO]]),"",IFERROR(VLOOKUP(tabItens[[#This Row],[CÓDIGO]],Consumo!$C$2:$AC$869,26,FALSE),0))</f>
        <v>05.2023</v>
      </c>
      <c r="AS339" s="316">
        <f>SUMIF(Consumo!$C$3:$C$869,tabItens[[#This Row],[CÓDIGO]],Consumo!$N$3:$N$869) + SUMIF(Consumo!$C$3:$C$869,tabItens[[#This Row],[CÓDIGO]],Consumo!$O$3:$O$869) + SUMIF(Consumo!$C$3:$C$869,tabItens[[#This Row],[CÓDIGO]],Consumo!$P$3:$P$869) + SUMIF(Consumo!$C$3:$C$869,tabItens[[#This Row],[CÓDIGO]],Consumo!$Q$3:$Q$869)</f>
        <v>257</v>
      </c>
      <c r="AT339" s="316">
        <f>SUMIF(Consumo!$C$3:$C$869,tabItens[[#This Row],[CÓDIGO]],Consumo!$Z$3:$Z$869)</f>
        <v>439</v>
      </c>
      <c r="AU339" s="317">
        <f>SUMIF(Consumo!$C$3:$C$869,tabItens[[#This Row],[CÓDIGO]],Consumo!$AA$3:$AA$869)</f>
        <v>154</v>
      </c>
      <c r="AV339" s="318">
        <f>SUMIF(Consumo!$C$3:$C$869,tabItens[[#This Row],[CÓDIGO]],Consumo!$Y$3:$Y$869)</f>
        <v>34.333333333333336</v>
      </c>
      <c r="AW339" s="401">
        <f>tabItens[[#This Row],[QTDE ATUAL]] + tabItens[[#This Row],[RC QTDE]] + tabItens[[#This Row],[AF SALDO]] + tabItens[[#This Row],[Recentes]]</f>
        <v>100</v>
      </c>
      <c r="AX339" s="420">
        <v>20</v>
      </c>
      <c r="AY339" s="420">
        <v>4</v>
      </c>
      <c r="AZ339" s="420">
        <f>IF(ISBLANK(tabItens[[#This Row],[CÓDIGO]]),"",tabItens[[#This Row],[PontoMês]] * (AZ$2+tabItens[[#This Row],[PontoQtM]]))</f>
        <v>80</v>
      </c>
      <c r="BA339" s="421">
        <f>tabItens[[#This Row],[PontoPed]] - tabItens[[#This Row],[Saldo]] + (1/10)</f>
        <v>-19.899999999999999</v>
      </c>
      <c r="BB339" s="421">
        <f xml:space="preserve"> tabItens[[#This Row],[PontoMês]] * BB$2 - tabItens[[#This Row],[QTDE ATUAL]] - (1/10)</f>
        <v>19.899999999999999</v>
      </c>
      <c r="BC339" s="320">
        <f>IF( tabItens[[#This Row],[PontoPed]]&gt;0, IF(tabItens[[#This Row],[PontoPed]]&lt;1, 1, IF( tabItens[[#This Row],[Saldo]]&gt;tabItens[[#This Row],[PontoPed]], 0, (tabItens[[#This Row],[PontoPed]]-tabItens[[#This Row],[Saldo]])/tabItens[[#This Row],[PontoPed]] ) ), 0 )</f>
        <v>0</v>
      </c>
      <c r="BD339" s="422">
        <f>ROUNDDOWN(IF( OR( AND(tabItens[[#This Row],[PontoPed]]&lt;tabItens[[#This Row],[Saldo]],tabItens[[#This Row],[Saldo]]&gt;0), tabItens[[#This Row],[PontoPed]]=0), 99, IF(AND(tabItens[[#This Row],[Saldo]]=0,tabItens[[#This Row],[PontoPed]]&gt;0), 0, (1-tabItens[[#This Row],[PctAb]])*10 ) ),0)</f>
        <v>99</v>
      </c>
      <c r="BE339" s="423">
        <f>MAX(ROUNDDOWN( IF(tabItens[[#This Row],[Abaixo]] &gt; 0,   tabItens[[#This Row],[Abaixo]] + (tabItens[[#This Row],[PontoMês]] * IF( OR( ISBLANK(tabItens[[#This Row],[ATA Nº/ANO]]), tabItens[[#This Row],[ATA Nº/ANO]] = ""),BE$2,BE$1)),0),0),0)</f>
        <v>0</v>
      </c>
      <c r="BF33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23">
        <f>SUMIF(Consumo!$C$3:$C$869,tabItens[[#This Row],[CÓDIGO]],Consumo!$E$3:$E$869)</f>
        <v>0</v>
      </c>
      <c r="BH339" s="324">
        <f>IF(AND(tabItens[[#This Row],[Pend]] &gt; 0,tabItens[[#This Row],[Consumo]] &lt;&gt; 0), tabItens[[#This Row],[Pend]] / tabItens[[#This Row],[Consumo]], 0 )</f>
        <v>0</v>
      </c>
      <c r="BI339" s="323"/>
      <c r="BJ339" s="424"/>
      <c r="BK339" s="425" t="s">
        <v>2064</v>
      </c>
    </row>
    <row r="340" spans="1:63" x14ac:dyDescent="0.3">
      <c r="A340" s="396">
        <v>100362</v>
      </c>
      <c r="B340" s="397" t="s">
        <v>1562</v>
      </c>
      <c r="C340" s="398" t="s">
        <v>411</v>
      </c>
      <c r="D340" s="399">
        <v>31.4</v>
      </c>
      <c r="E340" s="290"/>
      <c r="F340" s="400"/>
      <c r="G340" s="400" t="s">
        <v>883</v>
      </c>
      <c r="H340" s="401">
        <v>0</v>
      </c>
      <c r="I340" s="292">
        <v>103003</v>
      </c>
      <c r="J340" s="293">
        <v>31.4</v>
      </c>
      <c r="K340" s="402">
        <v>4028</v>
      </c>
      <c r="L340" s="403">
        <f>IF(tabItens[[#This Row],[Média]] &gt; 0, tabItens[[#This Row],[QTDE ATUAL]] / tabItens[[#This Row],[Média]],999.9)</f>
        <v>0</v>
      </c>
      <c r="M340" s="404">
        <v>0</v>
      </c>
      <c r="N340" s="405">
        <f>tabItens[[#This Row],[VALOR UNIT.]] * tabItens[[#This Row],[LC]]</f>
        <v>0</v>
      </c>
      <c r="O340" s="406" t="s">
        <v>2094</v>
      </c>
      <c r="P340" s="407"/>
      <c r="Q340" s="408"/>
      <c r="R340" s="297"/>
      <c r="S340" s="409"/>
      <c r="T340" s="410">
        <f>ROUNDDOWN(IFERROR(tabItens[[#This Row],[ATA DT.VALID.]] - $D$1,0) / 30,0)</f>
        <v>-1504</v>
      </c>
      <c r="U340" s="287" t="s">
        <v>961</v>
      </c>
      <c r="V340" s="303">
        <v>1</v>
      </c>
      <c r="W340" s="411" t="s">
        <v>2049</v>
      </c>
      <c r="X340" s="412">
        <v>51</v>
      </c>
      <c r="Y340" s="413">
        <v>3</v>
      </c>
      <c r="Z340" s="414"/>
      <c r="AA340" s="415"/>
      <c r="AB340" s="416"/>
      <c r="AC340" s="416">
        <v>8935</v>
      </c>
      <c r="AD340" s="415">
        <v>2023</v>
      </c>
      <c r="AE340" s="416">
        <v>8000</v>
      </c>
      <c r="AF340" s="302">
        <v>8000</v>
      </c>
      <c r="AG340" s="417" t="s">
        <v>2036</v>
      </c>
      <c r="AH340" s="418" t="s">
        <v>883</v>
      </c>
      <c r="AI340" s="302">
        <v>1342</v>
      </c>
      <c r="AJ340" s="418">
        <v>44783</v>
      </c>
      <c r="AK340" s="311">
        <v>39258</v>
      </c>
      <c r="AL340" s="311">
        <v>45099</v>
      </c>
      <c r="AM340" s="301"/>
      <c r="AN340" s="290"/>
      <c r="AO340" s="312" t="str">
        <f>_xlfn.IFNA(IF(VLOOKUP(tabItens[[#This Row],[CÓDIGO]],tabExcluirDoEstoque[#Data],1,FALSE),"sim",""),"")</f>
        <v/>
      </c>
      <c r="AP340" s="419" t="str">
        <f ca="1">IF(OR(ISBLANK(tabItens[[#This Row],[ATA DT.VALID.]]),tabItens[[#This Row],[ATA DT.VALID.]]="",tabItens[[#This Row],[ATA DT.VALID.]]=" "),"",IF(TYPE(tabItens[[#This Row],[ATA DT.VALID.]])=1,ROUNDUP((tabItens[[#This Row],[ATA DT.VALID.]]-TODAY())/7,0),""))</f>
        <v/>
      </c>
      <c r="AQ340" s="314">
        <v>0</v>
      </c>
      <c r="AR340" s="315" t="str">
        <f>IF(ISBLANK(tabItens[[#This Row],[CÓDIGO]]),"",IFERROR(VLOOKUP(tabItens[[#This Row],[CÓDIGO]],Consumo!$C$2:$AC$869,26,FALSE),0))</f>
        <v>01.2023</v>
      </c>
      <c r="AS340" s="316">
        <f>SUMIF(Consumo!$C$3:$C$869,tabItens[[#This Row],[CÓDIGO]],Consumo!$N$3:$N$869) + SUMIF(Consumo!$C$3:$C$869,tabItens[[#This Row],[CÓDIGO]],Consumo!$O$3:$O$869) + SUMIF(Consumo!$C$3:$C$869,tabItens[[#This Row],[CÓDIGO]],Consumo!$P$3:$P$869) + SUMIF(Consumo!$C$3:$C$869,tabItens[[#This Row],[CÓDIGO]],Consumo!$Q$3:$Q$869)</f>
        <v>0</v>
      </c>
      <c r="AT340" s="316">
        <f>SUMIF(Consumo!$C$3:$C$869,tabItens[[#This Row],[CÓDIGO]],Consumo!$Z$3:$Z$869)</f>
        <v>4165</v>
      </c>
      <c r="AU340" s="317">
        <f>SUMIF(Consumo!$C$3:$C$869,tabItens[[#This Row],[CÓDIGO]],Consumo!$AA$3:$AA$869)</f>
        <v>1091</v>
      </c>
      <c r="AV340" s="318">
        <f>SUMIF(Consumo!$C$3:$C$869,tabItens[[#This Row],[CÓDIGO]],Consumo!$Y$3:$Y$869)</f>
        <v>347.08333333333331</v>
      </c>
      <c r="AW340" s="401">
        <f>tabItens[[#This Row],[QTDE ATUAL]] + tabItens[[#This Row],[RC QTDE]] + tabItens[[#This Row],[AF SALDO]] + tabItens[[#This Row],[Recentes]]</f>
        <v>8000</v>
      </c>
      <c r="AX340" s="420">
        <v>24.9</v>
      </c>
      <c r="AY340" s="420">
        <v>4</v>
      </c>
      <c r="AZ340" s="420">
        <f>IF(ISBLANK(tabItens[[#This Row],[CÓDIGO]]),"",tabItens[[#This Row],[PontoMês]] * (AZ$2+tabItens[[#This Row],[PontoQtM]]))</f>
        <v>99.6</v>
      </c>
      <c r="BA340" s="421">
        <f>tabItens[[#This Row],[PontoPed]] - tabItens[[#This Row],[Saldo]] + (1/10)</f>
        <v>-7900.2999999999993</v>
      </c>
      <c r="BB340" s="421">
        <f xml:space="preserve"> tabItens[[#This Row],[PontoMês]] * BB$2 - tabItens[[#This Row],[QTDE ATUAL]] - (1/10)</f>
        <v>24.799999999999997</v>
      </c>
      <c r="BC340" s="320">
        <f>IF( tabItens[[#This Row],[PontoPed]]&gt;0, IF(tabItens[[#This Row],[PontoPed]]&lt;1, 1, IF( tabItens[[#This Row],[Saldo]]&gt;tabItens[[#This Row],[PontoPed]], 0, (tabItens[[#This Row],[PontoPed]]-tabItens[[#This Row],[Saldo]])/tabItens[[#This Row],[PontoPed]] ) ), 0 )</f>
        <v>0</v>
      </c>
      <c r="BD340" s="422">
        <f>ROUNDDOWN(IF( OR( AND(tabItens[[#This Row],[PontoPed]]&lt;tabItens[[#This Row],[Saldo]],tabItens[[#This Row],[Saldo]]&gt;0), tabItens[[#This Row],[PontoPed]]=0), 99, IF(AND(tabItens[[#This Row],[Saldo]]=0,tabItens[[#This Row],[PontoPed]]&gt;0), 0, (1-tabItens[[#This Row],[PctAb]])*10 ) ),0)</f>
        <v>99</v>
      </c>
      <c r="BE340" s="423">
        <f>MAX(ROUNDDOWN( IF(tabItens[[#This Row],[Abaixo]] &gt; 0,   tabItens[[#This Row],[Abaixo]] + (tabItens[[#This Row],[PontoMês]] * IF( OR( ISBLANK(tabItens[[#This Row],[ATA Nº/ANO]]), tabItens[[#This Row],[ATA Nº/ANO]] = ""),BE$2,BE$1)),0),0),0)</f>
        <v>0</v>
      </c>
      <c r="BF34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23">
        <f>SUMIF(Consumo!$C$3:$C$869,tabItens[[#This Row],[CÓDIGO]],Consumo!$E$3:$E$869)</f>
        <v>137</v>
      </c>
      <c r="BH340" s="324">
        <f>IF(AND(tabItens[[#This Row],[Pend]] &gt; 0,tabItens[[#This Row],[Consumo]] &lt;&gt; 0), tabItens[[#This Row],[Pend]] / tabItens[[#This Row],[Consumo]], 0 )</f>
        <v>3.2893157262905162E-2</v>
      </c>
      <c r="BI340" s="323"/>
      <c r="BJ340" s="424"/>
      <c r="BK340" s="425" t="s">
        <v>2064</v>
      </c>
    </row>
    <row r="341" spans="1:63" hidden="1" x14ac:dyDescent="0.3">
      <c r="A341" s="286">
        <v>50475</v>
      </c>
      <c r="B341" s="287" t="s">
        <v>1294</v>
      </c>
      <c r="C341" s="288" t="s">
        <v>256</v>
      </c>
      <c r="D341" s="289">
        <v>1.94</v>
      </c>
      <c r="E341" s="290"/>
      <c r="F341" s="290"/>
      <c r="G341" s="290" t="s">
        <v>883</v>
      </c>
      <c r="H341" s="291">
        <v>230</v>
      </c>
      <c r="I341" s="292">
        <v>103003</v>
      </c>
      <c r="J341" s="293">
        <v>1.94</v>
      </c>
      <c r="K341" s="294"/>
      <c r="L341" s="295">
        <f>IF(tabItens[[#This Row],[Média]] &gt; 0, tabItens[[#This Row],[QTDE ATUAL]] / tabItens[[#This Row],[Média]],999.9)</f>
        <v>999.9</v>
      </c>
      <c r="M341" s="296">
        <v>0</v>
      </c>
      <c r="N341" s="297">
        <f>tabItens[[#This Row],[VALOR UNIT.]] * tabItens[[#This Row],[LC]]</f>
        <v>0</v>
      </c>
      <c r="O341" s="298" t="s">
        <v>2094</v>
      </c>
      <c r="P341" s="299"/>
      <c r="Q341" s="300"/>
      <c r="R341" s="297"/>
      <c r="S341" s="301"/>
      <c r="T341" s="302">
        <f>ROUNDDOWN(IFERROR(tabItens[[#This Row],[ATA DT.VALID.]] - $D$1,0) / 30,0)</f>
        <v>-1504</v>
      </c>
      <c r="U341" s="287" t="s">
        <v>1273</v>
      </c>
      <c r="V341" s="303">
        <v>1</v>
      </c>
      <c r="W341" s="304" t="s">
        <v>2049</v>
      </c>
      <c r="X341" s="305">
        <v>51</v>
      </c>
      <c r="Y341" s="306">
        <v>17</v>
      </c>
      <c r="Z341" s="307"/>
      <c r="AA341" s="308"/>
      <c r="AB341" s="309"/>
      <c r="AC341" s="309"/>
      <c r="AD341" s="308"/>
      <c r="AE341" s="309"/>
      <c r="AF341" s="302"/>
      <c r="AG341" s="310" t="s">
        <v>2050</v>
      </c>
      <c r="AH341" s="311"/>
      <c r="AI341" s="302">
        <v>46</v>
      </c>
      <c r="AJ341" s="311">
        <v>41472</v>
      </c>
      <c r="AK341" s="311" t="s">
        <v>883</v>
      </c>
      <c r="AL341" s="311">
        <v>44273</v>
      </c>
      <c r="AM341" s="301"/>
      <c r="AN341" s="290"/>
      <c r="AO341" s="312" t="str">
        <f>_xlfn.IFNA(IF(VLOOKUP(tabItens[[#This Row],[CÓDIGO]],tabExcluirDoEstoque[#Data],1,FALSE),"sim",""),"")</f>
        <v/>
      </c>
      <c r="AP341" s="313" t="str">
        <f ca="1">IF(OR(ISBLANK(tabItens[[#This Row],[ATA DT.VALID.]]),tabItens[[#This Row],[ATA DT.VALID.]]="",tabItens[[#This Row],[ATA DT.VALID.]]=" "),"",IF(TYPE(tabItens[[#This Row],[ATA DT.VALID.]])=1,ROUNDUP((tabItens[[#This Row],[ATA DT.VALID.]]-TODAY())/7,0),""))</f>
        <v/>
      </c>
      <c r="AQ341" s="314">
        <v>0</v>
      </c>
      <c r="AR341" s="315">
        <f>IF(ISBLANK(tabItens[[#This Row],[CÓDIGO]]),"",IFERROR(VLOOKUP(tabItens[[#This Row],[CÓDIGO]],Consumo!$C$2:$AC$869,26,FALSE),0))</f>
        <v>0</v>
      </c>
      <c r="AS341" s="316">
        <f>SUMIF(Consumo!$C$3:$C$869,tabItens[[#This Row],[CÓDIGO]],Consumo!$N$3:$N$869) + SUMIF(Consumo!$C$3:$C$869,tabItens[[#This Row],[CÓDIGO]],Consumo!$O$3:$O$869) + SUMIF(Consumo!$C$3:$C$869,tabItens[[#This Row],[CÓDIGO]],Consumo!$P$3:$P$869) + SUMIF(Consumo!$C$3:$C$869,tabItens[[#This Row],[CÓDIGO]],Consumo!$Q$3:$Q$869)</f>
        <v>0</v>
      </c>
      <c r="AT341" s="316">
        <f>SUMIF(Consumo!$C$3:$C$869,tabItens[[#This Row],[CÓDIGO]],Consumo!$Z$3:$Z$869)</f>
        <v>0</v>
      </c>
      <c r="AU341" s="317">
        <f>SUMIF(Consumo!$C$3:$C$869,tabItens[[#This Row],[CÓDIGO]],Consumo!$AA$3:$AA$869)</f>
        <v>0</v>
      </c>
      <c r="AV341" s="318">
        <f>SUMIF(Consumo!$C$3:$C$869,tabItens[[#This Row],[CÓDIGO]],Consumo!$Y$3:$Y$869)</f>
        <v>0</v>
      </c>
      <c r="AW341" s="291">
        <f>tabItens[[#This Row],[QTDE ATUAL]] + tabItens[[#This Row],[RC QTDE]] + tabItens[[#This Row],[AF SALDO]] + tabItens[[#This Row],[Recentes]]</f>
        <v>230</v>
      </c>
      <c r="AX341" s="319">
        <v>18</v>
      </c>
      <c r="AY341" s="319">
        <v>4</v>
      </c>
      <c r="AZ341" s="319">
        <f>IF(ISBLANK(tabItens[[#This Row],[CÓDIGO]]),"",tabItens[[#This Row],[PontoMês]] * (AZ$2+tabItens[[#This Row],[PontoQtM]]))</f>
        <v>72</v>
      </c>
      <c r="BA341" s="318">
        <f>tabItens[[#This Row],[PontoPed]] - tabItens[[#This Row],[Saldo]] + (1/10)</f>
        <v>-157.9</v>
      </c>
      <c r="BB341" s="318">
        <f xml:space="preserve"> tabItens[[#This Row],[PontoMês]] * BB$2 - tabItens[[#This Row],[QTDE ATUAL]] - (1/10)</f>
        <v>-212.1</v>
      </c>
      <c r="BC341" s="320">
        <f>IF( tabItens[[#This Row],[PontoPed]]&gt;0, IF(tabItens[[#This Row],[PontoPed]]&lt;1, 1, IF( tabItens[[#This Row],[Saldo]]&gt;tabItens[[#This Row],[PontoPed]], 0, (tabItens[[#This Row],[PontoPed]]-tabItens[[#This Row],[Saldo]])/tabItens[[#This Row],[PontoPed]] ) ), 0 )</f>
        <v>0</v>
      </c>
      <c r="BD341" s="321">
        <f>ROUNDDOWN(IF( OR( AND(tabItens[[#This Row],[PontoPed]]&lt;tabItens[[#This Row],[Saldo]],tabItens[[#This Row],[Saldo]]&gt;0), tabItens[[#This Row],[PontoPed]]=0), 99, IF(AND(tabItens[[#This Row],[Saldo]]=0,tabItens[[#This Row],[PontoPed]]&gt;0), 0, (1-tabItens[[#This Row],[PctAb]])*10 ) ),0)</f>
        <v>99</v>
      </c>
      <c r="BE341" s="322">
        <f>MAX(ROUNDDOWN( IF(tabItens[[#This Row],[Abaixo]] &gt; 0,   tabItens[[#This Row],[Abaixo]] + (tabItens[[#This Row],[PontoMês]] * IF( OR( ISBLANK(tabItens[[#This Row],[ATA Nº/ANO]]), tabItens[[#This Row],[ATA Nº/ANO]] = ""),BE$2,BE$1)),0),0),0)</f>
        <v>0</v>
      </c>
      <c r="BF34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23">
        <f>SUMIF(Consumo!$C$3:$C$869,tabItens[[#This Row],[CÓDIGO]],Consumo!$E$3:$E$869)</f>
        <v>0</v>
      </c>
      <c r="BH341" s="324">
        <f>IF(AND(tabItens[[#This Row],[Pend]] &gt; 0,tabItens[[#This Row],[Consumo]] &lt;&gt; 0), tabItens[[#This Row],[Pend]] / tabItens[[#This Row],[Consumo]], 0 )</f>
        <v>0</v>
      </c>
      <c r="BI341" s="323"/>
      <c r="BJ341" s="323"/>
      <c r="BK341" s="325" t="s">
        <v>2064</v>
      </c>
    </row>
    <row r="342" spans="1:63" hidden="1" x14ac:dyDescent="0.3">
      <c r="A342" s="286">
        <v>67375</v>
      </c>
      <c r="B342" s="287" t="s">
        <v>1391</v>
      </c>
      <c r="C342" s="288" t="s">
        <v>256</v>
      </c>
      <c r="D342" s="289">
        <v>61.66</v>
      </c>
      <c r="E342" s="290"/>
      <c r="F342" s="290"/>
      <c r="G342" s="290" t="s">
        <v>883</v>
      </c>
      <c r="H342" s="291">
        <v>63</v>
      </c>
      <c r="I342" s="292">
        <v>103003</v>
      </c>
      <c r="J342" s="293">
        <v>61.66</v>
      </c>
      <c r="K342" s="294">
        <v>78</v>
      </c>
      <c r="L342" s="295">
        <f>IF(tabItens[[#This Row],[Média]] &gt; 0, tabItens[[#This Row],[QTDE ATUAL]] / tabItens[[#This Row],[Média]],999.9)</f>
        <v>10.216216216216216</v>
      </c>
      <c r="M342" s="296">
        <v>0</v>
      </c>
      <c r="N342" s="297">
        <f>tabItens[[#This Row],[VALOR UNIT.]] * tabItens[[#This Row],[LC]]</f>
        <v>0</v>
      </c>
      <c r="O342" s="298" t="s">
        <v>2094</v>
      </c>
      <c r="P342" s="299"/>
      <c r="Q342" s="300"/>
      <c r="R342" s="297"/>
      <c r="S342" s="301"/>
      <c r="T342" s="302">
        <f>ROUNDDOWN(IFERROR(tabItens[[#This Row],[ATA DT.VALID.]] - $D$1,0) / 30,0)</f>
        <v>-1504</v>
      </c>
      <c r="U342" s="287" t="s">
        <v>1273</v>
      </c>
      <c r="V342" s="303">
        <v>1</v>
      </c>
      <c r="W342" s="304" t="s">
        <v>2049</v>
      </c>
      <c r="X342" s="305">
        <v>51</v>
      </c>
      <c r="Y342" s="306">
        <v>17</v>
      </c>
      <c r="Z342" s="307">
        <v>2570</v>
      </c>
      <c r="AA342" s="308">
        <v>2023</v>
      </c>
      <c r="AB342" s="309">
        <v>50</v>
      </c>
      <c r="AC342" s="309"/>
      <c r="AD342" s="308"/>
      <c r="AE342" s="309"/>
      <c r="AF342" s="302"/>
      <c r="AG342" s="310" t="s">
        <v>2050</v>
      </c>
      <c r="AH342" s="311"/>
      <c r="AI342" s="302">
        <v>26</v>
      </c>
      <c r="AJ342" s="311">
        <v>44760</v>
      </c>
      <c r="AK342" s="311" t="s">
        <v>883</v>
      </c>
      <c r="AL342" s="311">
        <v>44748</v>
      </c>
      <c r="AM342" s="301"/>
      <c r="AN342" s="290"/>
      <c r="AO342" s="312" t="str">
        <f>_xlfn.IFNA(IF(VLOOKUP(tabItens[[#This Row],[CÓDIGO]],tabExcluirDoEstoque[#Data],1,FALSE),"sim",""),"")</f>
        <v/>
      </c>
      <c r="AP342" s="313" t="str">
        <f ca="1">IF(OR(ISBLANK(tabItens[[#This Row],[ATA DT.VALID.]]),tabItens[[#This Row],[ATA DT.VALID.]]="",tabItens[[#This Row],[ATA DT.VALID.]]=" "),"",IF(TYPE(tabItens[[#This Row],[ATA DT.VALID.]])=1,ROUNDUP((tabItens[[#This Row],[ATA DT.VALID.]]-TODAY())/7,0),""))</f>
        <v/>
      </c>
      <c r="AQ342" s="314">
        <v>0</v>
      </c>
      <c r="AR342" s="315" t="str">
        <f>IF(ISBLANK(tabItens[[#This Row],[CÓDIGO]]),"",IFERROR(VLOOKUP(tabItens[[#This Row],[CÓDIGO]],Consumo!$C$2:$AC$869,26,FALSE),0))</f>
        <v>07.2023</v>
      </c>
      <c r="AS342" s="316">
        <f>SUMIF(Consumo!$C$3:$C$869,tabItens[[#This Row],[CÓDIGO]],Consumo!$N$3:$N$869) + SUMIF(Consumo!$C$3:$C$869,tabItens[[#This Row],[CÓDIGO]],Consumo!$O$3:$O$869) + SUMIF(Consumo!$C$3:$C$869,tabItens[[#This Row],[CÓDIGO]],Consumo!$P$3:$P$869) + SUMIF(Consumo!$C$3:$C$869,tabItens[[#This Row],[CÓDIGO]],Consumo!$Q$3:$Q$869)</f>
        <v>30</v>
      </c>
      <c r="AT342" s="316">
        <f>SUMIF(Consumo!$C$3:$C$869,tabItens[[#This Row],[CÓDIGO]],Consumo!$Z$3:$Z$869)</f>
        <v>79</v>
      </c>
      <c r="AU342" s="317">
        <f>SUMIF(Consumo!$C$3:$C$869,tabItens[[#This Row],[CÓDIGO]],Consumo!$AA$3:$AA$869)</f>
        <v>30</v>
      </c>
      <c r="AV342" s="318">
        <f>SUMIF(Consumo!$C$3:$C$869,tabItens[[#This Row],[CÓDIGO]],Consumo!$Y$3:$Y$869)</f>
        <v>6.166666666666667</v>
      </c>
      <c r="AW342" s="291">
        <f>tabItens[[#This Row],[QTDE ATUAL]] + tabItens[[#This Row],[RC QTDE]] + tabItens[[#This Row],[AF SALDO]] + tabItens[[#This Row],[Recentes]]</f>
        <v>113</v>
      </c>
      <c r="AX342" s="319">
        <v>8</v>
      </c>
      <c r="AY342" s="319">
        <v>4</v>
      </c>
      <c r="AZ342" s="319">
        <f>IF(ISBLANK(tabItens[[#This Row],[CÓDIGO]]),"",tabItens[[#This Row],[PontoMês]] * (AZ$2+tabItens[[#This Row],[PontoQtM]]))</f>
        <v>32</v>
      </c>
      <c r="BA342" s="318">
        <f>tabItens[[#This Row],[PontoPed]] - tabItens[[#This Row],[Saldo]] + (1/10)</f>
        <v>-80.900000000000006</v>
      </c>
      <c r="BB342" s="318">
        <f xml:space="preserve"> tabItens[[#This Row],[PontoMês]] * BB$2 - tabItens[[#This Row],[QTDE ATUAL]] - (1/10)</f>
        <v>-55.1</v>
      </c>
      <c r="BC342" s="320">
        <f>IF( tabItens[[#This Row],[PontoPed]]&gt;0, IF(tabItens[[#This Row],[PontoPed]]&lt;1, 1, IF( tabItens[[#This Row],[Saldo]]&gt;tabItens[[#This Row],[PontoPed]], 0, (tabItens[[#This Row],[PontoPed]]-tabItens[[#This Row],[Saldo]])/tabItens[[#This Row],[PontoPed]] ) ), 0 )</f>
        <v>0</v>
      </c>
      <c r="BD342" s="321">
        <f>ROUNDDOWN(IF( OR( AND(tabItens[[#This Row],[PontoPed]]&lt;tabItens[[#This Row],[Saldo]],tabItens[[#This Row],[Saldo]]&gt;0), tabItens[[#This Row],[PontoPed]]=0), 99, IF(AND(tabItens[[#This Row],[Saldo]]=0,tabItens[[#This Row],[PontoPed]]&gt;0), 0, (1-tabItens[[#This Row],[PctAb]])*10 ) ),0)</f>
        <v>99</v>
      </c>
      <c r="BE342" s="322">
        <f>MAX(ROUNDDOWN( IF(tabItens[[#This Row],[Abaixo]] &gt; 0,   tabItens[[#This Row],[Abaixo]] + (tabItens[[#This Row],[PontoMês]] * IF( OR( ISBLANK(tabItens[[#This Row],[ATA Nº/ANO]]), tabItens[[#This Row],[ATA Nº/ANO]] = ""),BE$2,BE$1)),0),0),0)</f>
        <v>0</v>
      </c>
      <c r="BF34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23">
        <f>SUMIF(Consumo!$C$3:$C$869,tabItens[[#This Row],[CÓDIGO]],Consumo!$E$3:$E$869)</f>
        <v>0</v>
      </c>
      <c r="BH342" s="324">
        <f>IF(AND(tabItens[[#This Row],[Pend]] &gt; 0,tabItens[[#This Row],[Consumo]] &lt;&gt; 0), tabItens[[#This Row],[Pend]] / tabItens[[#This Row],[Consumo]], 0 )</f>
        <v>0</v>
      </c>
      <c r="BI342" s="323"/>
      <c r="BJ342" s="323"/>
      <c r="BK342" s="325" t="s">
        <v>2064</v>
      </c>
    </row>
    <row r="343" spans="1:63" hidden="1" x14ac:dyDescent="0.3">
      <c r="A343" s="286">
        <v>67376</v>
      </c>
      <c r="B343" s="287" t="s">
        <v>1392</v>
      </c>
      <c r="C343" s="288" t="s">
        <v>256</v>
      </c>
      <c r="D343" s="289">
        <v>32.74</v>
      </c>
      <c r="E343" s="290"/>
      <c r="F343" s="290"/>
      <c r="G343" s="290" t="s">
        <v>883</v>
      </c>
      <c r="H343" s="291">
        <v>173</v>
      </c>
      <c r="I343" s="292">
        <v>103003</v>
      </c>
      <c r="J343" s="293">
        <v>32.74</v>
      </c>
      <c r="K343" s="294">
        <v>60</v>
      </c>
      <c r="L343" s="295">
        <f>IF(tabItens[[#This Row],[Média]] &gt; 0, tabItens[[#This Row],[QTDE ATUAL]] / tabItens[[#This Row],[Média]],999.9)</f>
        <v>35.186440677966097</v>
      </c>
      <c r="M343" s="296">
        <v>0</v>
      </c>
      <c r="N343" s="297">
        <f>tabItens[[#This Row],[VALOR UNIT.]] * tabItens[[#This Row],[LC]]</f>
        <v>0</v>
      </c>
      <c r="O343" s="298" t="s">
        <v>2094</v>
      </c>
      <c r="P343" s="299"/>
      <c r="Q343" s="300"/>
      <c r="R343" s="297"/>
      <c r="S343" s="301"/>
      <c r="T343" s="302">
        <f>ROUNDDOWN(IFERROR(tabItens[[#This Row],[ATA DT.VALID.]] - $D$1,0) / 30,0)</f>
        <v>-1504</v>
      </c>
      <c r="U343" s="287" t="s">
        <v>1273</v>
      </c>
      <c r="V343" s="303">
        <v>1</v>
      </c>
      <c r="W343" s="304" t="s">
        <v>2049</v>
      </c>
      <c r="X343" s="305">
        <v>51</v>
      </c>
      <c r="Y343" s="306">
        <v>17</v>
      </c>
      <c r="Z343" s="307">
        <v>2984</v>
      </c>
      <c r="AA343" s="308">
        <v>2023</v>
      </c>
      <c r="AB343" s="309">
        <v>30</v>
      </c>
      <c r="AC343" s="309"/>
      <c r="AD343" s="308"/>
      <c r="AE343" s="309"/>
      <c r="AF343" s="302"/>
      <c r="AG343" s="310" t="s">
        <v>2050</v>
      </c>
      <c r="AH343" s="311"/>
      <c r="AI343" s="302">
        <v>20</v>
      </c>
      <c r="AJ343" s="311">
        <v>44148</v>
      </c>
      <c r="AK343" s="311" t="s">
        <v>883</v>
      </c>
      <c r="AL343" s="311">
        <v>44133</v>
      </c>
      <c r="AM343" s="301"/>
      <c r="AN343" s="290"/>
      <c r="AO343" s="312" t="str">
        <f>_xlfn.IFNA(IF(VLOOKUP(tabItens[[#This Row],[CÓDIGO]],tabExcluirDoEstoque[#Data],1,FALSE),"sim",""),"")</f>
        <v/>
      </c>
      <c r="AP343" s="313" t="str">
        <f ca="1">IF(OR(ISBLANK(tabItens[[#This Row],[ATA DT.VALID.]]),tabItens[[#This Row],[ATA DT.VALID.]]="",tabItens[[#This Row],[ATA DT.VALID.]]=" "),"",IF(TYPE(tabItens[[#This Row],[ATA DT.VALID.]])=1,ROUNDUP((tabItens[[#This Row],[ATA DT.VALID.]]-TODAY())/7,0),""))</f>
        <v/>
      </c>
      <c r="AQ343" s="314">
        <v>0</v>
      </c>
      <c r="AR343" s="315" t="str">
        <f>IF(ISBLANK(tabItens[[#This Row],[CÓDIGO]]),"",IFERROR(VLOOKUP(tabItens[[#This Row],[CÓDIGO]],Consumo!$C$2:$AC$869,26,FALSE),0))</f>
        <v>03.2023</v>
      </c>
      <c r="AS343" s="316">
        <f>SUMIF(Consumo!$C$3:$C$869,tabItens[[#This Row],[CÓDIGO]],Consumo!$N$3:$N$869) + SUMIF(Consumo!$C$3:$C$869,tabItens[[#This Row],[CÓDIGO]],Consumo!$O$3:$O$869) + SUMIF(Consumo!$C$3:$C$869,tabItens[[#This Row],[CÓDIGO]],Consumo!$P$3:$P$869) + SUMIF(Consumo!$C$3:$C$869,tabItens[[#This Row],[CÓDIGO]],Consumo!$Q$3:$Q$869)</f>
        <v>0</v>
      </c>
      <c r="AT343" s="316">
        <f>SUMIF(Consumo!$C$3:$C$869,tabItens[[#This Row],[CÓDIGO]],Consumo!$Z$3:$Z$869)</f>
        <v>60</v>
      </c>
      <c r="AU343" s="317">
        <f>SUMIF(Consumo!$C$3:$C$869,tabItens[[#This Row],[CÓDIGO]],Consumo!$AA$3:$AA$869)</f>
        <v>20</v>
      </c>
      <c r="AV343" s="318">
        <f>SUMIF(Consumo!$C$3:$C$869,tabItens[[#This Row],[CÓDIGO]],Consumo!$Y$3:$Y$869)</f>
        <v>4.916666666666667</v>
      </c>
      <c r="AW343" s="291">
        <f>tabItens[[#This Row],[QTDE ATUAL]] + tabItens[[#This Row],[RC QTDE]] + tabItens[[#This Row],[AF SALDO]] + tabItens[[#This Row],[Recentes]]</f>
        <v>203</v>
      </c>
      <c r="AX343" s="319">
        <v>11</v>
      </c>
      <c r="AY343" s="319">
        <v>4</v>
      </c>
      <c r="AZ343" s="319">
        <f>IF(ISBLANK(tabItens[[#This Row],[CÓDIGO]]),"",tabItens[[#This Row],[PontoMês]] * (AZ$2+tabItens[[#This Row],[PontoQtM]]))</f>
        <v>44</v>
      </c>
      <c r="BA343" s="318">
        <f>tabItens[[#This Row],[PontoPed]] - tabItens[[#This Row],[Saldo]] + (1/10)</f>
        <v>-158.9</v>
      </c>
      <c r="BB343" s="318">
        <f xml:space="preserve"> tabItens[[#This Row],[PontoMês]] * BB$2 - tabItens[[#This Row],[QTDE ATUAL]] - (1/10)</f>
        <v>-162.1</v>
      </c>
      <c r="BC343" s="320">
        <f>IF( tabItens[[#This Row],[PontoPed]]&gt;0, IF(tabItens[[#This Row],[PontoPed]]&lt;1, 1, IF( tabItens[[#This Row],[Saldo]]&gt;tabItens[[#This Row],[PontoPed]], 0, (tabItens[[#This Row],[PontoPed]]-tabItens[[#This Row],[Saldo]])/tabItens[[#This Row],[PontoPed]] ) ), 0 )</f>
        <v>0</v>
      </c>
      <c r="BD343" s="321">
        <f>ROUNDDOWN(IF( OR( AND(tabItens[[#This Row],[PontoPed]]&lt;tabItens[[#This Row],[Saldo]],tabItens[[#This Row],[Saldo]]&gt;0), tabItens[[#This Row],[PontoPed]]=0), 99, IF(AND(tabItens[[#This Row],[Saldo]]=0,tabItens[[#This Row],[PontoPed]]&gt;0), 0, (1-tabItens[[#This Row],[PctAb]])*10 ) ),0)</f>
        <v>99</v>
      </c>
      <c r="BE343" s="322">
        <f>MAX(ROUNDDOWN( IF(tabItens[[#This Row],[Abaixo]] &gt; 0,   tabItens[[#This Row],[Abaixo]] + (tabItens[[#This Row],[PontoMês]] * IF( OR( ISBLANK(tabItens[[#This Row],[ATA Nº/ANO]]), tabItens[[#This Row],[ATA Nº/ANO]] = ""),BE$2,BE$1)),0),0),0)</f>
        <v>0</v>
      </c>
      <c r="BF34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23">
        <f>SUMIF(Consumo!$C$3:$C$869,tabItens[[#This Row],[CÓDIGO]],Consumo!$E$3:$E$869)</f>
        <v>0</v>
      </c>
      <c r="BH343" s="324">
        <f>IF(AND(tabItens[[#This Row],[Pend]] &gt; 0,tabItens[[#This Row],[Consumo]] &lt;&gt; 0), tabItens[[#This Row],[Pend]] / tabItens[[#This Row],[Consumo]], 0 )</f>
        <v>0</v>
      </c>
      <c r="BI343" s="323"/>
      <c r="BJ343" s="323"/>
      <c r="BK343" s="325" t="s">
        <v>2064</v>
      </c>
    </row>
    <row r="344" spans="1:63" x14ac:dyDescent="0.3">
      <c r="A344" s="396">
        <v>106375</v>
      </c>
      <c r="B344" s="397" t="s">
        <v>1623</v>
      </c>
      <c r="C344" s="398" t="s">
        <v>256</v>
      </c>
      <c r="D344" s="399">
        <v>59.33</v>
      </c>
      <c r="E344" s="290"/>
      <c r="F344" s="400"/>
      <c r="G344" s="400" t="s">
        <v>883</v>
      </c>
      <c r="H344" s="401">
        <v>0</v>
      </c>
      <c r="I344" s="292">
        <v>103003</v>
      </c>
      <c r="J344" s="293">
        <v>59.33</v>
      </c>
      <c r="K344" s="402">
        <v>502</v>
      </c>
      <c r="L344" s="403">
        <f>IF(tabItens[[#This Row],[Média]] &gt; 0, tabItens[[#This Row],[QTDE ATUAL]] / tabItens[[#This Row],[Média]],999.9)</f>
        <v>0</v>
      </c>
      <c r="M344" s="404">
        <v>0</v>
      </c>
      <c r="N344" s="405">
        <f>tabItens[[#This Row],[VALOR UNIT.]] * tabItens[[#This Row],[LC]]</f>
        <v>0</v>
      </c>
      <c r="O344" s="406" t="s">
        <v>2094</v>
      </c>
      <c r="P344" s="407"/>
      <c r="Q344" s="408"/>
      <c r="R344" s="297"/>
      <c r="S344" s="409"/>
      <c r="T344" s="410">
        <f>ROUNDDOWN(IFERROR(tabItens[[#This Row],[ATA DT.VALID.]] - $D$1,0) / 30,0)</f>
        <v>-1504</v>
      </c>
      <c r="U344" s="287" t="s">
        <v>1273</v>
      </c>
      <c r="V344" s="303">
        <v>1</v>
      </c>
      <c r="W344" s="411" t="s">
        <v>2049</v>
      </c>
      <c r="X344" s="412">
        <v>51</v>
      </c>
      <c r="Y344" s="413">
        <v>17</v>
      </c>
      <c r="Z344" s="414">
        <v>2625</v>
      </c>
      <c r="AA344" s="415">
        <v>2023</v>
      </c>
      <c r="AB344" s="416">
        <v>1000</v>
      </c>
      <c r="AC344" s="416"/>
      <c r="AD344" s="415"/>
      <c r="AE344" s="416"/>
      <c r="AF344" s="302"/>
      <c r="AG344" s="417" t="s">
        <v>2050</v>
      </c>
      <c r="AH344" s="418"/>
      <c r="AI344" s="302">
        <v>184</v>
      </c>
      <c r="AJ344" s="418">
        <v>44775</v>
      </c>
      <c r="AK344" s="311">
        <v>39580</v>
      </c>
      <c r="AL344" s="311">
        <v>44748</v>
      </c>
      <c r="AM344" s="301"/>
      <c r="AN344" s="290"/>
      <c r="AO344" s="312" t="str">
        <f>_xlfn.IFNA(IF(VLOOKUP(tabItens[[#This Row],[CÓDIGO]],tabExcluirDoEstoque[#Data],1,FALSE),"sim",""),"")</f>
        <v/>
      </c>
      <c r="AP344" s="419" t="str">
        <f ca="1">IF(OR(ISBLANK(tabItens[[#This Row],[ATA DT.VALID.]]),tabItens[[#This Row],[ATA DT.VALID.]]="",tabItens[[#This Row],[ATA DT.VALID.]]=" "),"",IF(TYPE(tabItens[[#This Row],[ATA DT.VALID.]])=1,ROUNDUP((tabItens[[#This Row],[ATA DT.VALID.]]-TODAY())/7,0),""))</f>
        <v/>
      </c>
      <c r="AQ344" s="314">
        <v>0</v>
      </c>
      <c r="AR344" s="315" t="str">
        <f>IF(ISBLANK(tabItens[[#This Row],[CÓDIGO]]),"",IFERROR(VLOOKUP(tabItens[[#This Row],[CÓDIGO]],Consumo!$C$2:$AC$869,26,FALSE),0))</f>
        <v>05.2023</v>
      </c>
      <c r="AS344" s="316">
        <f>SUMIF(Consumo!$C$3:$C$869,tabItens[[#This Row],[CÓDIGO]],Consumo!$N$3:$N$869) + SUMIF(Consumo!$C$3:$C$869,tabItens[[#This Row],[CÓDIGO]],Consumo!$O$3:$O$869) + SUMIF(Consumo!$C$3:$C$869,tabItens[[#This Row],[CÓDIGO]],Consumo!$P$3:$P$869) + SUMIF(Consumo!$C$3:$C$869,tabItens[[#This Row],[CÓDIGO]],Consumo!$Q$3:$Q$869)</f>
        <v>33</v>
      </c>
      <c r="AT344" s="316">
        <f>SUMIF(Consumo!$C$3:$C$869,tabItens[[#This Row],[CÓDIGO]],Consumo!$Z$3:$Z$869)</f>
        <v>595</v>
      </c>
      <c r="AU344" s="317">
        <f>SUMIF(Consumo!$C$3:$C$869,tabItens[[#This Row],[CÓDIGO]],Consumo!$AA$3:$AA$869)</f>
        <v>232</v>
      </c>
      <c r="AV344" s="318">
        <f>SUMIF(Consumo!$C$3:$C$869,tabItens[[#This Row],[CÓDIGO]],Consumo!$Y$3:$Y$869)</f>
        <v>44.75</v>
      </c>
      <c r="AW344" s="401">
        <f>tabItens[[#This Row],[QTDE ATUAL]] + tabItens[[#This Row],[RC QTDE]] + tabItens[[#This Row],[AF SALDO]] + tabItens[[#This Row],[Recentes]]</f>
        <v>1000</v>
      </c>
      <c r="AX344" s="420">
        <v>59</v>
      </c>
      <c r="AY344" s="420">
        <v>4</v>
      </c>
      <c r="AZ344" s="420">
        <f>IF(ISBLANK(tabItens[[#This Row],[CÓDIGO]]),"",tabItens[[#This Row],[PontoMês]] * (AZ$2+tabItens[[#This Row],[PontoQtM]]))</f>
        <v>236</v>
      </c>
      <c r="BA344" s="421">
        <f>tabItens[[#This Row],[PontoPed]] - tabItens[[#This Row],[Saldo]] + (1/10)</f>
        <v>-763.9</v>
      </c>
      <c r="BB344" s="421">
        <f xml:space="preserve"> tabItens[[#This Row],[PontoMês]] * BB$2 - tabItens[[#This Row],[QTDE ATUAL]] - (1/10)</f>
        <v>58.9</v>
      </c>
      <c r="BC344" s="320">
        <f>IF( tabItens[[#This Row],[PontoPed]]&gt;0, IF(tabItens[[#This Row],[PontoPed]]&lt;1, 1, IF( tabItens[[#This Row],[Saldo]]&gt;tabItens[[#This Row],[PontoPed]], 0, (tabItens[[#This Row],[PontoPed]]-tabItens[[#This Row],[Saldo]])/tabItens[[#This Row],[PontoPed]] ) ), 0 )</f>
        <v>0</v>
      </c>
      <c r="BD344" s="422">
        <f>ROUNDDOWN(IF( OR( AND(tabItens[[#This Row],[PontoPed]]&lt;tabItens[[#This Row],[Saldo]],tabItens[[#This Row],[Saldo]]&gt;0), tabItens[[#This Row],[PontoPed]]=0), 99, IF(AND(tabItens[[#This Row],[Saldo]]=0,tabItens[[#This Row],[PontoPed]]&gt;0), 0, (1-tabItens[[#This Row],[PctAb]])*10 ) ),0)</f>
        <v>99</v>
      </c>
      <c r="BE344" s="423">
        <f>MAX(ROUNDDOWN( IF(tabItens[[#This Row],[Abaixo]] &gt; 0,   tabItens[[#This Row],[Abaixo]] + (tabItens[[#This Row],[PontoMês]] * IF( OR( ISBLANK(tabItens[[#This Row],[ATA Nº/ANO]]), tabItens[[#This Row],[ATA Nº/ANO]] = ""),BE$2,BE$1)),0),0),0)</f>
        <v>0</v>
      </c>
      <c r="BF34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23">
        <f>SUMIF(Consumo!$C$3:$C$869,tabItens[[#This Row],[CÓDIGO]],Consumo!$E$3:$E$869)</f>
        <v>41</v>
      </c>
      <c r="BH344" s="324">
        <f>IF(AND(tabItens[[#This Row],[Pend]] &gt; 0,tabItens[[#This Row],[Consumo]] &lt;&gt; 0), tabItens[[#This Row],[Pend]] / tabItens[[#This Row],[Consumo]], 0 )</f>
        <v>6.8907563025210089E-2</v>
      </c>
      <c r="BI344" s="323"/>
      <c r="BJ344" s="424"/>
      <c r="BK344" s="425" t="s">
        <v>2064</v>
      </c>
    </row>
    <row r="345" spans="1:63" hidden="1" x14ac:dyDescent="0.3">
      <c r="A345" s="286">
        <v>106376</v>
      </c>
      <c r="B345" s="287" t="s">
        <v>1624</v>
      </c>
      <c r="C345" s="288" t="s">
        <v>256</v>
      </c>
      <c r="D345" s="289">
        <v>74.209999999999994</v>
      </c>
      <c r="E345" s="290"/>
      <c r="F345" s="290"/>
      <c r="G345" s="290" t="s">
        <v>883</v>
      </c>
      <c r="H345" s="291">
        <v>1427</v>
      </c>
      <c r="I345" s="292">
        <v>103003</v>
      </c>
      <c r="J345" s="293">
        <v>74.209999999999994</v>
      </c>
      <c r="K345" s="294">
        <v>1221</v>
      </c>
      <c r="L345" s="295">
        <f>IF(tabItens[[#This Row],[Média]] &gt; 0, tabItens[[#This Row],[QTDE ATUAL]] / tabItens[[#This Row],[Média]],999.9)</f>
        <v>11.712722298221614</v>
      </c>
      <c r="M345" s="296">
        <v>0</v>
      </c>
      <c r="N345" s="297">
        <f>tabItens[[#This Row],[VALOR UNIT.]] * tabItens[[#This Row],[LC]]</f>
        <v>0</v>
      </c>
      <c r="O345" s="298" t="s">
        <v>2094</v>
      </c>
      <c r="P345" s="299"/>
      <c r="Q345" s="300"/>
      <c r="R345" s="297"/>
      <c r="S345" s="301"/>
      <c r="T345" s="302">
        <f>ROUNDDOWN(IFERROR(tabItens[[#This Row],[ATA DT.VALID.]] - $D$1,0) / 30,0)</f>
        <v>-1504</v>
      </c>
      <c r="U345" s="287" t="s">
        <v>1273</v>
      </c>
      <c r="V345" s="303">
        <v>1</v>
      </c>
      <c r="W345" s="304" t="s">
        <v>2049</v>
      </c>
      <c r="X345" s="305">
        <v>51</v>
      </c>
      <c r="Y345" s="306">
        <v>17</v>
      </c>
      <c r="Z345" s="307"/>
      <c r="AA345" s="308"/>
      <c r="AB345" s="309"/>
      <c r="AC345" s="309"/>
      <c r="AD345" s="308"/>
      <c r="AE345" s="309"/>
      <c r="AF345" s="302"/>
      <c r="AG345" s="310" t="s">
        <v>2050</v>
      </c>
      <c r="AH345" s="311"/>
      <c r="AI345" s="302">
        <v>556</v>
      </c>
      <c r="AJ345" s="311">
        <v>44775</v>
      </c>
      <c r="AK345" s="311">
        <v>39580</v>
      </c>
      <c r="AL345" s="311">
        <v>44748</v>
      </c>
      <c r="AM345" s="301"/>
      <c r="AN345" s="290"/>
      <c r="AO345" s="312" t="str">
        <f>_xlfn.IFNA(IF(VLOOKUP(tabItens[[#This Row],[CÓDIGO]],tabExcluirDoEstoque[#Data],1,FALSE),"sim",""),"")</f>
        <v/>
      </c>
      <c r="AP345" s="313" t="str">
        <f ca="1">IF(OR(ISBLANK(tabItens[[#This Row],[ATA DT.VALID.]]),tabItens[[#This Row],[ATA DT.VALID.]]="",tabItens[[#This Row],[ATA DT.VALID.]]=" "),"",IF(TYPE(tabItens[[#This Row],[ATA DT.VALID.]])=1,ROUNDUP((tabItens[[#This Row],[ATA DT.VALID.]]-TODAY())/7,0),""))</f>
        <v/>
      </c>
      <c r="AQ345" s="314">
        <v>0</v>
      </c>
      <c r="AR345" s="315" t="str">
        <f>IF(ISBLANK(tabItens[[#This Row],[CÓDIGO]]),"",IFERROR(VLOOKUP(tabItens[[#This Row],[CÓDIGO]],Consumo!$C$2:$AC$869,26,FALSE),0))</f>
        <v>07.2023</v>
      </c>
      <c r="AS345" s="316">
        <f>SUMIF(Consumo!$C$3:$C$869,tabItens[[#This Row],[CÓDIGO]],Consumo!$N$3:$N$869) + SUMIF(Consumo!$C$3:$C$869,tabItens[[#This Row],[CÓDIGO]],Consumo!$O$3:$O$869) + SUMIF(Consumo!$C$3:$C$869,tabItens[[#This Row],[CÓDIGO]],Consumo!$P$3:$P$869) + SUMIF(Consumo!$C$3:$C$869,tabItens[[#This Row],[CÓDIGO]],Consumo!$Q$3:$Q$869)</f>
        <v>887</v>
      </c>
      <c r="AT345" s="316">
        <f>SUMIF(Consumo!$C$3:$C$869,tabItens[[#This Row],[CÓDIGO]],Consumo!$Z$3:$Z$869)</f>
        <v>1462</v>
      </c>
      <c r="AU345" s="317">
        <f>SUMIF(Consumo!$C$3:$C$869,tabItens[[#This Row],[CÓDIGO]],Consumo!$AA$3:$AA$869)</f>
        <v>323</v>
      </c>
      <c r="AV345" s="318">
        <f>SUMIF(Consumo!$C$3:$C$869,tabItens[[#This Row],[CÓDIGO]],Consumo!$Y$3:$Y$869)</f>
        <v>121.83333333333333</v>
      </c>
      <c r="AW345" s="291">
        <f>tabItens[[#This Row],[QTDE ATUAL]] + tabItens[[#This Row],[RC QTDE]] + tabItens[[#This Row],[AF SALDO]] + tabItens[[#This Row],[Recentes]]</f>
        <v>1427</v>
      </c>
      <c r="AX345" s="319">
        <v>293</v>
      </c>
      <c r="AY345" s="319">
        <v>4</v>
      </c>
      <c r="AZ345" s="319">
        <f>IF(ISBLANK(tabItens[[#This Row],[CÓDIGO]]),"",tabItens[[#This Row],[PontoMês]] * (AZ$2+tabItens[[#This Row],[PontoQtM]]))</f>
        <v>1172</v>
      </c>
      <c r="BA345" s="318">
        <f>tabItens[[#This Row],[PontoPed]] - tabItens[[#This Row],[Saldo]] + (1/10)</f>
        <v>-254.9</v>
      </c>
      <c r="BB345" s="318">
        <f xml:space="preserve"> tabItens[[#This Row],[PontoMês]] * BB$2 - tabItens[[#This Row],[QTDE ATUAL]] - (1/10)</f>
        <v>-1134.0999999999999</v>
      </c>
      <c r="BC345" s="320">
        <f>IF( tabItens[[#This Row],[PontoPed]]&gt;0, IF(tabItens[[#This Row],[PontoPed]]&lt;1, 1, IF( tabItens[[#This Row],[Saldo]]&gt;tabItens[[#This Row],[PontoPed]], 0, (tabItens[[#This Row],[PontoPed]]-tabItens[[#This Row],[Saldo]])/tabItens[[#This Row],[PontoPed]] ) ), 0 )</f>
        <v>0</v>
      </c>
      <c r="BD345" s="321">
        <f>ROUNDDOWN(IF( OR( AND(tabItens[[#This Row],[PontoPed]]&lt;tabItens[[#This Row],[Saldo]],tabItens[[#This Row],[Saldo]]&gt;0), tabItens[[#This Row],[PontoPed]]=0), 99, IF(AND(tabItens[[#This Row],[Saldo]]=0,tabItens[[#This Row],[PontoPed]]&gt;0), 0, (1-tabItens[[#This Row],[PctAb]])*10 ) ),0)</f>
        <v>99</v>
      </c>
      <c r="BE345" s="322">
        <f>MAX(ROUNDDOWN( IF(tabItens[[#This Row],[Abaixo]] &gt; 0,   tabItens[[#This Row],[Abaixo]] + (tabItens[[#This Row],[PontoMês]] * IF( OR( ISBLANK(tabItens[[#This Row],[ATA Nº/ANO]]), tabItens[[#This Row],[ATA Nº/ANO]] = ""),BE$2,BE$1)),0),0),0)</f>
        <v>0</v>
      </c>
      <c r="BF34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23">
        <f>SUMIF(Consumo!$C$3:$C$869,tabItens[[#This Row],[CÓDIGO]],Consumo!$E$3:$E$869)</f>
        <v>0</v>
      </c>
      <c r="BH345" s="324">
        <f>IF(AND(tabItens[[#This Row],[Pend]] &gt; 0,tabItens[[#This Row],[Consumo]] &lt;&gt; 0), tabItens[[#This Row],[Pend]] / tabItens[[#This Row],[Consumo]], 0 )</f>
        <v>0</v>
      </c>
      <c r="BI345" s="323"/>
      <c r="BJ345" s="323"/>
      <c r="BK345" s="325" t="s">
        <v>2064</v>
      </c>
    </row>
    <row r="346" spans="1:63" hidden="1" x14ac:dyDescent="0.3">
      <c r="A346" s="286">
        <v>114299</v>
      </c>
      <c r="B346" s="287" t="s">
        <v>1692</v>
      </c>
      <c r="C346" s="288" t="s">
        <v>256</v>
      </c>
      <c r="D346" s="289">
        <v>16.850000000000001</v>
      </c>
      <c r="E346" s="290"/>
      <c r="F346" s="290"/>
      <c r="G346" s="290" t="s">
        <v>883</v>
      </c>
      <c r="H346" s="291">
        <v>174</v>
      </c>
      <c r="I346" s="292">
        <v>103003</v>
      </c>
      <c r="J346" s="293">
        <v>16.850000000000001</v>
      </c>
      <c r="K346" s="294"/>
      <c r="L346" s="295">
        <f>IF(tabItens[[#This Row],[Média]] &gt; 0, tabItens[[#This Row],[QTDE ATUAL]] / tabItens[[#This Row],[Média]],999.9)</f>
        <v>999.9</v>
      </c>
      <c r="M346" s="296">
        <v>0</v>
      </c>
      <c r="N346" s="297">
        <f>tabItens[[#This Row],[VALOR UNIT.]] * tabItens[[#This Row],[LC]]</f>
        <v>0</v>
      </c>
      <c r="O346" s="298" t="s">
        <v>2094</v>
      </c>
      <c r="P346" s="299"/>
      <c r="Q346" s="300"/>
      <c r="R346" s="297"/>
      <c r="S346" s="301"/>
      <c r="T346" s="302">
        <f>ROUNDDOWN(IFERROR(tabItens[[#This Row],[ATA DT.VALID.]] - $D$1,0) / 30,0)</f>
        <v>-1504</v>
      </c>
      <c r="U346" s="287" t="s">
        <v>1273</v>
      </c>
      <c r="V346" s="303">
        <v>1</v>
      </c>
      <c r="W346" s="304" t="s">
        <v>2049</v>
      </c>
      <c r="X346" s="305">
        <v>51</v>
      </c>
      <c r="Y346" s="306">
        <v>17</v>
      </c>
      <c r="Z346" s="307"/>
      <c r="AA346" s="308"/>
      <c r="AB346" s="309"/>
      <c r="AC346" s="309"/>
      <c r="AD346" s="308"/>
      <c r="AE346" s="309"/>
      <c r="AF346" s="302"/>
      <c r="AG346" s="310" t="s">
        <v>2050</v>
      </c>
      <c r="AH346" s="311"/>
      <c r="AI346" s="302">
        <v>0</v>
      </c>
      <c r="AJ346" s="311">
        <v>43070</v>
      </c>
      <c r="AK346" s="311">
        <v>40240</v>
      </c>
      <c r="AL346" s="311">
        <v>42996</v>
      </c>
      <c r="AM346" s="301"/>
      <c r="AN346" s="290"/>
      <c r="AO346" s="312" t="str">
        <f>_xlfn.IFNA(IF(VLOOKUP(tabItens[[#This Row],[CÓDIGO]],tabExcluirDoEstoque[#Data],1,FALSE),"sim",""),"")</f>
        <v/>
      </c>
      <c r="AP346" s="313" t="str">
        <f ca="1">IF(OR(ISBLANK(tabItens[[#This Row],[ATA DT.VALID.]]),tabItens[[#This Row],[ATA DT.VALID.]]="",tabItens[[#This Row],[ATA DT.VALID.]]=" "),"",IF(TYPE(tabItens[[#This Row],[ATA DT.VALID.]])=1,ROUNDUP((tabItens[[#This Row],[ATA DT.VALID.]]-TODAY())/7,0),""))</f>
        <v/>
      </c>
      <c r="AQ346" s="314">
        <v>0</v>
      </c>
      <c r="AR346" s="315">
        <f>IF(ISBLANK(tabItens[[#This Row],[CÓDIGO]]),"",IFERROR(VLOOKUP(tabItens[[#This Row],[CÓDIGO]],Consumo!$C$2:$AC$869,26,FALSE),0))</f>
        <v>0</v>
      </c>
      <c r="AS346" s="316">
        <f>SUMIF(Consumo!$C$3:$C$869,tabItens[[#This Row],[CÓDIGO]],Consumo!$N$3:$N$869) + SUMIF(Consumo!$C$3:$C$869,tabItens[[#This Row],[CÓDIGO]],Consumo!$O$3:$O$869) + SUMIF(Consumo!$C$3:$C$869,tabItens[[#This Row],[CÓDIGO]],Consumo!$P$3:$P$869) + SUMIF(Consumo!$C$3:$C$869,tabItens[[#This Row],[CÓDIGO]],Consumo!$Q$3:$Q$869)</f>
        <v>0</v>
      </c>
      <c r="AT346" s="316">
        <f>SUMIF(Consumo!$C$3:$C$869,tabItens[[#This Row],[CÓDIGO]],Consumo!$Z$3:$Z$869)</f>
        <v>0</v>
      </c>
      <c r="AU346" s="317">
        <f>SUMIF(Consumo!$C$3:$C$869,tabItens[[#This Row],[CÓDIGO]],Consumo!$AA$3:$AA$869)</f>
        <v>0</v>
      </c>
      <c r="AV346" s="318">
        <f>SUMIF(Consumo!$C$3:$C$869,tabItens[[#This Row],[CÓDIGO]],Consumo!$Y$3:$Y$869)</f>
        <v>0</v>
      </c>
      <c r="AW346" s="291">
        <f>tabItens[[#This Row],[QTDE ATUAL]] + tabItens[[#This Row],[RC QTDE]] + tabItens[[#This Row],[AF SALDO]] + tabItens[[#This Row],[Recentes]]</f>
        <v>174</v>
      </c>
      <c r="AX346" s="319">
        <v>15</v>
      </c>
      <c r="AY346" s="319">
        <v>4</v>
      </c>
      <c r="AZ346" s="319">
        <f>IF(ISBLANK(tabItens[[#This Row],[CÓDIGO]]),"",tabItens[[#This Row],[PontoMês]] * (AZ$2+tabItens[[#This Row],[PontoQtM]]))</f>
        <v>60</v>
      </c>
      <c r="BA346" s="318">
        <f>tabItens[[#This Row],[PontoPed]] - tabItens[[#This Row],[Saldo]] + (1/10)</f>
        <v>-113.9</v>
      </c>
      <c r="BB346" s="318">
        <f xml:space="preserve"> tabItens[[#This Row],[PontoMês]] * BB$2 - tabItens[[#This Row],[QTDE ATUAL]] - (1/10)</f>
        <v>-159.1</v>
      </c>
      <c r="BC346" s="320">
        <f>IF( tabItens[[#This Row],[PontoPed]]&gt;0, IF(tabItens[[#This Row],[PontoPed]]&lt;1, 1, IF( tabItens[[#This Row],[Saldo]]&gt;tabItens[[#This Row],[PontoPed]], 0, (tabItens[[#This Row],[PontoPed]]-tabItens[[#This Row],[Saldo]])/tabItens[[#This Row],[PontoPed]] ) ), 0 )</f>
        <v>0</v>
      </c>
      <c r="BD346" s="321">
        <f>ROUNDDOWN(IF( OR( AND(tabItens[[#This Row],[PontoPed]]&lt;tabItens[[#This Row],[Saldo]],tabItens[[#This Row],[Saldo]]&gt;0), tabItens[[#This Row],[PontoPed]]=0), 99, IF(AND(tabItens[[#This Row],[Saldo]]=0,tabItens[[#This Row],[PontoPed]]&gt;0), 0, (1-tabItens[[#This Row],[PctAb]])*10 ) ),0)</f>
        <v>99</v>
      </c>
      <c r="BE346" s="322">
        <f>MAX(ROUNDDOWN( IF(tabItens[[#This Row],[Abaixo]] &gt; 0,   tabItens[[#This Row],[Abaixo]] + (tabItens[[#This Row],[PontoMês]] * IF( OR( ISBLANK(tabItens[[#This Row],[ATA Nº/ANO]]), tabItens[[#This Row],[ATA Nº/ANO]] = ""),BE$2,BE$1)),0),0),0)</f>
        <v>0</v>
      </c>
      <c r="BF34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23">
        <f>SUMIF(Consumo!$C$3:$C$869,tabItens[[#This Row],[CÓDIGO]],Consumo!$E$3:$E$869)</f>
        <v>0</v>
      </c>
      <c r="BH346" s="324">
        <f>IF(AND(tabItens[[#This Row],[Pend]] &gt; 0,tabItens[[#This Row],[Consumo]] &lt;&gt; 0), tabItens[[#This Row],[Pend]] / tabItens[[#This Row],[Consumo]], 0 )</f>
        <v>0</v>
      </c>
      <c r="BI346" s="323"/>
      <c r="BJ346" s="323"/>
      <c r="BK346" s="325" t="s">
        <v>2064</v>
      </c>
    </row>
    <row r="347" spans="1:63" hidden="1" x14ac:dyDescent="0.3">
      <c r="A347" s="286">
        <v>98702</v>
      </c>
      <c r="B347" s="287" t="s">
        <v>1553</v>
      </c>
      <c r="C347" s="288" t="s">
        <v>629</v>
      </c>
      <c r="D347" s="289">
        <v>49.9</v>
      </c>
      <c r="E347" s="290"/>
      <c r="F347" s="290"/>
      <c r="G347" s="290" t="s">
        <v>883</v>
      </c>
      <c r="H347" s="291">
        <v>401.6</v>
      </c>
      <c r="I347" s="292">
        <v>103003</v>
      </c>
      <c r="J347" s="293">
        <v>49.9</v>
      </c>
      <c r="K347" s="294">
        <v>4683</v>
      </c>
      <c r="L347" s="295">
        <f>IF(tabItens[[#This Row],[Média]] &gt; 0, tabItens[[#This Row],[QTDE ATUAL]] / tabItens[[#This Row],[Média]],999.9)</f>
        <v>0.77729032258064523</v>
      </c>
      <c r="M347" s="296">
        <v>0</v>
      </c>
      <c r="N347" s="297">
        <f>tabItens[[#This Row],[VALOR UNIT.]] * tabItens[[#This Row],[LC]]</f>
        <v>0</v>
      </c>
      <c r="O347" s="298" t="s">
        <v>2094</v>
      </c>
      <c r="P347" s="299"/>
      <c r="Q347" s="300"/>
      <c r="R347" s="297"/>
      <c r="S347" s="301"/>
      <c r="T347" s="302">
        <f>ROUNDDOWN(IFERROR(tabItens[[#This Row],[ATA DT.VALID.]] - $D$1,0) / 30,0)</f>
        <v>-1504</v>
      </c>
      <c r="U347" s="287" t="s">
        <v>1554</v>
      </c>
      <c r="V347" s="303">
        <v>1</v>
      </c>
      <c r="W347" s="304" t="s">
        <v>2049</v>
      </c>
      <c r="X347" s="305">
        <v>51</v>
      </c>
      <c r="Y347" s="306">
        <v>24</v>
      </c>
      <c r="Z347" s="307">
        <v>2572</v>
      </c>
      <c r="AA347" s="308">
        <v>2023</v>
      </c>
      <c r="AB347" s="309">
        <v>8000</v>
      </c>
      <c r="AC347" s="309"/>
      <c r="AD347" s="308"/>
      <c r="AE347" s="309"/>
      <c r="AF347" s="302"/>
      <c r="AG347" s="310" t="s">
        <v>2050</v>
      </c>
      <c r="AH347" s="311"/>
      <c r="AI347" s="302">
        <v>2078</v>
      </c>
      <c r="AJ347" s="311">
        <v>44775</v>
      </c>
      <c r="AK347" s="311">
        <v>39183</v>
      </c>
      <c r="AL347" s="311">
        <v>44748</v>
      </c>
      <c r="AM347" s="301"/>
      <c r="AN347" s="290"/>
      <c r="AO347" s="312" t="str">
        <f>_xlfn.IFNA(IF(VLOOKUP(tabItens[[#This Row],[CÓDIGO]],tabExcluirDoEstoque[#Data],1,FALSE),"sim",""),"")</f>
        <v/>
      </c>
      <c r="AP347" s="313" t="str">
        <f ca="1">IF(OR(ISBLANK(tabItens[[#This Row],[ATA DT.VALID.]]),tabItens[[#This Row],[ATA DT.VALID.]]="",tabItens[[#This Row],[ATA DT.VALID.]]=" "),"",IF(TYPE(tabItens[[#This Row],[ATA DT.VALID.]])=1,ROUNDUP((tabItens[[#This Row],[ATA DT.VALID.]]-TODAY())/7,0),""))</f>
        <v/>
      </c>
      <c r="AQ347" s="314">
        <v>0</v>
      </c>
      <c r="AR347" s="315" t="str">
        <f>IF(ISBLANK(tabItens[[#This Row],[CÓDIGO]]),"",IFERROR(VLOOKUP(tabItens[[#This Row],[CÓDIGO]],Consumo!$C$2:$AC$869,26,FALSE),0))</f>
        <v>07.2023</v>
      </c>
      <c r="AS347" s="316">
        <f>SUMIF(Consumo!$C$3:$C$869,tabItens[[#This Row],[CÓDIGO]],Consumo!$N$3:$N$869) + SUMIF(Consumo!$C$3:$C$869,tabItens[[#This Row],[CÓDIGO]],Consumo!$O$3:$O$869) + SUMIF(Consumo!$C$3:$C$869,tabItens[[#This Row],[CÓDIGO]],Consumo!$P$3:$P$869) + SUMIF(Consumo!$C$3:$C$869,tabItens[[#This Row],[CÓDIGO]],Consumo!$Q$3:$Q$869)</f>
        <v>1581</v>
      </c>
      <c r="AT347" s="316">
        <f>SUMIF(Consumo!$C$3:$C$869,tabItens[[#This Row],[CÓDIGO]],Consumo!$Z$3:$Z$869)</f>
        <v>6200</v>
      </c>
      <c r="AU347" s="317">
        <f>SUMIF(Consumo!$C$3:$C$869,tabItens[[#This Row],[CÓDIGO]],Consumo!$AA$3:$AA$869)</f>
        <v>1008</v>
      </c>
      <c r="AV347" s="318">
        <f>SUMIF(Consumo!$C$3:$C$869,tabItens[[#This Row],[CÓDIGO]],Consumo!$Y$3:$Y$869)</f>
        <v>516.66666666666663</v>
      </c>
      <c r="AW347" s="291">
        <f>tabItens[[#This Row],[QTDE ATUAL]] + tabItens[[#This Row],[RC QTDE]] + tabItens[[#This Row],[AF SALDO]] + tabItens[[#This Row],[Recentes]]</f>
        <v>8401.6</v>
      </c>
      <c r="AX347" s="319">
        <v>350</v>
      </c>
      <c r="AY347" s="319">
        <v>3</v>
      </c>
      <c r="AZ347" s="319">
        <f>IF(ISBLANK(tabItens[[#This Row],[CÓDIGO]]),"",tabItens[[#This Row],[PontoMês]] * (AZ$2+tabItens[[#This Row],[PontoQtM]]))</f>
        <v>1050</v>
      </c>
      <c r="BA347" s="318">
        <f>tabItens[[#This Row],[PontoPed]] - tabItens[[#This Row],[Saldo]] + (1/10)</f>
        <v>-7351.5</v>
      </c>
      <c r="BB347" s="318">
        <f xml:space="preserve"> tabItens[[#This Row],[PontoMês]] * BB$2 - tabItens[[#This Row],[QTDE ATUAL]] - (1/10)</f>
        <v>-51.700000000000024</v>
      </c>
      <c r="BC347" s="320">
        <f>IF( tabItens[[#This Row],[PontoPed]]&gt;0, IF(tabItens[[#This Row],[PontoPed]]&lt;1, 1, IF( tabItens[[#This Row],[Saldo]]&gt;tabItens[[#This Row],[PontoPed]], 0, (tabItens[[#This Row],[PontoPed]]-tabItens[[#This Row],[Saldo]])/tabItens[[#This Row],[PontoPed]] ) ), 0 )</f>
        <v>0</v>
      </c>
      <c r="BD347" s="321">
        <f>ROUNDDOWN(IF( OR( AND(tabItens[[#This Row],[PontoPed]]&lt;tabItens[[#This Row],[Saldo]],tabItens[[#This Row],[Saldo]]&gt;0), tabItens[[#This Row],[PontoPed]]=0), 99, IF(AND(tabItens[[#This Row],[Saldo]]=0,tabItens[[#This Row],[PontoPed]]&gt;0), 0, (1-tabItens[[#This Row],[PctAb]])*10 ) ),0)</f>
        <v>99</v>
      </c>
      <c r="BE347" s="322">
        <f>MAX(ROUNDDOWN( IF(tabItens[[#This Row],[Abaixo]] &gt; 0,   tabItens[[#This Row],[Abaixo]] + (tabItens[[#This Row],[PontoMês]] * IF( OR( ISBLANK(tabItens[[#This Row],[ATA Nº/ANO]]), tabItens[[#This Row],[ATA Nº/ANO]] = ""),BE$2,BE$1)),0),0),0)</f>
        <v>0</v>
      </c>
      <c r="BF34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23">
        <f>SUMIF(Consumo!$C$3:$C$869,tabItens[[#This Row],[CÓDIGO]],Consumo!$E$3:$E$869)</f>
        <v>0</v>
      </c>
      <c r="BH347" s="324">
        <f>IF(AND(tabItens[[#This Row],[Pend]] &gt; 0,tabItens[[#This Row],[Consumo]] &lt;&gt; 0), tabItens[[#This Row],[Pend]] / tabItens[[#This Row],[Consumo]], 0 )</f>
        <v>0</v>
      </c>
      <c r="BI347" s="323"/>
      <c r="BJ347" s="323"/>
      <c r="BK347" s="325" t="s">
        <v>2064</v>
      </c>
    </row>
    <row r="348" spans="1:63" hidden="1" x14ac:dyDescent="0.3">
      <c r="A348" s="286">
        <v>132624</v>
      </c>
      <c r="B348" s="287" t="s">
        <v>1827</v>
      </c>
      <c r="C348" s="288" t="s">
        <v>31</v>
      </c>
      <c r="D348" s="289">
        <v>153.97999999999999</v>
      </c>
      <c r="E348" s="290"/>
      <c r="F348" s="290"/>
      <c r="G348" s="290" t="s">
        <v>883</v>
      </c>
      <c r="H348" s="291">
        <v>92</v>
      </c>
      <c r="I348" s="292">
        <v>103003</v>
      </c>
      <c r="J348" s="293">
        <v>153.97999999999999</v>
      </c>
      <c r="K348" s="294">
        <v>12</v>
      </c>
      <c r="L348" s="295">
        <f>IF(tabItens[[#This Row],[Média]] &gt; 0, tabItens[[#This Row],[QTDE ATUAL]] / tabItens[[#This Row],[Média]],999.9)</f>
        <v>100.36363636363637</v>
      </c>
      <c r="M348" s="296">
        <v>0</v>
      </c>
      <c r="N348" s="297">
        <f>tabItens[[#This Row],[VALOR UNIT.]] * tabItens[[#This Row],[LC]]</f>
        <v>0</v>
      </c>
      <c r="O348" s="298" t="s">
        <v>2094</v>
      </c>
      <c r="P348" s="299"/>
      <c r="Q348" s="300"/>
      <c r="R348" s="297"/>
      <c r="S348" s="301"/>
      <c r="T348" s="302">
        <f>ROUNDDOWN(IFERROR(tabItens[[#This Row],[ATA DT.VALID.]] - $D$1,0) / 30,0)</f>
        <v>-1504</v>
      </c>
      <c r="U348" s="287" t="s">
        <v>1436</v>
      </c>
      <c r="V348" s="303">
        <v>1</v>
      </c>
      <c r="W348" s="304" t="s">
        <v>2049</v>
      </c>
      <c r="X348" s="305">
        <v>51</v>
      </c>
      <c r="Y348" s="306">
        <v>36</v>
      </c>
      <c r="Z348" s="307"/>
      <c r="AA348" s="308"/>
      <c r="AB348" s="309"/>
      <c r="AC348" s="309"/>
      <c r="AD348" s="308"/>
      <c r="AE348" s="309"/>
      <c r="AF348" s="302"/>
      <c r="AG348" s="310" t="s">
        <v>2050</v>
      </c>
      <c r="AH348" s="311"/>
      <c r="AI348" s="302">
        <v>4</v>
      </c>
      <c r="AJ348" s="311">
        <v>44547</v>
      </c>
      <c r="AK348" s="311">
        <v>42850</v>
      </c>
      <c r="AL348" s="311">
        <v>44508</v>
      </c>
      <c r="AM348" s="301"/>
      <c r="AN348" s="290"/>
      <c r="AO348" s="312" t="str">
        <f>_xlfn.IFNA(IF(VLOOKUP(tabItens[[#This Row],[CÓDIGO]],tabExcluirDoEstoque[#Data],1,FALSE),"sim",""),"")</f>
        <v/>
      </c>
      <c r="AP348" s="313" t="str">
        <f ca="1">IF(OR(ISBLANK(tabItens[[#This Row],[ATA DT.VALID.]]),tabItens[[#This Row],[ATA DT.VALID.]]="",tabItens[[#This Row],[ATA DT.VALID.]]=" "),"",IF(TYPE(tabItens[[#This Row],[ATA DT.VALID.]])=1,ROUNDUP((tabItens[[#This Row],[ATA DT.VALID.]]-TODAY())/7,0),""))</f>
        <v/>
      </c>
      <c r="AQ348" s="314">
        <v>0</v>
      </c>
      <c r="AR348" s="315" t="str">
        <f>IF(ISBLANK(tabItens[[#This Row],[CÓDIGO]]),"",IFERROR(VLOOKUP(tabItens[[#This Row],[CÓDIGO]],Consumo!$C$2:$AC$869,26,FALSE),0))</f>
        <v>06.2023</v>
      </c>
      <c r="AS348" s="316">
        <f>SUMIF(Consumo!$C$3:$C$869,tabItens[[#This Row],[CÓDIGO]],Consumo!$N$3:$N$869) + SUMIF(Consumo!$C$3:$C$869,tabItens[[#This Row],[CÓDIGO]],Consumo!$O$3:$O$869) + SUMIF(Consumo!$C$3:$C$869,tabItens[[#This Row],[CÓDIGO]],Consumo!$P$3:$P$869) + SUMIF(Consumo!$C$3:$C$869,tabItens[[#This Row],[CÓDIGO]],Consumo!$Q$3:$Q$869)</f>
        <v>2</v>
      </c>
      <c r="AT348" s="316">
        <f>SUMIF(Consumo!$C$3:$C$869,tabItens[[#This Row],[CÓDIGO]],Consumo!$Z$3:$Z$869)</f>
        <v>12</v>
      </c>
      <c r="AU348" s="317">
        <f>SUMIF(Consumo!$C$3:$C$869,tabItens[[#This Row],[CÓDIGO]],Consumo!$AA$3:$AA$869)</f>
        <v>4</v>
      </c>
      <c r="AV348" s="318">
        <f>SUMIF(Consumo!$C$3:$C$869,tabItens[[#This Row],[CÓDIGO]],Consumo!$Y$3:$Y$869)</f>
        <v>0.91666666666666663</v>
      </c>
      <c r="AW348" s="291">
        <f>tabItens[[#This Row],[QTDE ATUAL]] + tabItens[[#This Row],[RC QTDE]] + tabItens[[#This Row],[AF SALDO]] + tabItens[[#This Row],[Recentes]]</f>
        <v>92</v>
      </c>
      <c r="AX348" s="319">
        <v>5</v>
      </c>
      <c r="AY348" s="319">
        <v>4</v>
      </c>
      <c r="AZ348" s="319">
        <f>IF(ISBLANK(tabItens[[#This Row],[CÓDIGO]]),"",tabItens[[#This Row],[PontoMês]] * (AZ$2+tabItens[[#This Row],[PontoQtM]]))</f>
        <v>20</v>
      </c>
      <c r="BA348" s="318">
        <f>tabItens[[#This Row],[PontoPed]] - tabItens[[#This Row],[Saldo]] + (1/10)</f>
        <v>-71.900000000000006</v>
      </c>
      <c r="BB348" s="318">
        <f xml:space="preserve"> tabItens[[#This Row],[PontoMês]] * BB$2 - tabItens[[#This Row],[QTDE ATUAL]] - (1/10)</f>
        <v>-87.1</v>
      </c>
      <c r="BC348" s="320">
        <f>IF( tabItens[[#This Row],[PontoPed]]&gt;0, IF(tabItens[[#This Row],[PontoPed]]&lt;1, 1, IF( tabItens[[#This Row],[Saldo]]&gt;tabItens[[#This Row],[PontoPed]], 0, (tabItens[[#This Row],[PontoPed]]-tabItens[[#This Row],[Saldo]])/tabItens[[#This Row],[PontoPed]] ) ), 0 )</f>
        <v>0</v>
      </c>
      <c r="BD348" s="321">
        <f>ROUNDDOWN(IF( OR( AND(tabItens[[#This Row],[PontoPed]]&lt;tabItens[[#This Row],[Saldo]],tabItens[[#This Row],[Saldo]]&gt;0), tabItens[[#This Row],[PontoPed]]=0), 99, IF(AND(tabItens[[#This Row],[Saldo]]=0,tabItens[[#This Row],[PontoPed]]&gt;0), 0, (1-tabItens[[#This Row],[PctAb]])*10 ) ),0)</f>
        <v>99</v>
      </c>
      <c r="BE348" s="322">
        <f>MAX(ROUNDDOWN( IF(tabItens[[#This Row],[Abaixo]] &gt; 0,   tabItens[[#This Row],[Abaixo]] + (tabItens[[#This Row],[PontoMês]] * IF( OR( ISBLANK(tabItens[[#This Row],[ATA Nº/ANO]]), tabItens[[#This Row],[ATA Nº/ANO]] = ""),BE$2,BE$1)),0),0),0)</f>
        <v>0</v>
      </c>
      <c r="BF34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23">
        <f>SUMIF(Consumo!$C$3:$C$869,tabItens[[#This Row],[CÓDIGO]],Consumo!$E$3:$E$869)</f>
        <v>0</v>
      </c>
      <c r="BH348" s="324">
        <f>IF(AND(tabItens[[#This Row],[Pend]] &gt; 0,tabItens[[#This Row],[Consumo]] &lt;&gt; 0), tabItens[[#This Row],[Pend]] / tabItens[[#This Row],[Consumo]], 0 )</f>
        <v>0</v>
      </c>
      <c r="BI348" s="323"/>
      <c r="BJ348" s="323"/>
      <c r="BK348" s="325" t="s">
        <v>2064</v>
      </c>
    </row>
    <row r="349" spans="1:63" hidden="1" x14ac:dyDescent="0.3">
      <c r="A349" s="286">
        <v>98703</v>
      </c>
      <c r="B349" s="287" t="s">
        <v>1555</v>
      </c>
      <c r="C349" s="288" t="s">
        <v>294</v>
      </c>
      <c r="D349" s="289">
        <v>45.37</v>
      </c>
      <c r="E349" s="290"/>
      <c r="F349" s="290"/>
      <c r="G349" s="290" t="s">
        <v>883</v>
      </c>
      <c r="H349" s="291">
        <v>534</v>
      </c>
      <c r="I349" s="292">
        <v>103003</v>
      </c>
      <c r="J349" s="293">
        <v>45.37</v>
      </c>
      <c r="K349" s="294">
        <v>686</v>
      </c>
      <c r="L349" s="295">
        <f>IF(tabItens[[#This Row],[Média]] &gt; 0, tabItens[[#This Row],[QTDE ATUAL]] / tabItens[[#This Row],[Média]],999.9)</f>
        <v>7.9800747198007462</v>
      </c>
      <c r="M349" s="296">
        <v>0</v>
      </c>
      <c r="N349" s="297">
        <f>tabItens[[#This Row],[VALOR UNIT.]] * tabItens[[#This Row],[LC]]</f>
        <v>0</v>
      </c>
      <c r="O349" s="298" t="s">
        <v>2094</v>
      </c>
      <c r="P349" s="299"/>
      <c r="Q349" s="300"/>
      <c r="R349" s="297"/>
      <c r="S349" s="301"/>
      <c r="T349" s="302">
        <f>ROUNDDOWN(IFERROR(tabItens[[#This Row],[ATA DT.VALID.]] - $D$1,0) / 30,0)</f>
        <v>-1504</v>
      </c>
      <c r="U349" s="287" t="s">
        <v>1258</v>
      </c>
      <c r="V349" s="303">
        <v>1</v>
      </c>
      <c r="W349" s="304" t="s">
        <v>2056</v>
      </c>
      <c r="X349" s="305">
        <v>69</v>
      </c>
      <c r="Y349" s="306">
        <v>3</v>
      </c>
      <c r="Z349" s="307">
        <v>7337</v>
      </c>
      <c r="AA349" s="308">
        <v>2023</v>
      </c>
      <c r="AB349" s="309">
        <v>500</v>
      </c>
      <c r="AC349" s="309"/>
      <c r="AD349" s="308"/>
      <c r="AE349" s="309"/>
      <c r="AF349" s="302"/>
      <c r="AG349" s="310" t="s">
        <v>2050</v>
      </c>
      <c r="AH349" s="311"/>
      <c r="AI349" s="302">
        <v>286</v>
      </c>
      <c r="AJ349" s="311">
        <v>44148</v>
      </c>
      <c r="AK349" s="311">
        <v>39183</v>
      </c>
      <c r="AL349" s="311">
        <v>44685</v>
      </c>
      <c r="AM349" s="301"/>
      <c r="AN349" s="290"/>
      <c r="AO349" s="312" t="str">
        <f>_xlfn.IFNA(IF(VLOOKUP(tabItens[[#This Row],[CÓDIGO]],tabExcluirDoEstoque[#Data],1,FALSE),"sim",""),"")</f>
        <v/>
      </c>
      <c r="AP349" s="313" t="str">
        <f ca="1">IF(OR(ISBLANK(tabItens[[#This Row],[ATA DT.VALID.]]),tabItens[[#This Row],[ATA DT.VALID.]]="",tabItens[[#This Row],[ATA DT.VALID.]]=" "),"",IF(TYPE(tabItens[[#This Row],[ATA DT.VALID.]])=1,ROUNDUP((tabItens[[#This Row],[ATA DT.VALID.]]-TODAY())/7,0),""))</f>
        <v/>
      </c>
      <c r="AQ349" s="314">
        <v>0</v>
      </c>
      <c r="AR349" s="315" t="str">
        <f>IF(ISBLANK(tabItens[[#This Row],[CÓDIGO]]),"",IFERROR(VLOOKUP(tabItens[[#This Row],[CÓDIGO]],Consumo!$C$2:$AC$869,26,FALSE),0))</f>
        <v>07.2023</v>
      </c>
      <c r="AS349" s="316">
        <f>SUMIF(Consumo!$C$3:$C$869,tabItens[[#This Row],[CÓDIGO]],Consumo!$N$3:$N$869) + SUMIF(Consumo!$C$3:$C$869,tabItens[[#This Row],[CÓDIGO]],Consumo!$O$3:$O$869) + SUMIF(Consumo!$C$3:$C$869,tabItens[[#This Row],[CÓDIGO]],Consumo!$P$3:$P$869) + SUMIF(Consumo!$C$3:$C$869,tabItens[[#This Row],[CÓDIGO]],Consumo!$Q$3:$Q$869)</f>
        <v>413</v>
      </c>
      <c r="AT349" s="316">
        <f>SUMIF(Consumo!$C$3:$C$869,tabItens[[#This Row],[CÓDIGO]],Consumo!$Z$3:$Z$869)</f>
        <v>859</v>
      </c>
      <c r="AU349" s="317">
        <f>SUMIF(Consumo!$C$3:$C$869,tabItens[[#This Row],[CÓDIGO]],Consumo!$AA$3:$AA$869)</f>
        <v>267</v>
      </c>
      <c r="AV349" s="318">
        <f>SUMIF(Consumo!$C$3:$C$869,tabItens[[#This Row],[CÓDIGO]],Consumo!$Y$3:$Y$869)</f>
        <v>66.916666666666671</v>
      </c>
      <c r="AW349" s="291">
        <f>tabItens[[#This Row],[QTDE ATUAL]] + tabItens[[#This Row],[RC QTDE]] + tabItens[[#This Row],[AF SALDO]] + tabItens[[#This Row],[Recentes]]</f>
        <v>1034</v>
      </c>
      <c r="AX349" s="319">
        <v>51</v>
      </c>
      <c r="AY349" s="319">
        <v>4</v>
      </c>
      <c r="AZ349" s="319">
        <f>IF(ISBLANK(tabItens[[#This Row],[CÓDIGO]]),"",tabItens[[#This Row],[PontoMês]] * (AZ$2+tabItens[[#This Row],[PontoQtM]]))</f>
        <v>204</v>
      </c>
      <c r="BA349" s="318">
        <f>tabItens[[#This Row],[PontoPed]] - tabItens[[#This Row],[Saldo]] + (1/10)</f>
        <v>-829.9</v>
      </c>
      <c r="BB349" s="318">
        <f xml:space="preserve"> tabItens[[#This Row],[PontoMês]] * BB$2 - tabItens[[#This Row],[QTDE ATUAL]] - (1/10)</f>
        <v>-483.1</v>
      </c>
      <c r="BC349" s="320">
        <f>IF( tabItens[[#This Row],[PontoPed]]&gt;0, IF(tabItens[[#This Row],[PontoPed]]&lt;1, 1, IF( tabItens[[#This Row],[Saldo]]&gt;tabItens[[#This Row],[PontoPed]], 0, (tabItens[[#This Row],[PontoPed]]-tabItens[[#This Row],[Saldo]])/tabItens[[#This Row],[PontoPed]] ) ), 0 )</f>
        <v>0</v>
      </c>
      <c r="BD349" s="321">
        <f>ROUNDDOWN(IF( OR( AND(tabItens[[#This Row],[PontoPed]]&lt;tabItens[[#This Row],[Saldo]],tabItens[[#This Row],[Saldo]]&gt;0), tabItens[[#This Row],[PontoPed]]=0), 99, IF(AND(tabItens[[#This Row],[Saldo]]=0,tabItens[[#This Row],[PontoPed]]&gt;0), 0, (1-tabItens[[#This Row],[PctAb]])*10 ) ),0)</f>
        <v>99</v>
      </c>
      <c r="BE349" s="322">
        <f>MAX(ROUNDDOWN( IF(tabItens[[#This Row],[Abaixo]] &gt; 0,   tabItens[[#This Row],[Abaixo]] + (tabItens[[#This Row],[PontoMês]] * IF( OR( ISBLANK(tabItens[[#This Row],[ATA Nº/ANO]]), tabItens[[#This Row],[ATA Nº/ANO]] = ""),BE$2,BE$1)),0),0),0)</f>
        <v>0</v>
      </c>
      <c r="BF34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23">
        <f>SUMIF(Consumo!$C$3:$C$869,tabItens[[#This Row],[CÓDIGO]],Consumo!$E$3:$E$869)</f>
        <v>0</v>
      </c>
      <c r="BH349" s="324">
        <f>IF(AND(tabItens[[#This Row],[Pend]] &gt; 0,tabItens[[#This Row],[Consumo]] &lt;&gt; 0), tabItens[[#This Row],[Pend]] / tabItens[[#This Row],[Consumo]], 0 )</f>
        <v>0</v>
      </c>
      <c r="BI349" s="323"/>
      <c r="BJ349" s="323"/>
      <c r="BK349" s="325" t="s">
        <v>2064</v>
      </c>
    </row>
    <row r="350" spans="1:63" hidden="1" x14ac:dyDescent="0.3">
      <c r="A350" s="286">
        <v>98704</v>
      </c>
      <c r="B350" s="287" t="s">
        <v>1556</v>
      </c>
      <c r="C350" s="288" t="s">
        <v>294</v>
      </c>
      <c r="D350" s="289">
        <v>35</v>
      </c>
      <c r="E350" s="290"/>
      <c r="F350" s="290"/>
      <c r="G350" s="290" t="s">
        <v>883</v>
      </c>
      <c r="H350" s="291">
        <v>156</v>
      </c>
      <c r="I350" s="292">
        <v>103003</v>
      </c>
      <c r="J350" s="293">
        <v>35</v>
      </c>
      <c r="K350" s="294">
        <v>204</v>
      </c>
      <c r="L350" s="295">
        <f>IF(tabItens[[#This Row],[Média]] &gt; 0, tabItens[[#This Row],[QTDE ATUAL]] / tabItens[[#This Row],[Média]],999.9)</f>
        <v>8.4324324324324316</v>
      </c>
      <c r="M350" s="296">
        <v>0</v>
      </c>
      <c r="N350" s="297">
        <f>tabItens[[#This Row],[VALOR UNIT.]] * tabItens[[#This Row],[LC]]</f>
        <v>0</v>
      </c>
      <c r="O350" s="298" t="s">
        <v>2094</v>
      </c>
      <c r="P350" s="299"/>
      <c r="Q350" s="300"/>
      <c r="R350" s="297"/>
      <c r="S350" s="301"/>
      <c r="T350" s="302">
        <f>ROUNDDOWN(IFERROR(tabItens[[#This Row],[ATA DT.VALID.]] - $D$1,0) / 30,0)</f>
        <v>-1504</v>
      </c>
      <c r="U350" s="287" t="s">
        <v>1258</v>
      </c>
      <c r="V350" s="303">
        <v>1</v>
      </c>
      <c r="W350" s="304" t="s">
        <v>2056</v>
      </c>
      <c r="X350" s="305">
        <v>69</v>
      </c>
      <c r="Y350" s="306">
        <v>3</v>
      </c>
      <c r="Z350" s="307">
        <v>2575</v>
      </c>
      <c r="AA350" s="308">
        <v>2023</v>
      </c>
      <c r="AB350" s="309">
        <v>50</v>
      </c>
      <c r="AC350" s="309"/>
      <c r="AD350" s="308"/>
      <c r="AE350" s="309"/>
      <c r="AF350" s="302"/>
      <c r="AG350" s="310" t="s">
        <v>2050</v>
      </c>
      <c r="AH350" s="311"/>
      <c r="AI350" s="302">
        <v>76</v>
      </c>
      <c r="AJ350" s="311">
        <v>44460</v>
      </c>
      <c r="AK350" s="311">
        <v>39183</v>
      </c>
      <c r="AL350" s="311">
        <v>44432</v>
      </c>
      <c r="AM350" s="301"/>
      <c r="AN350" s="290"/>
      <c r="AO350" s="312" t="str">
        <f>_xlfn.IFNA(IF(VLOOKUP(tabItens[[#This Row],[CÓDIGO]],tabExcluirDoEstoque[#Data],1,FALSE),"sim",""),"")</f>
        <v/>
      </c>
      <c r="AP350" s="313" t="str">
        <f ca="1">IF(OR(ISBLANK(tabItens[[#This Row],[ATA DT.VALID.]]),tabItens[[#This Row],[ATA DT.VALID.]]="",tabItens[[#This Row],[ATA DT.VALID.]]=" "),"",IF(TYPE(tabItens[[#This Row],[ATA DT.VALID.]])=1,ROUNDUP((tabItens[[#This Row],[ATA DT.VALID.]]-TODAY())/7,0),""))</f>
        <v/>
      </c>
      <c r="AQ350" s="314">
        <v>0</v>
      </c>
      <c r="AR350" s="315" t="str">
        <f>IF(ISBLANK(tabItens[[#This Row],[CÓDIGO]]),"",IFERROR(VLOOKUP(tabItens[[#This Row],[CÓDIGO]],Consumo!$C$2:$AC$869,26,FALSE),0))</f>
        <v>07.2023</v>
      </c>
      <c r="AS350" s="316">
        <f>SUMIF(Consumo!$C$3:$C$869,tabItens[[#This Row],[CÓDIGO]],Consumo!$N$3:$N$869) + SUMIF(Consumo!$C$3:$C$869,tabItens[[#This Row],[CÓDIGO]],Consumo!$O$3:$O$869) + SUMIF(Consumo!$C$3:$C$869,tabItens[[#This Row],[CÓDIGO]],Consumo!$P$3:$P$869) + SUMIF(Consumo!$C$3:$C$869,tabItens[[#This Row],[CÓDIGO]],Consumo!$Q$3:$Q$869)</f>
        <v>106</v>
      </c>
      <c r="AT350" s="316">
        <f>SUMIF(Consumo!$C$3:$C$869,tabItens[[#This Row],[CÓDIGO]],Consumo!$Z$3:$Z$869)</f>
        <v>225</v>
      </c>
      <c r="AU350" s="317">
        <f>SUMIF(Consumo!$C$3:$C$869,tabItens[[#This Row],[CÓDIGO]],Consumo!$AA$3:$AA$869)</f>
        <v>63</v>
      </c>
      <c r="AV350" s="318">
        <f>SUMIF(Consumo!$C$3:$C$869,tabItens[[#This Row],[CÓDIGO]],Consumo!$Y$3:$Y$869)</f>
        <v>18.5</v>
      </c>
      <c r="AW350" s="291">
        <f>tabItens[[#This Row],[QTDE ATUAL]] + tabItens[[#This Row],[RC QTDE]] + tabItens[[#This Row],[AF SALDO]] + tabItens[[#This Row],[Recentes]]</f>
        <v>206</v>
      </c>
      <c r="AX350" s="319">
        <v>34</v>
      </c>
      <c r="AY350" s="319">
        <v>4</v>
      </c>
      <c r="AZ350" s="319">
        <f>IF(ISBLANK(tabItens[[#This Row],[CÓDIGO]]),"",tabItens[[#This Row],[PontoMês]] * (AZ$2+tabItens[[#This Row],[PontoQtM]]))</f>
        <v>136</v>
      </c>
      <c r="BA350" s="318">
        <f>tabItens[[#This Row],[PontoPed]] - tabItens[[#This Row],[Saldo]] + (1/10)</f>
        <v>-69.900000000000006</v>
      </c>
      <c r="BB350" s="318">
        <f xml:space="preserve"> tabItens[[#This Row],[PontoMês]] * BB$2 - tabItens[[#This Row],[QTDE ATUAL]] - (1/10)</f>
        <v>-122.1</v>
      </c>
      <c r="BC350" s="320">
        <f>IF( tabItens[[#This Row],[PontoPed]]&gt;0, IF(tabItens[[#This Row],[PontoPed]]&lt;1, 1, IF( tabItens[[#This Row],[Saldo]]&gt;tabItens[[#This Row],[PontoPed]], 0, (tabItens[[#This Row],[PontoPed]]-tabItens[[#This Row],[Saldo]])/tabItens[[#This Row],[PontoPed]] ) ), 0 )</f>
        <v>0</v>
      </c>
      <c r="BD350" s="321">
        <f>ROUNDDOWN(IF( OR( AND(tabItens[[#This Row],[PontoPed]]&lt;tabItens[[#This Row],[Saldo]],tabItens[[#This Row],[Saldo]]&gt;0), tabItens[[#This Row],[PontoPed]]=0), 99, IF(AND(tabItens[[#This Row],[Saldo]]=0,tabItens[[#This Row],[PontoPed]]&gt;0), 0, (1-tabItens[[#This Row],[PctAb]])*10 ) ),0)</f>
        <v>99</v>
      </c>
      <c r="BE350" s="322">
        <f>MAX(ROUNDDOWN( IF(tabItens[[#This Row],[Abaixo]] &gt; 0,   tabItens[[#This Row],[Abaixo]] + (tabItens[[#This Row],[PontoMês]] * IF( OR( ISBLANK(tabItens[[#This Row],[ATA Nº/ANO]]), tabItens[[#This Row],[ATA Nº/ANO]] = ""),BE$2,BE$1)),0),0),0)</f>
        <v>0</v>
      </c>
      <c r="BF35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23">
        <f>SUMIF(Consumo!$C$3:$C$869,tabItens[[#This Row],[CÓDIGO]],Consumo!$E$3:$E$869)</f>
        <v>0</v>
      </c>
      <c r="BH350" s="324">
        <f>IF(AND(tabItens[[#This Row],[Pend]] &gt; 0,tabItens[[#This Row],[Consumo]] &lt;&gt; 0), tabItens[[#This Row],[Pend]] / tabItens[[#This Row],[Consumo]], 0 )</f>
        <v>0</v>
      </c>
      <c r="BI350" s="323"/>
      <c r="BJ350" s="323"/>
      <c r="BK350" s="325" t="s">
        <v>2064</v>
      </c>
    </row>
    <row r="351" spans="1:63" hidden="1" x14ac:dyDescent="0.3">
      <c r="A351" s="286">
        <v>102278</v>
      </c>
      <c r="B351" s="287" t="s">
        <v>1573</v>
      </c>
      <c r="C351" s="288" t="s">
        <v>256</v>
      </c>
      <c r="D351" s="289">
        <v>205.18</v>
      </c>
      <c r="E351" s="290"/>
      <c r="F351" s="290"/>
      <c r="G351" s="290" t="s">
        <v>883</v>
      </c>
      <c r="H351" s="291">
        <v>144</v>
      </c>
      <c r="I351" s="292">
        <v>103003</v>
      </c>
      <c r="J351" s="293">
        <v>205.18</v>
      </c>
      <c r="K351" s="294">
        <v>8</v>
      </c>
      <c r="L351" s="295">
        <f>IF(tabItens[[#This Row],[Média]] &gt; 0, tabItens[[#This Row],[QTDE ATUAL]] / tabItens[[#This Row],[Média]],999.9)</f>
        <v>288</v>
      </c>
      <c r="M351" s="296">
        <v>0</v>
      </c>
      <c r="N351" s="297">
        <f>tabItens[[#This Row],[VALOR UNIT.]] * tabItens[[#This Row],[LC]]</f>
        <v>0</v>
      </c>
      <c r="O351" s="298" t="s">
        <v>2094</v>
      </c>
      <c r="P351" s="299"/>
      <c r="Q351" s="300"/>
      <c r="R351" s="297"/>
      <c r="S351" s="301"/>
      <c r="T351" s="302">
        <f>ROUNDDOWN(IFERROR(tabItens[[#This Row],[ATA DT.VALID.]] - $D$1,0) / 30,0)</f>
        <v>-1504</v>
      </c>
      <c r="U351" s="287" t="s">
        <v>1037</v>
      </c>
      <c r="V351" s="303">
        <v>1</v>
      </c>
      <c r="W351" s="304" t="s">
        <v>2056</v>
      </c>
      <c r="X351" s="305">
        <v>69</v>
      </c>
      <c r="Y351" s="306">
        <v>10</v>
      </c>
      <c r="Z351" s="307"/>
      <c r="AA351" s="308"/>
      <c r="AB351" s="309"/>
      <c r="AC351" s="309"/>
      <c r="AD351" s="308"/>
      <c r="AE351" s="309"/>
      <c r="AF351" s="302"/>
      <c r="AG351" s="310" t="s">
        <v>2050</v>
      </c>
      <c r="AH351" s="311"/>
      <c r="AI351" s="302">
        <v>2</v>
      </c>
      <c r="AJ351" s="311">
        <v>43545</v>
      </c>
      <c r="AK351" s="311">
        <v>39352</v>
      </c>
      <c r="AL351" s="311">
        <v>44784</v>
      </c>
      <c r="AM351" s="301"/>
      <c r="AN351" s="290"/>
      <c r="AO351" s="312" t="str">
        <f>_xlfn.IFNA(IF(VLOOKUP(tabItens[[#This Row],[CÓDIGO]],tabExcluirDoEstoque[#Data],1,FALSE),"sim",""),"")</f>
        <v/>
      </c>
      <c r="AP351" s="313" t="str">
        <f ca="1">IF(OR(ISBLANK(tabItens[[#This Row],[ATA DT.VALID.]]),tabItens[[#This Row],[ATA DT.VALID.]]="",tabItens[[#This Row],[ATA DT.VALID.]]=" "),"",IF(TYPE(tabItens[[#This Row],[ATA DT.VALID.]])=1,ROUNDUP((tabItens[[#This Row],[ATA DT.VALID.]]-TODAY())/7,0),""))</f>
        <v/>
      </c>
      <c r="AQ351" s="314">
        <v>0</v>
      </c>
      <c r="AR351" s="315" t="str">
        <f>IF(ISBLANK(tabItens[[#This Row],[CÓDIGO]]),"",IFERROR(VLOOKUP(tabItens[[#This Row],[CÓDIGO]],Consumo!$C$2:$AC$869,26,FALSE),0))</f>
        <v>09.2022</v>
      </c>
      <c r="AS351" s="316">
        <f>SUMIF(Consumo!$C$3:$C$869,tabItens[[#This Row],[CÓDIGO]],Consumo!$N$3:$N$869) + SUMIF(Consumo!$C$3:$C$869,tabItens[[#This Row],[CÓDIGO]],Consumo!$O$3:$O$869) + SUMIF(Consumo!$C$3:$C$869,tabItens[[#This Row],[CÓDIGO]],Consumo!$P$3:$P$869) + SUMIF(Consumo!$C$3:$C$869,tabItens[[#This Row],[CÓDIGO]],Consumo!$Q$3:$Q$869)</f>
        <v>0</v>
      </c>
      <c r="AT351" s="316">
        <f>SUMIF(Consumo!$C$3:$C$869,tabItens[[#This Row],[CÓDIGO]],Consumo!$Z$3:$Z$869)</f>
        <v>8</v>
      </c>
      <c r="AU351" s="317">
        <f>SUMIF(Consumo!$C$3:$C$869,tabItens[[#This Row],[CÓDIGO]],Consumo!$AA$3:$AA$869)</f>
        <v>5</v>
      </c>
      <c r="AV351" s="318">
        <f>SUMIF(Consumo!$C$3:$C$869,tabItens[[#This Row],[CÓDIGO]],Consumo!$Y$3:$Y$869)</f>
        <v>0.5</v>
      </c>
      <c r="AW351" s="291">
        <f>tabItens[[#This Row],[QTDE ATUAL]] + tabItens[[#This Row],[RC QTDE]] + tabItens[[#This Row],[AF SALDO]] + tabItens[[#This Row],[Recentes]]</f>
        <v>144</v>
      </c>
      <c r="AX351" s="319">
        <v>3</v>
      </c>
      <c r="AY351" s="319">
        <v>4</v>
      </c>
      <c r="AZ351" s="319">
        <f>IF(ISBLANK(tabItens[[#This Row],[CÓDIGO]]),"",tabItens[[#This Row],[PontoMês]] * (AZ$2+tabItens[[#This Row],[PontoQtM]]))</f>
        <v>12</v>
      </c>
      <c r="BA351" s="318">
        <f>tabItens[[#This Row],[PontoPed]] - tabItens[[#This Row],[Saldo]] + (1/10)</f>
        <v>-131.9</v>
      </c>
      <c r="BB351" s="318">
        <f xml:space="preserve"> tabItens[[#This Row],[PontoMês]] * BB$2 - tabItens[[#This Row],[QTDE ATUAL]] - (1/10)</f>
        <v>-141.1</v>
      </c>
      <c r="BC351" s="320">
        <f>IF( tabItens[[#This Row],[PontoPed]]&gt;0, IF(tabItens[[#This Row],[PontoPed]]&lt;1, 1, IF( tabItens[[#This Row],[Saldo]]&gt;tabItens[[#This Row],[PontoPed]], 0, (tabItens[[#This Row],[PontoPed]]-tabItens[[#This Row],[Saldo]])/tabItens[[#This Row],[PontoPed]] ) ), 0 )</f>
        <v>0</v>
      </c>
      <c r="BD351" s="321">
        <f>ROUNDDOWN(IF( OR( AND(tabItens[[#This Row],[PontoPed]]&lt;tabItens[[#This Row],[Saldo]],tabItens[[#This Row],[Saldo]]&gt;0), tabItens[[#This Row],[PontoPed]]=0), 99, IF(AND(tabItens[[#This Row],[Saldo]]=0,tabItens[[#This Row],[PontoPed]]&gt;0), 0, (1-tabItens[[#This Row],[PctAb]])*10 ) ),0)</f>
        <v>99</v>
      </c>
      <c r="BE351" s="322">
        <f>MAX(ROUNDDOWN( IF(tabItens[[#This Row],[Abaixo]] &gt; 0,   tabItens[[#This Row],[Abaixo]] + (tabItens[[#This Row],[PontoMês]] * IF( OR( ISBLANK(tabItens[[#This Row],[ATA Nº/ANO]]), tabItens[[#This Row],[ATA Nº/ANO]] = ""),BE$2,BE$1)),0),0),0)</f>
        <v>0</v>
      </c>
      <c r="BF3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23">
        <f>SUMIF(Consumo!$C$3:$C$869,tabItens[[#This Row],[CÓDIGO]],Consumo!$E$3:$E$869)</f>
        <v>0</v>
      </c>
      <c r="BH351" s="324">
        <f>IF(AND(tabItens[[#This Row],[Pend]] &gt; 0,tabItens[[#This Row],[Consumo]] &lt;&gt; 0), tabItens[[#This Row],[Pend]] / tabItens[[#This Row],[Consumo]], 0 )</f>
        <v>0</v>
      </c>
      <c r="BI351" s="323"/>
      <c r="BJ351" s="323"/>
      <c r="BK351" s="325" t="s">
        <v>2064</v>
      </c>
    </row>
    <row r="352" spans="1:63" hidden="1" x14ac:dyDescent="0.3">
      <c r="A352" s="286">
        <v>121054</v>
      </c>
      <c r="B352" s="287" t="s">
        <v>1738</v>
      </c>
      <c r="C352" s="288" t="s">
        <v>294</v>
      </c>
      <c r="D352" s="289">
        <v>498.9</v>
      </c>
      <c r="E352" s="290"/>
      <c r="F352" s="290"/>
      <c r="G352" s="290" t="s">
        <v>883</v>
      </c>
      <c r="H352" s="291">
        <v>93</v>
      </c>
      <c r="I352" s="292">
        <v>103003</v>
      </c>
      <c r="J352" s="293">
        <v>498.9</v>
      </c>
      <c r="K352" s="294">
        <v>2</v>
      </c>
      <c r="L352" s="295">
        <f>IF(tabItens[[#This Row],[Média]] &gt; 0, tabItens[[#This Row],[QTDE ATUAL]] / tabItens[[#This Row],[Média]],999.9)</f>
        <v>999.9</v>
      </c>
      <c r="M352" s="296">
        <v>0</v>
      </c>
      <c r="N352" s="297">
        <f>tabItens[[#This Row],[VALOR UNIT.]] * tabItens[[#This Row],[LC]]</f>
        <v>0</v>
      </c>
      <c r="O352" s="298" t="s">
        <v>2094</v>
      </c>
      <c r="P352" s="299"/>
      <c r="Q352" s="300"/>
      <c r="R352" s="297"/>
      <c r="S352" s="301"/>
      <c r="T352" s="302">
        <f>ROUNDDOWN(IFERROR(tabItens[[#This Row],[ATA DT.VALID.]] - $D$1,0) / 30,0)</f>
        <v>-1504</v>
      </c>
      <c r="U352" s="287" t="s">
        <v>1037</v>
      </c>
      <c r="V352" s="303">
        <v>1</v>
      </c>
      <c r="W352" s="304" t="s">
        <v>2056</v>
      </c>
      <c r="X352" s="305">
        <v>69</v>
      </c>
      <c r="Y352" s="306">
        <v>10</v>
      </c>
      <c r="Z352" s="307"/>
      <c r="AA352" s="308"/>
      <c r="AB352" s="309"/>
      <c r="AC352" s="309"/>
      <c r="AD352" s="308"/>
      <c r="AE352" s="309"/>
      <c r="AF352" s="302"/>
      <c r="AG352" s="310" t="s">
        <v>2050</v>
      </c>
      <c r="AH352" s="311"/>
      <c r="AI352" s="302">
        <v>0</v>
      </c>
      <c r="AJ352" s="311">
        <v>44117</v>
      </c>
      <c r="AK352" s="311">
        <v>40805</v>
      </c>
      <c r="AL352" s="311">
        <v>44881</v>
      </c>
      <c r="AM352" s="301"/>
      <c r="AN352" s="290"/>
      <c r="AO352" s="312" t="str">
        <f>_xlfn.IFNA(IF(VLOOKUP(tabItens[[#This Row],[CÓDIGO]],tabExcluirDoEstoque[#Data],1,FALSE),"sim",""),"")</f>
        <v/>
      </c>
      <c r="AP352" s="313" t="str">
        <f ca="1">IF(OR(ISBLANK(tabItens[[#This Row],[ATA DT.VALID.]]),tabItens[[#This Row],[ATA DT.VALID.]]="",tabItens[[#This Row],[ATA DT.VALID.]]=" "),"",IF(TYPE(tabItens[[#This Row],[ATA DT.VALID.]])=1,ROUNDUP((tabItens[[#This Row],[ATA DT.VALID.]]-TODAY())/7,0),""))</f>
        <v/>
      </c>
      <c r="AQ352" s="314">
        <v>0</v>
      </c>
      <c r="AR352" s="315" t="str">
        <f>IF(ISBLANK(tabItens[[#This Row],[CÓDIGO]]),"",IFERROR(VLOOKUP(tabItens[[#This Row],[CÓDIGO]],Consumo!$C$2:$AC$869,26,FALSE),0))</f>
        <v>07.2023</v>
      </c>
      <c r="AS352" s="316">
        <f>SUMIF(Consumo!$C$3:$C$869,tabItens[[#This Row],[CÓDIGO]],Consumo!$N$3:$N$869) + SUMIF(Consumo!$C$3:$C$869,tabItens[[#This Row],[CÓDIGO]],Consumo!$O$3:$O$869) + SUMIF(Consumo!$C$3:$C$869,tabItens[[#This Row],[CÓDIGO]],Consumo!$P$3:$P$869) + SUMIF(Consumo!$C$3:$C$869,tabItens[[#This Row],[CÓDIGO]],Consumo!$Q$3:$Q$869)</f>
        <v>1</v>
      </c>
      <c r="AT352" s="316">
        <f>SUMIF(Consumo!$C$3:$C$869,tabItens[[#This Row],[CÓDIGO]],Consumo!$Z$3:$Z$869)</f>
        <v>2</v>
      </c>
      <c r="AU352" s="317">
        <f>SUMIF(Consumo!$C$3:$C$869,tabItens[[#This Row],[CÓDIGO]],Consumo!$AA$3:$AA$869)</f>
        <v>1</v>
      </c>
      <c r="AV352" s="318">
        <f>SUMIF(Consumo!$C$3:$C$869,tabItens[[#This Row],[CÓDIGO]],Consumo!$Y$3:$Y$869)</f>
        <v>0</v>
      </c>
      <c r="AW352" s="291">
        <f>tabItens[[#This Row],[QTDE ATUAL]] + tabItens[[#This Row],[RC QTDE]] + tabItens[[#This Row],[AF SALDO]] + tabItens[[#This Row],[Recentes]]</f>
        <v>93</v>
      </c>
      <c r="AX352" s="319">
        <v>15</v>
      </c>
      <c r="AY352" s="319">
        <v>4</v>
      </c>
      <c r="AZ352" s="319">
        <f>IF(ISBLANK(tabItens[[#This Row],[CÓDIGO]]),"",tabItens[[#This Row],[PontoMês]] * (AZ$2+tabItens[[#This Row],[PontoQtM]]))</f>
        <v>60</v>
      </c>
      <c r="BA352" s="318">
        <f>tabItens[[#This Row],[PontoPed]] - tabItens[[#This Row],[Saldo]] + (1/10)</f>
        <v>-32.9</v>
      </c>
      <c r="BB352" s="318">
        <f xml:space="preserve"> tabItens[[#This Row],[PontoMês]] * BB$2 - tabItens[[#This Row],[QTDE ATUAL]] - (1/10)</f>
        <v>-78.099999999999994</v>
      </c>
      <c r="BC352" s="320">
        <f>IF( tabItens[[#This Row],[PontoPed]]&gt;0, IF(tabItens[[#This Row],[PontoPed]]&lt;1, 1, IF( tabItens[[#This Row],[Saldo]]&gt;tabItens[[#This Row],[PontoPed]], 0, (tabItens[[#This Row],[PontoPed]]-tabItens[[#This Row],[Saldo]])/tabItens[[#This Row],[PontoPed]] ) ), 0 )</f>
        <v>0</v>
      </c>
      <c r="BD352" s="321">
        <f>ROUNDDOWN(IF( OR( AND(tabItens[[#This Row],[PontoPed]]&lt;tabItens[[#This Row],[Saldo]],tabItens[[#This Row],[Saldo]]&gt;0), tabItens[[#This Row],[PontoPed]]=0), 99, IF(AND(tabItens[[#This Row],[Saldo]]=0,tabItens[[#This Row],[PontoPed]]&gt;0), 0, (1-tabItens[[#This Row],[PctAb]])*10 ) ),0)</f>
        <v>99</v>
      </c>
      <c r="BE352" s="322">
        <f>MAX(ROUNDDOWN( IF(tabItens[[#This Row],[Abaixo]] &gt; 0,   tabItens[[#This Row],[Abaixo]] + (tabItens[[#This Row],[PontoMês]] * IF( OR( ISBLANK(tabItens[[#This Row],[ATA Nº/ANO]]), tabItens[[#This Row],[ATA Nº/ANO]] = ""),BE$2,BE$1)),0),0),0)</f>
        <v>0</v>
      </c>
      <c r="BF3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23">
        <f>SUMIF(Consumo!$C$3:$C$869,tabItens[[#This Row],[CÓDIGO]],Consumo!$E$3:$E$869)</f>
        <v>0</v>
      </c>
      <c r="BH352" s="324">
        <f>IF(AND(tabItens[[#This Row],[Pend]] &gt; 0,tabItens[[#This Row],[Consumo]] &lt;&gt; 0), tabItens[[#This Row],[Pend]] / tabItens[[#This Row],[Consumo]], 0 )</f>
        <v>0</v>
      </c>
      <c r="BI352" s="323"/>
      <c r="BJ352" s="323"/>
      <c r="BK352" s="325" t="s">
        <v>2064</v>
      </c>
    </row>
    <row r="353" spans="1:63" x14ac:dyDescent="0.3">
      <c r="A353" s="396">
        <v>63839</v>
      </c>
      <c r="B353" s="397" t="s">
        <v>1361</v>
      </c>
      <c r="C353" s="398" t="s">
        <v>596</v>
      </c>
      <c r="D353" s="399">
        <v>77.7</v>
      </c>
      <c r="E353" s="290"/>
      <c r="F353" s="400"/>
      <c r="G353" s="400" t="s">
        <v>883</v>
      </c>
      <c r="H353" s="401">
        <v>0</v>
      </c>
      <c r="I353" s="292">
        <v>103003</v>
      </c>
      <c r="J353" s="293">
        <v>77.7</v>
      </c>
      <c r="K353" s="402">
        <v>243</v>
      </c>
      <c r="L353" s="403">
        <f>IF(tabItens[[#This Row],[Média]] &gt; 0, tabItens[[#This Row],[QTDE ATUAL]] / tabItens[[#This Row],[Média]],999.9)</f>
        <v>0</v>
      </c>
      <c r="M353" s="404">
        <v>0</v>
      </c>
      <c r="N353" s="405">
        <f>tabItens[[#This Row],[VALOR UNIT.]] * tabItens[[#This Row],[LC]]</f>
        <v>0</v>
      </c>
      <c r="O353" s="406" t="s">
        <v>2094</v>
      </c>
      <c r="P353" s="407"/>
      <c r="Q353" s="408"/>
      <c r="R353" s="297"/>
      <c r="S353" s="409"/>
      <c r="T353" s="410">
        <f>ROUNDDOWN(IFERROR(tabItens[[#This Row],[ATA DT.VALID.]] - $D$1,0) / 30,0)</f>
        <v>-1504</v>
      </c>
      <c r="U353" s="287" t="s">
        <v>1022</v>
      </c>
      <c r="V353" s="303">
        <v>1</v>
      </c>
      <c r="W353" s="411" t="s">
        <v>2057</v>
      </c>
      <c r="X353" s="412">
        <v>74</v>
      </c>
      <c r="Y353" s="413">
        <v>4</v>
      </c>
      <c r="Z353" s="414">
        <v>2577</v>
      </c>
      <c r="AA353" s="415">
        <v>2023</v>
      </c>
      <c r="AB353" s="416">
        <v>100</v>
      </c>
      <c r="AC353" s="416"/>
      <c r="AD353" s="415"/>
      <c r="AE353" s="416"/>
      <c r="AF353" s="302"/>
      <c r="AG353" s="417" t="s">
        <v>2050</v>
      </c>
      <c r="AH353" s="418"/>
      <c r="AI353" s="302">
        <v>90</v>
      </c>
      <c r="AJ353" s="418">
        <v>44942</v>
      </c>
      <c r="AK353" s="311" t="s">
        <v>883</v>
      </c>
      <c r="AL353" s="311">
        <v>44922</v>
      </c>
      <c r="AM353" s="301"/>
      <c r="AN353" s="290"/>
      <c r="AO353" s="312" t="str">
        <f>_xlfn.IFNA(IF(VLOOKUP(tabItens[[#This Row],[CÓDIGO]],tabExcluirDoEstoque[#Data],1,FALSE),"sim",""),"")</f>
        <v/>
      </c>
      <c r="AP353" s="419" t="str">
        <f ca="1">IF(OR(ISBLANK(tabItens[[#This Row],[ATA DT.VALID.]]),tabItens[[#This Row],[ATA DT.VALID.]]="",tabItens[[#This Row],[ATA DT.VALID.]]=" "),"",IF(TYPE(tabItens[[#This Row],[ATA DT.VALID.]])=1,ROUNDUP((tabItens[[#This Row],[ATA DT.VALID.]]-TODAY())/7,0),""))</f>
        <v/>
      </c>
      <c r="AQ353" s="314">
        <v>0</v>
      </c>
      <c r="AR353" s="315" t="str">
        <f>IF(ISBLANK(tabItens[[#This Row],[CÓDIGO]]),"",IFERROR(VLOOKUP(tabItens[[#This Row],[CÓDIGO]],Consumo!$C$2:$AC$869,26,FALSE),0))</f>
        <v>05.2023</v>
      </c>
      <c r="AS353" s="316">
        <f>SUMIF(Consumo!$C$3:$C$869,tabItens[[#This Row],[CÓDIGO]],Consumo!$N$3:$N$869) + SUMIF(Consumo!$C$3:$C$869,tabItens[[#This Row],[CÓDIGO]],Consumo!$O$3:$O$869) + SUMIF(Consumo!$C$3:$C$869,tabItens[[#This Row],[CÓDIGO]],Consumo!$P$3:$P$869) + SUMIF(Consumo!$C$3:$C$869,tabItens[[#This Row],[CÓDIGO]],Consumo!$Q$3:$Q$869)</f>
        <v>86</v>
      </c>
      <c r="AT353" s="316">
        <f>SUMIF(Consumo!$C$3:$C$869,tabItens[[#This Row],[CÓDIGO]],Consumo!$Z$3:$Z$869)</f>
        <v>271</v>
      </c>
      <c r="AU353" s="317">
        <f>SUMIF(Consumo!$C$3:$C$869,tabItens[[#This Row],[CÓDIGO]],Consumo!$AA$3:$AA$869)</f>
        <v>84</v>
      </c>
      <c r="AV353" s="318">
        <f>SUMIF(Consumo!$C$3:$C$869,tabItens[[#This Row],[CÓDIGO]],Consumo!$Y$3:$Y$869)</f>
        <v>21.833333333333332</v>
      </c>
      <c r="AW353" s="401">
        <f>tabItens[[#This Row],[QTDE ATUAL]] + tabItens[[#This Row],[RC QTDE]] + tabItens[[#This Row],[AF SALDO]] + tabItens[[#This Row],[Recentes]]</f>
        <v>100</v>
      </c>
      <c r="AX353" s="420">
        <v>15</v>
      </c>
      <c r="AY353" s="420">
        <v>4</v>
      </c>
      <c r="AZ353" s="420">
        <f>IF(ISBLANK(tabItens[[#This Row],[CÓDIGO]]),"",tabItens[[#This Row],[PontoMês]] * (AZ$2+tabItens[[#This Row],[PontoQtM]]))</f>
        <v>60</v>
      </c>
      <c r="BA353" s="421">
        <f>tabItens[[#This Row],[PontoPed]] - tabItens[[#This Row],[Saldo]] + (1/10)</f>
        <v>-39.9</v>
      </c>
      <c r="BB353" s="421">
        <f xml:space="preserve"> tabItens[[#This Row],[PontoMês]] * BB$2 - tabItens[[#This Row],[QTDE ATUAL]] - (1/10)</f>
        <v>14.9</v>
      </c>
      <c r="BC353" s="320">
        <f>IF( tabItens[[#This Row],[PontoPed]]&gt;0, IF(tabItens[[#This Row],[PontoPed]]&lt;1, 1, IF( tabItens[[#This Row],[Saldo]]&gt;tabItens[[#This Row],[PontoPed]], 0, (tabItens[[#This Row],[PontoPed]]-tabItens[[#This Row],[Saldo]])/tabItens[[#This Row],[PontoPed]] ) ), 0 )</f>
        <v>0</v>
      </c>
      <c r="BD353" s="422">
        <f>ROUNDDOWN(IF( OR( AND(tabItens[[#This Row],[PontoPed]]&lt;tabItens[[#This Row],[Saldo]],tabItens[[#This Row],[Saldo]]&gt;0), tabItens[[#This Row],[PontoPed]]=0), 99, IF(AND(tabItens[[#This Row],[Saldo]]=0,tabItens[[#This Row],[PontoPed]]&gt;0), 0, (1-tabItens[[#This Row],[PctAb]])*10 ) ),0)</f>
        <v>99</v>
      </c>
      <c r="BE353" s="423">
        <f>MAX(ROUNDDOWN( IF(tabItens[[#This Row],[Abaixo]] &gt; 0,   tabItens[[#This Row],[Abaixo]] + (tabItens[[#This Row],[PontoMês]] * IF( OR( ISBLANK(tabItens[[#This Row],[ATA Nº/ANO]]), tabItens[[#This Row],[ATA Nº/ANO]] = ""),BE$2,BE$1)),0),0),0)</f>
        <v>0</v>
      </c>
      <c r="BF35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23">
        <f>SUMIF(Consumo!$C$3:$C$869,tabItens[[#This Row],[CÓDIGO]],Consumo!$E$3:$E$869)</f>
        <v>0</v>
      </c>
      <c r="BH353" s="324">
        <f>IF(AND(tabItens[[#This Row],[Pend]] &gt; 0,tabItens[[#This Row],[Consumo]] &lt;&gt; 0), tabItens[[#This Row],[Pend]] / tabItens[[#This Row],[Consumo]], 0 )</f>
        <v>0</v>
      </c>
      <c r="BI353" s="323"/>
      <c r="BJ353" s="424"/>
      <c r="BK353" s="425" t="s">
        <v>2064</v>
      </c>
    </row>
    <row r="354" spans="1:63" hidden="1" x14ac:dyDescent="0.3">
      <c r="A354" s="286">
        <v>75324</v>
      </c>
      <c r="B354" s="287" t="s">
        <v>1409</v>
      </c>
      <c r="C354" s="288" t="s">
        <v>256</v>
      </c>
      <c r="D354" s="289">
        <v>117.12</v>
      </c>
      <c r="E354" s="290"/>
      <c r="F354" s="290"/>
      <c r="G354" s="290" t="s">
        <v>883</v>
      </c>
      <c r="H354" s="291">
        <v>207</v>
      </c>
      <c r="I354" s="292">
        <v>103003</v>
      </c>
      <c r="J354" s="293">
        <v>117.12</v>
      </c>
      <c r="K354" s="294">
        <v>452</v>
      </c>
      <c r="L354" s="295">
        <f>IF(tabItens[[#This Row],[Média]] &gt; 0, tabItens[[#This Row],[QTDE ATUAL]] / tabItens[[#This Row],[Média]],999.9)</f>
        <v>6.0145278450363202</v>
      </c>
      <c r="M354" s="296">
        <v>0</v>
      </c>
      <c r="N354" s="297">
        <f>tabItens[[#This Row],[VALOR UNIT.]] * tabItens[[#This Row],[LC]]</f>
        <v>0</v>
      </c>
      <c r="O354" s="298" t="s">
        <v>2094</v>
      </c>
      <c r="P354" s="299"/>
      <c r="Q354" s="300"/>
      <c r="R354" s="297"/>
      <c r="S354" s="301"/>
      <c r="T354" s="302">
        <f>ROUNDDOWN(IFERROR(tabItens[[#This Row],[ATA DT.VALID.]] - $D$1,0) / 30,0)</f>
        <v>-1504</v>
      </c>
      <c r="U354" s="287" t="s">
        <v>1112</v>
      </c>
      <c r="V354" s="303">
        <v>1</v>
      </c>
      <c r="W354" s="304" t="s">
        <v>2057</v>
      </c>
      <c r="X354" s="305">
        <v>74</v>
      </c>
      <c r="Y354" s="306">
        <v>8</v>
      </c>
      <c r="Z354" s="307">
        <v>2579</v>
      </c>
      <c r="AA354" s="308">
        <v>2023</v>
      </c>
      <c r="AB354" s="309">
        <v>50</v>
      </c>
      <c r="AC354" s="309"/>
      <c r="AD354" s="308"/>
      <c r="AE354" s="309"/>
      <c r="AF354" s="302"/>
      <c r="AG354" s="310" t="s">
        <v>2050</v>
      </c>
      <c r="AH354" s="311"/>
      <c r="AI354" s="302">
        <v>284</v>
      </c>
      <c r="AJ354" s="311">
        <v>44924</v>
      </c>
      <c r="AK354" s="311">
        <v>37879</v>
      </c>
      <c r="AL354" s="311">
        <v>44887</v>
      </c>
      <c r="AM354" s="301"/>
      <c r="AN354" s="290"/>
      <c r="AO354" s="312" t="str">
        <f>_xlfn.IFNA(IF(VLOOKUP(tabItens[[#This Row],[CÓDIGO]],tabExcluirDoEstoque[#Data],1,FALSE),"sim",""),"")</f>
        <v/>
      </c>
      <c r="AP354" s="313" t="str">
        <f ca="1">IF(OR(ISBLANK(tabItens[[#This Row],[ATA DT.VALID.]]),tabItens[[#This Row],[ATA DT.VALID.]]="",tabItens[[#This Row],[ATA DT.VALID.]]=" "),"",IF(TYPE(tabItens[[#This Row],[ATA DT.VALID.]])=1,ROUNDUP((tabItens[[#This Row],[ATA DT.VALID.]]-TODAY())/7,0),""))</f>
        <v/>
      </c>
      <c r="AQ354" s="314">
        <v>0</v>
      </c>
      <c r="AR354" s="315" t="str">
        <f>IF(ISBLANK(tabItens[[#This Row],[CÓDIGO]]),"",IFERROR(VLOOKUP(tabItens[[#This Row],[CÓDIGO]],Consumo!$C$2:$AC$869,26,FALSE),0))</f>
        <v>05.2023</v>
      </c>
      <c r="AS354" s="316">
        <f>SUMIF(Consumo!$C$3:$C$869,tabItens[[#This Row],[CÓDIGO]],Consumo!$N$3:$N$869) + SUMIF(Consumo!$C$3:$C$869,tabItens[[#This Row],[CÓDIGO]],Consumo!$O$3:$O$869) + SUMIF(Consumo!$C$3:$C$869,tabItens[[#This Row],[CÓDIGO]],Consumo!$P$3:$P$869) + SUMIF(Consumo!$C$3:$C$869,tabItens[[#This Row],[CÓDIGO]],Consumo!$Q$3:$Q$869)</f>
        <v>73</v>
      </c>
      <c r="AT354" s="316">
        <f>SUMIF(Consumo!$C$3:$C$869,tabItens[[#This Row],[CÓDIGO]],Consumo!$Z$3:$Z$869)</f>
        <v>452</v>
      </c>
      <c r="AU354" s="317">
        <f>SUMIF(Consumo!$C$3:$C$869,tabItens[[#This Row],[CÓDIGO]],Consumo!$AA$3:$AA$869)</f>
        <v>193</v>
      </c>
      <c r="AV354" s="318">
        <f>SUMIF(Consumo!$C$3:$C$869,tabItens[[#This Row],[CÓDIGO]],Consumo!$Y$3:$Y$869)</f>
        <v>34.416666666666664</v>
      </c>
      <c r="AW354" s="291">
        <f>tabItens[[#This Row],[QTDE ATUAL]] + tabItens[[#This Row],[RC QTDE]] + tabItens[[#This Row],[AF SALDO]] + tabItens[[#This Row],[Recentes]]</f>
        <v>257</v>
      </c>
      <c r="AX354" s="319">
        <v>45</v>
      </c>
      <c r="AY354" s="319">
        <v>4</v>
      </c>
      <c r="AZ354" s="319">
        <f>IF(ISBLANK(tabItens[[#This Row],[CÓDIGO]]),"",tabItens[[#This Row],[PontoMês]] * (AZ$2+tabItens[[#This Row],[PontoQtM]]))</f>
        <v>180</v>
      </c>
      <c r="BA354" s="318">
        <f>tabItens[[#This Row],[PontoPed]] - tabItens[[#This Row],[Saldo]] + (1/10)</f>
        <v>-76.900000000000006</v>
      </c>
      <c r="BB354" s="318">
        <f xml:space="preserve"> tabItens[[#This Row],[PontoMês]] * BB$2 - tabItens[[#This Row],[QTDE ATUAL]] - (1/10)</f>
        <v>-162.1</v>
      </c>
      <c r="BC354" s="320">
        <f>IF( tabItens[[#This Row],[PontoPed]]&gt;0, IF(tabItens[[#This Row],[PontoPed]]&lt;1, 1, IF( tabItens[[#This Row],[Saldo]]&gt;tabItens[[#This Row],[PontoPed]], 0, (tabItens[[#This Row],[PontoPed]]-tabItens[[#This Row],[Saldo]])/tabItens[[#This Row],[PontoPed]] ) ), 0 )</f>
        <v>0</v>
      </c>
      <c r="BD354" s="321">
        <f>ROUNDDOWN(IF( OR( AND(tabItens[[#This Row],[PontoPed]]&lt;tabItens[[#This Row],[Saldo]],tabItens[[#This Row],[Saldo]]&gt;0), tabItens[[#This Row],[PontoPed]]=0), 99, IF(AND(tabItens[[#This Row],[Saldo]]=0,tabItens[[#This Row],[PontoPed]]&gt;0), 0, (1-tabItens[[#This Row],[PctAb]])*10 ) ),0)</f>
        <v>99</v>
      </c>
      <c r="BE354" s="322">
        <f>MAX(ROUNDDOWN( IF(tabItens[[#This Row],[Abaixo]] &gt; 0,   tabItens[[#This Row],[Abaixo]] + (tabItens[[#This Row],[PontoMês]] * IF( OR( ISBLANK(tabItens[[#This Row],[ATA Nº/ANO]]), tabItens[[#This Row],[ATA Nº/ANO]] = ""),BE$2,BE$1)),0),0),0)</f>
        <v>0</v>
      </c>
      <c r="BF35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23">
        <f>SUMIF(Consumo!$C$3:$C$869,tabItens[[#This Row],[CÓDIGO]],Consumo!$E$3:$E$869)</f>
        <v>0</v>
      </c>
      <c r="BH354" s="324">
        <f>IF(AND(tabItens[[#This Row],[Pend]] &gt; 0,tabItens[[#This Row],[Consumo]] &lt;&gt; 0), tabItens[[#This Row],[Pend]] / tabItens[[#This Row],[Consumo]], 0 )</f>
        <v>0</v>
      </c>
      <c r="BI354" s="323"/>
      <c r="BJ354" s="323"/>
      <c r="BK354" s="325" t="s">
        <v>2064</v>
      </c>
    </row>
    <row r="355" spans="1:63" hidden="1" x14ac:dyDescent="0.3">
      <c r="A355" s="286">
        <v>53813</v>
      </c>
      <c r="B355" s="287" t="s">
        <v>1306</v>
      </c>
      <c r="C355" s="288" t="s">
        <v>294</v>
      </c>
      <c r="D355" s="289">
        <v>142.5</v>
      </c>
      <c r="E355" s="290"/>
      <c r="F355" s="290"/>
      <c r="G355" s="290" t="s">
        <v>883</v>
      </c>
      <c r="H355" s="291">
        <v>184</v>
      </c>
      <c r="I355" s="292">
        <v>103003</v>
      </c>
      <c r="J355" s="293">
        <v>142.5</v>
      </c>
      <c r="K355" s="294">
        <v>99</v>
      </c>
      <c r="L355" s="295">
        <f>IF(tabItens[[#This Row],[Média]] &gt; 0, tabItens[[#This Row],[QTDE ATUAL]] / tabItens[[#This Row],[Média]],999.9)</f>
        <v>32.470588235294116</v>
      </c>
      <c r="M355" s="296">
        <v>0</v>
      </c>
      <c r="N355" s="297">
        <f>tabItens[[#This Row],[VALOR UNIT.]] * tabItens[[#This Row],[LC]]</f>
        <v>0</v>
      </c>
      <c r="O355" s="298" t="s">
        <v>2123</v>
      </c>
      <c r="P355" s="299"/>
      <c r="Q355" s="300"/>
      <c r="R355" s="297"/>
      <c r="S355" s="301"/>
      <c r="T355" s="302">
        <f>ROUNDDOWN(IFERROR(tabItens[[#This Row],[ATA DT.VALID.]] - $D$1,0) / 30,0)</f>
        <v>-1504</v>
      </c>
      <c r="U355" s="287" t="s">
        <v>1224</v>
      </c>
      <c r="V355" s="303">
        <v>1</v>
      </c>
      <c r="W355" s="304" t="s">
        <v>2049</v>
      </c>
      <c r="X355" s="305">
        <v>51</v>
      </c>
      <c r="Y355" s="306">
        <v>13</v>
      </c>
      <c r="Z355" s="307">
        <v>2985</v>
      </c>
      <c r="AA355" s="308">
        <v>2023</v>
      </c>
      <c r="AB355" s="309">
        <v>50</v>
      </c>
      <c r="AC355" s="309"/>
      <c r="AD355" s="308"/>
      <c r="AE355" s="309"/>
      <c r="AF355" s="302"/>
      <c r="AG355" s="310" t="s">
        <v>2050</v>
      </c>
      <c r="AH355" s="311"/>
      <c r="AI355" s="302">
        <v>34</v>
      </c>
      <c r="AJ355" s="311">
        <v>44522</v>
      </c>
      <c r="AK355" s="311" t="s">
        <v>883</v>
      </c>
      <c r="AL355" s="311">
        <v>44483</v>
      </c>
      <c r="AM355" s="301"/>
      <c r="AN355" s="290"/>
      <c r="AO355" s="312" t="str">
        <f>_xlfn.IFNA(IF(VLOOKUP(tabItens[[#This Row],[CÓDIGO]],tabExcluirDoEstoque[#Data],1,FALSE),"sim",""),"")</f>
        <v/>
      </c>
      <c r="AP355" s="313" t="str">
        <f ca="1">IF(OR(ISBLANK(tabItens[[#This Row],[ATA DT.VALID.]]),tabItens[[#This Row],[ATA DT.VALID.]]="",tabItens[[#This Row],[ATA DT.VALID.]]=" "),"",IF(TYPE(tabItens[[#This Row],[ATA DT.VALID.]])=1,ROUNDUP((tabItens[[#This Row],[ATA DT.VALID.]]-TODAY())/7,0),""))</f>
        <v/>
      </c>
      <c r="AQ355" s="314">
        <v>0</v>
      </c>
      <c r="AR355" s="315" t="str">
        <f>IF(ISBLANK(tabItens[[#This Row],[CÓDIGO]]),"",IFERROR(VLOOKUP(tabItens[[#This Row],[CÓDIGO]],Consumo!$C$2:$AC$869,26,FALSE),0))</f>
        <v>01.2023</v>
      </c>
      <c r="AS355" s="316">
        <f>SUMIF(Consumo!$C$3:$C$869,tabItens[[#This Row],[CÓDIGO]],Consumo!$N$3:$N$869) + SUMIF(Consumo!$C$3:$C$869,tabItens[[#This Row],[CÓDIGO]],Consumo!$O$3:$O$869) + SUMIF(Consumo!$C$3:$C$869,tabItens[[#This Row],[CÓDIGO]],Consumo!$P$3:$P$869) + SUMIF(Consumo!$C$3:$C$869,tabItens[[#This Row],[CÓDIGO]],Consumo!$Q$3:$Q$869)</f>
        <v>0</v>
      </c>
      <c r="AT355" s="316">
        <f>SUMIF(Consumo!$C$3:$C$869,tabItens[[#This Row],[CÓDIGO]],Consumo!$Z$3:$Z$869)</f>
        <v>99</v>
      </c>
      <c r="AU355" s="317">
        <f>SUMIF(Consumo!$C$3:$C$869,tabItens[[#This Row],[CÓDIGO]],Consumo!$AA$3:$AA$869)</f>
        <v>90</v>
      </c>
      <c r="AV355" s="318">
        <f>SUMIF(Consumo!$C$3:$C$869,tabItens[[#This Row],[CÓDIGO]],Consumo!$Y$3:$Y$869)</f>
        <v>5.666666666666667</v>
      </c>
      <c r="AW355" s="291">
        <f>tabItens[[#This Row],[QTDE ATUAL]] + tabItens[[#This Row],[RC QTDE]] + tabItens[[#This Row],[AF SALDO]] + tabItens[[#This Row],[Recentes]]</f>
        <v>234</v>
      </c>
      <c r="AX355" s="319">
        <v>9</v>
      </c>
      <c r="AY355" s="319">
        <v>4</v>
      </c>
      <c r="AZ355" s="319">
        <f>IF(ISBLANK(tabItens[[#This Row],[CÓDIGO]]),"",tabItens[[#This Row],[PontoMês]] * (AZ$2+tabItens[[#This Row],[PontoQtM]]))</f>
        <v>36</v>
      </c>
      <c r="BA355" s="318">
        <f>tabItens[[#This Row],[PontoPed]] - tabItens[[#This Row],[Saldo]] + (1/10)</f>
        <v>-197.9</v>
      </c>
      <c r="BB355" s="318">
        <f xml:space="preserve"> tabItens[[#This Row],[PontoMês]] * BB$2 - tabItens[[#This Row],[QTDE ATUAL]] - (1/10)</f>
        <v>-175.1</v>
      </c>
      <c r="BC355" s="320">
        <f>IF( tabItens[[#This Row],[PontoPed]]&gt;0, IF(tabItens[[#This Row],[PontoPed]]&lt;1, 1, IF( tabItens[[#This Row],[Saldo]]&gt;tabItens[[#This Row],[PontoPed]], 0, (tabItens[[#This Row],[PontoPed]]-tabItens[[#This Row],[Saldo]])/tabItens[[#This Row],[PontoPed]] ) ), 0 )</f>
        <v>0</v>
      </c>
      <c r="BD355" s="321">
        <f>ROUNDDOWN(IF( OR( AND(tabItens[[#This Row],[PontoPed]]&lt;tabItens[[#This Row],[Saldo]],tabItens[[#This Row],[Saldo]]&gt;0), tabItens[[#This Row],[PontoPed]]=0), 99, IF(AND(tabItens[[#This Row],[Saldo]]=0,tabItens[[#This Row],[PontoPed]]&gt;0), 0, (1-tabItens[[#This Row],[PctAb]])*10 ) ),0)</f>
        <v>99</v>
      </c>
      <c r="BE355" s="322">
        <f>MAX(ROUNDDOWN( IF(tabItens[[#This Row],[Abaixo]] &gt; 0,   tabItens[[#This Row],[Abaixo]] + (tabItens[[#This Row],[PontoMês]] * IF( OR( ISBLANK(tabItens[[#This Row],[ATA Nº/ANO]]), tabItens[[#This Row],[ATA Nº/ANO]] = ""),BE$2,BE$1)),0),0),0)</f>
        <v>0</v>
      </c>
      <c r="BF35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23">
        <f>SUMIF(Consumo!$C$3:$C$869,tabItens[[#This Row],[CÓDIGO]],Consumo!$E$3:$E$869)</f>
        <v>0</v>
      </c>
      <c r="BH355" s="324">
        <f>IF(AND(tabItens[[#This Row],[Pend]] &gt; 0,tabItens[[#This Row],[Consumo]] &lt;&gt; 0), tabItens[[#This Row],[Pend]] / tabItens[[#This Row],[Consumo]], 0 )</f>
        <v>0</v>
      </c>
      <c r="BI355" s="323"/>
      <c r="BJ355" s="323"/>
      <c r="BK355" s="325" t="s">
        <v>2064</v>
      </c>
    </row>
    <row r="356" spans="1:63" hidden="1" x14ac:dyDescent="0.3">
      <c r="A356" s="286">
        <v>53814</v>
      </c>
      <c r="B356" s="287" t="s">
        <v>1307</v>
      </c>
      <c r="C356" s="288" t="s">
        <v>294</v>
      </c>
      <c r="D356" s="289">
        <v>144</v>
      </c>
      <c r="E356" s="290"/>
      <c r="F356" s="290"/>
      <c r="G356" s="290" t="s">
        <v>883</v>
      </c>
      <c r="H356" s="291">
        <v>359</v>
      </c>
      <c r="I356" s="292">
        <v>103003</v>
      </c>
      <c r="J356" s="293">
        <v>144</v>
      </c>
      <c r="K356" s="294">
        <v>500</v>
      </c>
      <c r="L356" s="295">
        <f>IF(tabItens[[#This Row],[Média]] &gt; 0, tabItens[[#This Row],[QTDE ATUAL]] / tabItens[[#This Row],[Média]],999.9)</f>
        <v>8.9377593360995853</v>
      </c>
      <c r="M356" s="296">
        <v>0</v>
      </c>
      <c r="N356" s="297">
        <f>tabItens[[#This Row],[VALOR UNIT.]] * tabItens[[#This Row],[LC]]</f>
        <v>0</v>
      </c>
      <c r="O356" s="298" t="s">
        <v>2123</v>
      </c>
      <c r="P356" s="299"/>
      <c r="Q356" s="300"/>
      <c r="R356" s="297"/>
      <c r="S356" s="301"/>
      <c r="T356" s="302">
        <f>ROUNDDOWN(IFERROR(tabItens[[#This Row],[ATA DT.VALID.]] - $D$1,0) / 30,0)</f>
        <v>-1504</v>
      </c>
      <c r="U356" s="287" t="s">
        <v>1224</v>
      </c>
      <c r="V356" s="303">
        <v>1</v>
      </c>
      <c r="W356" s="304" t="s">
        <v>2049</v>
      </c>
      <c r="X356" s="305">
        <v>51</v>
      </c>
      <c r="Y356" s="306">
        <v>13</v>
      </c>
      <c r="Z356" s="307">
        <v>2581</v>
      </c>
      <c r="AA356" s="308">
        <v>2023</v>
      </c>
      <c r="AB356" s="309">
        <v>800</v>
      </c>
      <c r="AC356" s="309"/>
      <c r="AD356" s="308"/>
      <c r="AE356" s="309"/>
      <c r="AF356" s="302"/>
      <c r="AG356" s="310" t="s">
        <v>2050</v>
      </c>
      <c r="AH356" s="311"/>
      <c r="AI356" s="302">
        <v>366</v>
      </c>
      <c r="AJ356" s="311">
        <v>44924</v>
      </c>
      <c r="AK356" s="311" t="s">
        <v>883</v>
      </c>
      <c r="AL356" s="311">
        <v>44881</v>
      </c>
      <c r="AM356" s="301"/>
      <c r="AN356" s="290"/>
      <c r="AO356" s="312" t="str">
        <f>_xlfn.IFNA(IF(VLOOKUP(tabItens[[#This Row],[CÓDIGO]],tabExcluirDoEstoque[#Data],1,FALSE),"sim",""),"")</f>
        <v/>
      </c>
      <c r="AP356" s="313" t="str">
        <f ca="1">IF(OR(ISBLANK(tabItens[[#This Row],[ATA DT.VALID.]]),tabItens[[#This Row],[ATA DT.VALID.]]="",tabItens[[#This Row],[ATA DT.VALID.]]=" "),"",IF(TYPE(tabItens[[#This Row],[ATA DT.VALID.]])=1,ROUNDUP((tabItens[[#This Row],[ATA DT.VALID.]]-TODAY())/7,0),""))</f>
        <v/>
      </c>
      <c r="AQ356" s="314">
        <v>0</v>
      </c>
      <c r="AR356" s="315" t="str">
        <f>IF(ISBLANK(tabItens[[#This Row],[CÓDIGO]]),"",IFERROR(VLOOKUP(tabItens[[#This Row],[CÓDIGO]],Consumo!$C$2:$AC$869,26,FALSE),0))</f>
        <v>06.2023</v>
      </c>
      <c r="AS356" s="316">
        <f>SUMIF(Consumo!$C$3:$C$869,tabItens[[#This Row],[CÓDIGO]],Consumo!$N$3:$N$869) + SUMIF(Consumo!$C$3:$C$869,tabItens[[#This Row],[CÓDIGO]],Consumo!$O$3:$O$869) + SUMIF(Consumo!$C$3:$C$869,tabItens[[#This Row],[CÓDIGO]],Consumo!$P$3:$P$869) + SUMIF(Consumo!$C$3:$C$869,tabItens[[#This Row],[CÓDIGO]],Consumo!$Q$3:$Q$869)</f>
        <v>60</v>
      </c>
      <c r="AT356" s="316">
        <f>SUMIF(Consumo!$C$3:$C$869,tabItens[[#This Row],[CÓDIGO]],Consumo!$Z$3:$Z$869)</f>
        <v>504</v>
      </c>
      <c r="AU356" s="317">
        <f>SUMIF(Consumo!$C$3:$C$869,tabItens[[#This Row],[CÓDIGO]],Consumo!$AA$3:$AA$869)</f>
        <v>201</v>
      </c>
      <c r="AV356" s="318">
        <f>SUMIF(Consumo!$C$3:$C$869,tabItens[[#This Row],[CÓDIGO]],Consumo!$Y$3:$Y$869)</f>
        <v>40.166666666666664</v>
      </c>
      <c r="AW356" s="291">
        <f>tabItens[[#This Row],[QTDE ATUAL]] + tabItens[[#This Row],[RC QTDE]] + tabItens[[#This Row],[AF SALDO]] + tabItens[[#This Row],[Recentes]]</f>
        <v>1159</v>
      </c>
      <c r="AX356" s="319">
        <v>17</v>
      </c>
      <c r="AY356" s="319">
        <v>4</v>
      </c>
      <c r="AZ356" s="319">
        <f>IF(ISBLANK(tabItens[[#This Row],[CÓDIGO]]),"",tabItens[[#This Row],[PontoMês]] * (AZ$2+tabItens[[#This Row],[PontoQtM]]))</f>
        <v>68</v>
      </c>
      <c r="BA356" s="318">
        <f>tabItens[[#This Row],[PontoPed]] - tabItens[[#This Row],[Saldo]] + (1/10)</f>
        <v>-1090.9000000000001</v>
      </c>
      <c r="BB356" s="318">
        <f xml:space="preserve"> tabItens[[#This Row],[PontoMês]] * BB$2 - tabItens[[#This Row],[QTDE ATUAL]] - (1/10)</f>
        <v>-342.1</v>
      </c>
      <c r="BC356" s="320">
        <f>IF( tabItens[[#This Row],[PontoPed]]&gt;0, IF(tabItens[[#This Row],[PontoPed]]&lt;1, 1, IF( tabItens[[#This Row],[Saldo]]&gt;tabItens[[#This Row],[PontoPed]], 0, (tabItens[[#This Row],[PontoPed]]-tabItens[[#This Row],[Saldo]])/tabItens[[#This Row],[PontoPed]] ) ), 0 )</f>
        <v>0</v>
      </c>
      <c r="BD356" s="321">
        <f>ROUNDDOWN(IF( OR( AND(tabItens[[#This Row],[PontoPed]]&lt;tabItens[[#This Row],[Saldo]],tabItens[[#This Row],[Saldo]]&gt;0), tabItens[[#This Row],[PontoPed]]=0), 99, IF(AND(tabItens[[#This Row],[Saldo]]=0,tabItens[[#This Row],[PontoPed]]&gt;0), 0, (1-tabItens[[#This Row],[PctAb]])*10 ) ),0)</f>
        <v>99</v>
      </c>
      <c r="BE356" s="322">
        <f>MAX(ROUNDDOWN( IF(tabItens[[#This Row],[Abaixo]] &gt; 0,   tabItens[[#This Row],[Abaixo]] + (tabItens[[#This Row],[PontoMês]] * IF( OR( ISBLANK(tabItens[[#This Row],[ATA Nº/ANO]]), tabItens[[#This Row],[ATA Nº/ANO]] = ""),BE$2,BE$1)),0),0),0)</f>
        <v>0</v>
      </c>
      <c r="BF35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23">
        <f>SUMIF(Consumo!$C$3:$C$869,tabItens[[#This Row],[CÓDIGO]],Consumo!$E$3:$E$869)</f>
        <v>4</v>
      </c>
      <c r="BH356" s="324">
        <f>IF(AND(tabItens[[#This Row],[Pend]] &gt; 0,tabItens[[#This Row],[Consumo]] &lt;&gt; 0), tabItens[[#This Row],[Pend]] / tabItens[[#This Row],[Consumo]], 0 )</f>
        <v>7.9365079365079361E-3</v>
      </c>
      <c r="BI356" s="323"/>
      <c r="BJ356" s="323"/>
      <c r="BK356" s="325" t="s">
        <v>2064</v>
      </c>
    </row>
    <row r="357" spans="1:63" hidden="1" x14ac:dyDescent="0.3">
      <c r="A357" s="286">
        <v>105889</v>
      </c>
      <c r="B357" s="287" t="s">
        <v>1616</v>
      </c>
      <c r="C357" s="288" t="s">
        <v>256</v>
      </c>
      <c r="D357" s="289">
        <v>36.9</v>
      </c>
      <c r="E357" s="290"/>
      <c r="F357" s="290"/>
      <c r="G357" s="290" t="s">
        <v>883</v>
      </c>
      <c r="H357" s="291">
        <v>369</v>
      </c>
      <c r="I357" s="292">
        <v>103003</v>
      </c>
      <c r="J357" s="293">
        <v>36.9</v>
      </c>
      <c r="K357" s="294"/>
      <c r="L357" s="295">
        <f>IF(tabItens[[#This Row],[Média]] &gt; 0, tabItens[[#This Row],[QTDE ATUAL]] / tabItens[[#This Row],[Média]],999.9)</f>
        <v>999.9</v>
      </c>
      <c r="M357" s="296">
        <v>0</v>
      </c>
      <c r="N357" s="297">
        <f>tabItens[[#This Row],[VALOR UNIT.]] * tabItens[[#This Row],[LC]]</f>
        <v>0</v>
      </c>
      <c r="O357" s="298" t="s">
        <v>2123</v>
      </c>
      <c r="P357" s="299"/>
      <c r="Q357" s="300"/>
      <c r="R357" s="297"/>
      <c r="S357" s="301"/>
      <c r="T357" s="302">
        <f>ROUNDDOWN(IFERROR(tabItens[[#This Row],[ATA DT.VALID.]] - $D$1,0) / 30,0)</f>
        <v>-1504</v>
      </c>
      <c r="U357" s="287" t="s">
        <v>1332</v>
      </c>
      <c r="V357" s="303">
        <v>1</v>
      </c>
      <c r="W357" s="304" t="s">
        <v>2056</v>
      </c>
      <c r="X357" s="305">
        <v>69</v>
      </c>
      <c r="Y357" s="306">
        <v>2</v>
      </c>
      <c r="Z357" s="307"/>
      <c r="AA357" s="308"/>
      <c r="AB357" s="309"/>
      <c r="AC357" s="309"/>
      <c r="AD357" s="308"/>
      <c r="AE357" s="309"/>
      <c r="AF357" s="302"/>
      <c r="AG357" s="310" t="s">
        <v>2050</v>
      </c>
      <c r="AH357" s="311"/>
      <c r="AI357" s="302">
        <v>0</v>
      </c>
      <c r="AJ357" s="311">
        <v>43535</v>
      </c>
      <c r="AK357" s="311">
        <v>39546</v>
      </c>
      <c r="AL357" s="311">
        <v>43523</v>
      </c>
      <c r="AM357" s="301"/>
      <c r="AN357" s="290"/>
      <c r="AO357" s="312" t="str">
        <f>_xlfn.IFNA(IF(VLOOKUP(tabItens[[#This Row],[CÓDIGO]],tabExcluirDoEstoque[#Data],1,FALSE),"sim",""),"")</f>
        <v/>
      </c>
      <c r="AP357" s="313" t="str">
        <f ca="1">IF(OR(ISBLANK(tabItens[[#This Row],[ATA DT.VALID.]]),tabItens[[#This Row],[ATA DT.VALID.]]="",tabItens[[#This Row],[ATA DT.VALID.]]=" "),"",IF(TYPE(tabItens[[#This Row],[ATA DT.VALID.]])=1,ROUNDUP((tabItens[[#This Row],[ATA DT.VALID.]]-TODAY())/7,0),""))</f>
        <v/>
      </c>
      <c r="AQ357" s="314">
        <v>0</v>
      </c>
      <c r="AR357" s="315">
        <f>IF(ISBLANK(tabItens[[#This Row],[CÓDIGO]]),"",IFERROR(VLOOKUP(tabItens[[#This Row],[CÓDIGO]],Consumo!$C$2:$AC$869,26,FALSE),0))</f>
        <v>0</v>
      </c>
      <c r="AS357" s="316">
        <f>SUMIF(Consumo!$C$3:$C$869,tabItens[[#This Row],[CÓDIGO]],Consumo!$N$3:$N$869) + SUMIF(Consumo!$C$3:$C$869,tabItens[[#This Row],[CÓDIGO]],Consumo!$O$3:$O$869) + SUMIF(Consumo!$C$3:$C$869,tabItens[[#This Row],[CÓDIGO]],Consumo!$P$3:$P$869) + SUMIF(Consumo!$C$3:$C$869,tabItens[[#This Row],[CÓDIGO]],Consumo!$Q$3:$Q$869)</f>
        <v>0</v>
      </c>
      <c r="AT357" s="316">
        <f>SUMIF(Consumo!$C$3:$C$869,tabItens[[#This Row],[CÓDIGO]],Consumo!$Z$3:$Z$869)</f>
        <v>0</v>
      </c>
      <c r="AU357" s="317">
        <f>SUMIF(Consumo!$C$3:$C$869,tabItens[[#This Row],[CÓDIGO]],Consumo!$AA$3:$AA$869)</f>
        <v>0</v>
      </c>
      <c r="AV357" s="318">
        <f>SUMIF(Consumo!$C$3:$C$869,tabItens[[#This Row],[CÓDIGO]],Consumo!$Y$3:$Y$869)</f>
        <v>0</v>
      </c>
      <c r="AW357" s="291">
        <f>tabItens[[#This Row],[QTDE ATUAL]] + tabItens[[#This Row],[RC QTDE]] + tabItens[[#This Row],[AF SALDO]] + tabItens[[#This Row],[Recentes]]</f>
        <v>369</v>
      </c>
      <c r="AX357" s="319">
        <v>50</v>
      </c>
      <c r="AY357" s="319">
        <v>4</v>
      </c>
      <c r="AZ357" s="319">
        <f>IF(ISBLANK(tabItens[[#This Row],[CÓDIGO]]),"",tabItens[[#This Row],[PontoMês]] * (AZ$2+tabItens[[#This Row],[PontoQtM]]))</f>
        <v>200</v>
      </c>
      <c r="BA357" s="318">
        <f>tabItens[[#This Row],[PontoPed]] - tabItens[[#This Row],[Saldo]] + (1/10)</f>
        <v>-168.9</v>
      </c>
      <c r="BB357" s="318">
        <f xml:space="preserve"> tabItens[[#This Row],[PontoMês]] * BB$2 - tabItens[[#This Row],[QTDE ATUAL]] - (1/10)</f>
        <v>-319.10000000000002</v>
      </c>
      <c r="BC357" s="320">
        <f>IF( tabItens[[#This Row],[PontoPed]]&gt;0, IF(tabItens[[#This Row],[PontoPed]]&lt;1, 1, IF( tabItens[[#This Row],[Saldo]]&gt;tabItens[[#This Row],[PontoPed]], 0, (tabItens[[#This Row],[PontoPed]]-tabItens[[#This Row],[Saldo]])/tabItens[[#This Row],[PontoPed]] ) ), 0 )</f>
        <v>0</v>
      </c>
      <c r="BD357" s="321">
        <f>ROUNDDOWN(IF( OR( AND(tabItens[[#This Row],[PontoPed]]&lt;tabItens[[#This Row],[Saldo]],tabItens[[#This Row],[Saldo]]&gt;0), tabItens[[#This Row],[PontoPed]]=0), 99, IF(AND(tabItens[[#This Row],[Saldo]]=0,tabItens[[#This Row],[PontoPed]]&gt;0), 0, (1-tabItens[[#This Row],[PctAb]])*10 ) ),0)</f>
        <v>99</v>
      </c>
      <c r="BE357" s="322">
        <f>MAX(ROUNDDOWN( IF(tabItens[[#This Row],[Abaixo]] &gt; 0,   tabItens[[#This Row],[Abaixo]] + (tabItens[[#This Row],[PontoMês]] * IF( OR( ISBLANK(tabItens[[#This Row],[ATA Nº/ANO]]), tabItens[[#This Row],[ATA Nº/ANO]] = ""),BE$2,BE$1)),0),0),0)</f>
        <v>0</v>
      </c>
      <c r="BF35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23">
        <f>SUMIF(Consumo!$C$3:$C$869,tabItens[[#This Row],[CÓDIGO]],Consumo!$E$3:$E$869)</f>
        <v>0</v>
      </c>
      <c r="BH357" s="324">
        <f>IF(AND(tabItens[[#This Row],[Pend]] &gt; 0,tabItens[[#This Row],[Consumo]] &lt;&gt; 0), tabItens[[#This Row],[Pend]] / tabItens[[#This Row],[Consumo]], 0 )</f>
        <v>0</v>
      </c>
      <c r="BI357" s="323"/>
      <c r="BJ357" s="323"/>
      <c r="BK357" s="325" t="s">
        <v>2064</v>
      </c>
    </row>
    <row r="358" spans="1:63" hidden="1" x14ac:dyDescent="0.3">
      <c r="A358" s="286">
        <v>12616</v>
      </c>
      <c r="B358" s="287" t="s">
        <v>939</v>
      </c>
      <c r="C358" s="288" t="s">
        <v>894</v>
      </c>
      <c r="D358" s="289">
        <v>21.82</v>
      </c>
      <c r="E358" s="290"/>
      <c r="F358" s="290"/>
      <c r="G358" s="290" t="s">
        <v>883</v>
      </c>
      <c r="H358" s="291">
        <v>29016</v>
      </c>
      <c r="I358" s="292">
        <v>103003</v>
      </c>
      <c r="J358" s="293">
        <v>21.234549999999999</v>
      </c>
      <c r="K358" s="294">
        <v>33095</v>
      </c>
      <c r="L358" s="295">
        <f>IF(tabItens[[#This Row],[Média]] &gt; 0, tabItens[[#This Row],[QTDE ATUAL]] / tabItens[[#This Row],[Média]],999.9)</f>
        <v>6.3798303314583071</v>
      </c>
      <c r="M358" s="296">
        <v>0</v>
      </c>
      <c r="N358" s="297">
        <f>tabItens[[#This Row],[VALOR UNIT.]] * tabItens[[#This Row],[LC]]</f>
        <v>0</v>
      </c>
      <c r="O358" s="298" t="s">
        <v>2069</v>
      </c>
      <c r="P358" s="299"/>
      <c r="Q358" s="300"/>
      <c r="R358" s="297"/>
      <c r="S358" s="301"/>
      <c r="T358" s="302">
        <f>ROUNDDOWN(IFERROR(tabItens[[#This Row],[ATA DT.VALID.]] - $D$1,0) / 30,0)</f>
        <v>-1504</v>
      </c>
      <c r="U358" s="287" t="s">
        <v>895</v>
      </c>
      <c r="V358" s="303">
        <v>1</v>
      </c>
      <c r="W358" s="304" t="s">
        <v>2052</v>
      </c>
      <c r="X358" s="305">
        <v>57</v>
      </c>
      <c r="Y358" s="306">
        <v>19</v>
      </c>
      <c r="Z358" s="307"/>
      <c r="AA358" s="308"/>
      <c r="AB358" s="309"/>
      <c r="AC358" s="309">
        <v>15792</v>
      </c>
      <c r="AD358" s="308">
        <v>2022</v>
      </c>
      <c r="AE358" s="309">
        <v>0</v>
      </c>
      <c r="AF358" s="302">
        <v>50000</v>
      </c>
      <c r="AG358" s="310" t="s">
        <v>2035</v>
      </c>
      <c r="AH358" s="311">
        <v>44960</v>
      </c>
      <c r="AI358" s="302">
        <v>18138</v>
      </c>
      <c r="AJ358" s="311">
        <v>45111</v>
      </c>
      <c r="AK358" s="311" t="s">
        <v>883</v>
      </c>
      <c r="AL358" s="311">
        <v>45107</v>
      </c>
      <c r="AM358" s="301"/>
      <c r="AN358" s="290"/>
      <c r="AO358" s="312" t="str">
        <f>_xlfn.IFNA(IF(VLOOKUP(tabItens[[#This Row],[CÓDIGO]],tabExcluirDoEstoque[#Data],1,FALSE),"sim",""),"")</f>
        <v/>
      </c>
      <c r="AP358" s="313" t="str">
        <f ca="1">IF(OR(ISBLANK(tabItens[[#This Row],[ATA DT.VALID.]]),tabItens[[#This Row],[ATA DT.VALID.]]="",tabItens[[#This Row],[ATA DT.VALID.]]=" "),"",IF(TYPE(tabItens[[#This Row],[ATA DT.VALID.]])=1,ROUNDUP((tabItens[[#This Row],[ATA DT.VALID.]]-TODAY())/7,0),""))</f>
        <v/>
      </c>
      <c r="AQ358" s="314">
        <v>0</v>
      </c>
      <c r="AR358" s="315" t="str">
        <f>IF(ISBLANK(tabItens[[#This Row],[CÓDIGO]]),"",IFERROR(VLOOKUP(tabItens[[#This Row],[CÓDIGO]],Consumo!$C$2:$AC$869,26,FALSE),0))</f>
        <v>07.2023</v>
      </c>
      <c r="AS358" s="316">
        <f>SUMIF(Consumo!$C$3:$C$869,tabItens[[#This Row],[CÓDIGO]],Consumo!$N$3:$N$869) + SUMIF(Consumo!$C$3:$C$869,tabItens[[#This Row],[CÓDIGO]],Consumo!$O$3:$O$869) + SUMIF(Consumo!$C$3:$C$869,tabItens[[#This Row],[CÓDIGO]],Consumo!$P$3:$P$869) + SUMIF(Consumo!$C$3:$C$869,tabItens[[#This Row],[CÓDIGO]],Consumo!$Q$3:$Q$869)</f>
        <v>19646</v>
      </c>
      <c r="AT358" s="316">
        <f>SUMIF(Consumo!$C$3:$C$869,tabItens[[#This Row],[CÓDIGO]],Consumo!$Z$3:$Z$869)</f>
        <v>54679</v>
      </c>
      <c r="AU358" s="317">
        <f>SUMIF(Consumo!$C$3:$C$869,tabItens[[#This Row],[CÓDIGO]],Consumo!$AA$3:$AA$869)</f>
        <v>8557</v>
      </c>
      <c r="AV358" s="318">
        <f>SUMIF(Consumo!$C$3:$C$869,tabItens[[#This Row],[CÓDIGO]],Consumo!$Y$3:$Y$869)</f>
        <v>4548.083333333333</v>
      </c>
      <c r="AW358" s="291">
        <f>tabItens[[#This Row],[QTDE ATUAL]] + tabItens[[#This Row],[RC QTDE]] + tabItens[[#This Row],[AF SALDO]] + tabItens[[#This Row],[Recentes]]</f>
        <v>29016</v>
      </c>
      <c r="AX358" s="319">
        <v>5000</v>
      </c>
      <c r="AY358" s="319">
        <v>4</v>
      </c>
      <c r="AZ358" s="319">
        <f>IF(ISBLANK(tabItens[[#This Row],[CÓDIGO]]),"",tabItens[[#This Row],[PontoMês]] * (AZ$2+tabItens[[#This Row],[PontoQtM]]))</f>
        <v>20000</v>
      </c>
      <c r="BA358" s="318">
        <f>tabItens[[#This Row],[PontoPed]] - tabItens[[#This Row],[Saldo]] + (1/10)</f>
        <v>-9015.9</v>
      </c>
      <c r="BB358" s="318">
        <f xml:space="preserve"> tabItens[[#This Row],[PontoMês]] * BB$2 - tabItens[[#This Row],[QTDE ATUAL]] - (1/10)</f>
        <v>-24016.1</v>
      </c>
      <c r="BC358" s="320">
        <f>IF( tabItens[[#This Row],[PontoPed]]&gt;0, IF(tabItens[[#This Row],[PontoPed]]&lt;1, 1, IF( tabItens[[#This Row],[Saldo]]&gt;tabItens[[#This Row],[PontoPed]], 0, (tabItens[[#This Row],[PontoPed]]-tabItens[[#This Row],[Saldo]])/tabItens[[#This Row],[PontoPed]] ) ), 0 )</f>
        <v>0</v>
      </c>
      <c r="BD358" s="321">
        <f>ROUNDDOWN(IF( OR( AND(tabItens[[#This Row],[PontoPed]]&lt;tabItens[[#This Row],[Saldo]],tabItens[[#This Row],[Saldo]]&gt;0), tabItens[[#This Row],[PontoPed]]=0), 99, IF(AND(tabItens[[#This Row],[Saldo]]=0,tabItens[[#This Row],[PontoPed]]&gt;0), 0, (1-tabItens[[#This Row],[PctAb]])*10 ) ),0)</f>
        <v>99</v>
      </c>
      <c r="BE358" s="322">
        <f>MAX(ROUNDDOWN( IF(tabItens[[#This Row],[Abaixo]] &gt; 0,   tabItens[[#This Row],[Abaixo]] + (tabItens[[#This Row],[PontoMês]] * IF( OR( ISBLANK(tabItens[[#This Row],[ATA Nº/ANO]]), tabItens[[#This Row],[ATA Nº/ANO]] = ""),BE$2,BE$1)),0),0),0)</f>
        <v>0</v>
      </c>
      <c r="BF35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23">
        <f>SUMIF(Consumo!$C$3:$C$869,tabItens[[#This Row],[CÓDIGO]],Consumo!$E$3:$E$869)</f>
        <v>267</v>
      </c>
      <c r="BH358" s="324">
        <f>IF(AND(tabItens[[#This Row],[Pend]] &gt; 0,tabItens[[#This Row],[Consumo]] &lt;&gt; 0), tabItens[[#This Row],[Pend]] / tabItens[[#This Row],[Consumo]], 0 )</f>
        <v>4.8830446789443847E-3</v>
      </c>
      <c r="BI358" s="323"/>
      <c r="BJ358" s="323"/>
      <c r="BK358" s="325" t="s">
        <v>2064</v>
      </c>
    </row>
    <row r="359" spans="1:63" hidden="1" x14ac:dyDescent="0.3">
      <c r="A359" s="286">
        <v>12654</v>
      </c>
      <c r="B359" s="287" t="s">
        <v>948</v>
      </c>
      <c r="C359" s="288" t="s">
        <v>268</v>
      </c>
      <c r="D359" s="289">
        <v>3.81</v>
      </c>
      <c r="E359" s="290"/>
      <c r="F359" s="290"/>
      <c r="G359" s="290" t="s">
        <v>883</v>
      </c>
      <c r="H359" s="291">
        <v>85443</v>
      </c>
      <c r="I359" s="292">
        <v>103003</v>
      </c>
      <c r="J359" s="293">
        <v>3.81</v>
      </c>
      <c r="K359" s="294">
        <v>57678</v>
      </c>
      <c r="L359" s="295">
        <f>IF(tabItens[[#This Row],[Média]] &gt; 0, tabItens[[#This Row],[QTDE ATUAL]] / tabItens[[#This Row],[Média]],999.9)</f>
        <v>10.582377772502555</v>
      </c>
      <c r="M359" s="296">
        <v>0</v>
      </c>
      <c r="N359" s="297">
        <f>tabItens[[#This Row],[VALOR UNIT.]] * tabItens[[#This Row],[LC]]</f>
        <v>0</v>
      </c>
      <c r="O359" s="298" t="s">
        <v>2070</v>
      </c>
      <c r="P359" s="299"/>
      <c r="Q359" s="300"/>
      <c r="R359" s="297"/>
      <c r="S359" s="301"/>
      <c r="T359" s="302">
        <f>ROUNDDOWN(IFERROR(tabItens[[#This Row],[ATA DT.VALID.]] - $D$1,0) / 30,0)</f>
        <v>-1504</v>
      </c>
      <c r="U359" s="287" t="s">
        <v>947</v>
      </c>
      <c r="V359" s="303">
        <v>1</v>
      </c>
      <c r="W359" s="304" t="s">
        <v>2051</v>
      </c>
      <c r="X359" s="305">
        <v>52</v>
      </c>
      <c r="Y359" s="306">
        <v>6</v>
      </c>
      <c r="Z359" s="307"/>
      <c r="AA359" s="308"/>
      <c r="AB359" s="309"/>
      <c r="AC359" s="309"/>
      <c r="AD359" s="308"/>
      <c r="AE359" s="309"/>
      <c r="AF359" s="302"/>
      <c r="AG359" s="310" t="s">
        <v>2050</v>
      </c>
      <c r="AH359" s="311"/>
      <c r="AI359" s="302">
        <v>34730</v>
      </c>
      <c r="AJ359" s="311">
        <v>44950</v>
      </c>
      <c r="AK359" s="311" t="s">
        <v>883</v>
      </c>
      <c r="AL359" s="311">
        <v>45008</v>
      </c>
      <c r="AM359" s="301"/>
      <c r="AN359" s="290"/>
      <c r="AO359" s="312" t="str">
        <f>_xlfn.IFNA(IF(VLOOKUP(tabItens[[#This Row],[CÓDIGO]],tabExcluirDoEstoque[#Data],1,FALSE),"sim",""),"")</f>
        <v/>
      </c>
      <c r="AP359" s="313" t="str">
        <f ca="1">IF(OR(ISBLANK(tabItens[[#This Row],[ATA DT.VALID.]]),tabItens[[#This Row],[ATA DT.VALID.]]="",tabItens[[#This Row],[ATA DT.VALID.]]=" "),"",IF(TYPE(tabItens[[#This Row],[ATA DT.VALID.]])=1,ROUNDUP((tabItens[[#This Row],[ATA DT.VALID.]]-TODAY())/7,0),""))</f>
        <v/>
      </c>
      <c r="AQ359" s="314">
        <v>0</v>
      </c>
      <c r="AR359" s="315" t="str">
        <f>IF(ISBLANK(tabItens[[#This Row],[CÓDIGO]]),"",IFERROR(VLOOKUP(tabItens[[#This Row],[CÓDIGO]],Consumo!$C$2:$AC$869,26,FALSE),0))</f>
        <v>07.2023</v>
      </c>
      <c r="AS359" s="316">
        <f>SUMIF(Consumo!$C$3:$C$869,tabItens[[#This Row],[CÓDIGO]],Consumo!$N$3:$N$869) + SUMIF(Consumo!$C$3:$C$869,tabItens[[#This Row],[CÓDIGO]],Consumo!$O$3:$O$869) + SUMIF(Consumo!$C$3:$C$869,tabItens[[#This Row],[CÓDIGO]],Consumo!$P$3:$P$869) + SUMIF(Consumo!$C$3:$C$869,tabItens[[#This Row],[CÓDIGO]],Consumo!$Q$3:$Q$869)</f>
        <v>36675</v>
      </c>
      <c r="AT359" s="316">
        <f>SUMIF(Consumo!$C$3:$C$869,tabItens[[#This Row],[CÓDIGO]],Consumo!$Z$3:$Z$869)</f>
        <v>96889</v>
      </c>
      <c r="AU359" s="317">
        <f>SUMIF(Consumo!$C$3:$C$869,tabItens[[#This Row],[CÓDIGO]],Consumo!$AA$3:$AA$869)</f>
        <v>13289</v>
      </c>
      <c r="AV359" s="318">
        <f>SUMIF(Consumo!$C$3:$C$869,tabItens[[#This Row],[CÓDIGO]],Consumo!$Y$3:$Y$869)</f>
        <v>8074.083333333333</v>
      </c>
      <c r="AW359" s="291">
        <f>tabItens[[#This Row],[QTDE ATUAL]] + tabItens[[#This Row],[RC QTDE]] + tabItens[[#This Row],[AF SALDO]] + tabItens[[#This Row],[Recentes]]</f>
        <v>85443</v>
      </c>
      <c r="AX359" s="319">
        <v>6016</v>
      </c>
      <c r="AY359" s="319">
        <v>3</v>
      </c>
      <c r="AZ359" s="319">
        <f>IF(ISBLANK(tabItens[[#This Row],[CÓDIGO]]),"",tabItens[[#This Row],[PontoMês]] * (AZ$2+tabItens[[#This Row],[PontoQtM]]))</f>
        <v>18048</v>
      </c>
      <c r="BA359" s="318">
        <f>tabItens[[#This Row],[PontoPed]] - tabItens[[#This Row],[Saldo]] + (1/10)</f>
        <v>-67394.899999999994</v>
      </c>
      <c r="BB359" s="318">
        <f xml:space="preserve"> tabItens[[#This Row],[PontoMês]] * BB$2 - tabItens[[#This Row],[QTDE ATUAL]] - (1/10)</f>
        <v>-79427.100000000006</v>
      </c>
      <c r="BC359" s="320">
        <f>IF( tabItens[[#This Row],[PontoPed]]&gt;0, IF(tabItens[[#This Row],[PontoPed]]&lt;1, 1, IF( tabItens[[#This Row],[Saldo]]&gt;tabItens[[#This Row],[PontoPed]], 0, (tabItens[[#This Row],[PontoPed]]-tabItens[[#This Row],[Saldo]])/tabItens[[#This Row],[PontoPed]] ) ), 0 )</f>
        <v>0</v>
      </c>
      <c r="BD359" s="321">
        <f>ROUNDDOWN(IF( OR( AND(tabItens[[#This Row],[PontoPed]]&lt;tabItens[[#This Row],[Saldo]],tabItens[[#This Row],[Saldo]]&gt;0), tabItens[[#This Row],[PontoPed]]=0), 99, IF(AND(tabItens[[#This Row],[Saldo]]=0,tabItens[[#This Row],[PontoPed]]&gt;0), 0, (1-tabItens[[#This Row],[PctAb]])*10 ) ),0)</f>
        <v>99</v>
      </c>
      <c r="BE359" s="322">
        <f>MAX(ROUNDDOWN( IF(tabItens[[#This Row],[Abaixo]] &gt; 0,   tabItens[[#This Row],[Abaixo]] + (tabItens[[#This Row],[PontoMês]] * IF( OR( ISBLANK(tabItens[[#This Row],[ATA Nº/ANO]]), tabItens[[#This Row],[ATA Nº/ANO]] = ""),BE$2,BE$1)),0),0),0)</f>
        <v>0</v>
      </c>
      <c r="BF35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23">
        <f>SUMIF(Consumo!$C$3:$C$869,tabItens[[#This Row],[CÓDIGO]],Consumo!$E$3:$E$869)</f>
        <v>239</v>
      </c>
      <c r="BH359" s="324">
        <f>IF(AND(tabItens[[#This Row],[Pend]] &gt; 0,tabItens[[#This Row],[Consumo]] &lt;&gt; 0), tabItens[[#This Row],[Pend]] / tabItens[[#This Row],[Consumo]], 0 )</f>
        <v>2.4667402904354468E-3</v>
      </c>
      <c r="BI359" s="323"/>
      <c r="BJ359" s="323"/>
      <c r="BK359" s="325" t="s">
        <v>2064</v>
      </c>
    </row>
    <row r="360" spans="1:63" hidden="1" x14ac:dyDescent="0.3">
      <c r="A360" s="286">
        <v>26504</v>
      </c>
      <c r="B360" s="287" t="s">
        <v>1212</v>
      </c>
      <c r="C360" s="288" t="s">
        <v>256</v>
      </c>
      <c r="D360" s="289">
        <v>14.2</v>
      </c>
      <c r="E360" s="290"/>
      <c r="F360" s="290"/>
      <c r="G360" s="290" t="s">
        <v>883</v>
      </c>
      <c r="H360" s="291">
        <v>750</v>
      </c>
      <c r="I360" s="292">
        <v>103003</v>
      </c>
      <c r="J360" s="293">
        <v>14.2</v>
      </c>
      <c r="K360" s="294"/>
      <c r="L360" s="295">
        <f>IF(tabItens[[#This Row],[Média]] &gt; 0, tabItens[[#This Row],[QTDE ATUAL]] / tabItens[[#This Row],[Média]],999.9)</f>
        <v>999.9</v>
      </c>
      <c r="M360" s="296">
        <v>0</v>
      </c>
      <c r="N360" s="297">
        <f>tabItens[[#This Row],[VALOR UNIT.]] * tabItens[[#This Row],[LC]]</f>
        <v>0</v>
      </c>
      <c r="O360" s="298" t="s">
        <v>2114</v>
      </c>
      <c r="P360" s="299"/>
      <c r="Q360" s="300"/>
      <c r="R360" s="297"/>
      <c r="S360" s="301"/>
      <c r="T360" s="302">
        <f>ROUNDDOWN(IFERROR(tabItens[[#This Row],[ATA DT.VALID.]] - $D$1,0) / 30,0)</f>
        <v>-1504</v>
      </c>
      <c r="U360" s="287" t="s">
        <v>1213</v>
      </c>
      <c r="V360" s="303">
        <v>1</v>
      </c>
      <c r="W360" s="304" t="s">
        <v>2052</v>
      </c>
      <c r="X360" s="305">
        <v>78</v>
      </c>
      <c r="Y360" s="306">
        <v>6</v>
      </c>
      <c r="Z360" s="307"/>
      <c r="AA360" s="308"/>
      <c r="AB360" s="309"/>
      <c r="AC360" s="309"/>
      <c r="AD360" s="308"/>
      <c r="AE360" s="309"/>
      <c r="AF360" s="302"/>
      <c r="AG360" s="310" t="s">
        <v>2050</v>
      </c>
      <c r="AH360" s="311"/>
      <c r="AI360" s="302">
        <v>0</v>
      </c>
      <c r="AJ360" s="311">
        <v>43777</v>
      </c>
      <c r="AK360" s="311" t="s">
        <v>883</v>
      </c>
      <c r="AL360" s="311">
        <v>43840</v>
      </c>
      <c r="AM360" s="301"/>
      <c r="AN360" s="290"/>
      <c r="AO360" s="312" t="str">
        <f>_xlfn.IFNA(IF(VLOOKUP(tabItens[[#This Row],[CÓDIGO]],tabExcluirDoEstoque[#Data],1,FALSE),"sim",""),"")</f>
        <v/>
      </c>
      <c r="AP360" s="313" t="str">
        <f ca="1">IF(OR(ISBLANK(tabItens[[#This Row],[ATA DT.VALID.]]),tabItens[[#This Row],[ATA DT.VALID.]]="",tabItens[[#This Row],[ATA DT.VALID.]]=" "),"",IF(TYPE(tabItens[[#This Row],[ATA DT.VALID.]])=1,ROUNDUP((tabItens[[#This Row],[ATA DT.VALID.]]-TODAY())/7,0),""))</f>
        <v/>
      </c>
      <c r="AQ360" s="314">
        <v>0</v>
      </c>
      <c r="AR360" s="315">
        <f>IF(ISBLANK(tabItens[[#This Row],[CÓDIGO]]),"",IFERROR(VLOOKUP(tabItens[[#This Row],[CÓDIGO]],Consumo!$C$2:$AC$869,26,FALSE),0))</f>
        <v>0</v>
      </c>
      <c r="AS360" s="316">
        <f>SUMIF(Consumo!$C$3:$C$869,tabItens[[#This Row],[CÓDIGO]],Consumo!$N$3:$N$869) + SUMIF(Consumo!$C$3:$C$869,tabItens[[#This Row],[CÓDIGO]],Consumo!$O$3:$O$869) + SUMIF(Consumo!$C$3:$C$869,tabItens[[#This Row],[CÓDIGO]],Consumo!$P$3:$P$869) + SUMIF(Consumo!$C$3:$C$869,tabItens[[#This Row],[CÓDIGO]],Consumo!$Q$3:$Q$869)</f>
        <v>0</v>
      </c>
      <c r="AT360" s="316">
        <f>SUMIF(Consumo!$C$3:$C$869,tabItens[[#This Row],[CÓDIGO]],Consumo!$Z$3:$Z$869)</f>
        <v>0</v>
      </c>
      <c r="AU360" s="317">
        <f>SUMIF(Consumo!$C$3:$C$869,tabItens[[#This Row],[CÓDIGO]],Consumo!$AA$3:$AA$869)</f>
        <v>0</v>
      </c>
      <c r="AV360" s="318">
        <f>SUMIF(Consumo!$C$3:$C$869,tabItens[[#This Row],[CÓDIGO]],Consumo!$Y$3:$Y$869)</f>
        <v>0</v>
      </c>
      <c r="AW360" s="291">
        <f>tabItens[[#This Row],[QTDE ATUAL]] + tabItens[[#This Row],[RC QTDE]] + tabItens[[#This Row],[AF SALDO]] + tabItens[[#This Row],[Recentes]]</f>
        <v>750</v>
      </c>
      <c r="AX360" s="319">
        <v>125</v>
      </c>
      <c r="AY360" s="319">
        <v>4</v>
      </c>
      <c r="AZ360" s="319">
        <f>IF(ISBLANK(tabItens[[#This Row],[CÓDIGO]]),"",tabItens[[#This Row],[PontoMês]] * (AZ$2+tabItens[[#This Row],[PontoQtM]]))</f>
        <v>500</v>
      </c>
      <c r="BA360" s="318">
        <f>tabItens[[#This Row],[PontoPed]] - tabItens[[#This Row],[Saldo]] + (1/10)</f>
        <v>-249.9</v>
      </c>
      <c r="BB360" s="318">
        <f xml:space="preserve"> tabItens[[#This Row],[PontoMês]] * BB$2 - tabItens[[#This Row],[QTDE ATUAL]] - (1/10)</f>
        <v>-625.1</v>
      </c>
      <c r="BC360" s="320">
        <f>IF( tabItens[[#This Row],[PontoPed]]&gt;0, IF(tabItens[[#This Row],[PontoPed]]&lt;1, 1, IF( tabItens[[#This Row],[Saldo]]&gt;tabItens[[#This Row],[PontoPed]], 0, (tabItens[[#This Row],[PontoPed]]-tabItens[[#This Row],[Saldo]])/tabItens[[#This Row],[PontoPed]] ) ), 0 )</f>
        <v>0</v>
      </c>
      <c r="BD360" s="321">
        <f>ROUNDDOWN(IF( OR( AND(tabItens[[#This Row],[PontoPed]]&lt;tabItens[[#This Row],[Saldo]],tabItens[[#This Row],[Saldo]]&gt;0), tabItens[[#This Row],[PontoPed]]=0), 99, IF(AND(tabItens[[#This Row],[Saldo]]=0,tabItens[[#This Row],[PontoPed]]&gt;0), 0, (1-tabItens[[#This Row],[PctAb]])*10 ) ),0)</f>
        <v>99</v>
      </c>
      <c r="BE360" s="322">
        <f>MAX(ROUNDDOWN( IF(tabItens[[#This Row],[Abaixo]] &gt; 0,   tabItens[[#This Row],[Abaixo]] + (tabItens[[#This Row],[PontoMês]] * IF( OR( ISBLANK(tabItens[[#This Row],[ATA Nº/ANO]]), tabItens[[#This Row],[ATA Nº/ANO]] = ""),BE$2,BE$1)),0),0),0)</f>
        <v>0</v>
      </c>
      <c r="BF36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23">
        <f>SUMIF(Consumo!$C$3:$C$869,tabItens[[#This Row],[CÓDIGO]],Consumo!$E$3:$E$869)</f>
        <v>0</v>
      </c>
      <c r="BH360" s="324">
        <f>IF(AND(tabItens[[#This Row],[Pend]] &gt; 0,tabItens[[#This Row],[Consumo]] &lt;&gt; 0), tabItens[[#This Row],[Pend]] / tabItens[[#This Row],[Consumo]], 0 )</f>
        <v>0</v>
      </c>
      <c r="BI360" s="323"/>
      <c r="BJ360" s="323"/>
      <c r="BK360" s="325" t="s">
        <v>2064</v>
      </c>
    </row>
    <row r="361" spans="1:63" hidden="1" x14ac:dyDescent="0.3">
      <c r="A361" s="286">
        <v>26506</v>
      </c>
      <c r="B361" s="287" t="s">
        <v>1214</v>
      </c>
      <c r="C361" s="288" t="s">
        <v>256</v>
      </c>
      <c r="D361" s="289">
        <v>20.5</v>
      </c>
      <c r="E361" s="290"/>
      <c r="F361" s="290"/>
      <c r="G361" s="290" t="s">
        <v>883</v>
      </c>
      <c r="H361" s="291">
        <v>750</v>
      </c>
      <c r="I361" s="292">
        <v>103003</v>
      </c>
      <c r="J361" s="293">
        <v>20.5</v>
      </c>
      <c r="K361" s="294"/>
      <c r="L361" s="295">
        <f>IF(tabItens[[#This Row],[Média]] &gt; 0, tabItens[[#This Row],[QTDE ATUAL]] / tabItens[[#This Row],[Média]],999.9)</f>
        <v>999.9</v>
      </c>
      <c r="M361" s="296">
        <v>0</v>
      </c>
      <c r="N361" s="297">
        <f>tabItens[[#This Row],[VALOR UNIT.]] * tabItens[[#This Row],[LC]]</f>
        <v>0</v>
      </c>
      <c r="O361" s="298" t="s">
        <v>2114</v>
      </c>
      <c r="P361" s="299"/>
      <c r="Q361" s="300"/>
      <c r="R361" s="297"/>
      <c r="S361" s="301"/>
      <c r="T361" s="302">
        <f>ROUNDDOWN(IFERROR(tabItens[[#This Row],[ATA DT.VALID.]] - $D$1,0) / 30,0)</f>
        <v>-1504</v>
      </c>
      <c r="U361" s="287" t="s">
        <v>1213</v>
      </c>
      <c r="V361" s="303">
        <v>1</v>
      </c>
      <c r="W361" s="304" t="s">
        <v>2052</v>
      </c>
      <c r="X361" s="305">
        <v>78</v>
      </c>
      <c r="Y361" s="306">
        <v>6</v>
      </c>
      <c r="Z361" s="307"/>
      <c r="AA361" s="308"/>
      <c r="AB361" s="309"/>
      <c r="AC361" s="309"/>
      <c r="AD361" s="308"/>
      <c r="AE361" s="309"/>
      <c r="AF361" s="302"/>
      <c r="AG361" s="310" t="s">
        <v>2050</v>
      </c>
      <c r="AH361" s="311"/>
      <c r="AI361" s="302">
        <v>0</v>
      </c>
      <c r="AJ361" s="311">
        <v>43777</v>
      </c>
      <c r="AK361" s="311" t="s">
        <v>883</v>
      </c>
      <c r="AL361" s="311">
        <v>43840</v>
      </c>
      <c r="AM361" s="301"/>
      <c r="AN361" s="290"/>
      <c r="AO361" s="312" t="str">
        <f>_xlfn.IFNA(IF(VLOOKUP(tabItens[[#This Row],[CÓDIGO]],tabExcluirDoEstoque[#Data],1,FALSE),"sim",""),"")</f>
        <v/>
      </c>
      <c r="AP361" s="313" t="str">
        <f ca="1">IF(OR(ISBLANK(tabItens[[#This Row],[ATA DT.VALID.]]),tabItens[[#This Row],[ATA DT.VALID.]]="",tabItens[[#This Row],[ATA DT.VALID.]]=" "),"",IF(TYPE(tabItens[[#This Row],[ATA DT.VALID.]])=1,ROUNDUP((tabItens[[#This Row],[ATA DT.VALID.]]-TODAY())/7,0),""))</f>
        <v/>
      </c>
      <c r="AQ361" s="314">
        <v>0</v>
      </c>
      <c r="AR361" s="315">
        <f>IF(ISBLANK(tabItens[[#This Row],[CÓDIGO]]),"",IFERROR(VLOOKUP(tabItens[[#This Row],[CÓDIGO]],Consumo!$C$2:$AC$869,26,FALSE),0))</f>
        <v>0</v>
      </c>
      <c r="AS361" s="316">
        <f>SUMIF(Consumo!$C$3:$C$869,tabItens[[#This Row],[CÓDIGO]],Consumo!$N$3:$N$869) + SUMIF(Consumo!$C$3:$C$869,tabItens[[#This Row],[CÓDIGO]],Consumo!$O$3:$O$869) + SUMIF(Consumo!$C$3:$C$869,tabItens[[#This Row],[CÓDIGO]],Consumo!$P$3:$P$869) + SUMIF(Consumo!$C$3:$C$869,tabItens[[#This Row],[CÓDIGO]],Consumo!$Q$3:$Q$869)</f>
        <v>0</v>
      </c>
      <c r="AT361" s="316">
        <f>SUMIF(Consumo!$C$3:$C$869,tabItens[[#This Row],[CÓDIGO]],Consumo!$Z$3:$Z$869)</f>
        <v>0</v>
      </c>
      <c r="AU361" s="317">
        <f>SUMIF(Consumo!$C$3:$C$869,tabItens[[#This Row],[CÓDIGO]],Consumo!$AA$3:$AA$869)</f>
        <v>0</v>
      </c>
      <c r="AV361" s="318">
        <f>SUMIF(Consumo!$C$3:$C$869,tabItens[[#This Row],[CÓDIGO]],Consumo!$Y$3:$Y$869)</f>
        <v>0</v>
      </c>
      <c r="AW361" s="291">
        <f>tabItens[[#This Row],[QTDE ATUAL]] + tabItens[[#This Row],[RC QTDE]] + tabItens[[#This Row],[AF SALDO]] + tabItens[[#This Row],[Recentes]]</f>
        <v>750</v>
      </c>
      <c r="AX361" s="319">
        <v>125</v>
      </c>
      <c r="AY361" s="319">
        <v>4</v>
      </c>
      <c r="AZ361" s="319">
        <f>IF(ISBLANK(tabItens[[#This Row],[CÓDIGO]]),"",tabItens[[#This Row],[PontoMês]] * (AZ$2+tabItens[[#This Row],[PontoQtM]]))</f>
        <v>500</v>
      </c>
      <c r="BA361" s="318">
        <f>tabItens[[#This Row],[PontoPed]] - tabItens[[#This Row],[Saldo]] + (1/10)</f>
        <v>-249.9</v>
      </c>
      <c r="BB361" s="318">
        <f xml:space="preserve"> tabItens[[#This Row],[PontoMês]] * BB$2 - tabItens[[#This Row],[QTDE ATUAL]] - (1/10)</f>
        <v>-625.1</v>
      </c>
      <c r="BC361" s="320">
        <f>IF( tabItens[[#This Row],[PontoPed]]&gt;0, IF(tabItens[[#This Row],[PontoPed]]&lt;1, 1, IF( tabItens[[#This Row],[Saldo]]&gt;tabItens[[#This Row],[PontoPed]], 0, (tabItens[[#This Row],[PontoPed]]-tabItens[[#This Row],[Saldo]])/tabItens[[#This Row],[PontoPed]] ) ), 0 )</f>
        <v>0</v>
      </c>
      <c r="BD361" s="321">
        <f>ROUNDDOWN(IF( OR( AND(tabItens[[#This Row],[PontoPed]]&lt;tabItens[[#This Row],[Saldo]],tabItens[[#This Row],[Saldo]]&gt;0), tabItens[[#This Row],[PontoPed]]=0), 99, IF(AND(tabItens[[#This Row],[Saldo]]=0,tabItens[[#This Row],[PontoPed]]&gt;0), 0, (1-tabItens[[#This Row],[PctAb]])*10 ) ),0)</f>
        <v>99</v>
      </c>
      <c r="BE361" s="322">
        <f>MAX(ROUNDDOWN( IF(tabItens[[#This Row],[Abaixo]] &gt; 0,   tabItens[[#This Row],[Abaixo]] + (tabItens[[#This Row],[PontoMês]] * IF( OR( ISBLANK(tabItens[[#This Row],[ATA Nº/ANO]]), tabItens[[#This Row],[ATA Nº/ANO]] = ""),BE$2,BE$1)),0),0),0)</f>
        <v>0</v>
      </c>
      <c r="BF3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23">
        <f>SUMIF(Consumo!$C$3:$C$869,tabItens[[#This Row],[CÓDIGO]],Consumo!$E$3:$E$869)</f>
        <v>0</v>
      </c>
      <c r="BH361" s="324">
        <f>IF(AND(tabItens[[#This Row],[Pend]] &gt; 0,tabItens[[#This Row],[Consumo]] &lt;&gt; 0), tabItens[[#This Row],[Pend]] / tabItens[[#This Row],[Consumo]], 0 )</f>
        <v>0</v>
      </c>
      <c r="BI361" s="323"/>
      <c r="BJ361" s="323"/>
      <c r="BK361" s="325" t="s">
        <v>2064</v>
      </c>
    </row>
    <row r="362" spans="1:63" hidden="1" x14ac:dyDescent="0.3">
      <c r="A362" s="286">
        <v>80298</v>
      </c>
      <c r="B362" s="287" t="s">
        <v>1451</v>
      </c>
      <c r="C362" s="288" t="s">
        <v>256</v>
      </c>
      <c r="D362" s="289">
        <v>1240</v>
      </c>
      <c r="E362" s="290"/>
      <c r="F362" s="290"/>
      <c r="G362" s="290" t="s">
        <v>883</v>
      </c>
      <c r="H362" s="291">
        <v>35</v>
      </c>
      <c r="I362" s="292">
        <v>103003</v>
      </c>
      <c r="J362" s="293">
        <v>1240</v>
      </c>
      <c r="K362" s="294">
        <v>9</v>
      </c>
      <c r="L362" s="295">
        <f>IF(tabItens[[#This Row],[Média]] &gt; 0, tabItens[[#This Row],[QTDE ATUAL]] / tabItens[[#This Row],[Média]],999.9)</f>
        <v>46.666666666666664</v>
      </c>
      <c r="M362" s="296">
        <v>0</v>
      </c>
      <c r="N362" s="297">
        <f>tabItens[[#This Row],[VALOR UNIT.]] * tabItens[[#This Row],[LC]]</f>
        <v>0</v>
      </c>
      <c r="O362" s="298" t="s">
        <v>2142</v>
      </c>
      <c r="P362" s="299"/>
      <c r="Q362" s="300"/>
      <c r="R362" s="297"/>
      <c r="S362" s="301"/>
      <c r="T362" s="302">
        <f>ROUNDDOWN(IFERROR(tabItens[[#This Row],[ATA DT.VALID.]] - $D$1,0) / 30,0)</f>
        <v>-1504</v>
      </c>
      <c r="U362" s="287" t="s">
        <v>1323</v>
      </c>
      <c r="V362" s="303">
        <v>1</v>
      </c>
      <c r="W362" s="304" t="s">
        <v>2049</v>
      </c>
      <c r="X362" s="305">
        <v>51</v>
      </c>
      <c r="Y362" s="306">
        <v>30</v>
      </c>
      <c r="Z362" s="307"/>
      <c r="AA362" s="308"/>
      <c r="AB362" s="309"/>
      <c r="AC362" s="309"/>
      <c r="AD362" s="308"/>
      <c r="AE362" s="309"/>
      <c r="AF362" s="302"/>
      <c r="AG362" s="310" t="s">
        <v>2050</v>
      </c>
      <c r="AH362" s="311"/>
      <c r="AI362" s="302">
        <v>4</v>
      </c>
      <c r="AJ362" s="311">
        <v>44525</v>
      </c>
      <c r="AK362" s="311">
        <v>38166</v>
      </c>
      <c r="AL362" s="311">
        <v>44508</v>
      </c>
      <c r="AM362" s="301"/>
      <c r="AN362" s="290"/>
      <c r="AO362" s="312" t="str">
        <f>_xlfn.IFNA(IF(VLOOKUP(tabItens[[#This Row],[CÓDIGO]],tabExcluirDoEstoque[#Data],1,FALSE),"sim",""),"")</f>
        <v/>
      </c>
      <c r="AP362" s="313" t="str">
        <f ca="1">IF(OR(ISBLANK(tabItens[[#This Row],[ATA DT.VALID.]]),tabItens[[#This Row],[ATA DT.VALID.]]="",tabItens[[#This Row],[ATA DT.VALID.]]=" "),"",IF(TYPE(tabItens[[#This Row],[ATA DT.VALID.]])=1,ROUNDUP((tabItens[[#This Row],[ATA DT.VALID.]]-TODAY())/7,0),""))</f>
        <v/>
      </c>
      <c r="AQ362" s="314">
        <v>0</v>
      </c>
      <c r="AR362" s="315" t="str">
        <f>IF(ISBLANK(tabItens[[#This Row],[CÓDIGO]]),"",IFERROR(VLOOKUP(tabItens[[#This Row],[CÓDIGO]],Consumo!$C$2:$AC$869,26,FALSE),0))</f>
        <v>06.2023</v>
      </c>
      <c r="AS362" s="316">
        <f>SUMIF(Consumo!$C$3:$C$869,tabItens[[#This Row],[CÓDIGO]],Consumo!$N$3:$N$869) + SUMIF(Consumo!$C$3:$C$869,tabItens[[#This Row],[CÓDIGO]],Consumo!$O$3:$O$869) + SUMIF(Consumo!$C$3:$C$869,tabItens[[#This Row],[CÓDIGO]],Consumo!$P$3:$P$869) + SUMIF(Consumo!$C$3:$C$869,tabItens[[#This Row],[CÓDIGO]],Consumo!$Q$3:$Q$869)</f>
        <v>2</v>
      </c>
      <c r="AT362" s="316">
        <f>SUMIF(Consumo!$C$3:$C$869,tabItens[[#This Row],[CÓDIGO]],Consumo!$Z$3:$Z$869)</f>
        <v>9</v>
      </c>
      <c r="AU362" s="317">
        <f>SUMIF(Consumo!$C$3:$C$869,tabItens[[#This Row],[CÓDIGO]],Consumo!$AA$3:$AA$869)</f>
        <v>2</v>
      </c>
      <c r="AV362" s="318">
        <f>SUMIF(Consumo!$C$3:$C$869,tabItens[[#This Row],[CÓDIGO]],Consumo!$Y$3:$Y$869)</f>
        <v>0.75</v>
      </c>
      <c r="AW362" s="291">
        <f>tabItens[[#This Row],[QTDE ATUAL]] + tabItens[[#This Row],[RC QTDE]] + tabItens[[#This Row],[AF SALDO]] + tabItens[[#This Row],[Recentes]]</f>
        <v>35</v>
      </c>
      <c r="AX362" s="319">
        <v>5</v>
      </c>
      <c r="AY362" s="319">
        <v>4</v>
      </c>
      <c r="AZ362" s="319">
        <f>IF(ISBLANK(tabItens[[#This Row],[CÓDIGO]]),"",tabItens[[#This Row],[PontoMês]] * (AZ$2+tabItens[[#This Row],[PontoQtM]]))</f>
        <v>20</v>
      </c>
      <c r="BA362" s="318">
        <f>tabItens[[#This Row],[PontoPed]] - tabItens[[#This Row],[Saldo]] + (1/10)</f>
        <v>-14.9</v>
      </c>
      <c r="BB362" s="318">
        <f xml:space="preserve"> tabItens[[#This Row],[PontoMês]] * BB$2 - tabItens[[#This Row],[QTDE ATUAL]] - (1/10)</f>
        <v>-30.1</v>
      </c>
      <c r="BC362" s="320">
        <f>IF( tabItens[[#This Row],[PontoPed]]&gt;0, IF(tabItens[[#This Row],[PontoPed]]&lt;1, 1, IF( tabItens[[#This Row],[Saldo]]&gt;tabItens[[#This Row],[PontoPed]], 0, (tabItens[[#This Row],[PontoPed]]-tabItens[[#This Row],[Saldo]])/tabItens[[#This Row],[PontoPed]] ) ), 0 )</f>
        <v>0</v>
      </c>
      <c r="BD362" s="321">
        <f>ROUNDDOWN(IF( OR( AND(tabItens[[#This Row],[PontoPed]]&lt;tabItens[[#This Row],[Saldo]],tabItens[[#This Row],[Saldo]]&gt;0), tabItens[[#This Row],[PontoPed]]=0), 99, IF(AND(tabItens[[#This Row],[Saldo]]=0,tabItens[[#This Row],[PontoPed]]&gt;0), 0, (1-tabItens[[#This Row],[PctAb]])*10 ) ),0)</f>
        <v>99</v>
      </c>
      <c r="BE362" s="322">
        <f>MAX(ROUNDDOWN( IF(tabItens[[#This Row],[Abaixo]] &gt; 0,   tabItens[[#This Row],[Abaixo]] + (tabItens[[#This Row],[PontoMês]] * IF( OR( ISBLANK(tabItens[[#This Row],[ATA Nº/ANO]]), tabItens[[#This Row],[ATA Nº/ANO]] = ""),BE$2,BE$1)),0),0),0)</f>
        <v>0</v>
      </c>
      <c r="BF3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23">
        <f>SUMIF(Consumo!$C$3:$C$869,tabItens[[#This Row],[CÓDIGO]],Consumo!$E$3:$E$869)</f>
        <v>0</v>
      </c>
      <c r="BH362" s="324">
        <f>IF(AND(tabItens[[#This Row],[Pend]] &gt; 0,tabItens[[#This Row],[Consumo]] &lt;&gt; 0), tabItens[[#This Row],[Pend]] / tabItens[[#This Row],[Consumo]], 0 )</f>
        <v>0</v>
      </c>
      <c r="BI362" s="323"/>
      <c r="BJ362" s="323"/>
      <c r="BK362" s="325" t="s">
        <v>2064</v>
      </c>
    </row>
    <row r="363" spans="1:63" hidden="1" x14ac:dyDescent="0.3">
      <c r="A363" s="286">
        <v>129962</v>
      </c>
      <c r="B363" s="287" t="s">
        <v>1789</v>
      </c>
      <c r="C363" s="288" t="s">
        <v>256</v>
      </c>
      <c r="D363" s="289">
        <v>351.97</v>
      </c>
      <c r="E363" s="290"/>
      <c r="F363" s="290"/>
      <c r="G363" s="290" t="s">
        <v>883</v>
      </c>
      <c r="H363" s="291">
        <v>7</v>
      </c>
      <c r="I363" s="292">
        <v>103003</v>
      </c>
      <c r="J363" s="293">
        <v>351.97</v>
      </c>
      <c r="K363" s="294">
        <v>3</v>
      </c>
      <c r="L363" s="295">
        <f>IF(tabItens[[#This Row],[Média]] &gt; 0, tabItens[[#This Row],[QTDE ATUAL]] / tabItens[[#This Row],[Média]],999.9)</f>
        <v>42</v>
      </c>
      <c r="M363" s="296">
        <v>0</v>
      </c>
      <c r="N363" s="297">
        <f>tabItens[[#This Row],[VALOR UNIT.]] * tabItens[[#This Row],[LC]]</f>
        <v>0</v>
      </c>
      <c r="O363" s="298" t="s">
        <v>2172</v>
      </c>
      <c r="P363" s="299"/>
      <c r="Q363" s="300"/>
      <c r="R363" s="297"/>
      <c r="S363" s="301"/>
      <c r="T363" s="302">
        <f>ROUNDDOWN(IFERROR(tabItens[[#This Row],[ATA DT.VALID.]] - $D$1,0) / 30,0)</f>
        <v>-1504</v>
      </c>
      <c r="U363" s="287" t="s">
        <v>1491</v>
      </c>
      <c r="V363" s="303">
        <v>1</v>
      </c>
      <c r="W363" s="304" t="s">
        <v>2055</v>
      </c>
      <c r="X363" s="305">
        <v>55</v>
      </c>
      <c r="Y363" s="306">
        <v>26</v>
      </c>
      <c r="Z363" s="307">
        <v>2956</v>
      </c>
      <c r="AA363" s="308">
        <v>2023</v>
      </c>
      <c r="AB363" s="309">
        <v>3</v>
      </c>
      <c r="AC363" s="309"/>
      <c r="AD363" s="308"/>
      <c r="AE363" s="309"/>
      <c r="AF363" s="302"/>
      <c r="AG363" s="310" t="s">
        <v>2050</v>
      </c>
      <c r="AH363" s="311"/>
      <c r="AI363" s="302">
        <v>2</v>
      </c>
      <c r="AJ363" s="311">
        <v>43642</v>
      </c>
      <c r="AK363" s="311">
        <v>42046</v>
      </c>
      <c r="AL363" s="311">
        <v>43859</v>
      </c>
      <c r="AM363" s="301"/>
      <c r="AN363" s="290"/>
      <c r="AO363" s="312" t="str">
        <f>_xlfn.IFNA(IF(VLOOKUP(tabItens[[#This Row],[CÓDIGO]],tabExcluirDoEstoque[#Data],1,FALSE),"sim",""),"")</f>
        <v/>
      </c>
      <c r="AP363" s="313" t="str">
        <f ca="1">IF(OR(ISBLANK(tabItens[[#This Row],[ATA DT.VALID.]]),tabItens[[#This Row],[ATA DT.VALID.]]="",tabItens[[#This Row],[ATA DT.VALID.]]=" "),"",IF(TYPE(tabItens[[#This Row],[ATA DT.VALID.]])=1,ROUNDUP((tabItens[[#This Row],[ATA DT.VALID.]]-TODAY())/7,0),""))</f>
        <v/>
      </c>
      <c r="AQ363" s="314">
        <v>0</v>
      </c>
      <c r="AR363" s="315" t="str">
        <f>IF(ISBLANK(tabItens[[#This Row],[CÓDIGO]]),"",IFERROR(VLOOKUP(tabItens[[#This Row],[CÓDIGO]],Consumo!$C$2:$AC$869,26,FALSE),0))</f>
        <v>01.2023</v>
      </c>
      <c r="AS363" s="316">
        <f>SUMIF(Consumo!$C$3:$C$869,tabItens[[#This Row],[CÓDIGO]],Consumo!$N$3:$N$869) + SUMIF(Consumo!$C$3:$C$869,tabItens[[#This Row],[CÓDIGO]],Consumo!$O$3:$O$869) + SUMIF(Consumo!$C$3:$C$869,tabItens[[#This Row],[CÓDIGO]],Consumo!$P$3:$P$869) + SUMIF(Consumo!$C$3:$C$869,tabItens[[#This Row],[CÓDIGO]],Consumo!$Q$3:$Q$869)</f>
        <v>0</v>
      </c>
      <c r="AT363" s="316">
        <f>SUMIF(Consumo!$C$3:$C$869,tabItens[[#This Row],[CÓDIGO]],Consumo!$Z$3:$Z$869)</f>
        <v>3</v>
      </c>
      <c r="AU363" s="317">
        <f>SUMIF(Consumo!$C$3:$C$869,tabItens[[#This Row],[CÓDIGO]],Consumo!$AA$3:$AA$869)</f>
        <v>2</v>
      </c>
      <c r="AV363" s="318">
        <f>SUMIF(Consumo!$C$3:$C$869,tabItens[[#This Row],[CÓDIGO]],Consumo!$Y$3:$Y$869)</f>
        <v>0.16666666666666666</v>
      </c>
      <c r="AW363" s="291">
        <f>tabItens[[#This Row],[QTDE ATUAL]] + tabItens[[#This Row],[RC QTDE]] + tabItens[[#This Row],[AF SALDO]] + tabItens[[#This Row],[Recentes]]</f>
        <v>10</v>
      </c>
      <c r="AX363" s="319">
        <v>1</v>
      </c>
      <c r="AY363" s="319">
        <v>3</v>
      </c>
      <c r="AZ363" s="319">
        <f>IF(ISBLANK(tabItens[[#This Row],[CÓDIGO]]),"",tabItens[[#This Row],[PontoMês]] * (AZ$2+tabItens[[#This Row],[PontoQtM]]))</f>
        <v>3</v>
      </c>
      <c r="BA363" s="318">
        <f>tabItens[[#This Row],[PontoPed]] - tabItens[[#This Row],[Saldo]] + (1/10)</f>
        <v>-6.9</v>
      </c>
      <c r="BB363" s="318">
        <f xml:space="preserve"> tabItens[[#This Row],[PontoMês]] * BB$2 - tabItens[[#This Row],[QTDE ATUAL]] - (1/10)</f>
        <v>-6.1</v>
      </c>
      <c r="BC363" s="320">
        <f>IF( tabItens[[#This Row],[PontoPed]]&gt;0, IF(tabItens[[#This Row],[PontoPed]]&lt;1, 1, IF( tabItens[[#This Row],[Saldo]]&gt;tabItens[[#This Row],[PontoPed]], 0, (tabItens[[#This Row],[PontoPed]]-tabItens[[#This Row],[Saldo]])/tabItens[[#This Row],[PontoPed]] ) ), 0 )</f>
        <v>0</v>
      </c>
      <c r="BD363" s="321">
        <f>ROUNDDOWN(IF( OR( AND(tabItens[[#This Row],[PontoPed]]&lt;tabItens[[#This Row],[Saldo]],tabItens[[#This Row],[Saldo]]&gt;0), tabItens[[#This Row],[PontoPed]]=0), 99, IF(AND(tabItens[[#This Row],[Saldo]]=0,tabItens[[#This Row],[PontoPed]]&gt;0), 0, (1-tabItens[[#This Row],[PctAb]])*10 ) ),0)</f>
        <v>99</v>
      </c>
      <c r="BE363" s="322">
        <f>MAX(ROUNDDOWN( IF(tabItens[[#This Row],[Abaixo]] &gt; 0,   tabItens[[#This Row],[Abaixo]] + (tabItens[[#This Row],[PontoMês]] * IF( OR( ISBLANK(tabItens[[#This Row],[ATA Nº/ANO]]), tabItens[[#This Row],[ATA Nº/ANO]] = ""),BE$2,BE$1)),0),0),0)</f>
        <v>0</v>
      </c>
      <c r="BF36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23">
        <f>SUMIF(Consumo!$C$3:$C$869,tabItens[[#This Row],[CÓDIGO]],Consumo!$E$3:$E$869)</f>
        <v>0</v>
      </c>
      <c r="BH363" s="324">
        <f>IF(AND(tabItens[[#This Row],[Pend]] &gt; 0,tabItens[[#This Row],[Consumo]] &lt;&gt; 0), tabItens[[#This Row],[Pend]] / tabItens[[#This Row],[Consumo]], 0 )</f>
        <v>0</v>
      </c>
      <c r="BI363" s="323"/>
      <c r="BJ363" s="323"/>
      <c r="BK363" s="325" t="s">
        <v>2064</v>
      </c>
    </row>
    <row r="364" spans="1:63" hidden="1" x14ac:dyDescent="0.3">
      <c r="A364" s="286">
        <v>12922</v>
      </c>
      <c r="B364" s="287" t="s">
        <v>978</v>
      </c>
      <c r="C364" s="288" t="s">
        <v>256</v>
      </c>
      <c r="D364" s="289">
        <v>3.17</v>
      </c>
      <c r="E364" s="290"/>
      <c r="F364" s="290"/>
      <c r="G364" s="290" t="s">
        <v>883</v>
      </c>
      <c r="H364" s="291">
        <v>51</v>
      </c>
      <c r="I364" s="292">
        <v>103003</v>
      </c>
      <c r="J364" s="293">
        <v>3.17</v>
      </c>
      <c r="K364" s="294">
        <v>29</v>
      </c>
      <c r="L364" s="295">
        <f>IF(tabItens[[#This Row],[Média]] &gt; 0, tabItens[[#This Row],[QTDE ATUAL]] / tabItens[[#This Row],[Média]],999.9)</f>
        <v>19.741935483870968</v>
      </c>
      <c r="M364" s="296">
        <v>0</v>
      </c>
      <c r="N364" s="297">
        <f>tabItens[[#This Row],[VALOR UNIT.]] * tabItens[[#This Row],[LC]]</f>
        <v>0</v>
      </c>
      <c r="O364" s="298" t="s">
        <v>2081</v>
      </c>
      <c r="P364" s="299"/>
      <c r="Q364" s="300"/>
      <c r="R364" s="297"/>
      <c r="S364" s="301"/>
      <c r="T364" s="302">
        <f>ROUNDDOWN(IFERROR(tabItens[[#This Row],[ATA DT.VALID.]] - $D$1,0) / 30,0)</f>
        <v>-1504</v>
      </c>
      <c r="U364" s="287" t="s">
        <v>964</v>
      </c>
      <c r="V364" s="303">
        <v>1</v>
      </c>
      <c r="W364" s="304" t="s">
        <v>2054</v>
      </c>
      <c r="X364" s="305">
        <v>61</v>
      </c>
      <c r="Y364" s="306">
        <v>8</v>
      </c>
      <c r="Z364" s="307">
        <v>2228</v>
      </c>
      <c r="AA364" s="308">
        <v>2023</v>
      </c>
      <c r="AB364" s="309">
        <v>100</v>
      </c>
      <c r="AC364" s="309"/>
      <c r="AD364" s="308"/>
      <c r="AE364" s="309"/>
      <c r="AF364" s="302"/>
      <c r="AG364" s="310" t="s">
        <v>2050</v>
      </c>
      <c r="AH364" s="311"/>
      <c r="AI364" s="302">
        <v>10</v>
      </c>
      <c r="AJ364" s="311">
        <v>45006</v>
      </c>
      <c r="AK364" s="311" t="s">
        <v>883</v>
      </c>
      <c r="AL364" s="311">
        <v>44942</v>
      </c>
      <c r="AM364" s="301"/>
      <c r="AN364" s="290"/>
      <c r="AO364" s="312" t="str">
        <f>_xlfn.IFNA(IF(VLOOKUP(tabItens[[#This Row],[CÓDIGO]],tabExcluirDoEstoque[#Data],1,FALSE),"sim",""),"")</f>
        <v/>
      </c>
      <c r="AP364" s="313" t="str">
        <f ca="1">IF(OR(ISBLANK(tabItens[[#This Row],[ATA DT.VALID.]]),tabItens[[#This Row],[ATA DT.VALID.]]="",tabItens[[#This Row],[ATA DT.VALID.]]=" "),"",IF(TYPE(tabItens[[#This Row],[ATA DT.VALID.]])=1,ROUNDUP((tabItens[[#This Row],[ATA DT.VALID.]]-TODAY())/7,0),""))</f>
        <v/>
      </c>
      <c r="AQ364" s="314">
        <v>0</v>
      </c>
      <c r="AR364" s="315" t="str">
        <f>IF(ISBLANK(tabItens[[#This Row],[CÓDIGO]]),"",IFERROR(VLOOKUP(tabItens[[#This Row],[CÓDIGO]],Consumo!$C$2:$AC$869,26,FALSE),0))</f>
        <v>04.2023</v>
      </c>
      <c r="AS364" s="316">
        <f>SUMIF(Consumo!$C$3:$C$869,tabItens[[#This Row],[CÓDIGO]],Consumo!$N$3:$N$869) + SUMIF(Consumo!$C$3:$C$869,tabItens[[#This Row],[CÓDIGO]],Consumo!$O$3:$O$869) + SUMIF(Consumo!$C$3:$C$869,tabItens[[#This Row],[CÓDIGO]],Consumo!$P$3:$P$869) + SUMIF(Consumo!$C$3:$C$869,tabItens[[#This Row],[CÓDIGO]],Consumo!$Q$3:$Q$869)</f>
        <v>15</v>
      </c>
      <c r="AT364" s="316">
        <f>SUMIF(Consumo!$C$3:$C$869,tabItens[[#This Row],[CÓDIGO]],Consumo!$Z$3:$Z$869)</f>
        <v>34</v>
      </c>
      <c r="AU364" s="317">
        <f>SUMIF(Consumo!$C$3:$C$869,tabItens[[#This Row],[CÓDIGO]],Consumo!$AA$3:$AA$869)</f>
        <v>15</v>
      </c>
      <c r="AV364" s="318">
        <f>SUMIF(Consumo!$C$3:$C$869,tabItens[[#This Row],[CÓDIGO]],Consumo!$Y$3:$Y$869)</f>
        <v>2.5833333333333335</v>
      </c>
      <c r="AW364" s="291">
        <f>tabItens[[#This Row],[QTDE ATUAL]] + tabItens[[#This Row],[RC QTDE]] + tabItens[[#This Row],[AF SALDO]] + tabItens[[#This Row],[Recentes]]</f>
        <v>151</v>
      </c>
      <c r="AX364" s="319">
        <v>9</v>
      </c>
      <c r="AY364" s="319">
        <v>4</v>
      </c>
      <c r="AZ364" s="319">
        <f>IF(ISBLANK(tabItens[[#This Row],[CÓDIGO]]),"",tabItens[[#This Row],[PontoMês]] * (AZ$2+tabItens[[#This Row],[PontoQtM]]))</f>
        <v>36</v>
      </c>
      <c r="BA364" s="318">
        <f>tabItens[[#This Row],[PontoPed]] - tabItens[[#This Row],[Saldo]] + (1/10)</f>
        <v>-114.9</v>
      </c>
      <c r="BB364" s="318">
        <f xml:space="preserve"> tabItens[[#This Row],[PontoMês]] * BB$2 - tabItens[[#This Row],[QTDE ATUAL]] - (1/10)</f>
        <v>-42.1</v>
      </c>
      <c r="BC364" s="320">
        <f>IF( tabItens[[#This Row],[PontoPed]]&gt;0, IF(tabItens[[#This Row],[PontoPed]]&lt;1, 1, IF( tabItens[[#This Row],[Saldo]]&gt;tabItens[[#This Row],[PontoPed]], 0, (tabItens[[#This Row],[PontoPed]]-tabItens[[#This Row],[Saldo]])/tabItens[[#This Row],[PontoPed]] ) ), 0 )</f>
        <v>0</v>
      </c>
      <c r="BD364" s="321">
        <f>ROUNDDOWN(IF( OR( AND(tabItens[[#This Row],[PontoPed]]&lt;tabItens[[#This Row],[Saldo]],tabItens[[#This Row],[Saldo]]&gt;0), tabItens[[#This Row],[PontoPed]]=0), 99, IF(AND(tabItens[[#This Row],[Saldo]]=0,tabItens[[#This Row],[PontoPed]]&gt;0), 0, (1-tabItens[[#This Row],[PctAb]])*10 ) ),0)</f>
        <v>99</v>
      </c>
      <c r="BE364" s="322">
        <f>MAX(ROUNDDOWN( IF(tabItens[[#This Row],[Abaixo]] &gt; 0,   tabItens[[#This Row],[Abaixo]] + (tabItens[[#This Row],[PontoMês]] * IF( OR( ISBLANK(tabItens[[#This Row],[ATA Nº/ANO]]), tabItens[[#This Row],[ATA Nº/ANO]] = ""),BE$2,BE$1)),0),0),0)</f>
        <v>0</v>
      </c>
      <c r="BF36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23">
        <f>SUMIF(Consumo!$C$3:$C$869,tabItens[[#This Row],[CÓDIGO]],Consumo!$E$3:$E$869)</f>
        <v>5</v>
      </c>
      <c r="BH364" s="324">
        <f>IF(AND(tabItens[[#This Row],[Pend]] &gt; 0,tabItens[[#This Row],[Consumo]] &lt;&gt; 0), tabItens[[#This Row],[Pend]] / tabItens[[#This Row],[Consumo]], 0 )</f>
        <v>0.14705882352941177</v>
      </c>
      <c r="BI364" s="323"/>
      <c r="BJ364" s="323"/>
      <c r="BK364" s="325" t="s">
        <v>2064</v>
      </c>
    </row>
    <row r="365" spans="1:63" hidden="1" x14ac:dyDescent="0.3">
      <c r="A365" s="286">
        <v>60830</v>
      </c>
      <c r="B365" s="287" t="s">
        <v>1347</v>
      </c>
      <c r="C365" s="288" t="s">
        <v>256</v>
      </c>
      <c r="D365" s="289">
        <v>0.98</v>
      </c>
      <c r="E365" s="290"/>
      <c r="F365" s="290"/>
      <c r="G365" s="290" t="s">
        <v>883</v>
      </c>
      <c r="H365" s="291">
        <v>78</v>
      </c>
      <c r="I365" s="292">
        <v>103003</v>
      </c>
      <c r="J365" s="293">
        <v>0.98</v>
      </c>
      <c r="K365" s="294">
        <v>10</v>
      </c>
      <c r="L365" s="295">
        <f>IF(tabItens[[#This Row],[Média]] &gt; 0, tabItens[[#This Row],[QTDE ATUAL]] / tabItens[[#This Row],[Média]],999.9)</f>
        <v>156</v>
      </c>
      <c r="M365" s="296">
        <v>0</v>
      </c>
      <c r="N365" s="297">
        <f>tabItens[[#This Row],[VALOR UNIT.]] * tabItens[[#This Row],[LC]]</f>
        <v>0</v>
      </c>
      <c r="O365" s="298" t="s">
        <v>2081</v>
      </c>
      <c r="P365" s="299"/>
      <c r="Q365" s="300"/>
      <c r="R365" s="297"/>
      <c r="S365" s="301"/>
      <c r="T365" s="302">
        <f>ROUNDDOWN(IFERROR(tabItens[[#This Row],[ATA DT.VALID.]] - $D$1,0) / 30,0)</f>
        <v>-1504</v>
      </c>
      <c r="U365" s="287" t="s">
        <v>964</v>
      </c>
      <c r="V365" s="303">
        <v>1</v>
      </c>
      <c r="W365" s="304" t="s">
        <v>2054</v>
      </c>
      <c r="X365" s="305">
        <v>61</v>
      </c>
      <c r="Y365" s="306">
        <v>8</v>
      </c>
      <c r="Z365" s="307"/>
      <c r="AA365" s="308"/>
      <c r="AB365" s="309"/>
      <c r="AC365" s="309"/>
      <c r="AD365" s="308"/>
      <c r="AE365" s="309"/>
      <c r="AF365" s="302"/>
      <c r="AG365" s="310" t="s">
        <v>2050</v>
      </c>
      <c r="AH365" s="311"/>
      <c r="AI365" s="302">
        <v>4</v>
      </c>
      <c r="AJ365" s="311">
        <v>44078</v>
      </c>
      <c r="AK365" s="311" t="s">
        <v>883</v>
      </c>
      <c r="AL365" s="311">
        <v>44029</v>
      </c>
      <c r="AM365" s="301"/>
      <c r="AN365" s="290"/>
      <c r="AO365" s="312" t="str">
        <f>_xlfn.IFNA(IF(VLOOKUP(tabItens[[#This Row],[CÓDIGO]],tabExcluirDoEstoque[#Data],1,FALSE),"sim",""),"")</f>
        <v/>
      </c>
      <c r="AP365" s="313" t="str">
        <f ca="1">IF(OR(ISBLANK(tabItens[[#This Row],[ATA DT.VALID.]]),tabItens[[#This Row],[ATA DT.VALID.]]="",tabItens[[#This Row],[ATA DT.VALID.]]=" "),"",IF(TYPE(tabItens[[#This Row],[ATA DT.VALID.]])=1,ROUNDUP((tabItens[[#This Row],[ATA DT.VALID.]]-TODAY())/7,0),""))</f>
        <v/>
      </c>
      <c r="AQ365" s="314">
        <v>0</v>
      </c>
      <c r="AR365" s="315" t="str">
        <f>IF(ISBLANK(tabItens[[#This Row],[CÓDIGO]]),"",IFERROR(VLOOKUP(tabItens[[#This Row],[CÓDIGO]],Consumo!$C$2:$AC$869,26,FALSE),0))</f>
        <v>08.2022</v>
      </c>
      <c r="AS365" s="316">
        <f>SUMIF(Consumo!$C$3:$C$869,tabItens[[#This Row],[CÓDIGO]],Consumo!$N$3:$N$869) + SUMIF(Consumo!$C$3:$C$869,tabItens[[#This Row],[CÓDIGO]],Consumo!$O$3:$O$869) + SUMIF(Consumo!$C$3:$C$869,tabItens[[#This Row],[CÓDIGO]],Consumo!$P$3:$P$869) + SUMIF(Consumo!$C$3:$C$869,tabItens[[#This Row],[CÓDIGO]],Consumo!$Q$3:$Q$869)</f>
        <v>0</v>
      </c>
      <c r="AT365" s="316">
        <f>SUMIF(Consumo!$C$3:$C$869,tabItens[[#This Row],[CÓDIGO]],Consumo!$Z$3:$Z$869)</f>
        <v>10</v>
      </c>
      <c r="AU365" s="317">
        <f>SUMIF(Consumo!$C$3:$C$869,tabItens[[#This Row],[CÓDIGO]],Consumo!$AA$3:$AA$869)</f>
        <v>10</v>
      </c>
      <c r="AV365" s="318">
        <f>SUMIF(Consumo!$C$3:$C$869,tabItens[[#This Row],[CÓDIGO]],Consumo!$Y$3:$Y$869)</f>
        <v>0.5</v>
      </c>
      <c r="AW365" s="291">
        <f>tabItens[[#This Row],[QTDE ATUAL]] + tabItens[[#This Row],[RC QTDE]] + tabItens[[#This Row],[AF SALDO]] + tabItens[[#This Row],[Recentes]]</f>
        <v>78</v>
      </c>
      <c r="AX365" s="319">
        <v>5</v>
      </c>
      <c r="AY365" s="319">
        <v>4</v>
      </c>
      <c r="AZ365" s="319">
        <f>IF(ISBLANK(tabItens[[#This Row],[CÓDIGO]]),"",tabItens[[#This Row],[PontoMês]] * (AZ$2+tabItens[[#This Row],[PontoQtM]]))</f>
        <v>20</v>
      </c>
      <c r="BA365" s="318">
        <f>tabItens[[#This Row],[PontoPed]] - tabItens[[#This Row],[Saldo]] + (1/10)</f>
        <v>-57.9</v>
      </c>
      <c r="BB365" s="318">
        <f xml:space="preserve"> tabItens[[#This Row],[PontoMês]] * BB$2 - tabItens[[#This Row],[QTDE ATUAL]] - (1/10)</f>
        <v>-73.099999999999994</v>
      </c>
      <c r="BC365" s="320">
        <f>IF( tabItens[[#This Row],[PontoPed]]&gt;0, IF(tabItens[[#This Row],[PontoPed]]&lt;1, 1, IF( tabItens[[#This Row],[Saldo]]&gt;tabItens[[#This Row],[PontoPed]], 0, (tabItens[[#This Row],[PontoPed]]-tabItens[[#This Row],[Saldo]])/tabItens[[#This Row],[PontoPed]] ) ), 0 )</f>
        <v>0</v>
      </c>
      <c r="BD365" s="321">
        <f>ROUNDDOWN(IF( OR( AND(tabItens[[#This Row],[PontoPed]]&lt;tabItens[[#This Row],[Saldo]],tabItens[[#This Row],[Saldo]]&gt;0), tabItens[[#This Row],[PontoPed]]=0), 99, IF(AND(tabItens[[#This Row],[Saldo]]=0,tabItens[[#This Row],[PontoPed]]&gt;0), 0, (1-tabItens[[#This Row],[PctAb]])*10 ) ),0)</f>
        <v>99</v>
      </c>
      <c r="BE365" s="322">
        <f>MAX(ROUNDDOWN( IF(tabItens[[#This Row],[Abaixo]] &gt; 0,   tabItens[[#This Row],[Abaixo]] + (tabItens[[#This Row],[PontoMês]] * IF( OR( ISBLANK(tabItens[[#This Row],[ATA Nº/ANO]]), tabItens[[#This Row],[ATA Nº/ANO]] = ""),BE$2,BE$1)),0),0),0)</f>
        <v>0</v>
      </c>
      <c r="BF36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23">
        <f>SUMIF(Consumo!$C$3:$C$869,tabItens[[#This Row],[CÓDIGO]],Consumo!$E$3:$E$869)</f>
        <v>0</v>
      </c>
      <c r="BH365" s="324">
        <f>IF(AND(tabItens[[#This Row],[Pend]] &gt; 0,tabItens[[#This Row],[Consumo]] &lt;&gt; 0), tabItens[[#This Row],[Pend]] / tabItens[[#This Row],[Consumo]], 0 )</f>
        <v>0</v>
      </c>
      <c r="BI365" s="323"/>
      <c r="BJ365" s="323"/>
      <c r="BK365" s="325" t="s">
        <v>2064</v>
      </c>
    </row>
    <row r="366" spans="1:63" hidden="1" x14ac:dyDescent="0.3">
      <c r="A366" s="286">
        <v>61200</v>
      </c>
      <c r="B366" s="287" t="s">
        <v>1351</v>
      </c>
      <c r="C366" s="288" t="s">
        <v>256</v>
      </c>
      <c r="D366" s="289">
        <v>6.7</v>
      </c>
      <c r="E366" s="290"/>
      <c r="F366" s="290"/>
      <c r="G366" s="290" t="s">
        <v>883</v>
      </c>
      <c r="H366" s="291">
        <v>49</v>
      </c>
      <c r="I366" s="292">
        <v>103003</v>
      </c>
      <c r="J366" s="293">
        <v>6.7</v>
      </c>
      <c r="K366" s="294">
        <v>56</v>
      </c>
      <c r="L366" s="295">
        <f>IF(tabItens[[#This Row],[Média]] &gt; 0, tabItens[[#This Row],[QTDE ATUAL]] / tabItens[[#This Row],[Média]],999.9)</f>
        <v>9.4838709677419342</v>
      </c>
      <c r="M366" s="296">
        <v>0</v>
      </c>
      <c r="N366" s="297">
        <f>tabItens[[#This Row],[VALOR UNIT.]] * tabItens[[#This Row],[LC]]</f>
        <v>0</v>
      </c>
      <c r="O366" s="298" t="s">
        <v>2081</v>
      </c>
      <c r="P366" s="299"/>
      <c r="Q366" s="300"/>
      <c r="R366" s="297"/>
      <c r="S366" s="301"/>
      <c r="T366" s="302">
        <f>ROUNDDOWN(IFERROR(tabItens[[#This Row],[ATA DT.VALID.]] - $D$1,0) / 30,0)</f>
        <v>-1504</v>
      </c>
      <c r="U366" s="287" t="s">
        <v>964</v>
      </c>
      <c r="V366" s="303">
        <v>1</v>
      </c>
      <c r="W366" s="304" t="s">
        <v>2054</v>
      </c>
      <c r="X366" s="305">
        <v>61</v>
      </c>
      <c r="Y366" s="306">
        <v>8</v>
      </c>
      <c r="Z366" s="307">
        <v>2454</v>
      </c>
      <c r="AA366" s="308">
        <v>2023</v>
      </c>
      <c r="AB366" s="309">
        <v>20</v>
      </c>
      <c r="AC366" s="309"/>
      <c r="AD366" s="308"/>
      <c r="AE366" s="309"/>
      <c r="AF366" s="302"/>
      <c r="AG366" s="310" t="s">
        <v>2050</v>
      </c>
      <c r="AH366" s="311"/>
      <c r="AI366" s="302">
        <v>20</v>
      </c>
      <c r="AJ366" s="311">
        <v>45006</v>
      </c>
      <c r="AK366" s="311" t="s">
        <v>883</v>
      </c>
      <c r="AL366" s="311">
        <v>44942</v>
      </c>
      <c r="AM366" s="301"/>
      <c r="AN366" s="290"/>
      <c r="AO366" s="312" t="str">
        <f>_xlfn.IFNA(IF(VLOOKUP(tabItens[[#This Row],[CÓDIGO]],tabExcluirDoEstoque[#Data],1,FALSE),"sim",""),"")</f>
        <v/>
      </c>
      <c r="AP366" s="313" t="str">
        <f ca="1">IF(OR(ISBLANK(tabItens[[#This Row],[ATA DT.VALID.]]),tabItens[[#This Row],[ATA DT.VALID.]]="",tabItens[[#This Row],[ATA DT.VALID.]]=" "),"",IF(TYPE(tabItens[[#This Row],[ATA DT.VALID.]])=1,ROUNDUP((tabItens[[#This Row],[ATA DT.VALID.]]-TODAY())/7,0),""))</f>
        <v/>
      </c>
      <c r="AQ366" s="314">
        <v>0</v>
      </c>
      <c r="AR366" s="315" t="str">
        <f>IF(ISBLANK(tabItens[[#This Row],[CÓDIGO]]),"",IFERROR(VLOOKUP(tabItens[[#This Row],[CÓDIGO]],Consumo!$C$2:$AC$869,26,FALSE),0))</f>
        <v>04.2023</v>
      </c>
      <c r="AS366" s="316">
        <f>SUMIF(Consumo!$C$3:$C$869,tabItens[[#This Row],[CÓDIGO]],Consumo!$N$3:$N$869) + SUMIF(Consumo!$C$3:$C$869,tabItens[[#This Row],[CÓDIGO]],Consumo!$O$3:$O$869) + SUMIF(Consumo!$C$3:$C$869,tabItens[[#This Row],[CÓDIGO]],Consumo!$P$3:$P$869) + SUMIF(Consumo!$C$3:$C$869,tabItens[[#This Row],[CÓDIGO]],Consumo!$Q$3:$Q$869)</f>
        <v>15</v>
      </c>
      <c r="AT366" s="316">
        <f>SUMIF(Consumo!$C$3:$C$869,tabItens[[#This Row],[CÓDIGO]],Consumo!$Z$3:$Z$869)</f>
        <v>62</v>
      </c>
      <c r="AU366" s="317">
        <f>SUMIF(Consumo!$C$3:$C$869,tabItens[[#This Row],[CÓDIGO]],Consumo!$AA$3:$AA$869)</f>
        <v>15</v>
      </c>
      <c r="AV366" s="318">
        <f>SUMIF(Consumo!$C$3:$C$869,tabItens[[#This Row],[CÓDIGO]],Consumo!$Y$3:$Y$869)</f>
        <v>5.166666666666667</v>
      </c>
      <c r="AW366" s="291">
        <f>tabItens[[#This Row],[QTDE ATUAL]] + tabItens[[#This Row],[RC QTDE]] + tabItens[[#This Row],[AF SALDO]] + tabItens[[#This Row],[Recentes]]</f>
        <v>69</v>
      </c>
      <c r="AX366" s="319">
        <v>6</v>
      </c>
      <c r="AY366" s="319">
        <v>4</v>
      </c>
      <c r="AZ366" s="319">
        <f>IF(ISBLANK(tabItens[[#This Row],[CÓDIGO]]),"",tabItens[[#This Row],[PontoMês]] * (AZ$2+tabItens[[#This Row],[PontoQtM]]))</f>
        <v>24</v>
      </c>
      <c r="BA366" s="318">
        <f>tabItens[[#This Row],[PontoPed]] - tabItens[[#This Row],[Saldo]] + (1/10)</f>
        <v>-44.9</v>
      </c>
      <c r="BB366" s="318">
        <f xml:space="preserve"> tabItens[[#This Row],[PontoMês]] * BB$2 - tabItens[[#This Row],[QTDE ATUAL]] - (1/10)</f>
        <v>-43.1</v>
      </c>
      <c r="BC366" s="320">
        <f>IF( tabItens[[#This Row],[PontoPed]]&gt;0, IF(tabItens[[#This Row],[PontoPed]]&lt;1, 1, IF( tabItens[[#This Row],[Saldo]]&gt;tabItens[[#This Row],[PontoPed]], 0, (tabItens[[#This Row],[PontoPed]]-tabItens[[#This Row],[Saldo]])/tabItens[[#This Row],[PontoPed]] ) ), 0 )</f>
        <v>0</v>
      </c>
      <c r="BD366" s="321">
        <f>ROUNDDOWN(IF( OR( AND(tabItens[[#This Row],[PontoPed]]&lt;tabItens[[#This Row],[Saldo]],tabItens[[#This Row],[Saldo]]&gt;0), tabItens[[#This Row],[PontoPed]]=0), 99, IF(AND(tabItens[[#This Row],[Saldo]]=0,tabItens[[#This Row],[PontoPed]]&gt;0), 0, (1-tabItens[[#This Row],[PctAb]])*10 ) ),0)</f>
        <v>99</v>
      </c>
      <c r="BE366" s="322">
        <f>MAX(ROUNDDOWN( IF(tabItens[[#This Row],[Abaixo]] &gt; 0,   tabItens[[#This Row],[Abaixo]] + (tabItens[[#This Row],[PontoMês]] * IF( OR( ISBLANK(tabItens[[#This Row],[ATA Nº/ANO]]), tabItens[[#This Row],[ATA Nº/ANO]] = ""),BE$2,BE$1)),0),0),0)</f>
        <v>0</v>
      </c>
      <c r="BF36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23">
        <f>SUMIF(Consumo!$C$3:$C$869,tabItens[[#This Row],[CÓDIGO]],Consumo!$E$3:$E$869)</f>
        <v>0</v>
      </c>
      <c r="BH366" s="324">
        <f>IF(AND(tabItens[[#This Row],[Pend]] &gt; 0,tabItens[[#This Row],[Consumo]] &lt;&gt; 0), tabItens[[#This Row],[Pend]] / tabItens[[#This Row],[Consumo]], 0 )</f>
        <v>0</v>
      </c>
      <c r="BI366" s="323"/>
      <c r="BJ366" s="323"/>
      <c r="BK366" s="325" t="s">
        <v>2064</v>
      </c>
    </row>
    <row r="367" spans="1:63" hidden="1" x14ac:dyDescent="0.3">
      <c r="A367" s="286">
        <v>74976</v>
      </c>
      <c r="B367" s="287" t="s">
        <v>1407</v>
      </c>
      <c r="C367" s="288" t="s">
        <v>256</v>
      </c>
      <c r="D367" s="289">
        <v>11.14</v>
      </c>
      <c r="E367" s="290"/>
      <c r="F367" s="290"/>
      <c r="G367" s="290" t="s">
        <v>883</v>
      </c>
      <c r="H367" s="291">
        <v>476</v>
      </c>
      <c r="I367" s="292">
        <v>103003</v>
      </c>
      <c r="J367" s="293">
        <v>11.14</v>
      </c>
      <c r="K367" s="294">
        <v>16</v>
      </c>
      <c r="L367" s="295">
        <f>IF(tabItens[[#This Row],[Média]] &gt; 0, tabItens[[#This Row],[QTDE ATUAL]] / tabItens[[#This Row],[Média]],999.9)</f>
        <v>439.38461538461542</v>
      </c>
      <c r="M367" s="296">
        <v>0</v>
      </c>
      <c r="N367" s="297">
        <f>tabItens[[#This Row],[VALOR UNIT.]] * tabItens[[#This Row],[LC]]</f>
        <v>0</v>
      </c>
      <c r="O367" s="298" t="s">
        <v>2081</v>
      </c>
      <c r="P367" s="299"/>
      <c r="Q367" s="300"/>
      <c r="R367" s="297"/>
      <c r="S367" s="301"/>
      <c r="T367" s="302">
        <f>ROUNDDOWN(IFERROR(tabItens[[#This Row],[ATA DT.VALID.]] - $D$1,0) / 30,0)</f>
        <v>-1504</v>
      </c>
      <c r="U367" s="287" t="s">
        <v>964</v>
      </c>
      <c r="V367" s="303">
        <v>1</v>
      </c>
      <c r="W367" s="304" t="s">
        <v>2054</v>
      </c>
      <c r="X367" s="305">
        <v>61</v>
      </c>
      <c r="Y367" s="306">
        <v>8</v>
      </c>
      <c r="Z367" s="307"/>
      <c r="AA367" s="308"/>
      <c r="AB367" s="309"/>
      <c r="AC367" s="309"/>
      <c r="AD367" s="308"/>
      <c r="AE367" s="309"/>
      <c r="AF367" s="302"/>
      <c r="AG367" s="310" t="s">
        <v>2050</v>
      </c>
      <c r="AH367" s="311"/>
      <c r="AI367" s="302">
        <v>6</v>
      </c>
      <c r="AJ367" s="311">
        <v>44560</v>
      </c>
      <c r="AK367" s="311">
        <v>37847</v>
      </c>
      <c r="AL367" s="311">
        <v>45096</v>
      </c>
      <c r="AM367" s="301"/>
      <c r="AN367" s="290"/>
      <c r="AO367" s="312" t="str">
        <f>_xlfn.IFNA(IF(VLOOKUP(tabItens[[#This Row],[CÓDIGO]],tabExcluirDoEstoque[#Data],1,FALSE),"sim",""),"")</f>
        <v/>
      </c>
      <c r="AP367" s="313" t="str">
        <f ca="1">IF(OR(ISBLANK(tabItens[[#This Row],[ATA DT.VALID.]]),tabItens[[#This Row],[ATA DT.VALID.]]="",tabItens[[#This Row],[ATA DT.VALID.]]=" "),"",IF(TYPE(tabItens[[#This Row],[ATA DT.VALID.]])=1,ROUNDUP((tabItens[[#This Row],[ATA DT.VALID.]]-TODAY())/7,0),""))</f>
        <v/>
      </c>
      <c r="AQ367" s="314">
        <v>0</v>
      </c>
      <c r="AR367" s="315" t="str">
        <f>IF(ISBLANK(tabItens[[#This Row],[CÓDIGO]]),"",IFERROR(VLOOKUP(tabItens[[#This Row],[CÓDIGO]],Consumo!$C$2:$AC$869,26,FALSE),0))</f>
        <v>01.2023</v>
      </c>
      <c r="AS367" s="316">
        <f>SUMIF(Consumo!$C$3:$C$869,tabItens[[#This Row],[CÓDIGO]],Consumo!$N$3:$N$869) + SUMIF(Consumo!$C$3:$C$869,tabItens[[#This Row],[CÓDIGO]],Consumo!$O$3:$O$869) + SUMIF(Consumo!$C$3:$C$869,tabItens[[#This Row],[CÓDIGO]],Consumo!$P$3:$P$869) + SUMIF(Consumo!$C$3:$C$869,tabItens[[#This Row],[CÓDIGO]],Consumo!$Q$3:$Q$869)</f>
        <v>0</v>
      </c>
      <c r="AT367" s="316">
        <f>SUMIF(Consumo!$C$3:$C$869,tabItens[[#This Row],[CÓDIGO]],Consumo!$Z$3:$Z$869)</f>
        <v>16</v>
      </c>
      <c r="AU367" s="317">
        <f>SUMIF(Consumo!$C$3:$C$869,tabItens[[#This Row],[CÓDIGO]],Consumo!$AA$3:$AA$869)</f>
        <v>10</v>
      </c>
      <c r="AV367" s="318">
        <f>SUMIF(Consumo!$C$3:$C$869,tabItens[[#This Row],[CÓDIGO]],Consumo!$Y$3:$Y$869)</f>
        <v>1.0833333333333333</v>
      </c>
      <c r="AW367" s="291">
        <f>tabItens[[#This Row],[QTDE ATUAL]] + tabItens[[#This Row],[RC QTDE]] + tabItens[[#This Row],[AF SALDO]] + tabItens[[#This Row],[Recentes]]</f>
        <v>476</v>
      </c>
      <c r="AX367" s="319">
        <v>17</v>
      </c>
      <c r="AY367" s="319">
        <v>4</v>
      </c>
      <c r="AZ367" s="319">
        <f>IF(ISBLANK(tabItens[[#This Row],[CÓDIGO]]),"",tabItens[[#This Row],[PontoMês]] * (AZ$2+tabItens[[#This Row],[PontoQtM]]))</f>
        <v>68</v>
      </c>
      <c r="BA367" s="318">
        <f>tabItens[[#This Row],[PontoPed]] - tabItens[[#This Row],[Saldo]] + (1/10)</f>
        <v>-407.9</v>
      </c>
      <c r="BB367" s="318">
        <f xml:space="preserve"> tabItens[[#This Row],[PontoMês]] * BB$2 - tabItens[[#This Row],[QTDE ATUAL]] - (1/10)</f>
        <v>-459.1</v>
      </c>
      <c r="BC367" s="320">
        <f>IF( tabItens[[#This Row],[PontoPed]]&gt;0, IF(tabItens[[#This Row],[PontoPed]]&lt;1, 1, IF( tabItens[[#This Row],[Saldo]]&gt;tabItens[[#This Row],[PontoPed]], 0, (tabItens[[#This Row],[PontoPed]]-tabItens[[#This Row],[Saldo]])/tabItens[[#This Row],[PontoPed]] ) ), 0 )</f>
        <v>0</v>
      </c>
      <c r="BD367" s="321">
        <f>ROUNDDOWN(IF( OR( AND(tabItens[[#This Row],[PontoPed]]&lt;tabItens[[#This Row],[Saldo]],tabItens[[#This Row],[Saldo]]&gt;0), tabItens[[#This Row],[PontoPed]]=0), 99, IF(AND(tabItens[[#This Row],[Saldo]]=0,tabItens[[#This Row],[PontoPed]]&gt;0), 0, (1-tabItens[[#This Row],[PctAb]])*10 ) ),0)</f>
        <v>99</v>
      </c>
      <c r="BE367" s="322">
        <f>MAX(ROUNDDOWN( IF(tabItens[[#This Row],[Abaixo]] &gt; 0,   tabItens[[#This Row],[Abaixo]] + (tabItens[[#This Row],[PontoMês]] * IF( OR( ISBLANK(tabItens[[#This Row],[ATA Nº/ANO]]), tabItens[[#This Row],[ATA Nº/ANO]] = ""),BE$2,BE$1)),0),0),0)</f>
        <v>0</v>
      </c>
      <c r="BF3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23">
        <f>SUMIF(Consumo!$C$3:$C$869,tabItens[[#This Row],[CÓDIGO]],Consumo!$E$3:$E$869)</f>
        <v>0</v>
      </c>
      <c r="BH367" s="324">
        <f>IF(AND(tabItens[[#This Row],[Pend]] &gt; 0,tabItens[[#This Row],[Consumo]] &lt;&gt; 0), tabItens[[#This Row],[Pend]] / tabItens[[#This Row],[Consumo]], 0 )</f>
        <v>0</v>
      </c>
      <c r="BI367" s="323"/>
      <c r="BJ367" s="323"/>
      <c r="BK367" s="325" t="s">
        <v>2064</v>
      </c>
    </row>
    <row r="368" spans="1:63" hidden="1" x14ac:dyDescent="0.3">
      <c r="A368" s="286">
        <v>107401</v>
      </c>
      <c r="B368" s="287" t="s">
        <v>1639</v>
      </c>
      <c r="C368" s="288" t="s">
        <v>256</v>
      </c>
      <c r="D368" s="289">
        <v>6.9</v>
      </c>
      <c r="E368" s="290"/>
      <c r="F368" s="290"/>
      <c r="G368" s="290" t="s">
        <v>883</v>
      </c>
      <c r="H368" s="291">
        <v>201</v>
      </c>
      <c r="I368" s="292">
        <v>103003</v>
      </c>
      <c r="J368" s="293">
        <v>6.9</v>
      </c>
      <c r="K368" s="294">
        <v>55</v>
      </c>
      <c r="L368" s="295">
        <f>IF(tabItens[[#This Row],[Média]] &gt; 0, tabItens[[#This Row],[QTDE ATUAL]] / tabItens[[#This Row],[Média]],999.9)</f>
        <v>42.315789473684212</v>
      </c>
      <c r="M368" s="296">
        <v>0</v>
      </c>
      <c r="N368" s="297">
        <f>tabItens[[#This Row],[VALOR UNIT.]] * tabItens[[#This Row],[LC]]</f>
        <v>0</v>
      </c>
      <c r="O368" s="298" t="s">
        <v>2081</v>
      </c>
      <c r="P368" s="299"/>
      <c r="Q368" s="300"/>
      <c r="R368" s="297"/>
      <c r="S368" s="301"/>
      <c r="T368" s="302">
        <f>ROUNDDOWN(IFERROR(tabItens[[#This Row],[ATA DT.VALID.]] - $D$1,0) / 30,0)</f>
        <v>-1504</v>
      </c>
      <c r="U368" s="287" t="s">
        <v>964</v>
      </c>
      <c r="V368" s="303">
        <v>1</v>
      </c>
      <c r="W368" s="304" t="s">
        <v>2054</v>
      </c>
      <c r="X368" s="305">
        <v>61</v>
      </c>
      <c r="Y368" s="306">
        <v>8</v>
      </c>
      <c r="Z368" s="307"/>
      <c r="AA368" s="308"/>
      <c r="AB368" s="309"/>
      <c r="AC368" s="309"/>
      <c r="AD368" s="308"/>
      <c r="AE368" s="309"/>
      <c r="AF368" s="302"/>
      <c r="AG368" s="310" t="s">
        <v>2050</v>
      </c>
      <c r="AH368" s="311"/>
      <c r="AI368" s="302">
        <v>20</v>
      </c>
      <c r="AJ368" s="311">
        <v>44658</v>
      </c>
      <c r="AK368" s="311">
        <v>39671</v>
      </c>
      <c r="AL368" s="311">
        <v>44607</v>
      </c>
      <c r="AM368" s="301"/>
      <c r="AN368" s="290"/>
      <c r="AO368" s="312" t="str">
        <f>_xlfn.IFNA(IF(VLOOKUP(tabItens[[#This Row],[CÓDIGO]],tabExcluirDoEstoque[#Data],1,FALSE),"sim",""),"")</f>
        <v/>
      </c>
      <c r="AP368" s="313" t="str">
        <f ca="1">IF(OR(ISBLANK(tabItens[[#This Row],[ATA DT.VALID.]]),tabItens[[#This Row],[ATA DT.VALID.]]="",tabItens[[#This Row],[ATA DT.VALID.]]=" "),"",IF(TYPE(tabItens[[#This Row],[ATA DT.VALID.]])=1,ROUNDUP((tabItens[[#This Row],[ATA DT.VALID.]]-TODAY())/7,0),""))</f>
        <v/>
      </c>
      <c r="AQ368" s="314">
        <v>0</v>
      </c>
      <c r="AR368" s="315" t="str">
        <f>IF(ISBLANK(tabItens[[#This Row],[CÓDIGO]]),"",IFERROR(VLOOKUP(tabItens[[#This Row],[CÓDIGO]],Consumo!$C$2:$AC$869,26,FALSE),0))</f>
        <v>05.2023</v>
      </c>
      <c r="AS368" s="316">
        <f>SUMIF(Consumo!$C$3:$C$869,tabItens[[#This Row],[CÓDIGO]],Consumo!$N$3:$N$869) + SUMIF(Consumo!$C$3:$C$869,tabItens[[#This Row],[CÓDIGO]],Consumo!$O$3:$O$869) + SUMIF(Consumo!$C$3:$C$869,tabItens[[#This Row],[CÓDIGO]],Consumo!$P$3:$P$869) + SUMIF(Consumo!$C$3:$C$869,tabItens[[#This Row],[CÓDIGO]],Consumo!$Q$3:$Q$869)</f>
        <v>40</v>
      </c>
      <c r="AT368" s="316">
        <f>SUMIF(Consumo!$C$3:$C$869,tabItens[[#This Row],[CÓDIGO]],Consumo!$Z$3:$Z$869)</f>
        <v>59</v>
      </c>
      <c r="AU368" s="317">
        <f>SUMIF(Consumo!$C$3:$C$869,tabItens[[#This Row],[CÓDIGO]],Consumo!$AA$3:$AA$869)</f>
        <v>20</v>
      </c>
      <c r="AV368" s="318">
        <f>SUMIF(Consumo!$C$3:$C$869,tabItens[[#This Row],[CÓDIGO]],Consumo!$Y$3:$Y$869)</f>
        <v>4.75</v>
      </c>
      <c r="AW368" s="291">
        <f>tabItens[[#This Row],[QTDE ATUAL]] + tabItens[[#This Row],[RC QTDE]] + tabItens[[#This Row],[AF SALDO]] + tabItens[[#This Row],[Recentes]]</f>
        <v>201</v>
      </c>
      <c r="AX368" s="319">
        <v>7</v>
      </c>
      <c r="AY368" s="319">
        <v>4</v>
      </c>
      <c r="AZ368" s="319">
        <f>IF(ISBLANK(tabItens[[#This Row],[CÓDIGO]]),"",tabItens[[#This Row],[PontoMês]] * (AZ$2+tabItens[[#This Row],[PontoQtM]]))</f>
        <v>28</v>
      </c>
      <c r="BA368" s="318">
        <f>tabItens[[#This Row],[PontoPed]] - tabItens[[#This Row],[Saldo]] + (1/10)</f>
        <v>-172.9</v>
      </c>
      <c r="BB368" s="318">
        <f xml:space="preserve"> tabItens[[#This Row],[PontoMês]] * BB$2 - tabItens[[#This Row],[QTDE ATUAL]] - (1/10)</f>
        <v>-194.1</v>
      </c>
      <c r="BC368" s="320">
        <f>IF( tabItens[[#This Row],[PontoPed]]&gt;0, IF(tabItens[[#This Row],[PontoPed]]&lt;1, 1, IF( tabItens[[#This Row],[Saldo]]&gt;tabItens[[#This Row],[PontoPed]], 0, (tabItens[[#This Row],[PontoPed]]-tabItens[[#This Row],[Saldo]])/tabItens[[#This Row],[PontoPed]] ) ), 0 )</f>
        <v>0</v>
      </c>
      <c r="BD368" s="321">
        <f>ROUNDDOWN(IF( OR( AND(tabItens[[#This Row],[PontoPed]]&lt;tabItens[[#This Row],[Saldo]],tabItens[[#This Row],[Saldo]]&gt;0), tabItens[[#This Row],[PontoPed]]=0), 99, IF(AND(tabItens[[#This Row],[Saldo]]=0,tabItens[[#This Row],[PontoPed]]&gt;0), 0, (1-tabItens[[#This Row],[PctAb]])*10 ) ),0)</f>
        <v>99</v>
      </c>
      <c r="BE368" s="322">
        <f>MAX(ROUNDDOWN( IF(tabItens[[#This Row],[Abaixo]] &gt; 0,   tabItens[[#This Row],[Abaixo]] + (tabItens[[#This Row],[PontoMês]] * IF( OR( ISBLANK(tabItens[[#This Row],[ATA Nº/ANO]]), tabItens[[#This Row],[ATA Nº/ANO]] = ""),BE$2,BE$1)),0),0),0)</f>
        <v>0</v>
      </c>
      <c r="BF3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23">
        <f>SUMIF(Consumo!$C$3:$C$869,tabItens[[#This Row],[CÓDIGO]],Consumo!$E$3:$E$869)</f>
        <v>0</v>
      </c>
      <c r="BH368" s="324">
        <f>IF(AND(tabItens[[#This Row],[Pend]] &gt; 0,tabItens[[#This Row],[Consumo]] &lt;&gt; 0), tabItens[[#This Row],[Pend]] / tabItens[[#This Row],[Consumo]], 0 )</f>
        <v>0</v>
      </c>
      <c r="BI368" s="323"/>
      <c r="BJ368" s="323"/>
      <c r="BK368" s="325" t="s">
        <v>2064</v>
      </c>
    </row>
    <row r="369" spans="1:63" hidden="1" x14ac:dyDescent="0.3">
      <c r="A369" s="286">
        <v>135299</v>
      </c>
      <c r="B369" s="287" t="s">
        <v>1899</v>
      </c>
      <c r="C369" s="288" t="s">
        <v>256</v>
      </c>
      <c r="D369" s="289">
        <v>1.75</v>
      </c>
      <c r="E369" s="290"/>
      <c r="F369" s="290"/>
      <c r="G369" s="290" t="s">
        <v>883</v>
      </c>
      <c r="H369" s="291">
        <v>25</v>
      </c>
      <c r="I369" s="292">
        <v>103003</v>
      </c>
      <c r="J369" s="293">
        <v>1.75</v>
      </c>
      <c r="K369" s="294">
        <v>65</v>
      </c>
      <c r="L369" s="295">
        <f>IF(tabItens[[#This Row],[Média]] &gt; 0, tabItens[[#This Row],[QTDE ATUAL]] / tabItens[[#This Row],[Média]],999.9)</f>
        <v>4.615384615384615</v>
      </c>
      <c r="M369" s="296">
        <v>0</v>
      </c>
      <c r="N369" s="297">
        <f>tabItens[[#This Row],[VALOR UNIT.]] * tabItens[[#This Row],[LC]]</f>
        <v>0</v>
      </c>
      <c r="O369" s="298" t="s">
        <v>2081</v>
      </c>
      <c r="P369" s="299"/>
      <c r="Q369" s="300"/>
      <c r="R369" s="297"/>
      <c r="S369" s="301"/>
      <c r="T369" s="302">
        <f>ROUNDDOWN(IFERROR(tabItens[[#This Row],[ATA DT.VALID.]] - $D$1,0) / 30,0)</f>
        <v>-1504</v>
      </c>
      <c r="U369" s="287" t="s">
        <v>964</v>
      </c>
      <c r="V369" s="303">
        <v>1</v>
      </c>
      <c r="W369" s="304" t="s">
        <v>2054</v>
      </c>
      <c r="X369" s="305">
        <v>61</v>
      </c>
      <c r="Y369" s="306">
        <v>8</v>
      </c>
      <c r="Z369" s="307">
        <v>2454</v>
      </c>
      <c r="AA369" s="308">
        <v>2023</v>
      </c>
      <c r="AB369" s="309">
        <v>20</v>
      </c>
      <c r="AC369" s="309"/>
      <c r="AD369" s="308"/>
      <c r="AE369" s="309"/>
      <c r="AF369" s="302"/>
      <c r="AG369" s="310" t="s">
        <v>2050</v>
      </c>
      <c r="AH369" s="311"/>
      <c r="AI369" s="302">
        <v>24</v>
      </c>
      <c r="AJ369" s="311">
        <v>43460</v>
      </c>
      <c r="AK369" s="311">
        <v>43277</v>
      </c>
      <c r="AL369" s="311">
        <v>43417</v>
      </c>
      <c r="AM369" s="301"/>
      <c r="AN369" s="290"/>
      <c r="AO369" s="312" t="str">
        <f>_xlfn.IFNA(IF(VLOOKUP(tabItens[[#This Row],[CÓDIGO]],tabExcluirDoEstoque[#Data],1,FALSE),"sim",""),"")</f>
        <v/>
      </c>
      <c r="AP369" s="313" t="str">
        <f ca="1">IF(OR(ISBLANK(tabItens[[#This Row],[ATA DT.VALID.]]),tabItens[[#This Row],[ATA DT.VALID.]]="",tabItens[[#This Row],[ATA DT.VALID.]]=" "),"",IF(TYPE(tabItens[[#This Row],[ATA DT.VALID.]])=1,ROUNDUP((tabItens[[#This Row],[ATA DT.VALID.]]-TODAY())/7,0),""))</f>
        <v/>
      </c>
      <c r="AQ369" s="314">
        <v>0</v>
      </c>
      <c r="AR369" s="315" t="str">
        <f>IF(ISBLANK(tabItens[[#This Row],[CÓDIGO]]),"",IFERROR(VLOOKUP(tabItens[[#This Row],[CÓDIGO]],Consumo!$C$2:$AC$869,26,FALSE),0))</f>
        <v>04.2023</v>
      </c>
      <c r="AS369" s="316">
        <f>SUMIF(Consumo!$C$3:$C$869,tabItens[[#This Row],[CÓDIGO]],Consumo!$N$3:$N$869) + SUMIF(Consumo!$C$3:$C$869,tabItens[[#This Row],[CÓDIGO]],Consumo!$O$3:$O$869) + SUMIF(Consumo!$C$3:$C$869,tabItens[[#This Row],[CÓDIGO]],Consumo!$P$3:$P$869) + SUMIF(Consumo!$C$3:$C$869,tabItens[[#This Row],[CÓDIGO]],Consumo!$Q$3:$Q$869)</f>
        <v>20</v>
      </c>
      <c r="AT369" s="316">
        <f>SUMIF(Consumo!$C$3:$C$869,tabItens[[#This Row],[CÓDIGO]],Consumo!$Z$3:$Z$869)</f>
        <v>65</v>
      </c>
      <c r="AU369" s="317">
        <f>SUMIF(Consumo!$C$3:$C$869,tabItens[[#This Row],[CÓDIGO]],Consumo!$AA$3:$AA$869)</f>
        <v>20</v>
      </c>
      <c r="AV369" s="318">
        <f>SUMIF(Consumo!$C$3:$C$869,tabItens[[#This Row],[CÓDIGO]],Consumo!$Y$3:$Y$869)</f>
        <v>5.416666666666667</v>
      </c>
      <c r="AW369" s="291">
        <f>tabItens[[#This Row],[QTDE ATUAL]] + tabItens[[#This Row],[RC QTDE]] + tabItens[[#This Row],[AF SALDO]] + tabItens[[#This Row],[Recentes]]</f>
        <v>45</v>
      </c>
      <c r="AX369" s="319">
        <v>5</v>
      </c>
      <c r="AY369" s="319">
        <v>4</v>
      </c>
      <c r="AZ369" s="319">
        <f>IF(ISBLANK(tabItens[[#This Row],[CÓDIGO]]),"",tabItens[[#This Row],[PontoMês]] * (AZ$2+tabItens[[#This Row],[PontoQtM]]))</f>
        <v>20</v>
      </c>
      <c r="BA369" s="318">
        <f>tabItens[[#This Row],[PontoPed]] - tabItens[[#This Row],[Saldo]] + (1/10)</f>
        <v>-24.9</v>
      </c>
      <c r="BB369" s="318">
        <f xml:space="preserve"> tabItens[[#This Row],[PontoMês]] * BB$2 - tabItens[[#This Row],[QTDE ATUAL]] - (1/10)</f>
        <v>-20.100000000000001</v>
      </c>
      <c r="BC369" s="320">
        <f>IF( tabItens[[#This Row],[PontoPed]]&gt;0, IF(tabItens[[#This Row],[PontoPed]]&lt;1, 1, IF( tabItens[[#This Row],[Saldo]]&gt;tabItens[[#This Row],[PontoPed]], 0, (tabItens[[#This Row],[PontoPed]]-tabItens[[#This Row],[Saldo]])/tabItens[[#This Row],[PontoPed]] ) ), 0 )</f>
        <v>0</v>
      </c>
      <c r="BD369" s="321">
        <f>ROUNDDOWN(IF( OR( AND(tabItens[[#This Row],[PontoPed]]&lt;tabItens[[#This Row],[Saldo]],tabItens[[#This Row],[Saldo]]&gt;0), tabItens[[#This Row],[PontoPed]]=0), 99, IF(AND(tabItens[[#This Row],[Saldo]]=0,tabItens[[#This Row],[PontoPed]]&gt;0), 0, (1-tabItens[[#This Row],[PctAb]])*10 ) ),0)</f>
        <v>99</v>
      </c>
      <c r="BE369" s="322">
        <f>MAX(ROUNDDOWN( IF(tabItens[[#This Row],[Abaixo]] &gt; 0,   tabItens[[#This Row],[Abaixo]] + (tabItens[[#This Row],[PontoMês]] * IF( OR( ISBLANK(tabItens[[#This Row],[ATA Nº/ANO]]), tabItens[[#This Row],[ATA Nº/ANO]] = ""),BE$2,BE$1)),0),0),0)</f>
        <v>0</v>
      </c>
      <c r="BF3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23">
        <f>SUMIF(Consumo!$C$3:$C$869,tabItens[[#This Row],[CÓDIGO]],Consumo!$E$3:$E$869)</f>
        <v>0</v>
      </c>
      <c r="BH369" s="324">
        <f>IF(AND(tabItens[[#This Row],[Pend]] &gt; 0,tabItens[[#This Row],[Consumo]] &lt;&gt; 0), tabItens[[#This Row],[Pend]] / tabItens[[#This Row],[Consumo]], 0 )</f>
        <v>0</v>
      </c>
      <c r="BI369" s="323"/>
      <c r="BJ369" s="323"/>
      <c r="BK369" s="325" t="s">
        <v>2064</v>
      </c>
    </row>
    <row r="370" spans="1:63" hidden="1" x14ac:dyDescent="0.3">
      <c r="A370" s="286">
        <v>135304</v>
      </c>
      <c r="B370" s="287" t="s">
        <v>1905</v>
      </c>
      <c r="C370" s="288" t="s">
        <v>256</v>
      </c>
      <c r="D370" s="289">
        <v>4.75</v>
      </c>
      <c r="E370" s="290"/>
      <c r="F370" s="290"/>
      <c r="G370" s="290" t="s">
        <v>883</v>
      </c>
      <c r="H370" s="291">
        <v>772</v>
      </c>
      <c r="I370" s="292">
        <v>103003</v>
      </c>
      <c r="J370" s="293">
        <v>4.75</v>
      </c>
      <c r="K370" s="294">
        <v>164</v>
      </c>
      <c r="L370" s="295">
        <f>IF(tabItens[[#This Row],[Média]] &gt; 0, tabItens[[#This Row],[QTDE ATUAL]] / tabItens[[#This Row],[Média]],999.9)</f>
        <v>52.937142857142852</v>
      </c>
      <c r="M370" s="296">
        <v>0</v>
      </c>
      <c r="N370" s="297">
        <f>tabItens[[#This Row],[VALOR UNIT.]] * tabItens[[#This Row],[LC]]</f>
        <v>0</v>
      </c>
      <c r="O370" s="298" t="s">
        <v>2081</v>
      </c>
      <c r="P370" s="299"/>
      <c r="Q370" s="300"/>
      <c r="R370" s="297"/>
      <c r="S370" s="301"/>
      <c r="T370" s="302">
        <f>ROUNDDOWN(IFERROR(tabItens[[#This Row],[ATA DT.VALID.]] - $D$1,0) / 30,0)</f>
        <v>-1504</v>
      </c>
      <c r="U370" s="287" t="s">
        <v>964</v>
      </c>
      <c r="V370" s="303">
        <v>1</v>
      </c>
      <c r="W370" s="304" t="s">
        <v>2054</v>
      </c>
      <c r="X370" s="305">
        <v>61</v>
      </c>
      <c r="Y370" s="306">
        <v>8</v>
      </c>
      <c r="Z370" s="307"/>
      <c r="AA370" s="308"/>
      <c r="AB370" s="309"/>
      <c r="AC370" s="309"/>
      <c r="AD370" s="308"/>
      <c r="AE370" s="309"/>
      <c r="AF370" s="302"/>
      <c r="AG370" s="310" t="s">
        <v>2050</v>
      </c>
      <c r="AH370" s="311"/>
      <c r="AI370" s="302">
        <v>62</v>
      </c>
      <c r="AJ370" s="311">
        <v>43796</v>
      </c>
      <c r="AK370" s="311">
        <v>43277</v>
      </c>
      <c r="AL370" s="311">
        <v>43788</v>
      </c>
      <c r="AM370" s="301"/>
      <c r="AN370" s="290"/>
      <c r="AO370" s="312" t="str">
        <f>_xlfn.IFNA(IF(VLOOKUP(tabItens[[#This Row],[CÓDIGO]],tabExcluirDoEstoque[#Data],1,FALSE),"sim",""),"")</f>
        <v/>
      </c>
      <c r="AP370" s="313" t="str">
        <f ca="1">IF(OR(ISBLANK(tabItens[[#This Row],[ATA DT.VALID.]]),tabItens[[#This Row],[ATA DT.VALID.]]="",tabItens[[#This Row],[ATA DT.VALID.]]=" "),"",IF(TYPE(tabItens[[#This Row],[ATA DT.VALID.]])=1,ROUNDUP((tabItens[[#This Row],[ATA DT.VALID.]]-TODAY())/7,0),""))</f>
        <v/>
      </c>
      <c r="AQ370" s="314">
        <v>0</v>
      </c>
      <c r="AR370" s="315" t="str">
        <f>IF(ISBLANK(tabItens[[#This Row],[CÓDIGO]]),"",IFERROR(VLOOKUP(tabItens[[#This Row],[CÓDIGO]],Consumo!$C$2:$AC$869,26,FALSE),0))</f>
        <v>05.2023</v>
      </c>
      <c r="AS370" s="316">
        <f>SUMIF(Consumo!$C$3:$C$869,tabItens[[#This Row],[CÓDIGO]],Consumo!$N$3:$N$869) + SUMIF(Consumo!$C$3:$C$869,tabItens[[#This Row],[CÓDIGO]],Consumo!$O$3:$O$869) + SUMIF(Consumo!$C$3:$C$869,tabItens[[#This Row],[CÓDIGO]],Consumo!$P$3:$P$869) + SUMIF(Consumo!$C$3:$C$869,tabItens[[#This Row],[CÓDIGO]],Consumo!$Q$3:$Q$869)</f>
        <v>35</v>
      </c>
      <c r="AT370" s="316">
        <f>SUMIF(Consumo!$C$3:$C$869,tabItens[[#This Row],[CÓDIGO]],Consumo!$Z$3:$Z$869)</f>
        <v>184</v>
      </c>
      <c r="AU370" s="317">
        <f>SUMIF(Consumo!$C$3:$C$869,tabItens[[#This Row],[CÓDIGO]],Consumo!$AA$3:$AA$869)</f>
        <v>61</v>
      </c>
      <c r="AV370" s="318">
        <f>SUMIF(Consumo!$C$3:$C$869,tabItens[[#This Row],[CÓDIGO]],Consumo!$Y$3:$Y$869)</f>
        <v>14.583333333333334</v>
      </c>
      <c r="AW370" s="291">
        <f>tabItens[[#This Row],[QTDE ATUAL]] + tabItens[[#This Row],[RC QTDE]] + tabItens[[#This Row],[AF SALDO]] + tabItens[[#This Row],[Recentes]]</f>
        <v>772</v>
      </c>
      <c r="AX370" s="319">
        <v>49</v>
      </c>
      <c r="AY370" s="319">
        <v>4</v>
      </c>
      <c r="AZ370" s="319">
        <f>IF(ISBLANK(tabItens[[#This Row],[CÓDIGO]]),"",tabItens[[#This Row],[PontoMês]] * (AZ$2+tabItens[[#This Row],[PontoQtM]]))</f>
        <v>196</v>
      </c>
      <c r="BA370" s="318">
        <f>tabItens[[#This Row],[PontoPed]] - tabItens[[#This Row],[Saldo]] + (1/10)</f>
        <v>-575.9</v>
      </c>
      <c r="BB370" s="318">
        <f xml:space="preserve"> tabItens[[#This Row],[PontoMês]] * BB$2 - tabItens[[#This Row],[QTDE ATUAL]] - (1/10)</f>
        <v>-723.1</v>
      </c>
      <c r="BC370" s="320">
        <f>IF( tabItens[[#This Row],[PontoPed]]&gt;0, IF(tabItens[[#This Row],[PontoPed]]&lt;1, 1, IF( tabItens[[#This Row],[Saldo]]&gt;tabItens[[#This Row],[PontoPed]], 0, (tabItens[[#This Row],[PontoPed]]-tabItens[[#This Row],[Saldo]])/tabItens[[#This Row],[PontoPed]] ) ), 0 )</f>
        <v>0</v>
      </c>
      <c r="BD370" s="321">
        <f>ROUNDDOWN(IF( OR( AND(tabItens[[#This Row],[PontoPed]]&lt;tabItens[[#This Row],[Saldo]],tabItens[[#This Row],[Saldo]]&gt;0), tabItens[[#This Row],[PontoPed]]=0), 99, IF(AND(tabItens[[#This Row],[Saldo]]=0,tabItens[[#This Row],[PontoPed]]&gt;0), 0, (1-tabItens[[#This Row],[PctAb]])*10 ) ),0)</f>
        <v>99</v>
      </c>
      <c r="BE370" s="322">
        <f>MAX(ROUNDDOWN( IF(tabItens[[#This Row],[Abaixo]] &gt; 0,   tabItens[[#This Row],[Abaixo]] + (tabItens[[#This Row],[PontoMês]] * IF( OR( ISBLANK(tabItens[[#This Row],[ATA Nº/ANO]]), tabItens[[#This Row],[ATA Nº/ANO]] = ""),BE$2,BE$1)),0),0),0)</f>
        <v>0</v>
      </c>
      <c r="BF3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23">
        <f>SUMIF(Consumo!$C$3:$C$869,tabItens[[#This Row],[CÓDIGO]],Consumo!$E$3:$E$869)</f>
        <v>0</v>
      </c>
      <c r="BH370" s="324">
        <f>IF(AND(tabItens[[#This Row],[Pend]] &gt; 0,tabItens[[#This Row],[Consumo]] &lt;&gt; 0), tabItens[[#This Row],[Pend]] / tabItens[[#This Row],[Consumo]], 0 )</f>
        <v>0</v>
      </c>
      <c r="BI370" s="323"/>
      <c r="BJ370" s="323"/>
      <c r="BK370" s="325" t="s">
        <v>2064</v>
      </c>
    </row>
    <row r="371" spans="1:63" hidden="1" x14ac:dyDescent="0.3">
      <c r="A371" s="286">
        <v>138054</v>
      </c>
      <c r="B371" s="287" t="s">
        <v>1947</v>
      </c>
      <c r="C371" s="288" t="s">
        <v>256</v>
      </c>
      <c r="D371" s="289">
        <v>11.54</v>
      </c>
      <c r="E371" s="290"/>
      <c r="F371" s="290"/>
      <c r="G371" s="290" t="s">
        <v>883</v>
      </c>
      <c r="H371" s="291">
        <v>119</v>
      </c>
      <c r="I371" s="292">
        <v>103003</v>
      </c>
      <c r="J371" s="293">
        <v>11.54</v>
      </c>
      <c r="K371" s="294">
        <v>156</v>
      </c>
      <c r="L371" s="295">
        <f>IF(tabItens[[#This Row],[Média]] &gt; 0, tabItens[[#This Row],[QTDE ATUAL]] / tabItens[[#This Row],[Média]],999.9)</f>
        <v>7.7189189189189191</v>
      </c>
      <c r="M371" s="296">
        <v>0</v>
      </c>
      <c r="N371" s="297">
        <f>tabItens[[#This Row],[VALOR UNIT.]] * tabItens[[#This Row],[LC]]</f>
        <v>0</v>
      </c>
      <c r="O371" s="298" t="s">
        <v>2081</v>
      </c>
      <c r="P371" s="299"/>
      <c r="Q371" s="300"/>
      <c r="R371" s="297"/>
      <c r="S371" s="301"/>
      <c r="T371" s="302">
        <f>ROUNDDOWN(IFERROR(tabItens[[#This Row],[ATA DT.VALID.]] - $D$1,0) / 30,0)</f>
        <v>-1504</v>
      </c>
      <c r="U371" s="287" t="s">
        <v>1652</v>
      </c>
      <c r="V371" s="303">
        <v>1</v>
      </c>
      <c r="W371" s="304" t="s">
        <v>2054</v>
      </c>
      <c r="X371" s="305">
        <v>61</v>
      </c>
      <c r="Y371" s="306">
        <v>10</v>
      </c>
      <c r="Z371" s="307"/>
      <c r="AA371" s="308"/>
      <c r="AB371" s="309"/>
      <c r="AC371" s="309"/>
      <c r="AD371" s="308"/>
      <c r="AE371" s="309"/>
      <c r="AF371" s="302"/>
      <c r="AG371" s="310" t="s">
        <v>2050</v>
      </c>
      <c r="AH371" s="311"/>
      <c r="AI371" s="302">
        <v>64</v>
      </c>
      <c r="AJ371" s="311">
        <v>44526</v>
      </c>
      <c r="AK371" s="311">
        <v>43656</v>
      </c>
      <c r="AL371" s="311">
        <v>44525</v>
      </c>
      <c r="AM371" s="301"/>
      <c r="AN371" s="290"/>
      <c r="AO371" s="312" t="str">
        <f>_xlfn.IFNA(IF(VLOOKUP(tabItens[[#This Row],[CÓDIGO]],tabExcluirDoEstoque[#Data],1,FALSE),"sim",""),"")</f>
        <v/>
      </c>
      <c r="AP371" s="313" t="str">
        <f ca="1">IF(OR(ISBLANK(tabItens[[#This Row],[ATA DT.VALID.]]),tabItens[[#This Row],[ATA DT.VALID.]]="",tabItens[[#This Row],[ATA DT.VALID.]]=" "),"",IF(TYPE(tabItens[[#This Row],[ATA DT.VALID.]])=1,ROUNDUP((tabItens[[#This Row],[ATA DT.VALID.]]-TODAY())/7,0),""))</f>
        <v/>
      </c>
      <c r="AQ371" s="314">
        <v>0</v>
      </c>
      <c r="AR371" s="315" t="str">
        <f>IF(ISBLANK(tabItens[[#This Row],[CÓDIGO]]),"",IFERROR(VLOOKUP(tabItens[[#This Row],[CÓDIGO]],Consumo!$C$2:$AC$869,26,FALSE),0))</f>
        <v>07.2023</v>
      </c>
      <c r="AS371" s="316">
        <f>SUMIF(Consumo!$C$3:$C$869,tabItens[[#This Row],[CÓDIGO]],Consumo!$N$3:$N$869) + SUMIF(Consumo!$C$3:$C$869,tabItens[[#This Row],[CÓDIGO]],Consumo!$O$3:$O$869) + SUMIF(Consumo!$C$3:$C$869,tabItens[[#This Row],[CÓDIGO]],Consumo!$P$3:$P$869) + SUMIF(Consumo!$C$3:$C$869,tabItens[[#This Row],[CÓDIGO]],Consumo!$Q$3:$Q$869)</f>
        <v>91</v>
      </c>
      <c r="AT371" s="316">
        <f>SUMIF(Consumo!$C$3:$C$869,tabItens[[#This Row],[CÓDIGO]],Consumo!$Z$3:$Z$869)</f>
        <v>189</v>
      </c>
      <c r="AU371" s="317">
        <f>SUMIF(Consumo!$C$3:$C$869,tabItens[[#This Row],[CÓDIGO]],Consumo!$AA$3:$AA$869)</f>
        <v>47</v>
      </c>
      <c r="AV371" s="318">
        <f>SUMIF(Consumo!$C$3:$C$869,tabItens[[#This Row],[CÓDIGO]],Consumo!$Y$3:$Y$869)</f>
        <v>15.416666666666666</v>
      </c>
      <c r="AW371" s="291">
        <f>tabItens[[#This Row],[QTDE ATUAL]] + tabItens[[#This Row],[RC QTDE]] + tabItens[[#This Row],[AF SALDO]] + tabItens[[#This Row],[Recentes]]</f>
        <v>119</v>
      </c>
      <c r="AX371" s="319">
        <v>20</v>
      </c>
      <c r="AY371" s="319">
        <v>4</v>
      </c>
      <c r="AZ371" s="319">
        <f>IF(ISBLANK(tabItens[[#This Row],[CÓDIGO]]),"",tabItens[[#This Row],[PontoMês]] * (AZ$2+tabItens[[#This Row],[PontoQtM]]))</f>
        <v>80</v>
      </c>
      <c r="BA371" s="318">
        <f>tabItens[[#This Row],[PontoPed]] - tabItens[[#This Row],[Saldo]] + (1/10)</f>
        <v>-38.9</v>
      </c>
      <c r="BB371" s="318">
        <f xml:space="preserve"> tabItens[[#This Row],[PontoMês]] * BB$2 - tabItens[[#This Row],[QTDE ATUAL]] - (1/10)</f>
        <v>-99.1</v>
      </c>
      <c r="BC371" s="320">
        <f>IF( tabItens[[#This Row],[PontoPed]]&gt;0, IF(tabItens[[#This Row],[PontoPed]]&lt;1, 1, IF( tabItens[[#This Row],[Saldo]]&gt;tabItens[[#This Row],[PontoPed]], 0, (tabItens[[#This Row],[PontoPed]]-tabItens[[#This Row],[Saldo]])/tabItens[[#This Row],[PontoPed]] ) ), 0 )</f>
        <v>0</v>
      </c>
      <c r="BD371" s="321">
        <f>ROUNDDOWN(IF( OR( AND(tabItens[[#This Row],[PontoPed]]&lt;tabItens[[#This Row],[Saldo]],tabItens[[#This Row],[Saldo]]&gt;0), tabItens[[#This Row],[PontoPed]]=0), 99, IF(AND(tabItens[[#This Row],[Saldo]]=0,tabItens[[#This Row],[PontoPed]]&gt;0), 0, (1-tabItens[[#This Row],[PctAb]])*10 ) ),0)</f>
        <v>99</v>
      </c>
      <c r="BE371" s="322">
        <f>MAX(ROUNDDOWN( IF(tabItens[[#This Row],[Abaixo]] &gt; 0,   tabItens[[#This Row],[Abaixo]] + (tabItens[[#This Row],[PontoMês]] * IF( OR( ISBLANK(tabItens[[#This Row],[ATA Nº/ANO]]), tabItens[[#This Row],[ATA Nº/ANO]] = ""),BE$2,BE$1)),0),0),0)</f>
        <v>0</v>
      </c>
      <c r="BF37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23">
        <f>SUMIF(Consumo!$C$3:$C$869,tabItens[[#This Row],[CÓDIGO]],Consumo!$E$3:$E$869)</f>
        <v>0</v>
      </c>
      <c r="BH371" s="324">
        <f>IF(AND(tabItens[[#This Row],[Pend]] &gt; 0,tabItens[[#This Row],[Consumo]] &lt;&gt; 0), tabItens[[#This Row],[Pend]] / tabItens[[#This Row],[Consumo]], 0 )</f>
        <v>0</v>
      </c>
      <c r="BI371" s="323"/>
      <c r="BJ371" s="323"/>
      <c r="BK371" s="325" t="s">
        <v>2064</v>
      </c>
    </row>
    <row r="372" spans="1:63" hidden="1" x14ac:dyDescent="0.3">
      <c r="A372" s="286">
        <v>17422</v>
      </c>
      <c r="B372" s="287" t="s">
        <v>1132</v>
      </c>
      <c r="C372" s="288" t="s">
        <v>256</v>
      </c>
      <c r="D372" s="289">
        <v>33.6</v>
      </c>
      <c r="E372" s="290"/>
      <c r="F372" s="290"/>
      <c r="G372" s="290" t="s">
        <v>883</v>
      </c>
      <c r="H372" s="291">
        <v>27</v>
      </c>
      <c r="I372" s="292">
        <v>103003</v>
      </c>
      <c r="J372" s="293">
        <v>33.6</v>
      </c>
      <c r="K372" s="294">
        <v>2</v>
      </c>
      <c r="L372" s="295">
        <f>IF(tabItens[[#This Row],[Média]] &gt; 0, tabItens[[#This Row],[QTDE ATUAL]] / tabItens[[#This Row],[Média]],999.9)</f>
        <v>324</v>
      </c>
      <c r="M372" s="296">
        <v>0</v>
      </c>
      <c r="N372" s="297">
        <f>tabItens[[#This Row],[VALOR UNIT.]] * tabItens[[#This Row],[LC]]</f>
        <v>0</v>
      </c>
      <c r="O372" s="298" t="s">
        <v>2081</v>
      </c>
      <c r="P372" s="299"/>
      <c r="Q372" s="300"/>
      <c r="R372" s="297"/>
      <c r="S372" s="301"/>
      <c r="T372" s="302">
        <f>ROUNDDOWN(IFERROR(tabItens[[#This Row],[ATA DT.VALID.]] - $D$1,0) / 30,0)</f>
        <v>-1504</v>
      </c>
      <c r="U372" s="287" t="s">
        <v>1001</v>
      </c>
      <c r="V372" s="303">
        <v>1</v>
      </c>
      <c r="W372" s="304" t="s">
        <v>2054</v>
      </c>
      <c r="X372" s="305">
        <v>61</v>
      </c>
      <c r="Y372" s="306">
        <v>11</v>
      </c>
      <c r="Z372" s="307">
        <v>2587</v>
      </c>
      <c r="AA372" s="308">
        <v>2023</v>
      </c>
      <c r="AB372" s="309">
        <v>30</v>
      </c>
      <c r="AC372" s="309"/>
      <c r="AD372" s="308"/>
      <c r="AE372" s="309"/>
      <c r="AF372" s="302"/>
      <c r="AG372" s="310" t="s">
        <v>2050</v>
      </c>
      <c r="AH372" s="311"/>
      <c r="AI372" s="302">
        <v>0</v>
      </c>
      <c r="AJ372" s="311">
        <v>44952</v>
      </c>
      <c r="AK372" s="311" t="s">
        <v>883</v>
      </c>
      <c r="AL372" s="311">
        <v>44942</v>
      </c>
      <c r="AM372" s="301"/>
      <c r="AN372" s="290"/>
      <c r="AO372" s="312" t="str">
        <f>_xlfn.IFNA(IF(VLOOKUP(tabItens[[#This Row],[CÓDIGO]],tabExcluirDoEstoque[#Data],1,FALSE),"sim",""),"")</f>
        <v/>
      </c>
      <c r="AP372" s="313" t="str">
        <f ca="1">IF(OR(ISBLANK(tabItens[[#This Row],[ATA DT.VALID.]]),tabItens[[#This Row],[ATA DT.VALID.]]="",tabItens[[#This Row],[ATA DT.VALID.]]=" "),"",IF(TYPE(tabItens[[#This Row],[ATA DT.VALID.]])=1,ROUNDUP((tabItens[[#This Row],[ATA DT.VALID.]]-TODAY())/7,0),""))</f>
        <v/>
      </c>
      <c r="AQ372" s="314">
        <v>0</v>
      </c>
      <c r="AR372" s="315" t="str">
        <f>IF(ISBLANK(tabItens[[#This Row],[CÓDIGO]]),"",IFERROR(VLOOKUP(tabItens[[#This Row],[CÓDIGO]],Consumo!$C$2:$AC$869,26,FALSE),0))</f>
        <v>10.2022</v>
      </c>
      <c r="AS372" s="316">
        <f>SUMIF(Consumo!$C$3:$C$869,tabItens[[#This Row],[CÓDIGO]],Consumo!$N$3:$N$869) + SUMIF(Consumo!$C$3:$C$869,tabItens[[#This Row],[CÓDIGO]],Consumo!$O$3:$O$869) + SUMIF(Consumo!$C$3:$C$869,tabItens[[#This Row],[CÓDIGO]],Consumo!$P$3:$P$869) + SUMIF(Consumo!$C$3:$C$869,tabItens[[#This Row],[CÓDIGO]],Consumo!$Q$3:$Q$869)</f>
        <v>0</v>
      </c>
      <c r="AT372" s="316">
        <f>SUMIF(Consumo!$C$3:$C$869,tabItens[[#This Row],[CÓDIGO]],Consumo!$Z$3:$Z$869)</f>
        <v>2</v>
      </c>
      <c r="AU372" s="317">
        <f>SUMIF(Consumo!$C$3:$C$869,tabItens[[#This Row],[CÓDIGO]],Consumo!$AA$3:$AA$869)</f>
        <v>2</v>
      </c>
      <c r="AV372" s="318">
        <f>SUMIF(Consumo!$C$3:$C$869,tabItens[[#This Row],[CÓDIGO]],Consumo!$Y$3:$Y$869)</f>
        <v>8.3333333333333329E-2</v>
      </c>
      <c r="AW372" s="291">
        <f>tabItens[[#This Row],[QTDE ATUAL]] + tabItens[[#This Row],[RC QTDE]] + tabItens[[#This Row],[AF SALDO]] + tabItens[[#This Row],[Recentes]]</f>
        <v>57</v>
      </c>
      <c r="AX372" s="319">
        <v>4</v>
      </c>
      <c r="AY372" s="319">
        <v>4</v>
      </c>
      <c r="AZ372" s="319">
        <f>IF(ISBLANK(tabItens[[#This Row],[CÓDIGO]]),"",tabItens[[#This Row],[PontoMês]] * (AZ$2+tabItens[[#This Row],[PontoQtM]]))</f>
        <v>16</v>
      </c>
      <c r="BA372" s="318">
        <f>tabItens[[#This Row],[PontoPed]] - tabItens[[#This Row],[Saldo]] + (1/10)</f>
        <v>-40.9</v>
      </c>
      <c r="BB372" s="318">
        <f xml:space="preserve"> tabItens[[#This Row],[PontoMês]] * BB$2 - tabItens[[#This Row],[QTDE ATUAL]] - (1/10)</f>
        <v>-23.1</v>
      </c>
      <c r="BC372" s="320">
        <f>IF( tabItens[[#This Row],[PontoPed]]&gt;0, IF(tabItens[[#This Row],[PontoPed]]&lt;1, 1, IF( tabItens[[#This Row],[Saldo]]&gt;tabItens[[#This Row],[PontoPed]], 0, (tabItens[[#This Row],[PontoPed]]-tabItens[[#This Row],[Saldo]])/tabItens[[#This Row],[PontoPed]] ) ), 0 )</f>
        <v>0</v>
      </c>
      <c r="BD372" s="321">
        <f>ROUNDDOWN(IF( OR( AND(tabItens[[#This Row],[PontoPed]]&lt;tabItens[[#This Row],[Saldo]],tabItens[[#This Row],[Saldo]]&gt;0), tabItens[[#This Row],[PontoPed]]=0), 99, IF(AND(tabItens[[#This Row],[Saldo]]=0,tabItens[[#This Row],[PontoPed]]&gt;0), 0, (1-tabItens[[#This Row],[PctAb]])*10 ) ),0)</f>
        <v>99</v>
      </c>
      <c r="BE372" s="322">
        <f>MAX(ROUNDDOWN( IF(tabItens[[#This Row],[Abaixo]] &gt; 0,   tabItens[[#This Row],[Abaixo]] + (tabItens[[#This Row],[PontoMês]] * IF( OR( ISBLANK(tabItens[[#This Row],[ATA Nº/ANO]]), tabItens[[#This Row],[ATA Nº/ANO]] = ""),BE$2,BE$1)),0),0),0)</f>
        <v>0</v>
      </c>
      <c r="BF37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23">
        <f>SUMIF(Consumo!$C$3:$C$869,tabItens[[#This Row],[CÓDIGO]],Consumo!$E$3:$E$869)</f>
        <v>0</v>
      </c>
      <c r="BH372" s="324">
        <f>IF(AND(tabItens[[#This Row],[Pend]] &gt; 0,tabItens[[#This Row],[Consumo]] &lt;&gt; 0), tabItens[[#This Row],[Pend]] / tabItens[[#This Row],[Consumo]], 0 )</f>
        <v>0</v>
      </c>
      <c r="BI372" s="323"/>
      <c r="BJ372" s="323"/>
      <c r="BK372" s="325" t="s">
        <v>2064</v>
      </c>
    </row>
    <row r="373" spans="1:63" hidden="1" x14ac:dyDescent="0.3">
      <c r="A373" s="286">
        <v>17426</v>
      </c>
      <c r="B373" s="287" t="s">
        <v>1133</v>
      </c>
      <c r="C373" s="288" t="s">
        <v>256</v>
      </c>
      <c r="D373" s="289">
        <v>48.83</v>
      </c>
      <c r="E373" s="290"/>
      <c r="F373" s="290"/>
      <c r="G373" s="290" t="s">
        <v>883</v>
      </c>
      <c r="H373" s="291">
        <v>3</v>
      </c>
      <c r="I373" s="292">
        <v>103003</v>
      </c>
      <c r="J373" s="293">
        <v>48.83</v>
      </c>
      <c r="K373" s="294">
        <v>21</v>
      </c>
      <c r="L373" s="295">
        <f>IF(tabItens[[#This Row],[Média]] &gt; 0, tabItens[[#This Row],[QTDE ATUAL]] / tabItens[[#This Row],[Média]],999.9)</f>
        <v>1.7142857142857142</v>
      </c>
      <c r="M373" s="296">
        <v>0</v>
      </c>
      <c r="N373" s="297">
        <f>tabItens[[#This Row],[VALOR UNIT.]] * tabItens[[#This Row],[LC]]</f>
        <v>0</v>
      </c>
      <c r="O373" s="298" t="s">
        <v>2081</v>
      </c>
      <c r="P373" s="299"/>
      <c r="Q373" s="300"/>
      <c r="R373" s="297"/>
      <c r="S373" s="301"/>
      <c r="T373" s="302">
        <f>ROUNDDOWN(IFERROR(tabItens[[#This Row],[ATA DT.VALID.]] - $D$1,0) / 30,0)</f>
        <v>-1504</v>
      </c>
      <c r="U373" s="287" t="s">
        <v>1001</v>
      </c>
      <c r="V373" s="303">
        <v>1</v>
      </c>
      <c r="W373" s="304" t="s">
        <v>2054</v>
      </c>
      <c r="X373" s="305">
        <v>61</v>
      </c>
      <c r="Y373" s="306">
        <v>11</v>
      </c>
      <c r="Z373" s="307">
        <v>2453</v>
      </c>
      <c r="AA373" s="308">
        <v>2023</v>
      </c>
      <c r="AB373" s="309">
        <v>10</v>
      </c>
      <c r="AC373" s="309"/>
      <c r="AD373" s="308"/>
      <c r="AE373" s="309"/>
      <c r="AF373" s="302"/>
      <c r="AG373" s="310" t="s">
        <v>2050</v>
      </c>
      <c r="AH373" s="311"/>
      <c r="AI373" s="302">
        <v>8</v>
      </c>
      <c r="AJ373" s="311">
        <v>45006</v>
      </c>
      <c r="AK373" s="311" t="s">
        <v>883</v>
      </c>
      <c r="AL373" s="311">
        <v>44942</v>
      </c>
      <c r="AM373" s="301"/>
      <c r="AN373" s="290"/>
      <c r="AO373" s="312" t="str">
        <f>_xlfn.IFNA(IF(VLOOKUP(tabItens[[#This Row],[CÓDIGO]],tabExcluirDoEstoque[#Data],1,FALSE),"sim",""),"")</f>
        <v/>
      </c>
      <c r="AP373" s="313" t="str">
        <f ca="1">IF(OR(ISBLANK(tabItens[[#This Row],[ATA DT.VALID.]]),tabItens[[#This Row],[ATA DT.VALID.]]="",tabItens[[#This Row],[ATA DT.VALID.]]=" "),"",IF(TYPE(tabItens[[#This Row],[ATA DT.VALID.]])=1,ROUNDUP((tabItens[[#This Row],[ATA DT.VALID.]]-TODAY())/7,0),""))</f>
        <v/>
      </c>
      <c r="AQ373" s="314">
        <v>0</v>
      </c>
      <c r="AR373" s="315" t="str">
        <f>IF(ISBLANK(tabItens[[#This Row],[CÓDIGO]]),"",IFERROR(VLOOKUP(tabItens[[#This Row],[CÓDIGO]],Consumo!$C$2:$AC$869,26,FALSE),0))</f>
        <v>07.2023</v>
      </c>
      <c r="AS373" s="316">
        <f>SUMIF(Consumo!$C$3:$C$869,tabItens[[#This Row],[CÓDIGO]],Consumo!$N$3:$N$869) + SUMIF(Consumo!$C$3:$C$869,tabItens[[#This Row],[CÓDIGO]],Consumo!$O$3:$O$869) + SUMIF(Consumo!$C$3:$C$869,tabItens[[#This Row],[CÓDIGO]],Consumo!$P$3:$P$869) + SUMIF(Consumo!$C$3:$C$869,tabItens[[#This Row],[CÓDIGO]],Consumo!$Q$3:$Q$869)</f>
        <v>12</v>
      </c>
      <c r="AT373" s="316">
        <f>SUMIF(Consumo!$C$3:$C$869,tabItens[[#This Row],[CÓDIGO]],Consumo!$Z$3:$Z$869)</f>
        <v>23</v>
      </c>
      <c r="AU373" s="317">
        <f>SUMIF(Consumo!$C$3:$C$869,tabItens[[#This Row],[CÓDIGO]],Consumo!$AA$3:$AA$869)</f>
        <v>8</v>
      </c>
      <c r="AV373" s="318">
        <f>SUMIF(Consumo!$C$3:$C$869,tabItens[[#This Row],[CÓDIGO]],Consumo!$Y$3:$Y$869)</f>
        <v>1.75</v>
      </c>
      <c r="AW373" s="291">
        <f>tabItens[[#This Row],[QTDE ATUAL]] + tabItens[[#This Row],[RC QTDE]] + tabItens[[#This Row],[AF SALDO]] + tabItens[[#This Row],[Recentes]]</f>
        <v>13</v>
      </c>
      <c r="AX373" s="319">
        <v>3</v>
      </c>
      <c r="AY373" s="319">
        <v>4</v>
      </c>
      <c r="AZ373" s="319">
        <f>IF(ISBLANK(tabItens[[#This Row],[CÓDIGO]]),"",tabItens[[#This Row],[PontoMês]] * (AZ$2+tabItens[[#This Row],[PontoQtM]]))</f>
        <v>12</v>
      </c>
      <c r="BA373" s="318">
        <f>tabItens[[#This Row],[PontoPed]] - tabItens[[#This Row],[Saldo]] + (1/10)</f>
        <v>-0.9</v>
      </c>
      <c r="BB373" s="318">
        <f xml:space="preserve"> tabItens[[#This Row],[PontoMês]] * BB$2 - tabItens[[#This Row],[QTDE ATUAL]] - (1/10)</f>
        <v>-0.1</v>
      </c>
      <c r="BC373" s="320">
        <f>IF( tabItens[[#This Row],[PontoPed]]&gt;0, IF(tabItens[[#This Row],[PontoPed]]&lt;1, 1, IF( tabItens[[#This Row],[Saldo]]&gt;tabItens[[#This Row],[PontoPed]], 0, (tabItens[[#This Row],[PontoPed]]-tabItens[[#This Row],[Saldo]])/tabItens[[#This Row],[PontoPed]] ) ), 0 )</f>
        <v>0</v>
      </c>
      <c r="BD373" s="321">
        <f>ROUNDDOWN(IF( OR( AND(tabItens[[#This Row],[PontoPed]]&lt;tabItens[[#This Row],[Saldo]],tabItens[[#This Row],[Saldo]]&gt;0), tabItens[[#This Row],[PontoPed]]=0), 99, IF(AND(tabItens[[#This Row],[Saldo]]=0,tabItens[[#This Row],[PontoPed]]&gt;0), 0, (1-tabItens[[#This Row],[PctAb]])*10 ) ),0)</f>
        <v>99</v>
      </c>
      <c r="BE373" s="322">
        <f>MAX(ROUNDDOWN( IF(tabItens[[#This Row],[Abaixo]] &gt; 0,   tabItens[[#This Row],[Abaixo]] + (tabItens[[#This Row],[PontoMês]] * IF( OR( ISBLANK(tabItens[[#This Row],[ATA Nº/ANO]]), tabItens[[#This Row],[ATA Nº/ANO]] = ""),BE$2,BE$1)),0),0),0)</f>
        <v>0</v>
      </c>
      <c r="BF3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23">
        <f>SUMIF(Consumo!$C$3:$C$869,tabItens[[#This Row],[CÓDIGO]],Consumo!$E$3:$E$869)</f>
        <v>1</v>
      </c>
      <c r="BH373" s="324">
        <f>IF(AND(tabItens[[#This Row],[Pend]] &gt; 0,tabItens[[#This Row],[Consumo]] &lt;&gt; 0), tabItens[[#This Row],[Pend]] / tabItens[[#This Row],[Consumo]], 0 )</f>
        <v>4.3478260869565216E-2</v>
      </c>
      <c r="BI373" s="323"/>
      <c r="BJ373" s="323"/>
      <c r="BK373" s="325" t="s">
        <v>2064</v>
      </c>
    </row>
    <row r="374" spans="1:63" hidden="1" x14ac:dyDescent="0.3">
      <c r="A374" s="286">
        <v>133819</v>
      </c>
      <c r="B374" s="287" t="s">
        <v>1850</v>
      </c>
      <c r="C374" s="288" t="s">
        <v>256</v>
      </c>
      <c r="D374" s="289">
        <v>0.81</v>
      </c>
      <c r="E374" s="290"/>
      <c r="F374" s="290"/>
      <c r="G374" s="290" t="s">
        <v>883</v>
      </c>
      <c r="H374" s="291">
        <v>128</v>
      </c>
      <c r="I374" s="292">
        <v>103003</v>
      </c>
      <c r="J374" s="293">
        <v>0.81</v>
      </c>
      <c r="K374" s="294">
        <v>314</v>
      </c>
      <c r="L374" s="295">
        <f>IF(tabItens[[#This Row],[Média]] &gt; 0, tabItens[[#This Row],[QTDE ATUAL]] / tabItens[[#This Row],[Média]],999.9)</f>
        <v>3.5148741418764304</v>
      </c>
      <c r="M374" s="296">
        <v>0</v>
      </c>
      <c r="N374" s="297">
        <f>tabItens[[#This Row],[VALOR UNIT.]] * tabItens[[#This Row],[LC]]</f>
        <v>0</v>
      </c>
      <c r="O374" s="298" t="s">
        <v>2081</v>
      </c>
      <c r="P374" s="299"/>
      <c r="Q374" s="300"/>
      <c r="R374" s="297"/>
      <c r="S374" s="301"/>
      <c r="T374" s="302">
        <f>ROUNDDOWN(IFERROR(tabItens[[#This Row],[ATA DT.VALID.]] - $D$1,0) / 30,0)</f>
        <v>-1504</v>
      </c>
      <c r="U374" s="287" t="s">
        <v>1001</v>
      </c>
      <c r="V374" s="303">
        <v>1</v>
      </c>
      <c r="W374" s="304" t="s">
        <v>2054</v>
      </c>
      <c r="X374" s="305">
        <v>61</v>
      </c>
      <c r="Y374" s="306">
        <v>11</v>
      </c>
      <c r="Z374" s="307">
        <v>2453</v>
      </c>
      <c r="AA374" s="308">
        <v>2023</v>
      </c>
      <c r="AB374" s="309">
        <v>400</v>
      </c>
      <c r="AC374" s="309"/>
      <c r="AD374" s="308"/>
      <c r="AE374" s="309"/>
      <c r="AF374" s="302"/>
      <c r="AG374" s="310" t="s">
        <v>2050</v>
      </c>
      <c r="AH374" s="311"/>
      <c r="AI374" s="302">
        <v>146</v>
      </c>
      <c r="AJ374" s="311">
        <v>43427</v>
      </c>
      <c r="AK374" s="311">
        <v>43052</v>
      </c>
      <c r="AL374" s="311">
        <v>43672</v>
      </c>
      <c r="AM374" s="301"/>
      <c r="AN374" s="290"/>
      <c r="AO374" s="312" t="str">
        <f>_xlfn.IFNA(IF(VLOOKUP(tabItens[[#This Row],[CÓDIGO]],tabExcluirDoEstoque[#Data],1,FALSE),"sim",""),"")</f>
        <v/>
      </c>
      <c r="AP374" s="313" t="str">
        <f ca="1">IF(OR(ISBLANK(tabItens[[#This Row],[ATA DT.VALID.]]),tabItens[[#This Row],[ATA DT.VALID.]]="",tabItens[[#This Row],[ATA DT.VALID.]]=" "),"",IF(TYPE(tabItens[[#This Row],[ATA DT.VALID.]])=1,ROUNDUP((tabItens[[#This Row],[ATA DT.VALID.]]-TODAY())/7,0),""))</f>
        <v/>
      </c>
      <c r="AQ374" s="314">
        <v>0</v>
      </c>
      <c r="AR374" s="315" t="str">
        <f>IF(ISBLANK(tabItens[[#This Row],[CÓDIGO]]),"",IFERROR(VLOOKUP(tabItens[[#This Row],[CÓDIGO]],Consumo!$C$2:$AC$869,26,FALSE),0))</f>
        <v>07.2023</v>
      </c>
      <c r="AS374" s="316">
        <f>SUMIF(Consumo!$C$3:$C$869,tabItens[[#This Row],[CÓDIGO]],Consumo!$N$3:$N$869) + SUMIF(Consumo!$C$3:$C$869,tabItens[[#This Row],[CÓDIGO]],Consumo!$O$3:$O$869) + SUMIF(Consumo!$C$3:$C$869,tabItens[[#This Row],[CÓDIGO]],Consumo!$P$3:$P$869) + SUMIF(Consumo!$C$3:$C$869,tabItens[[#This Row],[CÓDIGO]],Consumo!$Q$3:$Q$869)</f>
        <v>146</v>
      </c>
      <c r="AT374" s="316">
        <f>SUMIF(Consumo!$C$3:$C$869,tabItens[[#This Row],[CÓDIGO]],Consumo!$Z$3:$Z$869)</f>
        <v>439</v>
      </c>
      <c r="AU374" s="317">
        <f>SUMIF(Consumo!$C$3:$C$869,tabItens[[#This Row],[CÓDIGO]],Consumo!$AA$3:$AA$869)</f>
        <v>80</v>
      </c>
      <c r="AV374" s="318">
        <f>SUMIF(Consumo!$C$3:$C$869,tabItens[[#This Row],[CÓDIGO]],Consumo!$Y$3:$Y$869)</f>
        <v>36.416666666666664</v>
      </c>
      <c r="AW374" s="291">
        <f>tabItens[[#This Row],[QTDE ATUAL]] + tabItens[[#This Row],[RC QTDE]] + tabItens[[#This Row],[AF SALDO]] + tabItens[[#This Row],[Recentes]]</f>
        <v>528</v>
      </c>
      <c r="AX374" s="319">
        <v>100</v>
      </c>
      <c r="AY374" s="319">
        <v>4</v>
      </c>
      <c r="AZ374" s="319">
        <f>IF(ISBLANK(tabItens[[#This Row],[CÓDIGO]]),"",tabItens[[#This Row],[PontoMês]] * (AZ$2+tabItens[[#This Row],[PontoQtM]]))</f>
        <v>400</v>
      </c>
      <c r="BA374" s="318">
        <f>tabItens[[#This Row],[PontoPed]] - tabItens[[#This Row],[Saldo]] + (1/10)</f>
        <v>-127.9</v>
      </c>
      <c r="BB374" s="318">
        <f xml:space="preserve"> tabItens[[#This Row],[PontoMês]] * BB$2 - tabItens[[#This Row],[QTDE ATUAL]] - (1/10)</f>
        <v>-28.1</v>
      </c>
      <c r="BC374" s="320">
        <f>IF( tabItens[[#This Row],[PontoPed]]&gt;0, IF(tabItens[[#This Row],[PontoPed]]&lt;1, 1, IF( tabItens[[#This Row],[Saldo]]&gt;tabItens[[#This Row],[PontoPed]], 0, (tabItens[[#This Row],[PontoPed]]-tabItens[[#This Row],[Saldo]])/tabItens[[#This Row],[PontoPed]] ) ), 0 )</f>
        <v>0</v>
      </c>
      <c r="BD374" s="321">
        <f>ROUNDDOWN(IF( OR( AND(tabItens[[#This Row],[PontoPed]]&lt;tabItens[[#This Row],[Saldo]],tabItens[[#This Row],[Saldo]]&gt;0), tabItens[[#This Row],[PontoPed]]=0), 99, IF(AND(tabItens[[#This Row],[Saldo]]=0,tabItens[[#This Row],[PontoPed]]&gt;0), 0, (1-tabItens[[#This Row],[PctAb]])*10 ) ),0)</f>
        <v>99</v>
      </c>
      <c r="BE374" s="322">
        <f>MAX(ROUNDDOWN( IF(tabItens[[#This Row],[Abaixo]] &gt; 0,   tabItens[[#This Row],[Abaixo]] + (tabItens[[#This Row],[PontoMês]] * IF( OR( ISBLANK(tabItens[[#This Row],[ATA Nº/ANO]]), tabItens[[#This Row],[ATA Nº/ANO]] = ""),BE$2,BE$1)),0),0),0)</f>
        <v>0</v>
      </c>
      <c r="BF3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23">
        <f>SUMIF(Consumo!$C$3:$C$869,tabItens[[#This Row],[CÓDIGO]],Consumo!$E$3:$E$869)</f>
        <v>0</v>
      </c>
      <c r="BH374" s="324">
        <f>IF(AND(tabItens[[#This Row],[Pend]] &gt; 0,tabItens[[#This Row],[Consumo]] &lt;&gt; 0), tabItens[[#This Row],[Pend]] / tabItens[[#This Row],[Consumo]], 0 )</f>
        <v>0</v>
      </c>
      <c r="BI374" s="323"/>
      <c r="BJ374" s="323"/>
      <c r="BK374" s="325" t="s">
        <v>2064</v>
      </c>
    </row>
    <row r="375" spans="1:63" hidden="1" x14ac:dyDescent="0.3">
      <c r="A375" s="286">
        <v>103142</v>
      </c>
      <c r="B375" s="287" t="s">
        <v>1589</v>
      </c>
      <c r="C375" s="288" t="s">
        <v>256</v>
      </c>
      <c r="D375" s="289">
        <v>414.81</v>
      </c>
      <c r="E375" s="290"/>
      <c r="F375" s="290"/>
      <c r="G375" s="290" t="s">
        <v>883</v>
      </c>
      <c r="H375" s="291">
        <v>7</v>
      </c>
      <c r="I375" s="292">
        <v>103003</v>
      </c>
      <c r="J375" s="293">
        <v>402.46832999999998</v>
      </c>
      <c r="K375" s="294">
        <v>7</v>
      </c>
      <c r="L375" s="295">
        <f>IF(tabItens[[#This Row],[Média]] &gt; 0, tabItens[[#This Row],[QTDE ATUAL]] / tabItens[[#This Row],[Média]],999.9)</f>
        <v>12</v>
      </c>
      <c r="M375" s="296">
        <v>0</v>
      </c>
      <c r="N375" s="297">
        <f>tabItens[[#This Row],[VALOR UNIT.]] * tabItens[[#This Row],[LC]]</f>
        <v>0</v>
      </c>
      <c r="O375" s="298" t="s">
        <v>2081</v>
      </c>
      <c r="P375" s="299"/>
      <c r="Q375" s="300"/>
      <c r="R375" s="297"/>
      <c r="S375" s="301"/>
      <c r="T375" s="302">
        <f>ROUNDDOWN(IFERROR(tabItens[[#This Row],[ATA DT.VALID.]] - $D$1,0) / 30,0)</f>
        <v>-1504</v>
      </c>
      <c r="U375" s="287" t="s">
        <v>1590</v>
      </c>
      <c r="V375" s="303">
        <v>1</v>
      </c>
      <c r="W375" s="304" t="s">
        <v>2054</v>
      </c>
      <c r="X375" s="305">
        <v>61</v>
      </c>
      <c r="Y375" s="306">
        <v>13</v>
      </c>
      <c r="Z375" s="307">
        <v>2960</v>
      </c>
      <c r="AA375" s="308">
        <v>2023</v>
      </c>
      <c r="AB375" s="309">
        <v>5</v>
      </c>
      <c r="AC375" s="309"/>
      <c r="AD375" s="308"/>
      <c r="AE375" s="309"/>
      <c r="AF375" s="302"/>
      <c r="AG375" s="310" t="s">
        <v>2050</v>
      </c>
      <c r="AH375" s="311"/>
      <c r="AI375" s="302">
        <v>2</v>
      </c>
      <c r="AJ375" s="311">
        <v>44950</v>
      </c>
      <c r="AK375" s="311">
        <v>39393</v>
      </c>
      <c r="AL375" s="311">
        <v>44939</v>
      </c>
      <c r="AM375" s="301"/>
      <c r="AN375" s="290"/>
      <c r="AO375" s="312" t="str">
        <f>_xlfn.IFNA(IF(VLOOKUP(tabItens[[#This Row],[CÓDIGO]],tabExcluirDoEstoque[#Data],1,FALSE),"sim",""),"")</f>
        <v/>
      </c>
      <c r="AP375" s="313" t="str">
        <f ca="1">IF(OR(ISBLANK(tabItens[[#This Row],[ATA DT.VALID.]]),tabItens[[#This Row],[ATA DT.VALID.]]="",tabItens[[#This Row],[ATA DT.VALID.]]=" "),"",IF(TYPE(tabItens[[#This Row],[ATA DT.VALID.]])=1,ROUNDUP((tabItens[[#This Row],[ATA DT.VALID.]]-TODAY())/7,0),""))</f>
        <v/>
      </c>
      <c r="AQ375" s="314">
        <v>0</v>
      </c>
      <c r="AR375" s="315" t="str">
        <f>IF(ISBLANK(tabItens[[#This Row],[CÓDIGO]]),"",IFERROR(VLOOKUP(tabItens[[#This Row],[CÓDIGO]],Consumo!$C$2:$AC$869,26,FALSE),0))</f>
        <v>06.2023</v>
      </c>
      <c r="AS375" s="316">
        <f>SUMIF(Consumo!$C$3:$C$869,tabItens[[#This Row],[CÓDIGO]],Consumo!$N$3:$N$869) + SUMIF(Consumo!$C$3:$C$869,tabItens[[#This Row],[CÓDIGO]],Consumo!$O$3:$O$869) + SUMIF(Consumo!$C$3:$C$869,tabItens[[#This Row],[CÓDIGO]],Consumo!$P$3:$P$869) + SUMIF(Consumo!$C$3:$C$869,tabItens[[#This Row],[CÓDIGO]],Consumo!$Q$3:$Q$869)</f>
        <v>1</v>
      </c>
      <c r="AT375" s="316">
        <f>SUMIF(Consumo!$C$3:$C$869,tabItens[[#This Row],[CÓDIGO]],Consumo!$Z$3:$Z$869)</f>
        <v>7</v>
      </c>
      <c r="AU375" s="317">
        <f>SUMIF(Consumo!$C$3:$C$869,tabItens[[#This Row],[CÓDIGO]],Consumo!$AA$3:$AA$869)</f>
        <v>2</v>
      </c>
      <c r="AV375" s="318">
        <f>SUMIF(Consumo!$C$3:$C$869,tabItens[[#This Row],[CÓDIGO]],Consumo!$Y$3:$Y$869)</f>
        <v>0.58333333333333337</v>
      </c>
      <c r="AW375" s="291">
        <f>tabItens[[#This Row],[QTDE ATUAL]] + tabItens[[#This Row],[RC QTDE]] + tabItens[[#This Row],[AF SALDO]] + tabItens[[#This Row],[Recentes]]</f>
        <v>12</v>
      </c>
      <c r="AX375" s="319">
        <v>1</v>
      </c>
      <c r="AY375" s="319">
        <v>4</v>
      </c>
      <c r="AZ375" s="319">
        <f>IF(ISBLANK(tabItens[[#This Row],[CÓDIGO]]),"",tabItens[[#This Row],[PontoMês]] * (AZ$2+tabItens[[#This Row],[PontoQtM]]))</f>
        <v>4</v>
      </c>
      <c r="BA375" s="318">
        <f>tabItens[[#This Row],[PontoPed]] - tabItens[[#This Row],[Saldo]] + (1/10)</f>
        <v>-7.9</v>
      </c>
      <c r="BB375" s="318">
        <f xml:space="preserve"> tabItens[[#This Row],[PontoMês]] * BB$2 - tabItens[[#This Row],[QTDE ATUAL]] - (1/10)</f>
        <v>-6.1</v>
      </c>
      <c r="BC375" s="320">
        <f>IF( tabItens[[#This Row],[PontoPed]]&gt;0, IF(tabItens[[#This Row],[PontoPed]]&lt;1, 1, IF( tabItens[[#This Row],[Saldo]]&gt;tabItens[[#This Row],[PontoPed]], 0, (tabItens[[#This Row],[PontoPed]]-tabItens[[#This Row],[Saldo]])/tabItens[[#This Row],[PontoPed]] ) ), 0 )</f>
        <v>0</v>
      </c>
      <c r="BD375" s="321">
        <f>ROUNDDOWN(IF( OR( AND(tabItens[[#This Row],[PontoPed]]&lt;tabItens[[#This Row],[Saldo]],tabItens[[#This Row],[Saldo]]&gt;0), tabItens[[#This Row],[PontoPed]]=0), 99, IF(AND(tabItens[[#This Row],[Saldo]]=0,tabItens[[#This Row],[PontoPed]]&gt;0), 0, (1-tabItens[[#This Row],[PctAb]])*10 ) ),0)</f>
        <v>99</v>
      </c>
      <c r="BE375" s="322">
        <f>MAX(ROUNDDOWN( IF(tabItens[[#This Row],[Abaixo]] &gt; 0,   tabItens[[#This Row],[Abaixo]] + (tabItens[[#This Row],[PontoMês]] * IF( OR( ISBLANK(tabItens[[#This Row],[ATA Nº/ANO]]), tabItens[[#This Row],[ATA Nº/ANO]] = ""),BE$2,BE$1)),0),0),0)</f>
        <v>0</v>
      </c>
      <c r="BF3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23">
        <f>SUMIF(Consumo!$C$3:$C$869,tabItens[[#This Row],[CÓDIGO]],Consumo!$E$3:$E$869)</f>
        <v>0</v>
      </c>
      <c r="BH375" s="324">
        <f>IF(AND(tabItens[[#This Row],[Pend]] &gt; 0,tabItens[[#This Row],[Consumo]] &lt;&gt; 0), tabItens[[#This Row],[Pend]] / tabItens[[#This Row],[Consumo]], 0 )</f>
        <v>0</v>
      </c>
      <c r="BI375" s="323"/>
      <c r="BJ375" s="323"/>
      <c r="BK375" s="325" t="s">
        <v>2064</v>
      </c>
    </row>
    <row r="376" spans="1:63" hidden="1" x14ac:dyDescent="0.3">
      <c r="A376" s="286">
        <v>134582</v>
      </c>
      <c r="B376" s="287" t="s">
        <v>1894</v>
      </c>
      <c r="C376" s="288" t="s">
        <v>256</v>
      </c>
      <c r="D376" s="289">
        <v>42.85</v>
      </c>
      <c r="E376" s="290"/>
      <c r="F376" s="290"/>
      <c r="G376" s="290" t="s">
        <v>883</v>
      </c>
      <c r="H376" s="291">
        <v>47</v>
      </c>
      <c r="I376" s="292">
        <v>103003</v>
      </c>
      <c r="J376" s="293">
        <v>37.955910000000003</v>
      </c>
      <c r="K376" s="294">
        <v>65</v>
      </c>
      <c r="L376" s="295">
        <f>IF(tabItens[[#This Row],[Média]] &gt; 0, tabItens[[#This Row],[QTDE ATUAL]] / tabItens[[#This Row],[Média]],999.9)</f>
        <v>6.7142857142857144</v>
      </c>
      <c r="M376" s="296">
        <v>0</v>
      </c>
      <c r="N376" s="297">
        <f>tabItens[[#This Row],[VALOR UNIT.]] * tabItens[[#This Row],[LC]]</f>
        <v>0</v>
      </c>
      <c r="O376" s="298" t="s">
        <v>2081</v>
      </c>
      <c r="P376" s="299"/>
      <c r="Q376" s="300"/>
      <c r="R376" s="297"/>
      <c r="S376" s="301"/>
      <c r="T376" s="302">
        <f>ROUNDDOWN(IFERROR(tabItens[[#This Row],[ATA DT.VALID.]] - $D$1,0) / 30,0)</f>
        <v>-1504</v>
      </c>
      <c r="U376" s="287" t="s">
        <v>1013</v>
      </c>
      <c r="V376" s="303">
        <v>1</v>
      </c>
      <c r="W376" s="304" t="s">
        <v>2054</v>
      </c>
      <c r="X376" s="305">
        <v>61</v>
      </c>
      <c r="Y376" s="306">
        <v>14</v>
      </c>
      <c r="Z376" s="307">
        <v>2960</v>
      </c>
      <c r="AA376" s="308">
        <v>2023</v>
      </c>
      <c r="AB376" s="309">
        <v>30</v>
      </c>
      <c r="AC376" s="309"/>
      <c r="AD376" s="308"/>
      <c r="AE376" s="309"/>
      <c r="AF376" s="302"/>
      <c r="AG376" s="310" t="s">
        <v>2050</v>
      </c>
      <c r="AH376" s="311"/>
      <c r="AI376" s="302">
        <v>30</v>
      </c>
      <c r="AJ376" s="311">
        <v>44651</v>
      </c>
      <c r="AK376" s="311">
        <v>43174</v>
      </c>
      <c r="AL376" s="311">
        <v>44607</v>
      </c>
      <c r="AM376" s="301"/>
      <c r="AN376" s="290"/>
      <c r="AO376" s="312" t="str">
        <f>_xlfn.IFNA(IF(VLOOKUP(tabItens[[#This Row],[CÓDIGO]],tabExcluirDoEstoque[#Data],1,FALSE),"sim",""),"")</f>
        <v/>
      </c>
      <c r="AP376" s="313" t="str">
        <f ca="1">IF(OR(ISBLANK(tabItens[[#This Row],[ATA DT.VALID.]]),tabItens[[#This Row],[ATA DT.VALID.]]="",tabItens[[#This Row],[ATA DT.VALID.]]=" "),"",IF(TYPE(tabItens[[#This Row],[ATA DT.VALID.]])=1,ROUNDUP((tabItens[[#This Row],[ATA DT.VALID.]]-TODAY())/7,0),""))</f>
        <v/>
      </c>
      <c r="AQ376" s="314">
        <v>0</v>
      </c>
      <c r="AR376" s="315" t="str">
        <f>IF(ISBLANK(tabItens[[#This Row],[CÓDIGO]]),"",IFERROR(VLOOKUP(tabItens[[#This Row],[CÓDIGO]],Consumo!$C$2:$AC$869,26,FALSE),0))</f>
        <v>07.2023</v>
      </c>
      <c r="AS376" s="316">
        <f>SUMIF(Consumo!$C$3:$C$869,tabItens[[#This Row],[CÓDIGO]],Consumo!$N$3:$N$869) + SUMIF(Consumo!$C$3:$C$869,tabItens[[#This Row],[CÓDIGO]],Consumo!$O$3:$O$869) + SUMIF(Consumo!$C$3:$C$869,tabItens[[#This Row],[CÓDIGO]],Consumo!$P$3:$P$869) + SUMIF(Consumo!$C$3:$C$869,tabItens[[#This Row],[CÓDIGO]],Consumo!$Q$3:$Q$869)</f>
        <v>37</v>
      </c>
      <c r="AT376" s="316">
        <f>SUMIF(Consumo!$C$3:$C$869,tabItens[[#This Row],[CÓDIGO]],Consumo!$Z$3:$Z$869)</f>
        <v>88</v>
      </c>
      <c r="AU376" s="317">
        <f>SUMIF(Consumo!$C$3:$C$869,tabItens[[#This Row],[CÓDIGO]],Consumo!$AA$3:$AA$869)</f>
        <v>21</v>
      </c>
      <c r="AV376" s="318">
        <f>SUMIF(Consumo!$C$3:$C$869,tabItens[[#This Row],[CÓDIGO]],Consumo!$Y$3:$Y$869)</f>
        <v>7</v>
      </c>
      <c r="AW376" s="291">
        <f>tabItens[[#This Row],[QTDE ATUAL]] + tabItens[[#This Row],[RC QTDE]] + tabItens[[#This Row],[AF SALDO]] + tabItens[[#This Row],[Recentes]]</f>
        <v>77</v>
      </c>
      <c r="AX376" s="319">
        <v>10</v>
      </c>
      <c r="AY376" s="319">
        <v>4</v>
      </c>
      <c r="AZ376" s="319">
        <f>IF(ISBLANK(tabItens[[#This Row],[CÓDIGO]]),"",tabItens[[#This Row],[PontoMês]] * (AZ$2+tabItens[[#This Row],[PontoQtM]]))</f>
        <v>40</v>
      </c>
      <c r="BA376" s="318">
        <f>tabItens[[#This Row],[PontoPed]] - tabItens[[#This Row],[Saldo]] + (1/10)</f>
        <v>-36.9</v>
      </c>
      <c r="BB376" s="318">
        <f xml:space="preserve"> tabItens[[#This Row],[PontoMês]] * BB$2 - tabItens[[#This Row],[QTDE ATUAL]] - (1/10)</f>
        <v>-37.1</v>
      </c>
      <c r="BC376" s="320">
        <f>IF( tabItens[[#This Row],[PontoPed]]&gt;0, IF(tabItens[[#This Row],[PontoPed]]&lt;1, 1, IF( tabItens[[#This Row],[Saldo]]&gt;tabItens[[#This Row],[PontoPed]], 0, (tabItens[[#This Row],[PontoPed]]-tabItens[[#This Row],[Saldo]])/tabItens[[#This Row],[PontoPed]] ) ), 0 )</f>
        <v>0</v>
      </c>
      <c r="BD376" s="321">
        <f>ROUNDDOWN(IF( OR( AND(tabItens[[#This Row],[PontoPed]]&lt;tabItens[[#This Row],[Saldo]],tabItens[[#This Row],[Saldo]]&gt;0), tabItens[[#This Row],[PontoPed]]=0), 99, IF(AND(tabItens[[#This Row],[Saldo]]=0,tabItens[[#This Row],[PontoPed]]&gt;0), 0, (1-tabItens[[#This Row],[PctAb]])*10 ) ),0)</f>
        <v>99</v>
      </c>
      <c r="BE376" s="322">
        <f>MAX(ROUNDDOWN( IF(tabItens[[#This Row],[Abaixo]] &gt; 0,   tabItens[[#This Row],[Abaixo]] + (tabItens[[#This Row],[PontoMês]] * IF( OR( ISBLANK(tabItens[[#This Row],[ATA Nº/ANO]]), tabItens[[#This Row],[ATA Nº/ANO]] = ""),BE$2,BE$1)),0),0),0)</f>
        <v>0</v>
      </c>
      <c r="BF37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23">
        <f>SUMIF(Consumo!$C$3:$C$869,tabItens[[#This Row],[CÓDIGO]],Consumo!$E$3:$E$869)</f>
        <v>0</v>
      </c>
      <c r="BH376" s="324">
        <f>IF(AND(tabItens[[#This Row],[Pend]] &gt; 0,tabItens[[#This Row],[Consumo]] &lt;&gt; 0), tabItens[[#This Row],[Pend]] / tabItens[[#This Row],[Consumo]], 0 )</f>
        <v>0</v>
      </c>
      <c r="BI376" s="323"/>
      <c r="BJ376" s="323"/>
      <c r="BK376" s="325" t="s">
        <v>2064</v>
      </c>
    </row>
    <row r="377" spans="1:63" hidden="1" x14ac:dyDescent="0.3">
      <c r="A377" s="286">
        <v>25756</v>
      </c>
      <c r="B377" s="287" t="s">
        <v>1207</v>
      </c>
      <c r="C377" s="288" t="s">
        <v>256</v>
      </c>
      <c r="D377" s="289">
        <v>66.25</v>
      </c>
      <c r="E377" s="290"/>
      <c r="F377" s="290"/>
      <c r="G377" s="290" t="s">
        <v>883</v>
      </c>
      <c r="H377" s="291">
        <v>116</v>
      </c>
      <c r="I377" s="292">
        <v>103003</v>
      </c>
      <c r="J377" s="293">
        <v>66.25</v>
      </c>
      <c r="K377" s="294">
        <v>58</v>
      </c>
      <c r="L377" s="295">
        <f>IF(tabItens[[#This Row],[Média]] &gt; 0, tabItens[[#This Row],[QTDE ATUAL]] / tabItens[[#This Row],[Média]],999.9)</f>
        <v>22.095238095238095</v>
      </c>
      <c r="M377" s="296">
        <v>0</v>
      </c>
      <c r="N377" s="297">
        <f>tabItens[[#This Row],[VALOR UNIT.]] * tabItens[[#This Row],[LC]]</f>
        <v>0</v>
      </c>
      <c r="O377" s="298" t="s">
        <v>2081</v>
      </c>
      <c r="P377" s="299"/>
      <c r="Q377" s="300"/>
      <c r="R377" s="297"/>
      <c r="S377" s="301"/>
      <c r="T377" s="302">
        <f>ROUNDDOWN(IFERROR(tabItens[[#This Row],[ATA DT.VALID.]] - $D$1,0) / 30,0)</f>
        <v>-1504</v>
      </c>
      <c r="U377" s="287" t="s">
        <v>1009</v>
      </c>
      <c r="V377" s="303">
        <v>1</v>
      </c>
      <c r="W377" s="304" t="s">
        <v>2054</v>
      </c>
      <c r="X377" s="305">
        <v>61</v>
      </c>
      <c r="Y377" s="306">
        <v>15</v>
      </c>
      <c r="Z377" s="307"/>
      <c r="AA377" s="308"/>
      <c r="AB377" s="309"/>
      <c r="AC377" s="309"/>
      <c r="AD377" s="308"/>
      <c r="AE377" s="309"/>
      <c r="AF377" s="302"/>
      <c r="AG377" s="310" t="s">
        <v>2050</v>
      </c>
      <c r="AH377" s="311"/>
      <c r="AI377" s="302">
        <v>30</v>
      </c>
      <c r="AJ377" s="311">
        <v>44610</v>
      </c>
      <c r="AK377" s="311" t="s">
        <v>883</v>
      </c>
      <c r="AL377" s="311">
        <v>44607</v>
      </c>
      <c r="AM377" s="301"/>
      <c r="AN377" s="290"/>
      <c r="AO377" s="312" t="str">
        <f>_xlfn.IFNA(IF(VLOOKUP(tabItens[[#This Row],[CÓDIGO]],tabExcluirDoEstoque[#Data],1,FALSE),"sim",""),"")</f>
        <v/>
      </c>
      <c r="AP377" s="313" t="str">
        <f ca="1">IF(OR(ISBLANK(tabItens[[#This Row],[ATA DT.VALID.]]),tabItens[[#This Row],[ATA DT.VALID.]]="",tabItens[[#This Row],[ATA DT.VALID.]]=" "),"",IF(TYPE(tabItens[[#This Row],[ATA DT.VALID.]])=1,ROUNDUP((tabItens[[#This Row],[ATA DT.VALID.]]-TODAY())/7,0),""))</f>
        <v/>
      </c>
      <c r="AQ377" s="314">
        <v>0</v>
      </c>
      <c r="AR377" s="315" t="str">
        <f>IF(ISBLANK(tabItens[[#This Row],[CÓDIGO]]),"",IFERROR(VLOOKUP(tabItens[[#This Row],[CÓDIGO]],Consumo!$C$2:$AC$869,26,FALSE),0))</f>
        <v>05.2023</v>
      </c>
      <c r="AS377" s="316">
        <f>SUMIF(Consumo!$C$3:$C$869,tabItens[[#This Row],[CÓDIGO]],Consumo!$N$3:$N$869) + SUMIF(Consumo!$C$3:$C$869,tabItens[[#This Row],[CÓDIGO]],Consumo!$O$3:$O$869) + SUMIF(Consumo!$C$3:$C$869,tabItens[[#This Row],[CÓDIGO]],Consumo!$P$3:$P$869) + SUMIF(Consumo!$C$3:$C$869,tabItens[[#This Row],[CÓDIGO]],Consumo!$Q$3:$Q$869)</f>
        <v>33</v>
      </c>
      <c r="AT377" s="316">
        <f>SUMIF(Consumo!$C$3:$C$869,tabItens[[#This Row],[CÓDIGO]],Consumo!$Z$3:$Z$869)</f>
        <v>68</v>
      </c>
      <c r="AU377" s="317">
        <f>SUMIF(Consumo!$C$3:$C$869,tabItens[[#This Row],[CÓDIGO]],Consumo!$AA$3:$AA$869)</f>
        <v>23</v>
      </c>
      <c r="AV377" s="318">
        <f>SUMIF(Consumo!$C$3:$C$869,tabItens[[#This Row],[CÓDIGO]],Consumo!$Y$3:$Y$869)</f>
        <v>5.25</v>
      </c>
      <c r="AW377" s="291">
        <f>tabItens[[#This Row],[QTDE ATUAL]] + tabItens[[#This Row],[RC QTDE]] + tabItens[[#This Row],[AF SALDO]] + tabItens[[#This Row],[Recentes]]</f>
        <v>116</v>
      </c>
      <c r="AX377" s="319">
        <v>6</v>
      </c>
      <c r="AY377" s="319">
        <v>4</v>
      </c>
      <c r="AZ377" s="319">
        <f>IF(ISBLANK(tabItens[[#This Row],[CÓDIGO]]),"",tabItens[[#This Row],[PontoMês]] * (AZ$2+tabItens[[#This Row],[PontoQtM]]))</f>
        <v>24</v>
      </c>
      <c r="BA377" s="318">
        <f>tabItens[[#This Row],[PontoPed]] - tabItens[[#This Row],[Saldo]] + (1/10)</f>
        <v>-91.9</v>
      </c>
      <c r="BB377" s="318">
        <f xml:space="preserve"> tabItens[[#This Row],[PontoMês]] * BB$2 - tabItens[[#This Row],[QTDE ATUAL]] - (1/10)</f>
        <v>-110.1</v>
      </c>
      <c r="BC377" s="320">
        <f>IF( tabItens[[#This Row],[PontoPed]]&gt;0, IF(tabItens[[#This Row],[PontoPed]]&lt;1, 1, IF( tabItens[[#This Row],[Saldo]]&gt;tabItens[[#This Row],[PontoPed]], 0, (tabItens[[#This Row],[PontoPed]]-tabItens[[#This Row],[Saldo]])/tabItens[[#This Row],[PontoPed]] ) ), 0 )</f>
        <v>0</v>
      </c>
      <c r="BD377" s="321">
        <f>ROUNDDOWN(IF( OR( AND(tabItens[[#This Row],[PontoPed]]&lt;tabItens[[#This Row],[Saldo]],tabItens[[#This Row],[Saldo]]&gt;0), tabItens[[#This Row],[PontoPed]]=0), 99, IF(AND(tabItens[[#This Row],[Saldo]]=0,tabItens[[#This Row],[PontoPed]]&gt;0), 0, (1-tabItens[[#This Row],[PctAb]])*10 ) ),0)</f>
        <v>99</v>
      </c>
      <c r="BE377" s="322">
        <f>MAX(ROUNDDOWN( IF(tabItens[[#This Row],[Abaixo]] &gt; 0,   tabItens[[#This Row],[Abaixo]] + (tabItens[[#This Row],[PontoMês]] * IF( OR( ISBLANK(tabItens[[#This Row],[ATA Nº/ANO]]), tabItens[[#This Row],[ATA Nº/ANO]] = ""),BE$2,BE$1)),0),0),0)</f>
        <v>0</v>
      </c>
      <c r="BF37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23">
        <f>SUMIF(Consumo!$C$3:$C$869,tabItens[[#This Row],[CÓDIGO]],Consumo!$E$3:$E$869)</f>
        <v>0</v>
      </c>
      <c r="BH377" s="324">
        <f>IF(AND(tabItens[[#This Row],[Pend]] &gt; 0,tabItens[[#This Row],[Consumo]] &lt;&gt; 0), tabItens[[#This Row],[Pend]] / tabItens[[#This Row],[Consumo]], 0 )</f>
        <v>0</v>
      </c>
      <c r="BI377" s="323"/>
      <c r="BJ377" s="323"/>
      <c r="BK377" s="325" t="s">
        <v>2064</v>
      </c>
    </row>
    <row r="378" spans="1:63" hidden="1" x14ac:dyDescent="0.3">
      <c r="A378" s="286">
        <v>53849</v>
      </c>
      <c r="B378" s="287" t="s">
        <v>1308</v>
      </c>
      <c r="C378" s="288" t="s">
        <v>256</v>
      </c>
      <c r="D378" s="289">
        <v>38.619999999999997</v>
      </c>
      <c r="E378" s="290"/>
      <c r="F378" s="290"/>
      <c r="G378" s="290" t="s">
        <v>883</v>
      </c>
      <c r="H378" s="291">
        <v>35</v>
      </c>
      <c r="I378" s="292">
        <v>103003</v>
      </c>
      <c r="J378" s="293">
        <v>38.619999999999997</v>
      </c>
      <c r="K378" s="294">
        <v>50</v>
      </c>
      <c r="L378" s="295">
        <f>IF(tabItens[[#This Row],[Média]] &gt; 0, tabItens[[#This Row],[QTDE ATUAL]] / tabItens[[#This Row],[Média]],999.9)</f>
        <v>8.5714285714285712</v>
      </c>
      <c r="M378" s="296">
        <v>0</v>
      </c>
      <c r="N378" s="297">
        <f>tabItens[[#This Row],[VALOR UNIT.]] * tabItens[[#This Row],[LC]]</f>
        <v>0</v>
      </c>
      <c r="O378" s="298" t="s">
        <v>2081</v>
      </c>
      <c r="P378" s="299"/>
      <c r="Q378" s="300"/>
      <c r="R378" s="297"/>
      <c r="S378" s="301"/>
      <c r="T378" s="302">
        <f>ROUNDDOWN(IFERROR(tabItens[[#This Row],[ATA DT.VALID.]] - $D$1,0) / 30,0)</f>
        <v>-1504</v>
      </c>
      <c r="U378" s="287" t="s">
        <v>1009</v>
      </c>
      <c r="V378" s="303">
        <v>1</v>
      </c>
      <c r="W378" s="304" t="s">
        <v>2054</v>
      </c>
      <c r="X378" s="305">
        <v>61</v>
      </c>
      <c r="Y378" s="306">
        <v>15</v>
      </c>
      <c r="Z378" s="307">
        <v>2587</v>
      </c>
      <c r="AA378" s="308">
        <v>2023</v>
      </c>
      <c r="AB378" s="309">
        <v>20</v>
      </c>
      <c r="AC378" s="309"/>
      <c r="AD378" s="308"/>
      <c r="AE378" s="309"/>
      <c r="AF378" s="302"/>
      <c r="AG378" s="310" t="s">
        <v>2050</v>
      </c>
      <c r="AH378" s="311"/>
      <c r="AI378" s="302">
        <v>24</v>
      </c>
      <c r="AJ378" s="311">
        <v>45006</v>
      </c>
      <c r="AK378" s="311" t="s">
        <v>883</v>
      </c>
      <c r="AL378" s="311">
        <v>44942</v>
      </c>
      <c r="AM378" s="301"/>
      <c r="AN378" s="290"/>
      <c r="AO378" s="312" t="str">
        <f>_xlfn.IFNA(IF(VLOOKUP(tabItens[[#This Row],[CÓDIGO]],tabExcluirDoEstoque[#Data],1,FALSE),"sim",""),"")</f>
        <v/>
      </c>
      <c r="AP378" s="313" t="str">
        <f ca="1">IF(OR(ISBLANK(tabItens[[#This Row],[ATA DT.VALID.]]),tabItens[[#This Row],[ATA DT.VALID.]]="",tabItens[[#This Row],[ATA DT.VALID.]]=" "),"",IF(TYPE(tabItens[[#This Row],[ATA DT.VALID.]])=1,ROUNDUP((tabItens[[#This Row],[ATA DT.VALID.]]-TODAY())/7,0),""))</f>
        <v/>
      </c>
      <c r="AQ378" s="314">
        <v>0</v>
      </c>
      <c r="AR378" s="315" t="str">
        <f>IF(ISBLANK(tabItens[[#This Row],[CÓDIGO]]),"",IFERROR(VLOOKUP(tabItens[[#This Row],[CÓDIGO]],Consumo!$C$2:$AC$869,26,FALSE),0))</f>
        <v>04.2023</v>
      </c>
      <c r="AS378" s="316">
        <f>SUMIF(Consumo!$C$3:$C$869,tabItens[[#This Row],[CÓDIGO]],Consumo!$N$3:$N$869) + SUMIF(Consumo!$C$3:$C$869,tabItens[[#This Row],[CÓDIGO]],Consumo!$O$3:$O$869) + SUMIF(Consumo!$C$3:$C$869,tabItens[[#This Row],[CÓDIGO]],Consumo!$P$3:$P$869) + SUMIF(Consumo!$C$3:$C$869,tabItens[[#This Row],[CÓDIGO]],Consumo!$Q$3:$Q$869)</f>
        <v>10</v>
      </c>
      <c r="AT378" s="316">
        <f>SUMIF(Consumo!$C$3:$C$869,tabItens[[#This Row],[CÓDIGO]],Consumo!$Z$3:$Z$869)</f>
        <v>52</v>
      </c>
      <c r="AU378" s="317">
        <f>SUMIF(Consumo!$C$3:$C$869,tabItens[[#This Row],[CÓDIGO]],Consumo!$AA$3:$AA$869)</f>
        <v>18</v>
      </c>
      <c r="AV378" s="318">
        <f>SUMIF(Consumo!$C$3:$C$869,tabItens[[#This Row],[CÓDIGO]],Consumo!$Y$3:$Y$869)</f>
        <v>4.083333333333333</v>
      </c>
      <c r="AW378" s="291">
        <f>tabItens[[#This Row],[QTDE ATUAL]] + tabItens[[#This Row],[RC QTDE]] + tabItens[[#This Row],[AF SALDO]] + tabItens[[#This Row],[Recentes]]</f>
        <v>55</v>
      </c>
      <c r="AX378" s="319">
        <v>3</v>
      </c>
      <c r="AY378" s="319">
        <v>4</v>
      </c>
      <c r="AZ378" s="319">
        <f>IF(ISBLANK(tabItens[[#This Row],[CÓDIGO]]),"",tabItens[[#This Row],[PontoMês]] * (AZ$2+tabItens[[#This Row],[PontoQtM]]))</f>
        <v>12</v>
      </c>
      <c r="BA378" s="318">
        <f>tabItens[[#This Row],[PontoPed]] - tabItens[[#This Row],[Saldo]] + (1/10)</f>
        <v>-42.9</v>
      </c>
      <c r="BB378" s="318">
        <f xml:space="preserve"> tabItens[[#This Row],[PontoMês]] * BB$2 - tabItens[[#This Row],[QTDE ATUAL]] - (1/10)</f>
        <v>-32.1</v>
      </c>
      <c r="BC378" s="320">
        <f>IF( tabItens[[#This Row],[PontoPed]]&gt;0, IF(tabItens[[#This Row],[PontoPed]]&lt;1, 1, IF( tabItens[[#This Row],[Saldo]]&gt;tabItens[[#This Row],[PontoPed]], 0, (tabItens[[#This Row],[PontoPed]]-tabItens[[#This Row],[Saldo]])/tabItens[[#This Row],[PontoPed]] ) ), 0 )</f>
        <v>0</v>
      </c>
      <c r="BD378" s="321">
        <f>ROUNDDOWN(IF( OR( AND(tabItens[[#This Row],[PontoPed]]&lt;tabItens[[#This Row],[Saldo]],tabItens[[#This Row],[Saldo]]&gt;0), tabItens[[#This Row],[PontoPed]]=0), 99, IF(AND(tabItens[[#This Row],[Saldo]]=0,tabItens[[#This Row],[PontoPed]]&gt;0), 0, (1-tabItens[[#This Row],[PctAb]])*10 ) ),0)</f>
        <v>99</v>
      </c>
      <c r="BE378" s="322">
        <f>MAX(ROUNDDOWN( IF(tabItens[[#This Row],[Abaixo]] &gt; 0,   tabItens[[#This Row],[Abaixo]] + (tabItens[[#This Row],[PontoMês]] * IF( OR( ISBLANK(tabItens[[#This Row],[ATA Nº/ANO]]), tabItens[[#This Row],[ATA Nº/ANO]] = ""),BE$2,BE$1)),0),0),0)</f>
        <v>0</v>
      </c>
      <c r="BF3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23">
        <f>SUMIF(Consumo!$C$3:$C$869,tabItens[[#This Row],[CÓDIGO]],Consumo!$E$3:$E$869)</f>
        <v>0</v>
      </c>
      <c r="BH378" s="324">
        <f>IF(AND(tabItens[[#This Row],[Pend]] &gt; 0,tabItens[[#This Row],[Consumo]] &lt;&gt; 0), tabItens[[#This Row],[Pend]] / tabItens[[#This Row],[Consumo]], 0 )</f>
        <v>0</v>
      </c>
      <c r="BI378" s="323"/>
      <c r="BJ378" s="323"/>
      <c r="BK378" s="325" t="s">
        <v>2064</v>
      </c>
    </row>
    <row r="379" spans="1:63" hidden="1" x14ac:dyDescent="0.3">
      <c r="A379" s="286">
        <v>113581</v>
      </c>
      <c r="B379" s="287" t="s">
        <v>1688</v>
      </c>
      <c r="C379" s="288" t="s">
        <v>256</v>
      </c>
      <c r="D379" s="289">
        <v>5</v>
      </c>
      <c r="E379" s="290"/>
      <c r="F379" s="290"/>
      <c r="G379" s="290" t="s">
        <v>883</v>
      </c>
      <c r="H379" s="291">
        <v>309</v>
      </c>
      <c r="I379" s="292">
        <v>103003</v>
      </c>
      <c r="J379" s="293">
        <v>5</v>
      </c>
      <c r="K379" s="294">
        <v>314</v>
      </c>
      <c r="L379" s="295">
        <f>IF(tabItens[[#This Row],[Média]] &gt; 0, tabItens[[#This Row],[QTDE ATUAL]] / tabItens[[#This Row],[Média]],999.9)</f>
        <v>9</v>
      </c>
      <c r="M379" s="296">
        <v>0</v>
      </c>
      <c r="N379" s="297">
        <f>tabItens[[#This Row],[VALOR UNIT.]] * tabItens[[#This Row],[LC]]</f>
        <v>0</v>
      </c>
      <c r="O379" s="298" t="s">
        <v>2081</v>
      </c>
      <c r="P379" s="299"/>
      <c r="Q379" s="300"/>
      <c r="R379" s="297"/>
      <c r="S379" s="301"/>
      <c r="T379" s="302">
        <f>ROUNDDOWN(IFERROR(tabItens[[#This Row],[ATA DT.VALID.]] - $D$1,0) / 30,0)</f>
        <v>-1504</v>
      </c>
      <c r="U379" s="287" t="s">
        <v>1009</v>
      </c>
      <c r="V379" s="303">
        <v>1</v>
      </c>
      <c r="W379" s="304" t="s">
        <v>2054</v>
      </c>
      <c r="X379" s="305">
        <v>61</v>
      </c>
      <c r="Y379" s="306">
        <v>15</v>
      </c>
      <c r="Z379" s="307">
        <v>2590</v>
      </c>
      <c r="AA379" s="308">
        <v>2023</v>
      </c>
      <c r="AB379" s="309">
        <v>600</v>
      </c>
      <c r="AC379" s="309"/>
      <c r="AD379" s="308"/>
      <c r="AE379" s="309"/>
      <c r="AF379" s="302"/>
      <c r="AG379" s="310" t="s">
        <v>2050</v>
      </c>
      <c r="AH379" s="311"/>
      <c r="AI379" s="302">
        <v>140</v>
      </c>
      <c r="AJ379" s="311">
        <v>44956</v>
      </c>
      <c r="AK379" s="311">
        <v>40143</v>
      </c>
      <c r="AL379" s="311">
        <v>44942</v>
      </c>
      <c r="AM379" s="301"/>
      <c r="AN379" s="290"/>
      <c r="AO379" s="312" t="str">
        <f>_xlfn.IFNA(IF(VLOOKUP(tabItens[[#This Row],[CÓDIGO]],tabExcluirDoEstoque[#Data],1,FALSE),"sim",""),"")</f>
        <v/>
      </c>
      <c r="AP379" s="313" t="str">
        <f ca="1">IF(OR(ISBLANK(tabItens[[#This Row],[ATA DT.VALID.]]),tabItens[[#This Row],[ATA DT.VALID.]]="",tabItens[[#This Row],[ATA DT.VALID.]]=" "),"",IF(TYPE(tabItens[[#This Row],[ATA DT.VALID.]])=1,ROUNDUP((tabItens[[#This Row],[ATA DT.VALID.]]-TODAY())/7,0),""))</f>
        <v/>
      </c>
      <c r="AQ379" s="314">
        <v>0</v>
      </c>
      <c r="AR379" s="315" t="str">
        <f>IF(ISBLANK(tabItens[[#This Row],[CÓDIGO]]),"",IFERROR(VLOOKUP(tabItens[[#This Row],[CÓDIGO]],Consumo!$C$2:$AC$869,26,FALSE),0))</f>
        <v>07.2023</v>
      </c>
      <c r="AS379" s="316">
        <f>SUMIF(Consumo!$C$3:$C$869,tabItens[[#This Row],[CÓDIGO]],Consumo!$N$3:$N$869) + SUMIF(Consumo!$C$3:$C$869,tabItens[[#This Row],[CÓDIGO]],Consumo!$O$3:$O$869) + SUMIF(Consumo!$C$3:$C$869,tabItens[[#This Row],[CÓDIGO]],Consumo!$P$3:$P$869) + SUMIF(Consumo!$C$3:$C$869,tabItens[[#This Row],[CÓDIGO]],Consumo!$Q$3:$Q$869)</f>
        <v>71</v>
      </c>
      <c r="AT379" s="316">
        <f>SUMIF(Consumo!$C$3:$C$869,tabItens[[#This Row],[CÓDIGO]],Consumo!$Z$3:$Z$869)</f>
        <v>417</v>
      </c>
      <c r="AU379" s="317">
        <f>SUMIF(Consumo!$C$3:$C$869,tabItens[[#This Row],[CÓDIGO]],Consumo!$AA$3:$AA$869)</f>
        <v>88</v>
      </c>
      <c r="AV379" s="318">
        <f>SUMIF(Consumo!$C$3:$C$869,tabItens[[#This Row],[CÓDIGO]],Consumo!$Y$3:$Y$869)</f>
        <v>34.333333333333336</v>
      </c>
      <c r="AW379" s="291">
        <f>tabItens[[#This Row],[QTDE ATUAL]] + tabItens[[#This Row],[RC QTDE]] + tabItens[[#This Row],[AF SALDO]] + tabItens[[#This Row],[Recentes]]</f>
        <v>909</v>
      </c>
      <c r="AX379" s="319">
        <v>71</v>
      </c>
      <c r="AY379" s="319">
        <v>4</v>
      </c>
      <c r="AZ379" s="319">
        <f>IF(ISBLANK(tabItens[[#This Row],[CÓDIGO]]),"",tabItens[[#This Row],[PontoMês]] * (AZ$2+tabItens[[#This Row],[PontoQtM]]))</f>
        <v>284</v>
      </c>
      <c r="BA379" s="318">
        <f>tabItens[[#This Row],[PontoPed]] - tabItens[[#This Row],[Saldo]] + (1/10)</f>
        <v>-624.9</v>
      </c>
      <c r="BB379" s="318">
        <f xml:space="preserve"> tabItens[[#This Row],[PontoMês]] * BB$2 - tabItens[[#This Row],[QTDE ATUAL]] - (1/10)</f>
        <v>-238.1</v>
      </c>
      <c r="BC379" s="320">
        <f>IF( tabItens[[#This Row],[PontoPed]]&gt;0, IF(tabItens[[#This Row],[PontoPed]]&lt;1, 1, IF( tabItens[[#This Row],[Saldo]]&gt;tabItens[[#This Row],[PontoPed]], 0, (tabItens[[#This Row],[PontoPed]]-tabItens[[#This Row],[Saldo]])/tabItens[[#This Row],[PontoPed]] ) ), 0 )</f>
        <v>0</v>
      </c>
      <c r="BD379" s="321">
        <f>ROUNDDOWN(IF( OR( AND(tabItens[[#This Row],[PontoPed]]&lt;tabItens[[#This Row],[Saldo]],tabItens[[#This Row],[Saldo]]&gt;0), tabItens[[#This Row],[PontoPed]]=0), 99, IF(AND(tabItens[[#This Row],[Saldo]]=0,tabItens[[#This Row],[PontoPed]]&gt;0), 0, (1-tabItens[[#This Row],[PctAb]])*10 ) ),0)</f>
        <v>99</v>
      </c>
      <c r="BE379" s="322">
        <f>MAX(ROUNDDOWN( IF(tabItens[[#This Row],[Abaixo]] &gt; 0,   tabItens[[#This Row],[Abaixo]] + (tabItens[[#This Row],[PontoMês]] * IF( OR( ISBLANK(tabItens[[#This Row],[ATA Nº/ANO]]), tabItens[[#This Row],[ATA Nº/ANO]] = ""),BE$2,BE$1)),0),0),0)</f>
        <v>0</v>
      </c>
      <c r="BF37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23">
        <f>SUMIF(Consumo!$C$3:$C$869,tabItens[[#This Row],[CÓDIGO]],Consumo!$E$3:$E$869)</f>
        <v>0</v>
      </c>
      <c r="BH379" s="324">
        <f>IF(AND(tabItens[[#This Row],[Pend]] &gt; 0,tabItens[[#This Row],[Consumo]] &lt;&gt; 0), tabItens[[#This Row],[Pend]] / tabItens[[#This Row],[Consumo]], 0 )</f>
        <v>0</v>
      </c>
      <c r="BI379" s="323"/>
      <c r="BJ379" s="323"/>
      <c r="BK379" s="325" t="s">
        <v>2064</v>
      </c>
    </row>
    <row r="380" spans="1:63" hidden="1" x14ac:dyDescent="0.3">
      <c r="A380" s="286">
        <v>28307</v>
      </c>
      <c r="B380" s="287" t="s">
        <v>1233</v>
      </c>
      <c r="C380" s="288" t="s">
        <v>256</v>
      </c>
      <c r="D380" s="289">
        <v>7.6</v>
      </c>
      <c r="E380" s="290"/>
      <c r="F380" s="290"/>
      <c r="G380" s="290" t="s">
        <v>883</v>
      </c>
      <c r="H380" s="291">
        <v>22</v>
      </c>
      <c r="I380" s="292">
        <v>103003</v>
      </c>
      <c r="J380" s="293">
        <v>7.6</v>
      </c>
      <c r="K380" s="294">
        <v>8</v>
      </c>
      <c r="L380" s="295">
        <f>IF(tabItens[[#This Row],[Média]] &gt; 0, tabItens[[#This Row],[QTDE ATUAL]] / tabItens[[#This Row],[Média]],999.9)</f>
        <v>52.8</v>
      </c>
      <c r="M380" s="296">
        <v>0</v>
      </c>
      <c r="N380" s="297">
        <f>tabItens[[#This Row],[VALOR UNIT.]] * tabItens[[#This Row],[LC]]</f>
        <v>0</v>
      </c>
      <c r="O380" s="298" t="s">
        <v>2086</v>
      </c>
      <c r="P380" s="299"/>
      <c r="Q380" s="300"/>
      <c r="R380" s="297"/>
      <c r="S380" s="301"/>
      <c r="T380" s="302">
        <f>ROUNDDOWN(IFERROR(tabItens[[#This Row],[ATA DT.VALID.]] - $D$1,0) / 30,0)</f>
        <v>-1504</v>
      </c>
      <c r="U380" s="287" t="s">
        <v>964</v>
      </c>
      <c r="V380" s="303">
        <v>1</v>
      </c>
      <c r="W380" s="304" t="s">
        <v>2054</v>
      </c>
      <c r="X380" s="305">
        <v>61</v>
      </c>
      <c r="Y380" s="306">
        <v>8</v>
      </c>
      <c r="Z380" s="307"/>
      <c r="AA380" s="308"/>
      <c r="AB380" s="309"/>
      <c r="AC380" s="309"/>
      <c r="AD380" s="308"/>
      <c r="AE380" s="309"/>
      <c r="AF380" s="302"/>
      <c r="AG380" s="310" t="s">
        <v>2050</v>
      </c>
      <c r="AH380" s="311"/>
      <c r="AI380" s="302">
        <v>4</v>
      </c>
      <c r="AJ380" s="311">
        <v>42559</v>
      </c>
      <c r="AK380" s="311" t="s">
        <v>883</v>
      </c>
      <c r="AL380" s="311">
        <v>42551</v>
      </c>
      <c r="AM380" s="301"/>
      <c r="AN380" s="290"/>
      <c r="AO380" s="312" t="str">
        <f>_xlfn.IFNA(IF(VLOOKUP(tabItens[[#This Row],[CÓDIGO]],tabExcluirDoEstoque[#Data],1,FALSE),"sim",""),"")</f>
        <v/>
      </c>
      <c r="AP380" s="313" t="str">
        <f ca="1">IF(OR(ISBLANK(tabItens[[#This Row],[ATA DT.VALID.]]),tabItens[[#This Row],[ATA DT.VALID.]]="",tabItens[[#This Row],[ATA DT.VALID.]]=" "),"",IF(TYPE(tabItens[[#This Row],[ATA DT.VALID.]])=1,ROUNDUP((tabItens[[#This Row],[ATA DT.VALID.]]-TODAY())/7,0),""))</f>
        <v/>
      </c>
      <c r="AQ380" s="314">
        <v>0</v>
      </c>
      <c r="AR380" s="315" t="str">
        <f>IF(ISBLANK(tabItens[[#This Row],[CÓDIGO]]),"",IFERROR(VLOOKUP(tabItens[[#This Row],[CÓDIGO]],Consumo!$C$2:$AC$869,26,FALSE),0))</f>
        <v>04.2023</v>
      </c>
      <c r="AS380" s="316">
        <f>SUMIF(Consumo!$C$3:$C$869,tabItens[[#This Row],[CÓDIGO]],Consumo!$N$3:$N$869) + SUMIF(Consumo!$C$3:$C$869,tabItens[[#This Row],[CÓDIGO]],Consumo!$O$3:$O$869) + SUMIF(Consumo!$C$3:$C$869,tabItens[[#This Row],[CÓDIGO]],Consumo!$P$3:$P$869) + SUMIF(Consumo!$C$3:$C$869,tabItens[[#This Row],[CÓDIGO]],Consumo!$Q$3:$Q$869)</f>
        <v>8</v>
      </c>
      <c r="AT380" s="316">
        <f>SUMIF(Consumo!$C$3:$C$869,tabItens[[#This Row],[CÓDIGO]],Consumo!$Z$3:$Z$869)</f>
        <v>8</v>
      </c>
      <c r="AU380" s="317">
        <f>SUMIF(Consumo!$C$3:$C$869,tabItens[[#This Row],[CÓDIGO]],Consumo!$AA$3:$AA$869)</f>
        <v>8</v>
      </c>
      <c r="AV380" s="318">
        <f>SUMIF(Consumo!$C$3:$C$869,tabItens[[#This Row],[CÓDIGO]],Consumo!$Y$3:$Y$869)</f>
        <v>0.41666666666666669</v>
      </c>
      <c r="AW380" s="291">
        <f>tabItens[[#This Row],[QTDE ATUAL]] + tabItens[[#This Row],[RC QTDE]] + tabItens[[#This Row],[AF SALDO]] + tabItens[[#This Row],[Recentes]]</f>
        <v>22</v>
      </c>
      <c r="AX380" s="319">
        <v>5</v>
      </c>
      <c r="AY380" s="319">
        <v>4</v>
      </c>
      <c r="AZ380" s="319">
        <f>IF(ISBLANK(tabItens[[#This Row],[CÓDIGO]]),"",tabItens[[#This Row],[PontoMês]] * (AZ$2+tabItens[[#This Row],[PontoQtM]]))</f>
        <v>20</v>
      </c>
      <c r="BA380" s="318">
        <f>tabItens[[#This Row],[PontoPed]] - tabItens[[#This Row],[Saldo]] + (1/10)</f>
        <v>-1.9</v>
      </c>
      <c r="BB380" s="318">
        <f xml:space="preserve"> tabItens[[#This Row],[PontoMês]] * BB$2 - tabItens[[#This Row],[QTDE ATUAL]] - (1/10)</f>
        <v>-17.100000000000001</v>
      </c>
      <c r="BC380" s="320">
        <f>IF( tabItens[[#This Row],[PontoPed]]&gt;0, IF(tabItens[[#This Row],[PontoPed]]&lt;1, 1, IF( tabItens[[#This Row],[Saldo]]&gt;tabItens[[#This Row],[PontoPed]], 0, (tabItens[[#This Row],[PontoPed]]-tabItens[[#This Row],[Saldo]])/tabItens[[#This Row],[PontoPed]] ) ), 0 )</f>
        <v>0</v>
      </c>
      <c r="BD380" s="321">
        <f>ROUNDDOWN(IF( OR( AND(tabItens[[#This Row],[PontoPed]]&lt;tabItens[[#This Row],[Saldo]],tabItens[[#This Row],[Saldo]]&gt;0), tabItens[[#This Row],[PontoPed]]=0), 99, IF(AND(tabItens[[#This Row],[Saldo]]=0,tabItens[[#This Row],[PontoPed]]&gt;0), 0, (1-tabItens[[#This Row],[PctAb]])*10 ) ),0)</f>
        <v>99</v>
      </c>
      <c r="BE380" s="322">
        <f>MAX(ROUNDDOWN( IF(tabItens[[#This Row],[Abaixo]] &gt; 0,   tabItens[[#This Row],[Abaixo]] + (tabItens[[#This Row],[PontoMês]] * IF( OR( ISBLANK(tabItens[[#This Row],[ATA Nº/ANO]]), tabItens[[#This Row],[ATA Nº/ANO]] = ""),BE$2,BE$1)),0),0),0)</f>
        <v>0</v>
      </c>
      <c r="BF38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23">
        <f>SUMIF(Consumo!$C$3:$C$869,tabItens[[#This Row],[CÓDIGO]],Consumo!$E$3:$E$869)</f>
        <v>0</v>
      </c>
      <c r="BH380" s="324">
        <f>IF(AND(tabItens[[#This Row],[Pend]] &gt; 0,tabItens[[#This Row],[Consumo]] &lt;&gt; 0), tabItens[[#This Row],[Pend]] / tabItens[[#This Row],[Consumo]], 0 )</f>
        <v>0</v>
      </c>
      <c r="BI380" s="323"/>
      <c r="BJ380" s="323"/>
      <c r="BK380" s="325" t="s">
        <v>2064</v>
      </c>
    </row>
    <row r="381" spans="1:63" hidden="1" x14ac:dyDescent="0.3">
      <c r="A381" s="286">
        <v>13116</v>
      </c>
      <c r="B381" s="287" t="s">
        <v>1008</v>
      </c>
      <c r="C381" s="288" t="s">
        <v>256</v>
      </c>
      <c r="D381" s="289">
        <v>59.9</v>
      </c>
      <c r="E381" s="290"/>
      <c r="F381" s="290"/>
      <c r="G381" s="290" t="s">
        <v>883</v>
      </c>
      <c r="H381" s="291">
        <v>40</v>
      </c>
      <c r="I381" s="292">
        <v>103003</v>
      </c>
      <c r="J381" s="293">
        <v>59.9</v>
      </c>
      <c r="K381" s="294">
        <v>29</v>
      </c>
      <c r="L381" s="295">
        <f>IF(tabItens[[#This Row],[Média]] &gt; 0, tabItens[[#This Row],[QTDE ATUAL]] / tabItens[[#This Row],[Média]],999.9)</f>
        <v>21.81818181818182</v>
      </c>
      <c r="M381" s="296">
        <v>0</v>
      </c>
      <c r="N381" s="297">
        <f>tabItens[[#This Row],[VALOR UNIT.]] * tabItens[[#This Row],[LC]]</f>
        <v>0</v>
      </c>
      <c r="O381" s="298" t="s">
        <v>2086</v>
      </c>
      <c r="P381" s="299"/>
      <c r="Q381" s="300"/>
      <c r="R381" s="297"/>
      <c r="S381" s="301"/>
      <c r="T381" s="302">
        <f>ROUNDDOWN(IFERROR(tabItens[[#This Row],[ATA DT.VALID.]] - $D$1,0) / 30,0)</f>
        <v>-1504</v>
      </c>
      <c r="U381" s="287" t="s">
        <v>1009</v>
      </c>
      <c r="V381" s="303">
        <v>1</v>
      </c>
      <c r="W381" s="304" t="s">
        <v>2054</v>
      </c>
      <c r="X381" s="305">
        <v>61</v>
      </c>
      <c r="Y381" s="306">
        <v>15</v>
      </c>
      <c r="Z381" s="307"/>
      <c r="AA381" s="308"/>
      <c r="AB381" s="309"/>
      <c r="AC381" s="309"/>
      <c r="AD381" s="308"/>
      <c r="AE381" s="309"/>
      <c r="AF381" s="302"/>
      <c r="AG381" s="310" t="s">
        <v>2050</v>
      </c>
      <c r="AH381" s="311"/>
      <c r="AI381" s="302">
        <v>10</v>
      </c>
      <c r="AJ381" s="311">
        <v>43416</v>
      </c>
      <c r="AK381" s="311" t="s">
        <v>883</v>
      </c>
      <c r="AL381" s="311">
        <v>44985</v>
      </c>
      <c r="AM381" s="301"/>
      <c r="AN381" s="290"/>
      <c r="AO381" s="312" t="str">
        <f>_xlfn.IFNA(IF(VLOOKUP(tabItens[[#This Row],[CÓDIGO]],tabExcluirDoEstoque[#Data],1,FALSE),"sim",""),"")</f>
        <v/>
      </c>
      <c r="AP381" s="313" t="str">
        <f ca="1">IF(OR(ISBLANK(tabItens[[#This Row],[ATA DT.VALID.]]),tabItens[[#This Row],[ATA DT.VALID.]]="",tabItens[[#This Row],[ATA DT.VALID.]]=" "),"",IF(TYPE(tabItens[[#This Row],[ATA DT.VALID.]])=1,ROUNDUP((tabItens[[#This Row],[ATA DT.VALID.]]-TODAY())/7,0),""))</f>
        <v/>
      </c>
      <c r="AQ381" s="314">
        <v>0</v>
      </c>
      <c r="AR381" s="315" t="str">
        <f>IF(ISBLANK(tabItens[[#This Row],[CÓDIGO]]),"",IFERROR(VLOOKUP(tabItens[[#This Row],[CÓDIGO]],Consumo!$C$2:$AC$869,26,FALSE),0))</f>
        <v>06.2023</v>
      </c>
      <c r="AS381" s="316">
        <f>SUMIF(Consumo!$C$3:$C$869,tabItens[[#This Row],[CÓDIGO]],Consumo!$N$3:$N$869) + SUMIF(Consumo!$C$3:$C$869,tabItens[[#This Row],[CÓDIGO]],Consumo!$O$3:$O$869) + SUMIF(Consumo!$C$3:$C$869,tabItens[[#This Row],[CÓDIGO]],Consumo!$P$3:$P$869) + SUMIF(Consumo!$C$3:$C$869,tabItens[[#This Row],[CÓDIGO]],Consumo!$Q$3:$Q$869)</f>
        <v>26</v>
      </c>
      <c r="AT381" s="316">
        <f>SUMIF(Consumo!$C$3:$C$869,tabItens[[#This Row],[CÓDIGO]],Consumo!$Z$3:$Z$869)</f>
        <v>29</v>
      </c>
      <c r="AU381" s="317">
        <f>SUMIF(Consumo!$C$3:$C$869,tabItens[[#This Row],[CÓDIGO]],Consumo!$AA$3:$AA$869)</f>
        <v>20</v>
      </c>
      <c r="AV381" s="318">
        <f>SUMIF(Consumo!$C$3:$C$869,tabItens[[#This Row],[CÓDIGO]],Consumo!$Y$3:$Y$869)</f>
        <v>1.8333333333333333</v>
      </c>
      <c r="AW381" s="291">
        <f>tabItens[[#This Row],[QTDE ATUAL]] + tabItens[[#This Row],[RC QTDE]] + tabItens[[#This Row],[AF SALDO]] + tabItens[[#This Row],[Recentes]]</f>
        <v>40</v>
      </c>
      <c r="AX381" s="319">
        <v>5</v>
      </c>
      <c r="AY381" s="319">
        <v>4</v>
      </c>
      <c r="AZ381" s="319">
        <f>IF(ISBLANK(tabItens[[#This Row],[CÓDIGO]]),"",tabItens[[#This Row],[PontoMês]] * (AZ$2+tabItens[[#This Row],[PontoQtM]]))</f>
        <v>20</v>
      </c>
      <c r="BA381" s="318">
        <f>tabItens[[#This Row],[PontoPed]] - tabItens[[#This Row],[Saldo]] + (1/10)</f>
        <v>-19.899999999999999</v>
      </c>
      <c r="BB381" s="318">
        <f xml:space="preserve"> tabItens[[#This Row],[PontoMês]] * BB$2 - tabItens[[#This Row],[QTDE ATUAL]] - (1/10)</f>
        <v>-35.1</v>
      </c>
      <c r="BC381" s="320">
        <f>IF( tabItens[[#This Row],[PontoPed]]&gt;0, IF(tabItens[[#This Row],[PontoPed]]&lt;1, 1, IF( tabItens[[#This Row],[Saldo]]&gt;tabItens[[#This Row],[PontoPed]], 0, (tabItens[[#This Row],[PontoPed]]-tabItens[[#This Row],[Saldo]])/tabItens[[#This Row],[PontoPed]] ) ), 0 )</f>
        <v>0</v>
      </c>
      <c r="BD381" s="321">
        <f>ROUNDDOWN(IF( OR( AND(tabItens[[#This Row],[PontoPed]]&lt;tabItens[[#This Row],[Saldo]],tabItens[[#This Row],[Saldo]]&gt;0), tabItens[[#This Row],[PontoPed]]=0), 99, IF(AND(tabItens[[#This Row],[Saldo]]=0,tabItens[[#This Row],[PontoPed]]&gt;0), 0, (1-tabItens[[#This Row],[PctAb]])*10 ) ),0)</f>
        <v>99</v>
      </c>
      <c r="BE381" s="322">
        <f>MAX(ROUNDDOWN( IF(tabItens[[#This Row],[Abaixo]] &gt; 0,   tabItens[[#This Row],[Abaixo]] + (tabItens[[#This Row],[PontoMês]] * IF( OR( ISBLANK(tabItens[[#This Row],[ATA Nº/ANO]]), tabItens[[#This Row],[ATA Nº/ANO]] = ""),BE$2,BE$1)),0),0),0)</f>
        <v>0</v>
      </c>
      <c r="BF3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23">
        <f>SUMIF(Consumo!$C$3:$C$869,tabItens[[#This Row],[CÓDIGO]],Consumo!$E$3:$E$869)</f>
        <v>0</v>
      </c>
      <c r="BH381" s="324">
        <f>IF(AND(tabItens[[#This Row],[Pend]] &gt; 0,tabItens[[#This Row],[Consumo]] &lt;&gt; 0), tabItens[[#This Row],[Pend]] / tabItens[[#This Row],[Consumo]], 0 )</f>
        <v>0</v>
      </c>
      <c r="BI381" s="323"/>
      <c r="BJ381" s="323"/>
      <c r="BK381" s="325" t="s">
        <v>2064</v>
      </c>
    </row>
    <row r="382" spans="1:63" hidden="1" x14ac:dyDescent="0.3">
      <c r="A382" s="286">
        <v>13563</v>
      </c>
      <c r="B382" s="287" t="s">
        <v>1044</v>
      </c>
      <c r="C382" s="288" t="s">
        <v>256</v>
      </c>
      <c r="D382" s="289">
        <v>0.3</v>
      </c>
      <c r="E382" s="290"/>
      <c r="F382" s="290"/>
      <c r="G382" s="290" t="s">
        <v>883</v>
      </c>
      <c r="H382" s="291">
        <v>69</v>
      </c>
      <c r="I382" s="292">
        <v>103003</v>
      </c>
      <c r="J382" s="293">
        <v>0.3</v>
      </c>
      <c r="K382" s="294">
        <v>290</v>
      </c>
      <c r="L382" s="295">
        <f>IF(tabItens[[#This Row],[Média]] &gt; 0, tabItens[[#This Row],[QTDE ATUAL]] / tabItens[[#This Row],[Média]],999.9)</f>
        <v>2.662379421221865</v>
      </c>
      <c r="M382" s="296">
        <v>0</v>
      </c>
      <c r="N382" s="297">
        <f>tabItens[[#This Row],[VALOR UNIT.]] * tabItens[[#This Row],[LC]]</f>
        <v>0</v>
      </c>
      <c r="O382" s="298" t="s">
        <v>2086</v>
      </c>
      <c r="P382" s="299"/>
      <c r="Q382" s="300"/>
      <c r="R382" s="297"/>
      <c r="S382" s="301"/>
      <c r="T382" s="302">
        <f>ROUNDDOWN(IFERROR(tabItens[[#This Row],[ATA DT.VALID.]] - $D$1,0) / 30,0)</f>
        <v>-1504</v>
      </c>
      <c r="U382" s="287" t="s">
        <v>1009</v>
      </c>
      <c r="V382" s="303">
        <v>1</v>
      </c>
      <c r="W382" s="304" t="s">
        <v>2054</v>
      </c>
      <c r="X382" s="305">
        <v>61</v>
      </c>
      <c r="Y382" s="306">
        <v>15</v>
      </c>
      <c r="Z382" s="307">
        <v>2960</v>
      </c>
      <c r="AA382" s="308">
        <v>2023</v>
      </c>
      <c r="AB382" s="309">
        <v>250</v>
      </c>
      <c r="AC382" s="309"/>
      <c r="AD382" s="308"/>
      <c r="AE382" s="309"/>
      <c r="AF382" s="302"/>
      <c r="AG382" s="310" t="s">
        <v>2050</v>
      </c>
      <c r="AH382" s="311"/>
      <c r="AI382" s="302">
        <v>104</v>
      </c>
      <c r="AJ382" s="311">
        <v>44273</v>
      </c>
      <c r="AK382" s="311" t="s">
        <v>883</v>
      </c>
      <c r="AL382" s="311">
        <v>44257</v>
      </c>
      <c r="AM382" s="301"/>
      <c r="AN382" s="290"/>
      <c r="AO382" s="312" t="str">
        <f>_xlfn.IFNA(IF(VLOOKUP(tabItens[[#This Row],[CÓDIGO]],tabExcluirDoEstoque[#Data],1,FALSE),"sim",""),"")</f>
        <v/>
      </c>
      <c r="AP382" s="313" t="str">
        <f ca="1">IF(OR(ISBLANK(tabItens[[#This Row],[ATA DT.VALID.]]),tabItens[[#This Row],[ATA DT.VALID.]]="",tabItens[[#This Row],[ATA DT.VALID.]]=" "),"",IF(TYPE(tabItens[[#This Row],[ATA DT.VALID.]])=1,ROUNDUP((tabItens[[#This Row],[ATA DT.VALID.]]-TODAY())/7,0),""))</f>
        <v/>
      </c>
      <c r="AQ382" s="314">
        <v>0</v>
      </c>
      <c r="AR382" s="315" t="str">
        <f>IF(ISBLANK(tabItens[[#This Row],[CÓDIGO]]),"",IFERROR(VLOOKUP(tabItens[[#This Row],[CÓDIGO]],Consumo!$C$2:$AC$869,26,FALSE),0))</f>
        <v>07.2023</v>
      </c>
      <c r="AS382" s="316">
        <f>SUMIF(Consumo!$C$3:$C$869,tabItens[[#This Row],[CÓDIGO]],Consumo!$N$3:$N$869) + SUMIF(Consumo!$C$3:$C$869,tabItens[[#This Row],[CÓDIGO]],Consumo!$O$3:$O$869) + SUMIF(Consumo!$C$3:$C$869,tabItens[[#This Row],[CÓDIGO]],Consumo!$P$3:$P$869) + SUMIF(Consumo!$C$3:$C$869,tabItens[[#This Row],[CÓDIGO]],Consumo!$Q$3:$Q$869)</f>
        <v>111</v>
      </c>
      <c r="AT382" s="316">
        <f>SUMIF(Consumo!$C$3:$C$869,tabItens[[#This Row],[CÓDIGO]],Consumo!$Z$3:$Z$869)</f>
        <v>311</v>
      </c>
      <c r="AU382" s="317">
        <f>SUMIF(Consumo!$C$3:$C$869,tabItens[[#This Row],[CÓDIGO]],Consumo!$AA$3:$AA$869)</f>
        <v>80</v>
      </c>
      <c r="AV382" s="318">
        <f>SUMIF(Consumo!$C$3:$C$869,tabItens[[#This Row],[CÓDIGO]],Consumo!$Y$3:$Y$869)</f>
        <v>25.916666666666668</v>
      </c>
      <c r="AW382" s="291">
        <f>tabItens[[#This Row],[QTDE ATUAL]] + tabItens[[#This Row],[RC QTDE]] + tabItens[[#This Row],[AF SALDO]] + tabItens[[#This Row],[Recentes]]</f>
        <v>319</v>
      </c>
      <c r="AX382" s="319">
        <v>40</v>
      </c>
      <c r="AY382" s="319">
        <v>4</v>
      </c>
      <c r="AZ382" s="319">
        <f>IF(ISBLANK(tabItens[[#This Row],[CÓDIGO]]),"",tabItens[[#This Row],[PontoMês]] * (AZ$2+tabItens[[#This Row],[PontoQtM]]))</f>
        <v>160</v>
      </c>
      <c r="BA382" s="318">
        <f>tabItens[[#This Row],[PontoPed]] - tabItens[[#This Row],[Saldo]] + (1/10)</f>
        <v>-158.9</v>
      </c>
      <c r="BB382" s="318">
        <f xml:space="preserve"> tabItens[[#This Row],[PontoMês]] * BB$2 - tabItens[[#This Row],[QTDE ATUAL]] - (1/10)</f>
        <v>-29.1</v>
      </c>
      <c r="BC382" s="320">
        <f>IF( tabItens[[#This Row],[PontoPed]]&gt;0, IF(tabItens[[#This Row],[PontoPed]]&lt;1, 1, IF( tabItens[[#This Row],[Saldo]]&gt;tabItens[[#This Row],[PontoPed]], 0, (tabItens[[#This Row],[PontoPed]]-tabItens[[#This Row],[Saldo]])/tabItens[[#This Row],[PontoPed]] ) ), 0 )</f>
        <v>0</v>
      </c>
      <c r="BD382" s="321">
        <f>ROUNDDOWN(IF( OR( AND(tabItens[[#This Row],[PontoPed]]&lt;tabItens[[#This Row],[Saldo]],tabItens[[#This Row],[Saldo]]&gt;0), tabItens[[#This Row],[PontoPed]]=0), 99, IF(AND(tabItens[[#This Row],[Saldo]]=0,tabItens[[#This Row],[PontoPed]]&gt;0), 0, (1-tabItens[[#This Row],[PctAb]])*10 ) ),0)</f>
        <v>99</v>
      </c>
      <c r="BE382" s="322">
        <f>MAX(ROUNDDOWN( IF(tabItens[[#This Row],[Abaixo]] &gt; 0,   tabItens[[#This Row],[Abaixo]] + (tabItens[[#This Row],[PontoMês]] * IF( OR( ISBLANK(tabItens[[#This Row],[ATA Nº/ANO]]), tabItens[[#This Row],[ATA Nº/ANO]] = ""),BE$2,BE$1)),0),0),0)</f>
        <v>0</v>
      </c>
      <c r="BF3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23">
        <f>SUMIF(Consumo!$C$3:$C$869,tabItens[[#This Row],[CÓDIGO]],Consumo!$E$3:$E$869)</f>
        <v>0</v>
      </c>
      <c r="BH382" s="324">
        <f>IF(AND(tabItens[[#This Row],[Pend]] &gt; 0,tabItens[[#This Row],[Consumo]] &lt;&gt; 0), tabItens[[#This Row],[Pend]] / tabItens[[#This Row],[Consumo]], 0 )</f>
        <v>0</v>
      </c>
      <c r="BI382" s="323"/>
      <c r="BJ382" s="323"/>
      <c r="BK382" s="325" t="s">
        <v>2064</v>
      </c>
    </row>
    <row r="383" spans="1:63" hidden="1" x14ac:dyDescent="0.3">
      <c r="A383" s="286">
        <v>104667</v>
      </c>
      <c r="B383" s="287" t="s">
        <v>1596</v>
      </c>
      <c r="C383" s="288" t="s">
        <v>256</v>
      </c>
      <c r="D383" s="289">
        <v>150</v>
      </c>
      <c r="E383" s="290"/>
      <c r="F383" s="290"/>
      <c r="G383" s="290" t="s">
        <v>883</v>
      </c>
      <c r="H383" s="291">
        <v>110</v>
      </c>
      <c r="I383" s="292">
        <v>103003</v>
      </c>
      <c r="J383" s="293">
        <v>150</v>
      </c>
      <c r="K383" s="294">
        <v>66</v>
      </c>
      <c r="L383" s="295">
        <f>IF(tabItens[[#This Row],[Média]] &gt; 0, tabItens[[#This Row],[QTDE ATUAL]] / tabItens[[#This Row],[Média]],999.9)</f>
        <v>19.130434782608695</v>
      </c>
      <c r="M383" s="296">
        <v>0</v>
      </c>
      <c r="N383" s="297">
        <f>tabItens[[#This Row],[VALOR UNIT.]] * tabItens[[#This Row],[LC]]</f>
        <v>0</v>
      </c>
      <c r="O383" s="298" t="s">
        <v>2086</v>
      </c>
      <c r="P383" s="299"/>
      <c r="Q383" s="300"/>
      <c r="R383" s="297"/>
      <c r="S383" s="301"/>
      <c r="T383" s="302">
        <f>ROUNDDOWN(IFERROR(tabItens[[#This Row],[ATA DT.VALID.]] - $D$1,0) / 30,0)</f>
        <v>-1504</v>
      </c>
      <c r="U383" s="287" t="s">
        <v>1009</v>
      </c>
      <c r="V383" s="303">
        <v>1</v>
      </c>
      <c r="W383" s="304" t="s">
        <v>2054</v>
      </c>
      <c r="X383" s="305">
        <v>61</v>
      </c>
      <c r="Y383" s="306">
        <v>15</v>
      </c>
      <c r="Z383" s="307">
        <v>2626</v>
      </c>
      <c r="AA383" s="308">
        <v>2023</v>
      </c>
      <c r="AB383" s="309">
        <v>50</v>
      </c>
      <c r="AC383" s="309"/>
      <c r="AD383" s="308"/>
      <c r="AE383" s="309"/>
      <c r="AF383" s="302"/>
      <c r="AG383" s="310" t="s">
        <v>2050</v>
      </c>
      <c r="AH383" s="311"/>
      <c r="AI383" s="302">
        <v>24</v>
      </c>
      <c r="AJ383" s="311">
        <v>44615</v>
      </c>
      <c r="AK383" s="311">
        <v>39472</v>
      </c>
      <c r="AL383" s="311">
        <v>44607</v>
      </c>
      <c r="AM383" s="301"/>
      <c r="AN383" s="290"/>
      <c r="AO383" s="312" t="str">
        <f>_xlfn.IFNA(IF(VLOOKUP(tabItens[[#This Row],[CÓDIGO]],tabExcluirDoEstoque[#Data],1,FALSE),"sim",""),"")</f>
        <v/>
      </c>
      <c r="AP383" s="313" t="str">
        <f ca="1">IF(OR(ISBLANK(tabItens[[#This Row],[ATA DT.VALID.]]),tabItens[[#This Row],[ATA DT.VALID.]]="",tabItens[[#This Row],[ATA DT.VALID.]]=" "),"",IF(TYPE(tabItens[[#This Row],[ATA DT.VALID.]])=1,ROUNDUP((tabItens[[#This Row],[ATA DT.VALID.]]-TODAY())/7,0),""))</f>
        <v/>
      </c>
      <c r="AQ383" s="314">
        <v>0</v>
      </c>
      <c r="AR383" s="315" t="str">
        <f>IF(ISBLANK(tabItens[[#This Row],[CÓDIGO]]),"",IFERROR(VLOOKUP(tabItens[[#This Row],[CÓDIGO]],Consumo!$C$2:$AC$869,26,FALSE),0))</f>
        <v>06.2023</v>
      </c>
      <c r="AS383" s="316">
        <f>SUMIF(Consumo!$C$3:$C$869,tabItens[[#This Row],[CÓDIGO]],Consumo!$N$3:$N$869) + SUMIF(Consumo!$C$3:$C$869,tabItens[[#This Row],[CÓDIGO]],Consumo!$O$3:$O$869) + SUMIF(Consumo!$C$3:$C$869,tabItens[[#This Row],[CÓDIGO]],Consumo!$P$3:$P$869) + SUMIF(Consumo!$C$3:$C$869,tabItens[[#This Row],[CÓDIGO]],Consumo!$Q$3:$Q$869)</f>
        <v>42</v>
      </c>
      <c r="AT383" s="316">
        <f>SUMIF(Consumo!$C$3:$C$869,tabItens[[#This Row],[CÓDIGO]],Consumo!$Z$3:$Z$869)</f>
        <v>74</v>
      </c>
      <c r="AU383" s="317">
        <f>SUMIF(Consumo!$C$3:$C$869,tabItens[[#This Row],[CÓDIGO]],Consumo!$AA$3:$AA$869)</f>
        <v>25</v>
      </c>
      <c r="AV383" s="318">
        <f>SUMIF(Consumo!$C$3:$C$869,tabItens[[#This Row],[CÓDIGO]],Consumo!$Y$3:$Y$869)</f>
        <v>5.75</v>
      </c>
      <c r="AW383" s="291">
        <f>tabItens[[#This Row],[QTDE ATUAL]] + tabItens[[#This Row],[RC QTDE]] + tabItens[[#This Row],[AF SALDO]] + tabItens[[#This Row],[Recentes]]</f>
        <v>160</v>
      </c>
      <c r="AX383" s="319">
        <v>17</v>
      </c>
      <c r="AY383" s="319">
        <v>4</v>
      </c>
      <c r="AZ383" s="319">
        <f>IF(ISBLANK(tabItens[[#This Row],[CÓDIGO]]),"",tabItens[[#This Row],[PontoMês]] * (AZ$2+tabItens[[#This Row],[PontoQtM]]))</f>
        <v>68</v>
      </c>
      <c r="BA383" s="318">
        <f>tabItens[[#This Row],[PontoPed]] - tabItens[[#This Row],[Saldo]] + (1/10)</f>
        <v>-91.9</v>
      </c>
      <c r="BB383" s="318">
        <f xml:space="preserve"> tabItens[[#This Row],[PontoMês]] * BB$2 - tabItens[[#This Row],[QTDE ATUAL]] - (1/10)</f>
        <v>-93.1</v>
      </c>
      <c r="BC383" s="320">
        <f>IF( tabItens[[#This Row],[PontoPed]]&gt;0, IF(tabItens[[#This Row],[PontoPed]]&lt;1, 1, IF( tabItens[[#This Row],[Saldo]]&gt;tabItens[[#This Row],[PontoPed]], 0, (tabItens[[#This Row],[PontoPed]]-tabItens[[#This Row],[Saldo]])/tabItens[[#This Row],[PontoPed]] ) ), 0 )</f>
        <v>0</v>
      </c>
      <c r="BD383" s="321">
        <f>ROUNDDOWN(IF( OR( AND(tabItens[[#This Row],[PontoPed]]&lt;tabItens[[#This Row],[Saldo]],tabItens[[#This Row],[Saldo]]&gt;0), tabItens[[#This Row],[PontoPed]]=0), 99, IF(AND(tabItens[[#This Row],[Saldo]]=0,tabItens[[#This Row],[PontoPed]]&gt;0), 0, (1-tabItens[[#This Row],[PctAb]])*10 ) ),0)</f>
        <v>99</v>
      </c>
      <c r="BE383" s="322">
        <f>MAX(ROUNDDOWN( IF(tabItens[[#This Row],[Abaixo]] &gt; 0,   tabItens[[#This Row],[Abaixo]] + (tabItens[[#This Row],[PontoMês]] * IF( OR( ISBLANK(tabItens[[#This Row],[ATA Nº/ANO]]), tabItens[[#This Row],[ATA Nº/ANO]] = ""),BE$2,BE$1)),0),0),0)</f>
        <v>0</v>
      </c>
      <c r="BF38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23">
        <f>SUMIF(Consumo!$C$3:$C$869,tabItens[[#This Row],[CÓDIGO]],Consumo!$E$3:$E$869)</f>
        <v>0</v>
      </c>
      <c r="BH383" s="324">
        <f>IF(AND(tabItens[[#This Row],[Pend]] &gt; 0,tabItens[[#This Row],[Consumo]] &lt;&gt; 0), tabItens[[#This Row],[Pend]] / tabItens[[#This Row],[Consumo]], 0 )</f>
        <v>0</v>
      </c>
      <c r="BI383" s="323"/>
      <c r="BJ383" s="323"/>
      <c r="BK383" s="325" t="s">
        <v>2064</v>
      </c>
    </row>
    <row r="384" spans="1:63" hidden="1" x14ac:dyDescent="0.3">
      <c r="A384" s="286">
        <v>40086</v>
      </c>
      <c r="B384" s="287" t="s">
        <v>1272</v>
      </c>
      <c r="C384" s="288" t="s">
        <v>256</v>
      </c>
      <c r="D384" s="289">
        <v>1.84</v>
      </c>
      <c r="E384" s="290"/>
      <c r="F384" s="290"/>
      <c r="G384" s="290" t="s">
        <v>883</v>
      </c>
      <c r="H384" s="291">
        <v>927</v>
      </c>
      <c r="I384" s="292">
        <v>103003</v>
      </c>
      <c r="J384" s="293">
        <v>1.84</v>
      </c>
      <c r="K384" s="294">
        <v>24</v>
      </c>
      <c r="L384" s="295">
        <f>IF(tabItens[[#This Row],[Média]] &gt; 0, tabItens[[#This Row],[QTDE ATUAL]] / tabItens[[#This Row],[Média]],999.9)</f>
        <v>741.6</v>
      </c>
      <c r="M384" s="296">
        <v>0</v>
      </c>
      <c r="N384" s="297">
        <f>tabItens[[#This Row],[VALOR UNIT.]] * tabItens[[#This Row],[LC]]</f>
        <v>0</v>
      </c>
      <c r="O384" s="298" t="s">
        <v>2119</v>
      </c>
      <c r="P384" s="299"/>
      <c r="Q384" s="300"/>
      <c r="R384" s="297"/>
      <c r="S384" s="301"/>
      <c r="T384" s="302">
        <f>ROUNDDOWN(IFERROR(tabItens[[#This Row],[ATA DT.VALID.]] - $D$1,0) / 30,0)</f>
        <v>-1504</v>
      </c>
      <c r="U384" s="287" t="s">
        <v>1273</v>
      </c>
      <c r="V384" s="303">
        <v>1</v>
      </c>
      <c r="W384" s="304" t="s">
        <v>2049</v>
      </c>
      <c r="X384" s="305">
        <v>51</v>
      </c>
      <c r="Y384" s="306">
        <v>17</v>
      </c>
      <c r="Z384" s="307"/>
      <c r="AA384" s="308"/>
      <c r="AB384" s="309"/>
      <c r="AC384" s="309"/>
      <c r="AD384" s="308"/>
      <c r="AE384" s="309"/>
      <c r="AF384" s="302"/>
      <c r="AG384" s="310" t="s">
        <v>2050</v>
      </c>
      <c r="AH384" s="311"/>
      <c r="AI384" s="302">
        <v>8</v>
      </c>
      <c r="AJ384" s="311">
        <v>39646</v>
      </c>
      <c r="AK384" s="311" t="s">
        <v>883</v>
      </c>
      <c r="AL384" s="311">
        <v>44945</v>
      </c>
      <c r="AM384" s="301"/>
      <c r="AN384" s="290"/>
      <c r="AO384" s="312" t="str">
        <f>_xlfn.IFNA(IF(VLOOKUP(tabItens[[#This Row],[CÓDIGO]],tabExcluirDoEstoque[#Data],1,FALSE),"sim",""),"")</f>
        <v/>
      </c>
      <c r="AP384" s="313" t="str">
        <f ca="1">IF(OR(ISBLANK(tabItens[[#This Row],[ATA DT.VALID.]]),tabItens[[#This Row],[ATA DT.VALID.]]="",tabItens[[#This Row],[ATA DT.VALID.]]=" "),"",IF(TYPE(tabItens[[#This Row],[ATA DT.VALID.]])=1,ROUNDUP((tabItens[[#This Row],[ATA DT.VALID.]]-TODAY())/7,0),""))</f>
        <v/>
      </c>
      <c r="AQ384" s="314">
        <v>0</v>
      </c>
      <c r="AR384" s="315" t="str">
        <f>IF(ISBLANK(tabItens[[#This Row],[CÓDIGO]]),"",IFERROR(VLOOKUP(tabItens[[#This Row],[CÓDIGO]],Consumo!$C$2:$AC$869,26,FALSE),0))</f>
        <v>12.2022</v>
      </c>
      <c r="AS384" s="316">
        <f>SUMIF(Consumo!$C$3:$C$869,tabItens[[#This Row],[CÓDIGO]],Consumo!$N$3:$N$869) + SUMIF(Consumo!$C$3:$C$869,tabItens[[#This Row],[CÓDIGO]],Consumo!$O$3:$O$869) + SUMIF(Consumo!$C$3:$C$869,tabItens[[#This Row],[CÓDIGO]],Consumo!$P$3:$P$869) + SUMIF(Consumo!$C$3:$C$869,tabItens[[#This Row],[CÓDIGO]],Consumo!$Q$3:$Q$869)</f>
        <v>0</v>
      </c>
      <c r="AT384" s="316">
        <f>SUMIF(Consumo!$C$3:$C$869,tabItens[[#This Row],[CÓDIGO]],Consumo!$Z$3:$Z$869)</f>
        <v>24</v>
      </c>
      <c r="AU384" s="317">
        <f>SUMIF(Consumo!$C$3:$C$869,tabItens[[#This Row],[CÓDIGO]],Consumo!$AA$3:$AA$869)</f>
        <v>24</v>
      </c>
      <c r="AV384" s="318">
        <f>SUMIF(Consumo!$C$3:$C$869,tabItens[[#This Row],[CÓDIGO]],Consumo!$Y$3:$Y$869)</f>
        <v>1.25</v>
      </c>
      <c r="AW384" s="291">
        <f>tabItens[[#This Row],[QTDE ATUAL]] + tabItens[[#This Row],[RC QTDE]] + tabItens[[#This Row],[AF SALDO]] + tabItens[[#This Row],[Recentes]]</f>
        <v>927</v>
      </c>
      <c r="AX384" s="319">
        <v>21</v>
      </c>
      <c r="AY384" s="319">
        <v>4</v>
      </c>
      <c r="AZ384" s="319">
        <f>IF(ISBLANK(tabItens[[#This Row],[CÓDIGO]]),"",tabItens[[#This Row],[PontoMês]] * (AZ$2+tabItens[[#This Row],[PontoQtM]]))</f>
        <v>84</v>
      </c>
      <c r="BA384" s="318">
        <f>tabItens[[#This Row],[PontoPed]] - tabItens[[#This Row],[Saldo]] + (1/10)</f>
        <v>-842.9</v>
      </c>
      <c r="BB384" s="318">
        <f xml:space="preserve"> tabItens[[#This Row],[PontoMês]] * BB$2 - tabItens[[#This Row],[QTDE ATUAL]] - (1/10)</f>
        <v>-906.1</v>
      </c>
      <c r="BC384" s="320">
        <f>IF( tabItens[[#This Row],[PontoPed]]&gt;0, IF(tabItens[[#This Row],[PontoPed]]&lt;1, 1, IF( tabItens[[#This Row],[Saldo]]&gt;tabItens[[#This Row],[PontoPed]], 0, (tabItens[[#This Row],[PontoPed]]-tabItens[[#This Row],[Saldo]])/tabItens[[#This Row],[PontoPed]] ) ), 0 )</f>
        <v>0</v>
      </c>
      <c r="BD384" s="321">
        <f>ROUNDDOWN(IF( OR( AND(tabItens[[#This Row],[PontoPed]]&lt;tabItens[[#This Row],[Saldo]],tabItens[[#This Row],[Saldo]]&gt;0), tabItens[[#This Row],[PontoPed]]=0), 99, IF(AND(tabItens[[#This Row],[Saldo]]=0,tabItens[[#This Row],[PontoPed]]&gt;0), 0, (1-tabItens[[#This Row],[PctAb]])*10 ) ),0)</f>
        <v>99</v>
      </c>
      <c r="BE384" s="322">
        <f>MAX(ROUNDDOWN( IF(tabItens[[#This Row],[Abaixo]] &gt; 0,   tabItens[[#This Row],[Abaixo]] + (tabItens[[#This Row],[PontoMês]] * IF( OR( ISBLANK(tabItens[[#This Row],[ATA Nº/ANO]]), tabItens[[#This Row],[ATA Nº/ANO]] = ""),BE$2,BE$1)),0),0),0)</f>
        <v>0</v>
      </c>
      <c r="BF3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23">
        <f>SUMIF(Consumo!$C$3:$C$869,tabItens[[#This Row],[CÓDIGO]],Consumo!$E$3:$E$869)</f>
        <v>0</v>
      </c>
      <c r="BH384" s="324">
        <f>IF(AND(tabItens[[#This Row],[Pend]] &gt; 0,tabItens[[#This Row],[Consumo]] &lt;&gt; 0), tabItens[[#This Row],[Pend]] / tabItens[[#This Row],[Consumo]], 0 )</f>
        <v>0</v>
      </c>
      <c r="BI384" s="323"/>
      <c r="BJ384" s="323"/>
      <c r="BK384" s="325" t="s">
        <v>2064</v>
      </c>
    </row>
    <row r="385" spans="1:63" hidden="1" x14ac:dyDescent="0.3">
      <c r="A385" s="286">
        <v>67939</v>
      </c>
      <c r="B385" s="287" t="s">
        <v>1393</v>
      </c>
      <c r="C385" s="288" t="s">
        <v>297</v>
      </c>
      <c r="D385" s="289">
        <v>40</v>
      </c>
      <c r="E385" s="290"/>
      <c r="F385" s="290"/>
      <c r="G385" s="290" t="s">
        <v>883</v>
      </c>
      <c r="H385" s="291">
        <v>30</v>
      </c>
      <c r="I385" s="292">
        <v>103003</v>
      </c>
      <c r="J385" s="293">
        <v>40</v>
      </c>
      <c r="K385" s="294">
        <v>168</v>
      </c>
      <c r="L385" s="295">
        <f>IF(tabItens[[#This Row],[Média]] &gt; 0, tabItens[[#This Row],[QTDE ATUAL]] / tabItens[[#This Row],[Média]],999.9)</f>
        <v>1.8848167539267016</v>
      </c>
      <c r="M385" s="296">
        <v>0</v>
      </c>
      <c r="N385" s="297">
        <f>tabItens[[#This Row],[VALOR UNIT.]] * tabItens[[#This Row],[LC]]</f>
        <v>0</v>
      </c>
      <c r="O385" s="298" t="s">
        <v>2104</v>
      </c>
      <c r="P385" s="299"/>
      <c r="Q385" s="300"/>
      <c r="R385" s="297"/>
      <c r="S385" s="301"/>
      <c r="T385" s="302">
        <f>ROUNDDOWN(IFERROR(tabItens[[#This Row],[ATA DT.VALID.]] - $D$1,0) / 30,0)</f>
        <v>-1504</v>
      </c>
      <c r="U385" s="287" t="s">
        <v>1278</v>
      </c>
      <c r="V385" s="303">
        <v>1</v>
      </c>
      <c r="W385" s="304" t="s">
        <v>2049</v>
      </c>
      <c r="X385" s="305">
        <v>51</v>
      </c>
      <c r="Y385" s="306">
        <v>28</v>
      </c>
      <c r="Z385" s="307">
        <v>2627</v>
      </c>
      <c r="AA385" s="308">
        <v>2023</v>
      </c>
      <c r="AB385" s="309">
        <v>300</v>
      </c>
      <c r="AC385" s="309"/>
      <c r="AD385" s="308"/>
      <c r="AE385" s="309"/>
      <c r="AF385" s="302"/>
      <c r="AG385" s="310" t="s">
        <v>2050</v>
      </c>
      <c r="AH385" s="311"/>
      <c r="AI385" s="302">
        <v>64</v>
      </c>
      <c r="AJ385" s="311">
        <v>43853</v>
      </c>
      <c r="AK385" s="311" t="s">
        <v>883</v>
      </c>
      <c r="AL385" s="311">
        <v>44650</v>
      </c>
      <c r="AM385" s="301"/>
      <c r="AN385" s="290"/>
      <c r="AO385" s="312" t="str">
        <f>_xlfn.IFNA(IF(VLOOKUP(tabItens[[#This Row],[CÓDIGO]],tabExcluirDoEstoque[#Data],1,FALSE),"sim",""),"")</f>
        <v/>
      </c>
      <c r="AP385" s="313" t="str">
        <f ca="1">IF(OR(ISBLANK(tabItens[[#This Row],[ATA DT.VALID.]]),tabItens[[#This Row],[ATA DT.VALID.]]="",tabItens[[#This Row],[ATA DT.VALID.]]=" "),"",IF(TYPE(tabItens[[#This Row],[ATA DT.VALID.]])=1,ROUNDUP((tabItens[[#This Row],[ATA DT.VALID.]]-TODAY())/7,0),""))</f>
        <v/>
      </c>
      <c r="AQ385" s="314">
        <v>0</v>
      </c>
      <c r="AR385" s="315" t="str">
        <f>IF(ISBLANK(tabItens[[#This Row],[CÓDIGO]]),"",IFERROR(VLOOKUP(tabItens[[#This Row],[CÓDIGO]],Consumo!$C$2:$AC$869,26,FALSE),0))</f>
        <v>07.2023</v>
      </c>
      <c r="AS385" s="316">
        <f>SUMIF(Consumo!$C$3:$C$869,tabItens[[#This Row],[CÓDIGO]],Consumo!$N$3:$N$869) + SUMIF(Consumo!$C$3:$C$869,tabItens[[#This Row],[CÓDIGO]],Consumo!$O$3:$O$869) + SUMIF(Consumo!$C$3:$C$869,tabItens[[#This Row],[CÓDIGO]],Consumo!$P$3:$P$869) + SUMIF(Consumo!$C$3:$C$869,tabItens[[#This Row],[CÓDIGO]],Consumo!$Q$3:$Q$869)</f>
        <v>36</v>
      </c>
      <c r="AT385" s="316">
        <f>SUMIF(Consumo!$C$3:$C$869,tabItens[[#This Row],[CÓDIGO]],Consumo!$Z$3:$Z$869)</f>
        <v>191</v>
      </c>
      <c r="AU385" s="317">
        <f>SUMIF(Consumo!$C$3:$C$869,tabItens[[#This Row],[CÓDIGO]],Consumo!$AA$3:$AA$869)</f>
        <v>45</v>
      </c>
      <c r="AV385" s="318">
        <f>SUMIF(Consumo!$C$3:$C$869,tabItens[[#This Row],[CÓDIGO]],Consumo!$Y$3:$Y$869)</f>
        <v>15.916666666666666</v>
      </c>
      <c r="AW385" s="291">
        <f>tabItens[[#This Row],[QTDE ATUAL]] + tabItens[[#This Row],[RC QTDE]] + tabItens[[#This Row],[AF SALDO]] + tabItens[[#This Row],[Recentes]]</f>
        <v>330</v>
      </c>
      <c r="AX385" s="319">
        <v>33</v>
      </c>
      <c r="AY385" s="319">
        <v>4</v>
      </c>
      <c r="AZ385" s="319">
        <f>IF(ISBLANK(tabItens[[#This Row],[CÓDIGO]]),"",tabItens[[#This Row],[PontoMês]] * (AZ$2+tabItens[[#This Row],[PontoQtM]]))</f>
        <v>132</v>
      </c>
      <c r="BA385" s="318">
        <f>tabItens[[#This Row],[PontoPed]] - tabItens[[#This Row],[Saldo]] + (1/10)</f>
        <v>-197.9</v>
      </c>
      <c r="BB385" s="318">
        <f xml:space="preserve"> tabItens[[#This Row],[PontoMês]] * BB$2 - tabItens[[#This Row],[QTDE ATUAL]] - (1/10)</f>
        <v>2.9</v>
      </c>
      <c r="BC385" s="320">
        <f>IF( tabItens[[#This Row],[PontoPed]]&gt;0, IF(tabItens[[#This Row],[PontoPed]]&lt;1, 1, IF( tabItens[[#This Row],[Saldo]]&gt;tabItens[[#This Row],[PontoPed]], 0, (tabItens[[#This Row],[PontoPed]]-tabItens[[#This Row],[Saldo]])/tabItens[[#This Row],[PontoPed]] ) ), 0 )</f>
        <v>0</v>
      </c>
      <c r="BD385" s="321">
        <f>ROUNDDOWN(IF( OR( AND(tabItens[[#This Row],[PontoPed]]&lt;tabItens[[#This Row],[Saldo]],tabItens[[#This Row],[Saldo]]&gt;0), tabItens[[#This Row],[PontoPed]]=0), 99, IF(AND(tabItens[[#This Row],[Saldo]]=0,tabItens[[#This Row],[PontoPed]]&gt;0), 0, (1-tabItens[[#This Row],[PctAb]])*10 ) ),0)</f>
        <v>99</v>
      </c>
      <c r="BE385" s="322">
        <f>MAX(ROUNDDOWN( IF(tabItens[[#This Row],[Abaixo]] &gt; 0,   tabItens[[#This Row],[Abaixo]] + (tabItens[[#This Row],[PontoMês]] * IF( OR( ISBLANK(tabItens[[#This Row],[ATA Nº/ANO]]), tabItens[[#This Row],[ATA Nº/ANO]] = ""),BE$2,BE$1)),0),0),0)</f>
        <v>0</v>
      </c>
      <c r="BF38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23">
        <f>SUMIF(Consumo!$C$3:$C$869,tabItens[[#This Row],[CÓDIGO]],Consumo!$E$3:$E$869)</f>
        <v>0</v>
      </c>
      <c r="BH385" s="324">
        <f>IF(AND(tabItens[[#This Row],[Pend]] &gt; 0,tabItens[[#This Row],[Consumo]] &lt;&gt; 0), tabItens[[#This Row],[Pend]] / tabItens[[#This Row],[Consumo]], 0 )</f>
        <v>0</v>
      </c>
      <c r="BI385" s="323"/>
      <c r="BJ385" s="323"/>
      <c r="BK385" s="325" t="s">
        <v>2064</v>
      </c>
    </row>
    <row r="386" spans="1:63" x14ac:dyDescent="0.3">
      <c r="A386" s="396">
        <v>74909</v>
      </c>
      <c r="B386" s="397" t="s">
        <v>1405</v>
      </c>
      <c r="C386" s="398" t="s">
        <v>256</v>
      </c>
      <c r="D386" s="399">
        <v>89.25</v>
      </c>
      <c r="E386" s="290"/>
      <c r="F386" s="400"/>
      <c r="G386" s="400" t="s">
        <v>883</v>
      </c>
      <c r="H386" s="401">
        <v>0</v>
      </c>
      <c r="I386" s="292">
        <v>103003</v>
      </c>
      <c r="J386" s="293">
        <v>89.25</v>
      </c>
      <c r="K386" s="402">
        <v>126</v>
      </c>
      <c r="L386" s="403">
        <f>IF(tabItens[[#This Row],[Média]] &gt; 0, tabItens[[#This Row],[QTDE ATUAL]] / tabItens[[#This Row],[Média]],999.9)</f>
        <v>0</v>
      </c>
      <c r="M386" s="404">
        <v>0</v>
      </c>
      <c r="N386" s="405">
        <f>tabItens[[#This Row],[VALOR UNIT.]] * tabItens[[#This Row],[LC]]</f>
        <v>0</v>
      </c>
      <c r="O386" s="406" t="s">
        <v>2104</v>
      </c>
      <c r="P386" s="407"/>
      <c r="Q386" s="408"/>
      <c r="R386" s="297"/>
      <c r="S386" s="409"/>
      <c r="T386" s="410">
        <f>ROUNDDOWN(IFERROR(tabItens[[#This Row],[ATA DT.VALID.]] - $D$1,0) / 30,0)</f>
        <v>-1504</v>
      </c>
      <c r="U386" s="287" t="s">
        <v>1334</v>
      </c>
      <c r="V386" s="303">
        <v>1</v>
      </c>
      <c r="W386" s="411" t="s">
        <v>2049</v>
      </c>
      <c r="X386" s="412">
        <v>74</v>
      </c>
      <c r="Y386" s="413">
        <v>3</v>
      </c>
      <c r="Z386" s="414">
        <v>2230</v>
      </c>
      <c r="AA386" s="415">
        <v>2023</v>
      </c>
      <c r="AB386" s="416">
        <v>400</v>
      </c>
      <c r="AC386" s="416"/>
      <c r="AD386" s="415"/>
      <c r="AE386" s="416"/>
      <c r="AF386" s="302"/>
      <c r="AG386" s="417" t="s">
        <v>2050</v>
      </c>
      <c r="AH386" s="418"/>
      <c r="AI386" s="302">
        <v>42</v>
      </c>
      <c r="AJ386" s="418">
        <v>44160</v>
      </c>
      <c r="AK386" s="311">
        <v>37845</v>
      </c>
      <c r="AL386" s="311">
        <v>44133</v>
      </c>
      <c r="AM386" s="301"/>
      <c r="AN386" s="290"/>
      <c r="AO386" s="312" t="str">
        <f>_xlfn.IFNA(IF(VLOOKUP(tabItens[[#This Row],[CÓDIGO]],tabExcluirDoEstoque[#Data],1,FALSE),"sim",""),"")</f>
        <v/>
      </c>
      <c r="AP386" s="419" t="str">
        <f ca="1">IF(OR(ISBLANK(tabItens[[#This Row],[ATA DT.VALID.]]),tabItens[[#This Row],[ATA DT.VALID.]]="",tabItens[[#This Row],[ATA DT.VALID.]]=" "),"",IF(TYPE(tabItens[[#This Row],[ATA DT.VALID.]])=1,ROUNDUP((tabItens[[#This Row],[ATA DT.VALID.]]-TODAY())/7,0),""))</f>
        <v/>
      </c>
      <c r="AQ386" s="314">
        <v>0</v>
      </c>
      <c r="AR386" s="315" t="str">
        <f>IF(ISBLANK(tabItens[[#This Row],[CÓDIGO]]),"",IFERROR(VLOOKUP(tabItens[[#This Row],[CÓDIGO]],Consumo!$C$2:$AC$869,26,FALSE),0))</f>
        <v>12.2022</v>
      </c>
      <c r="AS386" s="316">
        <f>SUMIF(Consumo!$C$3:$C$869,tabItens[[#This Row],[CÓDIGO]],Consumo!$N$3:$N$869) + SUMIF(Consumo!$C$3:$C$869,tabItens[[#This Row],[CÓDIGO]],Consumo!$O$3:$O$869) + SUMIF(Consumo!$C$3:$C$869,tabItens[[#This Row],[CÓDIGO]],Consumo!$P$3:$P$869) + SUMIF(Consumo!$C$3:$C$869,tabItens[[#This Row],[CÓDIGO]],Consumo!$Q$3:$Q$869)</f>
        <v>0</v>
      </c>
      <c r="AT386" s="316">
        <f>SUMIF(Consumo!$C$3:$C$869,tabItens[[#This Row],[CÓDIGO]],Consumo!$Z$3:$Z$869)</f>
        <v>149</v>
      </c>
      <c r="AU386" s="317">
        <f>SUMIF(Consumo!$C$3:$C$869,tabItens[[#This Row],[CÓDIGO]],Consumo!$AA$3:$AA$869)</f>
        <v>70</v>
      </c>
      <c r="AV386" s="318">
        <f>SUMIF(Consumo!$C$3:$C$869,tabItens[[#This Row],[CÓDIGO]],Consumo!$Y$3:$Y$869)</f>
        <v>11.333333333333334</v>
      </c>
      <c r="AW386" s="401">
        <f>tabItens[[#This Row],[QTDE ATUAL]] + tabItens[[#This Row],[RC QTDE]] + tabItens[[#This Row],[AF SALDO]] + tabItens[[#This Row],[Recentes]]</f>
        <v>400</v>
      </c>
      <c r="AX386" s="420">
        <v>9</v>
      </c>
      <c r="AY386" s="420">
        <v>4</v>
      </c>
      <c r="AZ386" s="420">
        <f>IF(ISBLANK(tabItens[[#This Row],[CÓDIGO]]),"",tabItens[[#This Row],[PontoMês]] * (AZ$2+tabItens[[#This Row],[PontoQtM]]))</f>
        <v>36</v>
      </c>
      <c r="BA386" s="421">
        <f>tabItens[[#This Row],[PontoPed]] - tabItens[[#This Row],[Saldo]] + (1/10)</f>
        <v>-363.9</v>
      </c>
      <c r="BB386" s="421">
        <f xml:space="preserve"> tabItens[[#This Row],[PontoMês]] * BB$2 - tabItens[[#This Row],[QTDE ATUAL]] - (1/10)</f>
        <v>8.9</v>
      </c>
      <c r="BC386" s="320">
        <f>IF( tabItens[[#This Row],[PontoPed]]&gt;0, IF(tabItens[[#This Row],[PontoPed]]&lt;1, 1, IF( tabItens[[#This Row],[Saldo]]&gt;tabItens[[#This Row],[PontoPed]], 0, (tabItens[[#This Row],[PontoPed]]-tabItens[[#This Row],[Saldo]])/tabItens[[#This Row],[PontoPed]] ) ), 0 )</f>
        <v>0</v>
      </c>
      <c r="BD386" s="422">
        <f>ROUNDDOWN(IF( OR( AND(tabItens[[#This Row],[PontoPed]]&lt;tabItens[[#This Row],[Saldo]],tabItens[[#This Row],[Saldo]]&gt;0), tabItens[[#This Row],[PontoPed]]=0), 99, IF(AND(tabItens[[#This Row],[Saldo]]=0,tabItens[[#This Row],[PontoPed]]&gt;0), 0, (1-tabItens[[#This Row],[PctAb]])*10 ) ),0)</f>
        <v>99</v>
      </c>
      <c r="BE386" s="423">
        <f>MAX(ROUNDDOWN( IF(tabItens[[#This Row],[Abaixo]] &gt; 0,   tabItens[[#This Row],[Abaixo]] + (tabItens[[#This Row],[PontoMês]] * IF( OR( ISBLANK(tabItens[[#This Row],[ATA Nº/ANO]]), tabItens[[#This Row],[ATA Nº/ANO]] = ""),BE$2,BE$1)),0),0),0)</f>
        <v>0</v>
      </c>
      <c r="BF38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23">
        <f>SUMIF(Consumo!$C$3:$C$869,tabItens[[#This Row],[CÓDIGO]],Consumo!$E$3:$E$869)</f>
        <v>23</v>
      </c>
      <c r="BH386" s="324">
        <f>IF(AND(tabItens[[#This Row],[Pend]] &gt; 0,tabItens[[#This Row],[Consumo]] &lt;&gt; 0), tabItens[[#This Row],[Pend]] / tabItens[[#This Row],[Consumo]], 0 )</f>
        <v>0.15436241610738255</v>
      </c>
      <c r="BI386" s="323"/>
      <c r="BJ386" s="424"/>
      <c r="BK386" s="425" t="s">
        <v>2064</v>
      </c>
    </row>
    <row r="387" spans="1:63" hidden="1" x14ac:dyDescent="0.3">
      <c r="A387" s="286">
        <v>74911</v>
      </c>
      <c r="B387" s="287" t="s">
        <v>1406</v>
      </c>
      <c r="C387" s="288" t="s">
        <v>256</v>
      </c>
      <c r="D387" s="289">
        <v>159.24</v>
      </c>
      <c r="E387" s="290"/>
      <c r="F387" s="290"/>
      <c r="G387" s="290" t="s">
        <v>883</v>
      </c>
      <c r="H387" s="291">
        <v>35</v>
      </c>
      <c r="I387" s="292">
        <v>103003</v>
      </c>
      <c r="J387" s="293">
        <v>159.24</v>
      </c>
      <c r="K387" s="294">
        <v>115</v>
      </c>
      <c r="L387" s="295">
        <f>IF(tabItens[[#This Row],[Média]] &gt; 0, tabItens[[#This Row],[QTDE ATUAL]] / tabItens[[#This Row],[Média]],999.9)</f>
        <v>4.0384615384615383</v>
      </c>
      <c r="M387" s="296">
        <v>0</v>
      </c>
      <c r="N387" s="297">
        <f>tabItens[[#This Row],[VALOR UNIT.]] * tabItens[[#This Row],[LC]]</f>
        <v>0</v>
      </c>
      <c r="O387" s="298" t="s">
        <v>2104</v>
      </c>
      <c r="P387" s="299"/>
      <c r="Q387" s="300"/>
      <c r="R387" s="297"/>
      <c r="S387" s="301"/>
      <c r="T387" s="302">
        <f>ROUNDDOWN(IFERROR(tabItens[[#This Row],[ATA DT.VALID.]] - $D$1,0) / 30,0)</f>
        <v>-1504</v>
      </c>
      <c r="U387" s="287" t="s">
        <v>1334</v>
      </c>
      <c r="V387" s="303">
        <v>1</v>
      </c>
      <c r="W387" s="304" t="s">
        <v>2049</v>
      </c>
      <c r="X387" s="305">
        <v>74</v>
      </c>
      <c r="Y387" s="306">
        <v>3</v>
      </c>
      <c r="Z387" s="307">
        <v>2230</v>
      </c>
      <c r="AA387" s="308">
        <v>2023</v>
      </c>
      <c r="AB387" s="309">
        <v>150</v>
      </c>
      <c r="AC387" s="309"/>
      <c r="AD387" s="308"/>
      <c r="AE387" s="309"/>
      <c r="AF387" s="302"/>
      <c r="AG387" s="310" t="s">
        <v>2050</v>
      </c>
      <c r="AH387" s="311"/>
      <c r="AI387" s="302">
        <v>38</v>
      </c>
      <c r="AJ387" s="311">
        <v>44974</v>
      </c>
      <c r="AK387" s="311">
        <v>37845</v>
      </c>
      <c r="AL387" s="311">
        <v>44887</v>
      </c>
      <c r="AM387" s="301"/>
      <c r="AN387" s="290"/>
      <c r="AO387" s="312" t="str">
        <f>_xlfn.IFNA(IF(VLOOKUP(tabItens[[#This Row],[CÓDIGO]],tabExcluirDoEstoque[#Data],1,FALSE),"sim",""),"")</f>
        <v/>
      </c>
      <c r="AP387" s="313" t="str">
        <f ca="1">IF(OR(ISBLANK(tabItens[[#This Row],[ATA DT.VALID.]]),tabItens[[#This Row],[ATA DT.VALID.]]="",tabItens[[#This Row],[ATA DT.VALID.]]=" "),"",IF(TYPE(tabItens[[#This Row],[ATA DT.VALID.]])=1,ROUNDUP((tabItens[[#This Row],[ATA DT.VALID.]]-TODAY())/7,0),""))</f>
        <v/>
      </c>
      <c r="AQ387" s="314">
        <v>0</v>
      </c>
      <c r="AR387" s="315" t="str">
        <f>IF(ISBLANK(tabItens[[#This Row],[CÓDIGO]]),"",IFERROR(VLOOKUP(tabItens[[#This Row],[CÓDIGO]],Consumo!$C$2:$AC$869,26,FALSE),0))</f>
        <v>04.2023</v>
      </c>
      <c r="AS387" s="316">
        <f>SUMIF(Consumo!$C$3:$C$869,tabItens[[#This Row],[CÓDIGO]],Consumo!$N$3:$N$869) + SUMIF(Consumo!$C$3:$C$869,tabItens[[#This Row],[CÓDIGO]],Consumo!$O$3:$O$869) + SUMIF(Consumo!$C$3:$C$869,tabItens[[#This Row],[CÓDIGO]],Consumo!$P$3:$P$869) + SUMIF(Consumo!$C$3:$C$869,tabItens[[#This Row],[CÓDIGO]],Consumo!$Q$3:$Q$869)</f>
        <v>65</v>
      </c>
      <c r="AT387" s="316">
        <f>SUMIF(Consumo!$C$3:$C$869,tabItens[[#This Row],[CÓDIGO]],Consumo!$Z$3:$Z$869)</f>
        <v>115</v>
      </c>
      <c r="AU387" s="317">
        <f>SUMIF(Consumo!$C$3:$C$869,tabItens[[#This Row],[CÓDIGO]],Consumo!$AA$3:$AA$869)</f>
        <v>65</v>
      </c>
      <c r="AV387" s="318">
        <f>SUMIF(Consumo!$C$3:$C$869,tabItens[[#This Row],[CÓDIGO]],Consumo!$Y$3:$Y$869)</f>
        <v>8.6666666666666661</v>
      </c>
      <c r="AW387" s="291">
        <f>tabItens[[#This Row],[QTDE ATUAL]] + tabItens[[#This Row],[RC QTDE]] + tabItens[[#This Row],[AF SALDO]] + tabItens[[#This Row],[Recentes]]</f>
        <v>185</v>
      </c>
      <c r="AX387" s="319">
        <v>20</v>
      </c>
      <c r="AY387" s="319">
        <v>4</v>
      </c>
      <c r="AZ387" s="319">
        <f>IF(ISBLANK(tabItens[[#This Row],[CÓDIGO]]),"",tabItens[[#This Row],[PontoMês]] * (AZ$2+tabItens[[#This Row],[PontoQtM]]))</f>
        <v>80</v>
      </c>
      <c r="BA387" s="318">
        <f>tabItens[[#This Row],[PontoPed]] - tabItens[[#This Row],[Saldo]] + (1/10)</f>
        <v>-104.9</v>
      </c>
      <c r="BB387" s="318">
        <f xml:space="preserve"> tabItens[[#This Row],[PontoMês]] * BB$2 - tabItens[[#This Row],[QTDE ATUAL]] - (1/10)</f>
        <v>-15.1</v>
      </c>
      <c r="BC387" s="320">
        <f>IF( tabItens[[#This Row],[PontoPed]]&gt;0, IF(tabItens[[#This Row],[PontoPed]]&lt;1, 1, IF( tabItens[[#This Row],[Saldo]]&gt;tabItens[[#This Row],[PontoPed]], 0, (tabItens[[#This Row],[PontoPed]]-tabItens[[#This Row],[Saldo]])/tabItens[[#This Row],[PontoPed]] ) ), 0 )</f>
        <v>0</v>
      </c>
      <c r="BD387" s="321">
        <f>ROUNDDOWN(IF( OR( AND(tabItens[[#This Row],[PontoPed]]&lt;tabItens[[#This Row],[Saldo]],tabItens[[#This Row],[Saldo]]&gt;0), tabItens[[#This Row],[PontoPed]]=0), 99, IF(AND(tabItens[[#This Row],[Saldo]]=0,tabItens[[#This Row],[PontoPed]]&gt;0), 0, (1-tabItens[[#This Row],[PctAb]])*10 ) ),0)</f>
        <v>99</v>
      </c>
      <c r="BE387" s="322">
        <f>MAX(ROUNDDOWN( IF(tabItens[[#This Row],[Abaixo]] &gt; 0,   tabItens[[#This Row],[Abaixo]] + (tabItens[[#This Row],[PontoMês]] * IF( OR( ISBLANK(tabItens[[#This Row],[ATA Nº/ANO]]), tabItens[[#This Row],[ATA Nº/ANO]] = ""),BE$2,BE$1)),0),0),0)</f>
        <v>0</v>
      </c>
      <c r="BF3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23">
        <f>SUMIF(Consumo!$C$3:$C$869,tabItens[[#This Row],[CÓDIGO]],Consumo!$E$3:$E$869)</f>
        <v>0</v>
      </c>
      <c r="BH387" s="324">
        <f>IF(AND(tabItens[[#This Row],[Pend]] &gt; 0,tabItens[[#This Row],[Consumo]] &lt;&gt; 0), tabItens[[#This Row],[Pend]] / tabItens[[#This Row],[Consumo]], 0 )</f>
        <v>0</v>
      </c>
      <c r="BI387" s="323"/>
      <c r="BJ387" s="323"/>
      <c r="BK387" s="325" t="s">
        <v>2064</v>
      </c>
    </row>
    <row r="388" spans="1:63" hidden="1" x14ac:dyDescent="0.3">
      <c r="A388" s="286">
        <v>77554</v>
      </c>
      <c r="B388" s="287" t="s">
        <v>1418</v>
      </c>
      <c r="C388" s="288" t="s">
        <v>256</v>
      </c>
      <c r="D388" s="289">
        <v>194.61</v>
      </c>
      <c r="E388" s="290"/>
      <c r="F388" s="290"/>
      <c r="G388" s="290" t="s">
        <v>883</v>
      </c>
      <c r="H388" s="291">
        <v>74</v>
      </c>
      <c r="I388" s="292">
        <v>103003</v>
      </c>
      <c r="J388" s="293">
        <v>194.61</v>
      </c>
      <c r="K388" s="294">
        <v>175</v>
      </c>
      <c r="L388" s="295">
        <f>IF(tabItens[[#This Row],[Média]] &gt; 0, tabItens[[#This Row],[QTDE ATUAL]] / tabItens[[#This Row],[Média]],999.9)</f>
        <v>5.3818181818181818</v>
      </c>
      <c r="M388" s="296">
        <v>0</v>
      </c>
      <c r="N388" s="297">
        <f>tabItens[[#This Row],[VALOR UNIT.]] * tabItens[[#This Row],[LC]]</f>
        <v>0</v>
      </c>
      <c r="O388" s="298" t="s">
        <v>2104</v>
      </c>
      <c r="P388" s="299"/>
      <c r="Q388" s="300"/>
      <c r="R388" s="297"/>
      <c r="S388" s="301"/>
      <c r="T388" s="302">
        <f>ROUNDDOWN(IFERROR(tabItens[[#This Row],[ATA DT.VALID.]] - $D$1,0) / 30,0)</f>
        <v>-1504</v>
      </c>
      <c r="U388" s="287" t="s">
        <v>1334</v>
      </c>
      <c r="V388" s="303">
        <v>1</v>
      </c>
      <c r="W388" s="304" t="s">
        <v>2049</v>
      </c>
      <c r="X388" s="305">
        <v>74</v>
      </c>
      <c r="Y388" s="306">
        <v>3</v>
      </c>
      <c r="Z388" s="307"/>
      <c r="AA388" s="308"/>
      <c r="AB388" s="309"/>
      <c r="AC388" s="309"/>
      <c r="AD388" s="308"/>
      <c r="AE388" s="309"/>
      <c r="AF388" s="302"/>
      <c r="AG388" s="310" t="s">
        <v>2050</v>
      </c>
      <c r="AH388" s="311"/>
      <c r="AI388" s="302">
        <v>58</v>
      </c>
      <c r="AJ388" s="311">
        <v>44974</v>
      </c>
      <c r="AK388" s="311">
        <v>38056</v>
      </c>
      <c r="AL388" s="311">
        <v>44887</v>
      </c>
      <c r="AM388" s="301"/>
      <c r="AN388" s="290"/>
      <c r="AO388" s="312" t="str">
        <f>_xlfn.IFNA(IF(VLOOKUP(tabItens[[#This Row],[CÓDIGO]],tabExcluirDoEstoque[#Data],1,FALSE),"sim",""),"")</f>
        <v/>
      </c>
      <c r="AP388" s="313" t="str">
        <f ca="1">IF(OR(ISBLANK(tabItens[[#This Row],[ATA DT.VALID.]]),tabItens[[#This Row],[ATA DT.VALID.]]="",tabItens[[#This Row],[ATA DT.VALID.]]=" "),"",IF(TYPE(tabItens[[#This Row],[ATA DT.VALID.]])=1,ROUNDUP((tabItens[[#This Row],[ATA DT.VALID.]]-TODAY())/7,0),""))</f>
        <v/>
      </c>
      <c r="AQ388" s="314">
        <v>0</v>
      </c>
      <c r="AR388" s="315" t="str">
        <f>IF(ISBLANK(tabItens[[#This Row],[CÓDIGO]]),"",IFERROR(VLOOKUP(tabItens[[#This Row],[CÓDIGO]],Consumo!$C$2:$AC$869,26,FALSE),0))</f>
        <v>06.2023</v>
      </c>
      <c r="AS388" s="316">
        <f>SUMIF(Consumo!$C$3:$C$869,tabItens[[#This Row],[CÓDIGO]],Consumo!$N$3:$N$869) + SUMIF(Consumo!$C$3:$C$869,tabItens[[#This Row],[CÓDIGO]],Consumo!$O$3:$O$869) + SUMIF(Consumo!$C$3:$C$869,tabItens[[#This Row],[CÓDIGO]],Consumo!$P$3:$P$869) + SUMIF(Consumo!$C$3:$C$869,tabItens[[#This Row],[CÓDIGO]],Consumo!$Q$3:$Q$869)</f>
        <v>31</v>
      </c>
      <c r="AT388" s="316">
        <f>SUMIF(Consumo!$C$3:$C$869,tabItens[[#This Row],[CÓDIGO]],Consumo!$Z$3:$Z$869)</f>
        <v>175</v>
      </c>
      <c r="AU388" s="317">
        <f>SUMIF(Consumo!$C$3:$C$869,tabItens[[#This Row],[CÓDIGO]],Consumo!$AA$3:$AA$869)</f>
        <v>70</v>
      </c>
      <c r="AV388" s="318">
        <f>SUMIF(Consumo!$C$3:$C$869,tabItens[[#This Row],[CÓDIGO]],Consumo!$Y$3:$Y$869)</f>
        <v>13.75</v>
      </c>
      <c r="AW388" s="291">
        <f>tabItens[[#This Row],[QTDE ATUAL]] + tabItens[[#This Row],[RC QTDE]] + tabItens[[#This Row],[AF SALDO]] + tabItens[[#This Row],[Recentes]]</f>
        <v>74</v>
      </c>
      <c r="AX388" s="319">
        <v>14</v>
      </c>
      <c r="AY388" s="319">
        <v>4</v>
      </c>
      <c r="AZ388" s="319">
        <f>IF(ISBLANK(tabItens[[#This Row],[CÓDIGO]]),"",tabItens[[#This Row],[PontoMês]] * (AZ$2+tabItens[[#This Row],[PontoQtM]]))</f>
        <v>56</v>
      </c>
      <c r="BA388" s="318">
        <f>tabItens[[#This Row],[PontoPed]] - tabItens[[#This Row],[Saldo]] + (1/10)</f>
        <v>-17.899999999999999</v>
      </c>
      <c r="BB388" s="318">
        <f xml:space="preserve"> tabItens[[#This Row],[PontoMês]] * BB$2 - tabItens[[#This Row],[QTDE ATUAL]] - (1/10)</f>
        <v>-60.1</v>
      </c>
      <c r="BC388" s="320">
        <f>IF( tabItens[[#This Row],[PontoPed]]&gt;0, IF(tabItens[[#This Row],[PontoPed]]&lt;1, 1, IF( tabItens[[#This Row],[Saldo]]&gt;tabItens[[#This Row],[PontoPed]], 0, (tabItens[[#This Row],[PontoPed]]-tabItens[[#This Row],[Saldo]])/tabItens[[#This Row],[PontoPed]] ) ), 0 )</f>
        <v>0</v>
      </c>
      <c r="BD388" s="321">
        <f>ROUNDDOWN(IF( OR( AND(tabItens[[#This Row],[PontoPed]]&lt;tabItens[[#This Row],[Saldo]],tabItens[[#This Row],[Saldo]]&gt;0), tabItens[[#This Row],[PontoPed]]=0), 99, IF(AND(tabItens[[#This Row],[Saldo]]=0,tabItens[[#This Row],[PontoPed]]&gt;0), 0, (1-tabItens[[#This Row],[PctAb]])*10 ) ),0)</f>
        <v>99</v>
      </c>
      <c r="BE388" s="322">
        <f>MAX(ROUNDDOWN( IF(tabItens[[#This Row],[Abaixo]] &gt; 0,   tabItens[[#This Row],[Abaixo]] + (tabItens[[#This Row],[PontoMês]] * IF( OR( ISBLANK(tabItens[[#This Row],[ATA Nº/ANO]]), tabItens[[#This Row],[ATA Nº/ANO]] = ""),BE$2,BE$1)),0),0),0)</f>
        <v>0</v>
      </c>
      <c r="BF38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23">
        <f>SUMIF(Consumo!$C$3:$C$869,tabItens[[#This Row],[CÓDIGO]],Consumo!$E$3:$E$869)</f>
        <v>0</v>
      </c>
      <c r="BH388" s="324">
        <f>IF(AND(tabItens[[#This Row],[Pend]] &gt; 0,tabItens[[#This Row],[Consumo]] &lt;&gt; 0), tabItens[[#This Row],[Pend]] / tabItens[[#This Row],[Consumo]], 0 )</f>
        <v>0</v>
      </c>
      <c r="BI388" s="323"/>
      <c r="BJ388" s="323"/>
      <c r="BK388" s="325" t="s">
        <v>2064</v>
      </c>
    </row>
    <row r="389" spans="1:63" hidden="1" x14ac:dyDescent="0.3">
      <c r="A389" s="286">
        <v>77557</v>
      </c>
      <c r="B389" s="287" t="s">
        <v>1420</v>
      </c>
      <c r="C389" s="288" t="s">
        <v>256</v>
      </c>
      <c r="D389" s="289">
        <v>128.13999999999999</v>
      </c>
      <c r="E389" s="290"/>
      <c r="F389" s="290"/>
      <c r="G389" s="290" t="s">
        <v>883</v>
      </c>
      <c r="H389" s="291">
        <v>186</v>
      </c>
      <c r="I389" s="292">
        <v>103003</v>
      </c>
      <c r="J389" s="293">
        <v>128.13999999999999</v>
      </c>
      <c r="K389" s="294">
        <v>43</v>
      </c>
      <c r="L389" s="295">
        <f>IF(tabItens[[#This Row],[Média]] &gt; 0, tabItens[[#This Row],[QTDE ATUAL]] / tabItens[[#This Row],[Média]],999.9)</f>
        <v>69.75</v>
      </c>
      <c r="M389" s="296">
        <v>0</v>
      </c>
      <c r="N389" s="297">
        <f>tabItens[[#This Row],[VALOR UNIT.]] * tabItens[[#This Row],[LC]]</f>
        <v>0</v>
      </c>
      <c r="O389" s="298" t="s">
        <v>2104</v>
      </c>
      <c r="P389" s="299"/>
      <c r="Q389" s="300"/>
      <c r="R389" s="297"/>
      <c r="S389" s="301"/>
      <c r="T389" s="302">
        <f>ROUNDDOWN(IFERROR(tabItens[[#This Row],[ATA DT.VALID.]] - $D$1,0) / 30,0)</f>
        <v>-1504</v>
      </c>
      <c r="U389" s="287" t="s">
        <v>1334</v>
      </c>
      <c r="V389" s="303">
        <v>1</v>
      </c>
      <c r="W389" s="304" t="s">
        <v>2049</v>
      </c>
      <c r="X389" s="305">
        <v>74</v>
      </c>
      <c r="Y389" s="306">
        <v>3</v>
      </c>
      <c r="Z389" s="307"/>
      <c r="AA389" s="308"/>
      <c r="AB389" s="309"/>
      <c r="AC389" s="309"/>
      <c r="AD389" s="308"/>
      <c r="AE389" s="309"/>
      <c r="AF389" s="302"/>
      <c r="AG389" s="310" t="s">
        <v>2050</v>
      </c>
      <c r="AH389" s="311"/>
      <c r="AI389" s="302">
        <v>14</v>
      </c>
      <c r="AJ389" s="311">
        <v>43745</v>
      </c>
      <c r="AK389" s="311">
        <v>38056</v>
      </c>
      <c r="AL389" s="311">
        <v>44238</v>
      </c>
      <c r="AM389" s="301"/>
      <c r="AN389" s="290"/>
      <c r="AO389" s="312" t="str">
        <f>_xlfn.IFNA(IF(VLOOKUP(tabItens[[#This Row],[CÓDIGO]],tabExcluirDoEstoque[#Data],1,FALSE),"sim",""),"")</f>
        <v/>
      </c>
      <c r="AP389" s="313" t="str">
        <f ca="1">IF(OR(ISBLANK(tabItens[[#This Row],[ATA DT.VALID.]]),tabItens[[#This Row],[ATA DT.VALID.]]="",tabItens[[#This Row],[ATA DT.VALID.]]=" "),"",IF(TYPE(tabItens[[#This Row],[ATA DT.VALID.]])=1,ROUNDUP((tabItens[[#This Row],[ATA DT.VALID.]]-TODAY())/7,0),""))</f>
        <v/>
      </c>
      <c r="AQ389" s="314">
        <v>0</v>
      </c>
      <c r="AR389" s="315" t="str">
        <f>IF(ISBLANK(tabItens[[#This Row],[CÓDIGO]]),"",IFERROR(VLOOKUP(tabItens[[#This Row],[CÓDIGO]],Consumo!$C$2:$AC$869,26,FALSE),0))</f>
        <v>06.2023</v>
      </c>
      <c r="AS389" s="316">
        <f>SUMIF(Consumo!$C$3:$C$869,tabItens[[#This Row],[CÓDIGO]],Consumo!$N$3:$N$869) + SUMIF(Consumo!$C$3:$C$869,tabItens[[#This Row],[CÓDIGO]],Consumo!$O$3:$O$869) + SUMIF(Consumo!$C$3:$C$869,tabItens[[#This Row],[CÓDIGO]],Consumo!$P$3:$P$869) + SUMIF(Consumo!$C$3:$C$869,tabItens[[#This Row],[CÓDIGO]],Consumo!$Q$3:$Q$869)</f>
        <v>37</v>
      </c>
      <c r="AT389" s="316">
        <f>SUMIF(Consumo!$C$3:$C$869,tabItens[[#This Row],[CÓDIGO]],Consumo!$Z$3:$Z$869)</f>
        <v>43</v>
      </c>
      <c r="AU389" s="317">
        <f>SUMIF(Consumo!$C$3:$C$869,tabItens[[#This Row],[CÓDIGO]],Consumo!$AA$3:$AA$869)</f>
        <v>34</v>
      </c>
      <c r="AV389" s="318">
        <f>SUMIF(Consumo!$C$3:$C$869,tabItens[[#This Row],[CÓDIGO]],Consumo!$Y$3:$Y$869)</f>
        <v>2.6666666666666665</v>
      </c>
      <c r="AW389" s="291">
        <f>tabItens[[#This Row],[QTDE ATUAL]] + tabItens[[#This Row],[RC QTDE]] + tabItens[[#This Row],[AF SALDO]] + tabItens[[#This Row],[Recentes]]</f>
        <v>186</v>
      </c>
      <c r="AX389" s="319">
        <v>5</v>
      </c>
      <c r="AY389" s="319">
        <v>4</v>
      </c>
      <c r="AZ389" s="319">
        <f>IF(ISBLANK(tabItens[[#This Row],[CÓDIGO]]),"",tabItens[[#This Row],[PontoMês]] * (AZ$2+tabItens[[#This Row],[PontoQtM]]))</f>
        <v>20</v>
      </c>
      <c r="BA389" s="318">
        <f>tabItens[[#This Row],[PontoPed]] - tabItens[[#This Row],[Saldo]] + (1/10)</f>
        <v>-165.9</v>
      </c>
      <c r="BB389" s="318">
        <f xml:space="preserve"> tabItens[[#This Row],[PontoMês]] * BB$2 - tabItens[[#This Row],[QTDE ATUAL]] - (1/10)</f>
        <v>-181.1</v>
      </c>
      <c r="BC389" s="320">
        <f>IF( tabItens[[#This Row],[PontoPed]]&gt;0, IF(tabItens[[#This Row],[PontoPed]]&lt;1, 1, IF( tabItens[[#This Row],[Saldo]]&gt;tabItens[[#This Row],[PontoPed]], 0, (tabItens[[#This Row],[PontoPed]]-tabItens[[#This Row],[Saldo]])/tabItens[[#This Row],[PontoPed]] ) ), 0 )</f>
        <v>0</v>
      </c>
      <c r="BD389" s="321">
        <f>ROUNDDOWN(IF( OR( AND(tabItens[[#This Row],[PontoPed]]&lt;tabItens[[#This Row],[Saldo]],tabItens[[#This Row],[Saldo]]&gt;0), tabItens[[#This Row],[PontoPed]]=0), 99, IF(AND(tabItens[[#This Row],[Saldo]]=0,tabItens[[#This Row],[PontoPed]]&gt;0), 0, (1-tabItens[[#This Row],[PctAb]])*10 ) ),0)</f>
        <v>99</v>
      </c>
      <c r="BE389" s="322">
        <f>MAX(ROUNDDOWN( IF(tabItens[[#This Row],[Abaixo]] &gt; 0,   tabItens[[#This Row],[Abaixo]] + (tabItens[[#This Row],[PontoMês]] * IF( OR( ISBLANK(tabItens[[#This Row],[ATA Nº/ANO]]), tabItens[[#This Row],[ATA Nº/ANO]] = ""),BE$2,BE$1)),0),0),0)</f>
        <v>0</v>
      </c>
      <c r="BF3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23">
        <f>SUMIF(Consumo!$C$3:$C$869,tabItens[[#This Row],[CÓDIGO]],Consumo!$E$3:$E$869)</f>
        <v>0</v>
      </c>
      <c r="BH389" s="324">
        <f>IF(AND(tabItens[[#This Row],[Pend]] &gt; 0,tabItens[[#This Row],[Consumo]] &lt;&gt; 0), tabItens[[#This Row],[Pend]] / tabItens[[#This Row],[Consumo]], 0 )</f>
        <v>0</v>
      </c>
      <c r="BI389" s="323"/>
      <c r="BJ389" s="323"/>
      <c r="BK389" s="325" t="s">
        <v>2064</v>
      </c>
    </row>
    <row r="390" spans="1:63" hidden="1" x14ac:dyDescent="0.3">
      <c r="A390" s="286">
        <v>82185</v>
      </c>
      <c r="B390" s="287" t="s">
        <v>1475</v>
      </c>
      <c r="C390" s="288" t="s">
        <v>256</v>
      </c>
      <c r="D390" s="289">
        <v>88</v>
      </c>
      <c r="E390" s="290"/>
      <c r="F390" s="290"/>
      <c r="G390" s="290" t="s">
        <v>883</v>
      </c>
      <c r="H390" s="291">
        <v>159</v>
      </c>
      <c r="I390" s="292">
        <v>103003</v>
      </c>
      <c r="J390" s="293">
        <v>96.650639999999996</v>
      </c>
      <c r="K390" s="294">
        <v>112</v>
      </c>
      <c r="L390" s="295">
        <f>IF(tabItens[[#This Row],[Média]] &gt; 0, tabItens[[#This Row],[QTDE ATUAL]] / tabItens[[#This Row],[Média]],999.9)</f>
        <v>17.035714285714285</v>
      </c>
      <c r="M390" s="296">
        <v>0</v>
      </c>
      <c r="N390" s="297">
        <f>tabItens[[#This Row],[VALOR UNIT.]] * tabItens[[#This Row],[LC]]</f>
        <v>0</v>
      </c>
      <c r="O390" s="298" t="s">
        <v>2104</v>
      </c>
      <c r="P390" s="299"/>
      <c r="Q390" s="300"/>
      <c r="R390" s="297"/>
      <c r="S390" s="301"/>
      <c r="T390" s="302">
        <f>ROUNDDOWN(IFERROR(tabItens[[#This Row],[ATA DT.VALID.]] - $D$1,0) / 30,0)</f>
        <v>-1504</v>
      </c>
      <c r="U390" s="287" t="s">
        <v>1334</v>
      </c>
      <c r="V390" s="303">
        <v>1</v>
      </c>
      <c r="W390" s="304" t="s">
        <v>2049</v>
      </c>
      <c r="X390" s="305">
        <v>74</v>
      </c>
      <c r="Y390" s="306">
        <v>3</v>
      </c>
      <c r="Z390" s="307"/>
      <c r="AA390" s="308"/>
      <c r="AB390" s="309"/>
      <c r="AC390" s="309"/>
      <c r="AD390" s="308"/>
      <c r="AE390" s="309"/>
      <c r="AF390" s="302"/>
      <c r="AG390" s="310" t="s">
        <v>2050</v>
      </c>
      <c r="AH390" s="311"/>
      <c r="AI390" s="302">
        <v>38</v>
      </c>
      <c r="AJ390" s="311">
        <v>44160</v>
      </c>
      <c r="AK390" s="311">
        <v>38273</v>
      </c>
      <c r="AL390" s="311">
        <v>44151</v>
      </c>
      <c r="AM390" s="301"/>
      <c r="AN390" s="290"/>
      <c r="AO390" s="312" t="str">
        <f>_xlfn.IFNA(IF(VLOOKUP(tabItens[[#This Row],[CÓDIGO]],tabExcluirDoEstoque[#Data],1,FALSE),"sim",""),"")</f>
        <v/>
      </c>
      <c r="AP390" s="313" t="str">
        <f ca="1">IF(OR(ISBLANK(tabItens[[#This Row],[ATA DT.VALID.]]),tabItens[[#This Row],[ATA DT.VALID.]]="",tabItens[[#This Row],[ATA DT.VALID.]]=" "),"",IF(TYPE(tabItens[[#This Row],[ATA DT.VALID.]])=1,ROUNDUP((tabItens[[#This Row],[ATA DT.VALID.]]-TODAY())/7,0),""))</f>
        <v/>
      </c>
      <c r="AQ390" s="314">
        <v>0</v>
      </c>
      <c r="AR390" s="315" t="str">
        <f>IF(ISBLANK(tabItens[[#This Row],[CÓDIGO]]),"",IFERROR(VLOOKUP(tabItens[[#This Row],[CÓDIGO]],Consumo!$C$2:$AC$869,26,FALSE),0))</f>
        <v>07.2023</v>
      </c>
      <c r="AS390" s="316">
        <f>SUMIF(Consumo!$C$3:$C$869,tabItens[[#This Row],[CÓDIGO]],Consumo!$N$3:$N$869) + SUMIF(Consumo!$C$3:$C$869,tabItens[[#This Row],[CÓDIGO]],Consumo!$O$3:$O$869) + SUMIF(Consumo!$C$3:$C$869,tabItens[[#This Row],[CÓDIGO]],Consumo!$P$3:$P$869) + SUMIF(Consumo!$C$3:$C$869,tabItens[[#This Row],[CÓDIGO]],Consumo!$Q$3:$Q$869)</f>
        <v>74</v>
      </c>
      <c r="AT390" s="316">
        <f>SUMIF(Consumo!$C$3:$C$869,tabItens[[#This Row],[CÓDIGO]],Consumo!$Z$3:$Z$869)</f>
        <v>112</v>
      </c>
      <c r="AU390" s="317">
        <f>SUMIF(Consumo!$C$3:$C$869,tabItens[[#This Row],[CÓDIGO]],Consumo!$AA$3:$AA$869)</f>
        <v>32</v>
      </c>
      <c r="AV390" s="318">
        <f>SUMIF(Consumo!$C$3:$C$869,tabItens[[#This Row],[CÓDIGO]],Consumo!$Y$3:$Y$869)</f>
        <v>9.3333333333333339</v>
      </c>
      <c r="AW390" s="291">
        <f>tabItens[[#This Row],[QTDE ATUAL]] + tabItens[[#This Row],[RC QTDE]] + tabItens[[#This Row],[AF SALDO]] + tabItens[[#This Row],[Recentes]]</f>
        <v>159</v>
      </c>
      <c r="AX390" s="319">
        <v>15</v>
      </c>
      <c r="AY390" s="319">
        <v>4</v>
      </c>
      <c r="AZ390" s="319">
        <f>IF(ISBLANK(tabItens[[#This Row],[CÓDIGO]]),"",tabItens[[#This Row],[PontoMês]] * (AZ$2+tabItens[[#This Row],[PontoQtM]]))</f>
        <v>60</v>
      </c>
      <c r="BA390" s="318">
        <f>tabItens[[#This Row],[PontoPed]] - tabItens[[#This Row],[Saldo]] + (1/10)</f>
        <v>-98.9</v>
      </c>
      <c r="BB390" s="318">
        <f xml:space="preserve"> tabItens[[#This Row],[PontoMês]] * BB$2 - tabItens[[#This Row],[QTDE ATUAL]] - (1/10)</f>
        <v>-144.1</v>
      </c>
      <c r="BC390" s="320">
        <f>IF( tabItens[[#This Row],[PontoPed]]&gt;0, IF(tabItens[[#This Row],[PontoPed]]&lt;1, 1, IF( tabItens[[#This Row],[Saldo]]&gt;tabItens[[#This Row],[PontoPed]], 0, (tabItens[[#This Row],[PontoPed]]-tabItens[[#This Row],[Saldo]])/tabItens[[#This Row],[PontoPed]] ) ), 0 )</f>
        <v>0</v>
      </c>
      <c r="BD390" s="321">
        <f>ROUNDDOWN(IF( OR( AND(tabItens[[#This Row],[PontoPed]]&lt;tabItens[[#This Row],[Saldo]],tabItens[[#This Row],[Saldo]]&gt;0), tabItens[[#This Row],[PontoPed]]=0), 99, IF(AND(tabItens[[#This Row],[Saldo]]=0,tabItens[[#This Row],[PontoPed]]&gt;0), 0, (1-tabItens[[#This Row],[PctAb]])*10 ) ),0)</f>
        <v>99</v>
      </c>
      <c r="BE390" s="322">
        <f>MAX(ROUNDDOWN( IF(tabItens[[#This Row],[Abaixo]] &gt; 0,   tabItens[[#This Row],[Abaixo]] + (tabItens[[#This Row],[PontoMês]] * IF( OR( ISBLANK(tabItens[[#This Row],[ATA Nº/ANO]]), tabItens[[#This Row],[ATA Nº/ANO]] = ""),BE$2,BE$1)),0),0),0)</f>
        <v>0</v>
      </c>
      <c r="BF39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23">
        <f>SUMIF(Consumo!$C$3:$C$869,tabItens[[#This Row],[CÓDIGO]],Consumo!$E$3:$E$869)</f>
        <v>0</v>
      </c>
      <c r="BH390" s="324">
        <f>IF(AND(tabItens[[#This Row],[Pend]] &gt; 0,tabItens[[#This Row],[Consumo]] &lt;&gt; 0), tabItens[[#This Row],[Pend]] / tabItens[[#This Row],[Consumo]], 0 )</f>
        <v>0</v>
      </c>
      <c r="BI390" s="323"/>
      <c r="BJ390" s="323"/>
      <c r="BK390" s="325" t="s">
        <v>2064</v>
      </c>
    </row>
    <row r="391" spans="1:63" hidden="1" x14ac:dyDescent="0.3">
      <c r="A391" s="286">
        <v>114852</v>
      </c>
      <c r="B391" s="287" t="s">
        <v>1699</v>
      </c>
      <c r="C391" s="288" t="s">
        <v>256</v>
      </c>
      <c r="D391" s="289">
        <v>160</v>
      </c>
      <c r="E391" s="290"/>
      <c r="F391" s="290"/>
      <c r="G391" s="290" t="s">
        <v>883</v>
      </c>
      <c r="H391" s="291">
        <v>133</v>
      </c>
      <c r="I391" s="292">
        <v>103003</v>
      </c>
      <c r="J391" s="293">
        <v>160</v>
      </c>
      <c r="K391" s="294">
        <v>69</v>
      </c>
      <c r="L391" s="295">
        <f>IF(tabItens[[#This Row],[Média]] &gt; 0, tabItens[[#This Row],[QTDE ATUAL]] / tabItens[[#This Row],[Média]],999.9)</f>
        <v>24.181818181818183</v>
      </c>
      <c r="M391" s="296">
        <v>0</v>
      </c>
      <c r="N391" s="297">
        <f>tabItens[[#This Row],[VALOR UNIT.]] * tabItens[[#This Row],[LC]]</f>
        <v>0</v>
      </c>
      <c r="O391" s="298" t="s">
        <v>2104</v>
      </c>
      <c r="P391" s="299"/>
      <c r="Q391" s="300"/>
      <c r="R391" s="297"/>
      <c r="S391" s="301"/>
      <c r="T391" s="302">
        <f>ROUNDDOWN(IFERROR(tabItens[[#This Row],[ATA DT.VALID.]] - $D$1,0) / 30,0)</f>
        <v>-1504</v>
      </c>
      <c r="U391" s="287" t="s">
        <v>1334</v>
      </c>
      <c r="V391" s="303">
        <v>1</v>
      </c>
      <c r="W391" s="304" t="s">
        <v>2049</v>
      </c>
      <c r="X391" s="305">
        <v>74</v>
      </c>
      <c r="Y391" s="306">
        <v>3</v>
      </c>
      <c r="Z391" s="307"/>
      <c r="AA391" s="308"/>
      <c r="AB391" s="309"/>
      <c r="AC391" s="309"/>
      <c r="AD391" s="308"/>
      <c r="AE391" s="309"/>
      <c r="AF391" s="302"/>
      <c r="AG391" s="310" t="s">
        <v>2050</v>
      </c>
      <c r="AH391" s="311"/>
      <c r="AI391" s="302">
        <v>54</v>
      </c>
      <c r="AJ391" s="311">
        <v>44195</v>
      </c>
      <c r="AK391" s="311">
        <v>40280</v>
      </c>
      <c r="AL391" s="311">
        <v>44372</v>
      </c>
      <c r="AM391" s="301"/>
      <c r="AN391" s="290"/>
      <c r="AO391" s="312" t="str">
        <f>_xlfn.IFNA(IF(VLOOKUP(tabItens[[#This Row],[CÓDIGO]],tabExcluirDoEstoque[#Data],1,FALSE),"sim",""),"")</f>
        <v/>
      </c>
      <c r="AP391" s="313" t="str">
        <f ca="1">IF(OR(ISBLANK(tabItens[[#This Row],[ATA DT.VALID.]]),tabItens[[#This Row],[ATA DT.VALID.]]="",tabItens[[#This Row],[ATA DT.VALID.]]=" "),"",IF(TYPE(tabItens[[#This Row],[ATA DT.VALID.]])=1,ROUNDUP((tabItens[[#This Row],[ATA DT.VALID.]]-TODAY())/7,0),""))</f>
        <v/>
      </c>
      <c r="AQ391" s="314">
        <v>0</v>
      </c>
      <c r="AR391" s="315" t="str">
        <f>IF(ISBLANK(tabItens[[#This Row],[CÓDIGO]]),"",IFERROR(VLOOKUP(tabItens[[#This Row],[CÓDIGO]],Consumo!$C$2:$AC$869,26,FALSE),0))</f>
        <v>06.2023</v>
      </c>
      <c r="AS391" s="316">
        <f>SUMIF(Consumo!$C$3:$C$869,tabItens[[#This Row],[CÓDIGO]],Consumo!$N$3:$N$869) + SUMIF(Consumo!$C$3:$C$869,tabItens[[#This Row],[CÓDIGO]],Consumo!$O$3:$O$869) + SUMIF(Consumo!$C$3:$C$869,tabItens[[#This Row],[CÓDIGO]],Consumo!$P$3:$P$869) + SUMIF(Consumo!$C$3:$C$869,tabItens[[#This Row],[CÓDIGO]],Consumo!$Q$3:$Q$869)</f>
        <v>44</v>
      </c>
      <c r="AT391" s="316">
        <f>SUMIF(Consumo!$C$3:$C$869,tabItens[[#This Row],[CÓDIGO]],Consumo!$Z$3:$Z$869)</f>
        <v>69</v>
      </c>
      <c r="AU391" s="317">
        <f>SUMIF(Consumo!$C$3:$C$869,tabItens[[#This Row],[CÓDIGO]],Consumo!$AA$3:$AA$869)</f>
        <v>30</v>
      </c>
      <c r="AV391" s="318">
        <f>SUMIF(Consumo!$C$3:$C$869,tabItens[[#This Row],[CÓDIGO]],Consumo!$Y$3:$Y$869)</f>
        <v>5.5</v>
      </c>
      <c r="AW391" s="291">
        <f>tabItens[[#This Row],[QTDE ATUAL]] + tabItens[[#This Row],[RC QTDE]] + tabItens[[#This Row],[AF SALDO]] + tabItens[[#This Row],[Recentes]]</f>
        <v>133</v>
      </c>
      <c r="AX391" s="319">
        <v>13</v>
      </c>
      <c r="AY391" s="319">
        <v>4</v>
      </c>
      <c r="AZ391" s="319">
        <f>IF(ISBLANK(tabItens[[#This Row],[CÓDIGO]]),"",tabItens[[#This Row],[PontoMês]] * (AZ$2+tabItens[[#This Row],[PontoQtM]]))</f>
        <v>52</v>
      </c>
      <c r="BA391" s="318">
        <f>tabItens[[#This Row],[PontoPed]] - tabItens[[#This Row],[Saldo]] + (1/10)</f>
        <v>-80.900000000000006</v>
      </c>
      <c r="BB391" s="318">
        <f xml:space="preserve"> tabItens[[#This Row],[PontoMês]] * BB$2 - tabItens[[#This Row],[QTDE ATUAL]] - (1/10)</f>
        <v>-120.1</v>
      </c>
      <c r="BC391" s="320">
        <f>IF( tabItens[[#This Row],[PontoPed]]&gt;0, IF(tabItens[[#This Row],[PontoPed]]&lt;1, 1, IF( tabItens[[#This Row],[Saldo]]&gt;tabItens[[#This Row],[PontoPed]], 0, (tabItens[[#This Row],[PontoPed]]-tabItens[[#This Row],[Saldo]])/tabItens[[#This Row],[PontoPed]] ) ), 0 )</f>
        <v>0</v>
      </c>
      <c r="BD391" s="321">
        <f>ROUNDDOWN(IF( OR( AND(tabItens[[#This Row],[PontoPed]]&lt;tabItens[[#This Row],[Saldo]],tabItens[[#This Row],[Saldo]]&gt;0), tabItens[[#This Row],[PontoPed]]=0), 99, IF(AND(tabItens[[#This Row],[Saldo]]=0,tabItens[[#This Row],[PontoPed]]&gt;0), 0, (1-tabItens[[#This Row],[PctAb]])*10 ) ),0)</f>
        <v>99</v>
      </c>
      <c r="BE391" s="322">
        <f>MAX(ROUNDDOWN( IF(tabItens[[#This Row],[Abaixo]] &gt; 0,   tabItens[[#This Row],[Abaixo]] + (tabItens[[#This Row],[PontoMês]] * IF( OR( ISBLANK(tabItens[[#This Row],[ATA Nº/ANO]]), tabItens[[#This Row],[ATA Nº/ANO]] = ""),BE$2,BE$1)),0),0),0)</f>
        <v>0</v>
      </c>
      <c r="BF39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23">
        <f>SUMIF(Consumo!$C$3:$C$869,tabItens[[#This Row],[CÓDIGO]],Consumo!$E$3:$E$869)</f>
        <v>0</v>
      </c>
      <c r="BH391" s="324">
        <f>IF(AND(tabItens[[#This Row],[Pend]] &gt; 0,tabItens[[#This Row],[Consumo]] &lt;&gt; 0), tabItens[[#This Row],[Pend]] / tabItens[[#This Row],[Consumo]], 0 )</f>
        <v>0</v>
      </c>
      <c r="BI391" s="323"/>
      <c r="BJ391" s="323"/>
      <c r="BK391" s="325" t="s">
        <v>2064</v>
      </c>
    </row>
    <row r="392" spans="1:63" hidden="1" x14ac:dyDescent="0.3">
      <c r="A392" s="286">
        <v>114853</v>
      </c>
      <c r="B392" s="287" t="s">
        <v>1700</v>
      </c>
      <c r="C392" s="288" t="s">
        <v>256</v>
      </c>
      <c r="D392" s="289">
        <v>168.35</v>
      </c>
      <c r="E392" s="290"/>
      <c r="F392" s="290"/>
      <c r="G392" s="290" t="s">
        <v>883</v>
      </c>
      <c r="H392" s="291">
        <v>161</v>
      </c>
      <c r="I392" s="292">
        <v>103003</v>
      </c>
      <c r="J392" s="293">
        <v>168.35</v>
      </c>
      <c r="K392" s="294">
        <v>86</v>
      </c>
      <c r="L392" s="295">
        <f>IF(tabItens[[#This Row],[Média]] &gt; 0, tabItens[[#This Row],[QTDE ATUAL]] / tabItens[[#This Row],[Média]],999.9)</f>
        <v>25.09090909090909</v>
      </c>
      <c r="M392" s="296">
        <v>0</v>
      </c>
      <c r="N392" s="297">
        <f>tabItens[[#This Row],[VALOR UNIT.]] * tabItens[[#This Row],[LC]]</f>
        <v>0</v>
      </c>
      <c r="O392" s="298" t="s">
        <v>2104</v>
      </c>
      <c r="P392" s="299"/>
      <c r="Q392" s="300"/>
      <c r="R392" s="297"/>
      <c r="S392" s="301"/>
      <c r="T392" s="302">
        <f>ROUNDDOWN(IFERROR(tabItens[[#This Row],[ATA DT.VALID.]] - $D$1,0) / 30,0)</f>
        <v>-1504</v>
      </c>
      <c r="U392" s="287" t="s">
        <v>1334</v>
      </c>
      <c r="V392" s="303">
        <v>1</v>
      </c>
      <c r="W392" s="304" t="s">
        <v>2049</v>
      </c>
      <c r="X392" s="305">
        <v>74</v>
      </c>
      <c r="Y392" s="306">
        <v>3</v>
      </c>
      <c r="Z392" s="307"/>
      <c r="AA392" s="308"/>
      <c r="AB392" s="309"/>
      <c r="AC392" s="309"/>
      <c r="AD392" s="308"/>
      <c r="AE392" s="309"/>
      <c r="AF392" s="302"/>
      <c r="AG392" s="310" t="s">
        <v>2050</v>
      </c>
      <c r="AH392" s="311"/>
      <c r="AI392" s="302">
        <v>30</v>
      </c>
      <c r="AJ392" s="311">
        <v>44165</v>
      </c>
      <c r="AK392" s="311">
        <v>40280</v>
      </c>
      <c r="AL392" s="311">
        <v>44133</v>
      </c>
      <c r="AM392" s="301"/>
      <c r="AN392" s="290"/>
      <c r="AO392" s="312" t="str">
        <f>_xlfn.IFNA(IF(VLOOKUP(tabItens[[#This Row],[CÓDIGO]],tabExcluirDoEstoque[#Data],1,FALSE),"sim",""),"")</f>
        <v/>
      </c>
      <c r="AP392" s="313" t="str">
        <f ca="1">IF(OR(ISBLANK(tabItens[[#This Row],[ATA DT.VALID.]]),tabItens[[#This Row],[ATA DT.VALID.]]="",tabItens[[#This Row],[ATA DT.VALID.]]=" "),"",IF(TYPE(tabItens[[#This Row],[ATA DT.VALID.]])=1,ROUNDUP((tabItens[[#This Row],[ATA DT.VALID.]]-TODAY())/7,0),""))</f>
        <v/>
      </c>
      <c r="AQ392" s="314">
        <v>0</v>
      </c>
      <c r="AR392" s="315" t="str">
        <f>IF(ISBLANK(tabItens[[#This Row],[CÓDIGO]]),"",IFERROR(VLOOKUP(tabItens[[#This Row],[CÓDIGO]],Consumo!$C$2:$AC$869,26,FALSE),0))</f>
        <v>07.2023</v>
      </c>
      <c r="AS392" s="316">
        <f>SUMIF(Consumo!$C$3:$C$869,tabItens[[#This Row],[CÓDIGO]],Consumo!$N$3:$N$869) + SUMIF(Consumo!$C$3:$C$869,tabItens[[#This Row],[CÓDIGO]],Consumo!$O$3:$O$869) + SUMIF(Consumo!$C$3:$C$869,tabItens[[#This Row],[CÓDIGO]],Consumo!$P$3:$P$869) + SUMIF(Consumo!$C$3:$C$869,tabItens[[#This Row],[CÓDIGO]],Consumo!$Q$3:$Q$869)</f>
        <v>33</v>
      </c>
      <c r="AT392" s="316">
        <f>SUMIF(Consumo!$C$3:$C$869,tabItens[[#This Row],[CÓDIGO]],Consumo!$Z$3:$Z$869)</f>
        <v>87</v>
      </c>
      <c r="AU392" s="317">
        <f>SUMIF(Consumo!$C$3:$C$869,tabItens[[#This Row],[CÓDIGO]],Consumo!$AA$3:$AA$869)</f>
        <v>40</v>
      </c>
      <c r="AV392" s="318">
        <f>SUMIF(Consumo!$C$3:$C$869,tabItens[[#This Row],[CÓDIGO]],Consumo!$Y$3:$Y$869)</f>
        <v>6.416666666666667</v>
      </c>
      <c r="AW392" s="291">
        <f>tabItens[[#This Row],[QTDE ATUAL]] + tabItens[[#This Row],[RC QTDE]] + tabItens[[#This Row],[AF SALDO]] + tabItens[[#This Row],[Recentes]]</f>
        <v>161</v>
      </c>
      <c r="AX392" s="319">
        <v>13</v>
      </c>
      <c r="AY392" s="319">
        <v>4</v>
      </c>
      <c r="AZ392" s="319">
        <f>IF(ISBLANK(tabItens[[#This Row],[CÓDIGO]]),"",tabItens[[#This Row],[PontoMês]] * (AZ$2+tabItens[[#This Row],[PontoQtM]]))</f>
        <v>52</v>
      </c>
      <c r="BA392" s="318">
        <f>tabItens[[#This Row],[PontoPed]] - tabItens[[#This Row],[Saldo]] + (1/10)</f>
        <v>-108.9</v>
      </c>
      <c r="BB392" s="318">
        <f xml:space="preserve"> tabItens[[#This Row],[PontoMês]] * BB$2 - tabItens[[#This Row],[QTDE ATUAL]] - (1/10)</f>
        <v>-148.1</v>
      </c>
      <c r="BC392" s="320">
        <f>IF( tabItens[[#This Row],[PontoPed]]&gt;0, IF(tabItens[[#This Row],[PontoPed]]&lt;1, 1, IF( tabItens[[#This Row],[Saldo]]&gt;tabItens[[#This Row],[PontoPed]], 0, (tabItens[[#This Row],[PontoPed]]-tabItens[[#This Row],[Saldo]])/tabItens[[#This Row],[PontoPed]] ) ), 0 )</f>
        <v>0</v>
      </c>
      <c r="BD392" s="321">
        <f>ROUNDDOWN(IF( OR( AND(tabItens[[#This Row],[PontoPed]]&lt;tabItens[[#This Row],[Saldo]],tabItens[[#This Row],[Saldo]]&gt;0), tabItens[[#This Row],[PontoPed]]=0), 99, IF(AND(tabItens[[#This Row],[Saldo]]=0,tabItens[[#This Row],[PontoPed]]&gt;0), 0, (1-tabItens[[#This Row],[PctAb]])*10 ) ),0)</f>
        <v>99</v>
      </c>
      <c r="BE392" s="322">
        <f>MAX(ROUNDDOWN( IF(tabItens[[#This Row],[Abaixo]] &gt; 0,   tabItens[[#This Row],[Abaixo]] + (tabItens[[#This Row],[PontoMês]] * IF( OR( ISBLANK(tabItens[[#This Row],[ATA Nº/ANO]]), tabItens[[#This Row],[ATA Nº/ANO]] = ""),BE$2,BE$1)),0),0),0)</f>
        <v>0</v>
      </c>
      <c r="BF39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23">
        <f>SUMIF(Consumo!$C$3:$C$869,tabItens[[#This Row],[CÓDIGO]],Consumo!$E$3:$E$869)</f>
        <v>0</v>
      </c>
      <c r="BH392" s="324">
        <f>IF(AND(tabItens[[#This Row],[Pend]] &gt; 0,tabItens[[#This Row],[Consumo]] &lt;&gt; 0), tabItens[[#This Row],[Pend]] / tabItens[[#This Row],[Consumo]], 0 )</f>
        <v>0</v>
      </c>
      <c r="BI392" s="323"/>
      <c r="BJ392" s="323"/>
      <c r="BK392" s="325" t="s">
        <v>2064</v>
      </c>
    </row>
    <row r="393" spans="1:63" hidden="1" x14ac:dyDescent="0.3">
      <c r="A393" s="286">
        <v>16363</v>
      </c>
      <c r="B393" s="287" t="s">
        <v>1111</v>
      </c>
      <c r="C393" s="288" t="s">
        <v>256</v>
      </c>
      <c r="D393" s="289">
        <v>28.65</v>
      </c>
      <c r="E393" s="290"/>
      <c r="F393" s="290"/>
      <c r="G393" s="290" t="s">
        <v>883</v>
      </c>
      <c r="H393" s="291">
        <v>135</v>
      </c>
      <c r="I393" s="292">
        <v>103003</v>
      </c>
      <c r="J393" s="293">
        <v>28.65</v>
      </c>
      <c r="K393" s="294">
        <v>417</v>
      </c>
      <c r="L393" s="295">
        <f>IF(tabItens[[#This Row],[Média]] &gt; 0, tabItens[[#This Row],[QTDE ATUAL]] / tabItens[[#This Row],[Média]],999.9)</f>
        <v>3.3471074380165287</v>
      </c>
      <c r="M393" s="296">
        <v>0</v>
      </c>
      <c r="N393" s="297">
        <f>tabItens[[#This Row],[VALOR UNIT.]] * tabItens[[#This Row],[LC]]</f>
        <v>0</v>
      </c>
      <c r="O393" s="298" t="s">
        <v>2104</v>
      </c>
      <c r="P393" s="299"/>
      <c r="Q393" s="300"/>
      <c r="R393" s="297"/>
      <c r="S393" s="301"/>
      <c r="T393" s="302">
        <f>ROUNDDOWN(IFERROR(tabItens[[#This Row],[ATA DT.VALID.]] - $D$1,0) / 30,0)</f>
        <v>-1504</v>
      </c>
      <c r="U393" s="287" t="s">
        <v>1112</v>
      </c>
      <c r="V393" s="303">
        <v>1</v>
      </c>
      <c r="W393" s="304" t="s">
        <v>2057</v>
      </c>
      <c r="X393" s="305">
        <v>74</v>
      </c>
      <c r="Y393" s="306">
        <v>8</v>
      </c>
      <c r="Z393" s="307">
        <v>2628</v>
      </c>
      <c r="AA393" s="308">
        <v>2023</v>
      </c>
      <c r="AB393" s="309">
        <v>200</v>
      </c>
      <c r="AC393" s="309"/>
      <c r="AD393" s="308"/>
      <c r="AE393" s="309"/>
      <c r="AF393" s="302"/>
      <c r="AG393" s="310" t="s">
        <v>2050</v>
      </c>
      <c r="AH393" s="311"/>
      <c r="AI393" s="302">
        <v>162</v>
      </c>
      <c r="AJ393" s="311">
        <v>44153</v>
      </c>
      <c r="AK393" s="311" t="s">
        <v>883</v>
      </c>
      <c r="AL393" s="311">
        <v>44133</v>
      </c>
      <c r="AM393" s="301"/>
      <c r="AN393" s="290"/>
      <c r="AO393" s="312" t="str">
        <f>_xlfn.IFNA(IF(VLOOKUP(tabItens[[#This Row],[CÓDIGO]],tabExcluirDoEstoque[#Data],1,FALSE),"sim",""),"")</f>
        <v/>
      </c>
      <c r="AP393" s="313" t="str">
        <f ca="1">IF(OR(ISBLANK(tabItens[[#This Row],[ATA DT.VALID.]]),tabItens[[#This Row],[ATA DT.VALID.]]="",tabItens[[#This Row],[ATA DT.VALID.]]=" "),"",IF(TYPE(tabItens[[#This Row],[ATA DT.VALID.]])=1,ROUNDUP((tabItens[[#This Row],[ATA DT.VALID.]]-TODAY())/7,0),""))</f>
        <v/>
      </c>
      <c r="AQ393" s="314">
        <v>0</v>
      </c>
      <c r="AR393" s="315" t="str">
        <f>IF(ISBLANK(tabItens[[#This Row],[CÓDIGO]]),"",IFERROR(VLOOKUP(tabItens[[#This Row],[CÓDIGO]],Consumo!$C$2:$AC$869,26,FALSE),0))</f>
        <v>06.2023</v>
      </c>
      <c r="AS393" s="316">
        <f>SUMIF(Consumo!$C$3:$C$869,tabItens[[#This Row],[CÓDIGO]],Consumo!$N$3:$N$869) + SUMIF(Consumo!$C$3:$C$869,tabItens[[#This Row],[CÓDIGO]],Consumo!$O$3:$O$869) + SUMIF(Consumo!$C$3:$C$869,tabItens[[#This Row],[CÓDIGO]],Consumo!$P$3:$P$869) + SUMIF(Consumo!$C$3:$C$869,tabItens[[#This Row],[CÓDIGO]],Consumo!$Q$3:$Q$869)</f>
        <v>186</v>
      </c>
      <c r="AT393" s="316">
        <f>SUMIF(Consumo!$C$3:$C$869,tabItens[[#This Row],[CÓDIGO]],Consumo!$Z$3:$Z$869)</f>
        <v>484</v>
      </c>
      <c r="AU393" s="317">
        <f>SUMIF(Consumo!$C$3:$C$869,tabItens[[#This Row],[CÓDIGO]],Consumo!$AA$3:$AA$869)</f>
        <v>99</v>
      </c>
      <c r="AV393" s="318">
        <f>SUMIF(Consumo!$C$3:$C$869,tabItens[[#This Row],[CÓDIGO]],Consumo!$Y$3:$Y$869)</f>
        <v>40.333333333333336</v>
      </c>
      <c r="AW393" s="291">
        <f>tabItens[[#This Row],[QTDE ATUAL]] + tabItens[[#This Row],[RC QTDE]] + tabItens[[#This Row],[AF SALDO]] + tabItens[[#This Row],[Recentes]]</f>
        <v>335</v>
      </c>
      <c r="AX393" s="319">
        <v>30</v>
      </c>
      <c r="AY393" s="319">
        <v>4</v>
      </c>
      <c r="AZ393" s="319">
        <f>IF(ISBLANK(tabItens[[#This Row],[CÓDIGO]]),"",tabItens[[#This Row],[PontoMês]] * (AZ$2+tabItens[[#This Row],[PontoQtM]]))</f>
        <v>120</v>
      </c>
      <c r="BA393" s="318">
        <f>tabItens[[#This Row],[PontoPed]] - tabItens[[#This Row],[Saldo]] + (1/10)</f>
        <v>-214.9</v>
      </c>
      <c r="BB393" s="318">
        <f xml:space="preserve"> tabItens[[#This Row],[PontoMês]] * BB$2 - tabItens[[#This Row],[QTDE ATUAL]] - (1/10)</f>
        <v>-105.1</v>
      </c>
      <c r="BC393" s="320">
        <f>IF( tabItens[[#This Row],[PontoPed]]&gt;0, IF(tabItens[[#This Row],[PontoPed]]&lt;1, 1, IF( tabItens[[#This Row],[Saldo]]&gt;tabItens[[#This Row],[PontoPed]], 0, (tabItens[[#This Row],[PontoPed]]-tabItens[[#This Row],[Saldo]])/tabItens[[#This Row],[PontoPed]] ) ), 0 )</f>
        <v>0</v>
      </c>
      <c r="BD393" s="321">
        <f>ROUNDDOWN(IF( OR( AND(tabItens[[#This Row],[PontoPed]]&lt;tabItens[[#This Row],[Saldo]],tabItens[[#This Row],[Saldo]]&gt;0), tabItens[[#This Row],[PontoPed]]=0), 99, IF(AND(tabItens[[#This Row],[Saldo]]=0,tabItens[[#This Row],[PontoPed]]&gt;0), 0, (1-tabItens[[#This Row],[PctAb]])*10 ) ),0)</f>
        <v>99</v>
      </c>
      <c r="BE393" s="322">
        <f>MAX(ROUNDDOWN( IF(tabItens[[#This Row],[Abaixo]] &gt; 0,   tabItens[[#This Row],[Abaixo]] + (tabItens[[#This Row],[PontoMês]] * IF( OR( ISBLANK(tabItens[[#This Row],[ATA Nº/ANO]]), tabItens[[#This Row],[ATA Nº/ANO]] = ""),BE$2,BE$1)),0),0),0)</f>
        <v>0</v>
      </c>
      <c r="BF3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23">
        <f>SUMIF(Consumo!$C$3:$C$869,tabItens[[#This Row],[CÓDIGO]],Consumo!$E$3:$E$869)</f>
        <v>0</v>
      </c>
      <c r="BH393" s="324">
        <f>IF(AND(tabItens[[#This Row],[Pend]] &gt; 0,tabItens[[#This Row],[Consumo]] &lt;&gt; 0), tabItens[[#This Row],[Pend]] / tabItens[[#This Row],[Consumo]], 0 )</f>
        <v>0</v>
      </c>
      <c r="BI393" s="323"/>
      <c r="BJ393" s="323"/>
      <c r="BK393" s="325" t="s">
        <v>2064</v>
      </c>
    </row>
    <row r="394" spans="1:63" hidden="1" x14ac:dyDescent="0.3">
      <c r="A394" s="286">
        <v>16365</v>
      </c>
      <c r="B394" s="287" t="s">
        <v>1113</v>
      </c>
      <c r="C394" s="288" t="s">
        <v>256</v>
      </c>
      <c r="D394" s="289">
        <v>183.5</v>
      </c>
      <c r="E394" s="290"/>
      <c r="F394" s="290"/>
      <c r="G394" s="290" t="s">
        <v>883</v>
      </c>
      <c r="H394" s="291">
        <v>509</v>
      </c>
      <c r="I394" s="292">
        <v>103003</v>
      </c>
      <c r="J394" s="293">
        <v>183.5</v>
      </c>
      <c r="K394" s="294">
        <v>91</v>
      </c>
      <c r="L394" s="295">
        <f>IF(tabItens[[#This Row],[Média]] &gt; 0, tabItens[[#This Row],[QTDE ATUAL]] / tabItens[[#This Row],[Média]],999.9)</f>
        <v>68.62921348314606</v>
      </c>
      <c r="M394" s="296">
        <v>0</v>
      </c>
      <c r="N394" s="297">
        <f>tabItens[[#This Row],[VALOR UNIT.]] * tabItens[[#This Row],[LC]]</f>
        <v>0</v>
      </c>
      <c r="O394" s="298" t="s">
        <v>2104</v>
      </c>
      <c r="P394" s="299"/>
      <c r="Q394" s="300"/>
      <c r="R394" s="297"/>
      <c r="S394" s="301"/>
      <c r="T394" s="302">
        <f>ROUNDDOWN(IFERROR(tabItens[[#This Row],[ATA DT.VALID.]] - $D$1,0) / 30,0)</f>
        <v>-1504</v>
      </c>
      <c r="U394" s="287" t="s">
        <v>1112</v>
      </c>
      <c r="V394" s="303">
        <v>1</v>
      </c>
      <c r="W394" s="304" t="s">
        <v>2057</v>
      </c>
      <c r="X394" s="305">
        <v>74</v>
      </c>
      <c r="Y394" s="306">
        <v>8</v>
      </c>
      <c r="Z394" s="307"/>
      <c r="AA394" s="308"/>
      <c r="AB394" s="309"/>
      <c r="AC394" s="309"/>
      <c r="AD394" s="308"/>
      <c r="AE394" s="309"/>
      <c r="AF394" s="302"/>
      <c r="AG394" s="310" t="s">
        <v>2050</v>
      </c>
      <c r="AH394" s="311"/>
      <c r="AI394" s="302">
        <v>30</v>
      </c>
      <c r="AJ394" s="311">
        <v>44544</v>
      </c>
      <c r="AK394" s="311" t="s">
        <v>883</v>
      </c>
      <c r="AL394" s="311">
        <v>44539</v>
      </c>
      <c r="AM394" s="301"/>
      <c r="AN394" s="290"/>
      <c r="AO394" s="312" t="str">
        <f>_xlfn.IFNA(IF(VLOOKUP(tabItens[[#This Row],[CÓDIGO]],tabExcluirDoEstoque[#Data],1,FALSE),"sim",""),"")</f>
        <v/>
      </c>
      <c r="AP394" s="313" t="str">
        <f ca="1">IF(OR(ISBLANK(tabItens[[#This Row],[ATA DT.VALID.]]),tabItens[[#This Row],[ATA DT.VALID.]]="",tabItens[[#This Row],[ATA DT.VALID.]]=" "),"",IF(TYPE(tabItens[[#This Row],[ATA DT.VALID.]])=1,ROUNDUP((tabItens[[#This Row],[ATA DT.VALID.]]-TODAY())/7,0),""))</f>
        <v/>
      </c>
      <c r="AQ394" s="314">
        <v>0</v>
      </c>
      <c r="AR394" s="315" t="str">
        <f>IF(ISBLANK(tabItens[[#This Row],[CÓDIGO]]),"",IFERROR(VLOOKUP(tabItens[[#This Row],[CÓDIGO]],Consumo!$C$2:$AC$869,26,FALSE),0))</f>
        <v>03.2023</v>
      </c>
      <c r="AS394" s="316">
        <f>SUMIF(Consumo!$C$3:$C$869,tabItens[[#This Row],[CÓDIGO]],Consumo!$N$3:$N$869) + SUMIF(Consumo!$C$3:$C$869,tabItens[[#This Row],[CÓDIGO]],Consumo!$O$3:$O$869) + SUMIF(Consumo!$C$3:$C$869,tabItens[[#This Row],[CÓDIGO]],Consumo!$P$3:$P$869) + SUMIF(Consumo!$C$3:$C$869,tabItens[[#This Row],[CÓDIGO]],Consumo!$Q$3:$Q$869)</f>
        <v>0</v>
      </c>
      <c r="AT394" s="316">
        <f>SUMIF(Consumo!$C$3:$C$869,tabItens[[#This Row],[CÓDIGO]],Consumo!$Z$3:$Z$869)</f>
        <v>91</v>
      </c>
      <c r="AU394" s="317">
        <f>SUMIF(Consumo!$C$3:$C$869,tabItens[[#This Row],[CÓDIGO]],Consumo!$AA$3:$AA$869)</f>
        <v>30</v>
      </c>
      <c r="AV394" s="318">
        <f>SUMIF(Consumo!$C$3:$C$869,tabItens[[#This Row],[CÓDIGO]],Consumo!$Y$3:$Y$869)</f>
        <v>7.416666666666667</v>
      </c>
      <c r="AW394" s="291">
        <f>tabItens[[#This Row],[QTDE ATUAL]] + tabItens[[#This Row],[RC QTDE]] + tabItens[[#This Row],[AF SALDO]] + tabItens[[#This Row],[Recentes]]</f>
        <v>509</v>
      </c>
      <c r="AX394" s="319">
        <v>29</v>
      </c>
      <c r="AY394" s="319">
        <v>4</v>
      </c>
      <c r="AZ394" s="319">
        <f>IF(ISBLANK(tabItens[[#This Row],[CÓDIGO]]),"",tabItens[[#This Row],[PontoMês]] * (AZ$2+tabItens[[#This Row],[PontoQtM]]))</f>
        <v>116</v>
      </c>
      <c r="BA394" s="318">
        <f>tabItens[[#This Row],[PontoPed]] - tabItens[[#This Row],[Saldo]] + (1/10)</f>
        <v>-392.9</v>
      </c>
      <c r="BB394" s="318">
        <f xml:space="preserve"> tabItens[[#This Row],[PontoMês]] * BB$2 - tabItens[[#This Row],[QTDE ATUAL]] - (1/10)</f>
        <v>-480.1</v>
      </c>
      <c r="BC394" s="320">
        <f>IF( tabItens[[#This Row],[PontoPed]]&gt;0, IF(tabItens[[#This Row],[PontoPed]]&lt;1, 1, IF( tabItens[[#This Row],[Saldo]]&gt;tabItens[[#This Row],[PontoPed]], 0, (tabItens[[#This Row],[PontoPed]]-tabItens[[#This Row],[Saldo]])/tabItens[[#This Row],[PontoPed]] ) ), 0 )</f>
        <v>0</v>
      </c>
      <c r="BD394" s="321">
        <f>ROUNDDOWN(IF( OR( AND(tabItens[[#This Row],[PontoPed]]&lt;tabItens[[#This Row],[Saldo]],tabItens[[#This Row],[Saldo]]&gt;0), tabItens[[#This Row],[PontoPed]]=0), 99, IF(AND(tabItens[[#This Row],[Saldo]]=0,tabItens[[#This Row],[PontoPed]]&gt;0), 0, (1-tabItens[[#This Row],[PctAb]])*10 ) ),0)</f>
        <v>99</v>
      </c>
      <c r="BE394" s="322">
        <f>MAX(ROUNDDOWN( IF(tabItens[[#This Row],[Abaixo]] &gt; 0,   tabItens[[#This Row],[Abaixo]] + (tabItens[[#This Row],[PontoMês]] * IF( OR( ISBLANK(tabItens[[#This Row],[ATA Nº/ANO]]), tabItens[[#This Row],[ATA Nº/ANO]] = ""),BE$2,BE$1)),0),0),0)</f>
        <v>0</v>
      </c>
      <c r="BF3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23">
        <f>SUMIF(Consumo!$C$3:$C$869,tabItens[[#This Row],[CÓDIGO]],Consumo!$E$3:$E$869)</f>
        <v>0</v>
      </c>
      <c r="BH394" s="324">
        <f>IF(AND(tabItens[[#This Row],[Pend]] &gt; 0,tabItens[[#This Row],[Consumo]] &lt;&gt; 0), tabItens[[#This Row],[Pend]] / tabItens[[#This Row],[Consumo]], 0 )</f>
        <v>0</v>
      </c>
      <c r="BI394" s="323"/>
      <c r="BJ394" s="323"/>
      <c r="BK394" s="325" t="s">
        <v>2064</v>
      </c>
    </row>
    <row r="395" spans="1:63" hidden="1" x14ac:dyDescent="0.3">
      <c r="A395" s="286">
        <v>80300</v>
      </c>
      <c r="B395" s="287" t="s">
        <v>1452</v>
      </c>
      <c r="C395" s="288" t="s">
        <v>256</v>
      </c>
      <c r="D395" s="289">
        <v>224</v>
      </c>
      <c r="E395" s="290"/>
      <c r="F395" s="290"/>
      <c r="G395" s="290" t="s">
        <v>883</v>
      </c>
      <c r="H395" s="291">
        <v>54</v>
      </c>
      <c r="I395" s="292">
        <v>103003</v>
      </c>
      <c r="J395" s="293">
        <v>224</v>
      </c>
      <c r="K395" s="294">
        <v>66</v>
      </c>
      <c r="L395" s="295">
        <f>IF(tabItens[[#This Row],[Média]] &gt; 0, tabItens[[#This Row],[QTDE ATUAL]] / tabItens[[#This Row],[Média]],999.9)</f>
        <v>8.7567567567567561</v>
      </c>
      <c r="M395" s="296">
        <v>0</v>
      </c>
      <c r="N395" s="297">
        <f>tabItens[[#This Row],[VALOR UNIT.]] * tabItens[[#This Row],[LC]]</f>
        <v>0</v>
      </c>
      <c r="O395" s="298" t="s">
        <v>2104</v>
      </c>
      <c r="P395" s="299"/>
      <c r="Q395" s="300"/>
      <c r="R395" s="297"/>
      <c r="S395" s="301"/>
      <c r="T395" s="302">
        <f>ROUNDDOWN(IFERROR(tabItens[[#This Row],[ATA DT.VALID.]] - $D$1,0) / 30,0)</f>
        <v>-1504</v>
      </c>
      <c r="U395" s="287" t="s">
        <v>1453</v>
      </c>
      <c r="V395" s="303">
        <v>1</v>
      </c>
      <c r="W395" s="304" t="s">
        <v>2049</v>
      </c>
      <c r="X395" s="305">
        <v>74</v>
      </c>
      <c r="Y395" s="306">
        <v>10</v>
      </c>
      <c r="Z395" s="307">
        <v>2386</v>
      </c>
      <c r="AA395" s="308">
        <v>2023</v>
      </c>
      <c r="AB395" s="309">
        <v>150</v>
      </c>
      <c r="AC395" s="309"/>
      <c r="AD395" s="308"/>
      <c r="AE395" s="309"/>
      <c r="AF395" s="302"/>
      <c r="AG395" s="310" t="s">
        <v>2050</v>
      </c>
      <c r="AH395" s="311"/>
      <c r="AI395" s="302">
        <v>24</v>
      </c>
      <c r="AJ395" s="311">
        <v>44182</v>
      </c>
      <c r="AK395" s="311">
        <v>38166</v>
      </c>
      <c r="AL395" s="311">
        <v>44699</v>
      </c>
      <c r="AM395" s="301"/>
      <c r="AN395" s="290"/>
      <c r="AO395" s="312" t="str">
        <f>_xlfn.IFNA(IF(VLOOKUP(tabItens[[#This Row],[CÓDIGO]],tabExcluirDoEstoque[#Data],1,FALSE),"sim",""),"")</f>
        <v/>
      </c>
      <c r="AP395" s="313" t="str">
        <f ca="1">IF(OR(ISBLANK(tabItens[[#This Row],[ATA DT.VALID.]]),tabItens[[#This Row],[ATA DT.VALID.]]="",tabItens[[#This Row],[ATA DT.VALID.]]=" "),"",IF(TYPE(tabItens[[#This Row],[ATA DT.VALID.]])=1,ROUNDUP((tabItens[[#This Row],[ATA DT.VALID.]]-TODAY())/7,0),""))</f>
        <v/>
      </c>
      <c r="AQ395" s="314">
        <v>0</v>
      </c>
      <c r="AR395" s="315" t="str">
        <f>IF(ISBLANK(tabItens[[#This Row],[CÓDIGO]]),"",IFERROR(VLOOKUP(tabItens[[#This Row],[CÓDIGO]],Consumo!$C$2:$AC$869,26,FALSE),0))</f>
        <v>06.2023</v>
      </c>
      <c r="AS395" s="316">
        <f>SUMIF(Consumo!$C$3:$C$869,tabItens[[#This Row],[CÓDIGO]],Consumo!$N$3:$N$869) + SUMIF(Consumo!$C$3:$C$869,tabItens[[#This Row],[CÓDIGO]],Consumo!$O$3:$O$869) + SUMIF(Consumo!$C$3:$C$869,tabItens[[#This Row],[CÓDIGO]],Consumo!$P$3:$P$869) + SUMIF(Consumo!$C$3:$C$869,tabItens[[#This Row],[CÓDIGO]],Consumo!$Q$3:$Q$869)</f>
        <v>5</v>
      </c>
      <c r="AT395" s="316">
        <f>SUMIF(Consumo!$C$3:$C$869,tabItens[[#This Row],[CÓDIGO]],Consumo!$Z$3:$Z$869)</f>
        <v>76</v>
      </c>
      <c r="AU395" s="317">
        <f>SUMIF(Consumo!$C$3:$C$869,tabItens[[#This Row],[CÓDIGO]],Consumo!$AA$3:$AA$869)</f>
        <v>21</v>
      </c>
      <c r="AV395" s="318">
        <f>SUMIF(Consumo!$C$3:$C$869,tabItens[[#This Row],[CÓDIGO]],Consumo!$Y$3:$Y$869)</f>
        <v>6.166666666666667</v>
      </c>
      <c r="AW395" s="291">
        <f>tabItens[[#This Row],[QTDE ATUAL]] + tabItens[[#This Row],[RC QTDE]] + tabItens[[#This Row],[AF SALDO]] + tabItens[[#This Row],[Recentes]]</f>
        <v>204</v>
      </c>
      <c r="AX395" s="319">
        <v>13</v>
      </c>
      <c r="AY395" s="319">
        <v>4</v>
      </c>
      <c r="AZ395" s="319">
        <f>IF(ISBLANK(tabItens[[#This Row],[CÓDIGO]]),"",tabItens[[#This Row],[PontoMês]] * (AZ$2+tabItens[[#This Row],[PontoQtM]]))</f>
        <v>52</v>
      </c>
      <c r="BA395" s="318">
        <f>tabItens[[#This Row],[PontoPed]] - tabItens[[#This Row],[Saldo]] + (1/10)</f>
        <v>-151.9</v>
      </c>
      <c r="BB395" s="318">
        <f xml:space="preserve"> tabItens[[#This Row],[PontoMês]] * BB$2 - tabItens[[#This Row],[QTDE ATUAL]] - (1/10)</f>
        <v>-41.1</v>
      </c>
      <c r="BC395" s="320">
        <f>IF( tabItens[[#This Row],[PontoPed]]&gt;0, IF(tabItens[[#This Row],[PontoPed]]&lt;1, 1, IF( tabItens[[#This Row],[Saldo]]&gt;tabItens[[#This Row],[PontoPed]], 0, (tabItens[[#This Row],[PontoPed]]-tabItens[[#This Row],[Saldo]])/tabItens[[#This Row],[PontoPed]] ) ), 0 )</f>
        <v>0</v>
      </c>
      <c r="BD395" s="321">
        <f>ROUNDDOWN(IF( OR( AND(tabItens[[#This Row],[PontoPed]]&lt;tabItens[[#This Row],[Saldo]],tabItens[[#This Row],[Saldo]]&gt;0), tabItens[[#This Row],[PontoPed]]=0), 99, IF(AND(tabItens[[#This Row],[Saldo]]=0,tabItens[[#This Row],[PontoPed]]&gt;0), 0, (1-tabItens[[#This Row],[PctAb]])*10 ) ),0)</f>
        <v>99</v>
      </c>
      <c r="BE395" s="322">
        <f>MAX(ROUNDDOWN( IF(tabItens[[#This Row],[Abaixo]] &gt; 0,   tabItens[[#This Row],[Abaixo]] + (tabItens[[#This Row],[PontoMês]] * IF( OR( ISBLANK(tabItens[[#This Row],[ATA Nº/ANO]]), tabItens[[#This Row],[ATA Nº/ANO]] = ""),BE$2,BE$1)),0),0),0)</f>
        <v>0</v>
      </c>
      <c r="BF3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23">
        <f>SUMIF(Consumo!$C$3:$C$869,tabItens[[#This Row],[CÓDIGO]],Consumo!$E$3:$E$869)</f>
        <v>5</v>
      </c>
      <c r="BH395" s="324">
        <f>IF(AND(tabItens[[#This Row],[Pend]] &gt; 0,tabItens[[#This Row],[Consumo]] &lt;&gt; 0), tabItens[[#This Row],[Pend]] / tabItens[[#This Row],[Consumo]], 0 )</f>
        <v>6.5789473684210523E-2</v>
      </c>
      <c r="BI395" s="323"/>
      <c r="BJ395" s="323"/>
      <c r="BK395" s="325" t="s">
        <v>2064</v>
      </c>
    </row>
    <row r="396" spans="1:63" hidden="1" x14ac:dyDescent="0.3">
      <c r="A396" s="286">
        <v>27287</v>
      </c>
      <c r="B396" s="287" t="s">
        <v>1223</v>
      </c>
      <c r="C396" s="288" t="s">
        <v>294</v>
      </c>
      <c r="D396" s="289">
        <v>40</v>
      </c>
      <c r="E396" s="290"/>
      <c r="F396" s="290"/>
      <c r="G396" s="290" t="s">
        <v>883</v>
      </c>
      <c r="H396" s="291">
        <v>1114</v>
      </c>
      <c r="I396" s="292">
        <v>103003</v>
      </c>
      <c r="J396" s="293">
        <v>40</v>
      </c>
      <c r="K396" s="294">
        <v>105</v>
      </c>
      <c r="L396" s="295">
        <f>IF(tabItens[[#This Row],[Média]] &gt; 0, tabItens[[#This Row],[QTDE ATUAL]] / tabItens[[#This Row],[Média]],999.9)</f>
        <v>131.05882352941177</v>
      </c>
      <c r="M396" s="296">
        <v>0</v>
      </c>
      <c r="N396" s="297">
        <f>tabItens[[#This Row],[VALOR UNIT.]] * tabItens[[#This Row],[LC]]</f>
        <v>0</v>
      </c>
      <c r="O396" s="298" t="s">
        <v>2115</v>
      </c>
      <c r="P396" s="299"/>
      <c r="Q396" s="300"/>
      <c r="R396" s="297"/>
      <c r="S396" s="301"/>
      <c r="T396" s="302">
        <f>ROUNDDOWN(IFERROR(tabItens[[#This Row],[ATA DT.VALID.]] - $D$1,0) / 30,0)</f>
        <v>-1504</v>
      </c>
      <c r="U396" s="287" t="s">
        <v>1224</v>
      </c>
      <c r="V396" s="303">
        <v>1</v>
      </c>
      <c r="W396" s="304" t="s">
        <v>2049</v>
      </c>
      <c r="X396" s="305">
        <v>51</v>
      </c>
      <c r="Y396" s="306">
        <v>13</v>
      </c>
      <c r="Z396" s="307"/>
      <c r="AA396" s="308"/>
      <c r="AB396" s="309"/>
      <c r="AC396" s="309"/>
      <c r="AD396" s="308"/>
      <c r="AE396" s="309"/>
      <c r="AF396" s="302"/>
      <c r="AG396" s="310" t="s">
        <v>2050</v>
      </c>
      <c r="AH396" s="311"/>
      <c r="AI396" s="302">
        <v>36</v>
      </c>
      <c r="AJ396" s="311">
        <v>44495</v>
      </c>
      <c r="AK396" s="311" t="s">
        <v>883</v>
      </c>
      <c r="AL396" s="311">
        <v>44483</v>
      </c>
      <c r="AM396" s="301"/>
      <c r="AN396" s="290"/>
      <c r="AO396" s="312" t="str">
        <f>_xlfn.IFNA(IF(VLOOKUP(tabItens[[#This Row],[CÓDIGO]],tabExcluirDoEstoque[#Data],1,FALSE),"sim",""),"")</f>
        <v/>
      </c>
      <c r="AP396" s="313" t="str">
        <f ca="1">IF(OR(ISBLANK(tabItens[[#This Row],[ATA DT.VALID.]]),tabItens[[#This Row],[ATA DT.VALID.]]="",tabItens[[#This Row],[ATA DT.VALID.]]=" "),"",IF(TYPE(tabItens[[#This Row],[ATA DT.VALID.]])=1,ROUNDUP((tabItens[[#This Row],[ATA DT.VALID.]]-TODAY())/7,0),""))</f>
        <v/>
      </c>
      <c r="AQ396" s="314">
        <v>0</v>
      </c>
      <c r="AR396" s="315" t="str">
        <f>IF(ISBLANK(tabItens[[#This Row],[CÓDIGO]]),"",IFERROR(VLOOKUP(tabItens[[#This Row],[CÓDIGO]],Consumo!$C$2:$AC$869,26,FALSE),0))</f>
        <v>05.2023</v>
      </c>
      <c r="AS396" s="316">
        <f>SUMIF(Consumo!$C$3:$C$869,tabItens[[#This Row],[CÓDIGO]],Consumo!$N$3:$N$869) + SUMIF(Consumo!$C$3:$C$869,tabItens[[#This Row],[CÓDIGO]],Consumo!$O$3:$O$869) + SUMIF(Consumo!$C$3:$C$869,tabItens[[#This Row],[CÓDIGO]],Consumo!$P$3:$P$869) + SUMIF(Consumo!$C$3:$C$869,tabItens[[#This Row],[CÓDIGO]],Consumo!$Q$3:$Q$869)</f>
        <v>40</v>
      </c>
      <c r="AT396" s="316">
        <f>SUMIF(Consumo!$C$3:$C$869,tabItens[[#This Row],[CÓDIGO]],Consumo!$Z$3:$Z$869)</f>
        <v>110</v>
      </c>
      <c r="AU396" s="317">
        <f>SUMIF(Consumo!$C$3:$C$869,tabItens[[#This Row],[CÓDIGO]],Consumo!$AA$3:$AA$869)</f>
        <v>40</v>
      </c>
      <c r="AV396" s="318">
        <f>SUMIF(Consumo!$C$3:$C$869,tabItens[[#This Row],[CÓDIGO]],Consumo!$Y$3:$Y$869)</f>
        <v>8.5</v>
      </c>
      <c r="AW396" s="291">
        <f>tabItens[[#This Row],[QTDE ATUAL]] + tabItens[[#This Row],[RC QTDE]] + tabItens[[#This Row],[AF SALDO]] + tabItens[[#This Row],[Recentes]]</f>
        <v>1114</v>
      </c>
      <c r="AX396" s="319">
        <v>50</v>
      </c>
      <c r="AY396" s="319">
        <v>4</v>
      </c>
      <c r="AZ396" s="319">
        <f>IF(ISBLANK(tabItens[[#This Row],[CÓDIGO]]),"",tabItens[[#This Row],[PontoMês]] * (AZ$2+tabItens[[#This Row],[PontoQtM]]))</f>
        <v>200</v>
      </c>
      <c r="BA396" s="318">
        <f>tabItens[[#This Row],[PontoPed]] - tabItens[[#This Row],[Saldo]] + (1/10)</f>
        <v>-913.9</v>
      </c>
      <c r="BB396" s="318">
        <f xml:space="preserve"> tabItens[[#This Row],[PontoMês]] * BB$2 - tabItens[[#This Row],[QTDE ATUAL]] - (1/10)</f>
        <v>-1064.0999999999999</v>
      </c>
      <c r="BC396" s="320">
        <f>IF( tabItens[[#This Row],[PontoPed]]&gt;0, IF(tabItens[[#This Row],[PontoPed]]&lt;1, 1, IF( tabItens[[#This Row],[Saldo]]&gt;tabItens[[#This Row],[PontoPed]], 0, (tabItens[[#This Row],[PontoPed]]-tabItens[[#This Row],[Saldo]])/tabItens[[#This Row],[PontoPed]] ) ), 0 )</f>
        <v>0</v>
      </c>
      <c r="BD396" s="321">
        <f>ROUNDDOWN(IF( OR( AND(tabItens[[#This Row],[PontoPed]]&lt;tabItens[[#This Row],[Saldo]],tabItens[[#This Row],[Saldo]]&gt;0), tabItens[[#This Row],[PontoPed]]=0), 99, IF(AND(tabItens[[#This Row],[Saldo]]=0,tabItens[[#This Row],[PontoPed]]&gt;0), 0, (1-tabItens[[#This Row],[PctAb]])*10 ) ),0)</f>
        <v>99</v>
      </c>
      <c r="BE396" s="322">
        <f>MAX(ROUNDDOWN( IF(tabItens[[#This Row],[Abaixo]] &gt; 0,   tabItens[[#This Row],[Abaixo]] + (tabItens[[#This Row],[PontoMês]] * IF( OR( ISBLANK(tabItens[[#This Row],[ATA Nº/ANO]]), tabItens[[#This Row],[ATA Nº/ANO]] = ""),BE$2,BE$1)),0),0),0)</f>
        <v>0</v>
      </c>
      <c r="BF39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23">
        <f>SUMIF(Consumo!$C$3:$C$869,tabItens[[#This Row],[CÓDIGO]],Consumo!$E$3:$E$869)</f>
        <v>0</v>
      </c>
      <c r="BH396" s="324">
        <f>IF(AND(tabItens[[#This Row],[Pend]] &gt; 0,tabItens[[#This Row],[Consumo]] &lt;&gt; 0), tabItens[[#This Row],[Pend]] / tabItens[[#This Row],[Consumo]], 0 )</f>
        <v>0</v>
      </c>
      <c r="BI396" s="323"/>
      <c r="BJ396" s="323"/>
      <c r="BK396" s="325" t="s">
        <v>2064</v>
      </c>
    </row>
    <row r="397" spans="1:63" hidden="1" x14ac:dyDescent="0.3">
      <c r="A397" s="286">
        <v>132232</v>
      </c>
      <c r="B397" s="287" t="s">
        <v>1813</v>
      </c>
      <c r="C397" s="288" t="s">
        <v>294</v>
      </c>
      <c r="D397" s="289">
        <v>388.33</v>
      </c>
      <c r="E397" s="290"/>
      <c r="F397" s="290"/>
      <c r="G397" s="290" t="s">
        <v>883</v>
      </c>
      <c r="H397" s="291">
        <v>44</v>
      </c>
      <c r="I397" s="292">
        <v>103003</v>
      </c>
      <c r="J397" s="293">
        <v>388.33</v>
      </c>
      <c r="K397" s="294">
        <v>36</v>
      </c>
      <c r="L397" s="295">
        <f>IF(tabItens[[#This Row],[Média]] &gt; 0, tabItens[[#This Row],[QTDE ATUAL]] / tabItens[[#This Row],[Média]],999.9)</f>
        <v>16</v>
      </c>
      <c r="M397" s="296">
        <v>0</v>
      </c>
      <c r="N397" s="297">
        <f>tabItens[[#This Row],[VALOR UNIT.]] * tabItens[[#This Row],[LC]]</f>
        <v>0</v>
      </c>
      <c r="O397" s="298" t="s">
        <v>2115</v>
      </c>
      <c r="P397" s="299"/>
      <c r="Q397" s="300"/>
      <c r="R397" s="297"/>
      <c r="S397" s="301"/>
      <c r="T397" s="302">
        <f>ROUNDDOWN(IFERROR(tabItens[[#This Row],[ATA DT.VALID.]] - $D$1,0) / 30,0)</f>
        <v>-1504</v>
      </c>
      <c r="U397" s="287" t="s">
        <v>1224</v>
      </c>
      <c r="V397" s="303">
        <v>1</v>
      </c>
      <c r="W397" s="304" t="s">
        <v>2049</v>
      </c>
      <c r="X397" s="305">
        <v>51</v>
      </c>
      <c r="Y397" s="306">
        <v>13</v>
      </c>
      <c r="Z397" s="307">
        <v>2988</v>
      </c>
      <c r="AA397" s="308">
        <v>2023</v>
      </c>
      <c r="AB397" s="309">
        <v>20</v>
      </c>
      <c r="AC397" s="309"/>
      <c r="AD397" s="308"/>
      <c r="AE397" s="309"/>
      <c r="AF397" s="302"/>
      <c r="AG397" s="310" t="s">
        <v>2050</v>
      </c>
      <c r="AH397" s="311"/>
      <c r="AI397" s="302">
        <v>12</v>
      </c>
      <c r="AJ397" s="311">
        <v>44754</v>
      </c>
      <c r="AK397" s="311">
        <v>42656</v>
      </c>
      <c r="AL397" s="311">
        <v>44713</v>
      </c>
      <c r="AM397" s="301"/>
      <c r="AN397" s="290"/>
      <c r="AO397" s="312" t="str">
        <f>_xlfn.IFNA(IF(VLOOKUP(tabItens[[#This Row],[CÓDIGO]],tabExcluirDoEstoque[#Data],1,FALSE),"sim",""),"")</f>
        <v/>
      </c>
      <c r="AP397" s="313" t="str">
        <f ca="1">IF(OR(ISBLANK(tabItens[[#This Row],[ATA DT.VALID.]]),tabItens[[#This Row],[ATA DT.VALID.]]="",tabItens[[#This Row],[ATA DT.VALID.]]=" "),"",IF(TYPE(tabItens[[#This Row],[ATA DT.VALID.]])=1,ROUNDUP((tabItens[[#This Row],[ATA DT.VALID.]]-TODAY())/7,0),""))</f>
        <v/>
      </c>
      <c r="AQ397" s="314">
        <v>0</v>
      </c>
      <c r="AR397" s="315" t="str">
        <f>IF(ISBLANK(tabItens[[#This Row],[CÓDIGO]]),"",IFERROR(VLOOKUP(tabItens[[#This Row],[CÓDIGO]],Consumo!$C$2:$AC$869,26,FALSE),0))</f>
        <v>07.2023</v>
      </c>
      <c r="AS397" s="316">
        <f>SUMIF(Consumo!$C$3:$C$869,tabItens[[#This Row],[CÓDIGO]],Consumo!$N$3:$N$869) + SUMIF(Consumo!$C$3:$C$869,tabItens[[#This Row],[CÓDIGO]],Consumo!$O$3:$O$869) + SUMIF(Consumo!$C$3:$C$869,tabItens[[#This Row],[CÓDIGO]],Consumo!$P$3:$P$869) + SUMIF(Consumo!$C$3:$C$869,tabItens[[#This Row],[CÓDIGO]],Consumo!$Q$3:$Q$869)</f>
        <v>15</v>
      </c>
      <c r="AT397" s="316">
        <f>SUMIF(Consumo!$C$3:$C$869,tabItens[[#This Row],[CÓDIGO]],Consumo!$Z$3:$Z$869)</f>
        <v>36</v>
      </c>
      <c r="AU397" s="317">
        <f>SUMIF(Consumo!$C$3:$C$869,tabItens[[#This Row],[CÓDIGO]],Consumo!$AA$3:$AA$869)</f>
        <v>15</v>
      </c>
      <c r="AV397" s="318">
        <f>SUMIF(Consumo!$C$3:$C$869,tabItens[[#This Row],[CÓDIGO]],Consumo!$Y$3:$Y$869)</f>
        <v>2.75</v>
      </c>
      <c r="AW397" s="291">
        <f>tabItens[[#This Row],[QTDE ATUAL]] + tabItens[[#This Row],[RC QTDE]] + tabItens[[#This Row],[AF SALDO]] + tabItens[[#This Row],[Recentes]]</f>
        <v>64</v>
      </c>
      <c r="AX397" s="319">
        <v>5</v>
      </c>
      <c r="AY397" s="319">
        <v>4</v>
      </c>
      <c r="AZ397" s="319">
        <f>IF(ISBLANK(tabItens[[#This Row],[CÓDIGO]]),"",tabItens[[#This Row],[PontoMês]] * (AZ$2+tabItens[[#This Row],[PontoQtM]]))</f>
        <v>20</v>
      </c>
      <c r="BA397" s="318">
        <f>tabItens[[#This Row],[PontoPed]] - tabItens[[#This Row],[Saldo]] + (1/10)</f>
        <v>-43.9</v>
      </c>
      <c r="BB397" s="318">
        <f xml:space="preserve"> tabItens[[#This Row],[PontoMês]] * BB$2 - tabItens[[#This Row],[QTDE ATUAL]] - (1/10)</f>
        <v>-39.1</v>
      </c>
      <c r="BC397" s="320">
        <f>IF( tabItens[[#This Row],[PontoPed]]&gt;0, IF(tabItens[[#This Row],[PontoPed]]&lt;1, 1, IF( tabItens[[#This Row],[Saldo]]&gt;tabItens[[#This Row],[PontoPed]], 0, (tabItens[[#This Row],[PontoPed]]-tabItens[[#This Row],[Saldo]])/tabItens[[#This Row],[PontoPed]] ) ), 0 )</f>
        <v>0</v>
      </c>
      <c r="BD397" s="321">
        <f>ROUNDDOWN(IF( OR( AND(tabItens[[#This Row],[PontoPed]]&lt;tabItens[[#This Row],[Saldo]],tabItens[[#This Row],[Saldo]]&gt;0), tabItens[[#This Row],[PontoPed]]=0), 99, IF(AND(tabItens[[#This Row],[Saldo]]=0,tabItens[[#This Row],[PontoPed]]&gt;0), 0, (1-tabItens[[#This Row],[PctAb]])*10 ) ),0)</f>
        <v>99</v>
      </c>
      <c r="BE397" s="322">
        <f>MAX(ROUNDDOWN( IF(tabItens[[#This Row],[Abaixo]] &gt; 0,   tabItens[[#This Row],[Abaixo]] + (tabItens[[#This Row],[PontoMês]] * IF( OR( ISBLANK(tabItens[[#This Row],[ATA Nº/ANO]]), tabItens[[#This Row],[ATA Nº/ANO]] = ""),BE$2,BE$1)),0),0),0)</f>
        <v>0</v>
      </c>
      <c r="BF39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23">
        <f>SUMIF(Consumo!$C$3:$C$869,tabItens[[#This Row],[CÓDIGO]],Consumo!$E$3:$E$869)</f>
        <v>0</v>
      </c>
      <c r="BH397" s="324">
        <f>IF(AND(tabItens[[#This Row],[Pend]] &gt; 0,tabItens[[#This Row],[Consumo]] &lt;&gt; 0), tabItens[[#This Row],[Pend]] / tabItens[[#This Row],[Consumo]], 0 )</f>
        <v>0</v>
      </c>
      <c r="BI397" s="323"/>
      <c r="BJ397" s="323"/>
      <c r="BK397" s="325" t="s">
        <v>2064</v>
      </c>
    </row>
    <row r="398" spans="1:63" hidden="1" x14ac:dyDescent="0.3">
      <c r="A398" s="286">
        <v>115060</v>
      </c>
      <c r="B398" s="287" t="s">
        <v>1703</v>
      </c>
      <c r="C398" s="288" t="s">
        <v>31</v>
      </c>
      <c r="D398" s="289">
        <v>572.15</v>
      </c>
      <c r="E398" s="290"/>
      <c r="F398" s="290"/>
      <c r="G398" s="290" t="s">
        <v>883</v>
      </c>
      <c r="H398" s="291">
        <v>37</v>
      </c>
      <c r="I398" s="292">
        <v>103003</v>
      </c>
      <c r="J398" s="293">
        <v>572.15</v>
      </c>
      <c r="K398" s="294"/>
      <c r="L398" s="295">
        <f>IF(tabItens[[#This Row],[Média]] &gt; 0, tabItens[[#This Row],[QTDE ATUAL]] / tabItens[[#This Row],[Média]],999.9)</f>
        <v>999.9</v>
      </c>
      <c r="M398" s="296">
        <v>0</v>
      </c>
      <c r="N398" s="297">
        <f>tabItens[[#This Row],[VALOR UNIT.]] * tabItens[[#This Row],[LC]]</f>
        <v>0</v>
      </c>
      <c r="O398" s="298" t="s">
        <v>2115</v>
      </c>
      <c r="P398" s="299"/>
      <c r="Q398" s="300"/>
      <c r="R398" s="297"/>
      <c r="S398" s="301"/>
      <c r="T398" s="302">
        <f>ROUNDDOWN(IFERROR(tabItens[[#This Row],[ATA DT.VALID.]] - $D$1,0) / 30,0)</f>
        <v>-1504</v>
      </c>
      <c r="U398" s="287" t="s">
        <v>1704</v>
      </c>
      <c r="V398" s="303">
        <v>1</v>
      </c>
      <c r="W398" s="304" t="s">
        <v>2049</v>
      </c>
      <c r="X398" s="305">
        <v>69</v>
      </c>
      <c r="Y398" s="306">
        <v>11</v>
      </c>
      <c r="Z398" s="307"/>
      <c r="AA398" s="308"/>
      <c r="AB398" s="309"/>
      <c r="AC398" s="309"/>
      <c r="AD398" s="308"/>
      <c r="AE398" s="309"/>
      <c r="AF398" s="302"/>
      <c r="AG398" s="310" t="s">
        <v>2050</v>
      </c>
      <c r="AH398" s="311"/>
      <c r="AI398" s="302">
        <v>0</v>
      </c>
      <c r="AJ398" s="311">
        <v>43749</v>
      </c>
      <c r="AK398" s="311">
        <v>40295</v>
      </c>
      <c r="AL398" s="311">
        <v>43997</v>
      </c>
      <c r="AM398" s="301"/>
      <c r="AN398" s="290"/>
      <c r="AO398" s="312" t="str">
        <f>_xlfn.IFNA(IF(VLOOKUP(tabItens[[#This Row],[CÓDIGO]],tabExcluirDoEstoque[#Data],1,FALSE),"sim",""),"")</f>
        <v/>
      </c>
      <c r="AP398" s="313" t="str">
        <f ca="1">IF(OR(ISBLANK(tabItens[[#This Row],[ATA DT.VALID.]]),tabItens[[#This Row],[ATA DT.VALID.]]="",tabItens[[#This Row],[ATA DT.VALID.]]=" "),"",IF(TYPE(tabItens[[#This Row],[ATA DT.VALID.]])=1,ROUNDUP((tabItens[[#This Row],[ATA DT.VALID.]]-TODAY())/7,0),""))</f>
        <v/>
      </c>
      <c r="AQ398" s="314">
        <v>0</v>
      </c>
      <c r="AR398" s="315">
        <f>IF(ISBLANK(tabItens[[#This Row],[CÓDIGO]]),"",IFERROR(VLOOKUP(tabItens[[#This Row],[CÓDIGO]],Consumo!$C$2:$AC$869,26,FALSE),0))</f>
        <v>0</v>
      </c>
      <c r="AS398" s="316">
        <f>SUMIF(Consumo!$C$3:$C$869,tabItens[[#This Row],[CÓDIGO]],Consumo!$N$3:$N$869) + SUMIF(Consumo!$C$3:$C$869,tabItens[[#This Row],[CÓDIGO]],Consumo!$O$3:$O$869) + SUMIF(Consumo!$C$3:$C$869,tabItens[[#This Row],[CÓDIGO]],Consumo!$P$3:$P$869) + SUMIF(Consumo!$C$3:$C$869,tabItens[[#This Row],[CÓDIGO]],Consumo!$Q$3:$Q$869)</f>
        <v>0</v>
      </c>
      <c r="AT398" s="316">
        <f>SUMIF(Consumo!$C$3:$C$869,tabItens[[#This Row],[CÓDIGO]],Consumo!$Z$3:$Z$869)</f>
        <v>0</v>
      </c>
      <c r="AU398" s="317">
        <f>SUMIF(Consumo!$C$3:$C$869,tabItens[[#This Row],[CÓDIGO]],Consumo!$AA$3:$AA$869)</f>
        <v>0</v>
      </c>
      <c r="AV398" s="318">
        <f>SUMIF(Consumo!$C$3:$C$869,tabItens[[#This Row],[CÓDIGO]],Consumo!$Y$3:$Y$869)</f>
        <v>0</v>
      </c>
      <c r="AW398" s="291">
        <f>tabItens[[#This Row],[QTDE ATUAL]] + tabItens[[#This Row],[RC QTDE]] + tabItens[[#This Row],[AF SALDO]] + tabItens[[#This Row],[Recentes]]</f>
        <v>37</v>
      </c>
      <c r="AX398" s="319">
        <v>5</v>
      </c>
      <c r="AY398" s="319">
        <v>4</v>
      </c>
      <c r="AZ398" s="319">
        <f>IF(ISBLANK(tabItens[[#This Row],[CÓDIGO]]),"",tabItens[[#This Row],[PontoMês]] * (AZ$2+tabItens[[#This Row],[PontoQtM]]))</f>
        <v>20</v>
      </c>
      <c r="BA398" s="318">
        <f>tabItens[[#This Row],[PontoPed]] - tabItens[[#This Row],[Saldo]] + (1/10)</f>
        <v>-16.899999999999999</v>
      </c>
      <c r="BB398" s="318">
        <f xml:space="preserve"> tabItens[[#This Row],[PontoMês]] * BB$2 - tabItens[[#This Row],[QTDE ATUAL]] - (1/10)</f>
        <v>-32.1</v>
      </c>
      <c r="BC398" s="320">
        <f>IF( tabItens[[#This Row],[PontoPed]]&gt;0, IF(tabItens[[#This Row],[PontoPed]]&lt;1, 1, IF( tabItens[[#This Row],[Saldo]]&gt;tabItens[[#This Row],[PontoPed]], 0, (tabItens[[#This Row],[PontoPed]]-tabItens[[#This Row],[Saldo]])/tabItens[[#This Row],[PontoPed]] ) ), 0 )</f>
        <v>0</v>
      </c>
      <c r="BD398" s="321">
        <f>ROUNDDOWN(IF( OR( AND(tabItens[[#This Row],[PontoPed]]&lt;tabItens[[#This Row],[Saldo]],tabItens[[#This Row],[Saldo]]&gt;0), tabItens[[#This Row],[PontoPed]]=0), 99, IF(AND(tabItens[[#This Row],[Saldo]]=0,tabItens[[#This Row],[PontoPed]]&gt;0), 0, (1-tabItens[[#This Row],[PctAb]])*10 ) ),0)</f>
        <v>99</v>
      </c>
      <c r="BE398" s="322">
        <f>MAX(ROUNDDOWN( IF(tabItens[[#This Row],[Abaixo]] &gt; 0,   tabItens[[#This Row],[Abaixo]] + (tabItens[[#This Row],[PontoMês]] * IF( OR( ISBLANK(tabItens[[#This Row],[ATA Nº/ANO]]), tabItens[[#This Row],[ATA Nº/ANO]] = ""),BE$2,BE$1)),0),0),0)</f>
        <v>0</v>
      </c>
      <c r="BF3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23">
        <f>SUMIF(Consumo!$C$3:$C$869,tabItens[[#This Row],[CÓDIGO]],Consumo!$E$3:$E$869)</f>
        <v>0</v>
      </c>
      <c r="BH398" s="324">
        <f>IF(AND(tabItens[[#This Row],[Pend]] &gt; 0,tabItens[[#This Row],[Consumo]] &lt;&gt; 0), tabItens[[#This Row],[Pend]] / tabItens[[#This Row],[Consumo]], 0 )</f>
        <v>0</v>
      </c>
      <c r="BI398" s="323"/>
      <c r="BJ398" s="323"/>
      <c r="BK398" s="325" t="s">
        <v>2064</v>
      </c>
    </row>
    <row r="399" spans="1:63" hidden="1" x14ac:dyDescent="0.3">
      <c r="A399" s="286">
        <v>111336</v>
      </c>
      <c r="B399" s="287" t="s">
        <v>1671</v>
      </c>
      <c r="C399" s="288" t="s">
        <v>294</v>
      </c>
      <c r="D399" s="289">
        <v>358.6</v>
      </c>
      <c r="E399" s="290"/>
      <c r="F399" s="290"/>
      <c r="G399" s="290" t="s">
        <v>883</v>
      </c>
      <c r="H399" s="291">
        <v>362</v>
      </c>
      <c r="I399" s="292">
        <v>103003</v>
      </c>
      <c r="J399" s="293">
        <v>358.6</v>
      </c>
      <c r="K399" s="294">
        <v>516</v>
      </c>
      <c r="L399" s="295">
        <f>IF(tabItens[[#This Row],[Média]] &gt; 0, tabItens[[#This Row],[QTDE ATUAL]] / tabItens[[#This Row],[Média]],999.9)</f>
        <v>7.6613756613756614</v>
      </c>
      <c r="M399" s="296">
        <v>0</v>
      </c>
      <c r="N399" s="297">
        <f>tabItens[[#This Row],[VALOR UNIT.]] * tabItens[[#This Row],[LC]]</f>
        <v>0</v>
      </c>
      <c r="O399" s="298" t="s">
        <v>2115</v>
      </c>
      <c r="P399" s="299"/>
      <c r="Q399" s="300"/>
      <c r="R399" s="297"/>
      <c r="S399" s="301"/>
      <c r="T399" s="302">
        <f>ROUNDDOWN(IFERROR(tabItens[[#This Row],[ATA DT.VALID.]] - $D$1,0) / 30,0)</f>
        <v>-1504</v>
      </c>
      <c r="U399" s="287" t="s">
        <v>1366</v>
      </c>
      <c r="V399" s="303">
        <v>1</v>
      </c>
      <c r="W399" s="304" t="s">
        <v>2056</v>
      </c>
      <c r="X399" s="305">
        <v>69</v>
      </c>
      <c r="Y399" s="306">
        <v>17</v>
      </c>
      <c r="Z399" s="307">
        <v>2631</v>
      </c>
      <c r="AA399" s="308">
        <v>2023</v>
      </c>
      <c r="AB399" s="309">
        <v>300</v>
      </c>
      <c r="AC399" s="309"/>
      <c r="AD399" s="308"/>
      <c r="AE399" s="309"/>
      <c r="AF399" s="302"/>
      <c r="AG399" s="310" t="s">
        <v>2050</v>
      </c>
      <c r="AH399" s="311"/>
      <c r="AI399" s="302">
        <v>190</v>
      </c>
      <c r="AJ399" s="311">
        <v>44951</v>
      </c>
      <c r="AK399" s="311">
        <v>39981</v>
      </c>
      <c r="AL399" s="311">
        <v>44973</v>
      </c>
      <c r="AM399" s="301"/>
      <c r="AN399" s="290"/>
      <c r="AO399" s="312" t="str">
        <f>_xlfn.IFNA(IF(VLOOKUP(tabItens[[#This Row],[CÓDIGO]],tabExcluirDoEstoque[#Data],1,FALSE),"sim",""),"")</f>
        <v/>
      </c>
      <c r="AP399" s="313" t="str">
        <f ca="1">IF(OR(ISBLANK(tabItens[[#This Row],[ATA DT.VALID.]]),tabItens[[#This Row],[ATA DT.VALID.]]="",tabItens[[#This Row],[ATA DT.VALID.]]=" "),"",IF(TYPE(tabItens[[#This Row],[ATA DT.VALID.]])=1,ROUNDUP((tabItens[[#This Row],[ATA DT.VALID.]]-TODAY())/7,0),""))</f>
        <v/>
      </c>
      <c r="AQ399" s="314">
        <v>0</v>
      </c>
      <c r="AR399" s="315" t="str">
        <f>IF(ISBLANK(tabItens[[#This Row],[CÓDIGO]]),"",IFERROR(VLOOKUP(tabItens[[#This Row],[CÓDIGO]],Consumo!$C$2:$AC$869,26,FALSE),0))</f>
        <v>06.2023</v>
      </c>
      <c r="AS399" s="316">
        <f>SUMIF(Consumo!$C$3:$C$869,tabItens[[#This Row],[CÓDIGO]],Consumo!$N$3:$N$869) + SUMIF(Consumo!$C$3:$C$869,tabItens[[#This Row],[CÓDIGO]],Consumo!$O$3:$O$869) + SUMIF(Consumo!$C$3:$C$869,tabItens[[#This Row],[CÓDIGO]],Consumo!$P$3:$P$869) + SUMIF(Consumo!$C$3:$C$869,tabItens[[#This Row],[CÓDIGO]],Consumo!$Q$3:$Q$869)</f>
        <v>301</v>
      </c>
      <c r="AT399" s="316">
        <f>SUMIF(Consumo!$C$3:$C$869,tabItens[[#This Row],[CÓDIGO]],Consumo!$Z$3:$Z$869)</f>
        <v>567</v>
      </c>
      <c r="AU399" s="317">
        <f>SUMIF(Consumo!$C$3:$C$869,tabItens[[#This Row],[CÓDIGO]],Consumo!$AA$3:$AA$869)</f>
        <v>120</v>
      </c>
      <c r="AV399" s="318">
        <f>SUMIF(Consumo!$C$3:$C$869,tabItens[[#This Row],[CÓDIGO]],Consumo!$Y$3:$Y$869)</f>
        <v>47.25</v>
      </c>
      <c r="AW399" s="291">
        <f>tabItens[[#This Row],[QTDE ATUAL]] + tabItens[[#This Row],[RC QTDE]] + tabItens[[#This Row],[AF SALDO]] + tabItens[[#This Row],[Recentes]]</f>
        <v>662</v>
      </c>
      <c r="AX399" s="319">
        <v>30</v>
      </c>
      <c r="AY399" s="319">
        <v>4</v>
      </c>
      <c r="AZ399" s="319">
        <f>IF(ISBLANK(tabItens[[#This Row],[CÓDIGO]]),"",tabItens[[#This Row],[PontoMês]] * (AZ$2+tabItens[[#This Row],[PontoQtM]]))</f>
        <v>120</v>
      </c>
      <c r="BA399" s="318">
        <f>tabItens[[#This Row],[PontoPed]] - tabItens[[#This Row],[Saldo]] + (1/10)</f>
        <v>-541.9</v>
      </c>
      <c r="BB399" s="318">
        <f xml:space="preserve"> tabItens[[#This Row],[PontoMês]] * BB$2 - tabItens[[#This Row],[QTDE ATUAL]] - (1/10)</f>
        <v>-332.1</v>
      </c>
      <c r="BC399" s="320">
        <f>IF( tabItens[[#This Row],[PontoPed]]&gt;0, IF(tabItens[[#This Row],[PontoPed]]&lt;1, 1, IF( tabItens[[#This Row],[Saldo]]&gt;tabItens[[#This Row],[PontoPed]], 0, (tabItens[[#This Row],[PontoPed]]-tabItens[[#This Row],[Saldo]])/tabItens[[#This Row],[PontoPed]] ) ), 0 )</f>
        <v>0</v>
      </c>
      <c r="BD399" s="321">
        <f>ROUNDDOWN(IF( OR( AND(tabItens[[#This Row],[PontoPed]]&lt;tabItens[[#This Row],[Saldo]],tabItens[[#This Row],[Saldo]]&gt;0), tabItens[[#This Row],[PontoPed]]=0), 99, IF(AND(tabItens[[#This Row],[Saldo]]=0,tabItens[[#This Row],[PontoPed]]&gt;0), 0, (1-tabItens[[#This Row],[PctAb]])*10 ) ),0)</f>
        <v>99</v>
      </c>
      <c r="BE399" s="322">
        <f>MAX(ROUNDDOWN( IF(tabItens[[#This Row],[Abaixo]] &gt; 0,   tabItens[[#This Row],[Abaixo]] + (tabItens[[#This Row],[PontoMês]] * IF( OR( ISBLANK(tabItens[[#This Row],[ATA Nº/ANO]]), tabItens[[#This Row],[ATA Nº/ANO]] = ""),BE$2,BE$1)),0),0),0)</f>
        <v>0</v>
      </c>
      <c r="BF39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23">
        <f>SUMIF(Consumo!$C$3:$C$869,tabItens[[#This Row],[CÓDIGO]],Consumo!$E$3:$E$869)</f>
        <v>0</v>
      </c>
      <c r="BH399" s="324">
        <f>IF(AND(tabItens[[#This Row],[Pend]] &gt; 0,tabItens[[#This Row],[Consumo]] &lt;&gt; 0), tabItens[[#This Row],[Pend]] / tabItens[[#This Row],[Consumo]], 0 )</f>
        <v>0</v>
      </c>
      <c r="BI399" s="323"/>
      <c r="BJ399" s="323"/>
      <c r="BK399" s="325" t="s">
        <v>2064</v>
      </c>
    </row>
    <row r="400" spans="1:63" x14ac:dyDescent="0.3">
      <c r="A400" s="396">
        <v>118515</v>
      </c>
      <c r="B400" s="397" t="s">
        <v>1722</v>
      </c>
      <c r="C400" s="398" t="s">
        <v>629</v>
      </c>
      <c r="D400" s="399">
        <v>69.97</v>
      </c>
      <c r="E400" s="290"/>
      <c r="F400" s="400"/>
      <c r="G400" s="400" t="s">
        <v>883</v>
      </c>
      <c r="H400" s="401">
        <v>0</v>
      </c>
      <c r="I400" s="292">
        <v>103003</v>
      </c>
      <c r="J400" s="293">
        <v>69.97</v>
      </c>
      <c r="K400" s="402">
        <v>316</v>
      </c>
      <c r="L400" s="403">
        <f>IF(tabItens[[#This Row],[Média]] &gt; 0, tabItens[[#This Row],[QTDE ATUAL]] / tabItens[[#This Row],[Média]],999.9)</f>
        <v>0</v>
      </c>
      <c r="M400" s="404">
        <v>0</v>
      </c>
      <c r="N400" s="405">
        <f>tabItens[[#This Row],[VALOR UNIT.]] * tabItens[[#This Row],[LC]]</f>
        <v>0</v>
      </c>
      <c r="O400" s="406" t="s">
        <v>2165</v>
      </c>
      <c r="P400" s="407"/>
      <c r="Q400" s="408"/>
      <c r="R400" s="297"/>
      <c r="S400" s="409"/>
      <c r="T400" s="410">
        <f>ROUNDDOWN(IFERROR(tabItens[[#This Row],[ATA DT.VALID.]] - $D$1,0) / 30,0)</f>
        <v>-1504</v>
      </c>
      <c r="U400" s="287" t="s">
        <v>1723</v>
      </c>
      <c r="V400" s="303">
        <v>1</v>
      </c>
      <c r="W400" s="411" t="s">
        <v>2049</v>
      </c>
      <c r="X400" s="412">
        <v>51</v>
      </c>
      <c r="Y400" s="413">
        <v>21</v>
      </c>
      <c r="Z400" s="414">
        <v>7340</v>
      </c>
      <c r="AA400" s="415">
        <v>2023</v>
      </c>
      <c r="AB400" s="416">
        <v>135.9</v>
      </c>
      <c r="AC400" s="416"/>
      <c r="AD400" s="415"/>
      <c r="AE400" s="416"/>
      <c r="AF400" s="302"/>
      <c r="AG400" s="417" t="s">
        <v>2050</v>
      </c>
      <c r="AH400" s="418"/>
      <c r="AI400" s="302">
        <v>106</v>
      </c>
      <c r="AJ400" s="418">
        <v>44417</v>
      </c>
      <c r="AK400" s="311">
        <v>40498</v>
      </c>
      <c r="AL400" s="311">
        <v>44405</v>
      </c>
      <c r="AM400" s="301"/>
      <c r="AN400" s="290"/>
      <c r="AO400" s="312" t="str">
        <f>_xlfn.IFNA(IF(VLOOKUP(tabItens[[#This Row],[CÓDIGO]],tabExcluirDoEstoque[#Data],1,FALSE),"sim",""),"")</f>
        <v/>
      </c>
      <c r="AP400" s="419" t="str">
        <f ca="1">IF(OR(ISBLANK(tabItens[[#This Row],[ATA DT.VALID.]]),tabItens[[#This Row],[ATA DT.VALID.]]="",tabItens[[#This Row],[ATA DT.VALID.]]=" "),"",IF(TYPE(tabItens[[#This Row],[ATA DT.VALID.]])=1,ROUNDUP((tabItens[[#This Row],[ATA DT.VALID.]]-TODAY())/7,0),""))</f>
        <v/>
      </c>
      <c r="AQ400" s="314">
        <v>0</v>
      </c>
      <c r="AR400" s="315" t="str">
        <f>IF(ISBLANK(tabItens[[#This Row],[CÓDIGO]]),"",IFERROR(VLOOKUP(tabItens[[#This Row],[CÓDIGO]],Consumo!$C$2:$AC$869,26,FALSE),0))</f>
        <v>05.2023</v>
      </c>
      <c r="AS400" s="316">
        <f>SUMIF(Consumo!$C$3:$C$869,tabItens[[#This Row],[CÓDIGO]],Consumo!$N$3:$N$869) + SUMIF(Consumo!$C$3:$C$869,tabItens[[#This Row],[CÓDIGO]],Consumo!$O$3:$O$869) + SUMIF(Consumo!$C$3:$C$869,tabItens[[#This Row],[CÓDIGO]],Consumo!$P$3:$P$869) + SUMIF(Consumo!$C$3:$C$869,tabItens[[#This Row],[CÓDIGO]],Consumo!$Q$3:$Q$869)</f>
        <v>284</v>
      </c>
      <c r="AT400" s="316">
        <f>SUMIF(Consumo!$C$3:$C$869,tabItens[[#This Row],[CÓDIGO]],Consumo!$Z$3:$Z$869)</f>
        <v>318</v>
      </c>
      <c r="AU400" s="317">
        <f>SUMIF(Consumo!$C$3:$C$869,tabItens[[#This Row],[CÓDIGO]],Consumo!$AA$3:$AA$869)</f>
        <v>284</v>
      </c>
      <c r="AV400" s="318">
        <f>SUMIF(Consumo!$C$3:$C$869,tabItens[[#This Row],[CÓDIGO]],Consumo!$Y$3:$Y$869)</f>
        <v>18.5</v>
      </c>
      <c r="AW400" s="401">
        <f>tabItens[[#This Row],[QTDE ATUAL]] + tabItens[[#This Row],[RC QTDE]] + tabItens[[#This Row],[AF SALDO]] + tabItens[[#This Row],[Recentes]]</f>
        <v>135.9</v>
      </c>
      <c r="AX400" s="420">
        <v>17</v>
      </c>
      <c r="AY400" s="420">
        <v>4</v>
      </c>
      <c r="AZ400" s="420">
        <f>IF(ISBLANK(tabItens[[#This Row],[CÓDIGO]]),"",tabItens[[#This Row],[PontoMês]] * (AZ$2+tabItens[[#This Row],[PontoQtM]]))</f>
        <v>68</v>
      </c>
      <c r="BA400" s="421">
        <f>tabItens[[#This Row],[PontoPed]] - tabItens[[#This Row],[Saldo]] + (1/10)</f>
        <v>-67.800000000000011</v>
      </c>
      <c r="BB400" s="421">
        <f xml:space="preserve"> tabItens[[#This Row],[PontoMês]] * BB$2 - tabItens[[#This Row],[QTDE ATUAL]] - (1/10)</f>
        <v>16.899999999999999</v>
      </c>
      <c r="BC400" s="320">
        <f>IF( tabItens[[#This Row],[PontoPed]]&gt;0, IF(tabItens[[#This Row],[PontoPed]]&lt;1, 1, IF( tabItens[[#This Row],[Saldo]]&gt;tabItens[[#This Row],[PontoPed]], 0, (tabItens[[#This Row],[PontoPed]]-tabItens[[#This Row],[Saldo]])/tabItens[[#This Row],[PontoPed]] ) ), 0 )</f>
        <v>0</v>
      </c>
      <c r="BD400" s="422">
        <f>ROUNDDOWN(IF( OR( AND(tabItens[[#This Row],[PontoPed]]&lt;tabItens[[#This Row],[Saldo]],tabItens[[#This Row],[Saldo]]&gt;0), tabItens[[#This Row],[PontoPed]]=0), 99, IF(AND(tabItens[[#This Row],[Saldo]]=0,tabItens[[#This Row],[PontoPed]]&gt;0), 0, (1-tabItens[[#This Row],[PctAb]])*10 ) ),0)</f>
        <v>99</v>
      </c>
      <c r="BE400" s="423">
        <f>MAX(ROUNDDOWN( IF(tabItens[[#This Row],[Abaixo]] &gt; 0,   tabItens[[#This Row],[Abaixo]] + (tabItens[[#This Row],[PontoMês]] * IF( OR( ISBLANK(tabItens[[#This Row],[ATA Nº/ANO]]), tabItens[[#This Row],[ATA Nº/ANO]] = ""),BE$2,BE$1)),0),0),0)</f>
        <v>0</v>
      </c>
      <c r="BF40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23">
        <f>SUMIF(Consumo!$C$3:$C$869,tabItens[[#This Row],[CÓDIGO]],Consumo!$E$3:$E$869)</f>
        <v>0</v>
      </c>
      <c r="BH400" s="324">
        <f>IF(AND(tabItens[[#This Row],[Pend]] &gt; 0,tabItens[[#This Row],[Consumo]] &lt;&gt; 0), tabItens[[#This Row],[Pend]] / tabItens[[#This Row],[Consumo]], 0 )</f>
        <v>0</v>
      </c>
      <c r="BI400" s="323"/>
      <c r="BJ400" s="424"/>
      <c r="BK400" s="425" t="s">
        <v>2064</v>
      </c>
    </row>
    <row r="401" spans="1:63" x14ac:dyDescent="0.3">
      <c r="A401" s="396">
        <v>118577</v>
      </c>
      <c r="B401" s="397" t="s">
        <v>1724</v>
      </c>
      <c r="C401" s="398" t="s">
        <v>629</v>
      </c>
      <c r="D401" s="399">
        <v>81.25</v>
      </c>
      <c r="E401" s="290"/>
      <c r="F401" s="400"/>
      <c r="G401" s="400" t="s">
        <v>883</v>
      </c>
      <c r="H401" s="401">
        <v>0</v>
      </c>
      <c r="I401" s="292">
        <v>103003</v>
      </c>
      <c r="J401" s="293">
        <v>81.25</v>
      </c>
      <c r="K401" s="402">
        <v>748.5</v>
      </c>
      <c r="L401" s="403">
        <f>IF(tabItens[[#This Row],[Média]] &gt; 0, tabItens[[#This Row],[QTDE ATUAL]] / tabItens[[#This Row],[Média]],999.9)</f>
        <v>0</v>
      </c>
      <c r="M401" s="404">
        <v>0</v>
      </c>
      <c r="N401" s="405">
        <f>tabItens[[#This Row],[VALOR UNIT.]] * tabItens[[#This Row],[LC]]</f>
        <v>0</v>
      </c>
      <c r="O401" s="406" t="s">
        <v>2165</v>
      </c>
      <c r="P401" s="407"/>
      <c r="Q401" s="408"/>
      <c r="R401" s="297"/>
      <c r="S401" s="409"/>
      <c r="T401" s="410">
        <f>ROUNDDOWN(IFERROR(tabItens[[#This Row],[ATA DT.VALID.]] - $D$1,0) / 30,0)</f>
        <v>-1504</v>
      </c>
      <c r="U401" s="287" t="s">
        <v>1723</v>
      </c>
      <c r="V401" s="303">
        <v>1</v>
      </c>
      <c r="W401" s="411" t="s">
        <v>2049</v>
      </c>
      <c r="X401" s="412">
        <v>51</v>
      </c>
      <c r="Y401" s="413">
        <v>21</v>
      </c>
      <c r="Z401" s="414">
        <v>2231</v>
      </c>
      <c r="AA401" s="415">
        <v>2023</v>
      </c>
      <c r="AB401" s="416">
        <v>2000</v>
      </c>
      <c r="AC401" s="416"/>
      <c r="AD401" s="415"/>
      <c r="AE401" s="416"/>
      <c r="AF401" s="302"/>
      <c r="AG401" s="417" t="s">
        <v>2050</v>
      </c>
      <c r="AH401" s="418"/>
      <c r="AI401" s="302">
        <v>250</v>
      </c>
      <c r="AJ401" s="418">
        <v>44551</v>
      </c>
      <c r="AK401" s="311">
        <v>40501</v>
      </c>
      <c r="AL401" s="311">
        <v>44544</v>
      </c>
      <c r="AM401" s="301"/>
      <c r="AN401" s="290"/>
      <c r="AO401" s="312" t="str">
        <f>_xlfn.IFNA(IF(VLOOKUP(tabItens[[#This Row],[CÓDIGO]],tabExcluirDoEstoque[#Data],1,FALSE),"sim",""),"")</f>
        <v/>
      </c>
      <c r="AP401" s="419" t="str">
        <f ca="1">IF(OR(ISBLANK(tabItens[[#This Row],[ATA DT.VALID.]]),tabItens[[#This Row],[ATA DT.VALID.]]="",tabItens[[#This Row],[ATA DT.VALID.]]=" "),"",IF(TYPE(tabItens[[#This Row],[ATA DT.VALID.]])=1,ROUNDUP((tabItens[[#This Row],[ATA DT.VALID.]]-TODAY())/7,0),""))</f>
        <v/>
      </c>
      <c r="AQ401" s="314">
        <v>0</v>
      </c>
      <c r="AR401" s="315" t="str">
        <f>IF(ISBLANK(tabItens[[#This Row],[CÓDIGO]]),"",IFERROR(VLOOKUP(tabItens[[#This Row],[CÓDIGO]],Consumo!$C$2:$AC$869,26,FALSE),0))</f>
        <v>01.2023</v>
      </c>
      <c r="AS401" s="316">
        <f>SUMIF(Consumo!$C$3:$C$869,tabItens[[#This Row],[CÓDIGO]],Consumo!$N$3:$N$869) + SUMIF(Consumo!$C$3:$C$869,tabItens[[#This Row],[CÓDIGO]],Consumo!$O$3:$O$869) + SUMIF(Consumo!$C$3:$C$869,tabItens[[#This Row],[CÓDIGO]],Consumo!$P$3:$P$869) + SUMIF(Consumo!$C$3:$C$869,tabItens[[#This Row],[CÓDIGO]],Consumo!$Q$3:$Q$869)</f>
        <v>0</v>
      </c>
      <c r="AT401" s="316">
        <f>SUMIF(Consumo!$C$3:$C$869,tabItens[[#This Row],[CÓDIGO]],Consumo!$Z$3:$Z$869)</f>
        <v>762</v>
      </c>
      <c r="AU401" s="317">
        <f>SUMIF(Consumo!$C$3:$C$869,tabItens[[#This Row],[CÓDIGO]],Consumo!$AA$3:$AA$869)</f>
        <v>272</v>
      </c>
      <c r="AV401" s="318">
        <f>SUMIF(Consumo!$C$3:$C$869,tabItens[[#This Row],[CÓDIGO]],Consumo!$Y$3:$Y$869)</f>
        <v>62.083333333333336</v>
      </c>
      <c r="AW401" s="401">
        <f>tabItens[[#This Row],[QTDE ATUAL]] + tabItens[[#This Row],[RC QTDE]] + tabItens[[#This Row],[AF SALDO]] + tabItens[[#This Row],[Recentes]]</f>
        <v>2000</v>
      </c>
      <c r="AX401" s="420">
        <v>47</v>
      </c>
      <c r="AY401" s="420">
        <v>4</v>
      </c>
      <c r="AZ401" s="420">
        <f>IF(ISBLANK(tabItens[[#This Row],[CÓDIGO]]),"",tabItens[[#This Row],[PontoMês]] * (AZ$2+tabItens[[#This Row],[PontoQtM]]))</f>
        <v>188</v>
      </c>
      <c r="BA401" s="421">
        <f>tabItens[[#This Row],[PontoPed]] - tabItens[[#This Row],[Saldo]] + (1/10)</f>
        <v>-1811.9</v>
      </c>
      <c r="BB401" s="421">
        <f xml:space="preserve"> tabItens[[#This Row],[PontoMês]] * BB$2 - tabItens[[#This Row],[QTDE ATUAL]] - (1/10)</f>
        <v>46.9</v>
      </c>
      <c r="BC401" s="320">
        <f>IF( tabItens[[#This Row],[PontoPed]]&gt;0, IF(tabItens[[#This Row],[PontoPed]]&lt;1, 1, IF( tabItens[[#This Row],[Saldo]]&gt;tabItens[[#This Row],[PontoPed]], 0, (tabItens[[#This Row],[PontoPed]]-tabItens[[#This Row],[Saldo]])/tabItens[[#This Row],[PontoPed]] ) ), 0 )</f>
        <v>0</v>
      </c>
      <c r="BD401" s="422">
        <f>ROUNDDOWN(IF( OR( AND(tabItens[[#This Row],[PontoPed]]&lt;tabItens[[#This Row],[Saldo]],tabItens[[#This Row],[Saldo]]&gt;0), tabItens[[#This Row],[PontoPed]]=0), 99, IF(AND(tabItens[[#This Row],[Saldo]]=0,tabItens[[#This Row],[PontoPed]]&gt;0), 0, (1-tabItens[[#This Row],[PctAb]])*10 ) ),0)</f>
        <v>99</v>
      </c>
      <c r="BE401" s="423">
        <f>MAX(ROUNDDOWN( IF(tabItens[[#This Row],[Abaixo]] &gt; 0,   tabItens[[#This Row],[Abaixo]] + (tabItens[[#This Row],[PontoMês]] * IF( OR( ISBLANK(tabItens[[#This Row],[ATA Nº/ANO]]), tabItens[[#This Row],[ATA Nº/ANO]] = ""),BE$2,BE$1)),0),0),0)</f>
        <v>0</v>
      </c>
      <c r="BF40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23">
        <f>SUMIF(Consumo!$C$3:$C$869,tabItens[[#This Row],[CÓDIGO]],Consumo!$E$3:$E$869)</f>
        <v>13.5</v>
      </c>
      <c r="BH401" s="324">
        <f>IF(AND(tabItens[[#This Row],[Pend]] &gt; 0,tabItens[[#This Row],[Consumo]] &lt;&gt; 0), tabItens[[#This Row],[Pend]] / tabItens[[#This Row],[Consumo]], 0 )</f>
        <v>1.7716535433070866E-2</v>
      </c>
      <c r="BI401" s="323"/>
      <c r="BJ401" s="424"/>
      <c r="BK401" s="425" t="s">
        <v>2064</v>
      </c>
    </row>
    <row r="402" spans="1:63" hidden="1" x14ac:dyDescent="0.3">
      <c r="A402" s="286">
        <v>114772</v>
      </c>
      <c r="B402" s="287" t="s">
        <v>1696</v>
      </c>
      <c r="C402" s="288" t="s">
        <v>256</v>
      </c>
      <c r="D402" s="289">
        <v>51.4</v>
      </c>
      <c r="E402" s="290"/>
      <c r="F402" s="290"/>
      <c r="G402" s="290" t="s">
        <v>883</v>
      </c>
      <c r="H402" s="291">
        <v>35</v>
      </c>
      <c r="I402" s="292">
        <v>103003</v>
      </c>
      <c r="J402" s="293">
        <v>51.4</v>
      </c>
      <c r="K402" s="294"/>
      <c r="L402" s="295">
        <f>IF(tabItens[[#This Row],[Média]] &gt; 0, tabItens[[#This Row],[QTDE ATUAL]] / tabItens[[#This Row],[Média]],999.9)</f>
        <v>999.9</v>
      </c>
      <c r="M402" s="296">
        <v>0</v>
      </c>
      <c r="N402" s="297">
        <f>tabItens[[#This Row],[VALOR UNIT.]] * tabItens[[#This Row],[LC]]</f>
        <v>0</v>
      </c>
      <c r="O402" s="298" t="s">
        <v>2158</v>
      </c>
      <c r="P402" s="299"/>
      <c r="Q402" s="300"/>
      <c r="R402" s="297"/>
      <c r="S402" s="301"/>
      <c r="T402" s="302">
        <f>ROUNDDOWN(IFERROR(tabItens[[#This Row],[ATA DT.VALID.]] - $D$1,0) / 30,0)</f>
        <v>-1504</v>
      </c>
      <c r="U402" s="287" t="s">
        <v>983</v>
      </c>
      <c r="V402" s="303">
        <v>1</v>
      </c>
      <c r="W402" s="304" t="s">
        <v>2055</v>
      </c>
      <c r="X402" s="305">
        <v>55</v>
      </c>
      <c r="Y402" s="306">
        <v>31</v>
      </c>
      <c r="Z402" s="307"/>
      <c r="AA402" s="308"/>
      <c r="AB402" s="309"/>
      <c r="AC402" s="309"/>
      <c r="AD402" s="308"/>
      <c r="AE402" s="309"/>
      <c r="AF402" s="302"/>
      <c r="AG402" s="310" t="s">
        <v>2050</v>
      </c>
      <c r="AH402" s="311"/>
      <c r="AI402" s="302">
        <v>0</v>
      </c>
      <c r="AJ402" s="311">
        <v>40403</v>
      </c>
      <c r="AK402" s="311">
        <v>40275</v>
      </c>
      <c r="AL402" s="311">
        <v>40337</v>
      </c>
      <c r="AM402" s="301"/>
      <c r="AN402" s="290"/>
      <c r="AO402" s="312" t="str">
        <f>_xlfn.IFNA(IF(VLOOKUP(tabItens[[#This Row],[CÓDIGO]],tabExcluirDoEstoque[#Data],1,FALSE),"sim",""),"")</f>
        <v/>
      </c>
      <c r="AP402" s="313" t="str">
        <f ca="1">IF(OR(ISBLANK(tabItens[[#This Row],[ATA DT.VALID.]]),tabItens[[#This Row],[ATA DT.VALID.]]="",tabItens[[#This Row],[ATA DT.VALID.]]=" "),"",IF(TYPE(tabItens[[#This Row],[ATA DT.VALID.]])=1,ROUNDUP((tabItens[[#This Row],[ATA DT.VALID.]]-TODAY())/7,0),""))</f>
        <v/>
      </c>
      <c r="AQ402" s="314">
        <v>0</v>
      </c>
      <c r="AR402" s="315">
        <f>IF(ISBLANK(tabItens[[#This Row],[CÓDIGO]]),"",IFERROR(VLOOKUP(tabItens[[#This Row],[CÓDIGO]],Consumo!$C$2:$AC$869,26,FALSE),0))</f>
        <v>0</v>
      </c>
      <c r="AS402" s="316">
        <f>SUMIF(Consumo!$C$3:$C$869,tabItens[[#This Row],[CÓDIGO]],Consumo!$N$3:$N$869) + SUMIF(Consumo!$C$3:$C$869,tabItens[[#This Row],[CÓDIGO]],Consumo!$O$3:$O$869) + SUMIF(Consumo!$C$3:$C$869,tabItens[[#This Row],[CÓDIGO]],Consumo!$P$3:$P$869) + SUMIF(Consumo!$C$3:$C$869,tabItens[[#This Row],[CÓDIGO]],Consumo!$Q$3:$Q$869)</f>
        <v>0</v>
      </c>
      <c r="AT402" s="316">
        <f>SUMIF(Consumo!$C$3:$C$869,tabItens[[#This Row],[CÓDIGO]],Consumo!$Z$3:$Z$869)</f>
        <v>0</v>
      </c>
      <c r="AU402" s="317">
        <f>SUMIF(Consumo!$C$3:$C$869,tabItens[[#This Row],[CÓDIGO]],Consumo!$AA$3:$AA$869)</f>
        <v>0</v>
      </c>
      <c r="AV402" s="318">
        <f>SUMIF(Consumo!$C$3:$C$869,tabItens[[#This Row],[CÓDIGO]],Consumo!$Y$3:$Y$869)</f>
        <v>0</v>
      </c>
      <c r="AW402" s="291">
        <f>tabItens[[#This Row],[QTDE ATUAL]] + tabItens[[#This Row],[RC QTDE]] + tabItens[[#This Row],[AF SALDO]] + tabItens[[#This Row],[Recentes]]</f>
        <v>35</v>
      </c>
      <c r="AX402" s="319">
        <v>1</v>
      </c>
      <c r="AY402" s="319">
        <v>4</v>
      </c>
      <c r="AZ402" s="319">
        <f>IF(ISBLANK(tabItens[[#This Row],[CÓDIGO]]),"",tabItens[[#This Row],[PontoMês]] * (AZ$2+tabItens[[#This Row],[PontoQtM]]))</f>
        <v>4</v>
      </c>
      <c r="BA402" s="318">
        <f>tabItens[[#This Row],[PontoPed]] - tabItens[[#This Row],[Saldo]] + (1/10)</f>
        <v>-30.9</v>
      </c>
      <c r="BB402" s="318">
        <f xml:space="preserve"> tabItens[[#This Row],[PontoMês]] * BB$2 - tabItens[[#This Row],[QTDE ATUAL]] - (1/10)</f>
        <v>-34.1</v>
      </c>
      <c r="BC402" s="320">
        <f>IF( tabItens[[#This Row],[PontoPed]]&gt;0, IF(tabItens[[#This Row],[PontoPed]]&lt;1, 1, IF( tabItens[[#This Row],[Saldo]]&gt;tabItens[[#This Row],[PontoPed]], 0, (tabItens[[#This Row],[PontoPed]]-tabItens[[#This Row],[Saldo]])/tabItens[[#This Row],[PontoPed]] ) ), 0 )</f>
        <v>0</v>
      </c>
      <c r="BD402" s="321">
        <f>ROUNDDOWN(IF( OR( AND(tabItens[[#This Row],[PontoPed]]&lt;tabItens[[#This Row],[Saldo]],tabItens[[#This Row],[Saldo]]&gt;0), tabItens[[#This Row],[PontoPed]]=0), 99, IF(AND(tabItens[[#This Row],[Saldo]]=0,tabItens[[#This Row],[PontoPed]]&gt;0), 0, (1-tabItens[[#This Row],[PctAb]])*10 ) ),0)</f>
        <v>99</v>
      </c>
      <c r="BE402" s="322">
        <f>MAX(ROUNDDOWN( IF(tabItens[[#This Row],[Abaixo]] &gt; 0,   tabItens[[#This Row],[Abaixo]] + (tabItens[[#This Row],[PontoMês]] * IF( OR( ISBLANK(tabItens[[#This Row],[ATA Nº/ANO]]), tabItens[[#This Row],[ATA Nº/ANO]] = ""),BE$2,BE$1)),0),0),0)</f>
        <v>0</v>
      </c>
      <c r="BF4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23">
        <f>SUMIF(Consumo!$C$3:$C$869,tabItens[[#This Row],[CÓDIGO]],Consumo!$E$3:$E$869)</f>
        <v>0</v>
      </c>
      <c r="BH402" s="324">
        <f>IF(AND(tabItens[[#This Row],[Pend]] &gt; 0,tabItens[[#This Row],[Consumo]] &lt;&gt; 0), tabItens[[#This Row],[Pend]] / tabItens[[#This Row],[Consumo]], 0 )</f>
        <v>0</v>
      </c>
      <c r="BI402" s="323"/>
      <c r="BJ402" s="323"/>
      <c r="BK402" s="325" t="s">
        <v>2064</v>
      </c>
    </row>
    <row r="403" spans="1:63" hidden="1" x14ac:dyDescent="0.3">
      <c r="A403" s="286">
        <v>112109</v>
      </c>
      <c r="B403" s="287" t="s">
        <v>1675</v>
      </c>
      <c r="C403" s="288" t="s">
        <v>275</v>
      </c>
      <c r="D403" s="289">
        <v>5.5</v>
      </c>
      <c r="E403" s="290"/>
      <c r="F403" s="290"/>
      <c r="G403" s="290" t="s">
        <v>883</v>
      </c>
      <c r="H403" s="291">
        <v>21519</v>
      </c>
      <c r="I403" s="292">
        <v>103003</v>
      </c>
      <c r="J403" s="293">
        <v>5.5</v>
      </c>
      <c r="K403" s="294">
        <v>13137</v>
      </c>
      <c r="L403" s="295">
        <f>IF(tabItens[[#This Row],[Média]] &gt; 0, tabItens[[#This Row],[QTDE ATUAL]] / tabItens[[#This Row],[Média]],999.9)</f>
        <v>17.67837338262477</v>
      </c>
      <c r="M403" s="296">
        <v>0</v>
      </c>
      <c r="N403" s="297">
        <f>tabItens[[#This Row],[VALOR UNIT.]] * tabItens[[#This Row],[LC]]</f>
        <v>0</v>
      </c>
      <c r="O403" s="298" t="s">
        <v>2156</v>
      </c>
      <c r="P403" s="299"/>
      <c r="Q403" s="300"/>
      <c r="R403" s="297"/>
      <c r="S403" s="301"/>
      <c r="T403" s="302">
        <f>ROUNDDOWN(IFERROR(tabItens[[#This Row],[ATA DT.VALID.]] - $D$1,0) / 30,0)</f>
        <v>-1504</v>
      </c>
      <c r="U403" s="287" t="s">
        <v>1434</v>
      </c>
      <c r="V403" s="303">
        <v>1</v>
      </c>
      <c r="W403" s="304" t="s">
        <v>2051</v>
      </c>
      <c r="X403" s="305">
        <v>72</v>
      </c>
      <c r="Y403" s="306">
        <v>8</v>
      </c>
      <c r="Z403" s="307"/>
      <c r="AA403" s="308"/>
      <c r="AB403" s="309"/>
      <c r="AC403" s="309"/>
      <c r="AD403" s="308"/>
      <c r="AE403" s="309"/>
      <c r="AF403" s="302"/>
      <c r="AG403" s="310" t="s">
        <v>2050</v>
      </c>
      <c r="AH403" s="311"/>
      <c r="AI403" s="302">
        <v>5674</v>
      </c>
      <c r="AJ403" s="311">
        <v>44886</v>
      </c>
      <c r="AK403" s="311">
        <v>40043</v>
      </c>
      <c r="AL403" s="311">
        <v>44854</v>
      </c>
      <c r="AM403" s="301"/>
      <c r="AN403" s="290"/>
      <c r="AO403" s="312" t="str">
        <f>_xlfn.IFNA(IF(VLOOKUP(tabItens[[#This Row],[CÓDIGO]],tabExcluirDoEstoque[#Data],1,FALSE),"sim",""),"")</f>
        <v/>
      </c>
      <c r="AP403" s="313" t="str">
        <f ca="1">IF(OR(ISBLANK(tabItens[[#This Row],[ATA DT.VALID.]]),tabItens[[#This Row],[ATA DT.VALID.]]="",tabItens[[#This Row],[ATA DT.VALID.]]=" "),"",IF(TYPE(tabItens[[#This Row],[ATA DT.VALID.]])=1,ROUNDUP((tabItens[[#This Row],[ATA DT.VALID.]]-TODAY())/7,0),""))</f>
        <v/>
      </c>
      <c r="AQ403" s="314">
        <v>0</v>
      </c>
      <c r="AR403" s="315" t="str">
        <f>IF(ISBLANK(tabItens[[#This Row],[CÓDIGO]]),"",IFERROR(VLOOKUP(tabItens[[#This Row],[CÓDIGO]],Consumo!$C$2:$AC$869,26,FALSE),0))</f>
        <v>07.2023</v>
      </c>
      <c r="AS403" s="316">
        <f>SUMIF(Consumo!$C$3:$C$869,tabItens[[#This Row],[CÓDIGO]],Consumo!$N$3:$N$869) + SUMIF(Consumo!$C$3:$C$869,tabItens[[#This Row],[CÓDIGO]],Consumo!$O$3:$O$869) + SUMIF(Consumo!$C$3:$C$869,tabItens[[#This Row],[CÓDIGO]],Consumo!$P$3:$P$869) + SUMIF(Consumo!$C$3:$C$869,tabItens[[#This Row],[CÓDIGO]],Consumo!$Q$3:$Q$869)</f>
        <v>2619</v>
      </c>
      <c r="AT403" s="316">
        <f>SUMIF(Consumo!$C$3:$C$869,tabItens[[#This Row],[CÓDIGO]],Consumo!$Z$3:$Z$869)</f>
        <v>17040</v>
      </c>
      <c r="AU403" s="317">
        <f>SUMIF(Consumo!$C$3:$C$869,tabItens[[#This Row],[CÓDIGO]],Consumo!$AA$3:$AA$869)</f>
        <v>7812</v>
      </c>
      <c r="AV403" s="318">
        <f>SUMIF(Consumo!$C$3:$C$869,tabItens[[#This Row],[CÓDIGO]],Consumo!$Y$3:$Y$869)</f>
        <v>1217.25</v>
      </c>
      <c r="AW403" s="291">
        <f>tabItens[[#This Row],[QTDE ATUAL]] + tabItens[[#This Row],[RC QTDE]] + tabItens[[#This Row],[AF SALDO]] + tabItens[[#This Row],[Recentes]]</f>
        <v>21519</v>
      </c>
      <c r="AX403" s="319">
        <v>1500</v>
      </c>
      <c r="AY403" s="319">
        <v>3</v>
      </c>
      <c r="AZ403" s="319">
        <f>IF(ISBLANK(tabItens[[#This Row],[CÓDIGO]]),"",tabItens[[#This Row],[PontoMês]] * (AZ$2+tabItens[[#This Row],[PontoQtM]]))</f>
        <v>4500</v>
      </c>
      <c r="BA403" s="318">
        <f>tabItens[[#This Row],[PontoPed]] - tabItens[[#This Row],[Saldo]] + (1/10)</f>
        <v>-17018.900000000001</v>
      </c>
      <c r="BB403" s="318">
        <f xml:space="preserve"> tabItens[[#This Row],[PontoMês]] * BB$2 - tabItens[[#This Row],[QTDE ATUAL]] - (1/10)</f>
        <v>-20019.099999999999</v>
      </c>
      <c r="BC403" s="320">
        <f>IF( tabItens[[#This Row],[PontoPed]]&gt;0, IF(tabItens[[#This Row],[PontoPed]]&lt;1, 1, IF( tabItens[[#This Row],[Saldo]]&gt;tabItens[[#This Row],[PontoPed]], 0, (tabItens[[#This Row],[PontoPed]]-tabItens[[#This Row],[Saldo]])/tabItens[[#This Row],[PontoPed]] ) ), 0 )</f>
        <v>0</v>
      </c>
      <c r="BD403" s="321">
        <f>ROUNDDOWN(IF( OR( AND(tabItens[[#This Row],[PontoPed]]&lt;tabItens[[#This Row],[Saldo]],tabItens[[#This Row],[Saldo]]&gt;0), tabItens[[#This Row],[PontoPed]]=0), 99, IF(AND(tabItens[[#This Row],[Saldo]]=0,tabItens[[#This Row],[PontoPed]]&gt;0), 0, (1-tabItens[[#This Row],[PctAb]])*10 ) ),0)</f>
        <v>99</v>
      </c>
      <c r="BE403" s="322">
        <f>MAX(ROUNDDOWN( IF(tabItens[[#This Row],[Abaixo]] &gt; 0,   tabItens[[#This Row],[Abaixo]] + (tabItens[[#This Row],[PontoMês]] * IF( OR( ISBLANK(tabItens[[#This Row],[ATA Nº/ANO]]), tabItens[[#This Row],[ATA Nº/ANO]] = ""),BE$2,BE$1)),0),0),0)</f>
        <v>0</v>
      </c>
      <c r="BF40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23">
        <f>SUMIF(Consumo!$C$3:$C$869,tabItens[[#This Row],[CÓDIGO]],Consumo!$E$3:$E$869)</f>
        <v>20</v>
      </c>
      <c r="BH403" s="324">
        <f>IF(AND(tabItens[[#This Row],[Pend]] &gt; 0,tabItens[[#This Row],[Consumo]] &lt;&gt; 0), tabItens[[#This Row],[Pend]] / tabItens[[#This Row],[Consumo]], 0 )</f>
        <v>1.1737089201877935E-3</v>
      </c>
      <c r="BI403" s="323"/>
      <c r="BJ403" s="323"/>
      <c r="BK403" s="325" t="s">
        <v>2064</v>
      </c>
    </row>
    <row r="404" spans="1:63" hidden="1" x14ac:dyDescent="0.3">
      <c r="A404" s="286">
        <v>59400</v>
      </c>
      <c r="B404" s="287" t="s">
        <v>1340</v>
      </c>
      <c r="C404" s="288" t="s">
        <v>256</v>
      </c>
      <c r="D404" s="289">
        <v>1.7</v>
      </c>
      <c r="E404" s="290"/>
      <c r="F404" s="290"/>
      <c r="G404" s="290" t="s">
        <v>883</v>
      </c>
      <c r="H404" s="291">
        <v>138</v>
      </c>
      <c r="I404" s="292">
        <v>103003</v>
      </c>
      <c r="J404" s="293">
        <v>1.7</v>
      </c>
      <c r="K404" s="294">
        <v>68</v>
      </c>
      <c r="L404" s="295">
        <f>IF(tabItens[[#This Row],[Média]] &gt; 0, tabItens[[#This Row],[QTDE ATUAL]] / tabItens[[#This Row],[Média]],999.9)</f>
        <v>23</v>
      </c>
      <c r="M404" s="296">
        <v>0</v>
      </c>
      <c r="N404" s="297">
        <f>tabItens[[#This Row],[VALOR UNIT.]] * tabItens[[#This Row],[LC]]</f>
        <v>0</v>
      </c>
      <c r="O404" s="298" t="s">
        <v>2129</v>
      </c>
      <c r="P404" s="299"/>
      <c r="Q404" s="300"/>
      <c r="R404" s="297"/>
      <c r="S404" s="301"/>
      <c r="T404" s="302">
        <f>ROUNDDOWN(IFERROR(tabItens[[#This Row],[ATA DT.VALID.]] - $D$1,0) / 30,0)</f>
        <v>-1504</v>
      </c>
      <c r="U404" s="287" t="s">
        <v>964</v>
      </c>
      <c r="V404" s="303">
        <v>1</v>
      </c>
      <c r="W404" s="304" t="s">
        <v>2054</v>
      </c>
      <c r="X404" s="305">
        <v>61</v>
      </c>
      <c r="Y404" s="306">
        <v>8</v>
      </c>
      <c r="Z404" s="307"/>
      <c r="AA404" s="308"/>
      <c r="AB404" s="309"/>
      <c r="AC404" s="309"/>
      <c r="AD404" s="308"/>
      <c r="AE404" s="309"/>
      <c r="AF404" s="302"/>
      <c r="AG404" s="310" t="s">
        <v>2050</v>
      </c>
      <c r="AH404" s="311"/>
      <c r="AI404" s="302">
        <v>24</v>
      </c>
      <c r="AJ404" s="311">
        <v>44833</v>
      </c>
      <c r="AK404" s="311" t="s">
        <v>883</v>
      </c>
      <c r="AL404" s="311">
        <v>44813</v>
      </c>
      <c r="AM404" s="301"/>
      <c r="AN404" s="290"/>
      <c r="AO404" s="312" t="str">
        <f>_xlfn.IFNA(IF(VLOOKUP(tabItens[[#This Row],[CÓDIGO]],tabExcluirDoEstoque[#Data],1,FALSE),"sim",""),"")</f>
        <v/>
      </c>
      <c r="AP404" s="313" t="str">
        <f ca="1">IF(OR(ISBLANK(tabItens[[#This Row],[ATA DT.VALID.]]),tabItens[[#This Row],[ATA DT.VALID.]]="",tabItens[[#This Row],[ATA DT.VALID.]]=" "),"",IF(TYPE(tabItens[[#This Row],[ATA DT.VALID.]])=1,ROUNDUP((tabItens[[#This Row],[ATA DT.VALID.]]-TODAY())/7,0),""))</f>
        <v/>
      </c>
      <c r="AQ404" s="314">
        <v>0</v>
      </c>
      <c r="AR404" s="315" t="str">
        <f>IF(ISBLANK(tabItens[[#This Row],[CÓDIGO]]),"",IFERROR(VLOOKUP(tabItens[[#This Row],[CÓDIGO]],Consumo!$C$2:$AC$869,26,FALSE),0))</f>
        <v>04.2023</v>
      </c>
      <c r="AS404" s="316">
        <f>SUMIF(Consumo!$C$3:$C$869,tabItens[[#This Row],[CÓDIGO]],Consumo!$N$3:$N$869) + SUMIF(Consumo!$C$3:$C$869,tabItens[[#This Row],[CÓDIGO]],Consumo!$O$3:$O$869) + SUMIF(Consumo!$C$3:$C$869,tabItens[[#This Row],[CÓDIGO]],Consumo!$P$3:$P$869) + SUMIF(Consumo!$C$3:$C$869,tabItens[[#This Row],[CÓDIGO]],Consumo!$Q$3:$Q$869)</f>
        <v>15</v>
      </c>
      <c r="AT404" s="316">
        <f>SUMIF(Consumo!$C$3:$C$869,tabItens[[#This Row],[CÓDIGO]],Consumo!$Z$3:$Z$869)</f>
        <v>72</v>
      </c>
      <c r="AU404" s="317">
        <f>SUMIF(Consumo!$C$3:$C$869,tabItens[[#This Row],[CÓDIGO]],Consumo!$AA$3:$AA$869)</f>
        <v>16</v>
      </c>
      <c r="AV404" s="318">
        <f>SUMIF(Consumo!$C$3:$C$869,tabItens[[#This Row],[CÓDIGO]],Consumo!$Y$3:$Y$869)</f>
        <v>6</v>
      </c>
      <c r="AW404" s="291">
        <f>tabItens[[#This Row],[QTDE ATUAL]] + tabItens[[#This Row],[RC QTDE]] + tabItens[[#This Row],[AF SALDO]] + tabItens[[#This Row],[Recentes]]</f>
        <v>138</v>
      </c>
      <c r="AX404" s="319">
        <v>0</v>
      </c>
      <c r="AY404" s="319">
        <v>0</v>
      </c>
      <c r="AZ404" s="319">
        <f>IF(ISBLANK(tabItens[[#This Row],[CÓDIGO]]),"",tabItens[[#This Row],[PontoMês]] * (AZ$2+tabItens[[#This Row],[PontoQtM]]))</f>
        <v>0</v>
      </c>
      <c r="BA404" s="318">
        <f>tabItens[[#This Row],[PontoPed]] - tabItens[[#This Row],[Saldo]] + (1/10)</f>
        <v>-137.9</v>
      </c>
      <c r="BB404" s="318">
        <f xml:space="preserve"> tabItens[[#This Row],[PontoMês]] * BB$2 - tabItens[[#This Row],[QTDE ATUAL]] - (1/10)</f>
        <v>-138.1</v>
      </c>
      <c r="BC404" s="320">
        <f>IF( tabItens[[#This Row],[PontoPed]]&gt;0, IF(tabItens[[#This Row],[PontoPed]]&lt;1, 1, IF( tabItens[[#This Row],[Saldo]]&gt;tabItens[[#This Row],[PontoPed]], 0, (tabItens[[#This Row],[PontoPed]]-tabItens[[#This Row],[Saldo]])/tabItens[[#This Row],[PontoPed]] ) ), 0 )</f>
        <v>0</v>
      </c>
      <c r="BD404" s="321">
        <f>ROUNDDOWN(IF( OR( AND(tabItens[[#This Row],[PontoPed]]&lt;tabItens[[#This Row],[Saldo]],tabItens[[#This Row],[Saldo]]&gt;0), tabItens[[#This Row],[PontoPed]]=0), 99, IF(AND(tabItens[[#This Row],[Saldo]]=0,tabItens[[#This Row],[PontoPed]]&gt;0), 0, (1-tabItens[[#This Row],[PctAb]])*10 ) ),0)</f>
        <v>99</v>
      </c>
      <c r="BE404" s="322">
        <f>MAX(ROUNDDOWN( IF(tabItens[[#This Row],[Abaixo]] &gt; 0,   tabItens[[#This Row],[Abaixo]] + (tabItens[[#This Row],[PontoMês]] * IF( OR( ISBLANK(tabItens[[#This Row],[ATA Nº/ANO]]), tabItens[[#This Row],[ATA Nº/ANO]] = ""),BE$2,BE$1)),0),0),0)</f>
        <v>0</v>
      </c>
      <c r="BF40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23">
        <f>SUMIF(Consumo!$C$3:$C$869,tabItens[[#This Row],[CÓDIGO]],Consumo!$E$3:$E$869)</f>
        <v>0</v>
      </c>
      <c r="BH404" s="324">
        <f>IF(AND(tabItens[[#This Row],[Pend]] &gt; 0,tabItens[[#This Row],[Consumo]] &lt;&gt; 0), tabItens[[#This Row],[Pend]] / tabItens[[#This Row],[Consumo]], 0 )</f>
        <v>0</v>
      </c>
      <c r="BI404" s="323"/>
      <c r="BJ404" s="323"/>
      <c r="BK404" s="325" t="s">
        <v>2064</v>
      </c>
    </row>
    <row r="405" spans="1:63" hidden="1" x14ac:dyDescent="0.3">
      <c r="A405" s="286">
        <v>63277</v>
      </c>
      <c r="B405" s="287" t="s">
        <v>1356</v>
      </c>
      <c r="C405" s="288" t="s">
        <v>256</v>
      </c>
      <c r="D405" s="289">
        <v>4.5999999999999996</v>
      </c>
      <c r="E405" s="290"/>
      <c r="F405" s="290"/>
      <c r="G405" s="290" t="s">
        <v>883</v>
      </c>
      <c r="H405" s="291">
        <v>208</v>
      </c>
      <c r="I405" s="292">
        <v>103003</v>
      </c>
      <c r="J405" s="293">
        <v>4.5999999999999996</v>
      </c>
      <c r="K405" s="294">
        <v>113</v>
      </c>
      <c r="L405" s="295">
        <f>IF(tabItens[[#This Row],[Média]] &gt; 0, tabItens[[#This Row],[QTDE ATUAL]] / tabItens[[#This Row],[Média]],999.9)</f>
        <v>19.348837209302324</v>
      </c>
      <c r="M405" s="296">
        <v>0</v>
      </c>
      <c r="N405" s="297">
        <f>tabItens[[#This Row],[VALOR UNIT.]] * tabItens[[#This Row],[LC]]</f>
        <v>0</v>
      </c>
      <c r="O405" s="298" t="s">
        <v>2129</v>
      </c>
      <c r="P405" s="299"/>
      <c r="Q405" s="300"/>
      <c r="R405" s="297"/>
      <c r="S405" s="301"/>
      <c r="T405" s="302">
        <f>ROUNDDOWN(IFERROR(tabItens[[#This Row],[ATA DT.VALID.]] - $D$1,0) / 30,0)</f>
        <v>-1504</v>
      </c>
      <c r="U405" s="287" t="s">
        <v>964</v>
      </c>
      <c r="V405" s="303">
        <v>1</v>
      </c>
      <c r="W405" s="304" t="s">
        <v>2054</v>
      </c>
      <c r="X405" s="305">
        <v>61</v>
      </c>
      <c r="Y405" s="306">
        <v>8</v>
      </c>
      <c r="Z405" s="307">
        <v>2453</v>
      </c>
      <c r="AA405" s="308">
        <v>2023</v>
      </c>
      <c r="AB405" s="309">
        <v>100</v>
      </c>
      <c r="AC405" s="309"/>
      <c r="AD405" s="308"/>
      <c r="AE405" s="309"/>
      <c r="AF405" s="302"/>
      <c r="AG405" s="310" t="s">
        <v>2050</v>
      </c>
      <c r="AH405" s="311"/>
      <c r="AI405" s="302">
        <v>44</v>
      </c>
      <c r="AJ405" s="311">
        <v>44573</v>
      </c>
      <c r="AK405" s="311" t="s">
        <v>883</v>
      </c>
      <c r="AL405" s="311">
        <v>44531</v>
      </c>
      <c r="AM405" s="301"/>
      <c r="AN405" s="290"/>
      <c r="AO405" s="312" t="str">
        <f>_xlfn.IFNA(IF(VLOOKUP(tabItens[[#This Row],[CÓDIGO]],tabExcluirDoEstoque[#Data],1,FALSE),"sim",""),"")</f>
        <v/>
      </c>
      <c r="AP405" s="313" t="str">
        <f ca="1">IF(OR(ISBLANK(tabItens[[#This Row],[ATA DT.VALID.]]),tabItens[[#This Row],[ATA DT.VALID.]]="",tabItens[[#This Row],[ATA DT.VALID.]]=" "),"",IF(TYPE(tabItens[[#This Row],[ATA DT.VALID.]])=1,ROUNDUP((tabItens[[#This Row],[ATA DT.VALID.]]-TODAY())/7,0),""))</f>
        <v/>
      </c>
      <c r="AQ405" s="314">
        <v>0</v>
      </c>
      <c r="AR405" s="315" t="str">
        <f>IF(ISBLANK(tabItens[[#This Row],[CÓDIGO]]),"",IFERROR(VLOOKUP(tabItens[[#This Row],[CÓDIGO]],Consumo!$C$2:$AC$869,26,FALSE),0))</f>
        <v>07.2023</v>
      </c>
      <c r="AS405" s="316">
        <f>SUMIF(Consumo!$C$3:$C$869,tabItens[[#This Row],[CÓDIGO]],Consumo!$N$3:$N$869) + SUMIF(Consumo!$C$3:$C$869,tabItens[[#This Row],[CÓDIGO]],Consumo!$O$3:$O$869) + SUMIF(Consumo!$C$3:$C$869,tabItens[[#This Row],[CÓDIGO]],Consumo!$P$3:$P$869) + SUMIF(Consumo!$C$3:$C$869,tabItens[[#This Row],[CÓDIGO]],Consumo!$Q$3:$Q$869)</f>
        <v>50</v>
      </c>
      <c r="AT405" s="316">
        <f>SUMIF(Consumo!$C$3:$C$869,tabItens[[#This Row],[CÓDIGO]],Consumo!$Z$3:$Z$869)</f>
        <v>129</v>
      </c>
      <c r="AU405" s="317">
        <f>SUMIF(Consumo!$C$3:$C$869,tabItens[[#This Row],[CÓDIGO]],Consumo!$AA$3:$AA$869)</f>
        <v>28</v>
      </c>
      <c r="AV405" s="318">
        <f>SUMIF(Consumo!$C$3:$C$869,tabItens[[#This Row],[CÓDIGO]],Consumo!$Y$3:$Y$869)</f>
        <v>10.75</v>
      </c>
      <c r="AW405" s="291">
        <f>tabItens[[#This Row],[QTDE ATUAL]] + tabItens[[#This Row],[RC QTDE]] + tabItens[[#This Row],[AF SALDO]] + tabItens[[#This Row],[Recentes]]</f>
        <v>308</v>
      </c>
      <c r="AX405" s="319">
        <v>0</v>
      </c>
      <c r="AY405" s="319">
        <v>0</v>
      </c>
      <c r="AZ405" s="319">
        <f>IF(ISBLANK(tabItens[[#This Row],[CÓDIGO]]),"",tabItens[[#This Row],[PontoMês]] * (AZ$2+tabItens[[#This Row],[PontoQtM]]))</f>
        <v>0</v>
      </c>
      <c r="BA405" s="318">
        <f>tabItens[[#This Row],[PontoPed]] - tabItens[[#This Row],[Saldo]] + (1/10)</f>
        <v>-307.89999999999998</v>
      </c>
      <c r="BB405" s="318">
        <f xml:space="preserve"> tabItens[[#This Row],[PontoMês]] * BB$2 - tabItens[[#This Row],[QTDE ATUAL]] - (1/10)</f>
        <v>-208.1</v>
      </c>
      <c r="BC405" s="320">
        <f>IF( tabItens[[#This Row],[PontoPed]]&gt;0, IF(tabItens[[#This Row],[PontoPed]]&lt;1, 1, IF( tabItens[[#This Row],[Saldo]]&gt;tabItens[[#This Row],[PontoPed]], 0, (tabItens[[#This Row],[PontoPed]]-tabItens[[#This Row],[Saldo]])/tabItens[[#This Row],[PontoPed]] ) ), 0 )</f>
        <v>0</v>
      </c>
      <c r="BD405" s="321">
        <f>ROUNDDOWN(IF( OR( AND(tabItens[[#This Row],[PontoPed]]&lt;tabItens[[#This Row],[Saldo]],tabItens[[#This Row],[Saldo]]&gt;0), tabItens[[#This Row],[PontoPed]]=0), 99, IF(AND(tabItens[[#This Row],[Saldo]]=0,tabItens[[#This Row],[PontoPed]]&gt;0), 0, (1-tabItens[[#This Row],[PctAb]])*10 ) ),0)</f>
        <v>99</v>
      </c>
      <c r="BE405" s="322">
        <f>MAX(ROUNDDOWN( IF(tabItens[[#This Row],[Abaixo]] &gt; 0,   tabItens[[#This Row],[Abaixo]] + (tabItens[[#This Row],[PontoMês]] * IF( OR( ISBLANK(tabItens[[#This Row],[ATA Nº/ANO]]), tabItens[[#This Row],[ATA Nº/ANO]] = ""),BE$2,BE$1)),0),0),0)</f>
        <v>0</v>
      </c>
      <c r="BF40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23">
        <f>SUMIF(Consumo!$C$3:$C$869,tabItens[[#This Row],[CÓDIGO]],Consumo!$E$3:$E$869)</f>
        <v>0</v>
      </c>
      <c r="BH405" s="324">
        <f>IF(AND(tabItens[[#This Row],[Pend]] &gt; 0,tabItens[[#This Row],[Consumo]] &lt;&gt; 0), tabItens[[#This Row],[Pend]] / tabItens[[#This Row],[Consumo]], 0 )</f>
        <v>0</v>
      </c>
      <c r="BI405" s="323"/>
      <c r="BJ405" s="323"/>
      <c r="BK405" s="325" t="s">
        <v>2064</v>
      </c>
    </row>
    <row r="406" spans="1:63" hidden="1" x14ac:dyDescent="0.3">
      <c r="A406" s="286">
        <v>115805</v>
      </c>
      <c r="B406" s="287" t="s">
        <v>1709</v>
      </c>
      <c r="C406" s="288" t="s">
        <v>256</v>
      </c>
      <c r="D406" s="289">
        <v>39.799999999999997</v>
      </c>
      <c r="E406" s="290"/>
      <c r="F406" s="290"/>
      <c r="G406" s="290" t="s">
        <v>883</v>
      </c>
      <c r="H406" s="291">
        <v>217</v>
      </c>
      <c r="I406" s="292">
        <v>103003</v>
      </c>
      <c r="J406" s="293">
        <v>39.799999999999997</v>
      </c>
      <c r="K406" s="294">
        <v>245</v>
      </c>
      <c r="L406" s="295">
        <f>IF(tabItens[[#This Row],[Média]] &gt; 0, tabItens[[#This Row],[QTDE ATUAL]] / tabItens[[#This Row],[Média]],999.9)</f>
        <v>8.9484536082474229</v>
      </c>
      <c r="M406" s="296">
        <v>0</v>
      </c>
      <c r="N406" s="297">
        <f>tabItens[[#This Row],[VALOR UNIT.]] * tabItens[[#This Row],[LC]]</f>
        <v>0</v>
      </c>
      <c r="O406" s="298" t="s">
        <v>2129</v>
      </c>
      <c r="P406" s="299"/>
      <c r="Q406" s="300"/>
      <c r="R406" s="297"/>
      <c r="S406" s="301"/>
      <c r="T406" s="302">
        <f>ROUNDDOWN(IFERROR(tabItens[[#This Row],[ATA DT.VALID.]] - $D$1,0) / 30,0)</f>
        <v>-1504</v>
      </c>
      <c r="U406" s="287" t="s">
        <v>1009</v>
      </c>
      <c r="V406" s="303">
        <v>1</v>
      </c>
      <c r="W406" s="304" t="s">
        <v>2054</v>
      </c>
      <c r="X406" s="305">
        <v>61</v>
      </c>
      <c r="Y406" s="306">
        <v>15</v>
      </c>
      <c r="Z406" s="307">
        <v>2960</v>
      </c>
      <c r="AA406" s="308">
        <v>2023</v>
      </c>
      <c r="AB406" s="309">
        <v>50</v>
      </c>
      <c r="AC406" s="309"/>
      <c r="AD406" s="308"/>
      <c r="AE406" s="309"/>
      <c r="AF406" s="302"/>
      <c r="AG406" s="310" t="s">
        <v>2050</v>
      </c>
      <c r="AH406" s="311"/>
      <c r="AI406" s="302">
        <v>98</v>
      </c>
      <c r="AJ406" s="311">
        <v>44833</v>
      </c>
      <c r="AK406" s="311">
        <v>40352</v>
      </c>
      <c r="AL406" s="311">
        <v>45105</v>
      </c>
      <c r="AM406" s="301"/>
      <c r="AN406" s="290"/>
      <c r="AO406" s="312" t="str">
        <f>_xlfn.IFNA(IF(VLOOKUP(tabItens[[#This Row],[CÓDIGO]],tabExcluirDoEstoque[#Data],1,FALSE),"sim",""),"")</f>
        <v/>
      </c>
      <c r="AP406" s="313" t="str">
        <f ca="1">IF(OR(ISBLANK(tabItens[[#This Row],[ATA DT.VALID.]]),tabItens[[#This Row],[ATA DT.VALID.]]="",tabItens[[#This Row],[ATA DT.VALID.]]=" "),"",IF(TYPE(tabItens[[#This Row],[ATA DT.VALID.]])=1,ROUNDUP((tabItens[[#This Row],[ATA DT.VALID.]]-TODAY())/7,0),""))</f>
        <v/>
      </c>
      <c r="AQ406" s="314">
        <v>0</v>
      </c>
      <c r="AR406" s="315" t="str">
        <f>IF(ISBLANK(tabItens[[#This Row],[CÓDIGO]]),"",IFERROR(VLOOKUP(tabItens[[#This Row],[CÓDIGO]],Consumo!$C$2:$AC$869,26,FALSE),0))</f>
        <v>07.2023</v>
      </c>
      <c r="AS406" s="316">
        <f>SUMIF(Consumo!$C$3:$C$869,tabItens[[#This Row],[CÓDIGO]],Consumo!$N$3:$N$869) + SUMIF(Consumo!$C$3:$C$869,tabItens[[#This Row],[CÓDIGO]],Consumo!$O$3:$O$869) + SUMIF(Consumo!$C$3:$C$869,tabItens[[#This Row],[CÓDIGO]],Consumo!$P$3:$P$869) + SUMIF(Consumo!$C$3:$C$869,tabItens[[#This Row],[CÓDIGO]],Consumo!$Q$3:$Q$869)</f>
        <v>105</v>
      </c>
      <c r="AT406" s="316">
        <f>SUMIF(Consumo!$C$3:$C$869,tabItens[[#This Row],[CÓDIGO]],Consumo!$Z$3:$Z$869)</f>
        <v>291</v>
      </c>
      <c r="AU406" s="317">
        <f>SUMIF(Consumo!$C$3:$C$869,tabItens[[#This Row],[CÓDIGO]],Consumo!$AA$3:$AA$869)</f>
        <v>60</v>
      </c>
      <c r="AV406" s="318">
        <f>SUMIF(Consumo!$C$3:$C$869,tabItens[[#This Row],[CÓDIGO]],Consumo!$Y$3:$Y$869)</f>
        <v>24.25</v>
      </c>
      <c r="AW406" s="291">
        <f>tabItens[[#This Row],[QTDE ATUAL]] + tabItens[[#This Row],[RC QTDE]] + tabItens[[#This Row],[AF SALDO]] + tabItens[[#This Row],[Recentes]]</f>
        <v>267</v>
      </c>
      <c r="AX406" s="319">
        <v>0</v>
      </c>
      <c r="AY406" s="319">
        <v>0</v>
      </c>
      <c r="AZ406" s="319">
        <f>IF(ISBLANK(tabItens[[#This Row],[CÓDIGO]]),"",tabItens[[#This Row],[PontoMês]] * (AZ$2+tabItens[[#This Row],[PontoQtM]]))</f>
        <v>0</v>
      </c>
      <c r="BA406" s="318">
        <f>tabItens[[#This Row],[PontoPed]] - tabItens[[#This Row],[Saldo]] + (1/10)</f>
        <v>-266.89999999999998</v>
      </c>
      <c r="BB406" s="318">
        <f xml:space="preserve"> tabItens[[#This Row],[PontoMês]] * BB$2 - tabItens[[#This Row],[QTDE ATUAL]] - (1/10)</f>
        <v>-217.1</v>
      </c>
      <c r="BC406" s="320">
        <f>IF( tabItens[[#This Row],[PontoPed]]&gt;0, IF(tabItens[[#This Row],[PontoPed]]&lt;1, 1, IF( tabItens[[#This Row],[Saldo]]&gt;tabItens[[#This Row],[PontoPed]], 0, (tabItens[[#This Row],[PontoPed]]-tabItens[[#This Row],[Saldo]])/tabItens[[#This Row],[PontoPed]] ) ), 0 )</f>
        <v>0</v>
      </c>
      <c r="BD406" s="321">
        <f>ROUNDDOWN(IF( OR( AND(tabItens[[#This Row],[PontoPed]]&lt;tabItens[[#This Row],[Saldo]],tabItens[[#This Row],[Saldo]]&gt;0), tabItens[[#This Row],[PontoPed]]=0), 99, IF(AND(tabItens[[#This Row],[Saldo]]=0,tabItens[[#This Row],[PontoPed]]&gt;0), 0, (1-tabItens[[#This Row],[PctAb]])*10 ) ),0)</f>
        <v>99</v>
      </c>
      <c r="BE406" s="322">
        <f>MAX(ROUNDDOWN( IF(tabItens[[#This Row],[Abaixo]] &gt; 0,   tabItens[[#This Row],[Abaixo]] + (tabItens[[#This Row],[PontoMês]] * IF( OR( ISBLANK(tabItens[[#This Row],[ATA Nº/ANO]]), tabItens[[#This Row],[ATA Nº/ANO]] = ""),BE$2,BE$1)),0),0),0)</f>
        <v>0</v>
      </c>
      <c r="BF4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23">
        <f>SUMIF(Consumo!$C$3:$C$869,tabItens[[#This Row],[CÓDIGO]],Consumo!$E$3:$E$869)</f>
        <v>0</v>
      </c>
      <c r="BH406" s="324">
        <f>IF(AND(tabItens[[#This Row],[Pend]] &gt; 0,tabItens[[#This Row],[Consumo]] &lt;&gt; 0), tabItens[[#This Row],[Pend]] / tabItens[[#This Row],[Consumo]], 0 )</f>
        <v>0</v>
      </c>
      <c r="BI406" s="323"/>
      <c r="BJ406" s="323"/>
      <c r="BK406" s="325" t="s">
        <v>2064</v>
      </c>
    </row>
    <row r="407" spans="1:63" hidden="1" x14ac:dyDescent="0.3">
      <c r="A407" s="286">
        <v>13561</v>
      </c>
      <c r="B407" s="287" t="s">
        <v>1042</v>
      </c>
      <c r="C407" s="288" t="s">
        <v>294</v>
      </c>
      <c r="D407" s="289">
        <v>100</v>
      </c>
      <c r="E407" s="290"/>
      <c r="F407" s="290"/>
      <c r="G407" s="290" t="s">
        <v>883</v>
      </c>
      <c r="H407" s="291">
        <v>76</v>
      </c>
      <c r="I407" s="292">
        <v>103003</v>
      </c>
      <c r="J407" s="293">
        <v>100</v>
      </c>
      <c r="K407" s="294">
        <v>129</v>
      </c>
      <c r="L407" s="295">
        <f>IF(tabItens[[#This Row],[Média]] &gt; 0, tabItens[[#This Row],[QTDE ATUAL]] / tabItens[[#This Row],[Média]],999.9)</f>
        <v>5.8089171974522289</v>
      </c>
      <c r="M407" s="296">
        <v>0</v>
      </c>
      <c r="N407" s="297">
        <f>tabItens[[#This Row],[VALOR UNIT.]] * tabItens[[#This Row],[LC]]</f>
        <v>0</v>
      </c>
      <c r="O407" s="298" t="s">
        <v>2091</v>
      </c>
      <c r="P407" s="299"/>
      <c r="Q407" s="300"/>
      <c r="R407" s="297"/>
      <c r="S407" s="301"/>
      <c r="T407" s="302">
        <f>ROUNDDOWN(IFERROR(tabItens[[#This Row],[ATA DT.VALID.]] - $D$1,0) / 30,0)</f>
        <v>-1504</v>
      </c>
      <c r="U407" s="287" t="s">
        <v>1039</v>
      </c>
      <c r="V407" s="303">
        <v>1</v>
      </c>
      <c r="W407" s="304" t="s">
        <v>2054</v>
      </c>
      <c r="X407" s="305">
        <v>61</v>
      </c>
      <c r="Y407" s="306">
        <v>2</v>
      </c>
      <c r="Z407" s="307">
        <v>2636</v>
      </c>
      <c r="AA407" s="308">
        <v>2023</v>
      </c>
      <c r="AB407" s="309">
        <v>250</v>
      </c>
      <c r="AC407" s="309"/>
      <c r="AD407" s="308"/>
      <c r="AE407" s="309"/>
      <c r="AF407" s="302"/>
      <c r="AG407" s="310" t="s">
        <v>2050</v>
      </c>
      <c r="AH407" s="311"/>
      <c r="AI407" s="302">
        <v>64</v>
      </c>
      <c r="AJ407" s="311">
        <v>44915</v>
      </c>
      <c r="AK407" s="311" t="s">
        <v>883</v>
      </c>
      <c r="AL407" s="311">
        <v>44860</v>
      </c>
      <c r="AM407" s="301"/>
      <c r="AN407" s="290"/>
      <c r="AO407" s="312" t="str">
        <f>_xlfn.IFNA(IF(VLOOKUP(tabItens[[#This Row],[CÓDIGO]],tabExcluirDoEstoque[#Data],1,FALSE),"sim",""),"")</f>
        <v/>
      </c>
      <c r="AP407" s="313" t="str">
        <f ca="1">IF(OR(ISBLANK(tabItens[[#This Row],[ATA DT.VALID.]]),tabItens[[#This Row],[ATA DT.VALID.]]="",tabItens[[#This Row],[ATA DT.VALID.]]=" "),"",IF(TYPE(tabItens[[#This Row],[ATA DT.VALID.]])=1,ROUNDUP((tabItens[[#This Row],[ATA DT.VALID.]]-TODAY())/7,0),""))</f>
        <v/>
      </c>
      <c r="AQ407" s="314">
        <v>0</v>
      </c>
      <c r="AR407" s="315" t="str">
        <f>IF(ISBLANK(tabItens[[#This Row],[CÓDIGO]]),"",IFERROR(VLOOKUP(tabItens[[#This Row],[CÓDIGO]],Consumo!$C$2:$AC$869,26,FALSE),0))</f>
        <v>05.2023</v>
      </c>
      <c r="AS407" s="316">
        <f>SUMIF(Consumo!$C$3:$C$869,tabItens[[#This Row],[CÓDIGO]],Consumo!$N$3:$N$869) + SUMIF(Consumo!$C$3:$C$869,tabItens[[#This Row],[CÓDIGO]],Consumo!$O$3:$O$869) + SUMIF(Consumo!$C$3:$C$869,tabItens[[#This Row],[CÓDIGO]],Consumo!$P$3:$P$869) + SUMIF(Consumo!$C$3:$C$869,tabItens[[#This Row],[CÓDIGO]],Consumo!$Q$3:$Q$869)</f>
        <v>19</v>
      </c>
      <c r="AT407" s="316">
        <f>SUMIF(Consumo!$C$3:$C$869,tabItens[[#This Row],[CÓDIGO]],Consumo!$Z$3:$Z$869)</f>
        <v>157</v>
      </c>
      <c r="AU407" s="317">
        <f>SUMIF(Consumo!$C$3:$C$869,tabItens[[#This Row],[CÓDIGO]],Consumo!$AA$3:$AA$869)</f>
        <v>35</v>
      </c>
      <c r="AV407" s="318">
        <f>SUMIF(Consumo!$C$3:$C$869,tabItens[[#This Row],[CÓDIGO]],Consumo!$Y$3:$Y$869)</f>
        <v>13.083333333333334</v>
      </c>
      <c r="AW407" s="291">
        <f>tabItens[[#This Row],[QTDE ATUAL]] + tabItens[[#This Row],[RC QTDE]] + tabItens[[#This Row],[AF SALDO]] + tabItens[[#This Row],[Recentes]]</f>
        <v>326</v>
      </c>
      <c r="AX407" s="319">
        <v>9</v>
      </c>
      <c r="AY407" s="319">
        <v>4</v>
      </c>
      <c r="AZ407" s="319">
        <f>IF(ISBLANK(tabItens[[#This Row],[CÓDIGO]]),"",tabItens[[#This Row],[PontoMês]] * (AZ$2+tabItens[[#This Row],[PontoQtM]]))</f>
        <v>36</v>
      </c>
      <c r="BA407" s="318">
        <f>tabItens[[#This Row],[PontoPed]] - tabItens[[#This Row],[Saldo]] + (1/10)</f>
        <v>-289.89999999999998</v>
      </c>
      <c r="BB407" s="318">
        <f xml:space="preserve"> tabItens[[#This Row],[PontoMês]] * BB$2 - tabItens[[#This Row],[QTDE ATUAL]] - (1/10)</f>
        <v>-67.099999999999994</v>
      </c>
      <c r="BC407" s="320">
        <f>IF( tabItens[[#This Row],[PontoPed]]&gt;0, IF(tabItens[[#This Row],[PontoPed]]&lt;1, 1, IF( tabItens[[#This Row],[Saldo]]&gt;tabItens[[#This Row],[PontoPed]], 0, (tabItens[[#This Row],[PontoPed]]-tabItens[[#This Row],[Saldo]])/tabItens[[#This Row],[PontoPed]] ) ), 0 )</f>
        <v>0</v>
      </c>
      <c r="BD407" s="321">
        <f>ROUNDDOWN(IF( OR( AND(tabItens[[#This Row],[PontoPed]]&lt;tabItens[[#This Row],[Saldo]],tabItens[[#This Row],[Saldo]]&gt;0), tabItens[[#This Row],[PontoPed]]=0), 99, IF(AND(tabItens[[#This Row],[Saldo]]=0,tabItens[[#This Row],[PontoPed]]&gt;0), 0, (1-tabItens[[#This Row],[PctAb]])*10 ) ),0)</f>
        <v>99</v>
      </c>
      <c r="BE407" s="322">
        <f>MAX(ROUNDDOWN( IF(tabItens[[#This Row],[Abaixo]] &gt; 0,   tabItens[[#This Row],[Abaixo]] + (tabItens[[#This Row],[PontoMês]] * IF( OR( ISBLANK(tabItens[[#This Row],[ATA Nº/ANO]]), tabItens[[#This Row],[ATA Nº/ANO]] = ""),BE$2,BE$1)),0),0),0)</f>
        <v>0</v>
      </c>
      <c r="BF40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23">
        <f>SUMIF(Consumo!$C$3:$C$869,tabItens[[#This Row],[CÓDIGO]],Consumo!$E$3:$E$869)</f>
        <v>4</v>
      </c>
      <c r="BH407" s="324">
        <f>IF(AND(tabItens[[#This Row],[Pend]] &gt; 0,tabItens[[#This Row],[Consumo]] &lt;&gt; 0), tabItens[[#This Row],[Pend]] / tabItens[[#This Row],[Consumo]], 0 )</f>
        <v>2.5477707006369428E-2</v>
      </c>
      <c r="BI407" s="323"/>
      <c r="BJ407" s="323"/>
      <c r="BK407" s="325" t="s">
        <v>2064</v>
      </c>
    </row>
    <row r="408" spans="1:63" hidden="1" x14ac:dyDescent="0.3">
      <c r="A408" s="286">
        <v>116466</v>
      </c>
      <c r="B408" s="287" t="s">
        <v>1713</v>
      </c>
      <c r="C408" s="288" t="s">
        <v>31</v>
      </c>
      <c r="D408" s="289">
        <v>0.85</v>
      </c>
      <c r="E408" s="290"/>
      <c r="F408" s="290"/>
      <c r="G408" s="290" t="s">
        <v>883</v>
      </c>
      <c r="H408" s="291">
        <v>1339</v>
      </c>
      <c r="I408" s="292">
        <v>103003</v>
      </c>
      <c r="J408" s="293">
        <v>0.85</v>
      </c>
      <c r="K408" s="294">
        <v>7286</v>
      </c>
      <c r="L408" s="295">
        <f>IF(tabItens[[#This Row],[Média]] &gt; 0, tabItens[[#This Row],[QTDE ATUAL]] / tabItens[[#This Row],[Média]],999.9)</f>
        <v>2.115045412662893</v>
      </c>
      <c r="M408" s="296">
        <v>0</v>
      </c>
      <c r="N408" s="297">
        <f>tabItens[[#This Row],[VALOR UNIT.]] * tabItens[[#This Row],[LC]]</f>
        <v>0</v>
      </c>
      <c r="O408" s="298" t="s">
        <v>2163</v>
      </c>
      <c r="P408" s="299"/>
      <c r="Q408" s="300"/>
      <c r="R408" s="297"/>
      <c r="S408" s="301"/>
      <c r="T408" s="302">
        <f>ROUNDDOWN(IFERROR(tabItens[[#This Row],[ATA DT.VALID.]] - $D$1,0) / 30,0)</f>
        <v>-1504</v>
      </c>
      <c r="U408" s="287" t="s">
        <v>1258</v>
      </c>
      <c r="V408" s="303">
        <v>1</v>
      </c>
      <c r="W408" s="304" t="s">
        <v>2056</v>
      </c>
      <c r="X408" s="305">
        <v>69</v>
      </c>
      <c r="Y408" s="306">
        <v>3</v>
      </c>
      <c r="Z408" s="307">
        <v>2637</v>
      </c>
      <c r="AA408" s="308">
        <v>2023</v>
      </c>
      <c r="AB408" s="309">
        <v>2000</v>
      </c>
      <c r="AC408" s="309"/>
      <c r="AD408" s="308"/>
      <c r="AE408" s="309"/>
      <c r="AF408" s="302"/>
      <c r="AG408" s="310" t="s">
        <v>2050</v>
      </c>
      <c r="AH408" s="311"/>
      <c r="AI408" s="302">
        <v>2754</v>
      </c>
      <c r="AJ408" s="311">
        <v>44236</v>
      </c>
      <c r="AK408" s="311">
        <v>40382</v>
      </c>
      <c r="AL408" s="311">
        <v>44335</v>
      </c>
      <c r="AM408" s="301"/>
      <c r="AN408" s="290"/>
      <c r="AO408" s="312" t="str">
        <f>_xlfn.IFNA(IF(VLOOKUP(tabItens[[#This Row],[CÓDIGO]],tabExcluirDoEstoque[#Data],1,FALSE),"sim",""),"")</f>
        <v/>
      </c>
      <c r="AP408" s="313" t="str">
        <f ca="1">IF(OR(ISBLANK(tabItens[[#This Row],[ATA DT.VALID.]]),tabItens[[#This Row],[ATA DT.VALID.]]="",tabItens[[#This Row],[ATA DT.VALID.]]=" "),"",IF(TYPE(tabItens[[#This Row],[ATA DT.VALID.]])=1,ROUNDUP((tabItens[[#This Row],[ATA DT.VALID.]]-TODAY())/7,0),""))</f>
        <v/>
      </c>
      <c r="AQ408" s="314">
        <v>0</v>
      </c>
      <c r="AR408" s="315" t="str">
        <f>IF(ISBLANK(tabItens[[#This Row],[CÓDIGO]]),"",IFERROR(VLOOKUP(tabItens[[#This Row],[CÓDIGO]],Consumo!$C$2:$AC$869,26,FALSE),0))</f>
        <v>07.2023</v>
      </c>
      <c r="AS408" s="316">
        <f>SUMIF(Consumo!$C$3:$C$869,tabItens[[#This Row],[CÓDIGO]],Consumo!$N$3:$N$869) + SUMIF(Consumo!$C$3:$C$869,tabItens[[#This Row],[CÓDIGO]],Consumo!$O$3:$O$869) + SUMIF(Consumo!$C$3:$C$869,tabItens[[#This Row],[CÓDIGO]],Consumo!$P$3:$P$869) + SUMIF(Consumo!$C$3:$C$869,tabItens[[#This Row],[CÓDIGO]],Consumo!$Q$3:$Q$869)</f>
        <v>4556</v>
      </c>
      <c r="AT408" s="316">
        <f>SUMIF(Consumo!$C$3:$C$869,tabItens[[#This Row],[CÓDIGO]],Consumo!$Z$3:$Z$869)</f>
        <v>8261</v>
      </c>
      <c r="AU408" s="317">
        <f>SUMIF(Consumo!$C$3:$C$869,tabItens[[#This Row],[CÓDIGO]],Consumo!$AA$3:$AA$869)</f>
        <v>3000</v>
      </c>
      <c r="AV408" s="318">
        <f>SUMIF(Consumo!$C$3:$C$869,tabItens[[#This Row],[CÓDIGO]],Consumo!$Y$3:$Y$869)</f>
        <v>633.08333333333337</v>
      </c>
      <c r="AW408" s="291">
        <f>tabItens[[#This Row],[QTDE ATUAL]] + tabItens[[#This Row],[RC QTDE]] + tabItens[[#This Row],[AF SALDO]] + tabItens[[#This Row],[Recentes]]</f>
        <v>3339</v>
      </c>
      <c r="AX408" s="319">
        <v>709</v>
      </c>
      <c r="AY408" s="319">
        <v>4</v>
      </c>
      <c r="AZ408" s="319">
        <f>IF(ISBLANK(tabItens[[#This Row],[CÓDIGO]]),"",tabItens[[#This Row],[PontoMês]] * (AZ$2+tabItens[[#This Row],[PontoQtM]]))</f>
        <v>2836</v>
      </c>
      <c r="BA408" s="318">
        <f>tabItens[[#This Row],[PontoPed]] - tabItens[[#This Row],[Saldo]] + (1/10)</f>
        <v>-502.9</v>
      </c>
      <c r="BB408" s="318">
        <f xml:space="preserve"> tabItens[[#This Row],[PontoMês]] * BB$2 - tabItens[[#This Row],[QTDE ATUAL]] - (1/10)</f>
        <v>-630.1</v>
      </c>
      <c r="BC408" s="320">
        <f>IF( tabItens[[#This Row],[PontoPed]]&gt;0, IF(tabItens[[#This Row],[PontoPed]]&lt;1, 1, IF( tabItens[[#This Row],[Saldo]]&gt;tabItens[[#This Row],[PontoPed]], 0, (tabItens[[#This Row],[PontoPed]]-tabItens[[#This Row],[Saldo]])/tabItens[[#This Row],[PontoPed]] ) ), 0 )</f>
        <v>0</v>
      </c>
      <c r="BD408" s="321">
        <f>ROUNDDOWN(IF( OR( AND(tabItens[[#This Row],[PontoPed]]&lt;tabItens[[#This Row],[Saldo]],tabItens[[#This Row],[Saldo]]&gt;0), tabItens[[#This Row],[PontoPed]]=0), 99, IF(AND(tabItens[[#This Row],[Saldo]]=0,tabItens[[#This Row],[PontoPed]]&gt;0), 0, (1-tabItens[[#This Row],[PctAb]])*10 ) ),0)</f>
        <v>99</v>
      </c>
      <c r="BE408" s="322">
        <f>MAX(ROUNDDOWN( IF(tabItens[[#This Row],[Abaixo]] &gt; 0,   tabItens[[#This Row],[Abaixo]] + (tabItens[[#This Row],[PontoMês]] * IF( OR( ISBLANK(tabItens[[#This Row],[ATA Nº/ANO]]), tabItens[[#This Row],[ATA Nº/ANO]] = ""),BE$2,BE$1)),0),0),0)</f>
        <v>0</v>
      </c>
      <c r="BF4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23">
        <f>SUMIF(Consumo!$C$3:$C$869,tabItens[[#This Row],[CÓDIGO]],Consumo!$E$3:$E$869)</f>
        <v>0</v>
      </c>
      <c r="BH408" s="324">
        <f>IF(AND(tabItens[[#This Row],[Pend]] &gt; 0,tabItens[[#This Row],[Consumo]] &lt;&gt; 0), tabItens[[#This Row],[Pend]] / tabItens[[#This Row],[Consumo]], 0 )</f>
        <v>0</v>
      </c>
      <c r="BI408" s="323"/>
      <c r="BJ408" s="323"/>
      <c r="BK408" s="325" t="s">
        <v>2064</v>
      </c>
    </row>
    <row r="409" spans="1:63" x14ac:dyDescent="0.3">
      <c r="A409" s="396">
        <v>82995</v>
      </c>
      <c r="B409" s="397" t="s">
        <v>1477</v>
      </c>
      <c r="C409" s="398" t="s">
        <v>256</v>
      </c>
      <c r="D409" s="399">
        <v>10.7</v>
      </c>
      <c r="E409" s="290"/>
      <c r="F409" s="400"/>
      <c r="G409" s="400" t="s">
        <v>883</v>
      </c>
      <c r="H409" s="401">
        <v>0</v>
      </c>
      <c r="I409" s="292">
        <v>103003</v>
      </c>
      <c r="J409" s="293">
        <v>10.7</v>
      </c>
      <c r="K409" s="402">
        <v>720</v>
      </c>
      <c r="L409" s="403">
        <f>IF(tabItens[[#This Row],[Média]] &gt; 0, tabItens[[#This Row],[QTDE ATUAL]] / tabItens[[#This Row],[Média]],999.9)</f>
        <v>0</v>
      </c>
      <c r="M409" s="404">
        <v>0</v>
      </c>
      <c r="N409" s="405">
        <f>tabItens[[#This Row],[VALOR UNIT.]] * tabItens[[#This Row],[LC]]</f>
        <v>0</v>
      </c>
      <c r="O409" s="406" t="s">
        <v>2116</v>
      </c>
      <c r="P409" s="407"/>
      <c r="Q409" s="408"/>
      <c r="R409" s="297"/>
      <c r="S409" s="409"/>
      <c r="T409" s="410">
        <f>ROUNDDOWN(IFERROR(tabItens[[#This Row],[ATA DT.VALID.]] - $D$1,0) / 30,0)</f>
        <v>-1504</v>
      </c>
      <c r="U409" s="287" t="s">
        <v>1026</v>
      </c>
      <c r="V409" s="303">
        <v>1</v>
      </c>
      <c r="W409" s="411" t="s">
        <v>2049</v>
      </c>
      <c r="X409" s="412">
        <v>51</v>
      </c>
      <c r="Y409" s="413">
        <v>8</v>
      </c>
      <c r="Z409" s="414">
        <v>2989</v>
      </c>
      <c r="AA409" s="415">
        <v>2023</v>
      </c>
      <c r="AB409" s="416">
        <v>300</v>
      </c>
      <c r="AC409" s="416"/>
      <c r="AD409" s="415"/>
      <c r="AE409" s="416"/>
      <c r="AF409" s="302"/>
      <c r="AG409" s="417" t="s">
        <v>2050</v>
      </c>
      <c r="AH409" s="418"/>
      <c r="AI409" s="302">
        <v>240</v>
      </c>
      <c r="AJ409" s="418">
        <v>44599</v>
      </c>
      <c r="AK409" s="311">
        <v>38317</v>
      </c>
      <c r="AL409" s="311">
        <v>44592</v>
      </c>
      <c r="AM409" s="301"/>
      <c r="AN409" s="290"/>
      <c r="AO409" s="312" t="str">
        <f>_xlfn.IFNA(IF(VLOOKUP(tabItens[[#This Row],[CÓDIGO]],tabExcluirDoEstoque[#Data],1,FALSE),"sim",""),"")</f>
        <v/>
      </c>
      <c r="AP409" s="419" t="str">
        <f ca="1">IF(OR(ISBLANK(tabItens[[#This Row],[ATA DT.VALID.]]),tabItens[[#This Row],[ATA DT.VALID.]]="",tabItens[[#This Row],[ATA DT.VALID.]]=" "),"",IF(TYPE(tabItens[[#This Row],[ATA DT.VALID.]])=1,ROUNDUP((tabItens[[#This Row],[ATA DT.VALID.]]-TODAY())/7,0),""))</f>
        <v/>
      </c>
      <c r="AQ409" s="314">
        <v>0</v>
      </c>
      <c r="AR409" s="315" t="str">
        <f>IF(ISBLANK(tabItens[[#This Row],[CÓDIGO]]),"",IFERROR(VLOOKUP(tabItens[[#This Row],[CÓDIGO]],Consumo!$C$2:$AC$869,26,FALSE),0))</f>
        <v>06.2023</v>
      </c>
      <c r="AS409" s="316">
        <f>SUMIF(Consumo!$C$3:$C$869,tabItens[[#This Row],[CÓDIGO]],Consumo!$N$3:$N$869) + SUMIF(Consumo!$C$3:$C$869,tabItens[[#This Row],[CÓDIGO]],Consumo!$O$3:$O$869) + SUMIF(Consumo!$C$3:$C$869,tabItens[[#This Row],[CÓDIGO]],Consumo!$P$3:$P$869) + SUMIF(Consumo!$C$3:$C$869,tabItens[[#This Row],[CÓDIGO]],Consumo!$Q$3:$Q$869)</f>
        <v>340</v>
      </c>
      <c r="AT409" s="316">
        <f>SUMIF(Consumo!$C$3:$C$869,tabItens[[#This Row],[CÓDIGO]],Consumo!$Z$3:$Z$869)</f>
        <v>980</v>
      </c>
      <c r="AU409" s="317">
        <f>SUMIF(Consumo!$C$3:$C$869,tabItens[[#This Row],[CÓDIGO]],Consumo!$AA$3:$AA$869)</f>
        <v>340</v>
      </c>
      <c r="AV409" s="318">
        <f>SUMIF(Consumo!$C$3:$C$869,tabItens[[#This Row],[CÓDIGO]],Consumo!$Y$3:$Y$869)</f>
        <v>78.416666666666671</v>
      </c>
      <c r="AW409" s="401">
        <f>tabItens[[#This Row],[QTDE ATUAL]] + tabItens[[#This Row],[RC QTDE]] + tabItens[[#This Row],[AF SALDO]] + tabItens[[#This Row],[Recentes]]</f>
        <v>300</v>
      </c>
      <c r="AX409" s="420">
        <v>59</v>
      </c>
      <c r="AY409" s="420">
        <v>4</v>
      </c>
      <c r="AZ409" s="420">
        <f>IF(ISBLANK(tabItens[[#This Row],[CÓDIGO]]),"",tabItens[[#This Row],[PontoMês]] * (AZ$2+tabItens[[#This Row],[PontoQtM]]))</f>
        <v>236</v>
      </c>
      <c r="BA409" s="421">
        <f>tabItens[[#This Row],[PontoPed]] - tabItens[[#This Row],[Saldo]] + (1/10)</f>
        <v>-63.9</v>
      </c>
      <c r="BB409" s="421">
        <f xml:space="preserve"> tabItens[[#This Row],[PontoMês]] * BB$2 - tabItens[[#This Row],[QTDE ATUAL]] - (1/10)</f>
        <v>58.9</v>
      </c>
      <c r="BC409" s="320">
        <f>IF( tabItens[[#This Row],[PontoPed]]&gt;0, IF(tabItens[[#This Row],[PontoPed]]&lt;1, 1, IF( tabItens[[#This Row],[Saldo]]&gt;tabItens[[#This Row],[PontoPed]], 0, (tabItens[[#This Row],[PontoPed]]-tabItens[[#This Row],[Saldo]])/tabItens[[#This Row],[PontoPed]] ) ), 0 )</f>
        <v>0</v>
      </c>
      <c r="BD409" s="422">
        <f>ROUNDDOWN(IF( OR( AND(tabItens[[#This Row],[PontoPed]]&lt;tabItens[[#This Row],[Saldo]],tabItens[[#This Row],[Saldo]]&gt;0), tabItens[[#This Row],[PontoPed]]=0), 99, IF(AND(tabItens[[#This Row],[Saldo]]=0,tabItens[[#This Row],[PontoPed]]&gt;0), 0, (1-tabItens[[#This Row],[PctAb]])*10 ) ),0)</f>
        <v>99</v>
      </c>
      <c r="BE409" s="423">
        <f>MAX(ROUNDDOWN( IF(tabItens[[#This Row],[Abaixo]] &gt; 0,   tabItens[[#This Row],[Abaixo]] + (tabItens[[#This Row],[PontoMês]] * IF( OR( ISBLANK(tabItens[[#This Row],[ATA Nº/ANO]]), tabItens[[#This Row],[ATA Nº/ANO]] = ""),BE$2,BE$1)),0),0),0)</f>
        <v>0</v>
      </c>
      <c r="BF40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23">
        <f>SUMIF(Consumo!$C$3:$C$869,tabItens[[#This Row],[CÓDIGO]],Consumo!$E$3:$E$869)</f>
        <v>260</v>
      </c>
      <c r="BH409" s="324">
        <f>IF(AND(tabItens[[#This Row],[Pend]] &gt; 0,tabItens[[#This Row],[Consumo]] &lt;&gt; 0), tabItens[[#This Row],[Pend]] / tabItens[[#This Row],[Consumo]], 0 )</f>
        <v>0.26530612244897961</v>
      </c>
      <c r="BI409" s="323"/>
      <c r="BJ409" s="424"/>
      <c r="BK409" s="425" t="s">
        <v>2064</v>
      </c>
    </row>
    <row r="410" spans="1:63" x14ac:dyDescent="0.3">
      <c r="A410" s="396">
        <v>136554</v>
      </c>
      <c r="B410" s="397" t="s">
        <v>1915</v>
      </c>
      <c r="C410" s="398" t="s">
        <v>256</v>
      </c>
      <c r="D410" s="399">
        <v>7.45</v>
      </c>
      <c r="E410" s="290"/>
      <c r="F410" s="400"/>
      <c r="G410" s="400" t="s">
        <v>883</v>
      </c>
      <c r="H410" s="401">
        <v>0</v>
      </c>
      <c r="I410" s="292">
        <v>103003</v>
      </c>
      <c r="J410" s="293">
        <v>7.45</v>
      </c>
      <c r="K410" s="402">
        <v>678</v>
      </c>
      <c r="L410" s="403">
        <f>IF(tabItens[[#This Row],[Média]] &gt; 0, tabItens[[#This Row],[QTDE ATUAL]] / tabItens[[#This Row],[Média]],999.9)</f>
        <v>0</v>
      </c>
      <c r="M410" s="404">
        <v>0</v>
      </c>
      <c r="N410" s="405">
        <f>tabItens[[#This Row],[VALOR UNIT.]] * tabItens[[#This Row],[LC]]</f>
        <v>0</v>
      </c>
      <c r="O410" s="406" t="s">
        <v>2116</v>
      </c>
      <c r="P410" s="407"/>
      <c r="Q410" s="408"/>
      <c r="R410" s="297"/>
      <c r="S410" s="409"/>
      <c r="T410" s="410">
        <f>ROUNDDOWN(IFERROR(tabItens[[#This Row],[ATA DT.VALID.]] - $D$1,0) / 30,0)</f>
        <v>-1504</v>
      </c>
      <c r="U410" s="287" t="s">
        <v>1090</v>
      </c>
      <c r="V410" s="303">
        <v>1</v>
      </c>
      <c r="W410" s="411" t="s">
        <v>2049</v>
      </c>
      <c r="X410" s="412">
        <v>51</v>
      </c>
      <c r="Y410" s="413">
        <v>9</v>
      </c>
      <c r="Z410" s="414">
        <v>2640</v>
      </c>
      <c r="AA410" s="415">
        <v>2023</v>
      </c>
      <c r="AB410" s="416">
        <v>2000</v>
      </c>
      <c r="AC410" s="416"/>
      <c r="AD410" s="415"/>
      <c r="AE410" s="416"/>
      <c r="AF410" s="302"/>
      <c r="AG410" s="417" t="s">
        <v>2050</v>
      </c>
      <c r="AH410" s="418"/>
      <c r="AI410" s="302">
        <v>248</v>
      </c>
      <c r="AJ410" s="418">
        <v>44547</v>
      </c>
      <c r="AK410" s="311">
        <v>43518</v>
      </c>
      <c r="AL410" s="311">
        <v>44985</v>
      </c>
      <c r="AM410" s="301"/>
      <c r="AN410" s="290"/>
      <c r="AO410" s="312" t="str">
        <f>_xlfn.IFNA(IF(VLOOKUP(tabItens[[#This Row],[CÓDIGO]],tabExcluirDoEstoque[#Data],1,FALSE),"sim",""),"")</f>
        <v/>
      </c>
      <c r="AP410" s="419" t="str">
        <f ca="1">IF(OR(ISBLANK(tabItens[[#This Row],[ATA DT.VALID.]]),tabItens[[#This Row],[ATA DT.VALID.]]="",tabItens[[#This Row],[ATA DT.VALID.]]=" "),"",IF(TYPE(tabItens[[#This Row],[ATA DT.VALID.]])=1,ROUNDUP((tabItens[[#This Row],[ATA DT.VALID.]]-TODAY())/7,0),""))</f>
        <v/>
      </c>
      <c r="AQ410" s="314">
        <v>0</v>
      </c>
      <c r="AR410" s="315" t="str">
        <f>IF(ISBLANK(tabItens[[#This Row],[CÓDIGO]]),"",IFERROR(VLOOKUP(tabItens[[#This Row],[CÓDIGO]],Consumo!$C$2:$AC$869,26,FALSE),0))</f>
        <v>03.2023</v>
      </c>
      <c r="AS410" s="316">
        <f>SUMIF(Consumo!$C$3:$C$869,tabItens[[#This Row],[CÓDIGO]],Consumo!$N$3:$N$869) + SUMIF(Consumo!$C$3:$C$869,tabItens[[#This Row],[CÓDIGO]],Consumo!$O$3:$O$869) + SUMIF(Consumo!$C$3:$C$869,tabItens[[#This Row],[CÓDIGO]],Consumo!$P$3:$P$869) + SUMIF(Consumo!$C$3:$C$869,tabItens[[#This Row],[CÓDIGO]],Consumo!$Q$3:$Q$869)</f>
        <v>0</v>
      </c>
      <c r="AT410" s="316">
        <f>SUMIF(Consumo!$C$3:$C$869,tabItens[[#This Row],[CÓDIGO]],Consumo!$Z$3:$Z$869)</f>
        <v>959</v>
      </c>
      <c r="AU410" s="317">
        <f>SUMIF(Consumo!$C$3:$C$869,tabItens[[#This Row],[CÓDIGO]],Consumo!$AA$3:$AA$869)</f>
        <v>180</v>
      </c>
      <c r="AV410" s="318">
        <f>SUMIF(Consumo!$C$3:$C$869,tabItens[[#This Row],[CÓDIGO]],Consumo!$Y$3:$Y$869)</f>
        <v>79.916666666666671</v>
      </c>
      <c r="AW410" s="401">
        <f>tabItens[[#This Row],[QTDE ATUAL]] + tabItens[[#This Row],[RC QTDE]] + tabItens[[#This Row],[AF SALDO]] + tabItens[[#This Row],[Recentes]]</f>
        <v>2000</v>
      </c>
      <c r="AX410" s="420">
        <v>87</v>
      </c>
      <c r="AY410" s="420">
        <v>4</v>
      </c>
      <c r="AZ410" s="420">
        <f>IF(ISBLANK(tabItens[[#This Row],[CÓDIGO]]),"",tabItens[[#This Row],[PontoMês]] * (AZ$2+tabItens[[#This Row],[PontoQtM]]))</f>
        <v>348</v>
      </c>
      <c r="BA410" s="421">
        <f>tabItens[[#This Row],[PontoPed]] - tabItens[[#This Row],[Saldo]] + (1/10)</f>
        <v>-1651.9</v>
      </c>
      <c r="BB410" s="421">
        <f xml:space="preserve"> tabItens[[#This Row],[PontoMês]] * BB$2 - tabItens[[#This Row],[QTDE ATUAL]] - (1/10)</f>
        <v>86.9</v>
      </c>
      <c r="BC410" s="320">
        <f>IF( tabItens[[#This Row],[PontoPed]]&gt;0, IF(tabItens[[#This Row],[PontoPed]]&lt;1, 1, IF( tabItens[[#This Row],[Saldo]]&gt;tabItens[[#This Row],[PontoPed]], 0, (tabItens[[#This Row],[PontoPed]]-tabItens[[#This Row],[Saldo]])/tabItens[[#This Row],[PontoPed]] ) ), 0 )</f>
        <v>0</v>
      </c>
      <c r="BD410" s="422">
        <f>ROUNDDOWN(IF( OR( AND(tabItens[[#This Row],[PontoPed]]&lt;tabItens[[#This Row],[Saldo]],tabItens[[#This Row],[Saldo]]&gt;0), tabItens[[#This Row],[PontoPed]]=0), 99, IF(AND(tabItens[[#This Row],[Saldo]]=0,tabItens[[#This Row],[PontoPed]]&gt;0), 0, (1-tabItens[[#This Row],[PctAb]])*10 ) ),0)</f>
        <v>99</v>
      </c>
      <c r="BE410" s="423">
        <f>MAX(ROUNDDOWN( IF(tabItens[[#This Row],[Abaixo]] &gt; 0,   tabItens[[#This Row],[Abaixo]] + (tabItens[[#This Row],[PontoMês]] * IF( OR( ISBLANK(tabItens[[#This Row],[ATA Nº/ANO]]), tabItens[[#This Row],[ATA Nº/ANO]] = ""),BE$2,BE$1)),0),0),0)</f>
        <v>0</v>
      </c>
      <c r="BF41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23">
        <f>SUMIF(Consumo!$C$3:$C$869,tabItens[[#This Row],[CÓDIGO]],Consumo!$E$3:$E$869)</f>
        <v>214</v>
      </c>
      <c r="BH410" s="324">
        <f>IF(AND(tabItens[[#This Row],[Pend]] &gt; 0,tabItens[[#This Row],[Consumo]] &lt;&gt; 0), tabItens[[#This Row],[Pend]] / tabItens[[#This Row],[Consumo]], 0 )</f>
        <v>0.22314911366006257</v>
      </c>
      <c r="BI410" s="323"/>
      <c r="BJ410" s="424"/>
      <c r="BK410" s="425" t="s">
        <v>2064</v>
      </c>
    </row>
    <row r="411" spans="1:63" x14ac:dyDescent="0.3">
      <c r="A411" s="396">
        <v>136555</v>
      </c>
      <c r="B411" s="397" t="s">
        <v>1916</v>
      </c>
      <c r="C411" s="398" t="s">
        <v>256</v>
      </c>
      <c r="D411" s="399">
        <v>8.89</v>
      </c>
      <c r="E411" s="290"/>
      <c r="F411" s="400"/>
      <c r="G411" s="400" t="s">
        <v>883</v>
      </c>
      <c r="H411" s="401">
        <v>0</v>
      </c>
      <c r="I411" s="292">
        <v>103003</v>
      </c>
      <c r="J411" s="293">
        <v>8.89</v>
      </c>
      <c r="K411" s="402">
        <v>1044</v>
      </c>
      <c r="L411" s="403">
        <f>IF(tabItens[[#This Row],[Média]] &gt; 0, tabItens[[#This Row],[QTDE ATUAL]] / tabItens[[#This Row],[Média]],999.9)</f>
        <v>0</v>
      </c>
      <c r="M411" s="404">
        <v>0</v>
      </c>
      <c r="N411" s="405">
        <f>tabItens[[#This Row],[VALOR UNIT.]] * tabItens[[#This Row],[LC]]</f>
        <v>0</v>
      </c>
      <c r="O411" s="406" t="s">
        <v>2116</v>
      </c>
      <c r="P411" s="407"/>
      <c r="Q411" s="408"/>
      <c r="R411" s="297"/>
      <c r="S411" s="409"/>
      <c r="T411" s="410">
        <f>ROUNDDOWN(IFERROR(tabItens[[#This Row],[ATA DT.VALID.]] - $D$1,0) / 30,0)</f>
        <v>-1504</v>
      </c>
      <c r="U411" s="287" t="s">
        <v>1090</v>
      </c>
      <c r="V411" s="303">
        <v>1</v>
      </c>
      <c r="W411" s="411" t="s">
        <v>2049</v>
      </c>
      <c r="X411" s="412">
        <v>51</v>
      </c>
      <c r="Y411" s="413">
        <v>9</v>
      </c>
      <c r="Z411" s="414">
        <v>9002</v>
      </c>
      <c r="AA411" s="415">
        <v>2023</v>
      </c>
      <c r="AB411" s="416">
        <v>750</v>
      </c>
      <c r="AC411" s="416"/>
      <c r="AD411" s="415"/>
      <c r="AE411" s="416"/>
      <c r="AF411" s="302"/>
      <c r="AG411" s="417" t="s">
        <v>2050</v>
      </c>
      <c r="AH411" s="418"/>
      <c r="AI411" s="302">
        <v>690</v>
      </c>
      <c r="AJ411" s="418">
        <v>44931</v>
      </c>
      <c r="AK411" s="311">
        <v>43518</v>
      </c>
      <c r="AL411" s="311">
        <v>44985</v>
      </c>
      <c r="AM411" s="301"/>
      <c r="AN411" s="290"/>
      <c r="AO411" s="312" t="str">
        <f>_xlfn.IFNA(IF(VLOOKUP(tabItens[[#This Row],[CÓDIGO]],tabExcluirDoEstoque[#Data],1,FALSE),"sim",""),"")</f>
        <v/>
      </c>
      <c r="AP411" s="419" t="str">
        <f ca="1">IF(OR(ISBLANK(tabItens[[#This Row],[ATA DT.VALID.]]),tabItens[[#This Row],[ATA DT.VALID.]]="",tabItens[[#This Row],[ATA DT.VALID.]]=" "),"",IF(TYPE(tabItens[[#This Row],[ATA DT.VALID.]])=1,ROUNDUP((tabItens[[#This Row],[ATA DT.VALID.]]-TODAY())/7,0),""))</f>
        <v/>
      </c>
      <c r="AQ411" s="314">
        <v>0</v>
      </c>
      <c r="AR411" s="315" t="str">
        <f>IF(ISBLANK(tabItens[[#This Row],[CÓDIGO]]),"",IFERROR(VLOOKUP(tabItens[[#This Row],[CÓDIGO]],Consumo!$C$2:$AC$869,26,FALSE),0))</f>
        <v>06.2023</v>
      </c>
      <c r="AS411" s="316">
        <f>SUMIF(Consumo!$C$3:$C$869,tabItens[[#This Row],[CÓDIGO]],Consumo!$N$3:$N$869) + SUMIF(Consumo!$C$3:$C$869,tabItens[[#This Row],[CÓDIGO]],Consumo!$O$3:$O$869) + SUMIF(Consumo!$C$3:$C$869,tabItens[[#This Row],[CÓDIGO]],Consumo!$P$3:$P$869) + SUMIF(Consumo!$C$3:$C$869,tabItens[[#This Row],[CÓDIGO]],Consumo!$Q$3:$Q$869)</f>
        <v>810</v>
      </c>
      <c r="AT411" s="316">
        <f>SUMIF(Consumo!$C$3:$C$869,tabItens[[#This Row],[CÓDIGO]],Consumo!$Z$3:$Z$869)</f>
        <v>1323</v>
      </c>
      <c r="AU411" s="317">
        <f>SUMIF(Consumo!$C$3:$C$869,tabItens[[#This Row],[CÓDIGO]],Consumo!$AA$3:$AA$869)</f>
        <v>500</v>
      </c>
      <c r="AV411" s="318">
        <f>SUMIF(Consumo!$C$3:$C$869,tabItens[[#This Row],[CÓDIGO]],Consumo!$Y$3:$Y$869)</f>
        <v>103.66666666666667</v>
      </c>
      <c r="AW411" s="401">
        <f>tabItens[[#This Row],[QTDE ATUAL]] + tabItens[[#This Row],[RC QTDE]] + tabItens[[#This Row],[AF SALDO]] + tabItens[[#This Row],[Recentes]]</f>
        <v>750</v>
      </c>
      <c r="AX411" s="420">
        <v>108</v>
      </c>
      <c r="AY411" s="420">
        <v>4</v>
      </c>
      <c r="AZ411" s="420">
        <f>IF(ISBLANK(tabItens[[#This Row],[CÓDIGO]]),"",tabItens[[#This Row],[PontoMês]] * (AZ$2+tabItens[[#This Row],[PontoQtM]]))</f>
        <v>432</v>
      </c>
      <c r="BA411" s="421">
        <f>tabItens[[#This Row],[PontoPed]] - tabItens[[#This Row],[Saldo]] + (1/10)</f>
        <v>-317.89999999999998</v>
      </c>
      <c r="BB411" s="421">
        <f xml:space="preserve"> tabItens[[#This Row],[PontoMês]] * BB$2 - tabItens[[#This Row],[QTDE ATUAL]] - (1/10)</f>
        <v>107.9</v>
      </c>
      <c r="BC411" s="320">
        <f>IF( tabItens[[#This Row],[PontoPed]]&gt;0, IF(tabItens[[#This Row],[PontoPed]]&lt;1, 1, IF( tabItens[[#This Row],[Saldo]]&gt;tabItens[[#This Row],[PontoPed]], 0, (tabItens[[#This Row],[PontoPed]]-tabItens[[#This Row],[Saldo]])/tabItens[[#This Row],[PontoPed]] ) ), 0 )</f>
        <v>0</v>
      </c>
      <c r="BD411" s="422">
        <f>ROUNDDOWN(IF( OR( AND(tabItens[[#This Row],[PontoPed]]&lt;tabItens[[#This Row],[Saldo]],tabItens[[#This Row],[Saldo]]&gt;0), tabItens[[#This Row],[PontoPed]]=0), 99, IF(AND(tabItens[[#This Row],[Saldo]]=0,tabItens[[#This Row],[PontoPed]]&gt;0), 0, (1-tabItens[[#This Row],[PctAb]])*10 ) ),0)</f>
        <v>99</v>
      </c>
      <c r="BE411" s="423">
        <f>MAX(ROUNDDOWN( IF(tabItens[[#This Row],[Abaixo]] &gt; 0,   tabItens[[#This Row],[Abaixo]] + (tabItens[[#This Row],[PontoMês]] * IF( OR( ISBLANK(tabItens[[#This Row],[ATA Nº/ANO]]), tabItens[[#This Row],[ATA Nº/ANO]] = ""),BE$2,BE$1)),0),0),0)</f>
        <v>0</v>
      </c>
      <c r="BF411"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23">
        <f>SUMIF(Consumo!$C$3:$C$869,tabItens[[#This Row],[CÓDIGO]],Consumo!$E$3:$E$869)</f>
        <v>252</v>
      </c>
      <c r="BH411" s="324">
        <f>IF(AND(tabItens[[#This Row],[Pend]] &gt; 0,tabItens[[#This Row],[Consumo]] &lt;&gt; 0), tabItens[[#This Row],[Pend]] / tabItens[[#This Row],[Consumo]], 0 )</f>
        <v>0.19047619047619047</v>
      </c>
      <c r="BI411" s="323"/>
      <c r="BJ411" s="424"/>
      <c r="BK411" s="425" t="s">
        <v>2064</v>
      </c>
    </row>
    <row r="412" spans="1:63" hidden="1" x14ac:dyDescent="0.3">
      <c r="A412" s="286">
        <v>28093</v>
      </c>
      <c r="B412" s="287" t="s">
        <v>1229</v>
      </c>
      <c r="C412" s="288" t="s">
        <v>256</v>
      </c>
      <c r="D412" s="289">
        <v>44.99</v>
      </c>
      <c r="E412" s="290"/>
      <c r="F412" s="290"/>
      <c r="G412" s="290" t="s">
        <v>883</v>
      </c>
      <c r="H412" s="291">
        <v>178</v>
      </c>
      <c r="I412" s="292">
        <v>103003</v>
      </c>
      <c r="J412" s="293">
        <v>44.99</v>
      </c>
      <c r="K412" s="294">
        <v>3</v>
      </c>
      <c r="L412" s="295">
        <f>IF(tabItens[[#This Row],[Média]] &gt; 0, tabItens[[#This Row],[QTDE ATUAL]] / tabItens[[#This Row],[Média]],999.9)</f>
        <v>2136</v>
      </c>
      <c r="M412" s="296">
        <v>0</v>
      </c>
      <c r="N412" s="297">
        <f>tabItens[[#This Row],[VALOR UNIT.]] * tabItens[[#This Row],[LC]]</f>
        <v>0</v>
      </c>
      <c r="O412" s="298" t="s">
        <v>2116</v>
      </c>
      <c r="P412" s="299"/>
      <c r="Q412" s="300"/>
      <c r="R412" s="297"/>
      <c r="S412" s="301"/>
      <c r="T412" s="302">
        <f>ROUNDDOWN(IFERROR(tabItens[[#This Row],[ATA DT.VALID.]] - $D$1,0) / 30,0)</f>
        <v>-1504</v>
      </c>
      <c r="U412" s="287" t="s">
        <v>1003</v>
      </c>
      <c r="V412" s="303">
        <v>1</v>
      </c>
      <c r="W412" s="304" t="s">
        <v>2057</v>
      </c>
      <c r="X412" s="305">
        <v>51</v>
      </c>
      <c r="Y412" s="306">
        <v>11</v>
      </c>
      <c r="Z412" s="307"/>
      <c r="AA412" s="308"/>
      <c r="AB412" s="309"/>
      <c r="AC412" s="309"/>
      <c r="AD412" s="308"/>
      <c r="AE412" s="309"/>
      <c r="AF412" s="302"/>
      <c r="AG412" s="310" t="s">
        <v>2050</v>
      </c>
      <c r="AH412" s="311"/>
      <c r="AI412" s="302">
        <v>2</v>
      </c>
      <c r="AJ412" s="311">
        <v>44553</v>
      </c>
      <c r="AK412" s="311" t="s">
        <v>883</v>
      </c>
      <c r="AL412" s="311">
        <v>44547</v>
      </c>
      <c r="AM412" s="301"/>
      <c r="AN412" s="290"/>
      <c r="AO412" s="312" t="str">
        <f>_xlfn.IFNA(IF(VLOOKUP(tabItens[[#This Row],[CÓDIGO]],tabExcluirDoEstoque[#Data],1,FALSE),"sim",""),"")</f>
        <v/>
      </c>
      <c r="AP412" s="313" t="str">
        <f ca="1">IF(OR(ISBLANK(tabItens[[#This Row],[ATA DT.VALID.]]),tabItens[[#This Row],[ATA DT.VALID.]]="",tabItens[[#This Row],[ATA DT.VALID.]]=" "),"",IF(TYPE(tabItens[[#This Row],[ATA DT.VALID.]])=1,ROUNDUP((tabItens[[#This Row],[ATA DT.VALID.]]-TODAY())/7,0),""))</f>
        <v/>
      </c>
      <c r="AQ412" s="314">
        <v>0</v>
      </c>
      <c r="AR412" s="315" t="str">
        <f>IF(ISBLANK(tabItens[[#This Row],[CÓDIGO]]),"",IFERROR(VLOOKUP(tabItens[[#This Row],[CÓDIGO]],Consumo!$C$2:$AC$869,26,FALSE),0))</f>
        <v>10.2022</v>
      </c>
      <c r="AS412" s="316">
        <f>SUMIF(Consumo!$C$3:$C$869,tabItens[[#This Row],[CÓDIGO]],Consumo!$N$3:$N$869) + SUMIF(Consumo!$C$3:$C$869,tabItens[[#This Row],[CÓDIGO]],Consumo!$O$3:$O$869) + SUMIF(Consumo!$C$3:$C$869,tabItens[[#This Row],[CÓDIGO]],Consumo!$P$3:$P$869) + SUMIF(Consumo!$C$3:$C$869,tabItens[[#This Row],[CÓDIGO]],Consumo!$Q$3:$Q$869)</f>
        <v>0</v>
      </c>
      <c r="AT412" s="316">
        <f>SUMIF(Consumo!$C$3:$C$869,tabItens[[#This Row],[CÓDIGO]],Consumo!$Z$3:$Z$869)</f>
        <v>3</v>
      </c>
      <c r="AU412" s="317">
        <f>SUMIF(Consumo!$C$3:$C$869,tabItens[[#This Row],[CÓDIGO]],Consumo!$AA$3:$AA$869)</f>
        <v>3</v>
      </c>
      <c r="AV412" s="318">
        <f>SUMIF(Consumo!$C$3:$C$869,tabItens[[#This Row],[CÓDIGO]],Consumo!$Y$3:$Y$869)</f>
        <v>8.3333333333333329E-2</v>
      </c>
      <c r="AW412" s="291">
        <f>tabItens[[#This Row],[QTDE ATUAL]] + tabItens[[#This Row],[RC QTDE]] + tabItens[[#This Row],[AF SALDO]] + tabItens[[#This Row],[Recentes]]</f>
        <v>178</v>
      </c>
      <c r="AX412" s="319">
        <v>8</v>
      </c>
      <c r="AY412" s="319">
        <v>4</v>
      </c>
      <c r="AZ412" s="319">
        <f>IF(ISBLANK(tabItens[[#This Row],[CÓDIGO]]),"",tabItens[[#This Row],[PontoMês]] * (AZ$2+tabItens[[#This Row],[PontoQtM]]))</f>
        <v>32</v>
      </c>
      <c r="BA412" s="318">
        <f>tabItens[[#This Row],[PontoPed]] - tabItens[[#This Row],[Saldo]] + (1/10)</f>
        <v>-145.9</v>
      </c>
      <c r="BB412" s="318">
        <f xml:space="preserve"> tabItens[[#This Row],[PontoMês]] * BB$2 - tabItens[[#This Row],[QTDE ATUAL]] - (1/10)</f>
        <v>-170.1</v>
      </c>
      <c r="BC412" s="320">
        <f>IF( tabItens[[#This Row],[PontoPed]]&gt;0, IF(tabItens[[#This Row],[PontoPed]]&lt;1, 1, IF( tabItens[[#This Row],[Saldo]]&gt;tabItens[[#This Row],[PontoPed]], 0, (tabItens[[#This Row],[PontoPed]]-tabItens[[#This Row],[Saldo]])/tabItens[[#This Row],[PontoPed]] ) ), 0 )</f>
        <v>0</v>
      </c>
      <c r="BD412" s="321">
        <f>ROUNDDOWN(IF( OR( AND(tabItens[[#This Row],[PontoPed]]&lt;tabItens[[#This Row],[Saldo]],tabItens[[#This Row],[Saldo]]&gt;0), tabItens[[#This Row],[PontoPed]]=0), 99, IF(AND(tabItens[[#This Row],[Saldo]]=0,tabItens[[#This Row],[PontoPed]]&gt;0), 0, (1-tabItens[[#This Row],[PctAb]])*10 ) ),0)</f>
        <v>99</v>
      </c>
      <c r="BE412" s="322">
        <f>MAX(ROUNDDOWN( IF(tabItens[[#This Row],[Abaixo]] &gt; 0,   tabItens[[#This Row],[Abaixo]] + (tabItens[[#This Row],[PontoMês]] * IF( OR( ISBLANK(tabItens[[#This Row],[ATA Nº/ANO]]), tabItens[[#This Row],[ATA Nº/ANO]] = ""),BE$2,BE$1)),0),0),0)</f>
        <v>0</v>
      </c>
      <c r="BF4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23">
        <f>SUMIF(Consumo!$C$3:$C$869,tabItens[[#This Row],[CÓDIGO]],Consumo!$E$3:$E$869)</f>
        <v>0</v>
      </c>
      <c r="BH412" s="324">
        <f>IF(AND(tabItens[[#This Row],[Pend]] &gt; 0,tabItens[[#This Row],[Consumo]] &lt;&gt; 0), tabItens[[#This Row],[Pend]] / tabItens[[#This Row],[Consumo]], 0 )</f>
        <v>0</v>
      </c>
      <c r="BI412" s="323"/>
      <c r="BJ412" s="323"/>
      <c r="BK412" s="325" t="s">
        <v>2064</v>
      </c>
    </row>
    <row r="413" spans="1:63" x14ac:dyDescent="0.3">
      <c r="A413" s="396">
        <v>105293</v>
      </c>
      <c r="B413" s="397" t="s">
        <v>1612</v>
      </c>
      <c r="C413" s="398" t="s">
        <v>256</v>
      </c>
      <c r="D413" s="399">
        <v>6</v>
      </c>
      <c r="E413" s="290"/>
      <c r="F413" s="400"/>
      <c r="G413" s="400" t="s">
        <v>883</v>
      </c>
      <c r="H413" s="401">
        <v>0</v>
      </c>
      <c r="I413" s="292">
        <v>103003</v>
      </c>
      <c r="J413" s="293">
        <v>6</v>
      </c>
      <c r="K413" s="402">
        <v>907</v>
      </c>
      <c r="L413" s="403">
        <f>IF(tabItens[[#This Row],[Média]] &gt; 0, tabItens[[#This Row],[QTDE ATUAL]] / tabItens[[#This Row],[Média]],999.9)</f>
        <v>0</v>
      </c>
      <c r="M413" s="404">
        <v>0</v>
      </c>
      <c r="N413" s="405">
        <f>tabItens[[#This Row],[VALOR UNIT.]] * tabItens[[#This Row],[LC]]</f>
        <v>0</v>
      </c>
      <c r="O413" s="406" t="s">
        <v>2116</v>
      </c>
      <c r="P413" s="407"/>
      <c r="Q413" s="408"/>
      <c r="R413" s="297"/>
      <c r="S413" s="409"/>
      <c r="T413" s="410">
        <f>ROUNDDOWN(IFERROR(tabItens[[#This Row],[ATA DT.VALID.]] - $D$1,0) / 30,0)</f>
        <v>-1504</v>
      </c>
      <c r="U413" s="287" t="s">
        <v>1003</v>
      </c>
      <c r="V413" s="303">
        <v>1</v>
      </c>
      <c r="W413" s="411" t="s">
        <v>2057</v>
      </c>
      <c r="X413" s="412">
        <v>51</v>
      </c>
      <c r="Y413" s="413">
        <v>11</v>
      </c>
      <c r="Z413" s="414">
        <v>2638</v>
      </c>
      <c r="AA413" s="415">
        <v>2023</v>
      </c>
      <c r="AB413" s="416">
        <v>1000</v>
      </c>
      <c r="AC413" s="416"/>
      <c r="AD413" s="415"/>
      <c r="AE413" s="416"/>
      <c r="AF413" s="302"/>
      <c r="AG413" s="417" t="s">
        <v>2050</v>
      </c>
      <c r="AH413" s="418"/>
      <c r="AI413" s="302">
        <v>490</v>
      </c>
      <c r="AJ413" s="418">
        <v>44931</v>
      </c>
      <c r="AK413" s="311">
        <v>39506</v>
      </c>
      <c r="AL413" s="311">
        <v>44922</v>
      </c>
      <c r="AM413" s="301"/>
      <c r="AN413" s="290"/>
      <c r="AO413" s="312" t="str">
        <f>_xlfn.IFNA(IF(VLOOKUP(tabItens[[#This Row],[CÓDIGO]],tabExcluirDoEstoque[#Data],1,FALSE),"sim",""),"")</f>
        <v/>
      </c>
      <c r="AP413" s="419" t="str">
        <f ca="1">IF(OR(ISBLANK(tabItens[[#This Row],[ATA DT.VALID.]]),tabItens[[#This Row],[ATA DT.VALID.]]="",tabItens[[#This Row],[ATA DT.VALID.]]=" "),"",IF(TYPE(tabItens[[#This Row],[ATA DT.VALID.]])=1,ROUNDUP((tabItens[[#This Row],[ATA DT.VALID.]]-TODAY())/7,0),""))</f>
        <v/>
      </c>
      <c r="AQ413" s="314">
        <v>0</v>
      </c>
      <c r="AR413" s="315" t="str">
        <f>IF(ISBLANK(tabItens[[#This Row],[CÓDIGO]]),"",IFERROR(VLOOKUP(tabItens[[#This Row],[CÓDIGO]],Consumo!$C$2:$AC$869,26,FALSE),0))</f>
        <v>07.2023</v>
      </c>
      <c r="AS413" s="316">
        <f>SUMIF(Consumo!$C$3:$C$869,tabItens[[#This Row],[CÓDIGO]],Consumo!$N$3:$N$869) + SUMIF(Consumo!$C$3:$C$869,tabItens[[#This Row],[CÓDIGO]],Consumo!$O$3:$O$869) + SUMIF(Consumo!$C$3:$C$869,tabItens[[#This Row],[CÓDIGO]],Consumo!$P$3:$P$869) + SUMIF(Consumo!$C$3:$C$869,tabItens[[#This Row],[CÓDIGO]],Consumo!$Q$3:$Q$869)</f>
        <v>109</v>
      </c>
      <c r="AT413" s="316">
        <f>SUMIF(Consumo!$C$3:$C$869,tabItens[[#This Row],[CÓDIGO]],Consumo!$Z$3:$Z$869)</f>
        <v>1269</v>
      </c>
      <c r="AU413" s="317">
        <f>SUMIF(Consumo!$C$3:$C$869,tabItens[[#This Row],[CÓDIGO]],Consumo!$AA$3:$AA$869)</f>
        <v>230</v>
      </c>
      <c r="AV413" s="318">
        <f>SUMIF(Consumo!$C$3:$C$869,tabItens[[#This Row],[CÓDIGO]],Consumo!$Y$3:$Y$869)</f>
        <v>105.75</v>
      </c>
      <c r="AW413" s="401">
        <f>tabItens[[#This Row],[QTDE ATUAL]] + tabItens[[#This Row],[RC QTDE]] + tabItens[[#This Row],[AF SALDO]] + tabItens[[#This Row],[Recentes]]</f>
        <v>1000</v>
      </c>
      <c r="AX413" s="420">
        <v>163</v>
      </c>
      <c r="AY413" s="420">
        <v>4</v>
      </c>
      <c r="AZ413" s="420">
        <f>IF(ISBLANK(tabItens[[#This Row],[CÓDIGO]]),"",tabItens[[#This Row],[PontoMês]] * (AZ$2+tabItens[[#This Row],[PontoQtM]]))</f>
        <v>652</v>
      </c>
      <c r="BA413" s="421">
        <f>tabItens[[#This Row],[PontoPed]] - tabItens[[#This Row],[Saldo]] + (1/10)</f>
        <v>-347.9</v>
      </c>
      <c r="BB413" s="421">
        <f xml:space="preserve"> tabItens[[#This Row],[PontoMês]] * BB$2 - tabItens[[#This Row],[QTDE ATUAL]] - (1/10)</f>
        <v>162.9</v>
      </c>
      <c r="BC413" s="320">
        <f>IF( tabItens[[#This Row],[PontoPed]]&gt;0, IF(tabItens[[#This Row],[PontoPed]]&lt;1, 1, IF( tabItens[[#This Row],[Saldo]]&gt;tabItens[[#This Row],[PontoPed]], 0, (tabItens[[#This Row],[PontoPed]]-tabItens[[#This Row],[Saldo]])/tabItens[[#This Row],[PontoPed]] ) ), 0 )</f>
        <v>0</v>
      </c>
      <c r="BD413" s="422">
        <f>ROUNDDOWN(IF( OR( AND(tabItens[[#This Row],[PontoPed]]&lt;tabItens[[#This Row],[Saldo]],tabItens[[#This Row],[Saldo]]&gt;0), tabItens[[#This Row],[PontoPed]]=0), 99, IF(AND(tabItens[[#This Row],[Saldo]]=0,tabItens[[#This Row],[PontoPed]]&gt;0), 0, (1-tabItens[[#This Row],[PctAb]])*10 ) ),0)</f>
        <v>99</v>
      </c>
      <c r="BE413" s="423">
        <f>MAX(ROUNDDOWN( IF(tabItens[[#This Row],[Abaixo]] &gt; 0,   tabItens[[#This Row],[Abaixo]] + (tabItens[[#This Row],[PontoMês]] * IF( OR( ISBLANK(tabItens[[#This Row],[ATA Nº/ANO]]), tabItens[[#This Row],[ATA Nº/ANO]] = ""),BE$2,BE$1)),0),0),0)</f>
        <v>0</v>
      </c>
      <c r="BF41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23">
        <f>SUMIF(Consumo!$C$3:$C$869,tabItens[[#This Row],[CÓDIGO]],Consumo!$E$3:$E$869)</f>
        <v>200</v>
      </c>
      <c r="BH413" s="324">
        <f>IF(AND(tabItens[[#This Row],[Pend]] &gt; 0,tabItens[[#This Row],[Consumo]] &lt;&gt; 0), tabItens[[#This Row],[Pend]] / tabItens[[#This Row],[Consumo]], 0 )</f>
        <v>0.15760441292356187</v>
      </c>
      <c r="BI413" s="323"/>
      <c r="BJ413" s="424"/>
      <c r="BK413" s="425" t="s">
        <v>2064</v>
      </c>
    </row>
    <row r="414" spans="1:63" hidden="1" x14ac:dyDescent="0.3">
      <c r="A414" s="286">
        <v>136273</v>
      </c>
      <c r="B414" s="287" t="s">
        <v>1911</v>
      </c>
      <c r="C414" s="288" t="s">
        <v>31</v>
      </c>
      <c r="D414" s="289">
        <v>5.37</v>
      </c>
      <c r="E414" s="290"/>
      <c r="F414" s="290"/>
      <c r="G414" s="290" t="s">
        <v>883</v>
      </c>
      <c r="H414" s="291">
        <v>1138</v>
      </c>
      <c r="I414" s="292">
        <v>103003</v>
      </c>
      <c r="J414" s="293">
        <v>5.37</v>
      </c>
      <c r="K414" s="294">
        <v>1030</v>
      </c>
      <c r="L414" s="295">
        <f>IF(tabItens[[#This Row],[Média]] &gt; 0, tabItens[[#This Row],[QTDE ATUAL]] / tabItens[[#This Row],[Média]],999.9)</f>
        <v>12.644444444444444</v>
      </c>
      <c r="M414" s="296">
        <v>0</v>
      </c>
      <c r="N414" s="297">
        <f>tabItens[[#This Row],[VALOR UNIT.]] * tabItens[[#This Row],[LC]]</f>
        <v>0</v>
      </c>
      <c r="O414" s="298" t="s">
        <v>2116</v>
      </c>
      <c r="P414" s="299"/>
      <c r="Q414" s="300"/>
      <c r="R414" s="297"/>
      <c r="S414" s="301"/>
      <c r="T414" s="302">
        <f>ROUNDDOWN(IFERROR(tabItens[[#This Row],[ATA DT.VALID.]] - $D$1,0) / 30,0)</f>
        <v>-1504</v>
      </c>
      <c r="U414" s="287" t="s">
        <v>1003</v>
      </c>
      <c r="V414" s="303">
        <v>1</v>
      </c>
      <c r="W414" s="304" t="s">
        <v>2057</v>
      </c>
      <c r="X414" s="305">
        <v>51</v>
      </c>
      <c r="Y414" s="306">
        <v>11</v>
      </c>
      <c r="Z414" s="307">
        <v>2989</v>
      </c>
      <c r="AA414" s="308">
        <v>2023</v>
      </c>
      <c r="AB414" s="309">
        <v>500</v>
      </c>
      <c r="AC414" s="309"/>
      <c r="AD414" s="308"/>
      <c r="AE414" s="309"/>
      <c r="AF414" s="302"/>
      <c r="AG414" s="310" t="s">
        <v>2050</v>
      </c>
      <c r="AH414" s="311"/>
      <c r="AI414" s="302">
        <v>366</v>
      </c>
      <c r="AJ414" s="311">
        <v>44602</v>
      </c>
      <c r="AK414" s="311">
        <v>43483</v>
      </c>
      <c r="AL414" s="311">
        <v>44592</v>
      </c>
      <c r="AM414" s="301"/>
      <c r="AN414" s="290"/>
      <c r="AO414" s="312" t="str">
        <f>_xlfn.IFNA(IF(VLOOKUP(tabItens[[#This Row],[CÓDIGO]],tabExcluirDoEstoque[#Data],1,FALSE),"sim",""),"")</f>
        <v/>
      </c>
      <c r="AP414" s="313" t="str">
        <f ca="1">IF(OR(ISBLANK(tabItens[[#This Row],[ATA DT.VALID.]]),tabItens[[#This Row],[ATA DT.VALID.]]="",tabItens[[#This Row],[ATA DT.VALID.]]=" "),"",IF(TYPE(tabItens[[#This Row],[ATA DT.VALID.]])=1,ROUNDUP((tabItens[[#This Row],[ATA DT.VALID.]]-TODAY())/7,0),""))</f>
        <v/>
      </c>
      <c r="AQ414" s="314">
        <v>0</v>
      </c>
      <c r="AR414" s="315" t="str">
        <f>IF(ISBLANK(tabItens[[#This Row],[CÓDIGO]]),"",IFERROR(VLOOKUP(tabItens[[#This Row],[CÓDIGO]],Consumo!$C$2:$AC$869,26,FALSE),0))</f>
        <v>07.2023</v>
      </c>
      <c r="AS414" s="316">
        <f>SUMIF(Consumo!$C$3:$C$869,tabItens[[#This Row],[CÓDIGO]],Consumo!$N$3:$N$869) + SUMIF(Consumo!$C$3:$C$869,tabItens[[#This Row],[CÓDIGO]],Consumo!$O$3:$O$869) + SUMIF(Consumo!$C$3:$C$869,tabItens[[#This Row],[CÓDIGO]],Consumo!$P$3:$P$869) + SUMIF(Consumo!$C$3:$C$869,tabItens[[#This Row],[CÓDIGO]],Consumo!$Q$3:$Q$869)</f>
        <v>600</v>
      </c>
      <c r="AT414" s="316">
        <f>SUMIF(Consumo!$C$3:$C$869,tabItens[[#This Row],[CÓDIGO]],Consumo!$Z$3:$Z$869)</f>
        <v>1080</v>
      </c>
      <c r="AU414" s="317">
        <f>SUMIF(Consumo!$C$3:$C$869,tabItens[[#This Row],[CÓDIGO]],Consumo!$AA$3:$AA$869)</f>
        <v>300</v>
      </c>
      <c r="AV414" s="318">
        <f>SUMIF(Consumo!$C$3:$C$869,tabItens[[#This Row],[CÓDIGO]],Consumo!$Y$3:$Y$869)</f>
        <v>90</v>
      </c>
      <c r="AW414" s="291">
        <f>tabItens[[#This Row],[QTDE ATUAL]] + tabItens[[#This Row],[RC QTDE]] + tabItens[[#This Row],[AF SALDO]] + tabItens[[#This Row],[Recentes]]</f>
        <v>1638</v>
      </c>
      <c r="AX414" s="319">
        <v>155</v>
      </c>
      <c r="AY414" s="319">
        <v>4</v>
      </c>
      <c r="AZ414" s="319">
        <f>IF(ISBLANK(tabItens[[#This Row],[CÓDIGO]]),"",tabItens[[#This Row],[PontoMês]] * (AZ$2+tabItens[[#This Row],[PontoQtM]]))</f>
        <v>620</v>
      </c>
      <c r="BA414" s="318">
        <f>tabItens[[#This Row],[PontoPed]] - tabItens[[#This Row],[Saldo]] + (1/10)</f>
        <v>-1017.9</v>
      </c>
      <c r="BB414" s="318">
        <f xml:space="preserve"> tabItens[[#This Row],[PontoMês]] * BB$2 - tabItens[[#This Row],[QTDE ATUAL]] - (1/10)</f>
        <v>-983.1</v>
      </c>
      <c r="BC414" s="320">
        <f>IF( tabItens[[#This Row],[PontoPed]]&gt;0, IF(tabItens[[#This Row],[PontoPed]]&lt;1, 1, IF( tabItens[[#This Row],[Saldo]]&gt;tabItens[[#This Row],[PontoPed]], 0, (tabItens[[#This Row],[PontoPed]]-tabItens[[#This Row],[Saldo]])/tabItens[[#This Row],[PontoPed]] ) ), 0 )</f>
        <v>0</v>
      </c>
      <c r="BD414" s="321">
        <f>ROUNDDOWN(IF( OR( AND(tabItens[[#This Row],[PontoPed]]&lt;tabItens[[#This Row],[Saldo]],tabItens[[#This Row],[Saldo]]&gt;0), tabItens[[#This Row],[PontoPed]]=0), 99, IF(AND(tabItens[[#This Row],[Saldo]]=0,tabItens[[#This Row],[PontoPed]]&gt;0), 0, (1-tabItens[[#This Row],[PctAb]])*10 ) ),0)</f>
        <v>99</v>
      </c>
      <c r="BE414" s="322">
        <f>MAX(ROUNDDOWN( IF(tabItens[[#This Row],[Abaixo]] &gt; 0,   tabItens[[#This Row],[Abaixo]] + (tabItens[[#This Row],[PontoMês]] * IF( OR( ISBLANK(tabItens[[#This Row],[ATA Nº/ANO]]), tabItens[[#This Row],[ATA Nº/ANO]] = ""),BE$2,BE$1)),0),0),0)</f>
        <v>0</v>
      </c>
      <c r="BF4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23">
        <f>SUMIF(Consumo!$C$3:$C$869,tabItens[[#This Row],[CÓDIGO]],Consumo!$E$3:$E$869)</f>
        <v>0</v>
      </c>
      <c r="BH414" s="324">
        <f>IF(AND(tabItens[[#This Row],[Pend]] &gt; 0,tabItens[[#This Row],[Consumo]] &lt;&gt; 0), tabItens[[#This Row],[Pend]] / tabItens[[#This Row],[Consumo]], 0 )</f>
        <v>0</v>
      </c>
      <c r="BI414" s="323"/>
      <c r="BJ414" s="323"/>
      <c r="BK414" s="325" t="s">
        <v>2064</v>
      </c>
    </row>
    <row r="415" spans="1:63" hidden="1" x14ac:dyDescent="0.3">
      <c r="A415" s="286">
        <v>48901</v>
      </c>
      <c r="B415" s="287" t="s">
        <v>1289</v>
      </c>
      <c r="C415" s="288" t="s">
        <v>256</v>
      </c>
      <c r="D415" s="289">
        <v>2.97</v>
      </c>
      <c r="E415" s="290"/>
      <c r="F415" s="290"/>
      <c r="G415" s="290" t="s">
        <v>883</v>
      </c>
      <c r="H415" s="291">
        <v>298</v>
      </c>
      <c r="I415" s="292">
        <v>103003</v>
      </c>
      <c r="J415" s="293">
        <v>2.97</v>
      </c>
      <c r="K415" s="294">
        <v>53</v>
      </c>
      <c r="L415" s="295">
        <f>IF(tabItens[[#This Row],[Média]] &gt; 0, tabItens[[#This Row],[QTDE ATUAL]] / tabItens[[#This Row],[Média]],999.9)</f>
        <v>56.761904761904759</v>
      </c>
      <c r="M415" s="296">
        <v>0</v>
      </c>
      <c r="N415" s="297">
        <f>tabItens[[#This Row],[VALOR UNIT.]] * tabItens[[#This Row],[LC]]</f>
        <v>0</v>
      </c>
      <c r="O415" s="298" t="s">
        <v>2067</v>
      </c>
      <c r="P415" s="299"/>
      <c r="Q415" s="300"/>
      <c r="R415" s="297"/>
      <c r="S415" s="301"/>
      <c r="T415" s="302">
        <f>ROUNDDOWN(IFERROR(tabItens[[#This Row],[ATA DT.VALID.]] - $D$1,0) / 30,0)</f>
        <v>-1504</v>
      </c>
      <c r="U415" s="287" t="s">
        <v>931</v>
      </c>
      <c r="V415" s="303">
        <v>1</v>
      </c>
      <c r="W415" s="304" t="s">
        <v>2052</v>
      </c>
      <c r="X415" s="305">
        <v>45</v>
      </c>
      <c r="Y415" s="306">
        <v>9</v>
      </c>
      <c r="Z415" s="307"/>
      <c r="AA415" s="308"/>
      <c r="AB415" s="309"/>
      <c r="AC415" s="309"/>
      <c r="AD415" s="308"/>
      <c r="AE415" s="309"/>
      <c r="AF415" s="302"/>
      <c r="AG415" s="310" t="s">
        <v>2050</v>
      </c>
      <c r="AH415" s="311"/>
      <c r="AI415" s="302">
        <v>20</v>
      </c>
      <c r="AJ415" s="311">
        <v>43616</v>
      </c>
      <c r="AK415" s="311" t="s">
        <v>883</v>
      </c>
      <c r="AL415" s="311">
        <v>45125</v>
      </c>
      <c r="AM415" s="301"/>
      <c r="AN415" s="290"/>
      <c r="AO415" s="312" t="str">
        <f>_xlfn.IFNA(IF(VLOOKUP(tabItens[[#This Row],[CÓDIGO]],tabExcluirDoEstoque[#Data],1,FALSE),"sim",""),"")</f>
        <v/>
      </c>
      <c r="AP415" s="313" t="str">
        <f ca="1">IF(OR(ISBLANK(tabItens[[#This Row],[ATA DT.VALID.]]),tabItens[[#This Row],[ATA DT.VALID.]]="",tabItens[[#This Row],[ATA DT.VALID.]]=" "),"",IF(TYPE(tabItens[[#This Row],[ATA DT.VALID.]])=1,ROUNDUP((tabItens[[#This Row],[ATA DT.VALID.]]-TODAY())/7,0),""))</f>
        <v/>
      </c>
      <c r="AQ415" s="314">
        <v>0</v>
      </c>
      <c r="AR415" s="315" t="str">
        <f>IF(ISBLANK(tabItens[[#This Row],[CÓDIGO]]),"",IFERROR(VLOOKUP(tabItens[[#This Row],[CÓDIGO]],Consumo!$C$2:$AC$869,26,FALSE),0))</f>
        <v>07.2023</v>
      </c>
      <c r="AS415" s="316">
        <f>SUMIF(Consumo!$C$3:$C$869,tabItens[[#This Row],[CÓDIGO]],Consumo!$N$3:$N$869) + SUMIF(Consumo!$C$3:$C$869,tabItens[[#This Row],[CÓDIGO]],Consumo!$O$3:$O$869) + SUMIF(Consumo!$C$3:$C$869,tabItens[[#This Row],[CÓDIGO]],Consumo!$P$3:$P$869) + SUMIF(Consumo!$C$3:$C$869,tabItens[[#This Row],[CÓDIGO]],Consumo!$Q$3:$Q$869)</f>
        <v>17</v>
      </c>
      <c r="AT415" s="316">
        <f>SUMIF(Consumo!$C$3:$C$869,tabItens[[#This Row],[CÓDIGO]],Consumo!$Z$3:$Z$869)</f>
        <v>64</v>
      </c>
      <c r="AU415" s="317">
        <f>SUMIF(Consumo!$C$3:$C$869,tabItens[[#This Row],[CÓDIGO]],Consumo!$AA$3:$AA$869)</f>
        <v>16</v>
      </c>
      <c r="AV415" s="318">
        <f>SUMIF(Consumo!$C$3:$C$869,tabItens[[#This Row],[CÓDIGO]],Consumo!$Y$3:$Y$869)</f>
        <v>5.25</v>
      </c>
      <c r="AW415" s="291">
        <f>tabItens[[#This Row],[QTDE ATUAL]] + tabItens[[#This Row],[RC QTDE]] + tabItens[[#This Row],[AF SALDO]] + tabItens[[#This Row],[Recentes]]</f>
        <v>298</v>
      </c>
      <c r="AX415" s="319">
        <v>6</v>
      </c>
      <c r="AY415" s="319">
        <v>4</v>
      </c>
      <c r="AZ415" s="319">
        <f>IF(ISBLANK(tabItens[[#This Row],[CÓDIGO]]),"",tabItens[[#This Row],[PontoMês]] * (AZ$2+tabItens[[#This Row],[PontoQtM]]))</f>
        <v>24</v>
      </c>
      <c r="BA415" s="318">
        <f>tabItens[[#This Row],[PontoPed]] - tabItens[[#This Row],[Saldo]] + (1/10)</f>
        <v>-273.89999999999998</v>
      </c>
      <c r="BB415" s="318">
        <f xml:space="preserve"> tabItens[[#This Row],[PontoMês]] * BB$2 - tabItens[[#This Row],[QTDE ATUAL]] - (1/10)</f>
        <v>-292.10000000000002</v>
      </c>
      <c r="BC415" s="320">
        <f>IF( tabItens[[#This Row],[PontoPed]]&gt;0, IF(tabItens[[#This Row],[PontoPed]]&lt;1, 1, IF( tabItens[[#This Row],[Saldo]]&gt;tabItens[[#This Row],[PontoPed]], 0, (tabItens[[#This Row],[PontoPed]]-tabItens[[#This Row],[Saldo]])/tabItens[[#This Row],[PontoPed]] ) ), 0 )</f>
        <v>0</v>
      </c>
      <c r="BD415" s="321">
        <f>ROUNDDOWN(IF( OR( AND(tabItens[[#This Row],[PontoPed]]&lt;tabItens[[#This Row],[Saldo]],tabItens[[#This Row],[Saldo]]&gt;0), tabItens[[#This Row],[PontoPed]]=0), 99, IF(AND(tabItens[[#This Row],[Saldo]]=0,tabItens[[#This Row],[PontoPed]]&gt;0), 0, (1-tabItens[[#This Row],[PctAb]])*10 ) ),0)</f>
        <v>99</v>
      </c>
      <c r="BE415" s="322">
        <f>MAX(ROUNDDOWN( IF(tabItens[[#This Row],[Abaixo]] &gt; 0,   tabItens[[#This Row],[Abaixo]] + (tabItens[[#This Row],[PontoMês]] * IF( OR( ISBLANK(tabItens[[#This Row],[ATA Nº/ANO]]), tabItens[[#This Row],[ATA Nº/ANO]] = ""),BE$2,BE$1)),0),0),0)</f>
        <v>0</v>
      </c>
      <c r="BF4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23">
        <f>SUMIF(Consumo!$C$3:$C$869,tabItens[[#This Row],[CÓDIGO]],Consumo!$E$3:$E$869)</f>
        <v>2</v>
      </c>
      <c r="BH415" s="324">
        <f>IF(AND(tabItens[[#This Row],[Pend]] &gt; 0,tabItens[[#This Row],[Consumo]] &lt;&gt; 0), tabItens[[#This Row],[Pend]] / tabItens[[#This Row],[Consumo]], 0 )</f>
        <v>3.125E-2</v>
      </c>
      <c r="BI415" s="323"/>
      <c r="BJ415" s="323"/>
      <c r="BK415" s="325" t="s">
        <v>2064</v>
      </c>
    </row>
    <row r="416" spans="1:63" hidden="1" x14ac:dyDescent="0.3">
      <c r="A416" s="286">
        <v>135703</v>
      </c>
      <c r="B416" s="287" t="s">
        <v>1908</v>
      </c>
      <c r="C416" s="288" t="s">
        <v>31</v>
      </c>
      <c r="D416" s="289">
        <v>1.49</v>
      </c>
      <c r="E416" s="290"/>
      <c r="F416" s="290"/>
      <c r="G416" s="290" t="s">
        <v>883</v>
      </c>
      <c r="H416" s="291">
        <v>7402</v>
      </c>
      <c r="I416" s="292">
        <v>103003</v>
      </c>
      <c r="J416" s="293">
        <v>1.49</v>
      </c>
      <c r="K416" s="294">
        <v>7557</v>
      </c>
      <c r="L416" s="295">
        <f>IF(tabItens[[#This Row],[Média]] &gt; 0, tabItens[[#This Row],[QTDE ATUAL]] / tabItens[[#This Row],[Média]],999.9)</f>
        <v>10.30560389836408</v>
      </c>
      <c r="M416" s="296">
        <v>0</v>
      </c>
      <c r="N416" s="297">
        <f>tabItens[[#This Row],[VALOR UNIT.]] * tabItens[[#This Row],[LC]]</f>
        <v>0</v>
      </c>
      <c r="O416" s="298" t="s">
        <v>2067</v>
      </c>
      <c r="P416" s="299"/>
      <c r="Q416" s="300"/>
      <c r="R416" s="297"/>
      <c r="S416" s="301"/>
      <c r="T416" s="302">
        <f>ROUNDDOWN(IFERROR(tabItens[[#This Row],[ATA DT.VALID.]] - $D$1,0) / 30,0)</f>
        <v>-1504</v>
      </c>
      <c r="U416" s="287" t="s">
        <v>931</v>
      </c>
      <c r="V416" s="303">
        <v>1</v>
      </c>
      <c r="W416" s="304" t="s">
        <v>2052</v>
      </c>
      <c r="X416" s="305">
        <v>45</v>
      </c>
      <c r="Y416" s="306">
        <v>9</v>
      </c>
      <c r="Z416" s="307"/>
      <c r="AA416" s="308"/>
      <c r="AB416" s="309"/>
      <c r="AC416" s="309"/>
      <c r="AD416" s="308"/>
      <c r="AE416" s="309"/>
      <c r="AF416" s="302"/>
      <c r="AG416" s="310" t="s">
        <v>2050</v>
      </c>
      <c r="AH416" s="311"/>
      <c r="AI416" s="302">
        <v>7718</v>
      </c>
      <c r="AJ416" s="311">
        <v>44151</v>
      </c>
      <c r="AK416" s="311">
        <v>43333</v>
      </c>
      <c r="AL416" s="311">
        <v>44999</v>
      </c>
      <c r="AM416" s="301"/>
      <c r="AN416" s="290"/>
      <c r="AO416" s="312" t="str">
        <f>_xlfn.IFNA(IF(VLOOKUP(tabItens[[#This Row],[CÓDIGO]],tabExcluirDoEstoque[#Data],1,FALSE),"sim",""),"")</f>
        <v/>
      </c>
      <c r="AP416" s="313" t="str">
        <f ca="1">IF(OR(ISBLANK(tabItens[[#This Row],[ATA DT.VALID.]]),tabItens[[#This Row],[ATA DT.VALID.]]="",tabItens[[#This Row],[ATA DT.VALID.]]=" "),"",IF(TYPE(tabItens[[#This Row],[ATA DT.VALID.]])=1,ROUNDUP((tabItens[[#This Row],[ATA DT.VALID.]]-TODAY())/7,0),""))</f>
        <v/>
      </c>
      <c r="AQ416" s="314">
        <v>0</v>
      </c>
      <c r="AR416" s="315" t="str">
        <f>IF(ISBLANK(tabItens[[#This Row],[CÓDIGO]]),"",IFERROR(VLOOKUP(tabItens[[#This Row],[CÓDIGO]],Consumo!$C$2:$AC$869,26,FALSE),0))</f>
        <v>07.2023</v>
      </c>
      <c r="AS416" s="316">
        <f>SUMIF(Consumo!$C$3:$C$869,tabItens[[#This Row],[CÓDIGO]],Consumo!$N$3:$N$869) + SUMIF(Consumo!$C$3:$C$869,tabItens[[#This Row],[CÓDIGO]],Consumo!$O$3:$O$869) + SUMIF(Consumo!$C$3:$C$869,tabItens[[#This Row],[CÓDIGO]],Consumo!$P$3:$P$869) + SUMIF(Consumo!$C$3:$C$869,tabItens[[#This Row],[CÓDIGO]],Consumo!$Q$3:$Q$869)</f>
        <v>1949</v>
      </c>
      <c r="AT416" s="316">
        <f>SUMIF(Consumo!$C$3:$C$869,tabItens[[#This Row],[CÓDIGO]],Consumo!$Z$3:$Z$869)</f>
        <v>10049</v>
      </c>
      <c r="AU416" s="317">
        <f>SUMIF(Consumo!$C$3:$C$869,tabItens[[#This Row],[CÓDIGO]],Consumo!$AA$3:$AA$869)</f>
        <v>4720</v>
      </c>
      <c r="AV416" s="318">
        <f>SUMIF(Consumo!$C$3:$C$869,tabItens[[#This Row],[CÓDIGO]],Consumo!$Y$3:$Y$869)</f>
        <v>718.25</v>
      </c>
      <c r="AW416" s="291">
        <f>tabItens[[#This Row],[QTDE ATUAL]] + tabItens[[#This Row],[RC QTDE]] + tabItens[[#This Row],[AF SALDO]] + tabItens[[#This Row],[Recentes]]</f>
        <v>7402</v>
      </c>
      <c r="AX416" s="319">
        <v>695</v>
      </c>
      <c r="AY416" s="319">
        <v>4</v>
      </c>
      <c r="AZ416" s="319">
        <f>IF(ISBLANK(tabItens[[#This Row],[CÓDIGO]]),"",tabItens[[#This Row],[PontoMês]] * (AZ$2+tabItens[[#This Row],[PontoQtM]]))</f>
        <v>2780</v>
      </c>
      <c r="BA416" s="318">
        <f>tabItens[[#This Row],[PontoPed]] - tabItens[[#This Row],[Saldo]] + (1/10)</f>
        <v>-4621.8999999999996</v>
      </c>
      <c r="BB416" s="318">
        <f xml:space="preserve"> tabItens[[#This Row],[PontoMês]] * BB$2 - tabItens[[#This Row],[QTDE ATUAL]] - (1/10)</f>
        <v>-6707.1</v>
      </c>
      <c r="BC416" s="320">
        <f>IF( tabItens[[#This Row],[PontoPed]]&gt;0, IF(tabItens[[#This Row],[PontoPed]]&lt;1, 1, IF( tabItens[[#This Row],[Saldo]]&gt;tabItens[[#This Row],[PontoPed]], 0, (tabItens[[#This Row],[PontoPed]]-tabItens[[#This Row],[Saldo]])/tabItens[[#This Row],[PontoPed]] ) ), 0 )</f>
        <v>0</v>
      </c>
      <c r="BD416" s="321">
        <f>ROUNDDOWN(IF( OR( AND(tabItens[[#This Row],[PontoPed]]&lt;tabItens[[#This Row],[Saldo]],tabItens[[#This Row],[Saldo]]&gt;0), tabItens[[#This Row],[PontoPed]]=0), 99, IF(AND(tabItens[[#This Row],[Saldo]]=0,tabItens[[#This Row],[PontoPed]]&gt;0), 0, (1-tabItens[[#This Row],[PctAb]])*10 ) ),0)</f>
        <v>99</v>
      </c>
      <c r="BE416" s="322">
        <f>MAX(ROUNDDOWN( IF(tabItens[[#This Row],[Abaixo]] &gt; 0,   tabItens[[#This Row],[Abaixo]] + (tabItens[[#This Row],[PontoMês]] * IF( OR( ISBLANK(tabItens[[#This Row],[ATA Nº/ANO]]), tabItens[[#This Row],[ATA Nº/ANO]] = ""),BE$2,BE$1)),0),0),0)</f>
        <v>0</v>
      </c>
      <c r="BF4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23">
        <f>SUMIF(Consumo!$C$3:$C$869,tabItens[[#This Row],[CÓDIGO]],Consumo!$E$3:$E$869)</f>
        <v>0</v>
      </c>
      <c r="BH416" s="324">
        <f>IF(AND(tabItens[[#This Row],[Pend]] &gt; 0,tabItens[[#This Row],[Consumo]] &lt;&gt; 0), tabItens[[#This Row],[Pend]] / tabItens[[#This Row],[Consumo]], 0 )</f>
        <v>0</v>
      </c>
      <c r="BI416" s="323"/>
      <c r="BJ416" s="323"/>
      <c r="BK416" s="325" t="s">
        <v>2064</v>
      </c>
    </row>
    <row r="417" spans="1:63" hidden="1" x14ac:dyDescent="0.3">
      <c r="A417" s="286">
        <v>138465</v>
      </c>
      <c r="B417" s="287" t="s">
        <v>1964</v>
      </c>
      <c r="C417" s="288" t="s">
        <v>31</v>
      </c>
      <c r="D417" s="289">
        <v>2.94</v>
      </c>
      <c r="E417" s="290"/>
      <c r="F417" s="290"/>
      <c r="G417" s="290" t="s">
        <v>883</v>
      </c>
      <c r="H417" s="291">
        <v>5067</v>
      </c>
      <c r="I417" s="292">
        <v>103003</v>
      </c>
      <c r="J417" s="293">
        <v>2.94</v>
      </c>
      <c r="K417" s="294">
        <v>3032</v>
      </c>
      <c r="L417" s="295">
        <f>IF(tabItens[[#This Row],[Média]] &gt; 0, tabItens[[#This Row],[QTDE ATUAL]] / tabItens[[#This Row],[Média]],999.9)</f>
        <v>13.584450402144773</v>
      </c>
      <c r="M417" s="296">
        <v>0</v>
      </c>
      <c r="N417" s="297">
        <f>tabItens[[#This Row],[VALOR UNIT.]] * tabItens[[#This Row],[LC]]</f>
        <v>0</v>
      </c>
      <c r="O417" s="298" t="s">
        <v>2067</v>
      </c>
      <c r="P417" s="299"/>
      <c r="Q417" s="300"/>
      <c r="R417" s="297"/>
      <c r="S417" s="301"/>
      <c r="T417" s="302">
        <f>ROUNDDOWN(IFERROR(tabItens[[#This Row],[ATA DT.VALID.]] - $D$1,0) / 30,0)</f>
        <v>-1504</v>
      </c>
      <c r="U417" s="287" t="s">
        <v>931</v>
      </c>
      <c r="V417" s="303">
        <v>1</v>
      </c>
      <c r="W417" s="304" t="s">
        <v>2052</v>
      </c>
      <c r="X417" s="305">
        <v>45</v>
      </c>
      <c r="Y417" s="306">
        <v>9</v>
      </c>
      <c r="Z417" s="307"/>
      <c r="AA417" s="308"/>
      <c r="AB417" s="309"/>
      <c r="AC417" s="309"/>
      <c r="AD417" s="308"/>
      <c r="AE417" s="309"/>
      <c r="AF417" s="302"/>
      <c r="AG417" s="310" t="s">
        <v>2050</v>
      </c>
      <c r="AH417" s="311"/>
      <c r="AI417" s="302">
        <v>10152</v>
      </c>
      <c r="AJ417" s="311" t="s">
        <v>883</v>
      </c>
      <c r="AK417" s="311">
        <v>43720</v>
      </c>
      <c r="AL417" s="311">
        <v>45125</v>
      </c>
      <c r="AM417" s="301"/>
      <c r="AN417" s="290"/>
      <c r="AO417" s="312" t="str">
        <f>_xlfn.IFNA(IF(VLOOKUP(tabItens[[#This Row],[CÓDIGO]],tabExcluirDoEstoque[#Data],1,FALSE),"sim",""),"")</f>
        <v/>
      </c>
      <c r="AP417" s="313" t="str">
        <f ca="1">IF(OR(ISBLANK(tabItens[[#This Row],[ATA DT.VALID.]]),tabItens[[#This Row],[ATA DT.VALID.]]="",tabItens[[#This Row],[ATA DT.VALID.]]=" "),"",IF(TYPE(tabItens[[#This Row],[ATA DT.VALID.]])=1,ROUNDUP((tabItens[[#This Row],[ATA DT.VALID.]]-TODAY())/7,0),""))</f>
        <v/>
      </c>
      <c r="AQ417" s="314">
        <v>0</v>
      </c>
      <c r="AR417" s="315" t="str">
        <f>IF(ISBLANK(tabItens[[#This Row],[CÓDIGO]]),"",IFERROR(VLOOKUP(tabItens[[#This Row],[CÓDIGO]],Consumo!$C$2:$AC$869,26,FALSE),0))</f>
        <v>07.2023</v>
      </c>
      <c r="AS417" s="316">
        <f>SUMIF(Consumo!$C$3:$C$869,tabItens[[#This Row],[CÓDIGO]],Consumo!$N$3:$N$869) + SUMIF(Consumo!$C$3:$C$869,tabItens[[#This Row],[CÓDIGO]],Consumo!$O$3:$O$869) + SUMIF(Consumo!$C$3:$C$869,tabItens[[#This Row],[CÓDIGO]],Consumo!$P$3:$P$869) + SUMIF(Consumo!$C$3:$C$869,tabItens[[#This Row],[CÓDIGO]],Consumo!$Q$3:$Q$869)</f>
        <v>1532</v>
      </c>
      <c r="AT417" s="316">
        <f>SUMIF(Consumo!$C$3:$C$869,tabItens[[#This Row],[CÓDIGO]],Consumo!$Z$3:$Z$869)</f>
        <v>4476</v>
      </c>
      <c r="AU417" s="317">
        <f>SUMIF(Consumo!$C$3:$C$869,tabItens[[#This Row],[CÓDIGO]],Consumo!$AA$3:$AA$869)</f>
        <v>657</v>
      </c>
      <c r="AV417" s="318">
        <f>SUMIF(Consumo!$C$3:$C$869,tabItens[[#This Row],[CÓDIGO]],Consumo!$Y$3:$Y$869)</f>
        <v>373</v>
      </c>
      <c r="AW417" s="291">
        <f>tabItens[[#This Row],[QTDE ATUAL]] + tabItens[[#This Row],[RC QTDE]] + tabItens[[#This Row],[AF SALDO]] + tabItens[[#This Row],[Recentes]]</f>
        <v>5067</v>
      </c>
      <c r="AX417" s="319">
        <v>1011</v>
      </c>
      <c r="AY417" s="319">
        <v>4</v>
      </c>
      <c r="AZ417" s="319">
        <f>IF(ISBLANK(tabItens[[#This Row],[CÓDIGO]]),"",tabItens[[#This Row],[PontoMês]] * (AZ$2+tabItens[[#This Row],[PontoQtM]]))</f>
        <v>4044</v>
      </c>
      <c r="BA417" s="318">
        <f>tabItens[[#This Row],[PontoPed]] - tabItens[[#This Row],[Saldo]] + (1/10)</f>
        <v>-1022.9</v>
      </c>
      <c r="BB417" s="318">
        <f xml:space="preserve"> tabItens[[#This Row],[PontoMês]] * BB$2 - tabItens[[#This Row],[QTDE ATUAL]] - (1/10)</f>
        <v>-4056.1</v>
      </c>
      <c r="BC417" s="320">
        <f>IF( tabItens[[#This Row],[PontoPed]]&gt;0, IF(tabItens[[#This Row],[PontoPed]]&lt;1, 1, IF( tabItens[[#This Row],[Saldo]]&gt;tabItens[[#This Row],[PontoPed]], 0, (tabItens[[#This Row],[PontoPed]]-tabItens[[#This Row],[Saldo]])/tabItens[[#This Row],[PontoPed]] ) ), 0 )</f>
        <v>0</v>
      </c>
      <c r="BD417" s="321">
        <f>ROUNDDOWN(IF( OR( AND(tabItens[[#This Row],[PontoPed]]&lt;tabItens[[#This Row],[Saldo]],tabItens[[#This Row],[Saldo]]&gt;0), tabItens[[#This Row],[PontoPed]]=0), 99, IF(AND(tabItens[[#This Row],[Saldo]]=0,tabItens[[#This Row],[PontoPed]]&gt;0), 0, (1-tabItens[[#This Row],[PctAb]])*10 ) ),0)</f>
        <v>99</v>
      </c>
      <c r="BE417" s="322">
        <f>MAX(ROUNDDOWN( IF(tabItens[[#This Row],[Abaixo]] &gt; 0,   tabItens[[#This Row],[Abaixo]] + (tabItens[[#This Row],[PontoMês]] * IF( OR( ISBLANK(tabItens[[#This Row],[ATA Nº/ANO]]), tabItens[[#This Row],[ATA Nº/ANO]] = ""),BE$2,BE$1)),0),0),0)</f>
        <v>0</v>
      </c>
      <c r="BF41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23">
        <f>SUMIF(Consumo!$C$3:$C$869,tabItens[[#This Row],[CÓDIGO]],Consumo!$E$3:$E$869)</f>
        <v>253</v>
      </c>
      <c r="BH417" s="324">
        <f>IF(AND(tabItens[[#This Row],[Pend]] &gt; 0,tabItens[[#This Row],[Consumo]] &lt;&gt; 0), tabItens[[#This Row],[Pend]] / tabItens[[#This Row],[Consumo]], 0 )</f>
        <v>5.6523681858802501E-2</v>
      </c>
      <c r="BI417" s="323"/>
      <c r="BJ417" s="323"/>
      <c r="BK417" s="325" t="s">
        <v>2064</v>
      </c>
    </row>
    <row r="418" spans="1:63" x14ac:dyDescent="0.3">
      <c r="A418" s="396">
        <v>10392</v>
      </c>
      <c r="B418" s="397" t="s">
        <v>902</v>
      </c>
      <c r="C418" s="398" t="s">
        <v>256</v>
      </c>
      <c r="D418" s="399">
        <v>0.9</v>
      </c>
      <c r="E418" s="290"/>
      <c r="F418" s="400"/>
      <c r="G418" s="400" t="s">
        <v>883</v>
      </c>
      <c r="H418" s="401">
        <v>0</v>
      </c>
      <c r="I418" s="292">
        <v>103003</v>
      </c>
      <c r="J418" s="293">
        <v>0.9</v>
      </c>
      <c r="K418" s="402">
        <v>7076</v>
      </c>
      <c r="L418" s="403">
        <f>IF(tabItens[[#This Row],[Média]] &gt; 0, tabItens[[#This Row],[QTDE ATUAL]] / tabItens[[#This Row],[Média]],999.9)</f>
        <v>0</v>
      </c>
      <c r="M418" s="404">
        <v>0</v>
      </c>
      <c r="N418" s="405">
        <f>tabItens[[#This Row],[VALOR UNIT.]] * tabItens[[#This Row],[LC]]</f>
        <v>0</v>
      </c>
      <c r="O418" s="406" t="s">
        <v>2067</v>
      </c>
      <c r="P418" s="407"/>
      <c r="Q418" s="408"/>
      <c r="R418" s="297"/>
      <c r="S418" s="409"/>
      <c r="T418" s="410">
        <f>ROUNDDOWN(IFERROR(tabItens[[#This Row],[ATA DT.VALID.]] - $D$1,0) / 30,0)</f>
        <v>-1504</v>
      </c>
      <c r="U418" s="287" t="s">
        <v>903</v>
      </c>
      <c r="V418" s="303">
        <v>1</v>
      </c>
      <c r="W418" s="411" t="s">
        <v>2052</v>
      </c>
      <c r="X418" s="412">
        <v>45</v>
      </c>
      <c r="Y418" s="413">
        <v>10</v>
      </c>
      <c r="Z418" s="414">
        <v>6982</v>
      </c>
      <c r="AA418" s="415">
        <v>2023</v>
      </c>
      <c r="AB418" s="416">
        <v>4300</v>
      </c>
      <c r="AC418" s="416"/>
      <c r="AD418" s="415"/>
      <c r="AE418" s="416"/>
      <c r="AF418" s="302"/>
      <c r="AG418" s="417" t="s">
        <v>2050</v>
      </c>
      <c r="AH418" s="418"/>
      <c r="AI418" s="302">
        <v>2502</v>
      </c>
      <c r="AJ418" s="418">
        <v>44936</v>
      </c>
      <c r="AK418" s="311" t="s">
        <v>883</v>
      </c>
      <c r="AL418" s="311">
        <v>45107</v>
      </c>
      <c r="AM418" s="301"/>
      <c r="AN418" s="290"/>
      <c r="AO418" s="312" t="str">
        <f>_xlfn.IFNA(IF(VLOOKUP(tabItens[[#This Row],[CÓDIGO]],tabExcluirDoEstoque[#Data],1,FALSE),"sim",""),"")</f>
        <v/>
      </c>
      <c r="AP418" s="419" t="str">
        <f ca="1">IF(OR(ISBLANK(tabItens[[#This Row],[ATA DT.VALID.]]),tabItens[[#This Row],[ATA DT.VALID.]]="",tabItens[[#This Row],[ATA DT.VALID.]]=" "),"",IF(TYPE(tabItens[[#This Row],[ATA DT.VALID.]])=1,ROUNDUP((tabItens[[#This Row],[ATA DT.VALID.]]-TODAY())/7,0),""))</f>
        <v/>
      </c>
      <c r="AQ418" s="314">
        <v>0</v>
      </c>
      <c r="AR418" s="315" t="str">
        <f>IF(ISBLANK(tabItens[[#This Row],[CÓDIGO]]),"",IFERROR(VLOOKUP(tabItens[[#This Row],[CÓDIGO]],Consumo!$C$2:$AC$869,26,FALSE),0))</f>
        <v>06.2023</v>
      </c>
      <c r="AS418" s="316">
        <f>SUMIF(Consumo!$C$3:$C$869,tabItens[[#This Row],[CÓDIGO]],Consumo!$N$3:$N$869) + SUMIF(Consumo!$C$3:$C$869,tabItens[[#This Row],[CÓDIGO]],Consumo!$O$3:$O$869) + SUMIF(Consumo!$C$3:$C$869,tabItens[[#This Row],[CÓDIGO]],Consumo!$P$3:$P$869) + SUMIF(Consumo!$C$3:$C$869,tabItens[[#This Row],[CÓDIGO]],Consumo!$Q$3:$Q$869)</f>
        <v>739</v>
      </c>
      <c r="AT418" s="316">
        <f>SUMIF(Consumo!$C$3:$C$869,tabItens[[#This Row],[CÓDIGO]],Consumo!$Z$3:$Z$869)</f>
        <v>8756</v>
      </c>
      <c r="AU418" s="317">
        <f>SUMIF(Consumo!$C$3:$C$869,tabItens[[#This Row],[CÓDIGO]],Consumo!$AA$3:$AA$869)</f>
        <v>4461</v>
      </c>
      <c r="AV418" s="318">
        <f>SUMIF(Consumo!$C$3:$C$869,tabItens[[#This Row],[CÓDIGO]],Consumo!$Y$3:$Y$869)</f>
        <v>618.16666666666663</v>
      </c>
      <c r="AW418" s="401">
        <f>tabItens[[#This Row],[QTDE ATUAL]] + tabItens[[#This Row],[RC QTDE]] + tabItens[[#This Row],[AF SALDO]] + tabItens[[#This Row],[Recentes]]</f>
        <v>4300</v>
      </c>
      <c r="AX418" s="420">
        <v>565</v>
      </c>
      <c r="AY418" s="420">
        <v>4</v>
      </c>
      <c r="AZ418" s="420">
        <f>IF(ISBLANK(tabItens[[#This Row],[CÓDIGO]]),"",tabItens[[#This Row],[PontoMês]] * (AZ$2+tabItens[[#This Row],[PontoQtM]]))</f>
        <v>2260</v>
      </c>
      <c r="BA418" s="421">
        <f>tabItens[[#This Row],[PontoPed]] - tabItens[[#This Row],[Saldo]] + (1/10)</f>
        <v>-2039.9</v>
      </c>
      <c r="BB418" s="421">
        <f xml:space="preserve"> tabItens[[#This Row],[PontoMês]] * BB$2 - tabItens[[#This Row],[QTDE ATUAL]] - (1/10)</f>
        <v>564.9</v>
      </c>
      <c r="BC418" s="320">
        <f>IF( tabItens[[#This Row],[PontoPed]]&gt;0, IF(tabItens[[#This Row],[PontoPed]]&lt;1, 1, IF( tabItens[[#This Row],[Saldo]]&gt;tabItens[[#This Row],[PontoPed]], 0, (tabItens[[#This Row],[PontoPed]]-tabItens[[#This Row],[Saldo]])/tabItens[[#This Row],[PontoPed]] ) ), 0 )</f>
        <v>0</v>
      </c>
      <c r="BD418" s="422">
        <f>ROUNDDOWN(IF( OR( AND(tabItens[[#This Row],[PontoPed]]&lt;tabItens[[#This Row],[Saldo]],tabItens[[#This Row],[Saldo]]&gt;0), tabItens[[#This Row],[PontoPed]]=0), 99, IF(AND(tabItens[[#This Row],[Saldo]]=0,tabItens[[#This Row],[PontoPed]]&gt;0), 0, (1-tabItens[[#This Row],[PctAb]])*10 ) ),0)</f>
        <v>99</v>
      </c>
      <c r="BE418" s="423">
        <f>MAX(ROUNDDOWN( IF(tabItens[[#This Row],[Abaixo]] &gt; 0,   tabItens[[#This Row],[Abaixo]] + (tabItens[[#This Row],[PontoMês]] * IF( OR( ISBLANK(tabItens[[#This Row],[ATA Nº/ANO]]), tabItens[[#This Row],[ATA Nº/ANO]] = ""),BE$2,BE$1)),0),0),0)</f>
        <v>0</v>
      </c>
      <c r="BF41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23">
        <f>SUMIF(Consumo!$C$3:$C$869,tabItens[[#This Row],[CÓDIGO]],Consumo!$E$3:$E$869)</f>
        <v>1251</v>
      </c>
      <c r="BH418" s="324">
        <f>IF(AND(tabItens[[#This Row],[Pend]] &gt; 0,tabItens[[#This Row],[Consumo]] &lt;&gt; 0), tabItens[[#This Row],[Pend]] / tabItens[[#This Row],[Consumo]], 0 )</f>
        <v>0.14287345820009137</v>
      </c>
      <c r="BI418" s="323"/>
      <c r="BJ418" s="424"/>
      <c r="BK418" s="425" t="s">
        <v>2064</v>
      </c>
    </row>
    <row r="419" spans="1:63" x14ac:dyDescent="0.3">
      <c r="A419" s="396">
        <v>11590</v>
      </c>
      <c r="B419" s="397" t="s">
        <v>933</v>
      </c>
      <c r="C419" s="398" t="s">
        <v>256</v>
      </c>
      <c r="D419" s="399">
        <v>1.1000000000000001</v>
      </c>
      <c r="E419" s="290"/>
      <c r="F419" s="400"/>
      <c r="G419" s="400" t="s">
        <v>883</v>
      </c>
      <c r="H419" s="401">
        <v>0</v>
      </c>
      <c r="I419" s="292">
        <v>103003</v>
      </c>
      <c r="J419" s="293">
        <v>1.1000000000000001</v>
      </c>
      <c r="K419" s="402">
        <v>4080</v>
      </c>
      <c r="L419" s="403">
        <f>IF(tabItens[[#This Row],[Média]] &gt; 0, tabItens[[#This Row],[QTDE ATUAL]] / tabItens[[#This Row],[Média]],999.9)</f>
        <v>0</v>
      </c>
      <c r="M419" s="404">
        <v>0</v>
      </c>
      <c r="N419" s="405">
        <f>tabItens[[#This Row],[VALOR UNIT.]] * tabItens[[#This Row],[LC]]</f>
        <v>0</v>
      </c>
      <c r="O419" s="406" t="s">
        <v>2067</v>
      </c>
      <c r="P419" s="407"/>
      <c r="Q419" s="408"/>
      <c r="R419" s="297"/>
      <c r="S419" s="409"/>
      <c r="T419" s="410">
        <f>ROUNDDOWN(IFERROR(tabItens[[#This Row],[ATA DT.VALID.]] - $D$1,0) / 30,0)</f>
        <v>-1504</v>
      </c>
      <c r="U419" s="287" t="s">
        <v>903</v>
      </c>
      <c r="V419" s="303">
        <v>1</v>
      </c>
      <c r="W419" s="411" t="s">
        <v>2052</v>
      </c>
      <c r="X419" s="412">
        <v>45</v>
      </c>
      <c r="Y419" s="413">
        <v>10</v>
      </c>
      <c r="Z419" s="414">
        <v>6982</v>
      </c>
      <c r="AA419" s="415">
        <v>2023</v>
      </c>
      <c r="AB419" s="416">
        <v>2200</v>
      </c>
      <c r="AC419" s="416"/>
      <c r="AD419" s="415"/>
      <c r="AE419" s="416"/>
      <c r="AF419" s="302"/>
      <c r="AG419" s="417" t="s">
        <v>2050</v>
      </c>
      <c r="AH419" s="418"/>
      <c r="AI419" s="302">
        <v>1560</v>
      </c>
      <c r="AJ419" s="418">
        <v>44923</v>
      </c>
      <c r="AK419" s="311" t="s">
        <v>883</v>
      </c>
      <c r="AL419" s="311">
        <v>45107</v>
      </c>
      <c r="AM419" s="301"/>
      <c r="AN419" s="290"/>
      <c r="AO419" s="312" t="str">
        <f>_xlfn.IFNA(IF(VLOOKUP(tabItens[[#This Row],[CÓDIGO]],tabExcluirDoEstoque[#Data],1,FALSE),"sim",""),"")</f>
        <v/>
      </c>
      <c r="AP419" s="419" t="str">
        <f ca="1">IF(OR(ISBLANK(tabItens[[#This Row],[ATA DT.VALID.]]),tabItens[[#This Row],[ATA DT.VALID.]]="",tabItens[[#This Row],[ATA DT.VALID.]]=" "),"",IF(TYPE(tabItens[[#This Row],[ATA DT.VALID.]])=1,ROUNDUP((tabItens[[#This Row],[ATA DT.VALID.]]-TODAY())/7,0),""))</f>
        <v/>
      </c>
      <c r="AQ419" s="314">
        <v>0</v>
      </c>
      <c r="AR419" s="315" t="str">
        <f>IF(ISBLANK(tabItens[[#This Row],[CÓDIGO]]),"",IFERROR(VLOOKUP(tabItens[[#This Row],[CÓDIGO]],Consumo!$C$2:$AC$869,26,FALSE),0))</f>
        <v>06.2023</v>
      </c>
      <c r="AS419" s="316">
        <f>SUMIF(Consumo!$C$3:$C$869,tabItens[[#This Row],[CÓDIGO]],Consumo!$N$3:$N$869) + SUMIF(Consumo!$C$3:$C$869,tabItens[[#This Row],[CÓDIGO]],Consumo!$O$3:$O$869) + SUMIF(Consumo!$C$3:$C$869,tabItens[[#This Row],[CÓDIGO]],Consumo!$P$3:$P$869) + SUMIF(Consumo!$C$3:$C$869,tabItens[[#This Row],[CÓDIGO]],Consumo!$Q$3:$Q$869)</f>
        <v>107</v>
      </c>
      <c r="AT419" s="316">
        <f>SUMIF(Consumo!$C$3:$C$869,tabItens[[#This Row],[CÓDIGO]],Consumo!$Z$3:$Z$869)</f>
        <v>4710</v>
      </c>
      <c r="AU419" s="317">
        <f>SUMIF(Consumo!$C$3:$C$869,tabItens[[#This Row],[CÓDIGO]],Consumo!$AA$3:$AA$869)</f>
        <v>2991</v>
      </c>
      <c r="AV419" s="318">
        <f>SUMIF(Consumo!$C$3:$C$869,tabItens[[#This Row],[CÓDIGO]],Consumo!$Y$3:$Y$869)</f>
        <v>308.41666666666669</v>
      </c>
      <c r="AW419" s="401">
        <f>tabItens[[#This Row],[QTDE ATUAL]] + tabItens[[#This Row],[RC QTDE]] + tabItens[[#This Row],[AF SALDO]] + tabItens[[#This Row],[Recentes]]</f>
        <v>2200</v>
      </c>
      <c r="AX419" s="420">
        <v>456</v>
      </c>
      <c r="AY419" s="420">
        <v>4</v>
      </c>
      <c r="AZ419" s="420">
        <f>IF(ISBLANK(tabItens[[#This Row],[CÓDIGO]]),"",tabItens[[#This Row],[PontoMês]] * (AZ$2+tabItens[[#This Row],[PontoQtM]]))</f>
        <v>1824</v>
      </c>
      <c r="BA419" s="421">
        <f>tabItens[[#This Row],[PontoPed]] - tabItens[[#This Row],[Saldo]] + (1/10)</f>
        <v>-375.9</v>
      </c>
      <c r="BB419" s="421">
        <f xml:space="preserve"> tabItens[[#This Row],[PontoMês]] * BB$2 - tabItens[[#This Row],[QTDE ATUAL]] - (1/10)</f>
        <v>455.9</v>
      </c>
      <c r="BC419" s="320">
        <f>IF( tabItens[[#This Row],[PontoPed]]&gt;0, IF(tabItens[[#This Row],[PontoPed]]&lt;1, 1, IF( tabItens[[#This Row],[Saldo]]&gt;tabItens[[#This Row],[PontoPed]], 0, (tabItens[[#This Row],[PontoPed]]-tabItens[[#This Row],[Saldo]])/tabItens[[#This Row],[PontoPed]] ) ), 0 )</f>
        <v>0</v>
      </c>
      <c r="BD419" s="422">
        <f>ROUNDDOWN(IF( OR( AND(tabItens[[#This Row],[PontoPed]]&lt;tabItens[[#This Row],[Saldo]],tabItens[[#This Row],[Saldo]]&gt;0), tabItens[[#This Row],[PontoPed]]=0), 99, IF(AND(tabItens[[#This Row],[Saldo]]=0,tabItens[[#This Row],[PontoPed]]&gt;0), 0, (1-tabItens[[#This Row],[PctAb]])*10 ) ),0)</f>
        <v>99</v>
      </c>
      <c r="BE419" s="423">
        <f>MAX(ROUNDDOWN( IF(tabItens[[#This Row],[Abaixo]] &gt; 0,   tabItens[[#This Row],[Abaixo]] + (tabItens[[#This Row],[PontoMês]] * IF( OR( ISBLANK(tabItens[[#This Row],[ATA Nº/ANO]]), tabItens[[#This Row],[ATA Nº/ANO]] = ""),BE$2,BE$1)),0),0),0)</f>
        <v>0</v>
      </c>
      <c r="BF41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23">
        <f>SUMIF(Consumo!$C$3:$C$869,tabItens[[#This Row],[CÓDIGO]],Consumo!$E$3:$E$869)</f>
        <v>228</v>
      </c>
      <c r="BH419" s="324">
        <f>IF(AND(tabItens[[#This Row],[Pend]] &gt; 0,tabItens[[#This Row],[Consumo]] &lt;&gt; 0), tabItens[[#This Row],[Pend]] / tabItens[[#This Row],[Consumo]], 0 )</f>
        <v>4.8407643312101914E-2</v>
      </c>
      <c r="BI419" s="323"/>
      <c r="BJ419" s="424"/>
      <c r="BK419" s="425" t="s">
        <v>2064</v>
      </c>
    </row>
    <row r="420" spans="1:63" hidden="1" x14ac:dyDescent="0.3">
      <c r="A420" s="286">
        <v>77755</v>
      </c>
      <c r="B420" s="287" t="s">
        <v>1423</v>
      </c>
      <c r="C420" s="288" t="s">
        <v>256</v>
      </c>
      <c r="D420" s="289">
        <v>1.19</v>
      </c>
      <c r="E420" s="290"/>
      <c r="F420" s="290"/>
      <c r="G420" s="290" t="s">
        <v>883</v>
      </c>
      <c r="H420" s="291">
        <v>304</v>
      </c>
      <c r="I420" s="292">
        <v>103003</v>
      </c>
      <c r="J420" s="293">
        <v>1.19</v>
      </c>
      <c r="K420" s="294">
        <v>5090</v>
      </c>
      <c r="L420" s="295">
        <f>IF(tabItens[[#This Row],[Média]] &gt; 0, tabItens[[#This Row],[QTDE ATUAL]] / tabItens[[#This Row],[Média]],999.9)</f>
        <v>0.72009474930911954</v>
      </c>
      <c r="M420" s="296">
        <v>0</v>
      </c>
      <c r="N420" s="297">
        <f>tabItens[[#This Row],[VALOR UNIT.]] * tabItens[[#This Row],[LC]]</f>
        <v>0</v>
      </c>
      <c r="O420" s="298" t="s">
        <v>2067</v>
      </c>
      <c r="P420" s="299"/>
      <c r="Q420" s="300"/>
      <c r="R420" s="297"/>
      <c r="S420" s="301"/>
      <c r="T420" s="302">
        <f>ROUNDDOWN(IFERROR(tabItens[[#This Row],[ATA DT.VALID.]] - $D$1,0) / 30,0)</f>
        <v>-1504</v>
      </c>
      <c r="U420" s="287" t="s">
        <v>903</v>
      </c>
      <c r="V420" s="303">
        <v>1</v>
      </c>
      <c r="W420" s="304" t="s">
        <v>2052</v>
      </c>
      <c r="X420" s="305">
        <v>45</v>
      </c>
      <c r="Y420" s="306">
        <v>10</v>
      </c>
      <c r="Z420" s="307">
        <v>6211</v>
      </c>
      <c r="AA420" s="308">
        <v>2023</v>
      </c>
      <c r="AB420" s="309">
        <v>2500</v>
      </c>
      <c r="AC420" s="309"/>
      <c r="AD420" s="308"/>
      <c r="AE420" s="309"/>
      <c r="AF420" s="302"/>
      <c r="AG420" s="310" t="s">
        <v>2050</v>
      </c>
      <c r="AH420" s="311"/>
      <c r="AI420" s="302">
        <v>2098</v>
      </c>
      <c r="AJ420" s="311">
        <v>44966</v>
      </c>
      <c r="AK420" s="311">
        <v>38063</v>
      </c>
      <c r="AL420" s="311">
        <v>44959</v>
      </c>
      <c r="AM420" s="301"/>
      <c r="AN420" s="290"/>
      <c r="AO420" s="312" t="str">
        <f>_xlfn.IFNA(IF(VLOOKUP(tabItens[[#This Row],[CÓDIGO]],tabExcluirDoEstoque[#Data],1,FALSE),"sim",""),"")</f>
        <v/>
      </c>
      <c r="AP420" s="313" t="str">
        <f ca="1">IF(OR(ISBLANK(tabItens[[#This Row],[ATA DT.VALID.]]),tabItens[[#This Row],[ATA DT.VALID.]]="",tabItens[[#This Row],[ATA DT.VALID.]]=" "),"",IF(TYPE(tabItens[[#This Row],[ATA DT.VALID.]])=1,ROUNDUP((tabItens[[#This Row],[ATA DT.VALID.]]-TODAY())/7,0),""))</f>
        <v/>
      </c>
      <c r="AQ420" s="314">
        <v>0</v>
      </c>
      <c r="AR420" s="315" t="str">
        <f>IF(ISBLANK(tabItens[[#This Row],[CÓDIGO]]),"",IFERROR(VLOOKUP(tabItens[[#This Row],[CÓDIGO]],Consumo!$C$2:$AC$869,26,FALSE),0))</f>
        <v>07.2023</v>
      </c>
      <c r="AS420" s="316">
        <f>SUMIF(Consumo!$C$3:$C$869,tabItens[[#This Row],[CÓDIGO]],Consumo!$N$3:$N$869) + SUMIF(Consumo!$C$3:$C$869,tabItens[[#This Row],[CÓDIGO]],Consumo!$O$3:$O$869) + SUMIF(Consumo!$C$3:$C$869,tabItens[[#This Row],[CÓDIGO]],Consumo!$P$3:$P$869) + SUMIF(Consumo!$C$3:$C$869,tabItens[[#This Row],[CÓDIGO]],Consumo!$Q$3:$Q$869)</f>
        <v>986</v>
      </c>
      <c r="AT420" s="316">
        <f>SUMIF(Consumo!$C$3:$C$869,tabItens[[#This Row],[CÓDIGO]],Consumo!$Z$3:$Z$869)</f>
        <v>6296</v>
      </c>
      <c r="AU420" s="317">
        <f>SUMIF(Consumo!$C$3:$C$869,tabItens[[#This Row],[CÓDIGO]],Consumo!$AA$3:$AA$869)</f>
        <v>3685</v>
      </c>
      <c r="AV420" s="318">
        <f>SUMIF(Consumo!$C$3:$C$869,tabItens[[#This Row],[CÓDIGO]],Consumo!$Y$3:$Y$869)</f>
        <v>422.16666666666669</v>
      </c>
      <c r="AW420" s="291">
        <f>tabItens[[#This Row],[QTDE ATUAL]] + tabItens[[#This Row],[RC QTDE]] + tabItens[[#This Row],[AF SALDO]] + tabItens[[#This Row],[Recentes]]</f>
        <v>2804</v>
      </c>
      <c r="AX420" s="319">
        <v>469</v>
      </c>
      <c r="AY420" s="319">
        <v>4</v>
      </c>
      <c r="AZ420" s="319">
        <f>IF(ISBLANK(tabItens[[#This Row],[CÓDIGO]]),"",tabItens[[#This Row],[PontoMês]] * (AZ$2+tabItens[[#This Row],[PontoQtM]]))</f>
        <v>1876</v>
      </c>
      <c r="BA420" s="318">
        <f>tabItens[[#This Row],[PontoPed]] - tabItens[[#This Row],[Saldo]] + (1/10)</f>
        <v>-927.9</v>
      </c>
      <c r="BB420" s="318">
        <f xml:space="preserve"> tabItens[[#This Row],[PontoMês]] * BB$2 - tabItens[[#This Row],[QTDE ATUAL]] - (1/10)</f>
        <v>164.9</v>
      </c>
      <c r="BC420" s="320">
        <f>IF( tabItens[[#This Row],[PontoPed]]&gt;0, IF(tabItens[[#This Row],[PontoPed]]&lt;1, 1, IF( tabItens[[#This Row],[Saldo]]&gt;tabItens[[#This Row],[PontoPed]], 0, (tabItens[[#This Row],[PontoPed]]-tabItens[[#This Row],[Saldo]])/tabItens[[#This Row],[PontoPed]] ) ), 0 )</f>
        <v>0</v>
      </c>
      <c r="BD420" s="321">
        <f>ROUNDDOWN(IF( OR( AND(tabItens[[#This Row],[PontoPed]]&lt;tabItens[[#This Row],[Saldo]],tabItens[[#This Row],[Saldo]]&gt;0), tabItens[[#This Row],[PontoPed]]=0), 99, IF(AND(tabItens[[#This Row],[Saldo]]=0,tabItens[[#This Row],[PontoPed]]&gt;0), 0, (1-tabItens[[#This Row],[PctAb]])*10 ) ),0)</f>
        <v>99</v>
      </c>
      <c r="BE420" s="322">
        <f>MAX(ROUNDDOWN( IF(tabItens[[#This Row],[Abaixo]] &gt; 0,   tabItens[[#This Row],[Abaixo]] + (tabItens[[#This Row],[PontoMês]] * IF( OR( ISBLANK(tabItens[[#This Row],[ATA Nº/ANO]]), tabItens[[#This Row],[ATA Nº/ANO]] = ""),BE$2,BE$1)),0),0),0)</f>
        <v>0</v>
      </c>
      <c r="BF42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23">
        <f>SUMIF(Consumo!$C$3:$C$869,tabItens[[#This Row],[CÓDIGO]],Consumo!$E$3:$E$869)</f>
        <v>3</v>
      </c>
      <c r="BH420" s="324">
        <f>IF(AND(tabItens[[#This Row],[Pend]] &gt; 0,tabItens[[#This Row],[Consumo]] &lt;&gt; 0), tabItens[[#This Row],[Pend]] / tabItens[[#This Row],[Consumo]], 0 )</f>
        <v>4.764930114358323E-4</v>
      </c>
      <c r="BI420" s="323"/>
      <c r="BJ420" s="323"/>
      <c r="BK420" s="325" t="s">
        <v>2064</v>
      </c>
    </row>
    <row r="421" spans="1:63" hidden="1" x14ac:dyDescent="0.3">
      <c r="A421" s="286">
        <v>138459</v>
      </c>
      <c r="B421" s="287" t="s">
        <v>1957</v>
      </c>
      <c r="C421" s="288" t="s">
        <v>31</v>
      </c>
      <c r="D421" s="289">
        <v>0.51</v>
      </c>
      <c r="E421" s="290"/>
      <c r="F421" s="290"/>
      <c r="G421" s="290" t="s">
        <v>883</v>
      </c>
      <c r="H421" s="291">
        <v>44198</v>
      </c>
      <c r="I421" s="292">
        <v>103003</v>
      </c>
      <c r="J421" s="293">
        <v>0.51</v>
      </c>
      <c r="K421" s="294">
        <v>22535</v>
      </c>
      <c r="L421" s="295">
        <f>IF(tabItens[[#This Row],[Média]] &gt; 0, tabItens[[#This Row],[QTDE ATUAL]] / tabItens[[#This Row],[Média]],999.9)</f>
        <v>19.935949481281011</v>
      </c>
      <c r="M421" s="296">
        <v>0</v>
      </c>
      <c r="N421" s="297">
        <f>tabItens[[#This Row],[VALOR UNIT.]] * tabItens[[#This Row],[LC]]</f>
        <v>0</v>
      </c>
      <c r="O421" s="298" t="s">
        <v>2067</v>
      </c>
      <c r="P421" s="299"/>
      <c r="Q421" s="300"/>
      <c r="R421" s="297"/>
      <c r="S421" s="301"/>
      <c r="T421" s="302">
        <f>ROUNDDOWN(IFERROR(tabItens[[#This Row],[ATA DT.VALID.]] - $D$1,0) / 30,0)</f>
        <v>-1504</v>
      </c>
      <c r="U421" s="287" t="s">
        <v>903</v>
      </c>
      <c r="V421" s="303">
        <v>1</v>
      </c>
      <c r="W421" s="304" t="s">
        <v>2052</v>
      </c>
      <c r="X421" s="305">
        <v>45</v>
      </c>
      <c r="Y421" s="306">
        <v>10</v>
      </c>
      <c r="Z421" s="307"/>
      <c r="AA421" s="308"/>
      <c r="AB421" s="309"/>
      <c r="AC421" s="309"/>
      <c r="AD421" s="308"/>
      <c r="AE421" s="309"/>
      <c r="AF421" s="302"/>
      <c r="AG421" s="310" t="s">
        <v>2050</v>
      </c>
      <c r="AH421" s="311"/>
      <c r="AI421" s="302">
        <v>10668</v>
      </c>
      <c r="AJ421" s="311">
        <v>45009</v>
      </c>
      <c r="AK421" s="311">
        <v>43720</v>
      </c>
      <c r="AL421" s="311">
        <v>45107</v>
      </c>
      <c r="AM421" s="301"/>
      <c r="AN421" s="290"/>
      <c r="AO421" s="312" t="str">
        <f>_xlfn.IFNA(IF(VLOOKUP(tabItens[[#This Row],[CÓDIGO]],tabExcluirDoEstoque[#Data],1,FALSE),"sim",""),"")</f>
        <v/>
      </c>
      <c r="AP421" s="313" t="str">
        <f ca="1">IF(OR(ISBLANK(tabItens[[#This Row],[ATA DT.VALID.]]),tabItens[[#This Row],[ATA DT.VALID.]]="",tabItens[[#This Row],[ATA DT.VALID.]]=" "),"",IF(TYPE(tabItens[[#This Row],[ATA DT.VALID.]])=1,ROUNDUP((tabItens[[#This Row],[ATA DT.VALID.]]-TODAY())/7,0),""))</f>
        <v/>
      </c>
      <c r="AQ421" s="314">
        <v>0</v>
      </c>
      <c r="AR421" s="315" t="str">
        <f>IF(ISBLANK(tabItens[[#This Row],[CÓDIGO]]),"",IFERROR(VLOOKUP(tabItens[[#This Row],[CÓDIGO]],Consumo!$C$2:$AC$869,26,FALSE),0))</f>
        <v>07.2023</v>
      </c>
      <c r="AS421" s="316">
        <f>SUMIF(Consumo!$C$3:$C$869,tabItens[[#This Row],[CÓDIGO]],Consumo!$N$3:$N$869) + SUMIF(Consumo!$C$3:$C$869,tabItens[[#This Row],[CÓDIGO]],Consumo!$O$3:$O$869) + SUMIF(Consumo!$C$3:$C$869,tabItens[[#This Row],[CÓDIGO]],Consumo!$P$3:$P$869) + SUMIF(Consumo!$C$3:$C$869,tabItens[[#This Row],[CÓDIGO]],Consumo!$Q$3:$Q$869)</f>
        <v>9146</v>
      </c>
      <c r="AT421" s="316">
        <f>SUMIF(Consumo!$C$3:$C$869,tabItens[[#This Row],[CÓDIGO]],Consumo!$Z$3:$Z$869)</f>
        <v>29690</v>
      </c>
      <c r="AU421" s="317">
        <f>SUMIF(Consumo!$C$3:$C$869,tabItens[[#This Row],[CÓDIGO]],Consumo!$AA$3:$AA$869)</f>
        <v>11167</v>
      </c>
      <c r="AV421" s="318">
        <f>SUMIF(Consumo!$C$3:$C$869,tabItens[[#This Row],[CÓDIGO]],Consumo!$Y$3:$Y$869)</f>
        <v>2217</v>
      </c>
      <c r="AW421" s="291">
        <f>tabItens[[#This Row],[QTDE ATUAL]] + tabItens[[#This Row],[RC QTDE]] + tabItens[[#This Row],[AF SALDO]] + tabItens[[#This Row],[Recentes]]</f>
        <v>44198</v>
      </c>
      <c r="AX421" s="319">
        <v>5679</v>
      </c>
      <c r="AY421" s="319">
        <v>4</v>
      </c>
      <c r="AZ421" s="319">
        <f>IF(ISBLANK(tabItens[[#This Row],[CÓDIGO]]),"",tabItens[[#This Row],[PontoMês]] * (AZ$2+tabItens[[#This Row],[PontoQtM]]))</f>
        <v>22716</v>
      </c>
      <c r="BA421" s="318">
        <f>tabItens[[#This Row],[PontoPed]] - tabItens[[#This Row],[Saldo]] + (1/10)</f>
        <v>-21481.9</v>
      </c>
      <c r="BB421" s="318">
        <f xml:space="preserve"> tabItens[[#This Row],[PontoMês]] * BB$2 - tabItens[[#This Row],[QTDE ATUAL]] - (1/10)</f>
        <v>-38519.1</v>
      </c>
      <c r="BC421" s="320">
        <f>IF( tabItens[[#This Row],[PontoPed]]&gt;0, IF(tabItens[[#This Row],[PontoPed]]&lt;1, 1, IF( tabItens[[#This Row],[Saldo]]&gt;tabItens[[#This Row],[PontoPed]], 0, (tabItens[[#This Row],[PontoPed]]-tabItens[[#This Row],[Saldo]])/tabItens[[#This Row],[PontoPed]] ) ), 0 )</f>
        <v>0</v>
      </c>
      <c r="BD421" s="321">
        <f>ROUNDDOWN(IF( OR( AND(tabItens[[#This Row],[PontoPed]]&lt;tabItens[[#This Row],[Saldo]],tabItens[[#This Row],[Saldo]]&gt;0), tabItens[[#This Row],[PontoPed]]=0), 99, IF(AND(tabItens[[#This Row],[Saldo]]=0,tabItens[[#This Row],[PontoPed]]&gt;0), 0, (1-tabItens[[#This Row],[PctAb]])*10 ) ),0)</f>
        <v>99</v>
      </c>
      <c r="BE421" s="322">
        <f>MAX(ROUNDDOWN( IF(tabItens[[#This Row],[Abaixo]] &gt; 0,   tabItens[[#This Row],[Abaixo]] + (tabItens[[#This Row],[PontoMês]] * IF( OR( ISBLANK(tabItens[[#This Row],[ATA Nº/ANO]]), tabItens[[#This Row],[ATA Nº/ANO]] = ""),BE$2,BE$1)),0),0),0)</f>
        <v>0</v>
      </c>
      <c r="BF42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23">
        <f>SUMIF(Consumo!$C$3:$C$869,tabItens[[#This Row],[CÓDIGO]],Consumo!$E$3:$E$869)</f>
        <v>847</v>
      </c>
      <c r="BH421" s="324">
        <f>IF(AND(tabItens[[#This Row],[Pend]] &gt; 0,tabItens[[#This Row],[Consumo]] &lt;&gt; 0), tabItens[[#This Row],[Pend]] / tabItens[[#This Row],[Consumo]], 0 )</f>
        <v>2.8528123947457056E-2</v>
      </c>
      <c r="BI421" s="323"/>
      <c r="BJ421" s="323"/>
      <c r="BK421" s="325" t="s">
        <v>2064</v>
      </c>
    </row>
    <row r="422" spans="1:63" hidden="1" x14ac:dyDescent="0.3">
      <c r="A422" s="286">
        <v>11857</v>
      </c>
      <c r="B422" s="287" t="s">
        <v>934</v>
      </c>
      <c r="C422" s="288" t="s">
        <v>31</v>
      </c>
      <c r="D422" s="289">
        <v>0.15</v>
      </c>
      <c r="E422" s="290"/>
      <c r="F422" s="290"/>
      <c r="G422" s="290" t="s">
        <v>883</v>
      </c>
      <c r="H422" s="291">
        <v>24790</v>
      </c>
      <c r="I422" s="292">
        <v>103003</v>
      </c>
      <c r="J422" s="293">
        <v>0.15</v>
      </c>
      <c r="K422" s="294">
        <v>12227</v>
      </c>
      <c r="L422" s="295">
        <f>IF(tabItens[[#This Row],[Média]] &gt; 0, tabItens[[#This Row],[QTDE ATUAL]] / tabItens[[#This Row],[Média]],999.9)</f>
        <v>15.674992096111287</v>
      </c>
      <c r="M422" s="296">
        <v>0</v>
      </c>
      <c r="N422" s="297">
        <f>tabItens[[#This Row],[VALOR UNIT.]] * tabItens[[#This Row],[LC]]</f>
        <v>0</v>
      </c>
      <c r="O422" s="298" t="s">
        <v>2067</v>
      </c>
      <c r="P422" s="299"/>
      <c r="Q422" s="300"/>
      <c r="R422" s="297"/>
      <c r="S422" s="301"/>
      <c r="T422" s="302">
        <f>ROUNDDOWN(IFERROR(tabItens[[#This Row],[ATA DT.VALID.]] - $D$1,0) / 30,0)</f>
        <v>-1504</v>
      </c>
      <c r="U422" s="287" t="s">
        <v>935</v>
      </c>
      <c r="V422" s="303">
        <v>1</v>
      </c>
      <c r="W422" s="304" t="s">
        <v>2052</v>
      </c>
      <c r="X422" s="305">
        <v>45</v>
      </c>
      <c r="Y422" s="306">
        <v>11</v>
      </c>
      <c r="Z422" s="307"/>
      <c r="AA422" s="308"/>
      <c r="AB422" s="309"/>
      <c r="AC422" s="309"/>
      <c r="AD422" s="308"/>
      <c r="AE422" s="309"/>
      <c r="AF422" s="302"/>
      <c r="AG422" s="310" t="s">
        <v>2050</v>
      </c>
      <c r="AH422" s="311"/>
      <c r="AI422" s="302">
        <v>6438</v>
      </c>
      <c r="AJ422" s="311">
        <v>43635</v>
      </c>
      <c r="AK422" s="311" t="s">
        <v>883</v>
      </c>
      <c r="AL422" s="311">
        <v>45107</v>
      </c>
      <c r="AM422" s="301"/>
      <c r="AN422" s="290"/>
      <c r="AO422" s="312" t="str">
        <f>_xlfn.IFNA(IF(VLOOKUP(tabItens[[#This Row],[CÓDIGO]],tabExcluirDoEstoque[#Data],1,FALSE),"sim",""),"")</f>
        <v/>
      </c>
      <c r="AP422" s="313" t="str">
        <f ca="1">IF(OR(ISBLANK(tabItens[[#This Row],[ATA DT.VALID.]]),tabItens[[#This Row],[ATA DT.VALID.]]="",tabItens[[#This Row],[ATA DT.VALID.]]=" "),"",IF(TYPE(tabItens[[#This Row],[ATA DT.VALID.]])=1,ROUNDUP((tabItens[[#This Row],[ATA DT.VALID.]]-TODAY())/7,0),""))</f>
        <v/>
      </c>
      <c r="AQ422" s="314">
        <v>0</v>
      </c>
      <c r="AR422" s="315" t="str">
        <f>IF(ISBLANK(tabItens[[#This Row],[CÓDIGO]]),"",IFERROR(VLOOKUP(tabItens[[#This Row],[CÓDIGO]],Consumo!$C$2:$AC$869,26,FALSE),0))</f>
        <v>07.2023</v>
      </c>
      <c r="AS422" s="316">
        <f>SUMIF(Consumo!$C$3:$C$869,tabItens[[#This Row],[CÓDIGO]],Consumo!$N$3:$N$869) + SUMIF(Consumo!$C$3:$C$869,tabItens[[#This Row],[CÓDIGO]],Consumo!$O$3:$O$869) + SUMIF(Consumo!$C$3:$C$869,tabItens[[#This Row],[CÓDIGO]],Consumo!$P$3:$P$869) + SUMIF(Consumo!$C$3:$C$869,tabItens[[#This Row],[CÓDIGO]],Consumo!$Q$3:$Q$869)</f>
        <v>7080</v>
      </c>
      <c r="AT422" s="316">
        <f>SUMIF(Consumo!$C$3:$C$869,tabItens[[#This Row],[CÓDIGO]],Consumo!$Z$3:$Z$869)</f>
        <v>19312</v>
      </c>
      <c r="AU422" s="317">
        <f>SUMIF(Consumo!$C$3:$C$869,tabItens[[#This Row],[CÓDIGO]],Consumo!$AA$3:$AA$869)</f>
        <v>3197</v>
      </c>
      <c r="AV422" s="318">
        <f>SUMIF(Consumo!$C$3:$C$869,tabItens[[#This Row],[CÓDIGO]],Consumo!$Y$3:$Y$869)</f>
        <v>1581.5</v>
      </c>
      <c r="AW422" s="291">
        <f>tabItens[[#This Row],[QTDE ATUAL]] + tabItens[[#This Row],[RC QTDE]] + tabItens[[#This Row],[AF SALDO]] + tabItens[[#This Row],[Recentes]]</f>
        <v>24790</v>
      </c>
      <c r="AX422" s="319">
        <v>1362</v>
      </c>
      <c r="AY422" s="319">
        <v>4</v>
      </c>
      <c r="AZ422" s="319">
        <f>IF(ISBLANK(tabItens[[#This Row],[CÓDIGO]]),"",tabItens[[#This Row],[PontoMês]] * (AZ$2+tabItens[[#This Row],[PontoQtM]]))</f>
        <v>5448</v>
      </c>
      <c r="BA422" s="318">
        <f>tabItens[[#This Row],[PontoPed]] - tabItens[[#This Row],[Saldo]] + (1/10)</f>
        <v>-19341.900000000001</v>
      </c>
      <c r="BB422" s="318">
        <f xml:space="preserve"> tabItens[[#This Row],[PontoMês]] * BB$2 - tabItens[[#This Row],[QTDE ATUAL]] - (1/10)</f>
        <v>-23428.1</v>
      </c>
      <c r="BC422" s="320">
        <f>IF( tabItens[[#This Row],[PontoPed]]&gt;0, IF(tabItens[[#This Row],[PontoPed]]&lt;1, 1, IF( tabItens[[#This Row],[Saldo]]&gt;tabItens[[#This Row],[PontoPed]], 0, (tabItens[[#This Row],[PontoPed]]-tabItens[[#This Row],[Saldo]])/tabItens[[#This Row],[PontoPed]] ) ), 0 )</f>
        <v>0</v>
      </c>
      <c r="BD422" s="321">
        <f>ROUNDDOWN(IF( OR( AND(tabItens[[#This Row],[PontoPed]]&lt;tabItens[[#This Row],[Saldo]],tabItens[[#This Row],[Saldo]]&gt;0), tabItens[[#This Row],[PontoPed]]=0), 99, IF(AND(tabItens[[#This Row],[Saldo]]=0,tabItens[[#This Row],[PontoPed]]&gt;0), 0, (1-tabItens[[#This Row],[PctAb]])*10 ) ),0)</f>
        <v>99</v>
      </c>
      <c r="BE422" s="322">
        <f>MAX(ROUNDDOWN( IF(tabItens[[#This Row],[Abaixo]] &gt; 0,   tabItens[[#This Row],[Abaixo]] + (tabItens[[#This Row],[PontoMês]] * IF( OR( ISBLANK(tabItens[[#This Row],[ATA Nº/ANO]]), tabItens[[#This Row],[ATA Nº/ANO]] = ""),BE$2,BE$1)),0),0),0)</f>
        <v>0</v>
      </c>
      <c r="BF42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23">
        <f>SUMIF(Consumo!$C$3:$C$869,tabItens[[#This Row],[CÓDIGO]],Consumo!$E$3:$E$869)</f>
        <v>0</v>
      </c>
      <c r="BH422" s="324">
        <f>IF(AND(tabItens[[#This Row],[Pend]] &gt; 0,tabItens[[#This Row],[Consumo]] &lt;&gt; 0), tabItens[[#This Row],[Pend]] / tabItens[[#This Row],[Consumo]], 0 )</f>
        <v>0</v>
      </c>
      <c r="BI422" s="323"/>
      <c r="BJ422" s="323"/>
      <c r="BK422" s="325" t="s">
        <v>2064</v>
      </c>
    </row>
    <row r="423" spans="1:63" hidden="1" x14ac:dyDescent="0.3">
      <c r="A423" s="286">
        <v>12018</v>
      </c>
      <c r="B423" s="287" t="s">
        <v>936</v>
      </c>
      <c r="C423" s="288" t="s">
        <v>31</v>
      </c>
      <c r="D423" s="289">
        <v>10.16</v>
      </c>
      <c r="E423" s="290"/>
      <c r="F423" s="290"/>
      <c r="G423" s="290" t="s">
        <v>883</v>
      </c>
      <c r="H423" s="291">
        <v>2898</v>
      </c>
      <c r="I423" s="292">
        <v>103003</v>
      </c>
      <c r="J423" s="293">
        <v>10.16</v>
      </c>
      <c r="K423" s="294">
        <v>116</v>
      </c>
      <c r="L423" s="295">
        <f>IF(tabItens[[#This Row],[Média]] &gt; 0, tabItens[[#This Row],[QTDE ATUAL]] / tabItens[[#This Row],[Média]],999.9)</f>
        <v>204.56470588235294</v>
      </c>
      <c r="M423" s="296">
        <v>0</v>
      </c>
      <c r="N423" s="297">
        <f>tabItens[[#This Row],[VALOR UNIT.]] * tabItens[[#This Row],[LC]]</f>
        <v>0</v>
      </c>
      <c r="O423" s="298" t="s">
        <v>2067</v>
      </c>
      <c r="P423" s="299"/>
      <c r="Q423" s="300"/>
      <c r="R423" s="297"/>
      <c r="S423" s="301"/>
      <c r="T423" s="302">
        <f>ROUNDDOWN(IFERROR(tabItens[[#This Row],[ATA DT.VALID.]] - $D$1,0) / 30,0)</f>
        <v>-1504</v>
      </c>
      <c r="U423" s="287" t="s">
        <v>935</v>
      </c>
      <c r="V423" s="303">
        <v>1</v>
      </c>
      <c r="W423" s="304" t="s">
        <v>2052</v>
      </c>
      <c r="X423" s="305">
        <v>45</v>
      </c>
      <c r="Y423" s="306">
        <v>11</v>
      </c>
      <c r="Z423" s="307"/>
      <c r="AA423" s="308"/>
      <c r="AB423" s="309"/>
      <c r="AC423" s="309"/>
      <c r="AD423" s="308"/>
      <c r="AE423" s="309"/>
      <c r="AF423" s="302"/>
      <c r="AG423" s="310" t="s">
        <v>2050</v>
      </c>
      <c r="AH423" s="311"/>
      <c r="AI423" s="302">
        <v>56</v>
      </c>
      <c r="AJ423" s="311">
        <v>43620</v>
      </c>
      <c r="AK423" s="311" t="s">
        <v>883</v>
      </c>
      <c r="AL423" s="311">
        <v>45107</v>
      </c>
      <c r="AM423" s="301"/>
      <c r="AN423" s="290"/>
      <c r="AO423" s="312" t="str">
        <f>_xlfn.IFNA(IF(VLOOKUP(tabItens[[#This Row],[CÓDIGO]],tabExcluirDoEstoque[#Data],1,FALSE),"sim",""),"")</f>
        <v/>
      </c>
      <c r="AP423" s="313" t="str">
        <f ca="1">IF(OR(ISBLANK(tabItens[[#This Row],[ATA DT.VALID.]]),tabItens[[#This Row],[ATA DT.VALID.]]="",tabItens[[#This Row],[ATA DT.VALID.]]=" "),"",IF(TYPE(tabItens[[#This Row],[ATA DT.VALID.]])=1,ROUNDUP((tabItens[[#This Row],[ATA DT.VALID.]]-TODAY())/7,0),""))</f>
        <v/>
      </c>
      <c r="AQ423" s="314">
        <v>0</v>
      </c>
      <c r="AR423" s="315" t="str">
        <f>IF(ISBLANK(tabItens[[#This Row],[CÓDIGO]]),"",IFERROR(VLOOKUP(tabItens[[#This Row],[CÓDIGO]],Consumo!$C$2:$AC$869,26,FALSE),0))</f>
        <v>07.2023</v>
      </c>
      <c r="AS423" s="316">
        <f>SUMIF(Consumo!$C$3:$C$869,tabItens[[#This Row],[CÓDIGO]],Consumo!$N$3:$N$869) + SUMIF(Consumo!$C$3:$C$869,tabItens[[#This Row],[CÓDIGO]],Consumo!$O$3:$O$869) + SUMIF(Consumo!$C$3:$C$869,tabItens[[#This Row],[CÓDIGO]],Consumo!$P$3:$P$869) + SUMIF(Consumo!$C$3:$C$869,tabItens[[#This Row],[CÓDIGO]],Consumo!$Q$3:$Q$869)</f>
        <v>66</v>
      </c>
      <c r="AT423" s="316">
        <f>SUMIF(Consumo!$C$3:$C$869,tabItens[[#This Row],[CÓDIGO]],Consumo!$Z$3:$Z$869)</f>
        <v>170</v>
      </c>
      <c r="AU423" s="317">
        <f>SUMIF(Consumo!$C$3:$C$869,tabItens[[#This Row],[CÓDIGO]],Consumo!$AA$3:$AA$869)</f>
        <v>27</v>
      </c>
      <c r="AV423" s="318">
        <f>SUMIF(Consumo!$C$3:$C$869,tabItens[[#This Row],[CÓDIGO]],Consumo!$Y$3:$Y$869)</f>
        <v>14.166666666666666</v>
      </c>
      <c r="AW423" s="291">
        <f>tabItens[[#This Row],[QTDE ATUAL]] + tabItens[[#This Row],[RC QTDE]] + tabItens[[#This Row],[AF SALDO]] + tabItens[[#This Row],[Recentes]]</f>
        <v>2898</v>
      </c>
      <c r="AX423" s="319">
        <v>33</v>
      </c>
      <c r="AY423" s="319">
        <v>4</v>
      </c>
      <c r="AZ423" s="319">
        <f>IF(ISBLANK(tabItens[[#This Row],[CÓDIGO]]),"",tabItens[[#This Row],[PontoMês]] * (AZ$2+tabItens[[#This Row],[PontoQtM]]))</f>
        <v>132</v>
      </c>
      <c r="BA423" s="318">
        <f>tabItens[[#This Row],[PontoPed]] - tabItens[[#This Row],[Saldo]] + (1/10)</f>
        <v>-2765.9</v>
      </c>
      <c r="BB423" s="318">
        <f xml:space="preserve"> tabItens[[#This Row],[PontoMês]] * BB$2 - tabItens[[#This Row],[QTDE ATUAL]] - (1/10)</f>
        <v>-2865.1</v>
      </c>
      <c r="BC423" s="320">
        <f>IF( tabItens[[#This Row],[PontoPed]]&gt;0, IF(tabItens[[#This Row],[PontoPed]]&lt;1, 1, IF( tabItens[[#This Row],[Saldo]]&gt;tabItens[[#This Row],[PontoPed]], 0, (tabItens[[#This Row],[PontoPed]]-tabItens[[#This Row],[Saldo]])/tabItens[[#This Row],[PontoPed]] ) ), 0 )</f>
        <v>0</v>
      </c>
      <c r="BD423" s="321">
        <f>ROUNDDOWN(IF( OR( AND(tabItens[[#This Row],[PontoPed]]&lt;tabItens[[#This Row],[Saldo]],tabItens[[#This Row],[Saldo]]&gt;0), tabItens[[#This Row],[PontoPed]]=0), 99, IF(AND(tabItens[[#This Row],[Saldo]]=0,tabItens[[#This Row],[PontoPed]]&gt;0), 0, (1-tabItens[[#This Row],[PctAb]])*10 ) ),0)</f>
        <v>99</v>
      </c>
      <c r="BE423" s="322">
        <f>MAX(ROUNDDOWN( IF(tabItens[[#This Row],[Abaixo]] &gt; 0,   tabItens[[#This Row],[Abaixo]] + (tabItens[[#This Row],[PontoMês]] * IF( OR( ISBLANK(tabItens[[#This Row],[ATA Nº/ANO]]), tabItens[[#This Row],[ATA Nº/ANO]] = ""),BE$2,BE$1)),0),0),0)</f>
        <v>0</v>
      </c>
      <c r="BF42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23">
        <f>SUMIF(Consumo!$C$3:$C$869,tabItens[[#This Row],[CÓDIGO]],Consumo!$E$3:$E$869)</f>
        <v>0</v>
      </c>
      <c r="BH423" s="324">
        <f>IF(AND(tabItens[[#This Row],[Pend]] &gt; 0,tabItens[[#This Row],[Consumo]] &lt;&gt; 0), tabItens[[#This Row],[Pend]] / tabItens[[#This Row],[Consumo]], 0 )</f>
        <v>0</v>
      </c>
      <c r="BI423" s="323"/>
      <c r="BJ423" s="323"/>
      <c r="BK423" s="325" t="s">
        <v>2064</v>
      </c>
    </row>
    <row r="424" spans="1:63" hidden="1" x14ac:dyDescent="0.3">
      <c r="A424" s="286">
        <v>133451</v>
      </c>
      <c r="B424" s="287" t="s">
        <v>1846</v>
      </c>
      <c r="C424" s="288" t="s">
        <v>31</v>
      </c>
      <c r="D424" s="289">
        <v>6.5</v>
      </c>
      <c r="E424" s="290"/>
      <c r="F424" s="290"/>
      <c r="G424" s="290" t="s">
        <v>883</v>
      </c>
      <c r="H424" s="291">
        <v>2339</v>
      </c>
      <c r="I424" s="292">
        <v>103003</v>
      </c>
      <c r="J424" s="293">
        <v>6.5</v>
      </c>
      <c r="K424" s="294">
        <v>825</v>
      </c>
      <c r="L424" s="295">
        <f>IF(tabItens[[#This Row],[Média]] &gt; 0, tabItens[[#This Row],[QTDE ATUAL]] / tabItens[[#This Row],[Média]],999.9)</f>
        <v>26.454288407163052</v>
      </c>
      <c r="M424" s="296">
        <v>0</v>
      </c>
      <c r="N424" s="297">
        <f>tabItens[[#This Row],[VALOR UNIT.]] * tabItens[[#This Row],[LC]]</f>
        <v>0</v>
      </c>
      <c r="O424" s="298" t="s">
        <v>2067</v>
      </c>
      <c r="P424" s="299"/>
      <c r="Q424" s="300"/>
      <c r="R424" s="297"/>
      <c r="S424" s="301"/>
      <c r="T424" s="302">
        <f>ROUNDDOWN(IFERROR(tabItens[[#This Row],[ATA DT.VALID.]] - $D$1,0) / 30,0)</f>
        <v>-1504</v>
      </c>
      <c r="U424" s="287" t="s">
        <v>935</v>
      </c>
      <c r="V424" s="303">
        <v>1</v>
      </c>
      <c r="W424" s="304" t="s">
        <v>2052</v>
      </c>
      <c r="X424" s="305">
        <v>45</v>
      </c>
      <c r="Y424" s="306">
        <v>11</v>
      </c>
      <c r="Z424" s="307"/>
      <c r="AA424" s="308"/>
      <c r="AB424" s="309"/>
      <c r="AC424" s="309"/>
      <c r="AD424" s="308"/>
      <c r="AE424" s="309"/>
      <c r="AF424" s="302"/>
      <c r="AG424" s="310" t="s">
        <v>2050</v>
      </c>
      <c r="AH424" s="311"/>
      <c r="AI424" s="302">
        <v>382</v>
      </c>
      <c r="AJ424" s="311">
        <v>43622</v>
      </c>
      <c r="AK424" s="311">
        <v>42998</v>
      </c>
      <c r="AL424" s="311">
        <v>43607</v>
      </c>
      <c r="AM424" s="301"/>
      <c r="AN424" s="290"/>
      <c r="AO424" s="312" t="str">
        <f>_xlfn.IFNA(IF(VLOOKUP(tabItens[[#This Row],[CÓDIGO]],tabExcluirDoEstoque[#Data],1,FALSE),"sim",""),"")</f>
        <v/>
      </c>
      <c r="AP424" s="313" t="str">
        <f ca="1">IF(OR(ISBLANK(tabItens[[#This Row],[ATA DT.VALID.]]),tabItens[[#This Row],[ATA DT.VALID.]]="",tabItens[[#This Row],[ATA DT.VALID.]]=" "),"",IF(TYPE(tabItens[[#This Row],[ATA DT.VALID.]])=1,ROUNDUP((tabItens[[#This Row],[ATA DT.VALID.]]-TODAY())/7,0),""))</f>
        <v/>
      </c>
      <c r="AQ424" s="314">
        <v>0</v>
      </c>
      <c r="AR424" s="315" t="str">
        <f>IF(ISBLANK(tabItens[[#This Row],[CÓDIGO]]),"",IFERROR(VLOOKUP(tabItens[[#This Row],[CÓDIGO]],Consumo!$C$2:$AC$869,26,FALSE),0))</f>
        <v>07.2023</v>
      </c>
      <c r="AS424" s="316">
        <f>SUMIF(Consumo!$C$3:$C$869,tabItens[[#This Row],[CÓDIGO]],Consumo!$N$3:$N$869) + SUMIF(Consumo!$C$3:$C$869,tabItens[[#This Row],[CÓDIGO]],Consumo!$O$3:$O$869) + SUMIF(Consumo!$C$3:$C$869,tabItens[[#This Row],[CÓDIGO]],Consumo!$P$3:$P$869) + SUMIF(Consumo!$C$3:$C$869,tabItens[[#This Row],[CÓDIGO]],Consumo!$Q$3:$Q$869)</f>
        <v>250</v>
      </c>
      <c r="AT424" s="316">
        <f>SUMIF(Consumo!$C$3:$C$869,tabItens[[#This Row],[CÓDIGO]],Consumo!$Z$3:$Z$869)</f>
        <v>1145</v>
      </c>
      <c r="AU424" s="317">
        <f>SUMIF(Consumo!$C$3:$C$869,tabItens[[#This Row],[CÓDIGO]],Consumo!$AA$3:$AA$869)</f>
        <v>347</v>
      </c>
      <c r="AV424" s="318">
        <f>SUMIF(Consumo!$C$3:$C$869,tabItens[[#This Row],[CÓDIGO]],Consumo!$Y$3:$Y$869)</f>
        <v>88.416666666666671</v>
      </c>
      <c r="AW424" s="291">
        <f>tabItens[[#This Row],[QTDE ATUAL]] + tabItens[[#This Row],[RC QTDE]] + tabItens[[#This Row],[AF SALDO]] + tabItens[[#This Row],[Recentes]]</f>
        <v>2339</v>
      </c>
      <c r="AX424" s="319">
        <v>79</v>
      </c>
      <c r="AY424" s="319">
        <v>4</v>
      </c>
      <c r="AZ424" s="319">
        <f>IF(ISBLANK(tabItens[[#This Row],[CÓDIGO]]),"",tabItens[[#This Row],[PontoMês]] * (AZ$2+tabItens[[#This Row],[PontoQtM]]))</f>
        <v>316</v>
      </c>
      <c r="BA424" s="318">
        <f>tabItens[[#This Row],[PontoPed]] - tabItens[[#This Row],[Saldo]] + (1/10)</f>
        <v>-2022.9</v>
      </c>
      <c r="BB424" s="318">
        <f xml:space="preserve"> tabItens[[#This Row],[PontoMês]] * BB$2 - tabItens[[#This Row],[QTDE ATUAL]] - (1/10)</f>
        <v>-2260.1</v>
      </c>
      <c r="BC424" s="320">
        <f>IF( tabItens[[#This Row],[PontoPed]]&gt;0, IF(tabItens[[#This Row],[PontoPed]]&lt;1, 1, IF( tabItens[[#This Row],[Saldo]]&gt;tabItens[[#This Row],[PontoPed]], 0, (tabItens[[#This Row],[PontoPed]]-tabItens[[#This Row],[Saldo]])/tabItens[[#This Row],[PontoPed]] ) ), 0 )</f>
        <v>0</v>
      </c>
      <c r="BD424" s="321">
        <f>ROUNDDOWN(IF( OR( AND(tabItens[[#This Row],[PontoPed]]&lt;tabItens[[#This Row],[Saldo]],tabItens[[#This Row],[Saldo]]&gt;0), tabItens[[#This Row],[PontoPed]]=0), 99, IF(AND(tabItens[[#This Row],[Saldo]]=0,tabItens[[#This Row],[PontoPed]]&gt;0), 0, (1-tabItens[[#This Row],[PctAb]])*10 ) ),0)</f>
        <v>99</v>
      </c>
      <c r="BE424" s="322">
        <f>MAX(ROUNDDOWN( IF(tabItens[[#This Row],[Abaixo]] &gt; 0,   tabItens[[#This Row],[Abaixo]] + (tabItens[[#This Row],[PontoMês]] * IF( OR( ISBLANK(tabItens[[#This Row],[ATA Nº/ANO]]), tabItens[[#This Row],[ATA Nº/ANO]] = ""),BE$2,BE$1)),0),0),0)</f>
        <v>0</v>
      </c>
      <c r="BF42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23">
        <f>SUMIF(Consumo!$C$3:$C$869,tabItens[[#This Row],[CÓDIGO]],Consumo!$E$3:$E$869)</f>
        <v>0</v>
      </c>
      <c r="BH424" s="324">
        <f>IF(AND(tabItens[[#This Row],[Pend]] &gt; 0,tabItens[[#This Row],[Consumo]] &lt;&gt; 0), tabItens[[#This Row],[Pend]] / tabItens[[#This Row],[Consumo]], 0 )</f>
        <v>0</v>
      </c>
      <c r="BI424" s="323"/>
      <c r="BJ424" s="323"/>
      <c r="BK424" s="325" t="s">
        <v>2064</v>
      </c>
    </row>
    <row r="425" spans="1:63" hidden="1" x14ac:dyDescent="0.3">
      <c r="A425" s="286">
        <v>139767</v>
      </c>
      <c r="B425" s="287" t="s">
        <v>1978</v>
      </c>
      <c r="C425" s="288" t="s">
        <v>31</v>
      </c>
      <c r="D425" s="289">
        <v>0</v>
      </c>
      <c r="E425" s="290"/>
      <c r="F425" s="290"/>
      <c r="G425" s="290" t="s">
        <v>883</v>
      </c>
      <c r="H425" s="291">
        <v>2325</v>
      </c>
      <c r="I425" s="292">
        <v>103003</v>
      </c>
      <c r="J425" s="293">
        <v>0</v>
      </c>
      <c r="K425" s="294">
        <v>1475</v>
      </c>
      <c r="L425" s="295">
        <f>IF(tabItens[[#This Row],[Média]] &gt; 0, tabItens[[#This Row],[QTDE ATUAL]] / tabItens[[#This Row],[Média]],999.9)</f>
        <v>11.538461538461538</v>
      </c>
      <c r="M425" s="296">
        <v>0</v>
      </c>
      <c r="N425" s="297">
        <f>tabItens[[#This Row],[VALOR UNIT.]] * tabItens[[#This Row],[LC]]</f>
        <v>0</v>
      </c>
      <c r="O425" s="298" t="s">
        <v>2067</v>
      </c>
      <c r="P425" s="299"/>
      <c r="Q425" s="300"/>
      <c r="R425" s="297"/>
      <c r="S425" s="301"/>
      <c r="T425" s="302">
        <f>ROUNDDOWN(IFERROR(tabItens[[#This Row],[ATA DT.VALID.]] - $D$1,0) / 30,0)</f>
        <v>-1504</v>
      </c>
      <c r="U425" s="287" t="s">
        <v>935</v>
      </c>
      <c r="V425" s="303">
        <v>1</v>
      </c>
      <c r="W425" s="304" t="s">
        <v>2052</v>
      </c>
      <c r="X425" s="305">
        <v>45</v>
      </c>
      <c r="Y425" s="306">
        <v>11</v>
      </c>
      <c r="Z425" s="307"/>
      <c r="AA425" s="308"/>
      <c r="AB425" s="309"/>
      <c r="AC425" s="309"/>
      <c r="AD425" s="308"/>
      <c r="AE425" s="309"/>
      <c r="AF425" s="302"/>
      <c r="AG425" s="310" t="s">
        <v>2050</v>
      </c>
      <c r="AH425" s="311"/>
      <c r="AI425" s="302">
        <v>820</v>
      </c>
      <c r="AJ425" s="311" t="s">
        <v>883</v>
      </c>
      <c r="AK425" s="311">
        <v>44020</v>
      </c>
      <c r="AL425" s="311" t="s">
        <v>883</v>
      </c>
      <c r="AM425" s="301"/>
      <c r="AN425" s="290"/>
      <c r="AO425" s="312" t="str">
        <f>_xlfn.IFNA(IF(VLOOKUP(tabItens[[#This Row],[CÓDIGO]],tabExcluirDoEstoque[#Data],1,FALSE),"sim",""),"")</f>
        <v/>
      </c>
      <c r="AP425" s="313" t="str">
        <f ca="1">IF(OR(ISBLANK(tabItens[[#This Row],[ATA DT.VALID.]]),tabItens[[#This Row],[ATA DT.VALID.]]="",tabItens[[#This Row],[ATA DT.VALID.]]=" "),"",IF(TYPE(tabItens[[#This Row],[ATA DT.VALID.]])=1,ROUNDUP((tabItens[[#This Row],[ATA DT.VALID.]]-TODAY())/7,0),""))</f>
        <v/>
      </c>
      <c r="AQ425" s="314">
        <v>0</v>
      </c>
      <c r="AR425" s="315" t="str">
        <f>IF(ISBLANK(tabItens[[#This Row],[CÓDIGO]]),"",IFERROR(VLOOKUP(tabItens[[#This Row],[CÓDIGO]],Consumo!$C$2:$AC$869,26,FALSE),0))</f>
        <v>07.2023</v>
      </c>
      <c r="AS425" s="316">
        <f>SUMIF(Consumo!$C$3:$C$869,tabItens[[#This Row],[CÓDIGO]],Consumo!$N$3:$N$869) + SUMIF(Consumo!$C$3:$C$869,tabItens[[#This Row],[CÓDIGO]],Consumo!$O$3:$O$869) + SUMIF(Consumo!$C$3:$C$869,tabItens[[#This Row],[CÓDIGO]],Consumo!$P$3:$P$869) + SUMIF(Consumo!$C$3:$C$869,tabItens[[#This Row],[CÓDIGO]],Consumo!$Q$3:$Q$869)</f>
        <v>737</v>
      </c>
      <c r="AT425" s="316">
        <f>SUMIF(Consumo!$C$3:$C$869,tabItens[[#This Row],[CÓDIGO]],Consumo!$Z$3:$Z$869)</f>
        <v>2418</v>
      </c>
      <c r="AU425" s="317">
        <f>SUMIF(Consumo!$C$3:$C$869,tabItens[[#This Row],[CÓDIGO]],Consumo!$AA$3:$AA$869)</f>
        <v>298</v>
      </c>
      <c r="AV425" s="318">
        <f>SUMIF(Consumo!$C$3:$C$869,tabItens[[#This Row],[CÓDIGO]],Consumo!$Y$3:$Y$869)</f>
        <v>201.5</v>
      </c>
      <c r="AW425" s="291">
        <f>tabItens[[#This Row],[QTDE ATUAL]] + tabItens[[#This Row],[RC QTDE]] + tabItens[[#This Row],[AF SALDO]] + tabItens[[#This Row],[Recentes]]</f>
        <v>2325</v>
      </c>
      <c r="AX425" s="319">
        <v>135</v>
      </c>
      <c r="AY425" s="319">
        <v>4</v>
      </c>
      <c r="AZ425" s="319">
        <f>IF(ISBLANK(tabItens[[#This Row],[CÓDIGO]]),"",tabItens[[#This Row],[PontoMês]] * (AZ$2+tabItens[[#This Row],[PontoQtM]]))</f>
        <v>540</v>
      </c>
      <c r="BA425" s="318">
        <f>tabItens[[#This Row],[PontoPed]] - tabItens[[#This Row],[Saldo]] + (1/10)</f>
        <v>-1784.9</v>
      </c>
      <c r="BB425" s="318">
        <f xml:space="preserve"> tabItens[[#This Row],[PontoMês]] * BB$2 - tabItens[[#This Row],[QTDE ATUAL]] - (1/10)</f>
        <v>-2190.1</v>
      </c>
      <c r="BC425" s="320">
        <f>IF( tabItens[[#This Row],[PontoPed]]&gt;0, IF(tabItens[[#This Row],[PontoPed]]&lt;1, 1, IF( tabItens[[#This Row],[Saldo]]&gt;tabItens[[#This Row],[PontoPed]], 0, (tabItens[[#This Row],[PontoPed]]-tabItens[[#This Row],[Saldo]])/tabItens[[#This Row],[PontoPed]] ) ), 0 )</f>
        <v>0</v>
      </c>
      <c r="BD425" s="321">
        <f>ROUNDDOWN(IF( OR( AND(tabItens[[#This Row],[PontoPed]]&lt;tabItens[[#This Row],[Saldo]],tabItens[[#This Row],[Saldo]]&gt;0), tabItens[[#This Row],[PontoPed]]=0), 99, IF(AND(tabItens[[#This Row],[Saldo]]=0,tabItens[[#This Row],[PontoPed]]&gt;0), 0, (1-tabItens[[#This Row],[PctAb]])*10 ) ),0)</f>
        <v>99</v>
      </c>
      <c r="BE425" s="322">
        <f>MAX(ROUNDDOWN( IF(tabItens[[#This Row],[Abaixo]] &gt; 0,   tabItens[[#This Row],[Abaixo]] + (tabItens[[#This Row],[PontoMês]] * IF( OR( ISBLANK(tabItens[[#This Row],[ATA Nº/ANO]]), tabItens[[#This Row],[ATA Nº/ANO]] = ""),BE$2,BE$1)),0),0),0)</f>
        <v>0</v>
      </c>
      <c r="BF4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23">
        <f>SUMIF(Consumo!$C$3:$C$869,tabItens[[#This Row],[CÓDIGO]],Consumo!$E$3:$E$869)</f>
        <v>8</v>
      </c>
      <c r="BH425" s="324">
        <f>IF(AND(tabItens[[#This Row],[Pend]] &gt; 0,tabItens[[#This Row],[Consumo]] &lt;&gt; 0), tabItens[[#This Row],[Pend]] / tabItens[[#This Row],[Consumo]], 0 )</f>
        <v>3.3085194375516956E-3</v>
      </c>
      <c r="BI425" s="323"/>
      <c r="BJ425" s="323"/>
      <c r="BK425" s="325" t="s">
        <v>2064</v>
      </c>
    </row>
    <row r="426" spans="1:63" hidden="1" x14ac:dyDescent="0.3">
      <c r="A426" s="286">
        <v>11072</v>
      </c>
      <c r="B426" s="287" t="s">
        <v>924</v>
      </c>
      <c r="C426" s="288" t="s">
        <v>256</v>
      </c>
      <c r="D426" s="289">
        <v>1.59</v>
      </c>
      <c r="E426" s="290"/>
      <c r="F426" s="290"/>
      <c r="G426" s="290" t="s">
        <v>883</v>
      </c>
      <c r="H426" s="291">
        <v>465</v>
      </c>
      <c r="I426" s="292">
        <v>103003</v>
      </c>
      <c r="J426" s="293">
        <v>1.59</v>
      </c>
      <c r="K426" s="294">
        <v>371</v>
      </c>
      <c r="L426" s="295">
        <f>IF(tabItens[[#This Row],[Média]] &gt; 0, tabItens[[#This Row],[QTDE ATUAL]] / tabItens[[#This Row],[Média]],999.9)</f>
        <v>9.0291262135922334</v>
      </c>
      <c r="M426" s="296">
        <v>0</v>
      </c>
      <c r="N426" s="297">
        <f>tabItens[[#This Row],[VALOR UNIT.]] * tabItens[[#This Row],[LC]]</f>
        <v>0</v>
      </c>
      <c r="O426" s="298" t="s">
        <v>2067</v>
      </c>
      <c r="P426" s="299"/>
      <c r="Q426" s="300"/>
      <c r="R426" s="297"/>
      <c r="S426" s="301"/>
      <c r="T426" s="302">
        <f>ROUNDDOWN(IFERROR(tabItens[[#This Row],[ATA DT.VALID.]] - $D$1,0) / 30,0)</f>
        <v>-1504</v>
      </c>
      <c r="U426" s="287" t="s">
        <v>925</v>
      </c>
      <c r="V426" s="303">
        <v>1</v>
      </c>
      <c r="W426" s="304" t="s">
        <v>2051</v>
      </c>
      <c r="X426" s="305">
        <v>45</v>
      </c>
      <c r="Y426" s="306">
        <v>12</v>
      </c>
      <c r="Z426" s="307"/>
      <c r="AA426" s="308"/>
      <c r="AB426" s="309"/>
      <c r="AC426" s="309"/>
      <c r="AD426" s="308"/>
      <c r="AE426" s="309"/>
      <c r="AF426" s="302"/>
      <c r="AG426" s="310" t="s">
        <v>2050</v>
      </c>
      <c r="AH426" s="311"/>
      <c r="AI426" s="302">
        <v>206</v>
      </c>
      <c r="AJ426" s="311">
        <v>43616</v>
      </c>
      <c r="AK426" s="311" t="s">
        <v>883</v>
      </c>
      <c r="AL426" s="311">
        <v>44998</v>
      </c>
      <c r="AM426" s="301"/>
      <c r="AN426" s="290"/>
      <c r="AO426" s="312" t="str">
        <f>_xlfn.IFNA(IF(VLOOKUP(tabItens[[#This Row],[CÓDIGO]],tabExcluirDoEstoque[#Data],1,FALSE),"sim",""),"")</f>
        <v/>
      </c>
      <c r="AP426" s="313" t="str">
        <f ca="1">IF(OR(ISBLANK(tabItens[[#This Row],[ATA DT.VALID.]]),tabItens[[#This Row],[ATA DT.VALID.]]="",tabItens[[#This Row],[ATA DT.VALID.]]=" "),"",IF(TYPE(tabItens[[#This Row],[ATA DT.VALID.]])=1,ROUNDUP((tabItens[[#This Row],[ATA DT.VALID.]]-TODAY())/7,0),""))</f>
        <v/>
      </c>
      <c r="AQ426" s="314">
        <v>0</v>
      </c>
      <c r="AR426" s="315" t="str">
        <f>IF(ISBLANK(tabItens[[#This Row],[CÓDIGO]]),"",IFERROR(VLOOKUP(tabItens[[#This Row],[CÓDIGO]],Consumo!$C$2:$AC$869,26,FALSE),0))</f>
        <v>07.2023</v>
      </c>
      <c r="AS426" s="316">
        <f>SUMIF(Consumo!$C$3:$C$869,tabItens[[#This Row],[CÓDIGO]],Consumo!$N$3:$N$869) + SUMIF(Consumo!$C$3:$C$869,tabItens[[#This Row],[CÓDIGO]],Consumo!$O$3:$O$869) + SUMIF(Consumo!$C$3:$C$869,tabItens[[#This Row],[CÓDIGO]],Consumo!$P$3:$P$869) + SUMIF(Consumo!$C$3:$C$869,tabItens[[#This Row],[CÓDIGO]],Consumo!$Q$3:$Q$869)</f>
        <v>220</v>
      </c>
      <c r="AT426" s="316">
        <f>SUMIF(Consumo!$C$3:$C$869,tabItens[[#This Row],[CÓDIGO]],Consumo!$Z$3:$Z$869)</f>
        <v>618</v>
      </c>
      <c r="AU426" s="317">
        <f>SUMIF(Consumo!$C$3:$C$869,tabItens[[#This Row],[CÓDIGO]],Consumo!$AA$3:$AA$869)</f>
        <v>73</v>
      </c>
      <c r="AV426" s="318">
        <f>SUMIF(Consumo!$C$3:$C$869,tabItens[[#This Row],[CÓDIGO]],Consumo!$Y$3:$Y$869)</f>
        <v>51.5</v>
      </c>
      <c r="AW426" s="291">
        <f>tabItens[[#This Row],[QTDE ATUAL]] + tabItens[[#This Row],[RC QTDE]] + tabItens[[#This Row],[AF SALDO]] + tabItens[[#This Row],[Recentes]]</f>
        <v>465</v>
      </c>
      <c r="AX426" s="319">
        <v>51</v>
      </c>
      <c r="AY426" s="319">
        <v>4</v>
      </c>
      <c r="AZ426" s="319">
        <f>IF(ISBLANK(tabItens[[#This Row],[CÓDIGO]]),"",tabItens[[#This Row],[PontoMês]] * (AZ$2+tabItens[[#This Row],[PontoQtM]]))</f>
        <v>204</v>
      </c>
      <c r="BA426" s="318">
        <f>tabItens[[#This Row],[PontoPed]] - tabItens[[#This Row],[Saldo]] + (1/10)</f>
        <v>-260.89999999999998</v>
      </c>
      <c r="BB426" s="318">
        <f xml:space="preserve"> tabItens[[#This Row],[PontoMês]] * BB$2 - tabItens[[#This Row],[QTDE ATUAL]] - (1/10)</f>
        <v>-414.1</v>
      </c>
      <c r="BC426" s="320">
        <f>IF( tabItens[[#This Row],[PontoPed]]&gt;0, IF(tabItens[[#This Row],[PontoPed]]&lt;1, 1, IF( tabItens[[#This Row],[Saldo]]&gt;tabItens[[#This Row],[PontoPed]], 0, (tabItens[[#This Row],[PontoPed]]-tabItens[[#This Row],[Saldo]])/tabItens[[#This Row],[PontoPed]] ) ), 0 )</f>
        <v>0</v>
      </c>
      <c r="BD426" s="321">
        <f>ROUNDDOWN(IF( OR( AND(tabItens[[#This Row],[PontoPed]]&lt;tabItens[[#This Row],[Saldo]],tabItens[[#This Row],[Saldo]]&gt;0), tabItens[[#This Row],[PontoPed]]=0), 99, IF(AND(tabItens[[#This Row],[Saldo]]=0,tabItens[[#This Row],[PontoPed]]&gt;0), 0, (1-tabItens[[#This Row],[PctAb]])*10 ) ),0)</f>
        <v>99</v>
      </c>
      <c r="BE426" s="322">
        <f>MAX(ROUNDDOWN( IF(tabItens[[#This Row],[Abaixo]] &gt; 0,   tabItens[[#This Row],[Abaixo]] + (tabItens[[#This Row],[PontoMês]] * IF( OR( ISBLANK(tabItens[[#This Row],[ATA Nº/ANO]]), tabItens[[#This Row],[ATA Nº/ANO]] = ""),BE$2,BE$1)),0),0),0)</f>
        <v>0</v>
      </c>
      <c r="BF42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23">
        <f>SUMIF(Consumo!$C$3:$C$869,tabItens[[#This Row],[CÓDIGO]],Consumo!$E$3:$E$869)</f>
        <v>0</v>
      </c>
      <c r="BH426" s="324">
        <f>IF(AND(tabItens[[#This Row],[Pend]] &gt; 0,tabItens[[#This Row],[Consumo]] &lt;&gt; 0), tabItens[[#This Row],[Pend]] / tabItens[[#This Row],[Consumo]], 0 )</f>
        <v>0</v>
      </c>
      <c r="BI426" s="323"/>
      <c r="BJ426" s="323"/>
      <c r="BK426" s="325" t="s">
        <v>2064</v>
      </c>
    </row>
    <row r="427" spans="1:63" hidden="1" x14ac:dyDescent="0.3">
      <c r="A427" s="286">
        <v>17136</v>
      </c>
      <c r="B427" s="287" t="s">
        <v>1125</v>
      </c>
      <c r="C427" s="288" t="s">
        <v>413</v>
      </c>
      <c r="D427" s="289">
        <v>4</v>
      </c>
      <c r="E427" s="290"/>
      <c r="F427" s="290"/>
      <c r="G427" s="290" t="s">
        <v>883</v>
      </c>
      <c r="H427" s="291">
        <v>639</v>
      </c>
      <c r="I427" s="292">
        <v>103003</v>
      </c>
      <c r="J427" s="293">
        <v>4</v>
      </c>
      <c r="K427" s="294">
        <v>655</v>
      </c>
      <c r="L427" s="295">
        <f>IF(tabItens[[#This Row],[Média]] &gt; 0, tabItens[[#This Row],[QTDE ATUAL]] / tabItens[[#This Row],[Média]],999.9)</f>
        <v>8.743443557582669</v>
      </c>
      <c r="M427" s="296">
        <v>0</v>
      </c>
      <c r="N427" s="297">
        <f>tabItens[[#This Row],[VALOR UNIT.]] * tabItens[[#This Row],[LC]]</f>
        <v>0</v>
      </c>
      <c r="O427" s="298" t="s">
        <v>2067</v>
      </c>
      <c r="P427" s="299"/>
      <c r="Q427" s="300"/>
      <c r="R427" s="297"/>
      <c r="S427" s="301"/>
      <c r="T427" s="302">
        <f>ROUNDDOWN(IFERROR(tabItens[[#This Row],[ATA DT.VALID.]] - $D$1,0) / 30,0)</f>
        <v>-1504</v>
      </c>
      <c r="U427" s="287" t="s">
        <v>925</v>
      </c>
      <c r="V427" s="303">
        <v>1</v>
      </c>
      <c r="W427" s="304" t="s">
        <v>2051</v>
      </c>
      <c r="X427" s="305">
        <v>45</v>
      </c>
      <c r="Y427" s="306">
        <v>12</v>
      </c>
      <c r="Z427" s="307"/>
      <c r="AA427" s="308"/>
      <c r="AB427" s="309"/>
      <c r="AC427" s="309"/>
      <c r="AD427" s="308"/>
      <c r="AE427" s="309"/>
      <c r="AF427" s="302"/>
      <c r="AG427" s="310" t="s">
        <v>2050</v>
      </c>
      <c r="AH427" s="311"/>
      <c r="AI427" s="302">
        <v>268</v>
      </c>
      <c r="AJ427" s="311">
        <v>45034</v>
      </c>
      <c r="AK427" s="311" t="s">
        <v>883</v>
      </c>
      <c r="AL427" s="311">
        <v>44998</v>
      </c>
      <c r="AM427" s="301"/>
      <c r="AN427" s="290"/>
      <c r="AO427" s="312" t="str">
        <f>_xlfn.IFNA(IF(VLOOKUP(tabItens[[#This Row],[CÓDIGO]],tabExcluirDoEstoque[#Data],1,FALSE),"sim",""),"")</f>
        <v/>
      </c>
      <c r="AP427" s="313" t="str">
        <f ca="1">IF(OR(ISBLANK(tabItens[[#This Row],[ATA DT.VALID.]]),tabItens[[#This Row],[ATA DT.VALID.]]="",tabItens[[#This Row],[ATA DT.VALID.]]=" "),"",IF(TYPE(tabItens[[#This Row],[ATA DT.VALID.]])=1,ROUNDUP((tabItens[[#This Row],[ATA DT.VALID.]]-TODAY())/7,0),""))</f>
        <v/>
      </c>
      <c r="AQ427" s="314">
        <v>0</v>
      </c>
      <c r="AR427" s="315" t="str">
        <f>IF(ISBLANK(tabItens[[#This Row],[CÓDIGO]]),"",IFERROR(VLOOKUP(tabItens[[#This Row],[CÓDIGO]],Consumo!$C$2:$AC$869,26,FALSE),0))</f>
        <v>07.2023</v>
      </c>
      <c r="AS427" s="316">
        <f>SUMIF(Consumo!$C$3:$C$869,tabItens[[#This Row],[CÓDIGO]],Consumo!$N$3:$N$869) + SUMIF(Consumo!$C$3:$C$869,tabItens[[#This Row],[CÓDIGO]],Consumo!$O$3:$O$869) + SUMIF(Consumo!$C$3:$C$869,tabItens[[#This Row],[CÓDIGO]],Consumo!$P$3:$P$869) + SUMIF(Consumo!$C$3:$C$869,tabItens[[#This Row],[CÓDIGO]],Consumo!$Q$3:$Q$869)</f>
        <v>361</v>
      </c>
      <c r="AT427" s="316">
        <f>SUMIF(Consumo!$C$3:$C$869,tabItens[[#This Row],[CÓDIGO]],Consumo!$Z$3:$Z$869)</f>
        <v>877</v>
      </c>
      <c r="AU427" s="317">
        <f>SUMIF(Consumo!$C$3:$C$869,tabItens[[#This Row],[CÓDIGO]],Consumo!$AA$3:$AA$869)</f>
        <v>131</v>
      </c>
      <c r="AV427" s="318">
        <f>SUMIF(Consumo!$C$3:$C$869,tabItens[[#This Row],[CÓDIGO]],Consumo!$Y$3:$Y$869)</f>
        <v>73.083333333333329</v>
      </c>
      <c r="AW427" s="291">
        <f>tabItens[[#This Row],[QTDE ATUAL]] + tabItens[[#This Row],[RC QTDE]] + tabItens[[#This Row],[AF SALDO]] + tabItens[[#This Row],[Recentes]]</f>
        <v>639</v>
      </c>
      <c r="AX427" s="319">
        <v>100</v>
      </c>
      <c r="AY427" s="319">
        <v>4</v>
      </c>
      <c r="AZ427" s="319">
        <f>IF(ISBLANK(tabItens[[#This Row],[CÓDIGO]]),"",tabItens[[#This Row],[PontoMês]] * (AZ$2+tabItens[[#This Row],[PontoQtM]]))</f>
        <v>400</v>
      </c>
      <c r="BA427" s="318">
        <f>tabItens[[#This Row],[PontoPed]] - tabItens[[#This Row],[Saldo]] + (1/10)</f>
        <v>-238.9</v>
      </c>
      <c r="BB427" s="318">
        <f xml:space="preserve"> tabItens[[#This Row],[PontoMês]] * BB$2 - tabItens[[#This Row],[QTDE ATUAL]] - (1/10)</f>
        <v>-539.1</v>
      </c>
      <c r="BC427" s="320">
        <f>IF( tabItens[[#This Row],[PontoPed]]&gt;0, IF(tabItens[[#This Row],[PontoPed]]&lt;1, 1, IF( tabItens[[#This Row],[Saldo]]&gt;tabItens[[#This Row],[PontoPed]], 0, (tabItens[[#This Row],[PontoPed]]-tabItens[[#This Row],[Saldo]])/tabItens[[#This Row],[PontoPed]] ) ), 0 )</f>
        <v>0</v>
      </c>
      <c r="BD427" s="321">
        <f>ROUNDDOWN(IF( OR( AND(tabItens[[#This Row],[PontoPed]]&lt;tabItens[[#This Row],[Saldo]],tabItens[[#This Row],[Saldo]]&gt;0), tabItens[[#This Row],[PontoPed]]=0), 99, IF(AND(tabItens[[#This Row],[Saldo]]=0,tabItens[[#This Row],[PontoPed]]&gt;0), 0, (1-tabItens[[#This Row],[PctAb]])*10 ) ),0)</f>
        <v>99</v>
      </c>
      <c r="BE427" s="322">
        <f>MAX(ROUNDDOWN( IF(tabItens[[#This Row],[Abaixo]] &gt; 0,   tabItens[[#This Row],[Abaixo]] + (tabItens[[#This Row],[PontoMês]] * IF( OR( ISBLANK(tabItens[[#This Row],[ATA Nº/ANO]]), tabItens[[#This Row],[ATA Nº/ANO]] = ""),BE$2,BE$1)),0),0),0)</f>
        <v>0</v>
      </c>
      <c r="BF42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23">
        <f>SUMIF(Consumo!$C$3:$C$869,tabItens[[#This Row],[CÓDIGO]],Consumo!$E$3:$E$869)</f>
        <v>72</v>
      </c>
      <c r="BH427" s="324">
        <f>IF(AND(tabItens[[#This Row],[Pend]] &gt; 0,tabItens[[#This Row],[Consumo]] &lt;&gt; 0), tabItens[[#This Row],[Pend]] / tabItens[[#This Row],[Consumo]], 0 )</f>
        <v>8.2098061573546183E-2</v>
      </c>
      <c r="BI427" s="323"/>
      <c r="BJ427" s="323"/>
      <c r="BK427" s="325" t="s">
        <v>2064</v>
      </c>
    </row>
    <row r="428" spans="1:63" hidden="1" x14ac:dyDescent="0.3">
      <c r="A428" s="286">
        <v>51579</v>
      </c>
      <c r="B428" s="287" t="s">
        <v>1299</v>
      </c>
      <c r="C428" s="288" t="s">
        <v>256</v>
      </c>
      <c r="D428" s="289">
        <v>11.9</v>
      </c>
      <c r="E428" s="290"/>
      <c r="F428" s="290"/>
      <c r="G428" s="290" t="s">
        <v>883</v>
      </c>
      <c r="H428" s="291">
        <v>653</v>
      </c>
      <c r="I428" s="292">
        <v>103003</v>
      </c>
      <c r="J428" s="293">
        <v>11.9</v>
      </c>
      <c r="K428" s="294">
        <v>570</v>
      </c>
      <c r="L428" s="295">
        <f>IF(tabItens[[#This Row],[Média]] &gt; 0, tabItens[[#This Row],[QTDE ATUAL]] / tabItens[[#This Row],[Média]],999.9)</f>
        <v>8.2224554039874072</v>
      </c>
      <c r="M428" s="296">
        <v>0</v>
      </c>
      <c r="N428" s="297">
        <f>tabItens[[#This Row],[VALOR UNIT.]] * tabItens[[#This Row],[LC]]</f>
        <v>0</v>
      </c>
      <c r="O428" s="298" t="s">
        <v>2067</v>
      </c>
      <c r="P428" s="299"/>
      <c r="Q428" s="300"/>
      <c r="R428" s="297"/>
      <c r="S428" s="301"/>
      <c r="T428" s="302">
        <f>ROUNDDOWN(IFERROR(tabItens[[#This Row],[ATA DT.VALID.]] - $D$1,0) / 30,0)</f>
        <v>-1504</v>
      </c>
      <c r="U428" s="287" t="s">
        <v>925</v>
      </c>
      <c r="V428" s="303">
        <v>1</v>
      </c>
      <c r="W428" s="304" t="s">
        <v>2051</v>
      </c>
      <c r="X428" s="305">
        <v>45</v>
      </c>
      <c r="Y428" s="306">
        <v>12</v>
      </c>
      <c r="Z428" s="307"/>
      <c r="AA428" s="308"/>
      <c r="AB428" s="309"/>
      <c r="AC428" s="309"/>
      <c r="AD428" s="308"/>
      <c r="AE428" s="309"/>
      <c r="AF428" s="302"/>
      <c r="AG428" s="310" t="s">
        <v>2050</v>
      </c>
      <c r="AH428" s="311"/>
      <c r="AI428" s="302">
        <v>318</v>
      </c>
      <c r="AJ428" s="311">
        <v>45064</v>
      </c>
      <c r="AK428" s="311" t="s">
        <v>883</v>
      </c>
      <c r="AL428" s="311">
        <v>45069</v>
      </c>
      <c r="AM428" s="301"/>
      <c r="AN428" s="290"/>
      <c r="AO428" s="312" t="str">
        <f>_xlfn.IFNA(IF(VLOOKUP(tabItens[[#This Row],[CÓDIGO]],tabExcluirDoEstoque[#Data],1,FALSE),"sim",""),"")</f>
        <v/>
      </c>
      <c r="AP428" s="313" t="str">
        <f ca="1">IF(OR(ISBLANK(tabItens[[#This Row],[ATA DT.VALID.]]),tabItens[[#This Row],[ATA DT.VALID.]]="",tabItens[[#This Row],[ATA DT.VALID.]]=" "),"",IF(TYPE(tabItens[[#This Row],[ATA DT.VALID.]])=1,ROUNDUP((tabItens[[#This Row],[ATA DT.VALID.]]-TODAY())/7,0),""))</f>
        <v/>
      </c>
      <c r="AQ428" s="314">
        <v>0</v>
      </c>
      <c r="AR428" s="315" t="str">
        <f>IF(ISBLANK(tabItens[[#This Row],[CÓDIGO]]),"",IFERROR(VLOOKUP(tabItens[[#This Row],[CÓDIGO]],Consumo!$C$2:$AC$869,26,FALSE),0))</f>
        <v>07.2023</v>
      </c>
      <c r="AS428" s="316">
        <f>SUMIF(Consumo!$C$3:$C$869,tabItens[[#This Row],[CÓDIGO]],Consumo!$N$3:$N$869) + SUMIF(Consumo!$C$3:$C$869,tabItens[[#This Row],[CÓDIGO]],Consumo!$O$3:$O$869) + SUMIF(Consumo!$C$3:$C$869,tabItens[[#This Row],[CÓDIGO]],Consumo!$P$3:$P$869) + SUMIF(Consumo!$C$3:$C$869,tabItens[[#This Row],[CÓDIGO]],Consumo!$Q$3:$Q$869)</f>
        <v>347</v>
      </c>
      <c r="AT428" s="316">
        <f>SUMIF(Consumo!$C$3:$C$869,tabItens[[#This Row],[CÓDIGO]],Consumo!$Z$3:$Z$869)</f>
        <v>953</v>
      </c>
      <c r="AU428" s="317">
        <f>SUMIF(Consumo!$C$3:$C$869,tabItens[[#This Row],[CÓDIGO]],Consumo!$AA$3:$AA$869)</f>
        <v>119</v>
      </c>
      <c r="AV428" s="318">
        <f>SUMIF(Consumo!$C$3:$C$869,tabItens[[#This Row],[CÓDIGO]],Consumo!$Y$3:$Y$869)</f>
        <v>79.416666666666671</v>
      </c>
      <c r="AW428" s="291">
        <f>tabItens[[#This Row],[QTDE ATUAL]] + tabItens[[#This Row],[RC QTDE]] + tabItens[[#This Row],[AF SALDO]] + tabItens[[#This Row],[Recentes]]</f>
        <v>653</v>
      </c>
      <c r="AX428" s="319">
        <v>125</v>
      </c>
      <c r="AY428" s="319">
        <v>4</v>
      </c>
      <c r="AZ428" s="319">
        <f>IF(ISBLANK(tabItens[[#This Row],[CÓDIGO]]),"",tabItens[[#This Row],[PontoMês]] * (AZ$2+tabItens[[#This Row],[PontoQtM]]))</f>
        <v>500</v>
      </c>
      <c r="BA428" s="318">
        <f>tabItens[[#This Row],[PontoPed]] - tabItens[[#This Row],[Saldo]] + (1/10)</f>
        <v>-152.9</v>
      </c>
      <c r="BB428" s="318">
        <f xml:space="preserve"> tabItens[[#This Row],[PontoMês]] * BB$2 - tabItens[[#This Row],[QTDE ATUAL]] - (1/10)</f>
        <v>-528.1</v>
      </c>
      <c r="BC428" s="320">
        <f>IF( tabItens[[#This Row],[PontoPed]]&gt;0, IF(tabItens[[#This Row],[PontoPed]]&lt;1, 1, IF( tabItens[[#This Row],[Saldo]]&gt;tabItens[[#This Row],[PontoPed]], 0, (tabItens[[#This Row],[PontoPed]]-tabItens[[#This Row],[Saldo]])/tabItens[[#This Row],[PontoPed]] ) ), 0 )</f>
        <v>0</v>
      </c>
      <c r="BD428" s="321">
        <f>ROUNDDOWN(IF( OR( AND(tabItens[[#This Row],[PontoPed]]&lt;tabItens[[#This Row],[Saldo]],tabItens[[#This Row],[Saldo]]&gt;0), tabItens[[#This Row],[PontoPed]]=0), 99, IF(AND(tabItens[[#This Row],[Saldo]]=0,tabItens[[#This Row],[PontoPed]]&gt;0), 0, (1-tabItens[[#This Row],[PctAb]])*10 ) ),0)</f>
        <v>99</v>
      </c>
      <c r="BE428" s="322">
        <f>MAX(ROUNDDOWN( IF(tabItens[[#This Row],[Abaixo]] &gt; 0,   tabItens[[#This Row],[Abaixo]] + (tabItens[[#This Row],[PontoMês]] * IF( OR( ISBLANK(tabItens[[#This Row],[ATA Nº/ANO]]), tabItens[[#This Row],[ATA Nº/ANO]] = ""),BE$2,BE$1)),0),0),0)</f>
        <v>0</v>
      </c>
      <c r="BF42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23">
        <f>SUMIF(Consumo!$C$3:$C$869,tabItens[[#This Row],[CÓDIGO]],Consumo!$E$3:$E$869)</f>
        <v>1</v>
      </c>
      <c r="BH428" s="324">
        <f>IF(AND(tabItens[[#This Row],[Pend]] &gt; 0,tabItens[[#This Row],[Consumo]] &lt;&gt; 0), tabItens[[#This Row],[Pend]] / tabItens[[#This Row],[Consumo]], 0 )</f>
        <v>1.0493179433368311E-3</v>
      </c>
      <c r="BI428" s="323"/>
      <c r="BJ428" s="323"/>
      <c r="BK428" s="325" t="s">
        <v>2064</v>
      </c>
    </row>
    <row r="429" spans="1:63" x14ac:dyDescent="0.3">
      <c r="A429" s="396">
        <v>10547</v>
      </c>
      <c r="B429" s="397" t="s">
        <v>910</v>
      </c>
      <c r="C429" s="398" t="s">
        <v>281</v>
      </c>
      <c r="D429" s="399">
        <v>2.68</v>
      </c>
      <c r="E429" s="290"/>
      <c r="F429" s="400"/>
      <c r="G429" s="400" t="s">
        <v>883</v>
      </c>
      <c r="H429" s="401">
        <v>0</v>
      </c>
      <c r="I429" s="292">
        <v>103003</v>
      </c>
      <c r="J429" s="293">
        <v>2.68</v>
      </c>
      <c r="K429" s="402">
        <v>15113</v>
      </c>
      <c r="L429" s="403">
        <f>IF(tabItens[[#This Row],[Média]] &gt; 0, tabItens[[#This Row],[QTDE ATUAL]] / tabItens[[#This Row],[Média]],999.9)</f>
        <v>0</v>
      </c>
      <c r="M429" s="404">
        <v>0</v>
      </c>
      <c r="N429" s="405">
        <f>tabItens[[#This Row],[VALOR UNIT.]] * tabItens[[#This Row],[LC]]</f>
        <v>0</v>
      </c>
      <c r="O429" s="406" t="s">
        <v>2067</v>
      </c>
      <c r="P429" s="407"/>
      <c r="Q429" s="408"/>
      <c r="R429" s="297"/>
      <c r="S429" s="409"/>
      <c r="T429" s="410">
        <f>ROUNDDOWN(IFERROR(tabItens[[#This Row],[ATA DT.VALID.]] - $D$1,0) / 30,0)</f>
        <v>-1504</v>
      </c>
      <c r="U429" s="287" t="s">
        <v>911</v>
      </c>
      <c r="V429" s="303">
        <v>1</v>
      </c>
      <c r="W429" s="411" t="s">
        <v>2052</v>
      </c>
      <c r="X429" s="412">
        <v>45</v>
      </c>
      <c r="Y429" s="413">
        <v>14</v>
      </c>
      <c r="Z429" s="414">
        <v>6982</v>
      </c>
      <c r="AA429" s="415">
        <v>2023</v>
      </c>
      <c r="AB429" s="416">
        <v>7900</v>
      </c>
      <c r="AC429" s="416"/>
      <c r="AD429" s="415"/>
      <c r="AE429" s="416"/>
      <c r="AF429" s="302"/>
      <c r="AG429" s="417" t="s">
        <v>2050</v>
      </c>
      <c r="AH429" s="418"/>
      <c r="AI429" s="302">
        <v>15038</v>
      </c>
      <c r="AJ429" s="418">
        <v>44924</v>
      </c>
      <c r="AK429" s="311" t="s">
        <v>883</v>
      </c>
      <c r="AL429" s="311">
        <v>45107</v>
      </c>
      <c r="AM429" s="301"/>
      <c r="AN429" s="290"/>
      <c r="AO429" s="312" t="str">
        <f>_xlfn.IFNA(IF(VLOOKUP(tabItens[[#This Row],[CÓDIGO]],tabExcluirDoEstoque[#Data],1,FALSE),"sim",""),"")</f>
        <v/>
      </c>
      <c r="AP429" s="419" t="str">
        <f ca="1">IF(OR(ISBLANK(tabItens[[#This Row],[ATA DT.VALID.]]),tabItens[[#This Row],[ATA DT.VALID.]]="",tabItens[[#This Row],[ATA DT.VALID.]]=" "),"",IF(TYPE(tabItens[[#This Row],[ATA DT.VALID.]])=1,ROUNDUP((tabItens[[#This Row],[ATA DT.VALID.]]-TODAY())/7,0),""))</f>
        <v/>
      </c>
      <c r="AQ429" s="314">
        <v>0</v>
      </c>
      <c r="AR429" s="315" t="str">
        <f>IF(ISBLANK(tabItens[[#This Row],[CÓDIGO]]),"",IFERROR(VLOOKUP(tabItens[[#This Row],[CÓDIGO]],Consumo!$C$2:$AC$869,26,FALSE),0))</f>
        <v>05.2023</v>
      </c>
      <c r="AS429" s="316">
        <f>SUMIF(Consumo!$C$3:$C$869,tabItens[[#This Row],[CÓDIGO]],Consumo!$N$3:$N$869) + SUMIF(Consumo!$C$3:$C$869,tabItens[[#This Row],[CÓDIGO]],Consumo!$O$3:$O$869) + SUMIF(Consumo!$C$3:$C$869,tabItens[[#This Row],[CÓDIGO]],Consumo!$P$3:$P$869) + SUMIF(Consumo!$C$3:$C$869,tabItens[[#This Row],[CÓDIGO]],Consumo!$Q$3:$Q$869)</f>
        <v>1409</v>
      </c>
      <c r="AT429" s="316">
        <f>SUMIF(Consumo!$C$3:$C$869,tabItens[[#This Row],[CÓDIGO]],Consumo!$Z$3:$Z$869)</f>
        <v>16783</v>
      </c>
      <c r="AU429" s="317">
        <f>SUMIF(Consumo!$C$3:$C$869,tabItens[[#This Row],[CÓDIGO]],Consumo!$AA$3:$AA$869)</f>
        <v>11820</v>
      </c>
      <c r="AV429" s="318">
        <f>SUMIF(Consumo!$C$3:$C$869,tabItens[[#This Row],[CÓDIGO]],Consumo!$Y$3:$Y$869)</f>
        <v>1066.8333333333333</v>
      </c>
      <c r="AW429" s="401">
        <f>tabItens[[#This Row],[QTDE ATUAL]] + tabItens[[#This Row],[RC QTDE]] + tabItens[[#This Row],[AF SALDO]] + tabItens[[#This Row],[Recentes]]</f>
        <v>7900</v>
      </c>
      <c r="AX429" s="420">
        <v>1355</v>
      </c>
      <c r="AY429" s="420">
        <v>4</v>
      </c>
      <c r="AZ429" s="420">
        <f>IF(ISBLANK(tabItens[[#This Row],[CÓDIGO]]),"",tabItens[[#This Row],[PontoMês]] * (AZ$2+tabItens[[#This Row],[PontoQtM]]))</f>
        <v>5420</v>
      </c>
      <c r="BA429" s="421">
        <f>tabItens[[#This Row],[PontoPed]] - tabItens[[#This Row],[Saldo]] + (1/10)</f>
        <v>-2479.9</v>
      </c>
      <c r="BB429" s="421">
        <f xml:space="preserve"> tabItens[[#This Row],[PontoMês]] * BB$2 - tabItens[[#This Row],[QTDE ATUAL]] - (1/10)</f>
        <v>1354.9</v>
      </c>
      <c r="BC429" s="320">
        <f>IF( tabItens[[#This Row],[PontoPed]]&gt;0, IF(tabItens[[#This Row],[PontoPed]]&lt;1, 1, IF( tabItens[[#This Row],[Saldo]]&gt;tabItens[[#This Row],[PontoPed]], 0, (tabItens[[#This Row],[PontoPed]]-tabItens[[#This Row],[Saldo]])/tabItens[[#This Row],[PontoPed]] ) ), 0 )</f>
        <v>0</v>
      </c>
      <c r="BD429" s="422">
        <f>ROUNDDOWN(IF( OR( AND(tabItens[[#This Row],[PontoPed]]&lt;tabItens[[#This Row],[Saldo]],tabItens[[#This Row],[Saldo]]&gt;0), tabItens[[#This Row],[PontoPed]]=0), 99, IF(AND(tabItens[[#This Row],[Saldo]]=0,tabItens[[#This Row],[PontoPed]]&gt;0), 0, (1-tabItens[[#This Row],[PctAb]])*10 ) ),0)</f>
        <v>99</v>
      </c>
      <c r="BE429" s="423">
        <f>MAX(ROUNDDOWN( IF(tabItens[[#This Row],[Abaixo]] &gt; 0,   tabItens[[#This Row],[Abaixo]] + (tabItens[[#This Row],[PontoMês]] * IF( OR( ISBLANK(tabItens[[#This Row],[ATA Nº/ANO]]), tabItens[[#This Row],[ATA Nº/ANO]] = ""),BE$2,BE$1)),0),0),0)</f>
        <v>0</v>
      </c>
      <c r="BF42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23">
        <f>SUMIF(Consumo!$C$3:$C$869,tabItens[[#This Row],[CÓDIGO]],Consumo!$E$3:$E$869)</f>
        <v>1670</v>
      </c>
      <c r="BH429" s="324">
        <f>IF(AND(tabItens[[#This Row],[Pend]] &gt; 0,tabItens[[#This Row],[Consumo]] &lt;&gt; 0), tabItens[[#This Row],[Pend]] / tabItens[[#This Row],[Consumo]], 0 )</f>
        <v>9.9505451945420959E-2</v>
      </c>
      <c r="BI429" s="323"/>
      <c r="BJ429" s="424"/>
      <c r="BK429" s="425" t="s">
        <v>2064</v>
      </c>
    </row>
    <row r="430" spans="1:63" x14ac:dyDescent="0.3">
      <c r="A430" s="396">
        <v>13091</v>
      </c>
      <c r="B430" s="397" t="s">
        <v>999</v>
      </c>
      <c r="C430" s="398" t="s">
        <v>569</v>
      </c>
      <c r="D430" s="399">
        <v>0.95</v>
      </c>
      <c r="E430" s="290"/>
      <c r="F430" s="400"/>
      <c r="G430" s="400" t="s">
        <v>883</v>
      </c>
      <c r="H430" s="401">
        <v>0</v>
      </c>
      <c r="I430" s="292">
        <v>103003</v>
      </c>
      <c r="J430" s="293">
        <v>0.95</v>
      </c>
      <c r="K430" s="402">
        <v>2323</v>
      </c>
      <c r="L430" s="403">
        <f>IF(tabItens[[#This Row],[Média]] &gt; 0, tabItens[[#This Row],[QTDE ATUAL]] / tabItens[[#This Row],[Média]],999.9)</f>
        <v>0</v>
      </c>
      <c r="M430" s="404">
        <v>0</v>
      </c>
      <c r="N430" s="405">
        <f>tabItens[[#This Row],[VALOR UNIT.]] * tabItens[[#This Row],[LC]]</f>
        <v>0</v>
      </c>
      <c r="O430" s="406" t="s">
        <v>2067</v>
      </c>
      <c r="P430" s="407"/>
      <c r="Q430" s="408"/>
      <c r="R430" s="297"/>
      <c r="S430" s="409"/>
      <c r="T430" s="410">
        <f>ROUNDDOWN(IFERROR(tabItens[[#This Row],[ATA DT.VALID.]] - $D$1,0) / 30,0)</f>
        <v>-1504</v>
      </c>
      <c r="U430" s="287" t="s">
        <v>911</v>
      </c>
      <c r="V430" s="303">
        <v>1</v>
      </c>
      <c r="W430" s="411" t="s">
        <v>2052</v>
      </c>
      <c r="X430" s="412">
        <v>45</v>
      </c>
      <c r="Y430" s="413">
        <v>14</v>
      </c>
      <c r="Z430" s="414">
        <v>7338</v>
      </c>
      <c r="AA430" s="415">
        <v>2023</v>
      </c>
      <c r="AB430" s="416">
        <v>2000</v>
      </c>
      <c r="AC430" s="416"/>
      <c r="AD430" s="415"/>
      <c r="AE430" s="416"/>
      <c r="AF430" s="302"/>
      <c r="AG430" s="417" t="s">
        <v>2050</v>
      </c>
      <c r="AH430" s="418"/>
      <c r="AI430" s="302">
        <v>774</v>
      </c>
      <c r="AJ430" s="418">
        <v>44952</v>
      </c>
      <c r="AK430" s="311" t="s">
        <v>883</v>
      </c>
      <c r="AL430" s="311">
        <v>44999</v>
      </c>
      <c r="AM430" s="301"/>
      <c r="AN430" s="290"/>
      <c r="AO430" s="312" t="str">
        <f>_xlfn.IFNA(IF(VLOOKUP(tabItens[[#This Row],[CÓDIGO]],tabExcluirDoEstoque[#Data],1,FALSE),"sim",""),"")</f>
        <v/>
      </c>
      <c r="AP430" s="419" t="str">
        <f ca="1">IF(OR(ISBLANK(tabItens[[#This Row],[ATA DT.VALID.]]),tabItens[[#This Row],[ATA DT.VALID.]]="",tabItens[[#This Row],[ATA DT.VALID.]]=" "),"",IF(TYPE(tabItens[[#This Row],[ATA DT.VALID.]])=1,ROUNDUP((tabItens[[#This Row],[ATA DT.VALID.]]-TODAY())/7,0),""))</f>
        <v/>
      </c>
      <c r="AQ430" s="314">
        <v>0</v>
      </c>
      <c r="AR430" s="315" t="str">
        <f>IF(ISBLANK(tabItens[[#This Row],[CÓDIGO]]),"",IFERROR(VLOOKUP(tabItens[[#This Row],[CÓDIGO]],Consumo!$C$2:$AC$869,26,FALSE),0))</f>
        <v>04.2023</v>
      </c>
      <c r="AS430" s="316">
        <f>SUMIF(Consumo!$C$3:$C$869,tabItens[[#This Row],[CÓDIGO]],Consumo!$N$3:$N$869) + SUMIF(Consumo!$C$3:$C$869,tabItens[[#This Row],[CÓDIGO]],Consumo!$O$3:$O$869) + SUMIF(Consumo!$C$3:$C$869,tabItens[[#This Row],[CÓDIGO]],Consumo!$P$3:$P$869) + SUMIF(Consumo!$C$3:$C$869,tabItens[[#This Row],[CÓDIGO]],Consumo!$Q$3:$Q$869)</f>
        <v>484</v>
      </c>
      <c r="AT430" s="316">
        <f>SUMIF(Consumo!$C$3:$C$869,tabItens[[#This Row],[CÓDIGO]],Consumo!$Z$3:$Z$869)</f>
        <v>3171</v>
      </c>
      <c r="AU430" s="317">
        <f>SUMIF(Consumo!$C$3:$C$869,tabItens[[#This Row],[CÓDIGO]],Consumo!$AA$3:$AA$869)</f>
        <v>915</v>
      </c>
      <c r="AV430" s="318">
        <f>SUMIF(Consumo!$C$3:$C$869,tabItens[[#This Row],[CÓDIGO]],Consumo!$Y$3:$Y$869)</f>
        <v>264.25</v>
      </c>
      <c r="AW430" s="401">
        <f>tabItens[[#This Row],[QTDE ATUAL]] + tabItens[[#This Row],[RC QTDE]] + tabItens[[#This Row],[AF SALDO]] + tabItens[[#This Row],[Recentes]]</f>
        <v>2000</v>
      </c>
      <c r="AX430" s="420">
        <v>306</v>
      </c>
      <c r="AY430" s="420">
        <v>4</v>
      </c>
      <c r="AZ430" s="420">
        <f>IF(ISBLANK(tabItens[[#This Row],[CÓDIGO]]),"",tabItens[[#This Row],[PontoMês]] * (AZ$2+tabItens[[#This Row],[PontoQtM]]))</f>
        <v>1224</v>
      </c>
      <c r="BA430" s="421">
        <f>tabItens[[#This Row],[PontoPed]] - tabItens[[#This Row],[Saldo]] + (1/10)</f>
        <v>-775.9</v>
      </c>
      <c r="BB430" s="421">
        <f xml:space="preserve"> tabItens[[#This Row],[PontoMês]] * BB$2 - tabItens[[#This Row],[QTDE ATUAL]] - (1/10)</f>
        <v>305.89999999999998</v>
      </c>
      <c r="BC430" s="320">
        <f>IF( tabItens[[#This Row],[PontoPed]]&gt;0, IF(tabItens[[#This Row],[PontoPed]]&lt;1, 1, IF( tabItens[[#This Row],[Saldo]]&gt;tabItens[[#This Row],[PontoPed]], 0, (tabItens[[#This Row],[PontoPed]]-tabItens[[#This Row],[Saldo]])/tabItens[[#This Row],[PontoPed]] ) ), 0 )</f>
        <v>0</v>
      </c>
      <c r="BD430" s="422">
        <f>ROUNDDOWN(IF( OR( AND(tabItens[[#This Row],[PontoPed]]&lt;tabItens[[#This Row],[Saldo]],tabItens[[#This Row],[Saldo]]&gt;0), tabItens[[#This Row],[PontoPed]]=0), 99, IF(AND(tabItens[[#This Row],[Saldo]]=0,tabItens[[#This Row],[PontoPed]]&gt;0), 0, (1-tabItens[[#This Row],[PctAb]])*10 ) ),0)</f>
        <v>99</v>
      </c>
      <c r="BE430" s="423">
        <f>MAX(ROUNDDOWN( IF(tabItens[[#This Row],[Abaixo]] &gt; 0,   tabItens[[#This Row],[Abaixo]] + (tabItens[[#This Row],[PontoMês]] * IF( OR( ISBLANK(tabItens[[#This Row],[ATA Nº/ANO]]), tabItens[[#This Row],[ATA Nº/ANO]] = ""),BE$2,BE$1)),0),0),0)</f>
        <v>0</v>
      </c>
      <c r="BF43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23">
        <f>SUMIF(Consumo!$C$3:$C$869,tabItens[[#This Row],[CÓDIGO]],Consumo!$E$3:$E$869)</f>
        <v>848</v>
      </c>
      <c r="BH430" s="324">
        <f>IF(AND(tabItens[[#This Row],[Pend]] &gt; 0,tabItens[[#This Row],[Consumo]] &lt;&gt; 0), tabItens[[#This Row],[Pend]] / tabItens[[#This Row],[Consumo]], 0 )</f>
        <v>0.26742352570167138</v>
      </c>
      <c r="BI430" s="323"/>
      <c r="BJ430" s="424"/>
      <c r="BK430" s="425" t="s">
        <v>2064</v>
      </c>
    </row>
    <row r="431" spans="1:63" hidden="1" x14ac:dyDescent="0.3">
      <c r="A431" s="286">
        <v>132296</v>
      </c>
      <c r="B431" s="287" t="s">
        <v>1815</v>
      </c>
      <c r="C431" s="288" t="s">
        <v>281</v>
      </c>
      <c r="D431" s="289">
        <v>1.49</v>
      </c>
      <c r="E431" s="290"/>
      <c r="F431" s="290"/>
      <c r="G431" s="290" t="s">
        <v>883</v>
      </c>
      <c r="H431" s="291">
        <v>5620</v>
      </c>
      <c r="I431" s="292">
        <v>103003</v>
      </c>
      <c r="J431" s="293">
        <v>1.49</v>
      </c>
      <c r="K431" s="294">
        <v>4842</v>
      </c>
      <c r="L431" s="295">
        <f>IF(tabItens[[#This Row],[Média]] &gt; 0, tabItens[[#This Row],[QTDE ATUAL]] / tabItens[[#This Row],[Média]],999.9)</f>
        <v>12.463500277213084</v>
      </c>
      <c r="M431" s="296">
        <v>0</v>
      </c>
      <c r="N431" s="297">
        <f>tabItens[[#This Row],[VALOR UNIT.]] * tabItens[[#This Row],[LC]]</f>
        <v>0</v>
      </c>
      <c r="O431" s="298" t="s">
        <v>2067</v>
      </c>
      <c r="P431" s="299"/>
      <c r="Q431" s="300"/>
      <c r="R431" s="297"/>
      <c r="S431" s="301"/>
      <c r="T431" s="302">
        <f>ROUNDDOWN(IFERROR(tabItens[[#This Row],[ATA DT.VALID.]] - $D$1,0) / 30,0)</f>
        <v>-1504</v>
      </c>
      <c r="U431" s="287" t="s">
        <v>911</v>
      </c>
      <c r="V431" s="303">
        <v>1</v>
      </c>
      <c r="W431" s="304" t="s">
        <v>2052</v>
      </c>
      <c r="X431" s="305">
        <v>45</v>
      </c>
      <c r="Y431" s="306">
        <v>14</v>
      </c>
      <c r="Z431" s="307"/>
      <c r="AA431" s="308"/>
      <c r="AB431" s="309"/>
      <c r="AC431" s="309"/>
      <c r="AD431" s="308"/>
      <c r="AE431" s="309"/>
      <c r="AF431" s="302"/>
      <c r="AG431" s="310" t="s">
        <v>2050</v>
      </c>
      <c r="AH431" s="311"/>
      <c r="AI431" s="302">
        <v>1614</v>
      </c>
      <c r="AJ431" s="311">
        <v>44998</v>
      </c>
      <c r="AK431" s="311">
        <v>42685</v>
      </c>
      <c r="AL431" s="311">
        <v>44910</v>
      </c>
      <c r="AM431" s="301"/>
      <c r="AN431" s="290"/>
      <c r="AO431" s="312" t="str">
        <f>_xlfn.IFNA(IF(VLOOKUP(tabItens[[#This Row],[CÓDIGO]],tabExcluirDoEstoque[#Data],1,FALSE),"sim",""),"")</f>
        <v/>
      </c>
      <c r="AP431" s="313" t="str">
        <f ca="1">IF(OR(ISBLANK(tabItens[[#This Row],[ATA DT.VALID.]]),tabItens[[#This Row],[ATA DT.VALID.]]="",tabItens[[#This Row],[ATA DT.VALID.]]=" "),"",IF(TYPE(tabItens[[#This Row],[ATA DT.VALID.]])=1,ROUNDUP((tabItens[[#This Row],[ATA DT.VALID.]]-TODAY())/7,0),""))</f>
        <v/>
      </c>
      <c r="AQ431" s="314">
        <v>0</v>
      </c>
      <c r="AR431" s="315" t="str">
        <f>IF(ISBLANK(tabItens[[#This Row],[CÓDIGO]]),"",IFERROR(VLOOKUP(tabItens[[#This Row],[CÓDIGO]],Consumo!$C$2:$AC$869,26,FALSE),0))</f>
        <v>07.2023</v>
      </c>
      <c r="AS431" s="316">
        <f>SUMIF(Consumo!$C$3:$C$869,tabItens[[#This Row],[CÓDIGO]],Consumo!$N$3:$N$869) + SUMIF(Consumo!$C$3:$C$869,tabItens[[#This Row],[CÓDIGO]],Consumo!$O$3:$O$869) + SUMIF(Consumo!$C$3:$C$869,tabItens[[#This Row],[CÓDIGO]],Consumo!$P$3:$P$869) + SUMIF(Consumo!$C$3:$C$869,tabItens[[#This Row],[CÓDIGO]],Consumo!$Q$3:$Q$869)</f>
        <v>3778</v>
      </c>
      <c r="AT431" s="316">
        <f>SUMIF(Consumo!$C$3:$C$869,tabItens[[#This Row],[CÓDIGO]],Consumo!$Z$3:$Z$869)</f>
        <v>5411</v>
      </c>
      <c r="AU431" s="317">
        <f>SUMIF(Consumo!$C$3:$C$869,tabItens[[#This Row],[CÓDIGO]],Consumo!$AA$3:$AA$869)</f>
        <v>1039</v>
      </c>
      <c r="AV431" s="318">
        <f>SUMIF(Consumo!$C$3:$C$869,tabItens[[#This Row],[CÓDIGO]],Consumo!$Y$3:$Y$869)</f>
        <v>450.91666666666669</v>
      </c>
      <c r="AW431" s="291">
        <f>tabItens[[#This Row],[QTDE ATUAL]] + tabItens[[#This Row],[RC QTDE]] + tabItens[[#This Row],[AF SALDO]] + tabItens[[#This Row],[Recentes]]</f>
        <v>5620</v>
      </c>
      <c r="AX431" s="319">
        <v>855</v>
      </c>
      <c r="AY431" s="319">
        <v>4</v>
      </c>
      <c r="AZ431" s="319">
        <f>IF(ISBLANK(tabItens[[#This Row],[CÓDIGO]]),"",tabItens[[#This Row],[PontoMês]] * (AZ$2+tabItens[[#This Row],[PontoQtM]]))</f>
        <v>3420</v>
      </c>
      <c r="BA431" s="318">
        <f>tabItens[[#This Row],[PontoPed]] - tabItens[[#This Row],[Saldo]] + (1/10)</f>
        <v>-2199.9</v>
      </c>
      <c r="BB431" s="318">
        <f xml:space="preserve"> tabItens[[#This Row],[PontoMês]] * BB$2 - tabItens[[#This Row],[QTDE ATUAL]] - (1/10)</f>
        <v>-4765.1000000000004</v>
      </c>
      <c r="BC431" s="320">
        <f>IF( tabItens[[#This Row],[PontoPed]]&gt;0, IF(tabItens[[#This Row],[PontoPed]]&lt;1, 1, IF( tabItens[[#This Row],[Saldo]]&gt;tabItens[[#This Row],[PontoPed]], 0, (tabItens[[#This Row],[PontoPed]]-tabItens[[#This Row],[Saldo]])/tabItens[[#This Row],[PontoPed]] ) ), 0 )</f>
        <v>0</v>
      </c>
      <c r="BD431" s="321">
        <f>ROUNDDOWN(IF( OR( AND(tabItens[[#This Row],[PontoPed]]&lt;tabItens[[#This Row],[Saldo]],tabItens[[#This Row],[Saldo]]&gt;0), tabItens[[#This Row],[PontoPed]]=0), 99, IF(AND(tabItens[[#This Row],[Saldo]]=0,tabItens[[#This Row],[PontoPed]]&gt;0), 0, (1-tabItens[[#This Row],[PctAb]])*10 ) ),0)</f>
        <v>99</v>
      </c>
      <c r="BE431" s="322">
        <f>MAX(ROUNDDOWN( IF(tabItens[[#This Row],[Abaixo]] &gt; 0,   tabItens[[#This Row],[Abaixo]] + (tabItens[[#This Row],[PontoMês]] * IF( OR( ISBLANK(tabItens[[#This Row],[ATA Nº/ANO]]), tabItens[[#This Row],[ATA Nº/ANO]] = ""),BE$2,BE$1)),0),0),0)</f>
        <v>0</v>
      </c>
      <c r="BF4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23">
        <f>SUMIF(Consumo!$C$3:$C$869,tabItens[[#This Row],[CÓDIGO]],Consumo!$E$3:$E$869)</f>
        <v>569</v>
      </c>
      <c r="BH431" s="324">
        <f>IF(AND(tabItens[[#This Row],[Pend]] &gt; 0,tabItens[[#This Row],[Consumo]] &lt;&gt; 0), tabItens[[#This Row],[Pend]] / tabItens[[#This Row],[Consumo]], 0 )</f>
        <v>0.1051561633709111</v>
      </c>
      <c r="BI431" s="323"/>
      <c r="BJ431" s="323"/>
      <c r="BK431" s="325" t="s">
        <v>2064</v>
      </c>
    </row>
    <row r="432" spans="1:63" hidden="1" x14ac:dyDescent="0.3">
      <c r="A432" s="286">
        <v>115765</v>
      </c>
      <c r="B432" s="287" t="s">
        <v>1707</v>
      </c>
      <c r="C432" s="288" t="s">
        <v>413</v>
      </c>
      <c r="D432" s="289">
        <v>145</v>
      </c>
      <c r="E432" s="290"/>
      <c r="F432" s="290"/>
      <c r="G432" s="290" t="s">
        <v>883</v>
      </c>
      <c r="H432" s="291">
        <v>955</v>
      </c>
      <c r="I432" s="292">
        <v>103003</v>
      </c>
      <c r="J432" s="293">
        <v>145</v>
      </c>
      <c r="K432" s="294">
        <v>1011</v>
      </c>
      <c r="L432" s="295">
        <f>IF(tabItens[[#This Row],[Média]] &gt; 0, tabItens[[#This Row],[QTDE ATUAL]] / tabItens[[#This Row],[Média]],999.9)</f>
        <v>10.523415977961433</v>
      </c>
      <c r="M432" s="296">
        <v>0</v>
      </c>
      <c r="N432" s="297">
        <f>tabItens[[#This Row],[VALOR UNIT.]] * tabItens[[#This Row],[LC]]</f>
        <v>0</v>
      </c>
      <c r="O432" s="298" t="s">
        <v>2067</v>
      </c>
      <c r="P432" s="299"/>
      <c r="Q432" s="300"/>
      <c r="R432" s="297"/>
      <c r="S432" s="301"/>
      <c r="T432" s="302">
        <f>ROUNDDOWN(IFERROR(tabItens[[#This Row],[ATA DT.VALID.]] - $D$1,0) / 30,0)</f>
        <v>-1504</v>
      </c>
      <c r="U432" s="287" t="s">
        <v>1708</v>
      </c>
      <c r="V432" s="303">
        <v>1</v>
      </c>
      <c r="W432" s="304" t="s">
        <v>2052</v>
      </c>
      <c r="X432" s="305">
        <v>45</v>
      </c>
      <c r="Y432" s="306">
        <v>20</v>
      </c>
      <c r="Z432" s="307"/>
      <c r="AA432" s="308"/>
      <c r="AB432" s="309"/>
      <c r="AC432" s="309"/>
      <c r="AD432" s="308"/>
      <c r="AE432" s="309"/>
      <c r="AF432" s="302"/>
      <c r="AG432" s="310" t="s">
        <v>2050</v>
      </c>
      <c r="AH432" s="311"/>
      <c r="AI432" s="302">
        <v>436</v>
      </c>
      <c r="AJ432" s="311">
        <v>44970</v>
      </c>
      <c r="AK432" s="311">
        <v>40347</v>
      </c>
      <c r="AL432" s="311">
        <v>44959</v>
      </c>
      <c r="AM432" s="301"/>
      <c r="AN432" s="290"/>
      <c r="AO432" s="312" t="str">
        <f>_xlfn.IFNA(IF(VLOOKUP(tabItens[[#This Row],[CÓDIGO]],tabExcluirDoEstoque[#Data],1,FALSE),"sim",""),"")</f>
        <v/>
      </c>
      <c r="AP432" s="313" t="str">
        <f ca="1">IF(OR(ISBLANK(tabItens[[#This Row],[ATA DT.VALID.]]),tabItens[[#This Row],[ATA DT.VALID.]]="",tabItens[[#This Row],[ATA DT.VALID.]]=" "),"",IF(TYPE(tabItens[[#This Row],[ATA DT.VALID.]])=1,ROUNDUP((tabItens[[#This Row],[ATA DT.VALID.]]-TODAY())/7,0),""))</f>
        <v/>
      </c>
      <c r="AQ432" s="314">
        <v>0</v>
      </c>
      <c r="AR432" s="315" t="str">
        <f>IF(ISBLANK(tabItens[[#This Row],[CÓDIGO]]),"",IFERROR(VLOOKUP(tabItens[[#This Row],[CÓDIGO]],Consumo!$C$2:$AC$869,26,FALSE),0))</f>
        <v>07.2023</v>
      </c>
      <c r="AS432" s="316">
        <f>SUMIF(Consumo!$C$3:$C$869,tabItens[[#This Row],[CÓDIGO]],Consumo!$N$3:$N$869) + SUMIF(Consumo!$C$3:$C$869,tabItens[[#This Row],[CÓDIGO]],Consumo!$O$3:$O$869) + SUMIF(Consumo!$C$3:$C$869,tabItens[[#This Row],[CÓDIGO]],Consumo!$P$3:$P$869) + SUMIF(Consumo!$C$3:$C$869,tabItens[[#This Row],[CÓDIGO]],Consumo!$Q$3:$Q$869)</f>
        <v>305</v>
      </c>
      <c r="AT432" s="316">
        <f>SUMIF(Consumo!$C$3:$C$869,tabItens[[#This Row],[CÓDIGO]],Consumo!$Z$3:$Z$869)</f>
        <v>1295</v>
      </c>
      <c r="AU432" s="317">
        <f>SUMIF(Consumo!$C$3:$C$869,tabItens[[#This Row],[CÓDIGO]],Consumo!$AA$3:$AA$869)</f>
        <v>643</v>
      </c>
      <c r="AV432" s="318">
        <f>SUMIF(Consumo!$C$3:$C$869,tabItens[[#This Row],[CÓDIGO]],Consumo!$Y$3:$Y$869)</f>
        <v>90.75</v>
      </c>
      <c r="AW432" s="291">
        <f>tabItens[[#This Row],[QTDE ATUAL]] + tabItens[[#This Row],[RC QTDE]] + tabItens[[#This Row],[AF SALDO]] + tabItens[[#This Row],[Recentes]]</f>
        <v>955</v>
      </c>
      <c r="AX432" s="319">
        <v>69</v>
      </c>
      <c r="AY432" s="319">
        <v>4</v>
      </c>
      <c r="AZ432" s="319">
        <f>IF(ISBLANK(tabItens[[#This Row],[CÓDIGO]]),"",tabItens[[#This Row],[PontoMês]] * (AZ$2+tabItens[[#This Row],[PontoQtM]]))</f>
        <v>276</v>
      </c>
      <c r="BA432" s="318">
        <f>tabItens[[#This Row],[PontoPed]] - tabItens[[#This Row],[Saldo]] + (1/10)</f>
        <v>-678.9</v>
      </c>
      <c r="BB432" s="318">
        <f xml:space="preserve"> tabItens[[#This Row],[PontoMês]] * BB$2 - tabItens[[#This Row],[QTDE ATUAL]] - (1/10)</f>
        <v>-886.1</v>
      </c>
      <c r="BC432" s="320">
        <f>IF( tabItens[[#This Row],[PontoPed]]&gt;0, IF(tabItens[[#This Row],[PontoPed]]&lt;1, 1, IF( tabItens[[#This Row],[Saldo]]&gt;tabItens[[#This Row],[PontoPed]], 0, (tabItens[[#This Row],[PontoPed]]-tabItens[[#This Row],[Saldo]])/tabItens[[#This Row],[PontoPed]] ) ), 0 )</f>
        <v>0</v>
      </c>
      <c r="BD432" s="321">
        <f>ROUNDDOWN(IF( OR( AND(tabItens[[#This Row],[PontoPed]]&lt;tabItens[[#This Row],[Saldo]],tabItens[[#This Row],[Saldo]]&gt;0), tabItens[[#This Row],[PontoPed]]=0), 99, IF(AND(tabItens[[#This Row],[Saldo]]=0,tabItens[[#This Row],[PontoPed]]&gt;0), 0, (1-tabItens[[#This Row],[PctAb]])*10 ) ),0)</f>
        <v>99</v>
      </c>
      <c r="BE432" s="322">
        <f>MAX(ROUNDDOWN( IF(tabItens[[#This Row],[Abaixo]] &gt; 0,   tabItens[[#This Row],[Abaixo]] + (tabItens[[#This Row],[PontoMês]] * IF( OR( ISBLANK(tabItens[[#This Row],[ATA Nº/ANO]]), tabItens[[#This Row],[ATA Nº/ANO]] = ""),BE$2,BE$1)),0),0),0)</f>
        <v>0</v>
      </c>
      <c r="BF43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23">
        <f>SUMIF(Consumo!$C$3:$C$869,tabItens[[#This Row],[CÓDIGO]],Consumo!$E$3:$E$869)</f>
        <v>12</v>
      </c>
      <c r="BH432" s="324">
        <f>IF(AND(tabItens[[#This Row],[Pend]] &gt; 0,tabItens[[#This Row],[Consumo]] &lt;&gt; 0), tabItens[[#This Row],[Pend]] / tabItens[[#This Row],[Consumo]], 0 )</f>
        <v>9.2664092664092659E-3</v>
      </c>
      <c r="BI432" s="323"/>
      <c r="BJ432" s="323"/>
      <c r="BK432" s="325" t="s">
        <v>2064</v>
      </c>
    </row>
    <row r="433" spans="1:63" hidden="1" x14ac:dyDescent="0.3">
      <c r="A433" s="286">
        <v>136941</v>
      </c>
      <c r="B433" s="287" t="s">
        <v>1941</v>
      </c>
      <c r="C433" s="288" t="s">
        <v>616</v>
      </c>
      <c r="D433" s="289">
        <v>67.5</v>
      </c>
      <c r="E433" s="290"/>
      <c r="F433" s="290"/>
      <c r="G433" s="290" t="s">
        <v>883</v>
      </c>
      <c r="H433" s="291">
        <v>435</v>
      </c>
      <c r="I433" s="292">
        <v>103003</v>
      </c>
      <c r="J433" s="293">
        <v>67.5</v>
      </c>
      <c r="K433" s="294">
        <v>806</v>
      </c>
      <c r="L433" s="295">
        <f>IF(tabItens[[#This Row],[Média]] &gt; 0, tabItens[[#This Row],[QTDE ATUAL]] / tabItens[[#This Row],[Média]],999.9)</f>
        <v>4.1826923076923075</v>
      </c>
      <c r="M433" s="296">
        <v>0</v>
      </c>
      <c r="N433" s="297">
        <f>tabItens[[#This Row],[VALOR UNIT.]] * tabItens[[#This Row],[LC]]</f>
        <v>0</v>
      </c>
      <c r="O433" s="298" t="s">
        <v>2067</v>
      </c>
      <c r="P433" s="299"/>
      <c r="Q433" s="300"/>
      <c r="R433" s="297"/>
      <c r="S433" s="301"/>
      <c r="T433" s="302">
        <f>ROUNDDOWN(IFERROR(tabItens[[#This Row],[ATA DT.VALID.]] - $D$1,0) / 30,0)</f>
        <v>-1504</v>
      </c>
      <c r="U433" s="287" t="s">
        <v>1135</v>
      </c>
      <c r="V433" s="303">
        <v>1</v>
      </c>
      <c r="W433" s="304" t="s">
        <v>2052</v>
      </c>
      <c r="X433" s="305">
        <v>57</v>
      </c>
      <c r="Y433" s="306">
        <v>2</v>
      </c>
      <c r="Z433" s="307"/>
      <c r="AA433" s="308"/>
      <c r="AB433" s="309"/>
      <c r="AC433" s="309"/>
      <c r="AD433" s="308"/>
      <c r="AE433" s="309"/>
      <c r="AF433" s="302"/>
      <c r="AG433" s="310" t="s">
        <v>2050</v>
      </c>
      <c r="AH433" s="311"/>
      <c r="AI433" s="302">
        <v>416</v>
      </c>
      <c r="AJ433" s="311">
        <v>44623</v>
      </c>
      <c r="AK433" s="311">
        <v>43606</v>
      </c>
      <c r="AL433" s="311">
        <v>44551</v>
      </c>
      <c r="AM433" s="301"/>
      <c r="AN433" s="290"/>
      <c r="AO433" s="312" t="str">
        <f>_xlfn.IFNA(IF(VLOOKUP(tabItens[[#This Row],[CÓDIGO]],tabExcluirDoEstoque[#Data],1,FALSE),"sim",""),"")</f>
        <v/>
      </c>
      <c r="AP433" s="313" t="str">
        <f ca="1">IF(OR(ISBLANK(tabItens[[#This Row],[ATA DT.VALID.]]),tabItens[[#This Row],[ATA DT.VALID.]]="",tabItens[[#This Row],[ATA DT.VALID.]]=" "),"",IF(TYPE(tabItens[[#This Row],[ATA DT.VALID.]])=1,ROUNDUP((tabItens[[#This Row],[ATA DT.VALID.]]-TODAY())/7,0),""))</f>
        <v/>
      </c>
      <c r="AQ433" s="314">
        <v>0</v>
      </c>
      <c r="AR433" s="315" t="str">
        <f>IF(ISBLANK(tabItens[[#This Row],[CÓDIGO]]),"",IFERROR(VLOOKUP(tabItens[[#This Row],[CÓDIGO]],Consumo!$C$2:$AC$869,26,FALSE),0))</f>
        <v>07.2023</v>
      </c>
      <c r="AS433" s="316">
        <f>SUMIF(Consumo!$C$3:$C$869,tabItens[[#This Row],[CÓDIGO]],Consumo!$N$3:$N$869) + SUMIF(Consumo!$C$3:$C$869,tabItens[[#This Row],[CÓDIGO]],Consumo!$O$3:$O$869) + SUMIF(Consumo!$C$3:$C$869,tabItens[[#This Row],[CÓDIGO]],Consumo!$P$3:$P$869) + SUMIF(Consumo!$C$3:$C$869,tabItens[[#This Row],[CÓDIGO]],Consumo!$Q$3:$Q$869)</f>
        <v>522</v>
      </c>
      <c r="AT433" s="316">
        <f>SUMIF(Consumo!$C$3:$C$869,tabItens[[#This Row],[CÓDIGO]],Consumo!$Z$3:$Z$869)</f>
        <v>1248</v>
      </c>
      <c r="AU433" s="317">
        <f>SUMIF(Consumo!$C$3:$C$869,tabItens[[#This Row],[CÓDIGO]],Consumo!$AA$3:$AA$869)</f>
        <v>186</v>
      </c>
      <c r="AV433" s="318">
        <f>SUMIF(Consumo!$C$3:$C$869,tabItens[[#This Row],[CÓDIGO]],Consumo!$Y$3:$Y$869)</f>
        <v>104</v>
      </c>
      <c r="AW433" s="291">
        <f>tabItens[[#This Row],[QTDE ATUAL]] + tabItens[[#This Row],[RC QTDE]] + tabItens[[#This Row],[AF SALDO]] + tabItens[[#This Row],[Recentes]]</f>
        <v>435</v>
      </c>
      <c r="AX433" s="319">
        <v>50</v>
      </c>
      <c r="AY433" s="319">
        <v>4</v>
      </c>
      <c r="AZ433" s="319">
        <f>IF(ISBLANK(tabItens[[#This Row],[CÓDIGO]]),"",tabItens[[#This Row],[PontoMês]] * (AZ$2+tabItens[[#This Row],[PontoQtM]]))</f>
        <v>200</v>
      </c>
      <c r="BA433" s="318">
        <f>tabItens[[#This Row],[PontoPed]] - tabItens[[#This Row],[Saldo]] + (1/10)</f>
        <v>-234.9</v>
      </c>
      <c r="BB433" s="318">
        <f xml:space="preserve"> tabItens[[#This Row],[PontoMês]] * BB$2 - tabItens[[#This Row],[QTDE ATUAL]] - (1/10)</f>
        <v>-385.1</v>
      </c>
      <c r="BC433" s="320">
        <f>IF( tabItens[[#This Row],[PontoPed]]&gt;0, IF(tabItens[[#This Row],[PontoPed]]&lt;1, 1, IF( tabItens[[#This Row],[Saldo]]&gt;tabItens[[#This Row],[PontoPed]], 0, (tabItens[[#This Row],[PontoPed]]-tabItens[[#This Row],[Saldo]])/tabItens[[#This Row],[PontoPed]] ) ), 0 )</f>
        <v>0</v>
      </c>
      <c r="BD433" s="321">
        <f>ROUNDDOWN(IF( OR( AND(tabItens[[#This Row],[PontoPed]]&lt;tabItens[[#This Row],[Saldo]],tabItens[[#This Row],[Saldo]]&gt;0), tabItens[[#This Row],[PontoPed]]=0), 99, IF(AND(tabItens[[#This Row],[Saldo]]=0,tabItens[[#This Row],[PontoPed]]&gt;0), 0, (1-tabItens[[#This Row],[PctAb]])*10 ) ),0)</f>
        <v>99</v>
      </c>
      <c r="BE433" s="322">
        <f>MAX(ROUNDDOWN( IF(tabItens[[#This Row],[Abaixo]] &gt; 0,   tabItens[[#This Row],[Abaixo]] + (tabItens[[#This Row],[PontoMês]] * IF( OR( ISBLANK(tabItens[[#This Row],[ATA Nº/ANO]]), tabItens[[#This Row],[ATA Nº/ANO]] = ""),BE$2,BE$1)),0),0),0)</f>
        <v>0</v>
      </c>
      <c r="BF43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23">
        <f>SUMIF(Consumo!$C$3:$C$869,tabItens[[#This Row],[CÓDIGO]],Consumo!$E$3:$E$869)</f>
        <v>2</v>
      </c>
      <c r="BH433" s="324">
        <f>IF(AND(tabItens[[#This Row],[Pend]] &gt; 0,tabItens[[#This Row],[Consumo]] &lt;&gt; 0), tabItens[[#This Row],[Pend]] / tabItens[[#This Row],[Consumo]], 0 )</f>
        <v>1.6025641025641025E-3</v>
      </c>
      <c r="BI433" s="323"/>
      <c r="BJ433" s="323"/>
      <c r="BK433" s="325" t="s">
        <v>2064</v>
      </c>
    </row>
    <row r="434" spans="1:63" hidden="1" x14ac:dyDescent="0.3">
      <c r="A434" s="286">
        <v>54550</v>
      </c>
      <c r="B434" s="287" t="s">
        <v>1317</v>
      </c>
      <c r="C434" s="288" t="s">
        <v>294</v>
      </c>
      <c r="D434" s="289">
        <v>140</v>
      </c>
      <c r="E434" s="290"/>
      <c r="F434" s="290"/>
      <c r="G434" s="290" t="s">
        <v>883</v>
      </c>
      <c r="H434" s="291">
        <v>823</v>
      </c>
      <c r="I434" s="292">
        <v>103003</v>
      </c>
      <c r="J434" s="293">
        <v>140</v>
      </c>
      <c r="K434" s="294">
        <v>503</v>
      </c>
      <c r="L434" s="295">
        <f>IF(tabItens[[#This Row],[Média]] &gt; 0, tabItens[[#This Row],[QTDE ATUAL]] / tabItens[[#This Row],[Média]],999.9)</f>
        <v>17.635714285714286</v>
      </c>
      <c r="M434" s="296">
        <v>0</v>
      </c>
      <c r="N434" s="297">
        <f>tabItens[[#This Row],[VALOR UNIT.]] * tabItens[[#This Row],[LC]]</f>
        <v>0</v>
      </c>
      <c r="O434" s="298" t="s">
        <v>2124</v>
      </c>
      <c r="P434" s="299"/>
      <c r="Q434" s="300"/>
      <c r="R434" s="297"/>
      <c r="S434" s="301"/>
      <c r="T434" s="302">
        <f>ROUNDDOWN(IFERROR(tabItens[[#This Row],[ATA DT.VALID.]] - $D$1,0) / 30,0)</f>
        <v>-1504</v>
      </c>
      <c r="U434" s="287" t="s">
        <v>1037</v>
      </c>
      <c r="V434" s="303">
        <v>1</v>
      </c>
      <c r="W434" s="304" t="s">
        <v>2056</v>
      </c>
      <c r="X434" s="305">
        <v>69</v>
      </c>
      <c r="Y434" s="306">
        <v>10</v>
      </c>
      <c r="Z434" s="307"/>
      <c r="AA434" s="308"/>
      <c r="AB434" s="309"/>
      <c r="AC434" s="309"/>
      <c r="AD434" s="308"/>
      <c r="AE434" s="309"/>
      <c r="AF434" s="302"/>
      <c r="AG434" s="310" t="s">
        <v>2050</v>
      </c>
      <c r="AH434" s="311"/>
      <c r="AI434" s="302">
        <v>188</v>
      </c>
      <c r="AJ434" s="311">
        <v>44519</v>
      </c>
      <c r="AK434" s="311" t="s">
        <v>883</v>
      </c>
      <c r="AL434" s="311">
        <v>44883</v>
      </c>
      <c r="AM434" s="301"/>
      <c r="AN434" s="290"/>
      <c r="AO434" s="312" t="str">
        <f>_xlfn.IFNA(IF(VLOOKUP(tabItens[[#This Row],[CÓDIGO]],tabExcluirDoEstoque[#Data],1,FALSE),"sim",""),"")</f>
        <v/>
      </c>
      <c r="AP434" s="313" t="str">
        <f ca="1">IF(OR(ISBLANK(tabItens[[#This Row],[ATA DT.VALID.]]),tabItens[[#This Row],[ATA DT.VALID.]]="",tabItens[[#This Row],[ATA DT.VALID.]]=" "),"",IF(TYPE(tabItens[[#This Row],[ATA DT.VALID.]])=1,ROUNDUP((tabItens[[#This Row],[ATA DT.VALID.]]-TODAY())/7,0),""))</f>
        <v/>
      </c>
      <c r="AQ434" s="314">
        <v>0</v>
      </c>
      <c r="AR434" s="315" t="str">
        <f>IF(ISBLANK(tabItens[[#This Row],[CÓDIGO]]),"",IFERROR(VLOOKUP(tabItens[[#This Row],[CÓDIGO]],Consumo!$C$2:$AC$869,26,FALSE),0))</f>
        <v>06.2023</v>
      </c>
      <c r="AS434" s="316">
        <f>SUMIF(Consumo!$C$3:$C$869,tabItens[[#This Row],[CÓDIGO]],Consumo!$N$3:$N$869) + SUMIF(Consumo!$C$3:$C$869,tabItens[[#This Row],[CÓDIGO]],Consumo!$O$3:$O$869) + SUMIF(Consumo!$C$3:$C$869,tabItens[[#This Row],[CÓDIGO]],Consumo!$P$3:$P$869) + SUMIF(Consumo!$C$3:$C$869,tabItens[[#This Row],[CÓDIGO]],Consumo!$Q$3:$Q$869)</f>
        <v>160</v>
      </c>
      <c r="AT434" s="316">
        <f>SUMIF(Consumo!$C$3:$C$869,tabItens[[#This Row],[CÓDIGO]],Consumo!$Z$3:$Z$869)</f>
        <v>560</v>
      </c>
      <c r="AU434" s="317">
        <f>SUMIF(Consumo!$C$3:$C$869,tabItens[[#This Row],[CÓDIGO]],Consumo!$AA$3:$AA$869)</f>
        <v>112</v>
      </c>
      <c r="AV434" s="318">
        <f>SUMIF(Consumo!$C$3:$C$869,tabItens[[#This Row],[CÓDIGO]],Consumo!$Y$3:$Y$869)</f>
        <v>46.666666666666664</v>
      </c>
      <c r="AW434" s="291">
        <f>tabItens[[#This Row],[QTDE ATUAL]] + tabItens[[#This Row],[RC QTDE]] + tabItens[[#This Row],[AF SALDO]] + tabItens[[#This Row],[Recentes]]</f>
        <v>823</v>
      </c>
      <c r="AX434" s="319">
        <v>42</v>
      </c>
      <c r="AY434" s="319">
        <v>4</v>
      </c>
      <c r="AZ434" s="319">
        <f>IF(ISBLANK(tabItens[[#This Row],[CÓDIGO]]),"",tabItens[[#This Row],[PontoMês]] * (AZ$2+tabItens[[#This Row],[PontoQtM]]))</f>
        <v>168</v>
      </c>
      <c r="BA434" s="318">
        <f>tabItens[[#This Row],[PontoPed]] - tabItens[[#This Row],[Saldo]] + (1/10)</f>
        <v>-654.9</v>
      </c>
      <c r="BB434" s="318">
        <f xml:space="preserve"> tabItens[[#This Row],[PontoMês]] * BB$2 - tabItens[[#This Row],[QTDE ATUAL]] - (1/10)</f>
        <v>-781.1</v>
      </c>
      <c r="BC434" s="320">
        <f>IF( tabItens[[#This Row],[PontoPed]]&gt;0, IF(tabItens[[#This Row],[PontoPed]]&lt;1, 1, IF( tabItens[[#This Row],[Saldo]]&gt;tabItens[[#This Row],[PontoPed]], 0, (tabItens[[#This Row],[PontoPed]]-tabItens[[#This Row],[Saldo]])/tabItens[[#This Row],[PontoPed]] ) ), 0 )</f>
        <v>0</v>
      </c>
      <c r="BD434" s="321">
        <f>ROUNDDOWN(IF( OR( AND(tabItens[[#This Row],[PontoPed]]&lt;tabItens[[#This Row],[Saldo]],tabItens[[#This Row],[Saldo]]&gt;0), tabItens[[#This Row],[PontoPed]]=0), 99, IF(AND(tabItens[[#This Row],[Saldo]]=0,tabItens[[#This Row],[PontoPed]]&gt;0), 0, (1-tabItens[[#This Row],[PctAb]])*10 ) ),0)</f>
        <v>99</v>
      </c>
      <c r="BE434" s="322">
        <f>MAX(ROUNDDOWN( IF(tabItens[[#This Row],[Abaixo]] &gt; 0,   tabItens[[#This Row],[Abaixo]] + (tabItens[[#This Row],[PontoMês]] * IF( OR( ISBLANK(tabItens[[#This Row],[ATA Nº/ANO]]), tabItens[[#This Row],[ATA Nº/ANO]] = ""),BE$2,BE$1)),0),0),0)</f>
        <v>0</v>
      </c>
      <c r="BF43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23">
        <f>SUMIF(Consumo!$C$3:$C$869,tabItens[[#This Row],[CÓDIGO]],Consumo!$E$3:$E$869)</f>
        <v>0</v>
      </c>
      <c r="BH434" s="324">
        <f>IF(AND(tabItens[[#This Row],[Pend]] &gt; 0,tabItens[[#This Row],[Consumo]] &lt;&gt; 0), tabItens[[#This Row],[Pend]] / tabItens[[#This Row],[Consumo]], 0 )</f>
        <v>0</v>
      </c>
      <c r="BI434" s="323"/>
      <c r="BJ434" s="323"/>
      <c r="BK434" s="325" t="s">
        <v>2064</v>
      </c>
    </row>
    <row r="435" spans="1:63" hidden="1" x14ac:dyDescent="0.3">
      <c r="A435" s="286">
        <v>131482</v>
      </c>
      <c r="B435" s="287" t="s">
        <v>1805</v>
      </c>
      <c r="C435" s="288" t="s">
        <v>31</v>
      </c>
      <c r="D435" s="289">
        <v>4.5</v>
      </c>
      <c r="E435" s="290"/>
      <c r="F435" s="290"/>
      <c r="G435" s="290" t="s">
        <v>883</v>
      </c>
      <c r="H435" s="291">
        <v>115</v>
      </c>
      <c r="I435" s="292">
        <v>103003</v>
      </c>
      <c r="J435" s="293">
        <v>4.5</v>
      </c>
      <c r="K435" s="294">
        <v>29</v>
      </c>
      <c r="L435" s="295">
        <f>IF(tabItens[[#This Row],[Média]] &gt; 0, tabItens[[#This Row],[QTDE ATUAL]] / tabItens[[#This Row],[Média]],999.9)</f>
        <v>62.727272727272727</v>
      </c>
      <c r="M435" s="296">
        <v>0</v>
      </c>
      <c r="N435" s="297">
        <f>tabItens[[#This Row],[VALOR UNIT.]] * tabItens[[#This Row],[LC]]</f>
        <v>0</v>
      </c>
      <c r="O435" s="298" t="s">
        <v>2093</v>
      </c>
      <c r="P435" s="299"/>
      <c r="Q435" s="300"/>
      <c r="R435" s="297"/>
      <c r="S435" s="301"/>
      <c r="T435" s="302">
        <f>ROUNDDOWN(IFERROR(tabItens[[#This Row],[ATA DT.VALID.]] - $D$1,0) / 30,0)</f>
        <v>-1504</v>
      </c>
      <c r="U435" s="287" t="s">
        <v>1430</v>
      </c>
      <c r="V435" s="303">
        <v>1</v>
      </c>
      <c r="W435" s="304" t="s">
        <v>2051</v>
      </c>
      <c r="X435" s="305">
        <v>72</v>
      </c>
      <c r="Y435" s="306">
        <v>5</v>
      </c>
      <c r="Z435" s="307"/>
      <c r="AA435" s="308"/>
      <c r="AB435" s="309"/>
      <c r="AC435" s="309"/>
      <c r="AD435" s="308"/>
      <c r="AE435" s="309"/>
      <c r="AF435" s="302"/>
      <c r="AG435" s="310" t="s">
        <v>2050</v>
      </c>
      <c r="AH435" s="311"/>
      <c r="AI435" s="302">
        <v>10</v>
      </c>
      <c r="AJ435" s="311">
        <v>42559</v>
      </c>
      <c r="AK435" s="311">
        <v>42464</v>
      </c>
      <c r="AL435" s="311">
        <v>44582</v>
      </c>
      <c r="AM435" s="301"/>
      <c r="AN435" s="290"/>
      <c r="AO435" s="312" t="str">
        <f>_xlfn.IFNA(IF(VLOOKUP(tabItens[[#This Row],[CÓDIGO]],tabExcluirDoEstoque[#Data],1,FALSE),"sim",""),"")</f>
        <v/>
      </c>
      <c r="AP435" s="313" t="str">
        <f ca="1">IF(OR(ISBLANK(tabItens[[#This Row],[ATA DT.VALID.]]),tabItens[[#This Row],[ATA DT.VALID.]]="",tabItens[[#This Row],[ATA DT.VALID.]]=" "),"",IF(TYPE(tabItens[[#This Row],[ATA DT.VALID.]])=1,ROUNDUP((tabItens[[#This Row],[ATA DT.VALID.]]-TODAY())/7,0),""))</f>
        <v/>
      </c>
      <c r="AQ435" s="314">
        <v>0</v>
      </c>
      <c r="AR435" s="315" t="str">
        <f>IF(ISBLANK(tabItens[[#This Row],[CÓDIGO]]),"",IFERROR(VLOOKUP(tabItens[[#This Row],[CÓDIGO]],Consumo!$C$2:$AC$869,26,FALSE),0))</f>
        <v>05.2023</v>
      </c>
      <c r="AS435" s="316">
        <f>SUMIF(Consumo!$C$3:$C$869,tabItens[[#This Row],[CÓDIGO]],Consumo!$N$3:$N$869) + SUMIF(Consumo!$C$3:$C$869,tabItens[[#This Row],[CÓDIGO]],Consumo!$O$3:$O$869) + SUMIF(Consumo!$C$3:$C$869,tabItens[[#This Row],[CÓDIGO]],Consumo!$P$3:$P$869) + SUMIF(Consumo!$C$3:$C$869,tabItens[[#This Row],[CÓDIGO]],Consumo!$Q$3:$Q$869)</f>
        <v>22</v>
      </c>
      <c r="AT435" s="316">
        <f>SUMIF(Consumo!$C$3:$C$869,tabItens[[#This Row],[CÓDIGO]],Consumo!$Z$3:$Z$869)</f>
        <v>29</v>
      </c>
      <c r="AU435" s="317">
        <f>SUMIF(Consumo!$C$3:$C$869,tabItens[[#This Row],[CÓDIGO]],Consumo!$AA$3:$AA$869)</f>
        <v>21</v>
      </c>
      <c r="AV435" s="318">
        <f>SUMIF(Consumo!$C$3:$C$869,tabItens[[#This Row],[CÓDIGO]],Consumo!$Y$3:$Y$869)</f>
        <v>1.8333333333333333</v>
      </c>
      <c r="AW435" s="291">
        <f>tabItens[[#This Row],[QTDE ATUAL]] + tabItens[[#This Row],[RC QTDE]] + tabItens[[#This Row],[AF SALDO]] + tabItens[[#This Row],[Recentes]]</f>
        <v>115</v>
      </c>
      <c r="AX435" s="319">
        <v>5</v>
      </c>
      <c r="AY435" s="319">
        <v>4</v>
      </c>
      <c r="AZ435" s="319">
        <f>IF(ISBLANK(tabItens[[#This Row],[CÓDIGO]]),"",tabItens[[#This Row],[PontoMês]] * (AZ$2+tabItens[[#This Row],[PontoQtM]]))</f>
        <v>20</v>
      </c>
      <c r="BA435" s="318">
        <f>tabItens[[#This Row],[PontoPed]] - tabItens[[#This Row],[Saldo]] + (1/10)</f>
        <v>-94.9</v>
      </c>
      <c r="BB435" s="318">
        <f xml:space="preserve"> tabItens[[#This Row],[PontoMês]] * BB$2 - tabItens[[#This Row],[QTDE ATUAL]] - (1/10)</f>
        <v>-110.1</v>
      </c>
      <c r="BC435" s="320">
        <f>IF( tabItens[[#This Row],[PontoPed]]&gt;0, IF(tabItens[[#This Row],[PontoPed]]&lt;1, 1, IF( tabItens[[#This Row],[Saldo]]&gt;tabItens[[#This Row],[PontoPed]], 0, (tabItens[[#This Row],[PontoPed]]-tabItens[[#This Row],[Saldo]])/tabItens[[#This Row],[PontoPed]] ) ), 0 )</f>
        <v>0</v>
      </c>
      <c r="BD435" s="321">
        <f>ROUNDDOWN(IF( OR( AND(tabItens[[#This Row],[PontoPed]]&lt;tabItens[[#This Row],[Saldo]],tabItens[[#This Row],[Saldo]]&gt;0), tabItens[[#This Row],[PontoPed]]=0), 99, IF(AND(tabItens[[#This Row],[Saldo]]=0,tabItens[[#This Row],[PontoPed]]&gt;0), 0, (1-tabItens[[#This Row],[PctAb]])*10 ) ),0)</f>
        <v>99</v>
      </c>
      <c r="BE435" s="322">
        <f>MAX(ROUNDDOWN( IF(tabItens[[#This Row],[Abaixo]] &gt; 0,   tabItens[[#This Row],[Abaixo]] + (tabItens[[#This Row],[PontoMês]] * IF( OR( ISBLANK(tabItens[[#This Row],[ATA Nº/ANO]]), tabItens[[#This Row],[ATA Nº/ANO]] = ""),BE$2,BE$1)),0),0),0)</f>
        <v>0</v>
      </c>
      <c r="BF4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23">
        <f>SUMIF(Consumo!$C$3:$C$869,tabItens[[#This Row],[CÓDIGO]],Consumo!$E$3:$E$869)</f>
        <v>0</v>
      </c>
      <c r="BH435" s="324">
        <f>IF(AND(tabItens[[#This Row],[Pend]] &gt; 0,tabItens[[#This Row],[Consumo]] &lt;&gt; 0), tabItens[[#This Row],[Pend]] / tabItens[[#This Row],[Consumo]], 0 )</f>
        <v>0</v>
      </c>
      <c r="BI435" s="323"/>
      <c r="BJ435" s="323"/>
      <c r="BK435" s="325" t="s">
        <v>2064</v>
      </c>
    </row>
    <row r="436" spans="1:63" x14ac:dyDescent="0.3">
      <c r="A436" s="396">
        <v>13991</v>
      </c>
      <c r="B436" s="397" t="s">
        <v>1047</v>
      </c>
      <c r="C436" s="398" t="s">
        <v>256</v>
      </c>
      <c r="D436" s="399">
        <v>22.32</v>
      </c>
      <c r="E436" s="290"/>
      <c r="F436" s="400"/>
      <c r="G436" s="400" t="s">
        <v>883</v>
      </c>
      <c r="H436" s="401">
        <v>0</v>
      </c>
      <c r="I436" s="292">
        <v>103003</v>
      </c>
      <c r="J436" s="293">
        <v>22.32</v>
      </c>
      <c r="K436" s="402">
        <v>300</v>
      </c>
      <c r="L436" s="403">
        <f>IF(tabItens[[#This Row],[Média]] &gt; 0, tabItens[[#This Row],[QTDE ATUAL]] / tabItens[[#This Row],[Média]],999.9)</f>
        <v>0</v>
      </c>
      <c r="M436" s="404">
        <v>0</v>
      </c>
      <c r="N436" s="405">
        <f>tabItens[[#This Row],[VALOR UNIT.]] * tabItens[[#This Row],[LC]]</f>
        <v>0</v>
      </c>
      <c r="O436" s="406" t="s">
        <v>2093</v>
      </c>
      <c r="P436" s="407"/>
      <c r="Q436" s="408"/>
      <c r="R436" s="297"/>
      <c r="S436" s="409"/>
      <c r="T436" s="410">
        <f>ROUNDDOWN(IFERROR(tabItens[[#This Row],[ATA DT.VALID.]] - $D$1,0) / 30,0)</f>
        <v>-1504</v>
      </c>
      <c r="U436" s="287" t="s">
        <v>892</v>
      </c>
      <c r="V436" s="303">
        <v>1</v>
      </c>
      <c r="W436" s="411" t="s">
        <v>2051</v>
      </c>
      <c r="X436" s="412">
        <v>72</v>
      </c>
      <c r="Y436" s="413">
        <v>6</v>
      </c>
      <c r="Z436" s="414">
        <v>5540</v>
      </c>
      <c r="AA436" s="415">
        <v>2023</v>
      </c>
      <c r="AB436" s="416">
        <v>400</v>
      </c>
      <c r="AC436" s="416"/>
      <c r="AD436" s="415"/>
      <c r="AE436" s="416"/>
      <c r="AF436" s="302"/>
      <c r="AG436" s="417" t="s">
        <v>2050</v>
      </c>
      <c r="AH436" s="418"/>
      <c r="AI436" s="302">
        <v>106</v>
      </c>
      <c r="AJ436" s="418">
        <v>44937</v>
      </c>
      <c r="AK436" s="311" t="s">
        <v>883</v>
      </c>
      <c r="AL436" s="311">
        <v>44854</v>
      </c>
      <c r="AM436" s="301"/>
      <c r="AN436" s="290"/>
      <c r="AO436" s="312" t="str">
        <f>_xlfn.IFNA(IF(VLOOKUP(tabItens[[#This Row],[CÓDIGO]],tabExcluirDoEstoque[#Data],1,FALSE),"sim",""),"")</f>
        <v/>
      </c>
      <c r="AP436" s="419" t="str">
        <f ca="1">IF(OR(ISBLANK(tabItens[[#This Row],[ATA DT.VALID.]]),tabItens[[#This Row],[ATA DT.VALID.]]="",tabItens[[#This Row],[ATA DT.VALID.]]=" "),"",IF(TYPE(tabItens[[#This Row],[ATA DT.VALID.]])=1,ROUNDUP((tabItens[[#This Row],[ATA DT.VALID.]]-TODAY())/7,0),""))</f>
        <v/>
      </c>
      <c r="AQ436" s="314">
        <v>0</v>
      </c>
      <c r="AR436" s="315" t="str">
        <f>IF(ISBLANK(tabItens[[#This Row],[CÓDIGO]]),"",IFERROR(VLOOKUP(tabItens[[#This Row],[CÓDIGO]],Consumo!$C$2:$AC$869,26,FALSE),0))</f>
        <v>03.2023</v>
      </c>
      <c r="AS436" s="316">
        <f>SUMIF(Consumo!$C$3:$C$869,tabItens[[#This Row],[CÓDIGO]],Consumo!$N$3:$N$869) + SUMIF(Consumo!$C$3:$C$869,tabItens[[#This Row],[CÓDIGO]],Consumo!$O$3:$O$869) + SUMIF(Consumo!$C$3:$C$869,tabItens[[#This Row],[CÓDIGO]],Consumo!$P$3:$P$869) + SUMIF(Consumo!$C$3:$C$869,tabItens[[#This Row],[CÓDIGO]],Consumo!$Q$3:$Q$869)</f>
        <v>0</v>
      </c>
      <c r="AT436" s="316">
        <f>SUMIF(Consumo!$C$3:$C$869,tabItens[[#This Row],[CÓDIGO]],Consumo!$Z$3:$Z$869)</f>
        <v>370</v>
      </c>
      <c r="AU436" s="317">
        <f>SUMIF(Consumo!$C$3:$C$869,tabItens[[#This Row],[CÓDIGO]],Consumo!$AA$3:$AA$869)</f>
        <v>69</v>
      </c>
      <c r="AV436" s="318">
        <f>SUMIF(Consumo!$C$3:$C$869,tabItens[[#This Row],[CÓDIGO]],Consumo!$Y$3:$Y$869)</f>
        <v>30.833333333333332</v>
      </c>
      <c r="AW436" s="401">
        <f>tabItens[[#This Row],[QTDE ATUAL]] + tabItens[[#This Row],[RC QTDE]] + tabItens[[#This Row],[AF SALDO]] + tabItens[[#This Row],[Recentes]]</f>
        <v>400</v>
      </c>
      <c r="AX436" s="420">
        <v>46</v>
      </c>
      <c r="AY436" s="420">
        <v>4</v>
      </c>
      <c r="AZ436" s="420">
        <f>IF(ISBLANK(tabItens[[#This Row],[CÓDIGO]]),"",tabItens[[#This Row],[PontoMês]] * (AZ$2+tabItens[[#This Row],[PontoQtM]]))</f>
        <v>184</v>
      </c>
      <c r="BA436" s="421">
        <f>tabItens[[#This Row],[PontoPed]] - tabItens[[#This Row],[Saldo]] + (1/10)</f>
        <v>-215.9</v>
      </c>
      <c r="BB436" s="421">
        <f xml:space="preserve"> tabItens[[#This Row],[PontoMês]] * BB$2 - tabItens[[#This Row],[QTDE ATUAL]] - (1/10)</f>
        <v>45.9</v>
      </c>
      <c r="BC436" s="320">
        <f>IF( tabItens[[#This Row],[PontoPed]]&gt;0, IF(tabItens[[#This Row],[PontoPed]]&lt;1, 1, IF( tabItens[[#This Row],[Saldo]]&gt;tabItens[[#This Row],[PontoPed]], 0, (tabItens[[#This Row],[PontoPed]]-tabItens[[#This Row],[Saldo]])/tabItens[[#This Row],[PontoPed]] ) ), 0 )</f>
        <v>0</v>
      </c>
      <c r="BD436" s="422">
        <f>ROUNDDOWN(IF( OR( AND(tabItens[[#This Row],[PontoPed]]&lt;tabItens[[#This Row],[Saldo]],tabItens[[#This Row],[Saldo]]&gt;0), tabItens[[#This Row],[PontoPed]]=0), 99, IF(AND(tabItens[[#This Row],[Saldo]]=0,tabItens[[#This Row],[PontoPed]]&gt;0), 0, (1-tabItens[[#This Row],[PctAb]])*10 ) ),0)</f>
        <v>99</v>
      </c>
      <c r="BE436" s="423">
        <f>MAX(ROUNDDOWN( IF(tabItens[[#This Row],[Abaixo]] &gt; 0,   tabItens[[#This Row],[Abaixo]] + (tabItens[[#This Row],[PontoMês]] * IF( OR( ISBLANK(tabItens[[#This Row],[ATA Nº/ANO]]), tabItens[[#This Row],[ATA Nº/ANO]] = ""),BE$2,BE$1)),0),0),0)</f>
        <v>0</v>
      </c>
      <c r="BF43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23">
        <f>SUMIF(Consumo!$C$3:$C$869,tabItens[[#This Row],[CÓDIGO]],Consumo!$E$3:$E$869)</f>
        <v>50</v>
      </c>
      <c r="BH436" s="324">
        <f>IF(AND(tabItens[[#This Row],[Pend]] &gt; 0,tabItens[[#This Row],[Consumo]] &lt;&gt; 0), tabItens[[#This Row],[Pend]] / tabItens[[#This Row],[Consumo]], 0 )</f>
        <v>0.13513513513513514</v>
      </c>
      <c r="BI436" s="323"/>
      <c r="BJ436" s="424"/>
      <c r="BK436" s="425" t="s">
        <v>2064</v>
      </c>
    </row>
    <row r="437" spans="1:63" hidden="1" x14ac:dyDescent="0.3">
      <c r="A437" s="286">
        <v>29296</v>
      </c>
      <c r="B437" s="287" t="s">
        <v>1237</v>
      </c>
      <c r="C437" s="288" t="s">
        <v>268</v>
      </c>
      <c r="D437" s="289">
        <v>7.09</v>
      </c>
      <c r="E437" s="290"/>
      <c r="F437" s="290"/>
      <c r="G437" s="290" t="s">
        <v>883</v>
      </c>
      <c r="H437" s="291">
        <v>313</v>
      </c>
      <c r="I437" s="292">
        <v>103003</v>
      </c>
      <c r="J437" s="293">
        <v>7.09</v>
      </c>
      <c r="K437" s="294">
        <v>165</v>
      </c>
      <c r="L437" s="295">
        <f>IF(tabItens[[#This Row],[Média]] &gt; 0, tabItens[[#This Row],[QTDE ATUAL]] / tabItens[[#This Row],[Média]],999.9)</f>
        <v>16.051282051282051</v>
      </c>
      <c r="M437" s="296">
        <v>0</v>
      </c>
      <c r="N437" s="297">
        <f>tabItens[[#This Row],[VALOR UNIT.]] * tabItens[[#This Row],[LC]]</f>
        <v>0</v>
      </c>
      <c r="O437" s="298" t="s">
        <v>2093</v>
      </c>
      <c r="P437" s="299"/>
      <c r="Q437" s="300"/>
      <c r="R437" s="297"/>
      <c r="S437" s="301"/>
      <c r="T437" s="302">
        <f>ROUNDDOWN(IFERROR(tabItens[[#This Row],[ATA DT.VALID.]] - $D$1,0) / 30,0)</f>
        <v>-1504</v>
      </c>
      <c r="U437" s="287" t="s">
        <v>954</v>
      </c>
      <c r="V437" s="303">
        <v>1</v>
      </c>
      <c r="W437" s="304" t="s">
        <v>2051</v>
      </c>
      <c r="X437" s="305">
        <v>72</v>
      </c>
      <c r="Y437" s="306">
        <v>7</v>
      </c>
      <c r="Z437" s="307">
        <v>2643</v>
      </c>
      <c r="AA437" s="308">
        <v>2023</v>
      </c>
      <c r="AB437" s="309">
        <v>100</v>
      </c>
      <c r="AC437" s="309"/>
      <c r="AD437" s="308"/>
      <c r="AE437" s="309"/>
      <c r="AF437" s="302"/>
      <c r="AG437" s="310" t="s">
        <v>2050</v>
      </c>
      <c r="AH437" s="311"/>
      <c r="AI437" s="302">
        <v>78</v>
      </c>
      <c r="AJ437" s="311">
        <v>44358</v>
      </c>
      <c r="AK437" s="311" t="s">
        <v>883</v>
      </c>
      <c r="AL437" s="311">
        <v>44333</v>
      </c>
      <c r="AM437" s="301"/>
      <c r="AN437" s="290"/>
      <c r="AO437" s="312" t="str">
        <f>_xlfn.IFNA(IF(VLOOKUP(tabItens[[#This Row],[CÓDIGO]],tabExcluirDoEstoque[#Data],1,FALSE),"sim",""),"")</f>
        <v/>
      </c>
      <c r="AP437" s="313" t="str">
        <f ca="1">IF(OR(ISBLANK(tabItens[[#This Row],[ATA DT.VALID.]]),tabItens[[#This Row],[ATA DT.VALID.]]="",tabItens[[#This Row],[ATA DT.VALID.]]=" "),"",IF(TYPE(tabItens[[#This Row],[ATA DT.VALID.]])=1,ROUNDUP((tabItens[[#This Row],[ATA DT.VALID.]]-TODAY())/7,0),""))</f>
        <v/>
      </c>
      <c r="AQ437" s="314">
        <v>0</v>
      </c>
      <c r="AR437" s="315" t="str">
        <f>IF(ISBLANK(tabItens[[#This Row],[CÓDIGO]]),"",IFERROR(VLOOKUP(tabItens[[#This Row],[CÓDIGO]],Consumo!$C$2:$AC$869,26,FALSE),0))</f>
        <v>07.2023</v>
      </c>
      <c r="AS437" s="316">
        <f>SUMIF(Consumo!$C$3:$C$869,tabItens[[#This Row],[CÓDIGO]],Consumo!$N$3:$N$869) + SUMIF(Consumo!$C$3:$C$869,tabItens[[#This Row],[CÓDIGO]],Consumo!$O$3:$O$869) + SUMIF(Consumo!$C$3:$C$869,tabItens[[#This Row],[CÓDIGO]],Consumo!$P$3:$P$869) + SUMIF(Consumo!$C$3:$C$869,tabItens[[#This Row],[CÓDIGO]],Consumo!$Q$3:$Q$869)</f>
        <v>77</v>
      </c>
      <c r="AT437" s="316">
        <f>SUMIF(Consumo!$C$3:$C$869,tabItens[[#This Row],[CÓDIGO]],Consumo!$Z$3:$Z$869)</f>
        <v>235</v>
      </c>
      <c r="AU437" s="317">
        <f>SUMIF(Consumo!$C$3:$C$869,tabItens[[#This Row],[CÓDIGO]],Consumo!$AA$3:$AA$869)</f>
        <v>41</v>
      </c>
      <c r="AV437" s="318">
        <f>SUMIF(Consumo!$C$3:$C$869,tabItens[[#This Row],[CÓDIGO]],Consumo!$Y$3:$Y$869)</f>
        <v>19.5</v>
      </c>
      <c r="AW437" s="291">
        <f>tabItens[[#This Row],[QTDE ATUAL]] + tabItens[[#This Row],[RC QTDE]] + tabItens[[#This Row],[AF SALDO]] + tabItens[[#This Row],[Recentes]]</f>
        <v>413</v>
      </c>
      <c r="AX437" s="319">
        <v>16</v>
      </c>
      <c r="AY437" s="319">
        <v>4</v>
      </c>
      <c r="AZ437" s="319">
        <f>IF(ISBLANK(tabItens[[#This Row],[CÓDIGO]]),"",tabItens[[#This Row],[PontoMês]] * (AZ$2+tabItens[[#This Row],[PontoQtM]]))</f>
        <v>64</v>
      </c>
      <c r="BA437" s="318">
        <f>tabItens[[#This Row],[PontoPed]] - tabItens[[#This Row],[Saldo]] + (1/10)</f>
        <v>-348.9</v>
      </c>
      <c r="BB437" s="318">
        <f xml:space="preserve"> tabItens[[#This Row],[PontoMês]] * BB$2 - tabItens[[#This Row],[QTDE ATUAL]] - (1/10)</f>
        <v>-297.10000000000002</v>
      </c>
      <c r="BC437" s="320">
        <f>IF( tabItens[[#This Row],[PontoPed]]&gt;0, IF(tabItens[[#This Row],[PontoPed]]&lt;1, 1, IF( tabItens[[#This Row],[Saldo]]&gt;tabItens[[#This Row],[PontoPed]], 0, (tabItens[[#This Row],[PontoPed]]-tabItens[[#This Row],[Saldo]])/tabItens[[#This Row],[PontoPed]] ) ), 0 )</f>
        <v>0</v>
      </c>
      <c r="BD437" s="321">
        <f>ROUNDDOWN(IF( OR( AND(tabItens[[#This Row],[PontoPed]]&lt;tabItens[[#This Row],[Saldo]],tabItens[[#This Row],[Saldo]]&gt;0), tabItens[[#This Row],[PontoPed]]=0), 99, IF(AND(tabItens[[#This Row],[Saldo]]=0,tabItens[[#This Row],[PontoPed]]&gt;0), 0, (1-tabItens[[#This Row],[PctAb]])*10 ) ),0)</f>
        <v>99</v>
      </c>
      <c r="BE437" s="322">
        <f>MAX(ROUNDDOWN( IF(tabItens[[#This Row],[Abaixo]] &gt; 0,   tabItens[[#This Row],[Abaixo]] + (tabItens[[#This Row],[PontoMês]] * IF( OR( ISBLANK(tabItens[[#This Row],[ATA Nº/ANO]]), tabItens[[#This Row],[ATA Nº/ANO]] = ""),BE$2,BE$1)),0),0),0)</f>
        <v>0</v>
      </c>
      <c r="BF43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23">
        <f>SUMIF(Consumo!$C$3:$C$869,tabItens[[#This Row],[CÓDIGO]],Consumo!$E$3:$E$869)</f>
        <v>0</v>
      </c>
      <c r="BH437" s="324">
        <f>IF(AND(tabItens[[#This Row],[Pend]] &gt; 0,tabItens[[#This Row],[Consumo]] &lt;&gt; 0), tabItens[[#This Row],[Pend]] / tabItens[[#This Row],[Consumo]], 0 )</f>
        <v>0</v>
      </c>
      <c r="BI437" s="323"/>
      <c r="BJ437" s="323"/>
      <c r="BK437" s="325" t="s">
        <v>2064</v>
      </c>
    </row>
    <row r="438" spans="1:63" hidden="1" x14ac:dyDescent="0.3">
      <c r="A438" s="286">
        <v>107483</v>
      </c>
      <c r="B438" s="287" t="s">
        <v>1640</v>
      </c>
      <c r="C438" s="288" t="s">
        <v>31</v>
      </c>
      <c r="D438" s="289">
        <v>15.3</v>
      </c>
      <c r="E438" s="290"/>
      <c r="F438" s="290"/>
      <c r="G438" s="290" t="s">
        <v>883</v>
      </c>
      <c r="H438" s="291">
        <v>101</v>
      </c>
      <c r="I438" s="292">
        <v>103003</v>
      </c>
      <c r="J438" s="293">
        <v>15.3</v>
      </c>
      <c r="K438" s="294">
        <v>204</v>
      </c>
      <c r="L438" s="295">
        <f>IF(tabItens[[#This Row],[Média]] &gt; 0, tabItens[[#This Row],[QTDE ATUAL]] / tabItens[[#This Row],[Média]],999.9)</f>
        <v>5.3392070484581495</v>
      </c>
      <c r="M438" s="296">
        <v>0</v>
      </c>
      <c r="N438" s="297">
        <f>tabItens[[#This Row],[VALOR UNIT.]] * tabItens[[#This Row],[LC]]</f>
        <v>0</v>
      </c>
      <c r="O438" s="298" t="s">
        <v>2097</v>
      </c>
      <c r="P438" s="299"/>
      <c r="Q438" s="300"/>
      <c r="R438" s="297"/>
      <c r="S438" s="301"/>
      <c r="T438" s="302">
        <f>ROUNDDOWN(IFERROR(tabItens[[#This Row],[ATA DT.VALID.]] - $D$1,0) / 30,0)</f>
        <v>-1504</v>
      </c>
      <c r="U438" s="287" t="s">
        <v>1641</v>
      </c>
      <c r="V438" s="303">
        <v>1</v>
      </c>
      <c r="W438" s="304" t="s">
        <v>2055</v>
      </c>
      <c r="X438" s="305">
        <v>55</v>
      </c>
      <c r="Y438" s="306">
        <v>4</v>
      </c>
      <c r="Z438" s="307">
        <v>2646</v>
      </c>
      <c r="AA438" s="308">
        <v>2023</v>
      </c>
      <c r="AB438" s="309">
        <v>200</v>
      </c>
      <c r="AC438" s="309"/>
      <c r="AD438" s="308"/>
      <c r="AE438" s="309"/>
      <c r="AF438" s="302"/>
      <c r="AG438" s="310" t="s">
        <v>2050</v>
      </c>
      <c r="AH438" s="311"/>
      <c r="AI438" s="302">
        <v>84</v>
      </c>
      <c r="AJ438" s="311">
        <v>44874</v>
      </c>
      <c r="AK438" s="311">
        <v>39679</v>
      </c>
      <c r="AL438" s="311">
        <v>44845</v>
      </c>
      <c r="AM438" s="301"/>
      <c r="AN438" s="290"/>
      <c r="AO438" s="312" t="str">
        <f>_xlfn.IFNA(IF(VLOOKUP(tabItens[[#This Row],[CÓDIGO]],tabExcluirDoEstoque[#Data],1,FALSE),"sim",""),"")</f>
        <v/>
      </c>
      <c r="AP438" s="313" t="str">
        <f ca="1">IF(OR(ISBLANK(tabItens[[#This Row],[ATA DT.VALID.]]),tabItens[[#This Row],[ATA DT.VALID.]]="",tabItens[[#This Row],[ATA DT.VALID.]]=" "),"",IF(TYPE(tabItens[[#This Row],[ATA DT.VALID.]])=1,ROUNDUP((tabItens[[#This Row],[ATA DT.VALID.]]-TODAY())/7,0),""))</f>
        <v/>
      </c>
      <c r="AQ438" s="314">
        <v>0</v>
      </c>
      <c r="AR438" s="315" t="str">
        <f>IF(ISBLANK(tabItens[[#This Row],[CÓDIGO]]),"",IFERROR(VLOOKUP(tabItens[[#This Row],[CÓDIGO]],Consumo!$C$2:$AC$869,26,FALSE),0))</f>
        <v>07.2023</v>
      </c>
      <c r="AS438" s="316">
        <f>SUMIF(Consumo!$C$3:$C$869,tabItens[[#This Row],[CÓDIGO]],Consumo!$N$3:$N$869) + SUMIF(Consumo!$C$3:$C$869,tabItens[[#This Row],[CÓDIGO]],Consumo!$O$3:$O$869) + SUMIF(Consumo!$C$3:$C$869,tabItens[[#This Row],[CÓDIGO]],Consumo!$P$3:$P$869) + SUMIF(Consumo!$C$3:$C$869,tabItens[[#This Row],[CÓDIGO]],Consumo!$Q$3:$Q$869)</f>
        <v>142</v>
      </c>
      <c r="AT438" s="316">
        <f>SUMIF(Consumo!$C$3:$C$869,tabItens[[#This Row],[CÓDIGO]],Consumo!$Z$3:$Z$869)</f>
        <v>250</v>
      </c>
      <c r="AU438" s="317">
        <f>SUMIF(Consumo!$C$3:$C$869,tabItens[[#This Row],[CÓDIGO]],Consumo!$AA$3:$AA$869)</f>
        <v>92</v>
      </c>
      <c r="AV438" s="318">
        <f>SUMIF(Consumo!$C$3:$C$869,tabItens[[#This Row],[CÓDIGO]],Consumo!$Y$3:$Y$869)</f>
        <v>18.916666666666668</v>
      </c>
      <c r="AW438" s="291">
        <f>tabItens[[#This Row],[QTDE ATUAL]] + tabItens[[#This Row],[RC QTDE]] + tabItens[[#This Row],[AF SALDO]] + tabItens[[#This Row],[Recentes]]</f>
        <v>301</v>
      </c>
      <c r="AX438" s="319">
        <v>19</v>
      </c>
      <c r="AY438" s="319">
        <v>4</v>
      </c>
      <c r="AZ438" s="319">
        <f>IF(ISBLANK(tabItens[[#This Row],[CÓDIGO]]),"",tabItens[[#This Row],[PontoMês]] * (AZ$2+tabItens[[#This Row],[PontoQtM]]))</f>
        <v>76</v>
      </c>
      <c r="BA438" s="318">
        <f>tabItens[[#This Row],[PontoPed]] - tabItens[[#This Row],[Saldo]] + (1/10)</f>
        <v>-224.9</v>
      </c>
      <c r="BB438" s="318">
        <f xml:space="preserve"> tabItens[[#This Row],[PontoMês]] * BB$2 - tabItens[[#This Row],[QTDE ATUAL]] - (1/10)</f>
        <v>-82.1</v>
      </c>
      <c r="BC438" s="320">
        <f>IF( tabItens[[#This Row],[PontoPed]]&gt;0, IF(tabItens[[#This Row],[PontoPed]]&lt;1, 1, IF( tabItens[[#This Row],[Saldo]]&gt;tabItens[[#This Row],[PontoPed]], 0, (tabItens[[#This Row],[PontoPed]]-tabItens[[#This Row],[Saldo]])/tabItens[[#This Row],[PontoPed]] ) ), 0 )</f>
        <v>0</v>
      </c>
      <c r="BD438" s="321">
        <f>ROUNDDOWN(IF( OR( AND(tabItens[[#This Row],[PontoPed]]&lt;tabItens[[#This Row],[Saldo]],tabItens[[#This Row],[Saldo]]&gt;0), tabItens[[#This Row],[PontoPed]]=0), 99, IF(AND(tabItens[[#This Row],[Saldo]]=0,tabItens[[#This Row],[PontoPed]]&gt;0), 0, (1-tabItens[[#This Row],[PctAb]])*10 ) ),0)</f>
        <v>99</v>
      </c>
      <c r="BE438" s="322">
        <f>MAX(ROUNDDOWN( IF(tabItens[[#This Row],[Abaixo]] &gt; 0,   tabItens[[#This Row],[Abaixo]] + (tabItens[[#This Row],[PontoMês]] * IF( OR( ISBLANK(tabItens[[#This Row],[ATA Nº/ANO]]), tabItens[[#This Row],[ATA Nº/ANO]] = ""),BE$2,BE$1)),0),0),0)</f>
        <v>0</v>
      </c>
      <c r="BF43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23">
        <f>SUMIF(Consumo!$C$3:$C$869,tabItens[[#This Row],[CÓDIGO]],Consumo!$E$3:$E$869)</f>
        <v>0</v>
      </c>
      <c r="BH438" s="324">
        <f>IF(AND(tabItens[[#This Row],[Pend]] &gt; 0,tabItens[[#This Row],[Consumo]] &lt;&gt; 0), tabItens[[#This Row],[Pend]] / tabItens[[#This Row],[Consumo]], 0 )</f>
        <v>0</v>
      </c>
      <c r="BI438" s="323"/>
      <c r="BJ438" s="323"/>
      <c r="BK438" s="325" t="s">
        <v>2064</v>
      </c>
    </row>
    <row r="439" spans="1:63" x14ac:dyDescent="0.3">
      <c r="A439" s="396">
        <v>107889</v>
      </c>
      <c r="B439" s="397" t="s">
        <v>1644</v>
      </c>
      <c r="C439" s="398" t="s">
        <v>31</v>
      </c>
      <c r="D439" s="399">
        <v>29.75</v>
      </c>
      <c r="E439" s="290"/>
      <c r="F439" s="400"/>
      <c r="G439" s="400" t="s">
        <v>883</v>
      </c>
      <c r="H439" s="401">
        <v>0</v>
      </c>
      <c r="I439" s="292">
        <v>103003</v>
      </c>
      <c r="J439" s="293">
        <v>29.75</v>
      </c>
      <c r="K439" s="402">
        <v>202</v>
      </c>
      <c r="L439" s="403">
        <f>IF(tabItens[[#This Row],[Média]] &gt; 0, tabItens[[#This Row],[QTDE ATUAL]] / tabItens[[#This Row],[Média]],999.9)</f>
        <v>0</v>
      </c>
      <c r="M439" s="404">
        <v>0</v>
      </c>
      <c r="N439" s="405">
        <f>tabItens[[#This Row],[VALOR UNIT.]] * tabItens[[#This Row],[LC]]</f>
        <v>0</v>
      </c>
      <c r="O439" s="406" t="s">
        <v>2097</v>
      </c>
      <c r="P439" s="407"/>
      <c r="Q439" s="408"/>
      <c r="R439" s="297"/>
      <c r="S439" s="409"/>
      <c r="T439" s="410">
        <f>ROUNDDOWN(IFERROR(tabItens[[#This Row],[ATA DT.VALID.]] - $D$1,0) / 30,0)</f>
        <v>-1504</v>
      </c>
      <c r="U439" s="287" t="s">
        <v>1285</v>
      </c>
      <c r="V439" s="303">
        <v>1</v>
      </c>
      <c r="W439" s="411" t="s">
        <v>2055</v>
      </c>
      <c r="X439" s="412">
        <v>55</v>
      </c>
      <c r="Y439" s="413">
        <v>9</v>
      </c>
      <c r="Z439" s="414">
        <v>2647</v>
      </c>
      <c r="AA439" s="415">
        <v>2023</v>
      </c>
      <c r="AB439" s="416">
        <v>200</v>
      </c>
      <c r="AC439" s="416"/>
      <c r="AD439" s="415"/>
      <c r="AE439" s="416"/>
      <c r="AF439" s="302"/>
      <c r="AG439" s="417" t="s">
        <v>2050</v>
      </c>
      <c r="AH439" s="418"/>
      <c r="AI439" s="302">
        <v>84</v>
      </c>
      <c r="AJ439" s="418">
        <v>44874</v>
      </c>
      <c r="AK439" s="311">
        <v>39709</v>
      </c>
      <c r="AL439" s="311">
        <v>44845</v>
      </c>
      <c r="AM439" s="301"/>
      <c r="AN439" s="290"/>
      <c r="AO439" s="312" t="str">
        <f>_xlfn.IFNA(IF(VLOOKUP(tabItens[[#This Row],[CÓDIGO]],tabExcluirDoEstoque[#Data],1,FALSE),"sim",""),"")</f>
        <v/>
      </c>
      <c r="AP439" s="419" t="str">
        <f ca="1">IF(OR(ISBLANK(tabItens[[#This Row],[ATA DT.VALID.]]),tabItens[[#This Row],[ATA DT.VALID.]]="",tabItens[[#This Row],[ATA DT.VALID.]]=" "),"",IF(TYPE(tabItens[[#This Row],[ATA DT.VALID.]])=1,ROUNDUP((tabItens[[#This Row],[ATA DT.VALID.]]-TODAY())/7,0),""))</f>
        <v/>
      </c>
      <c r="AQ439" s="314">
        <v>0</v>
      </c>
      <c r="AR439" s="315" t="str">
        <f>IF(ISBLANK(tabItens[[#This Row],[CÓDIGO]]),"",IFERROR(VLOOKUP(tabItens[[#This Row],[CÓDIGO]],Consumo!$C$2:$AC$869,26,FALSE),0))</f>
        <v>07.2023</v>
      </c>
      <c r="AS439" s="316">
        <f>SUMIF(Consumo!$C$3:$C$869,tabItens[[#This Row],[CÓDIGO]],Consumo!$N$3:$N$869) + SUMIF(Consumo!$C$3:$C$869,tabItens[[#This Row],[CÓDIGO]],Consumo!$O$3:$O$869) + SUMIF(Consumo!$C$3:$C$869,tabItens[[#This Row],[CÓDIGO]],Consumo!$P$3:$P$869) + SUMIF(Consumo!$C$3:$C$869,tabItens[[#This Row],[CÓDIGO]],Consumo!$Q$3:$Q$869)</f>
        <v>59</v>
      </c>
      <c r="AT439" s="316">
        <f>SUMIF(Consumo!$C$3:$C$869,tabItens[[#This Row],[CÓDIGO]],Consumo!$Z$3:$Z$869)</f>
        <v>271</v>
      </c>
      <c r="AU439" s="317">
        <f>SUMIF(Consumo!$C$3:$C$869,tabItens[[#This Row],[CÓDIGO]],Consumo!$AA$3:$AA$869)</f>
        <v>57</v>
      </c>
      <c r="AV439" s="318">
        <f>SUMIF(Consumo!$C$3:$C$869,tabItens[[#This Row],[CÓDIGO]],Consumo!$Y$3:$Y$869)</f>
        <v>22.416666666666668</v>
      </c>
      <c r="AW439" s="401">
        <f>tabItens[[#This Row],[QTDE ATUAL]] + tabItens[[#This Row],[RC QTDE]] + tabItens[[#This Row],[AF SALDO]] + tabItens[[#This Row],[Recentes]]</f>
        <v>200</v>
      </c>
      <c r="AX439" s="420">
        <v>21</v>
      </c>
      <c r="AY439" s="420">
        <v>4</v>
      </c>
      <c r="AZ439" s="420">
        <f>IF(ISBLANK(tabItens[[#This Row],[CÓDIGO]]),"",tabItens[[#This Row],[PontoMês]] * (AZ$2+tabItens[[#This Row],[PontoQtM]]))</f>
        <v>84</v>
      </c>
      <c r="BA439" s="421">
        <f>tabItens[[#This Row],[PontoPed]] - tabItens[[#This Row],[Saldo]] + (1/10)</f>
        <v>-115.9</v>
      </c>
      <c r="BB439" s="421">
        <f xml:space="preserve"> tabItens[[#This Row],[PontoMês]] * BB$2 - tabItens[[#This Row],[QTDE ATUAL]] - (1/10)</f>
        <v>20.9</v>
      </c>
      <c r="BC439" s="320">
        <f>IF( tabItens[[#This Row],[PontoPed]]&gt;0, IF(tabItens[[#This Row],[PontoPed]]&lt;1, 1, IF( tabItens[[#This Row],[Saldo]]&gt;tabItens[[#This Row],[PontoPed]], 0, (tabItens[[#This Row],[PontoPed]]-tabItens[[#This Row],[Saldo]])/tabItens[[#This Row],[PontoPed]] ) ), 0 )</f>
        <v>0</v>
      </c>
      <c r="BD439" s="422">
        <f>ROUNDDOWN(IF( OR( AND(tabItens[[#This Row],[PontoPed]]&lt;tabItens[[#This Row],[Saldo]],tabItens[[#This Row],[Saldo]]&gt;0), tabItens[[#This Row],[PontoPed]]=0), 99, IF(AND(tabItens[[#This Row],[Saldo]]=0,tabItens[[#This Row],[PontoPed]]&gt;0), 0, (1-tabItens[[#This Row],[PctAb]])*10 ) ),0)</f>
        <v>99</v>
      </c>
      <c r="BE439" s="423">
        <f>MAX(ROUNDDOWN( IF(tabItens[[#This Row],[Abaixo]] &gt; 0,   tabItens[[#This Row],[Abaixo]] + (tabItens[[#This Row],[PontoMês]] * IF( OR( ISBLANK(tabItens[[#This Row],[ATA Nº/ANO]]), tabItens[[#This Row],[ATA Nº/ANO]] = ""),BE$2,BE$1)),0),0),0)</f>
        <v>0</v>
      </c>
      <c r="BF43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23">
        <f>SUMIF(Consumo!$C$3:$C$869,tabItens[[#This Row],[CÓDIGO]],Consumo!$E$3:$E$869)</f>
        <v>19</v>
      </c>
      <c r="BH439" s="324">
        <f>IF(AND(tabItens[[#This Row],[Pend]] &gt; 0,tabItens[[#This Row],[Consumo]] &lt;&gt; 0), tabItens[[#This Row],[Pend]] / tabItens[[#This Row],[Consumo]], 0 )</f>
        <v>7.0110701107011064E-2</v>
      </c>
      <c r="BI439" s="323"/>
      <c r="BJ439" s="424"/>
      <c r="BK439" s="425" t="s">
        <v>2064</v>
      </c>
    </row>
    <row r="440" spans="1:63" hidden="1" x14ac:dyDescent="0.3">
      <c r="A440" s="286">
        <v>14831</v>
      </c>
      <c r="B440" s="287" t="s">
        <v>1072</v>
      </c>
      <c r="C440" s="288" t="s">
        <v>256</v>
      </c>
      <c r="D440" s="289">
        <v>1.69</v>
      </c>
      <c r="E440" s="290"/>
      <c r="F440" s="290"/>
      <c r="G440" s="290" t="s">
        <v>883</v>
      </c>
      <c r="H440" s="291">
        <v>430</v>
      </c>
      <c r="I440" s="292">
        <v>103003</v>
      </c>
      <c r="J440" s="293">
        <v>1.69</v>
      </c>
      <c r="K440" s="294">
        <v>236</v>
      </c>
      <c r="L440" s="295">
        <f>IF(tabItens[[#This Row],[Média]] &gt; 0, tabItens[[#This Row],[QTDE ATUAL]] / tabItens[[#This Row],[Média]],999.9)</f>
        <v>22.532751091703059</v>
      </c>
      <c r="M440" s="296">
        <v>0</v>
      </c>
      <c r="N440" s="297">
        <f>tabItens[[#This Row],[VALOR UNIT.]] * tabItens[[#This Row],[LC]]</f>
        <v>0</v>
      </c>
      <c r="O440" s="298" t="s">
        <v>2097</v>
      </c>
      <c r="P440" s="299"/>
      <c r="Q440" s="300"/>
      <c r="R440" s="297"/>
      <c r="S440" s="301"/>
      <c r="T440" s="302">
        <f>ROUNDDOWN(IFERROR(tabItens[[#This Row],[ATA DT.VALID.]] - $D$1,0) / 30,0)</f>
        <v>-1504</v>
      </c>
      <c r="U440" s="287" t="s">
        <v>1073</v>
      </c>
      <c r="V440" s="303">
        <v>1</v>
      </c>
      <c r="W440" s="304" t="s">
        <v>2055</v>
      </c>
      <c r="X440" s="305">
        <v>55</v>
      </c>
      <c r="Y440" s="306">
        <v>27</v>
      </c>
      <c r="Z440" s="307"/>
      <c r="AA440" s="308"/>
      <c r="AB440" s="309"/>
      <c r="AC440" s="309"/>
      <c r="AD440" s="308"/>
      <c r="AE440" s="309"/>
      <c r="AF440" s="302"/>
      <c r="AG440" s="310" t="s">
        <v>2050</v>
      </c>
      <c r="AH440" s="311"/>
      <c r="AI440" s="302">
        <v>86</v>
      </c>
      <c r="AJ440" s="311">
        <v>44544</v>
      </c>
      <c r="AK440" s="311" t="s">
        <v>883</v>
      </c>
      <c r="AL440" s="311">
        <v>44470</v>
      </c>
      <c r="AM440" s="301"/>
      <c r="AN440" s="290"/>
      <c r="AO440" s="312" t="str">
        <f>_xlfn.IFNA(IF(VLOOKUP(tabItens[[#This Row],[CÓDIGO]],tabExcluirDoEstoque[#Data],1,FALSE),"sim",""),"")</f>
        <v/>
      </c>
      <c r="AP440" s="313" t="str">
        <f ca="1">IF(OR(ISBLANK(tabItens[[#This Row],[ATA DT.VALID.]]),tabItens[[#This Row],[ATA DT.VALID.]]="",tabItens[[#This Row],[ATA DT.VALID.]]=" "),"",IF(TYPE(tabItens[[#This Row],[ATA DT.VALID.]])=1,ROUNDUP((tabItens[[#This Row],[ATA DT.VALID.]]-TODAY())/7,0),""))</f>
        <v/>
      </c>
      <c r="AQ440" s="314">
        <v>0</v>
      </c>
      <c r="AR440" s="315" t="str">
        <f>IF(ISBLANK(tabItens[[#This Row],[CÓDIGO]]),"",IFERROR(VLOOKUP(tabItens[[#This Row],[CÓDIGO]],Consumo!$C$2:$AC$869,26,FALSE),0))</f>
        <v>06.2023</v>
      </c>
      <c r="AS440" s="316">
        <f>SUMIF(Consumo!$C$3:$C$869,tabItens[[#This Row],[CÓDIGO]],Consumo!$N$3:$N$869) + SUMIF(Consumo!$C$3:$C$869,tabItens[[#This Row],[CÓDIGO]],Consumo!$O$3:$O$869) + SUMIF(Consumo!$C$3:$C$869,tabItens[[#This Row],[CÓDIGO]],Consumo!$P$3:$P$869) + SUMIF(Consumo!$C$3:$C$869,tabItens[[#This Row],[CÓDIGO]],Consumo!$Q$3:$Q$869)</f>
        <v>55</v>
      </c>
      <c r="AT440" s="316">
        <f>SUMIF(Consumo!$C$3:$C$869,tabItens[[#This Row],[CÓDIGO]],Consumo!$Z$3:$Z$869)</f>
        <v>256</v>
      </c>
      <c r="AU440" s="317">
        <f>SUMIF(Consumo!$C$3:$C$869,tabItens[[#This Row],[CÓDIGO]],Consumo!$AA$3:$AA$869)</f>
        <v>109</v>
      </c>
      <c r="AV440" s="318">
        <f>SUMIF(Consumo!$C$3:$C$869,tabItens[[#This Row],[CÓDIGO]],Consumo!$Y$3:$Y$869)</f>
        <v>19.083333333333332</v>
      </c>
      <c r="AW440" s="291">
        <f>tabItens[[#This Row],[QTDE ATUAL]] + tabItens[[#This Row],[RC QTDE]] + tabItens[[#This Row],[AF SALDO]] + tabItens[[#This Row],[Recentes]]</f>
        <v>430</v>
      </c>
      <c r="AX440" s="319">
        <v>50</v>
      </c>
      <c r="AY440" s="319">
        <v>4</v>
      </c>
      <c r="AZ440" s="319">
        <f>IF(ISBLANK(tabItens[[#This Row],[CÓDIGO]]),"",tabItens[[#This Row],[PontoMês]] * (AZ$2+tabItens[[#This Row],[PontoQtM]]))</f>
        <v>200</v>
      </c>
      <c r="BA440" s="318">
        <f>tabItens[[#This Row],[PontoPed]] - tabItens[[#This Row],[Saldo]] + (1/10)</f>
        <v>-229.9</v>
      </c>
      <c r="BB440" s="318">
        <f xml:space="preserve"> tabItens[[#This Row],[PontoMês]] * BB$2 - tabItens[[#This Row],[QTDE ATUAL]] - (1/10)</f>
        <v>-380.1</v>
      </c>
      <c r="BC440" s="320">
        <f>IF( tabItens[[#This Row],[PontoPed]]&gt;0, IF(tabItens[[#This Row],[PontoPed]]&lt;1, 1, IF( tabItens[[#This Row],[Saldo]]&gt;tabItens[[#This Row],[PontoPed]], 0, (tabItens[[#This Row],[PontoPed]]-tabItens[[#This Row],[Saldo]])/tabItens[[#This Row],[PontoPed]] ) ), 0 )</f>
        <v>0</v>
      </c>
      <c r="BD440" s="321">
        <f>ROUNDDOWN(IF( OR( AND(tabItens[[#This Row],[PontoPed]]&lt;tabItens[[#This Row],[Saldo]],tabItens[[#This Row],[Saldo]]&gt;0), tabItens[[#This Row],[PontoPed]]=0), 99, IF(AND(tabItens[[#This Row],[Saldo]]=0,tabItens[[#This Row],[PontoPed]]&gt;0), 0, (1-tabItens[[#This Row],[PctAb]])*10 ) ),0)</f>
        <v>99</v>
      </c>
      <c r="BE440" s="322">
        <f>MAX(ROUNDDOWN( IF(tabItens[[#This Row],[Abaixo]] &gt; 0,   tabItens[[#This Row],[Abaixo]] + (tabItens[[#This Row],[PontoMês]] * IF( OR( ISBLANK(tabItens[[#This Row],[ATA Nº/ANO]]), tabItens[[#This Row],[ATA Nº/ANO]] = ""),BE$2,BE$1)),0),0),0)</f>
        <v>0</v>
      </c>
      <c r="BF44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23">
        <f>SUMIF(Consumo!$C$3:$C$869,tabItens[[#This Row],[CÓDIGO]],Consumo!$E$3:$E$869)</f>
        <v>0</v>
      </c>
      <c r="BH440" s="324">
        <f>IF(AND(tabItens[[#This Row],[Pend]] &gt; 0,tabItens[[#This Row],[Consumo]] &lt;&gt; 0), tabItens[[#This Row],[Pend]] / tabItens[[#This Row],[Consumo]], 0 )</f>
        <v>0</v>
      </c>
      <c r="BI440" s="323"/>
      <c r="BJ440" s="323"/>
      <c r="BK440" s="325" t="s">
        <v>2064</v>
      </c>
    </row>
    <row r="441" spans="1:63" hidden="1" x14ac:dyDescent="0.3">
      <c r="A441" s="286">
        <v>112154</v>
      </c>
      <c r="B441" s="287" t="s">
        <v>1676</v>
      </c>
      <c r="C441" s="288" t="s">
        <v>31</v>
      </c>
      <c r="D441" s="289">
        <v>6</v>
      </c>
      <c r="E441" s="290"/>
      <c r="F441" s="290"/>
      <c r="G441" s="290" t="s">
        <v>883</v>
      </c>
      <c r="H441" s="291">
        <v>68</v>
      </c>
      <c r="I441" s="292">
        <v>103003</v>
      </c>
      <c r="J441" s="293">
        <v>6</v>
      </c>
      <c r="K441" s="294">
        <v>437</v>
      </c>
      <c r="L441" s="295">
        <f>IF(tabItens[[#This Row],[Média]] &gt; 0, tabItens[[#This Row],[QTDE ATUAL]] / tabItens[[#This Row],[Média]],999.9)</f>
        <v>1.6254980079681274</v>
      </c>
      <c r="M441" s="296">
        <v>0</v>
      </c>
      <c r="N441" s="297">
        <f>tabItens[[#This Row],[VALOR UNIT.]] * tabItens[[#This Row],[LC]]</f>
        <v>0</v>
      </c>
      <c r="O441" s="298" t="s">
        <v>2097</v>
      </c>
      <c r="P441" s="299"/>
      <c r="Q441" s="300"/>
      <c r="R441" s="297"/>
      <c r="S441" s="301"/>
      <c r="T441" s="302">
        <f>ROUNDDOWN(IFERROR(tabItens[[#This Row],[ATA DT.VALID.]] - $D$1,0) / 30,0)</f>
        <v>-1504</v>
      </c>
      <c r="U441" s="287" t="s">
        <v>1677</v>
      </c>
      <c r="V441" s="303">
        <v>1</v>
      </c>
      <c r="W441" s="304" t="s">
        <v>2055</v>
      </c>
      <c r="X441" s="305">
        <v>55</v>
      </c>
      <c r="Y441" s="306">
        <v>37</v>
      </c>
      <c r="Z441" s="307">
        <v>2448</v>
      </c>
      <c r="AA441" s="308">
        <v>2023</v>
      </c>
      <c r="AB441" s="309">
        <v>600</v>
      </c>
      <c r="AC441" s="309"/>
      <c r="AD441" s="308"/>
      <c r="AE441" s="309"/>
      <c r="AF441" s="302"/>
      <c r="AG441" s="310" t="s">
        <v>2050</v>
      </c>
      <c r="AH441" s="311"/>
      <c r="AI441" s="302">
        <v>168</v>
      </c>
      <c r="AJ441" s="311">
        <v>44544</v>
      </c>
      <c r="AK441" s="311">
        <v>40045</v>
      </c>
      <c r="AL441" s="311">
        <v>45077</v>
      </c>
      <c r="AM441" s="301"/>
      <c r="AN441" s="290"/>
      <c r="AO441" s="312" t="str">
        <f>_xlfn.IFNA(IF(VLOOKUP(tabItens[[#This Row],[CÓDIGO]],tabExcluirDoEstoque[#Data],1,FALSE),"sim",""),"")</f>
        <v/>
      </c>
      <c r="AP441" s="313" t="str">
        <f ca="1">IF(OR(ISBLANK(tabItens[[#This Row],[ATA DT.VALID.]]),tabItens[[#This Row],[ATA DT.VALID.]]="",tabItens[[#This Row],[ATA DT.VALID.]]=" "),"",IF(TYPE(tabItens[[#This Row],[ATA DT.VALID.]])=1,ROUNDUP((tabItens[[#This Row],[ATA DT.VALID.]]-TODAY())/7,0),""))</f>
        <v/>
      </c>
      <c r="AQ441" s="314">
        <v>0</v>
      </c>
      <c r="AR441" s="315" t="str">
        <f>IF(ISBLANK(tabItens[[#This Row],[CÓDIGO]]),"",IFERROR(VLOOKUP(tabItens[[#This Row],[CÓDIGO]],Consumo!$C$2:$AC$869,26,FALSE),0))</f>
        <v>04.2023</v>
      </c>
      <c r="AS441" s="316">
        <f>SUMIF(Consumo!$C$3:$C$869,tabItens[[#This Row],[CÓDIGO]],Consumo!$N$3:$N$869) + SUMIF(Consumo!$C$3:$C$869,tabItens[[#This Row],[CÓDIGO]],Consumo!$O$3:$O$869) + SUMIF(Consumo!$C$3:$C$869,tabItens[[#This Row],[CÓDIGO]],Consumo!$P$3:$P$869) + SUMIF(Consumo!$C$3:$C$869,tabItens[[#This Row],[CÓDIGO]],Consumo!$Q$3:$Q$869)</f>
        <v>114</v>
      </c>
      <c r="AT441" s="316">
        <f>SUMIF(Consumo!$C$3:$C$869,tabItens[[#This Row],[CÓDIGO]],Consumo!$Z$3:$Z$869)</f>
        <v>502</v>
      </c>
      <c r="AU441" s="317">
        <f>SUMIF(Consumo!$C$3:$C$869,tabItens[[#This Row],[CÓDIGO]],Consumo!$AA$3:$AA$869)</f>
        <v>123</v>
      </c>
      <c r="AV441" s="318">
        <f>SUMIF(Consumo!$C$3:$C$869,tabItens[[#This Row],[CÓDIGO]],Consumo!$Y$3:$Y$869)</f>
        <v>41.833333333333336</v>
      </c>
      <c r="AW441" s="291">
        <f>tabItens[[#This Row],[QTDE ATUAL]] + tabItens[[#This Row],[RC QTDE]] + tabItens[[#This Row],[AF SALDO]] + tabItens[[#This Row],[Recentes]]</f>
        <v>668</v>
      </c>
      <c r="AX441" s="319">
        <v>35</v>
      </c>
      <c r="AY441" s="319">
        <v>4</v>
      </c>
      <c r="AZ441" s="319">
        <f>IF(ISBLANK(tabItens[[#This Row],[CÓDIGO]]),"",tabItens[[#This Row],[PontoMês]] * (AZ$2+tabItens[[#This Row],[PontoQtM]]))</f>
        <v>140</v>
      </c>
      <c r="BA441" s="318">
        <f>tabItens[[#This Row],[PontoPed]] - tabItens[[#This Row],[Saldo]] + (1/10)</f>
        <v>-527.9</v>
      </c>
      <c r="BB441" s="318">
        <f xml:space="preserve"> tabItens[[#This Row],[PontoMês]] * BB$2 - tabItens[[#This Row],[QTDE ATUAL]] - (1/10)</f>
        <v>-33.1</v>
      </c>
      <c r="BC441" s="320">
        <f>IF( tabItens[[#This Row],[PontoPed]]&gt;0, IF(tabItens[[#This Row],[PontoPed]]&lt;1, 1, IF( tabItens[[#This Row],[Saldo]]&gt;tabItens[[#This Row],[PontoPed]], 0, (tabItens[[#This Row],[PontoPed]]-tabItens[[#This Row],[Saldo]])/tabItens[[#This Row],[PontoPed]] ) ), 0 )</f>
        <v>0</v>
      </c>
      <c r="BD441" s="321">
        <f>ROUNDDOWN(IF( OR( AND(tabItens[[#This Row],[PontoPed]]&lt;tabItens[[#This Row],[Saldo]],tabItens[[#This Row],[Saldo]]&gt;0), tabItens[[#This Row],[PontoPed]]=0), 99, IF(AND(tabItens[[#This Row],[Saldo]]=0,tabItens[[#This Row],[PontoPed]]&gt;0), 0, (1-tabItens[[#This Row],[PctAb]])*10 ) ),0)</f>
        <v>99</v>
      </c>
      <c r="BE441" s="322">
        <f>MAX(ROUNDDOWN( IF(tabItens[[#This Row],[Abaixo]] &gt; 0,   tabItens[[#This Row],[Abaixo]] + (tabItens[[#This Row],[PontoMês]] * IF( OR( ISBLANK(tabItens[[#This Row],[ATA Nº/ANO]]), tabItens[[#This Row],[ATA Nº/ANO]] = ""),BE$2,BE$1)),0),0),0)</f>
        <v>0</v>
      </c>
      <c r="BF44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23">
        <f>SUMIF(Consumo!$C$3:$C$869,tabItens[[#This Row],[CÓDIGO]],Consumo!$E$3:$E$869)</f>
        <v>0</v>
      </c>
      <c r="BH441" s="324">
        <f>IF(AND(tabItens[[#This Row],[Pend]] &gt; 0,tabItens[[#This Row],[Consumo]] &lt;&gt; 0), tabItens[[#This Row],[Pend]] / tabItens[[#This Row],[Consumo]], 0 )</f>
        <v>0</v>
      </c>
      <c r="BI441" s="323"/>
      <c r="BJ441" s="323"/>
      <c r="BK441" s="325" t="s">
        <v>2064</v>
      </c>
    </row>
    <row r="442" spans="1:63" hidden="1" x14ac:dyDescent="0.3">
      <c r="A442" s="286">
        <v>112155</v>
      </c>
      <c r="B442" s="287" t="s">
        <v>1678</v>
      </c>
      <c r="C442" s="288" t="s">
        <v>31</v>
      </c>
      <c r="D442" s="289">
        <v>10.5</v>
      </c>
      <c r="E442" s="290"/>
      <c r="F442" s="290"/>
      <c r="G442" s="290" t="s">
        <v>883</v>
      </c>
      <c r="H442" s="291">
        <v>22</v>
      </c>
      <c r="I442" s="292">
        <v>103003</v>
      </c>
      <c r="J442" s="293">
        <v>10.5</v>
      </c>
      <c r="K442" s="294">
        <v>238</v>
      </c>
      <c r="L442" s="295">
        <f>IF(tabItens[[#This Row],[Média]] &gt; 0, tabItens[[#This Row],[QTDE ATUAL]] / tabItens[[#This Row],[Média]],999.9)</f>
        <v>1.2000000000000002</v>
      </c>
      <c r="M442" s="296"/>
      <c r="N442" s="297">
        <f>tabItens[[#This Row],[VALOR UNIT.]] * tabItens[[#This Row],[LC]]</f>
        <v>0</v>
      </c>
      <c r="O442" s="298" t="s">
        <v>2097</v>
      </c>
      <c r="P442" s="299"/>
      <c r="Q442" s="300"/>
      <c r="R442" s="297"/>
      <c r="S442" s="301"/>
      <c r="T442" s="302">
        <f>ROUNDDOWN(IFERROR(tabItens[[#This Row],[ATA DT.VALID.]] - $D$1,0) / 30,0)</f>
        <v>-1504</v>
      </c>
      <c r="U442" s="287" t="s">
        <v>1677</v>
      </c>
      <c r="V442" s="303">
        <v>1</v>
      </c>
      <c r="W442" s="304" t="s">
        <v>2055</v>
      </c>
      <c r="X442" s="305">
        <v>55</v>
      </c>
      <c r="Y442" s="306">
        <v>37</v>
      </c>
      <c r="Z442" s="307">
        <v>9003</v>
      </c>
      <c r="AA442" s="308">
        <v>2023</v>
      </c>
      <c r="AB442" s="309">
        <v>100</v>
      </c>
      <c r="AC442" s="309"/>
      <c r="AD442" s="308"/>
      <c r="AE442" s="309"/>
      <c r="AF442" s="302"/>
      <c r="AG442" s="310" t="s">
        <v>2050</v>
      </c>
      <c r="AH442" s="311"/>
      <c r="AI442" s="302">
        <v>82</v>
      </c>
      <c r="AJ442" s="311">
        <v>44951</v>
      </c>
      <c r="AK442" s="311">
        <v>40045</v>
      </c>
      <c r="AL442" s="311">
        <v>45077</v>
      </c>
      <c r="AM442" s="301"/>
      <c r="AN442" s="290"/>
      <c r="AO442" s="312" t="str">
        <f>_xlfn.IFNA(IF(VLOOKUP(tabItens[[#This Row],[CÓDIGO]],tabExcluirDoEstoque[#Data],1,FALSE),"sim",""),"")</f>
        <v/>
      </c>
      <c r="AP442" s="313" t="str">
        <f ca="1">IF(OR(ISBLANK(tabItens[[#This Row],[ATA DT.VALID.]]),tabItens[[#This Row],[ATA DT.VALID.]]="",tabItens[[#This Row],[ATA DT.VALID.]]=" "),"",IF(TYPE(tabItens[[#This Row],[ATA DT.VALID.]])=1,ROUNDUP((tabItens[[#This Row],[ATA DT.VALID.]]-TODAY())/7,0),""))</f>
        <v/>
      </c>
      <c r="AQ442" s="314">
        <v>0</v>
      </c>
      <c r="AR442" s="315" t="str">
        <f>IF(ISBLANK(tabItens[[#This Row],[CÓDIGO]]),"",IFERROR(VLOOKUP(tabItens[[#This Row],[CÓDIGO]],Consumo!$C$2:$AC$869,26,FALSE),0))</f>
        <v>06.2023</v>
      </c>
      <c r="AS442" s="316">
        <f>SUMIF(Consumo!$C$3:$C$869,tabItens[[#This Row],[CÓDIGO]],Consumo!$N$3:$N$869) + SUMIF(Consumo!$C$3:$C$869,tabItens[[#This Row],[CÓDIGO]],Consumo!$O$3:$O$869) + SUMIF(Consumo!$C$3:$C$869,tabItens[[#This Row],[CÓDIGO]],Consumo!$P$3:$P$869) + SUMIF(Consumo!$C$3:$C$869,tabItens[[#This Row],[CÓDIGO]],Consumo!$Q$3:$Q$869)</f>
        <v>162</v>
      </c>
      <c r="AT442" s="316">
        <f>SUMIF(Consumo!$C$3:$C$869,tabItens[[#This Row],[CÓDIGO]],Consumo!$Z$3:$Z$869)</f>
        <v>238</v>
      </c>
      <c r="AU442" s="317">
        <f>SUMIF(Consumo!$C$3:$C$869,tabItens[[#This Row],[CÓDIGO]],Consumo!$AA$3:$AA$869)</f>
        <v>100</v>
      </c>
      <c r="AV442" s="318">
        <f>SUMIF(Consumo!$C$3:$C$869,tabItens[[#This Row],[CÓDIGO]],Consumo!$Y$3:$Y$869)</f>
        <v>18.333333333333332</v>
      </c>
      <c r="AW442" s="291">
        <f>tabItens[[#This Row],[QTDE ATUAL]] + tabItens[[#This Row],[RC QTDE]] + tabItens[[#This Row],[AF SALDO]] + tabItens[[#This Row],[Recentes]]</f>
        <v>122</v>
      </c>
      <c r="AX442" s="319">
        <v>17</v>
      </c>
      <c r="AY442" s="319">
        <v>4</v>
      </c>
      <c r="AZ442" s="319">
        <f>IF(ISBLANK(tabItens[[#This Row],[CÓDIGO]]),"",tabItens[[#This Row],[PontoMês]] * (AZ$2+tabItens[[#This Row],[PontoQtM]]))</f>
        <v>68</v>
      </c>
      <c r="BA442" s="318">
        <f>tabItens[[#This Row],[PontoPed]] - tabItens[[#This Row],[Saldo]] + (1/10)</f>
        <v>-53.9</v>
      </c>
      <c r="BB442" s="318">
        <f xml:space="preserve"> tabItens[[#This Row],[PontoMês]] * BB$2 - tabItens[[#This Row],[QTDE ATUAL]] - (1/10)</f>
        <v>-5.0999999999999996</v>
      </c>
      <c r="BC442" s="320">
        <f>IF( tabItens[[#This Row],[PontoPed]]&gt;0, IF(tabItens[[#This Row],[PontoPed]]&lt;1, 1, IF( tabItens[[#This Row],[Saldo]]&gt;tabItens[[#This Row],[PontoPed]], 0, (tabItens[[#This Row],[PontoPed]]-tabItens[[#This Row],[Saldo]])/tabItens[[#This Row],[PontoPed]] ) ), 0 )</f>
        <v>0</v>
      </c>
      <c r="BD442" s="321">
        <f>ROUNDDOWN(IF( OR( AND(tabItens[[#This Row],[PontoPed]]&lt;tabItens[[#This Row],[Saldo]],tabItens[[#This Row],[Saldo]]&gt;0), tabItens[[#This Row],[PontoPed]]=0), 99, IF(AND(tabItens[[#This Row],[Saldo]]=0,tabItens[[#This Row],[PontoPed]]&gt;0), 0, (1-tabItens[[#This Row],[PctAb]])*10 ) ),0)</f>
        <v>99</v>
      </c>
      <c r="BE442" s="322">
        <f>MAX(ROUNDDOWN( IF(tabItens[[#This Row],[Abaixo]] &gt; 0,   tabItens[[#This Row],[Abaixo]] + (tabItens[[#This Row],[PontoMês]] * IF( OR( ISBLANK(tabItens[[#This Row],[ATA Nº/ANO]]), tabItens[[#This Row],[ATA Nº/ANO]] = ""),BE$2,BE$1)),0),0),0)</f>
        <v>0</v>
      </c>
      <c r="BF44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23">
        <f>SUMIF(Consumo!$C$3:$C$869,tabItens[[#This Row],[CÓDIGO]],Consumo!$E$3:$E$869)</f>
        <v>0</v>
      </c>
      <c r="BH442" s="324">
        <f>IF(AND(tabItens[[#This Row],[Pend]] &gt; 0,tabItens[[#This Row],[Consumo]] &lt;&gt; 0), tabItens[[#This Row],[Pend]] / tabItens[[#This Row],[Consumo]], 0 )</f>
        <v>0</v>
      </c>
      <c r="BI442" s="323"/>
      <c r="BJ442" s="323"/>
      <c r="BK442" s="325" t="s">
        <v>2064</v>
      </c>
    </row>
    <row r="443" spans="1:63" hidden="1" x14ac:dyDescent="0.3">
      <c r="A443" s="286">
        <v>112156</v>
      </c>
      <c r="B443" s="287" t="s">
        <v>1679</v>
      </c>
      <c r="C443" s="288" t="s">
        <v>31</v>
      </c>
      <c r="D443" s="289">
        <v>3.8</v>
      </c>
      <c r="E443" s="290"/>
      <c r="F443" s="290"/>
      <c r="G443" s="290" t="s">
        <v>883</v>
      </c>
      <c r="H443" s="291">
        <v>143</v>
      </c>
      <c r="I443" s="292">
        <v>103003</v>
      </c>
      <c r="J443" s="293">
        <v>3.8</v>
      </c>
      <c r="K443" s="294">
        <v>520</v>
      </c>
      <c r="L443" s="295">
        <f>IF(tabItens[[#This Row],[Média]] &gt; 0, tabItens[[#This Row],[QTDE ATUAL]] / tabItens[[#This Row],[Média]],999.9)</f>
        <v>3.1428571428571428</v>
      </c>
      <c r="M443" s="296">
        <v>0</v>
      </c>
      <c r="N443" s="297">
        <f>tabItens[[#This Row],[VALOR UNIT.]] * tabItens[[#This Row],[LC]]</f>
        <v>0</v>
      </c>
      <c r="O443" s="298" t="s">
        <v>2097</v>
      </c>
      <c r="P443" s="299"/>
      <c r="Q443" s="300"/>
      <c r="R443" s="297"/>
      <c r="S443" s="301"/>
      <c r="T443" s="302">
        <f>ROUNDDOWN(IFERROR(tabItens[[#This Row],[ATA DT.VALID.]] - $D$1,0) / 30,0)</f>
        <v>-1504</v>
      </c>
      <c r="U443" s="287" t="s">
        <v>1677</v>
      </c>
      <c r="V443" s="303">
        <v>1</v>
      </c>
      <c r="W443" s="304" t="s">
        <v>2055</v>
      </c>
      <c r="X443" s="305">
        <v>55</v>
      </c>
      <c r="Y443" s="306">
        <v>37</v>
      </c>
      <c r="Z443" s="307">
        <v>2649</v>
      </c>
      <c r="AA443" s="308">
        <v>2023</v>
      </c>
      <c r="AB443" s="309">
        <v>200</v>
      </c>
      <c r="AC443" s="309"/>
      <c r="AD443" s="308"/>
      <c r="AE443" s="309"/>
      <c r="AF443" s="302"/>
      <c r="AG443" s="310" t="s">
        <v>2050</v>
      </c>
      <c r="AH443" s="311"/>
      <c r="AI443" s="302">
        <v>210</v>
      </c>
      <c r="AJ443" s="311">
        <v>44855</v>
      </c>
      <c r="AK443" s="311">
        <v>40045</v>
      </c>
      <c r="AL443" s="311">
        <v>44845</v>
      </c>
      <c r="AM443" s="301"/>
      <c r="AN443" s="290"/>
      <c r="AO443" s="312" t="str">
        <f>_xlfn.IFNA(IF(VLOOKUP(tabItens[[#This Row],[CÓDIGO]],tabExcluirDoEstoque[#Data],1,FALSE),"sim",""),"")</f>
        <v/>
      </c>
      <c r="AP443" s="313" t="str">
        <f ca="1">IF(OR(ISBLANK(tabItens[[#This Row],[ATA DT.VALID.]]),tabItens[[#This Row],[ATA DT.VALID.]]="",tabItens[[#This Row],[ATA DT.VALID.]]=" "),"",IF(TYPE(tabItens[[#This Row],[ATA DT.VALID.]])=1,ROUNDUP((tabItens[[#This Row],[ATA DT.VALID.]]-TODAY())/7,0),""))</f>
        <v/>
      </c>
      <c r="AQ443" s="314">
        <v>0</v>
      </c>
      <c r="AR443" s="315" t="str">
        <f>IF(ISBLANK(tabItens[[#This Row],[CÓDIGO]]),"",IFERROR(VLOOKUP(tabItens[[#This Row],[CÓDIGO]],Consumo!$C$2:$AC$869,26,FALSE),0))</f>
        <v>07.2023</v>
      </c>
      <c r="AS443" s="316">
        <f>SUMIF(Consumo!$C$3:$C$869,tabItens[[#This Row],[CÓDIGO]],Consumo!$N$3:$N$869) + SUMIF(Consumo!$C$3:$C$869,tabItens[[#This Row],[CÓDIGO]],Consumo!$O$3:$O$869) + SUMIF(Consumo!$C$3:$C$869,tabItens[[#This Row],[CÓDIGO]],Consumo!$P$3:$P$869) + SUMIF(Consumo!$C$3:$C$869,tabItens[[#This Row],[CÓDIGO]],Consumo!$Q$3:$Q$869)</f>
        <v>102</v>
      </c>
      <c r="AT443" s="316">
        <f>SUMIF(Consumo!$C$3:$C$869,tabItens[[#This Row],[CÓDIGO]],Consumo!$Z$3:$Z$869)</f>
        <v>607</v>
      </c>
      <c r="AU443" s="317">
        <f>SUMIF(Consumo!$C$3:$C$869,tabItens[[#This Row],[CÓDIGO]],Consumo!$AA$3:$AA$869)</f>
        <v>245</v>
      </c>
      <c r="AV443" s="318">
        <f>SUMIF(Consumo!$C$3:$C$869,tabItens[[#This Row],[CÓDIGO]],Consumo!$Y$3:$Y$869)</f>
        <v>45.5</v>
      </c>
      <c r="AW443" s="291">
        <f>tabItens[[#This Row],[QTDE ATUAL]] + tabItens[[#This Row],[RC QTDE]] + tabItens[[#This Row],[AF SALDO]] + tabItens[[#This Row],[Recentes]]</f>
        <v>343</v>
      </c>
      <c r="AX443" s="319">
        <v>50</v>
      </c>
      <c r="AY443" s="319">
        <v>4</v>
      </c>
      <c r="AZ443" s="319">
        <f>IF(ISBLANK(tabItens[[#This Row],[CÓDIGO]]),"",tabItens[[#This Row],[PontoMês]] * (AZ$2+tabItens[[#This Row],[PontoQtM]]))</f>
        <v>200</v>
      </c>
      <c r="BA443" s="318">
        <f>tabItens[[#This Row],[PontoPed]] - tabItens[[#This Row],[Saldo]] + (1/10)</f>
        <v>-142.9</v>
      </c>
      <c r="BB443" s="318">
        <f xml:space="preserve"> tabItens[[#This Row],[PontoMês]] * BB$2 - tabItens[[#This Row],[QTDE ATUAL]] - (1/10)</f>
        <v>-93.1</v>
      </c>
      <c r="BC443" s="320">
        <f>IF( tabItens[[#This Row],[PontoPed]]&gt;0, IF(tabItens[[#This Row],[PontoPed]]&lt;1, 1, IF( tabItens[[#This Row],[Saldo]]&gt;tabItens[[#This Row],[PontoPed]], 0, (tabItens[[#This Row],[PontoPed]]-tabItens[[#This Row],[Saldo]])/tabItens[[#This Row],[PontoPed]] ) ), 0 )</f>
        <v>0</v>
      </c>
      <c r="BD443" s="321">
        <f>ROUNDDOWN(IF( OR( AND(tabItens[[#This Row],[PontoPed]]&lt;tabItens[[#This Row],[Saldo]],tabItens[[#This Row],[Saldo]]&gt;0), tabItens[[#This Row],[PontoPed]]=0), 99, IF(AND(tabItens[[#This Row],[Saldo]]=0,tabItens[[#This Row],[PontoPed]]&gt;0), 0, (1-tabItens[[#This Row],[PctAb]])*10 ) ),0)</f>
        <v>99</v>
      </c>
      <c r="BE443" s="322">
        <f>MAX(ROUNDDOWN( IF(tabItens[[#This Row],[Abaixo]] &gt; 0,   tabItens[[#This Row],[Abaixo]] + (tabItens[[#This Row],[PontoMês]] * IF( OR( ISBLANK(tabItens[[#This Row],[ATA Nº/ANO]]), tabItens[[#This Row],[ATA Nº/ANO]] = ""),BE$2,BE$1)),0),0),0)</f>
        <v>0</v>
      </c>
      <c r="BF44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23">
        <f>SUMIF(Consumo!$C$3:$C$869,tabItens[[#This Row],[CÓDIGO]],Consumo!$E$3:$E$869)</f>
        <v>0</v>
      </c>
      <c r="BH443" s="324">
        <f>IF(AND(tabItens[[#This Row],[Pend]] &gt; 0,tabItens[[#This Row],[Consumo]] &lt;&gt; 0), tabItens[[#This Row],[Pend]] / tabItens[[#This Row],[Consumo]], 0 )</f>
        <v>0</v>
      </c>
      <c r="BI443" s="323"/>
      <c r="BJ443" s="323"/>
      <c r="BK443" s="325" t="s">
        <v>2064</v>
      </c>
    </row>
    <row r="444" spans="1:63" hidden="1" x14ac:dyDescent="0.3">
      <c r="A444" s="286">
        <v>112157</v>
      </c>
      <c r="B444" s="287" t="s">
        <v>1680</v>
      </c>
      <c r="C444" s="288" t="s">
        <v>31</v>
      </c>
      <c r="D444" s="289">
        <v>5.69</v>
      </c>
      <c r="E444" s="290"/>
      <c r="F444" s="290"/>
      <c r="G444" s="290" t="s">
        <v>883</v>
      </c>
      <c r="H444" s="291">
        <v>93</v>
      </c>
      <c r="I444" s="292">
        <v>103003</v>
      </c>
      <c r="J444" s="293">
        <v>5.69</v>
      </c>
      <c r="K444" s="294">
        <v>31</v>
      </c>
      <c r="L444" s="295">
        <f>IF(tabItens[[#This Row],[Média]] &gt; 0, tabItens[[#This Row],[QTDE ATUAL]] / tabItens[[#This Row],[Média]],999.9)</f>
        <v>44.639999999999993</v>
      </c>
      <c r="M444" s="296">
        <v>0</v>
      </c>
      <c r="N444" s="297">
        <f>tabItens[[#This Row],[VALOR UNIT.]] * tabItens[[#This Row],[LC]]</f>
        <v>0</v>
      </c>
      <c r="O444" s="298" t="s">
        <v>2097</v>
      </c>
      <c r="P444" s="299"/>
      <c r="Q444" s="300"/>
      <c r="R444" s="297"/>
      <c r="S444" s="301"/>
      <c r="T444" s="302">
        <f>ROUNDDOWN(IFERROR(tabItens[[#This Row],[ATA DT.VALID.]] - $D$1,0) / 30,0)</f>
        <v>-1504</v>
      </c>
      <c r="U444" s="287" t="s">
        <v>1677</v>
      </c>
      <c r="V444" s="303">
        <v>1</v>
      </c>
      <c r="W444" s="304" t="s">
        <v>2055</v>
      </c>
      <c r="X444" s="305">
        <v>55</v>
      </c>
      <c r="Y444" s="306">
        <v>37</v>
      </c>
      <c r="Z444" s="307"/>
      <c r="AA444" s="308"/>
      <c r="AB444" s="309"/>
      <c r="AC444" s="309"/>
      <c r="AD444" s="308"/>
      <c r="AE444" s="309"/>
      <c r="AF444" s="302"/>
      <c r="AG444" s="310" t="s">
        <v>2050</v>
      </c>
      <c r="AH444" s="311"/>
      <c r="AI444" s="302">
        <v>10</v>
      </c>
      <c r="AJ444" s="311">
        <v>44224</v>
      </c>
      <c r="AK444" s="311">
        <v>40045</v>
      </c>
      <c r="AL444" s="311">
        <v>44725</v>
      </c>
      <c r="AM444" s="301"/>
      <c r="AN444" s="290"/>
      <c r="AO444" s="312" t="str">
        <f>_xlfn.IFNA(IF(VLOOKUP(tabItens[[#This Row],[CÓDIGO]],tabExcluirDoEstoque[#Data],1,FALSE),"sim",""),"")</f>
        <v/>
      </c>
      <c r="AP444" s="313" t="str">
        <f ca="1">IF(OR(ISBLANK(tabItens[[#This Row],[ATA DT.VALID.]]),tabItens[[#This Row],[ATA DT.VALID.]]="",tabItens[[#This Row],[ATA DT.VALID.]]=" "),"",IF(TYPE(tabItens[[#This Row],[ATA DT.VALID.]])=1,ROUNDUP((tabItens[[#This Row],[ATA DT.VALID.]]-TODAY())/7,0),""))</f>
        <v/>
      </c>
      <c r="AQ444" s="314">
        <v>0</v>
      </c>
      <c r="AR444" s="315" t="str">
        <f>IF(ISBLANK(tabItens[[#This Row],[CÓDIGO]]),"",IFERROR(VLOOKUP(tabItens[[#This Row],[CÓDIGO]],Consumo!$C$2:$AC$869,26,FALSE),0))</f>
        <v>06.2023</v>
      </c>
      <c r="AS444" s="316">
        <f>SUMIF(Consumo!$C$3:$C$869,tabItens[[#This Row],[CÓDIGO]],Consumo!$N$3:$N$869) + SUMIF(Consumo!$C$3:$C$869,tabItens[[#This Row],[CÓDIGO]],Consumo!$O$3:$O$869) + SUMIF(Consumo!$C$3:$C$869,tabItens[[#This Row],[CÓDIGO]],Consumo!$P$3:$P$869) + SUMIF(Consumo!$C$3:$C$869,tabItens[[#This Row],[CÓDIGO]],Consumo!$Q$3:$Q$869)</f>
        <v>22</v>
      </c>
      <c r="AT444" s="316">
        <f>SUMIF(Consumo!$C$3:$C$869,tabItens[[#This Row],[CÓDIGO]],Consumo!$Z$3:$Z$869)</f>
        <v>31</v>
      </c>
      <c r="AU444" s="317">
        <f>SUMIF(Consumo!$C$3:$C$869,tabItens[[#This Row],[CÓDIGO]],Consumo!$AA$3:$AA$869)</f>
        <v>20</v>
      </c>
      <c r="AV444" s="318">
        <f>SUMIF(Consumo!$C$3:$C$869,tabItens[[#This Row],[CÓDIGO]],Consumo!$Y$3:$Y$869)</f>
        <v>2.0833333333333335</v>
      </c>
      <c r="AW444" s="291">
        <f>tabItens[[#This Row],[QTDE ATUAL]] + tabItens[[#This Row],[RC QTDE]] + tabItens[[#This Row],[AF SALDO]] + tabItens[[#This Row],[Recentes]]</f>
        <v>93</v>
      </c>
      <c r="AX444" s="319">
        <v>12</v>
      </c>
      <c r="AY444" s="319">
        <v>4</v>
      </c>
      <c r="AZ444" s="319">
        <f>IF(ISBLANK(tabItens[[#This Row],[CÓDIGO]]),"",tabItens[[#This Row],[PontoMês]] * (AZ$2+tabItens[[#This Row],[PontoQtM]]))</f>
        <v>48</v>
      </c>
      <c r="BA444" s="318">
        <f>tabItens[[#This Row],[PontoPed]] - tabItens[[#This Row],[Saldo]] + (1/10)</f>
        <v>-44.9</v>
      </c>
      <c r="BB444" s="318">
        <f xml:space="preserve"> tabItens[[#This Row],[PontoMês]] * BB$2 - tabItens[[#This Row],[QTDE ATUAL]] - (1/10)</f>
        <v>-81.099999999999994</v>
      </c>
      <c r="BC444" s="320">
        <f>IF( tabItens[[#This Row],[PontoPed]]&gt;0, IF(tabItens[[#This Row],[PontoPed]]&lt;1, 1, IF( tabItens[[#This Row],[Saldo]]&gt;tabItens[[#This Row],[PontoPed]], 0, (tabItens[[#This Row],[PontoPed]]-tabItens[[#This Row],[Saldo]])/tabItens[[#This Row],[PontoPed]] ) ), 0 )</f>
        <v>0</v>
      </c>
      <c r="BD444" s="321">
        <f>ROUNDDOWN(IF( OR( AND(tabItens[[#This Row],[PontoPed]]&lt;tabItens[[#This Row],[Saldo]],tabItens[[#This Row],[Saldo]]&gt;0), tabItens[[#This Row],[PontoPed]]=0), 99, IF(AND(tabItens[[#This Row],[Saldo]]=0,tabItens[[#This Row],[PontoPed]]&gt;0), 0, (1-tabItens[[#This Row],[PctAb]])*10 ) ),0)</f>
        <v>99</v>
      </c>
      <c r="BE444" s="322">
        <f>MAX(ROUNDDOWN( IF(tabItens[[#This Row],[Abaixo]] &gt; 0,   tabItens[[#This Row],[Abaixo]] + (tabItens[[#This Row],[PontoMês]] * IF( OR( ISBLANK(tabItens[[#This Row],[ATA Nº/ANO]]), tabItens[[#This Row],[ATA Nº/ANO]] = ""),BE$2,BE$1)),0),0),0)</f>
        <v>0</v>
      </c>
      <c r="BF44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23">
        <f>SUMIF(Consumo!$C$3:$C$869,tabItens[[#This Row],[CÓDIGO]],Consumo!$E$3:$E$869)</f>
        <v>0</v>
      </c>
      <c r="BH444" s="324">
        <f>IF(AND(tabItens[[#This Row],[Pend]] &gt; 0,tabItens[[#This Row],[Consumo]] &lt;&gt; 0), tabItens[[#This Row],[Pend]] / tabItens[[#This Row],[Consumo]], 0 )</f>
        <v>0</v>
      </c>
      <c r="BI444" s="323"/>
      <c r="BJ444" s="323"/>
      <c r="BK444" s="325" t="s">
        <v>2064</v>
      </c>
    </row>
    <row r="445" spans="1:63" hidden="1" x14ac:dyDescent="0.3">
      <c r="A445" s="286">
        <v>116874</v>
      </c>
      <c r="B445" s="287" t="s">
        <v>1716</v>
      </c>
      <c r="C445" s="288" t="s">
        <v>31</v>
      </c>
      <c r="D445" s="289">
        <v>5.1428599999999998</v>
      </c>
      <c r="E445" s="290"/>
      <c r="F445" s="290"/>
      <c r="G445" s="290" t="s">
        <v>883</v>
      </c>
      <c r="H445" s="291">
        <v>583</v>
      </c>
      <c r="I445" s="292">
        <v>103003</v>
      </c>
      <c r="J445" s="293">
        <v>5.1428599999999998</v>
      </c>
      <c r="K445" s="294">
        <v>1619</v>
      </c>
      <c r="L445" s="295">
        <f>IF(tabItens[[#This Row],[Média]] &gt; 0, tabItens[[#This Row],[QTDE ATUAL]] / tabItens[[#This Row],[Média]],999.9)</f>
        <v>3.1699139102854557</v>
      </c>
      <c r="M445" s="296">
        <v>0</v>
      </c>
      <c r="N445" s="297">
        <f>tabItens[[#This Row],[VALOR UNIT.]] * tabItens[[#This Row],[LC]]</f>
        <v>0</v>
      </c>
      <c r="O445" s="298" t="s">
        <v>2097</v>
      </c>
      <c r="P445" s="299"/>
      <c r="Q445" s="300"/>
      <c r="R445" s="297"/>
      <c r="S445" s="301"/>
      <c r="T445" s="302">
        <f>ROUNDDOWN(IFERROR(tabItens[[#This Row],[ATA DT.VALID.]] - $D$1,0) / 30,0)</f>
        <v>-1504</v>
      </c>
      <c r="U445" s="287" t="s">
        <v>1677</v>
      </c>
      <c r="V445" s="303">
        <v>1</v>
      </c>
      <c r="W445" s="304" t="s">
        <v>2055</v>
      </c>
      <c r="X445" s="305">
        <v>55</v>
      </c>
      <c r="Y445" s="306">
        <v>37</v>
      </c>
      <c r="Z445" s="307">
        <v>2448</v>
      </c>
      <c r="AA445" s="308">
        <v>2023</v>
      </c>
      <c r="AB445" s="309">
        <v>500</v>
      </c>
      <c r="AC445" s="309"/>
      <c r="AD445" s="308"/>
      <c r="AE445" s="309"/>
      <c r="AF445" s="302"/>
      <c r="AG445" s="310" t="s">
        <v>2050</v>
      </c>
      <c r="AH445" s="311"/>
      <c r="AI445" s="302">
        <v>764</v>
      </c>
      <c r="AJ445" s="311">
        <v>44638</v>
      </c>
      <c r="AK445" s="311">
        <v>40406</v>
      </c>
      <c r="AL445" s="311">
        <v>45077</v>
      </c>
      <c r="AM445" s="301"/>
      <c r="AN445" s="290"/>
      <c r="AO445" s="312" t="str">
        <f>_xlfn.IFNA(IF(VLOOKUP(tabItens[[#This Row],[CÓDIGO]],tabExcluirDoEstoque[#Data],1,FALSE),"sim",""),"")</f>
        <v/>
      </c>
      <c r="AP445" s="313" t="str">
        <f ca="1">IF(OR(ISBLANK(tabItens[[#This Row],[ATA DT.VALID.]]),tabItens[[#This Row],[ATA DT.VALID.]]="",tabItens[[#This Row],[ATA DT.VALID.]]=" "),"",IF(TYPE(tabItens[[#This Row],[ATA DT.VALID.]])=1,ROUNDUP((tabItens[[#This Row],[ATA DT.VALID.]]-TODAY())/7,0),""))</f>
        <v/>
      </c>
      <c r="AQ445" s="314">
        <v>0</v>
      </c>
      <c r="AR445" s="315" t="str">
        <f>IF(ISBLANK(tabItens[[#This Row],[CÓDIGO]]),"",IFERROR(VLOOKUP(tabItens[[#This Row],[CÓDIGO]],Consumo!$C$2:$AC$869,26,FALSE),0))</f>
        <v>07.2023</v>
      </c>
      <c r="AS445" s="316">
        <f>SUMIF(Consumo!$C$3:$C$869,tabItens[[#This Row],[CÓDIGO]],Consumo!$N$3:$N$869) + SUMIF(Consumo!$C$3:$C$869,tabItens[[#This Row],[CÓDIGO]],Consumo!$O$3:$O$869) + SUMIF(Consumo!$C$3:$C$869,tabItens[[#This Row],[CÓDIGO]],Consumo!$P$3:$P$869) + SUMIF(Consumo!$C$3:$C$869,tabItens[[#This Row],[CÓDIGO]],Consumo!$Q$3:$Q$869)</f>
        <v>710</v>
      </c>
      <c r="AT445" s="316">
        <f>SUMIF(Consumo!$C$3:$C$869,tabItens[[#This Row],[CÓDIGO]],Consumo!$Z$3:$Z$869)</f>
        <v>2207</v>
      </c>
      <c r="AU445" s="317">
        <f>SUMIF(Consumo!$C$3:$C$869,tabItens[[#This Row],[CÓDIGO]],Consumo!$AA$3:$AA$869)</f>
        <v>373</v>
      </c>
      <c r="AV445" s="318">
        <f>SUMIF(Consumo!$C$3:$C$869,tabItens[[#This Row],[CÓDIGO]],Consumo!$Y$3:$Y$869)</f>
        <v>183.91666666666666</v>
      </c>
      <c r="AW445" s="291">
        <f>tabItens[[#This Row],[QTDE ATUAL]] + tabItens[[#This Row],[RC QTDE]] + tabItens[[#This Row],[AF SALDO]] + tabItens[[#This Row],[Recentes]]</f>
        <v>1083</v>
      </c>
      <c r="AX445" s="319">
        <v>109</v>
      </c>
      <c r="AY445" s="319">
        <v>4</v>
      </c>
      <c r="AZ445" s="319">
        <f>IF(ISBLANK(tabItens[[#This Row],[CÓDIGO]]),"",tabItens[[#This Row],[PontoMês]] * (AZ$2+tabItens[[#This Row],[PontoQtM]]))</f>
        <v>436</v>
      </c>
      <c r="BA445" s="318">
        <f>tabItens[[#This Row],[PontoPed]] - tabItens[[#This Row],[Saldo]] + (1/10)</f>
        <v>-646.9</v>
      </c>
      <c r="BB445" s="318">
        <f xml:space="preserve"> tabItens[[#This Row],[PontoMês]] * BB$2 - tabItens[[#This Row],[QTDE ATUAL]] - (1/10)</f>
        <v>-474.1</v>
      </c>
      <c r="BC445" s="320">
        <f>IF( tabItens[[#This Row],[PontoPed]]&gt;0, IF(tabItens[[#This Row],[PontoPed]]&lt;1, 1, IF( tabItens[[#This Row],[Saldo]]&gt;tabItens[[#This Row],[PontoPed]], 0, (tabItens[[#This Row],[PontoPed]]-tabItens[[#This Row],[Saldo]])/tabItens[[#This Row],[PontoPed]] ) ), 0 )</f>
        <v>0</v>
      </c>
      <c r="BD445" s="321">
        <f>ROUNDDOWN(IF( OR( AND(tabItens[[#This Row],[PontoPed]]&lt;tabItens[[#This Row],[Saldo]],tabItens[[#This Row],[Saldo]]&gt;0), tabItens[[#This Row],[PontoPed]]=0), 99, IF(AND(tabItens[[#This Row],[Saldo]]=0,tabItens[[#This Row],[PontoPed]]&gt;0), 0, (1-tabItens[[#This Row],[PctAb]])*10 ) ),0)</f>
        <v>99</v>
      </c>
      <c r="BE445" s="322">
        <f>MAX(ROUNDDOWN( IF(tabItens[[#This Row],[Abaixo]] &gt; 0,   tabItens[[#This Row],[Abaixo]] + (tabItens[[#This Row],[PontoMês]] * IF( OR( ISBLANK(tabItens[[#This Row],[ATA Nº/ANO]]), tabItens[[#This Row],[ATA Nº/ANO]] = ""),BE$2,BE$1)),0),0),0)</f>
        <v>0</v>
      </c>
      <c r="BF44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23">
        <f>SUMIF(Consumo!$C$3:$C$869,tabItens[[#This Row],[CÓDIGO]],Consumo!$E$3:$E$869)</f>
        <v>0</v>
      </c>
      <c r="BH445" s="324">
        <f>IF(AND(tabItens[[#This Row],[Pend]] &gt; 0,tabItens[[#This Row],[Consumo]] &lt;&gt; 0), tabItens[[#This Row],[Pend]] / tabItens[[#This Row],[Consumo]], 0 )</f>
        <v>0</v>
      </c>
      <c r="BI445" s="323"/>
      <c r="BJ445" s="323"/>
      <c r="BK445" s="325" t="s">
        <v>2064</v>
      </c>
    </row>
    <row r="446" spans="1:63" hidden="1" x14ac:dyDescent="0.3">
      <c r="A446" s="286">
        <v>119181</v>
      </c>
      <c r="B446" s="287" t="s">
        <v>1726</v>
      </c>
      <c r="C446" s="288" t="s">
        <v>31</v>
      </c>
      <c r="D446" s="289">
        <v>2.68</v>
      </c>
      <c r="E446" s="290"/>
      <c r="F446" s="290"/>
      <c r="G446" s="290" t="s">
        <v>883</v>
      </c>
      <c r="H446" s="291">
        <v>680</v>
      </c>
      <c r="I446" s="292">
        <v>103003</v>
      </c>
      <c r="J446" s="293">
        <v>2.68</v>
      </c>
      <c r="K446" s="294">
        <v>387</v>
      </c>
      <c r="L446" s="295">
        <f>IF(tabItens[[#This Row],[Média]] &gt; 0, tabItens[[#This Row],[QTDE ATUAL]] / tabItens[[#This Row],[Média]],999.9)</f>
        <v>17.435897435897434</v>
      </c>
      <c r="M446" s="296">
        <v>0</v>
      </c>
      <c r="N446" s="297">
        <f>tabItens[[#This Row],[VALOR UNIT.]] * tabItens[[#This Row],[LC]]</f>
        <v>0</v>
      </c>
      <c r="O446" s="298" t="s">
        <v>2097</v>
      </c>
      <c r="P446" s="299"/>
      <c r="Q446" s="300"/>
      <c r="R446" s="297"/>
      <c r="S446" s="301"/>
      <c r="T446" s="302">
        <f>ROUNDDOWN(IFERROR(tabItens[[#This Row],[ATA DT.VALID.]] - $D$1,0) / 30,0)</f>
        <v>-1504</v>
      </c>
      <c r="U446" s="287" t="s">
        <v>1677</v>
      </c>
      <c r="V446" s="303">
        <v>1</v>
      </c>
      <c r="W446" s="304" t="s">
        <v>2055</v>
      </c>
      <c r="X446" s="305">
        <v>55</v>
      </c>
      <c r="Y446" s="306">
        <v>37</v>
      </c>
      <c r="Z446" s="307"/>
      <c r="AA446" s="308"/>
      <c r="AB446" s="309"/>
      <c r="AC446" s="309"/>
      <c r="AD446" s="308"/>
      <c r="AE446" s="309"/>
      <c r="AF446" s="302"/>
      <c r="AG446" s="310" t="s">
        <v>2050</v>
      </c>
      <c r="AH446" s="311"/>
      <c r="AI446" s="302">
        <v>170</v>
      </c>
      <c r="AJ446" s="311">
        <v>44544</v>
      </c>
      <c r="AK446" s="311">
        <v>40581</v>
      </c>
      <c r="AL446" s="311">
        <v>44470</v>
      </c>
      <c r="AM446" s="301"/>
      <c r="AN446" s="290"/>
      <c r="AO446" s="312" t="str">
        <f>_xlfn.IFNA(IF(VLOOKUP(tabItens[[#This Row],[CÓDIGO]],tabExcluirDoEstoque[#Data],1,FALSE),"sim",""),"")</f>
        <v/>
      </c>
      <c r="AP446" s="313" t="str">
        <f ca="1">IF(OR(ISBLANK(tabItens[[#This Row],[ATA DT.VALID.]]),tabItens[[#This Row],[ATA DT.VALID.]]="",tabItens[[#This Row],[ATA DT.VALID.]]=" "),"",IF(TYPE(tabItens[[#This Row],[ATA DT.VALID.]])=1,ROUNDUP((tabItens[[#This Row],[ATA DT.VALID.]]-TODAY())/7,0),""))</f>
        <v/>
      </c>
      <c r="AQ446" s="314">
        <v>0</v>
      </c>
      <c r="AR446" s="315" t="str">
        <f>IF(ISBLANK(tabItens[[#This Row],[CÓDIGO]]),"",IFERROR(VLOOKUP(tabItens[[#This Row],[CÓDIGO]],Consumo!$C$2:$AC$869,26,FALSE),0))</f>
        <v>07.2023</v>
      </c>
      <c r="AS446" s="316">
        <f>SUMIF(Consumo!$C$3:$C$869,tabItens[[#This Row],[CÓDIGO]],Consumo!$N$3:$N$869) + SUMIF(Consumo!$C$3:$C$869,tabItens[[#This Row],[CÓDIGO]],Consumo!$O$3:$O$869) + SUMIF(Consumo!$C$3:$C$869,tabItens[[#This Row],[CÓDIGO]],Consumo!$P$3:$P$869) + SUMIF(Consumo!$C$3:$C$869,tabItens[[#This Row],[CÓDIGO]],Consumo!$Q$3:$Q$869)</f>
        <v>110</v>
      </c>
      <c r="AT446" s="316">
        <f>SUMIF(Consumo!$C$3:$C$869,tabItens[[#This Row],[CÓDIGO]],Consumo!$Z$3:$Z$869)</f>
        <v>509</v>
      </c>
      <c r="AU446" s="317">
        <f>SUMIF(Consumo!$C$3:$C$869,tabItens[[#This Row],[CÓDIGO]],Consumo!$AA$3:$AA$869)</f>
        <v>166</v>
      </c>
      <c r="AV446" s="318">
        <f>SUMIF(Consumo!$C$3:$C$869,tabItens[[#This Row],[CÓDIGO]],Consumo!$Y$3:$Y$869)</f>
        <v>39</v>
      </c>
      <c r="AW446" s="291">
        <f>tabItens[[#This Row],[QTDE ATUAL]] + tabItens[[#This Row],[RC QTDE]] + tabItens[[#This Row],[AF SALDO]] + tabItens[[#This Row],[Recentes]]</f>
        <v>680</v>
      </c>
      <c r="AX446" s="319">
        <v>58</v>
      </c>
      <c r="AY446" s="319">
        <v>4</v>
      </c>
      <c r="AZ446" s="319">
        <f>IF(ISBLANK(tabItens[[#This Row],[CÓDIGO]]),"",tabItens[[#This Row],[PontoMês]] * (AZ$2+tabItens[[#This Row],[PontoQtM]]))</f>
        <v>232</v>
      </c>
      <c r="BA446" s="318">
        <f>tabItens[[#This Row],[PontoPed]] - tabItens[[#This Row],[Saldo]] + (1/10)</f>
        <v>-447.9</v>
      </c>
      <c r="BB446" s="318">
        <f xml:space="preserve"> tabItens[[#This Row],[PontoMês]] * BB$2 - tabItens[[#This Row],[QTDE ATUAL]] - (1/10)</f>
        <v>-622.1</v>
      </c>
      <c r="BC446" s="320">
        <f>IF( tabItens[[#This Row],[PontoPed]]&gt;0, IF(tabItens[[#This Row],[PontoPed]]&lt;1, 1, IF( tabItens[[#This Row],[Saldo]]&gt;tabItens[[#This Row],[PontoPed]], 0, (tabItens[[#This Row],[PontoPed]]-tabItens[[#This Row],[Saldo]])/tabItens[[#This Row],[PontoPed]] ) ), 0 )</f>
        <v>0</v>
      </c>
      <c r="BD446" s="321">
        <f>ROUNDDOWN(IF( OR( AND(tabItens[[#This Row],[PontoPed]]&lt;tabItens[[#This Row],[Saldo]],tabItens[[#This Row],[Saldo]]&gt;0), tabItens[[#This Row],[PontoPed]]=0), 99, IF(AND(tabItens[[#This Row],[Saldo]]=0,tabItens[[#This Row],[PontoPed]]&gt;0), 0, (1-tabItens[[#This Row],[PctAb]])*10 ) ),0)</f>
        <v>99</v>
      </c>
      <c r="BE446" s="322">
        <f>MAX(ROUNDDOWN( IF(tabItens[[#This Row],[Abaixo]] &gt; 0,   tabItens[[#This Row],[Abaixo]] + (tabItens[[#This Row],[PontoMês]] * IF( OR( ISBLANK(tabItens[[#This Row],[ATA Nº/ANO]]), tabItens[[#This Row],[ATA Nº/ANO]] = ""),BE$2,BE$1)),0),0),0)</f>
        <v>0</v>
      </c>
      <c r="BF44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23">
        <f>SUMIF(Consumo!$C$3:$C$869,tabItens[[#This Row],[CÓDIGO]],Consumo!$E$3:$E$869)</f>
        <v>0</v>
      </c>
      <c r="BH446" s="324">
        <f>IF(AND(tabItens[[#This Row],[Pend]] &gt; 0,tabItens[[#This Row],[Consumo]] &lt;&gt; 0), tabItens[[#This Row],[Pend]] / tabItens[[#This Row],[Consumo]], 0 )</f>
        <v>0</v>
      </c>
      <c r="BI446" s="323"/>
      <c r="BJ446" s="323"/>
      <c r="BK446" s="325" t="s">
        <v>2064</v>
      </c>
    </row>
    <row r="447" spans="1:63" x14ac:dyDescent="0.3">
      <c r="A447" s="396">
        <v>136082</v>
      </c>
      <c r="B447" s="397" t="s">
        <v>1909</v>
      </c>
      <c r="C447" s="398" t="s">
        <v>31</v>
      </c>
      <c r="D447" s="399">
        <v>3.5714299999999999</v>
      </c>
      <c r="E447" s="290"/>
      <c r="F447" s="400"/>
      <c r="G447" s="400" t="s">
        <v>883</v>
      </c>
      <c r="H447" s="401">
        <v>0</v>
      </c>
      <c r="I447" s="292">
        <v>103003</v>
      </c>
      <c r="J447" s="293">
        <v>3.5714299999999999</v>
      </c>
      <c r="K447" s="402">
        <v>365</v>
      </c>
      <c r="L447" s="403">
        <f>IF(tabItens[[#This Row],[Média]] &gt; 0, tabItens[[#This Row],[QTDE ATUAL]] / tabItens[[#This Row],[Média]],999.9)</f>
        <v>0</v>
      </c>
      <c r="M447" s="404">
        <v>0</v>
      </c>
      <c r="N447" s="405">
        <f>tabItens[[#This Row],[VALOR UNIT.]] * tabItens[[#This Row],[LC]]</f>
        <v>0</v>
      </c>
      <c r="O447" s="406" t="s">
        <v>2097</v>
      </c>
      <c r="P447" s="407"/>
      <c r="Q447" s="408"/>
      <c r="R447" s="297"/>
      <c r="S447" s="409"/>
      <c r="T447" s="410">
        <f>ROUNDDOWN(IFERROR(tabItens[[#This Row],[ATA DT.VALID.]] - $D$1,0) / 30,0)</f>
        <v>-1504</v>
      </c>
      <c r="U447" s="287" t="s">
        <v>1677</v>
      </c>
      <c r="V447" s="303">
        <v>1</v>
      </c>
      <c r="W447" s="411" t="s">
        <v>2055</v>
      </c>
      <c r="X447" s="412">
        <v>55</v>
      </c>
      <c r="Y447" s="413">
        <v>37</v>
      </c>
      <c r="Z447" s="414">
        <v>2646</v>
      </c>
      <c r="AA447" s="415">
        <v>2023</v>
      </c>
      <c r="AB447" s="416">
        <v>700</v>
      </c>
      <c r="AC447" s="416"/>
      <c r="AD447" s="415"/>
      <c r="AE447" s="416"/>
      <c r="AF447" s="302"/>
      <c r="AG447" s="417" t="s">
        <v>2050</v>
      </c>
      <c r="AH447" s="418"/>
      <c r="AI447" s="302">
        <v>130</v>
      </c>
      <c r="AJ447" s="418">
        <v>44568</v>
      </c>
      <c r="AK447" s="311">
        <v>43446</v>
      </c>
      <c r="AL447" s="311">
        <v>45077</v>
      </c>
      <c r="AM447" s="301"/>
      <c r="AN447" s="290"/>
      <c r="AO447" s="312" t="str">
        <f>_xlfn.IFNA(IF(VLOOKUP(tabItens[[#This Row],[CÓDIGO]],tabExcluirDoEstoque[#Data],1,FALSE),"sim",""),"")</f>
        <v/>
      </c>
      <c r="AP447" s="419" t="str">
        <f ca="1">IF(OR(ISBLANK(tabItens[[#This Row],[ATA DT.VALID.]]),tabItens[[#This Row],[ATA DT.VALID.]]="",tabItens[[#This Row],[ATA DT.VALID.]]=" "),"",IF(TYPE(tabItens[[#This Row],[ATA DT.VALID.]])=1,ROUNDUP((tabItens[[#This Row],[ATA DT.VALID.]]-TODAY())/7,0),""))</f>
        <v/>
      </c>
      <c r="AQ447" s="314">
        <v>0</v>
      </c>
      <c r="AR447" s="315" t="str">
        <f>IF(ISBLANK(tabItens[[#This Row],[CÓDIGO]]),"",IFERROR(VLOOKUP(tabItens[[#This Row],[CÓDIGO]],Consumo!$C$2:$AC$869,26,FALSE),0))</f>
        <v>06.2023</v>
      </c>
      <c r="AS447" s="316">
        <f>SUMIF(Consumo!$C$3:$C$869,tabItens[[#This Row],[CÓDIGO]],Consumo!$N$3:$N$869) + SUMIF(Consumo!$C$3:$C$869,tabItens[[#This Row],[CÓDIGO]],Consumo!$O$3:$O$869) + SUMIF(Consumo!$C$3:$C$869,tabItens[[#This Row],[CÓDIGO]],Consumo!$P$3:$P$869) + SUMIF(Consumo!$C$3:$C$869,tabItens[[#This Row],[CÓDIGO]],Consumo!$Q$3:$Q$869)</f>
        <v>12</v>
      </c>
      <c r="AT447" s="316">
        <f>SUMIF(Consumo!$C$3:$C$869,tabItens[[#This Row],[CÓDIGO]],Consumo!$Z$3:$Z$869)</f>
        <v>681</v>
      </c>
      <c r="AU447" s="317">
        <f>SUMIF(Consumo!$C$3:$C$869,tabItens[[#This Row],[CÓDIGO]],Consumo!$AA$3:$AA$869)</f>
        <v>100</v>
      </c>
      <c r="AV447" s="318">
        <f>SUMIF(Consumo!$C$3:$C$869,tabItens[[#This Row],[CÓDIGO]],Consumo!$Y$3:$Y$869)</f>
        <v>56.75</v>
      </c>
      <c r="AW447" s="401">
        <f>tabItens[[#This Row],[QTDE ATUAL]] + tabItens[[#This Row],[RC QTDE]] + tabItens[[#This Row],[AF SALDO]] + tabItens[[#This Row],[Recentes]]</f>
        <v>700</v>
      </c>
      <c r="AX447" s="420">
        <v>17</v>
      </c>
      <c r="AY447" s="420">
        <v>4</v>
      </c>
      <c r="AZ447" s="420">
        <f>IF(ISBLANK(tabItens[[#This Row],[CÓDIGO]]),"",tabItens[[#This Row],[PontoMês]] * (AZ$2+tabItens[[#This Row],[PontoQtM]]))</f>
        <v>68</v>
      </c>
      <c r="BA447" s="421">
        <f>tabItens[[#This Row],[PontoPed]] - tabItens[[#This Row],[Saldo]] + (1/10)</f>
        <v>-631.9</v>
      </c>
      <c r="BB447" s="421">
        <f xml:space="preserve"> tabItens[[#This Row],[PontoMês]] * BB$2 - tabItens[[#This Row],[QTDE ATUAL]] - (1/10)</f>
        <v>16.899999999999999</v>
      </c>
      <c r="BC447" s="320">
        <f>IF( tabItens[[#This Row],[PontoPed]]&gt;0, IF(tabItens[[#This Row],[PontoPed]]&lt;1, 1, IF( tabItens[[#This Row],[Saldo]]&gt;tabItens[[#This Row],[PontoPed]], 0, (tabItens[[#This Row],[PontoPed]]-tabItens[[#This Row],[Saldo]])/tabItens[[#This Row],[PontoPed]] ) ), 0 )</f>
        <v>0</v>
      </c>
      <c r="BD447" s="422">
        <f>ROUNDDOWN(IF( OR( AND(tabItens[[#This Row],[PontoPed]]&lt;tabItens[[#This Row],[Saldo]],tabItens[[#This Row],[Saldo]]&gt;0), tabItens[[#This Row],[PontoPed]]=0), 99, IF(AND(tabItens[[#This Row],[Saldo]]=0,tabItens[[#This Row],[PontoPed]]&gt;0), 0, (1-tabItens[[#This Row],[PctAb]])*10 ) ),0)</f>
        <v>99</v>
      </c>
      <c r="BE447" s="423">
        <f>MAX(ROUNDDOWN( IF(tabItens[[#This Row],[Abaixo]] &gt; 0,   tabItens[[#This Row],[Abaixo]] + (tabItens[[#This Row],[PontoMês]] * IF( OR( ISBLANK(tabItens[[#This Row],[ATA Nº/ANO]]), tabItens[[#This Row],[ATA Nº/ANO]] = ""),BE$2,BE$1)),0),0),0)</f>
        <v>0</v>
      </c>
      <c r="BF44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23">
        <f>SUMIF(Consumo!$C$3:$C$869,tabItens[[#This Row],[CÓDIGO]],Consumo!$E$3:$E$869)</f>
        <v>290</v>
      </c>
      <c r="BH447" s="324">
        <f>IF(AND(tabItens[[#This Row],[Pend]] &gt; 0,tabItens[[#This Row],[Consumo]] &lt;&gt; 0), tabItens[[#This Row],[Pend]] / tabItens[[#This Row],[Consumo]], 0 )</f>
        <v>0.42584434654919234</v>
      </c>
      <c r="BI447" s="323"/>
      <c r="BJ447" s="424"/>
      <c r="BK447" s="425" t="s">
        <v>2064</v>
      </c>
    </row>
    <row r="448" spans="1:63" hidden="1" x14ac:dyDescent="0.3">
      <c r="A448" s="286">
        <v>136083</v>
      </c>
      <c r="B448" s="287" t="s">
        <v>1910</v>
      </c>
      <c r="C448" s="288" t="s">
        <v>31</v>
      </c>
      <c r="D448" s="289">
        <v>5.83</v>
      </c>
      <c r="E448" s="290"/>
      <c r="F448" s="290"/>
      <c r="G448" s="290" t="s">
        <v>883</v>
      </c>
      <c r="H448" s="291">
        <v>436</v>
      </c>
      <c r="I448" s="292">
        <v>103003</v>
      </c>
      <c r="J448" s="293">
        <v>5.83</v>
      </c>
      <c r="K448" s="294">
        <v>174</v>
      </c>
      <c r="L448" s="295">
        <f>IF(tabItens[[#This Row],[Média]] &gt; 0, tabItens[[#This Row],[QTDE ATUAL]] / tabItens[[#This Row],[Média]],999.9)</f>
        <v>29.897142857142857</v>
      </c>
      <c r="M448" s="296">
        <v>0</v>
      </c>
      <c r="N448" s="297">
        <f>tabItens[[#This Row],[VALOR UNIT.]] * tabItens[[#This Row],[LC]]</f>
        <v>0</v>
      </c>
      <c r="O448" s="298" t="s">
        <v>2097</v>
      </c>
      <c r="P448" s="299"/>
      <c r="Q448" s="300"/>
      <c r="R448" s="297"/>
      <c r="S448" s="301"/>
      <c r="T448" s="302">
        <f>ROUNDDOWN(IFERROR(tabItens[[#This Row],[ATA DT.VALID.]] - $D$1,0) / 30,0)</f>
        <v>-1504</v>
      </c>
      <c r="U448" s="287" t="s">
        <v>1677</v>
      </c>
      <c r="V448" s="303">
        <v>1</v>
      </c>
      <c r="W448" s="304" t="s">
        <v>2055</v>
      </c>
      <c r="X448" s="305">
        <v>55</v>
      </c>
      <c r="Y448" s="306">
        <v>37</v>
      </c>
      <c r="Z448" s="307"/>
      <c r="AA448" s="308"/>
      <c r="AB448" s="309"/>
      <c r="AC448" s="309"/>
      <c r="AD448" s="308"/>
      <c r="AE448" s="309"/>
      <c r="AF448" s="302"/>
      <c r="AG448" s="310" t="s">
        <v>2050</v>
      </c>
      <c r="AH448" s="311"/>
      <c r="AI448" s="302">
        <v>60</v>
      </c>
      <c r="AJ448" s="311">
        <v>44448</v>
      </c>
      <c r="AK448" s="311">
        <v>43446</v>
      </c>
      <c r="AL448" s="311">
        <v>44725</v>
      </c>
      <c r="AM448" s="301"/>
      <c r="AN448" s="290"/>
      <c r="AO448" s="312" t="str">
        <f>_xlfn.IFNA(IF(VLOOKUP(tabItens[[#This Row],[CÓDIGO]],tabExcluirDoEstoque[#Data],1,FALSE),"sim",""),"")</f>
        <v/>
      </c>
      <c r="AP448" s="313" t="str">
        <f ca="1">IF(OR(ISBLANK(tabItens[[#This Row],[ATA DT.VALID.]]),tabItens[[#This Row],[ATA DT.VALID.]]="",tabItens[[#This Row],[ATA DT.VALID.]]=" "),"",IF(TYPE(tabItens[[#This Row],[ATA DT.VALID.]])=1,ROUNDUP((tabItens[[#This Row],[ATA DT.VALID.]]-TODAY())/7,0),""))</f>
        <v/>
      </c>
      <c r="AQ448" s="314">
        <v>0</v>
      </c>
      <c r="AR448" s="315" t="str">
        <f>IF(ISBLANK(tabItens[[#This Row],[CÓDIGO]]),"",IFERROR(VLOOKUP(tabItens[[#This Row],[CÓDIGO]],Consumo!$C$2:$AC$869,26,FALSE),0))</f>
        <v>06.2023</v>
      </c>
      <c r="AS448" s="316">
        <f>SUMIF(Consumo!$C$3:$C$869,tabItens[[#This Row],[CÓDIGO]],Consumo!$N$3:$N$869) + SUMIF(Consumo!$C$3:$C$869,tabItens[[#This Row],[CÓDIGO]],Consumo!$O$3:$O$869) + SUMIF(Consumo!$C$3:$C$869,tabItens[[#This Row],[CÓDIGO]],Consumo!$P$3:$P$869) + SUMIF(Consumo!$C$3:$C$869,tabItens[[#This Row],[CÓDIGO]],Consumo!$Q$3:$Q$869)</f>
        <v>62</v>
      </c>
      <c r="AT448" s="316">
        <f>SUMIF(Consumo!$C$3:$C$869,tabItens[[#This Row],[CÓDIGO]],Consumo!$Z$3:$Z$869)</f>
        <v>178</v>
      </c>
      <c r="AU448" s="317">
        <f>SUMIF(Consumo!$C$3:$C$869,tabItens[[#This Row],[CÓDIGO]],Consumo!$AA$3:$AA$869)</f>
        <v>62</v>
      </c>
      <c r="AV448" s="318">
        <f>SUMIF(Consumo!$C$3:$C$869,tabItens[[#This Row],[CÓDIGO]],Consumo!$Y$3:$Y$869)</f>
        <v>14.583333333333334</v>
      </c>
      <c r="AW448" s="291">
        <f>tabItens[[#This Row],[QTDE ATUAL]] + tabItens[[#This Row],[RC QTDE]] + tabItens[[#This Row],[AF SALDO]] + tabItens[[#This Row],[Recentes]]</f>
        <v>436</v>
      </c>
      <c r="AX448" s="319">
        <v>25</v>
      </c>
      <c r="AY448" s="319">
        <v>4</v>
      </c>
      <c r="AZ448" s="319">
        <f>IF(ISBLANK(tabItens[[#This Row],[CÓDIGO]]),"",tabItens[[#This Row],[PontoMês]] * (AZ$2+tabItens[[#This Row],[PontoQtM]]))</f>
        <v>100</v>
      </c>
      <c r="BA448" s="318">
        <f>tabItens[[#This Row],[PontoPed]] - tabItens[[#This Row],[Saldo]] + (1/10)</f>
        <v>-335.9</v>
      </c>
      <c r="BB448" s="318">
        <f xml:space="preserve"> tabItens[[#This Row],[PontoMês]] * BB$2 - tabItens[[#This Row],[QTDE ATUAL]] - (1/10)</f>
        <v>-411.1</v>
      </c>
      <c r="BC448" s="320">
        <f>IF( tabItens[[#This Row],[PontoPed]]&gt;0, IF(tabItens[[#This Row],[PontoPed]]&lt;1, 1, IF( tabItens[[#This Row],[Saldo]]&gt;tabItens[[#This Row],[PontoPed]], 0, (tabItens[[#This Row],[PontoPed]]-tabItens[[#This Row],[Saldo]])/tabItens[[#This Row],[PontoPed]] ) ), 0 )</f>
        <v>0</v>
      </c>
      <c r="BD448" s="321">
        <f>ROUNDDOWN(IF( OR( AND(tabItens[[#This Row],[PontoPed]]&lt;tabItens[[#This Row],[Saldo]],tabItens[[#This Row],[Saldo]]&gt;0), tabItens[[#This Row],[PontoPed]]=0), 99, IF(AND(tabItens[[#This Row],[Saldo]]=0,tabItens[[#This Row],[PontoPed]]&gt;0), 0, (1-tabItens[[#This Row],[PctAb]])*10 ) ),0)</f>
        <v>99</v>
      </c>
      <c r="BE448" s="322">
        <f>MAX(ROUNDDOWN( IF(tabItens[[#This Row],[Abaixo]] &gt; 0,   tabItens[[#This Row],[Abaixo]] + (tabItens[[#This Row],[PontoMês]] * IF( OR( ISBLANK(tabItens[[#This Row],[ATA Nº/ANO]]), tabItens[[#This Row],[ATA Nº/ANO]] = ""),BE$2,BE$1)),0),0),0)</f>
        <v>0</v>
      </c>
      <c r="BF44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23">
        <f>SUMIF(Consumo!$C$3:$C$869,tabItens[[#This Row],[CÓDIGO]],Consumo!$E$3:$E$869)</f>
        <v>0</v>
      </c>
      <c r="BH448" s="324">
        <f>IF(AND(tabItens[[#This Row],[Pend]] &gt; 0,tabItens[[#This Row],[Consumo]] &lt;&gt; 0), tabItens[[#This Row],[Pend]] / tabItens[[#This Row],[Consumo]], 0 )</f>
        <v>0</v>
      </c>
      <c r="BI448" s="323"/>
      <c r="BJ448" s="323"/>
      <c r="BK448" s="325" t="s">
        <v>2064</v>
      </c>
    </row>
    <row r="449" spans="1:63" hidden="1" x14ac:dyDescent="0.3">
      <c r="A449" s="286">
        <v>50797</v>
      </c>
      <c r="B449" s="287" t="s">
        <v>1296</v>
      </c>
      <c r="C449" s="288" t="s">
        <v>256</v>
      </c>
      <c r="D449" s="289">
        <v>37</v>
      </c>
      <c r="E449" s="290"/>
      <c r="F449" s="290"/>
      <c r="G449" s="290" t="s">
        <v>883</v>
      </c>
      <c r="H449" s="291">
        <v>88</v>
      </c>
      <c r="I449" s="292">
        <v>103003</v>
      </c>
      <c r="J449" s="293">
        <v>37</v>
      </c>
      <c r="K449" s="294">
        <v>180</v>
      </c>
      <c r="L449" s="295">
        <f>IF(tabItens[[#This Row],[Média]] &gt; 0, tabItens[[#This Row],[QTDE ATUAL]] / tabItens[[#This Row],[Média]],999.9)</f>
        <v>5.2019704433497536</v>
      </c>
      <c r="M449" s="296">
        <v>0</v>
      </c>
      <c r="N449" s="297">
        <f>tabItens[[#This Row],[VALOR UNIT.]] * tabItens[[#This Row],[LC]]</f>
        <v>0</v>
      </c>
      <c r="O449" s="298" t="s">
        <v>2097</v>
      </c>
      <c r="P449" s="299"/>
      <c r="Q449" s="300"/>
      <c r="R449" s="297"/>
      <c r="S449" s="301"/>
      <c r="T449" s="302">
        <f>ROUNDDOWN(IFERROR(tabItens[[#This Row],[ATA DT.VALID.]] - $D$1,0) / 30,0)</f>
        <v>-1504</v>
      </c>
      <c r="U449" s="287" t="s">
        <v>1297</v>
      </c>
      <c r="V449" s="303">
        <v>1</v>
      </c>
      <c r="W449" s="304" t="s">
        <v>2054</v>
      </c>
      <c r="X449" s="305">
        <v>61</v>
      </c>
      <c r="Y449" s="306">
        <v>16</v>
      </c>
      <c r="Z449" s="307">
        <v>2960</v>
      </c>
      <c r="AA449" s="308">
        <v>2023</v>
      </c>
      <c r="AB449" s="309">
        <v>40</v>
      </c>
      <c r="AC449" s="309"/>
      <c r="AD449" s="308"/>
      <c r="AE449" s="309"/>
      <c r="AF449" s="302"/>
      <c r="AG449" s="310" t="s">
        <v>2050</v>
      </c>
      <c r="AH449" s="311"/>
      <c r="AI449" s="302">
        <v>70</v>
      </c>
      <c r="AJ449" s="311">
        <v>44992</v>
      </c>
      <c r="AK449" s="311" t="s">
        <v>883</v>
      </c>
      <c r="AL449" s="311">
        <v>45105</v>
      </c>
      <c r="AM449" s="301"/>
      <c r="AN449" s="290"/>
      <c r="AO449" s="312" t="str">
        <f>_xlfn.IFNA(IF(VLOOKUP(tabItens[[#This Row],[CÓDIGO]],tabExcluirDoEstoque[#Data],1,FALSE),"sim",""),"")</f>
        <v/>
      </c>
      <c r="AP449" s="313" t="str">
        <f ca="1">IF(OR(ISBLANK(tabItens[[#This Row],[ATA DT.VALID.]]),tabItens[[#This Row],[ATA DT.VALID.]]="",tabItens[[#This Row],[ATA DT.VALID.]]=" "),"",IF(TYPE(tabItens[[#This Row],[ATA DT.VALID.]])=1,ROUNDUP((tabItens[[#This Row],[ATA DT.VALID.]]-TODAY())/7,0),""))</f>
        <v/>
      </c>
      <c r="AQ449" s="314">
        <v>0</v>
      </c>
      <c r="AR449" s="315" t="str">
        <f>IF(ISBLANK(tabItens[[#This Row],[CÓDIGO]]),"",IFERROR(VLOOKUP(tabItens[[#This Row],[CÓDIGO]],Consumo!$C$2:$AC$869,26,FALSE),0))</f>
        <v>06.2023</v>
      </c>
      <c r="AS449" s="316">
        <f>SUMIF(Consumo!$C$3:$C$869,tabItens[[#This Row],[CÓDIGO]],Consumo!$N$3:$N$869) + SUMIF(Consumo!$C$3:$C$869,tabItens[[#This Row],[CÓDIGO]],Consumo!$O$3:$O$869) + SUMIF(Consumo!$C$3:$C$869,tabItens[[#This Row],[CÓDIGO]],Consumo!$P$3:$P$869) + SUMIF(Consumo!$C$3:$C$869,tabItens[[#This Row],[CÓDIGO]],Consumo!$Q$3:$Q$869)</f>
        <v>96</v>
      </c>
      <c r="AT449" s="316">
        <f>SUMIF(Consumo!$C$3:$C$869,tabItens[[#This Row],[CÓDIGO]],Consumo!$Z$3:$Z$869)</f>
        <v>209</v>
      </c>
      <c r="AU449" s="317">
        <f>SUMIF(Consumo!$C$3:$C$869,tabItens[[#This Row],[CÓDIGO]],Consumo!$AA$3:$AA$869)</f>
        <v>61</v>
      </c>
      <c r="AV449" s="318">
        <f>SUMIF(Consumo!$C$3:$C$869,tabItens[[#This Row],[CÓDIGO]],Consumo!$Y$3:$Y$869)</f>
        <v>16.916666666666668</v>
      </c>
      <c r="AW449" s="291">
        <f>tabItens[[#This Row],[QTDE ATUAL]] + tabItens[[#This Row],[RC QTDE]] + tabItens[[#This Row],[AF SALDO]] + tabItens[[#This Row],[Recentes]]</f>
        <v>128</v>
      </c>
      <c r="AX449" s="319">
        <v>15</v>
      </c>
      <c r="AY449" s="319">
        <v>4</v>
      </c>
      <c r="AZ449" s="319">
        <f>IF(ISBLANK(tabItens[[#This Row],[CÓDIGO]]),"",tabItens[[#This Row],[PontoMês]] * (AZ$2+tabItens[[#This Row],[PontoQtM]]))</f>
        <v>60</v>
      </c>
      <c r="BA449" s="318">
        <f>tabItens[[#This Row],[PontoPed]] - tabItens[[#This Row],[Saldo]] + (1/10)</f>
        <v>-67.900000000000006</v>
      </c>
      <c r="BB449" s="318">
        <f xml:space="preserve"> tabItens[[#This Row],[PontoMês]] * BB$2 - tabItens[[#This Row],[QTDE ATUAL]] - (1/10)</f>
        <v>-73.099999999999994</v>
      </c>
      <c r="BC449" s="320">
        <f>IF( tabItens[[#This Row],[PontoPed]]&gt;0, IF(tabItens[[#This Row],[PontoPed]]&lt;1, 1, IF( tabItens[[#This Row],[Saldo]]&gt;tabItens[[#This Row],[PontoPed]], 0, (tabItens[[#This Row],[PontoPed]]-tabItens[[#This Row],[Saldo]])/tabItens[[#This Row],[PontoPed]] ) ), 0 )</f>
        <v>0</v>
      </c>
      <c r="BD449" s="321">
        <f>ROUNDDOWN(IF( OR( AND(tabItens[[#This Row],[PontoPed]]&lt;tabItens[[#This Row],[Saldo]],tabItens[[#This Row],[Saldo]]&gt;0), tabItens[[#This Row],[PontoPed]]=0), 99, IF(AND(tabItens[[#This Row],[Saldo]]=0,tabItens[[#This Row],[PontoPed]]&gt;0), 0, (1-tabItens[[#This Row],[PctAb]])*10 ) ),0)</f>
        <v>99</v>
      </c>
      <c r="BE449" s="322">
        <f>MAX(ROUNDDOWN( IF(tabItens[[#This Row],[Abaixo]] &gt; 0,   tabItens[[#This Row],[Abaixo]] + (tabItens[[#This Row],[PontoMês]] * IF( OR( ISBLANK(tabItens[[#This Row],[ATA Nº/ANO]]), tabItens[[#This Row],[ATA Nº/ANO]] = ""),BE$2,BE$1)),0),0),0)</f>
        <v>0</v>
      </c>
      <c r="BF44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23">
        <f>SUMIF(Consumo!$C$3:$C$869,tabItens[[#This Row],[CÓDIGO]],Consumo!$E$3:$E$869)</f>
        <v>0</v>
      </c>
      <c r="BH449" s="324">
        <f>IF(AND(tabItens[[#This Row],[Pend]] &gt; 0,tabItens[[#This Row],[Consumo]] &lt;&gt; 0), tabItens[[#This Row],[Pend]] / tabItens[[#This Row],[Consumo]], 0 )</f>
        <v>0</v>
      </c>
      <c r="BI449" s="323"/>
      <c r="BJ449" s="323"/>
      <c r="BK449" s="325" t="s">
        <v>2064</v>
      </c>
    </row>
    <row r="450" spans="1:63" hidden="1" x14ac:dyDescent="0.3">
      <c r="A450" s="286">
        <v>59882</v>
      </c>
      <c r="B450" s="287" t="s">
        <v>1341</v>
      </c>
      <c r="C450" s="288" t="s">
        <v>294</v>
      </c>
      <c r="D450" s="289">
        <v>46.4</v>
      </c>
      <c r="E450" s="290"/>
      <c r="F450" s="290"/>
      <c r="G450" s="290" t="s">
        <v>883</v>
      </c>
      <c r="H450" s="291">
        <v>1516</v>
      </c>
      <c r="I450" s="292">
        <v>103003</v>
      </c>
      <c r="J450" s="293">
        <v>46.4</v>
      </c>
      <c r="K450" s="294">
        <v>699</v>
      </c>
      <c r="L450" s="295">
        <f>IF(tabItens[[#This Row],[Média]] &gt; 0, tabItens[[#This Row],[QTDE ATUAL]] / tabItens[[#This Row],[Média]],999.9)</f>
        <v>21.402352941176471</v>
      </c>
      <c r="M450" s="296">
        <v>0</v>
      </c>
      <c r="N450" s="297">
        <f>tabItens[[#This Row],[VALOR UNIT.]] * tabItens[[#This Row],[LC]]</f>
        <v>0</v>
      </c>
      <c r="O450" s="298" t="s">
        <v>2130</v>
      </c>
      <c r="P450" s="299"/>
      <c r="Q450" s="300"/>
      <c r="R450" s="297"/>
      <c r="S450" s="301"/>
      <c r="T450" s="302">
        <f>ROUNDDOWN(IFERROR(tabItens[[#This Row],[ATA DT.VALID.]] - $D$1,0) / 30,0)</f>
        <v>-1504</v>
      </c>
      <c r="U450" s="287" t="s">
        <v>1342</v>
      </c>
      <c r="V450" s="303">
        <v>1</v>
      </c>
      <c r="W450" s="304" t="s">
        <v>2049</v>
      </c>
      <c r="X450" s="305">
        <v>69</v>
      </c>
      <c r="Y450" s="306">
        <v>8</v>
      </c>
      <c r="Z450" s="307"/>
      <c r="AA450" s="308"/>
      <c r="AB450" s="309"/>
      <c r="AC450" s="309">
        <v>8862</v>
      </c>
      <c r="AD450" s="308">
        <v>2023</v>
      </c>
      <c r="AE450" s="309">
        <v>500</v>
      </c>
      <c r="AF450" s="302">
        <v>500</v>
      </c>
      <c r="AG450" s="310" t="s">
        <v>2039</v>
      </c>
      <c r="AH450" s="311">
        <v>45159</v>
      </c>
      <c r="AI450" s="302">
        <v>308</v>
      </c>
      <c r="AJ450" s="311">
        <v>44518</v>
      </c>
      <c r="AK450" s="311" t="s">
        <v>883</v>
      </c>
      <c r="AL450" s="311">
        <v>45128</v>
      </c>
      <c r="AM450" s="301"/>
      <c r="AN450" s="290"/>
      <c r="AO450" s="312" t="str">
        <f>_xlfn.IFNA(IF(VLOOKUP(tabItens[[#This Row],[CÓDIGO]],tabExcluirDoEstoque[#Data],1,FALSE),"sim",""),"")</f>
        <v/>
      </c>
      <c r="AP450" s="313" t="str">
        <f ca="1">IF(OR(ISBLANK(tabItens[[#This Row],[ATA DT.VALID.]]),tabItens[[#This Row],[ATA DT.VALID.]]="",tabItens[[#This Row],[ATA DT.VALID.]]=" "),"",IF(TYPE(tabItens[[#This Row],[ATA DT.VALID.]])=1,ROUNDUP((tabItens[[#This Row],[ATA DT.VALID.]]-TODAY())/7,0),""))</f>
        <v/>
      </c>
      <c r="AQ450" s="314">
        <v>0</v>
      </c>
      <c r="AR450" s="315" t="str">
        <f>IF(ISBLANK(tabItens[[#This Row],[CÓDIGO]]),"",IFERROR(VLOOKUP(tabItens[[#This Row],[CÓDIGO]],Consumo!$C$2:$AC$869,26,FALSE),0))</f>
        <v>07.2023</v>
      </c>
      <c r="AS450" s="316">
        <f>SUMIF(Consumo!$C$3:$C$869,tabItens[[#This Row],[CÓDIGO]],Consumo!$N$3:$N$869) + SUMIF(Consumo!$C$3:$C$869,tabItens[[#This Row],[CÓDIGO]],Consumo!$O$3:$O$869) + SUMIF(Consumo!$C$3:$C$869,tabItens[[#This Row],[CÓDIGO]],Consumo!$P$3:$P$869) + SUMIF(Consumo!$C$3:$C$869,tabItens[[#This Row],[CÓDIGO]],Consumo!$Q$3:$Q$869)</f>
        <v>239</v>
      </c>
      <c r="AT450" s="316">
        <f>SUMIF(Consumo!$C$3:$C$869,tabItens[[#This Row],[CÓDIGO]],Consumo!$Z$3:$Z$869)</f>
        <v>885</v>
      </c>
      <c r="AU450" s="317">
        <f>SUMIF(Consumo!$C$3:$C$869,tabItens[[#This Row],[CÓDIGO]],Consumo!$AA$3:$AA$869)</f>
        <v>240</v>
      </c>
      <c r="AV450" s="318">
        <f>SUMIF(Consumo!$C$3:$C$869,tabItens[[#This Row],[CÓDIGO]],Consumo!$Y$3:$Y$869)</f>
        <v>70.833333333333329</v>
      </c>
      <c r="AW450" s="291">
        <f>tabItens[[#This Row],[QTDE ATUAL]] + tabItens[[#This Row],[RC QTDE]] + tabItens[[#This Row],[AF SALDO]] + tabItens[[#This Row],[Recentes]]</f>
        <v>2016</v>
      </c>
      <c r="AX450" s="319">
        <v>97</v>
      </c>
      <c r="AY450" s="319">
        <v>4</v>
      </c>
      <c r="AZ450" s="319">
        <f>IF(ISBLANK(tabItens[[#This Row],[CÓDIGO]]),"",tabItens[[#This Row],[PontoMês]] * (AZ$2+tabItens[[#This Row],[PontoQtM]]))</f>
        <v>388</v>
      </c>
      <c r="BA450" s="318">
        <f>tabItens[[#This Row],[PontoPed]] - tabItens[[#This Row],[Saldo]] + (1/10)</f>
        <v>-1627.9</v>
      </c>
      <c r="BB450" s="318">
        <f xml:space="preserve"> tabItens[[#This Row],[PontoMês]] * BB$2 - tabItens[[#This Row],[QTDE ATUAL]] - (1/10)</f>
        <v>-1419.1</v>
      </c>
      <c r="BC450" s="320">
        <f>IF( tabItens[[#This Row],[PontoPed]]&gt;0, IF(tabItens[[#This Row],[PontoPed]]&lt;1, 1, IF( tabItens[[#This Row],[Saldo]]&gt;tabItens[[#This Row],[PontoPed]], 0, (tabItens[[#This Row],[PontoPed]]-tabItens[[#This Row],[Saldo]])/tabItens[[#This Row],[PontoPed]] ) ), 0 )</f>
        <v>0</v>
      </c>
      <c r="BD450" s="321">
        <f>ROUNDDOWN(IF( OR( AND(tabItens[[#This Row],[PontoPed]]&lt;tabItens[[#This Row],[Saldo]],tabItens[[#This Row],[Saldo]]&gt;0), tabItens[[#This Row],[PontoPed]]=0), 99, IF(AND(tabItens[[#This Row],[Saldo]]=0,tabItens[[#This Row],[PontoPed]]&gt;0), 0, (1-tabItens[[#This Row],[PctAb]])*10 ) ),0)</f>
        <v>99</v>
      </c>
      <c r="BE450" s="322">
        <f>MAX(ROUNDDOWN( IF(tabItens[[#This Row],[Abaixo]] &gt; 0,   tabItens[[#This Row],[Abaixo]] + (tabItens[[#This Row],[PontoMês]] * IF( OR( ISBLANK(tabItens[[#This Row],[ATA Nº/ANO]]), tabItens[[#This Row],[ATA Nº/ANO]] = ""),BE$2,BE$1)),0),0),0)</f>
        <v>0</v>
      </c>
      <c r="BF45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23">
        <f>SUMIF(Consumo!$C$3:$C$869,tabItens[[#This Row],[CÓDIGO]],Consumo!$E$3:$E$869)</f>
        <v>0</v>
      </c>
      <c r="BH450" s="324">
        <f>IF(AND(tabItens[[#This Row],[Pend]] &gt; 0,tabItens[[#This Row],[Consumo]] &lt;&gt; 0), tabItens[[#This Row],[Pend]] / tabItens[[#This Row],[Consumo]], 0 )</f>
        <v>0</v>
      </c>
      <c r="BI450" s="323"/>
      <c r="BJ450" s="323"/>
      <c r="BK450" s="325" t="s">
        <v>2064</v>
      </c>
    </row>
    <row r="451" spans="1:63" hidden="1" x14ac:dyDescent="0.3">
      <c r="A451" s="286">
        <v>59942</v>
      </c>
      <c r="B451" s="287" t="s">
        <v>1343</v>
      </c>
      <c r="C451" s="288" t="s">
        <v>294</v>
      </c>
      <c r="D451" s="289">
        <v>32</v>
      </c>
      <c r="E451" s="290"/>
      <c r="F451" s="290"/>
      <c r="G451" s="290" t="s">
        <v>883</v>
      </c>
      <c r="H451" s="291">
        <v>534</v>
      </c>
      <c r="I451" s="292">
        <v>103003</v>
      </c>
      <c r="J451" s="293">
        <v>32</v>
      </c>
      <c r="K451" s="294">
        <v>139</v>
      </c>
      <c r="L451" s="295">
        <f>IF(tabItens[[#This Row],[Média]] &gt; 0, tabItens[[#This Row],[QTDE ATUAL]] / tabItens[[#This Row],[Média]],999.9)</f>
        <v>43.297297297297298</v>
      </c>
      <c r="M451" s="296">
        <v>0</v>
      </c>
      <c r="N451" s="297">
        <f>tabItens[[#This Row],[VALOR UNIT.]] * tabItens[[#This Row],[LC]]</f>
        <v>0</v>
      </c>
      <c r="O451" s="298" t="s">
        <v>2130</v>
      </c>
      <c r="P451" s="299"/>
      <c r="Q451" s="300"/>
      <c r="R451" s="297"/>
      <c r="S451" s="301"/>
      <c r="T451" s="302">
        <f>ROUNDDOWN(IFERROR(tabItens[[#This Row],[ATA DT.VALID.]] - $D$1,0) / 30,0)</f>
        <v>-1504</v>
      </c>
      <c r="U451" s="287" t="s">
        <v>1342</v>
      </c>
      <c r="V451" s="303">
        <v>1</v>
      </c>
      <c r="W451" s="304" t="s">
        <v>2049</v>
      </c>
      <c r="X451" s="305">
        <v>69</v>
      </c>
      <c r="Y451" s="306">
        <v>8</v>
      </c>
      <c r="Z451" s="307"/>
      <c r="AA451" s="308"/>
      <c r="AB451" s="309"/>
      <c r="AC451" s="309"/>
      <c r="AD451" s="308"/>
      <c r="AE451" s="309"/>
      <c r="AF451" s="302"/>
      <c r="AG451" s="310" t="s">
        <v>2050</v>
      </c>
      <c r="AH451" s="311"/>
      <c r="AI451" s="302">
        <v>52</v>
      </c>
      <c r="AJ451" s="311">
        <v>44551</v>
      </c>
      <c r="AK451" s="311" t="s">
        <v>883</v>
      </c>
      <c r="AL451" s="311">
        <v>45068</v>
      </c>
      <c r="AM451" s="301"/>
      <c r="AN451" s="290"/>
      <c r="AO451" s="312" t="str">
        <f>_xlfn.IFNA(IF(VLOOKUP(tabItens[[#This Row],[CÓDIGO]],tabExcluirDoEstoque[#Data],1,FALSE),"sim",""),"")</f>
        <v/>
      </c>
      <c r="AP451" s="313" t="str">
        <f ca="1">IF(OR(ISBLANK(tabItens[[#This Row],[ATA DT.VALID.]]),tabItens[[#This Row],[ATA DT.VALID.]]="",tabItens[[#This Row],[ATA DT.VALID.]]=" "),"",IF(TYPE(tabItens[[#This Row],[ATA DT.VALID.]])=1,ROUNDUP((tabItens[[#This Row],[ATA DT.VALID.]]-TODAY())/7,0),""))</f>
        <v/>
      </c>
      <c r="AQ451" s="314">
        <v>0</v>
      </c>
      <c r="AR451" s="315" t="str">
        <f>IF(ISBLANK(tabItens[[#This Row],[CÓDIGO]]),"",IFERROR(VLOOKUP(tabItens[[#This Row],[CÓDIGO]],Consumo!$C$2:$AC$869,26,FALSE),0))</f>
        <v>07.2023</v>
      </c>
      <c r="AS451" s="316">
        <f>SUMIF(Consumo!$C$3:$C$869,tabItens[[#This Row],[CÓDIGO]],Consumo!$N$3:$N$869) + SUMIF(Consumo!$C$3:$C$869,tabItens[[#This Row],[CÓDIGO]],Consumo!$O$3:$O$869) + SUMIF(Consumo!$C$3:$C$869,tabItens[[#This Row],[CÓDIGO]],Consumo!$P$3:$P$869) + SUMIF(Consumo!$C$3:$C$869,tabItens[[#This Row],[CÓDIGO]],Consumo!$Q$3:$Q$869)</f>
        <v>49</v>
      </c>
      <c r="AT451" s="316">
        <f>SUMIF(Consumo!$C$3:$C$869,tabItens[[#This Row],[CÓDIGO]],Consumo!$Z$3:$Z$869)</f>
        <v>153</v>
      </c>
      <c r="AU451" s="317">
        <f>SUMIF(Consumo!$C$3:$C$869,tabItens[[#This Row],[CÓDIGO]],Consumo!$AA$3:$AA$869)</f>
        <v>49</v>
      </c>
      <c r="AV451" s="318">
        <f>SUMIF(Consumo!$C$3:$C$869,tabItens[[#This Row],[CÓDIGO]],Consumo!$Y$3:$Y$869)</f>
        <v>12.333333333333334</v>
      </c>
      <c r="AW451" s="291">
        <f>tabItens[[#This Row],[QTDE ATUAL]] + tabItens[[#This Row],[RC QTDE]] + tabItens[[#This Row],[AF SALDO]] + tabItens[[#This Row],[Recentes]]</f>
        <v>534</v>
      </c>
      <c r="AX451" s="319">
        <v>44</v>
      </c>
      <c r="AY451" s="319">
        <v>4</v>
      </c>
      <c r="AZ451" s="319">
        <f>IF(ISBLANK(tabItens[[#This Row],[CÓDIGO]]),"",tabItens[[#This Row],[PontoMês]] * (AZ$2+tabItens[[#This Row],[PontoQtM]]))</f>
        <v>176</v>
      </c>
      <c r="BA451" s="318">
        <f>tabItens[[#This Row],[PontoPed]] - tabItens[[#This Row],[Saldo]] + (1/10)</f>
        <v>-357.9</v>
      </c>
      <c r="BB451" s="318">
        <f xml:space="preserve"> tabItens[[#This Row],[PontoMês]] * BB$2 - tabItens[[#This Row],[QTDE ATUAL]] - (1/10)</f>
        <v>-490.1</v>
      </c>
      <c r="BC451" s="320">
        <f>IF( tabItens[[#This Row],[PontoPed]]&gt;0, IF(tabItens[[#This Row],[PontoPed]]&lt;1, 1, IF( tabItens[[#This Row],[Saldo]]&gt;tabItens[[#This Row],[PontoPed]], 0, (tabItens[[#This Row],[PontoPed]]-tabItens[[#This Row],[Saldo]])/tabItens[[#This Row],[PontoPed]] ) ), 0 )</f>
        <v>0</v>
      </c>
      <c r="BD451" s="321">
        <f>ROUNDDOWN(IF( OR( AND(tabItens[[#This Row],[PontoPed]]&lt;tabItens[[#This Row],[Saldo]],tabItens[[#This Row],[Saldo]]&gt;0), tabItens[[#This Row],[PontoPed]]=0), 99, IF(AND(tabItens[[#This Row],[Saldo]]=0,tabItens[[#This Row],[PontoPed]]&gt;0), 0, (1-tabItens[[#This Row],[PctAb]])*10 ) ),0)</f>
        <v>99</v>
      </c>
      <c r="BE451" s="322">
        <f>MAX(ROUNDDOWN( IF(tabItens[[#This Row],[Abaixo]] &gt; 0,   tabItens[[#This Row],[Abaixo]] + (tabItens[[#This Row],[PontoMês]] * IF( OR( ISBLANK(tabItens[[#This Row],[ATA Nº/ANO]]), tabItens[[#This Row],[ATA Nº/ANO]] = ""),BE$2,BE$1)),0),0),0)</f>
        <v>0</v>
      </c>
      <c r="BF4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23">
        <f>SUMIF(Consumo!$C$3:$C$869,tabItens[[#This Row],[CÓDIGO]],Consumo!$E$3:$E$869)</f>
        <v>0</v>
      </c>
      <c r="BH451" s="324">
        <f>IF(AND(tabItens[[#This Row],[Pend]] &gt; 0,tabItens[[#This Row],[Consumo]] &lt;&gt; 0), tabItens[[#This Row],[Pend]] / tabItens[[#This Row],[Consumo]], 0 )</f>
        <v>0</v>
      </c>
      <c r="BI451" s="323"/>
      <c r="BJ451" s="323"/>
      <c r="BK451" s="325" t="s">
        <v>2064</v>
      </c>
    </row>
    <row r="452" spans="1:63" hidden="1" x14ac:dyDescent="0.3">
      <c r="A452" s="286">
        <v>64604</v>
      </c>
      <c r="B452" s="287" t="s">
        <v>1370</v>
      </c>
      <c r="C452" s="288" t="s">
        <v>294</v>
      </c>
      <c r="D452" s="289">
        <v>20.3</v>
      </c>
      <c r="E452" s="290"/>
      <c r="F452" s="290"/>
      <c r="G452" s="290" t="s">
        <v>883</v>
      </c>
      <c r="H452" s="291">
        <v>1371</v>
      </c>
      <c r="I452" s="292">
        <v>103003</v>
      </c>
      <c r="J452" s="293">
        <v>20.3</v>
      </c>
      <c r="K452" s="294">
        <v>38</v>
      </c>
      <c r="L452" s="295">
        <f>IF(tabItens[[#This Row],[Média]] &gt; 0, tabItens[[#This Row],[QTDE ATUAL]] / tabItens[[#This Row],[Média]],999.9)</f>
        <v>587.57142857142856</v>
      </c>
      <c r="M452" s="296">
        <v>0</v>
      </c>
      <c r="N452" s="297">
        <f>tabItens[[#This Row],[VALOR UNIT.]] * tabItens[[#This Row],[LC]]</f>
        <v>0</v>
      </c>
      <c r="O452" s="298" t="s">
        <v>2130</v>
      </c>
      <c r="P452" s="299"/>
      <c r="Q452" s="300"/>
      <c r="R452" s="297"/>
      <c r="S452" s="301"/>
      <c r="T452" s="302">
        <f>ROUNDDOWN(IFERROR(tabItens[[#This Row],[ATA DT.VALID.]] - $D$1,0) / 30,0)</f>
        <v>-1504</v>
      </c>
      <c r="U452" s="287" t="s">
        <v>1342</v>
      </c>
      <c r="V452" s="303">
        <v>1</v>
      </c>
      <c r="W452" s="304" t="s">
        <v>2049</v>
      </c>
      <c r="X452" s="305">
        <v>69</v>
      </c>
      <c r="Y452" s="306">
        <v>8</v>
      </c>
      <c r="Z452" s="307"/>
      <c r="AA452" s="308"/>
      <c r="AB452" s="309"/>
      <c r="AC452" s="309"/>
      <c r="AD452" s="308"/>
      <c r="AE452" s="309"/>
      <c r="AF452" s="302"/>
      <c r="AG452" s="310" t="s">
        <v>2050</v>
      </c>
      <c r="AH452" s="311"/>
      <c r="AI452" s="302">
        <v>28</v>
      </c>
      <c r="AJ452" s="311">
        <v>44551</v>
      </c>
      <c r="AK452" s="311" t="s">
        <v>883</v>
      </c>
      <c r="AL452" s="311">
        <v>45068</v>
      </c>
      <c r="AM452" s="301"/>
      <c r="AN452" s="290"/>
      <c r="AO452" s="312" t="str">
        <f>_xlfn.IFNA(IF(VLOOKUP(tabItens[[#This Row],[CÓDIGO]],tabExcluirDoEstoque[#Data],1,FALSE),"sim",""),"")</f>
        <v/>
      </c>
      <c r="AP452" s="313" t="str">
        <f ca="1">IF(OR(ISBLANK(tabItens[[#This Row],[ATA DT.VALID.]]),tabItens[[#This Row],[ATA DT.VALID.]]="",tabItens[[#This Row],[ATA DT.VALID.]]=" "),"",IF(TYPE(tabItens[[#This Row],[ATA DT.VALID.]])=1,ROUNDUP((tabItens[[#This Row],[ATA DT.VALID.]]-TODAY())/7,0),""))</f>
        <v/>
      </c>
      <c r="AQ452" s="314">
        <v>0</v>
      </c>
      <c r="AR452" s="315" t="str">
        <f>IF(ISBLANK(tabItens[[#This Row],[CÓDIGO]]),"",IFERROR(VLOOKUP(tabItens[[#This Row],[CÓDIGO]],Consumo!$C$2:$AC$869,26,FALSE),0))</f>
        <v>07.2023</v>
      </c>
      <c r="AS452" s="316">
        <f>SUMIF(Consumo!$C$3:$C$869,tabItens[[#This Row],[CÓDIGO]],Consumo!$N$3:$N$869) + SUMIF(Consumo!$C$3:$C$869,tabItens[[#This Row],[CÓDIGO]],Consumo!$O$3:$O$869) + SUMIF(Consumo!$C$3:$C$869,tabItens[[#This Row],[CÓDIGO]],Consumo!$P$3:$P$869) + SUMIF(Consumo!$C$3:$C$869,tabItens[[#This Row],[CÓDIGO]],Consumo!$Q$3:$Q$869)</f>
        <v>5</v>
      </c>
      <c r="AT452" s="316">
        <f>SUMIF(Consumo!$C$3:$C$869,tabItens[[#This Row],[CÓDIGO]],Consumo!$Z$3:$Z$869)</f>
        <v>38</v>
      </c>
      <c r="AU452" s="317">
        <f>SUMIF(Consumo!$C$3:$C$869,tabItens[[#This Row],[CÓDIGO]],Consumo!$AA$3:$AA$869)</f>
        <v>30</v>
      </c>
      <c r="AV452" s="318">
        <f>SUMIF(Consumo!$C$3:$C$869,tabItens[[#This Row],[CÓDIGO]],Consumo!$Y$3:$Y$869)</f>
        <v>2.3333333333333335</v>
      </c>
      <c r="AW452" s="291">
        <f>tabItens[[#This Row],[QTDE ATUAL]] + tabItens[[#This Row],[RC QTDE]] + tabItens[[#This Row],[AF SALDO]] + tabItens[[#This Row],[Recentes]]</f>
        <v>1371</v>
      </c>
      <c r="AX452" s="319">
        <v>25</v>
      </c>
      <c r="AY452" s="319">
        <v>4</v>
      </c>
      <c r="AZ452" s="319">
        <f>IF(ISBLANK(tabItens[[#This Row],[CÓDIGO]]),"",tabItens[[#This Row],[PontoMês]] * (AZ$2+tabItens[[#This Row],[PontoQtM]]))</f>
        <v>100</v>
      </c>
      <c r="BA452" s="318">
        <f>tabItens[[#This Row],[PontoPed]] - tabItens[[#This Row],[Saldo]] + (1/10)</f>
        <v>-1270.9000000000001</v>
      </c>
      <c r="BB452" s="318">
        <f xml:space="preserve"> tabItens[[#This Row],[PontoMês]] * BB$2 - tabItens[[#This Row],[QTDE ATUAL]] - (1/10)</f>
        <v>-1346.1</v>
      </c>
      <c r="BC452" s="320">
        <f>IF( tabItens[[#This Row],[PontoPed]]&gt;0, IF(tabItens[[#This Row],[PontoPed]]&lt;1, 1, IF( tabItens[[#This Row],[Saldo]]&gt;tabItens[[#This Row],[PontoPed]], 0, (tabItens[[#This Row],[PontoPed]]-tabItens[[#This Row],[Saldo]])/tabItens[[#This Row],[PontoPed]] ) ), 0 )</f>
        <v>0</v>
      </c>
      <c r="BD452" s="321">
        <f>ROUNDDOWN(IF( OR( AND(tabItens[[#This Row],[PontoPed]]&lt;tabItens[[#This Row],[Saldo]],tabItens[[#This Row],[Saldo]]&gt;0), tabItens[[#This Row],[PontoPed]]=0), 99, IF(AND(tabItens[[#This Row],[Saldo]]=0,tabItens[[#This Row],[PontoPed]]&gt;0), 0, (1-tabItens[[#This Row],[PctAb]])*10 ) ),0)</f>
        <v>99</v>
      </c>
      <c r="BE452" s="322">
        <f>MAX(ROUNDDOWN( IF(tabItens[[#This Row],[Abaixo]] &gt; 0,   tabItens[[#This Row],[Abaixo]] + (tabItens[[#This Row],[PontoMês]] * IF( OR( ISBLANK(tabItens[[#This Row],[ATA Nº/ANO]]), tabItens[[#This Row],[ATA Nº/ANO]] = ""),BE$2,BE$1)),0),0),0)</f>
        <v>0</v>
      </c>
      <c r="BF4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23">
        <f>SUMIF(Consumo!$C$3:$C$869,tabItens[[#This Row],[CÓDIGO]],Consumo!$E$3:$E$869)</f>
        <v>0</v>
      </c>
      <c r="BH452" s="324">
        <f>IF(AND(tabItens[[#This Row],[Pend]] &gt; 0,tabItens[[#This Row],[Consumo]] &lt;&gt; 0), tabItens[[#This Row],[Pend]] / tabItens[[#This Row],[Consumo]], 0 )</f>
        <v>0</v>
      </c>
      <c r="BI452" s="323"/>
      <c r="BJ452" s="323"/>
      <c r="BK452" s="325" t="s">
        <v>2064</v>
      </c>
    </row>
    <row r="453" spans="1:63" hidden="1" x14ac:dyDescent="0.3">
      <c r="A453" s="286">
        <v>64605</v>
      </c>
      <c r="B453" s="287" t="s">
        <v>1371</v>
      </c>
      <c r="C453" s="288" t="s">
        <v>294</v>
      </c>
      <c r="D453" s="289">
        <v>11.5</v>
      </c>
      <c r="E453" s="290"/>
      <c r="F453" s="290"/>
      <c r="G453" s="290" t="s">
        <v>883</v>
      </c>
      <c r="H453" s="291">
        <v>29</v>
      </c>
      <c r="I453" s="292">
        <v>103003</v>
      </c>
      <c r="J453" s="293">
        <v>11.5</v>
      </c>
      <c r="K453" s="294">
        <v>398</v>
      </c>
      <c r="L453" s="295">
        <f>IF(tabItens[[#This Row],[Média]] &gt; 0, tabItens[[#This Row],[QTDE ATUAL]] / tabItens[[#This Row],[Média]],999.9)</f>
        <v>0.70731707317073167</v>
      </c>
      <c r="M453" s="296">
        <v>0</v>
      </c>
      <c r="N453" s="297">
        <f>tabItens[[#This Row],[VALOR UNIT.]] * tabItens[[#This Row],[LC]]</f>
        <v>0</v>
      </c>
      <c r="O453" s="298" t="s">
        <v>2130</v>
      </c>
      <c r="P453" s="299"/>
      <c r="Q453" s="300"/>
      <c r="R453" s="297"/>
      <c r="S453" s="301"/>
      <c r="T453" s="302">
        <f>ROUNDDOWN(IFERROR(tabItens[[#This Row],[ATA DT.VALID.]] - $D$1,0) / 30,0)</f>
        <v>-1504</v>
      </c>
      <c r="U453" s="287" t="s">
        <v>1342</v>
      </c>
      <c r="V453" s="303">
        <v>1</v>
      </c>
      <c r="W453" s="304" t="s">
        <v>2049</v>
      </c>
      <c r="X453" s="305">
        <v>69</v>
      </c>
      <c r="Y453" s="306">
        <v>8</v>
      </c>
      <c r="Z453" s="307">
        <v>2655</v>
      </c>
      <c r="AA453" s="308">
        <v>2023</v>
      </c>
      <c r="AB453" s="309">
        <v>1000</v>
      </c>
      <c r="AC453" s="309"/>
      <c r="AD453" s="308"/>
      <c r="AE453" s="309"/>
      <c r="AF453" s="302"/>
      <c r="AG453" s="310" t="s">
        <v>2050</v>
      </c>
      <c r="AH453" s="311"/>
      <c r="AI453" s="302">
        <v>190</v>
      </c>
      <c r="AJ453" s="311">
        <v>44551</v>
      </c>
      <c r="AK453" s="311" t="s">
        <v>883</v>
      </c>
      <c r="AL453" s="311">
        <v>44911</v>
      </c>
      <c r="AM453" s="301"/>
      <c r="AN453" s="290"/>
      <c r="AO453" s="312" t="str">
        <f>_xlfn.IFNA(IF(VLOOKUP(tabItens[[#This Row],[CÓDIGO]],tabExcluirDoEstoque[#Data],1,FALSE),"sim",""),"")</f>
        <v/>
      </c>
      <c r="AP453" s="313" t="str">
        <f ca="1">IF(OR(ISBLANK(tabItens[[#This Row],[ATA DT.VALID.]]),tabItens[[#This Row],[ATA DT.VALID.]]="",tabItens[[#This Row],[ATA DT.VALID.]]=" "),"",IF(TYPE(tabItens[[#This Row],[ATA DT.VALID.]])=1,ROUNDUP((tabItens[[#This Row],[ATA DT.VALID.]]-TODAY())/7,0),""))</f>
        <v/>
      </c>
      <c r="AQ453" s="314">
        <v>0</v>
      </c>
      <c r="AR453" s="315" t="str">
        <f>IF(ISBLANK(tabItens[[#This Row],[CÓDIGO]]),"",IFERROR(VLOOKUP(tabItens[[#This Row],[CÓDIGO]],Consumo!$C$2:$AC$869,26,FALSE),0))</f>
        <v>07.2023</v>
      </c>
      <c r="AS453" s="316">
        <f>SUMIF(Consumo!$C$3:$C$869,tabItens[[#This Row],[CÓDIGO]],Consumo!$N$3:$N$869) + SUMIF(Consumo!$C$3:$C$869,tabItens[[#This Row],[CÓDIGO]],Consumo!$O$3:$O$869) + SUMIF(Consumo!$C$3:$C$869,tabItens[[#This Row],[CÓDIGO]],Consumo!$P$3:$P$869) + SUMIF(Consumo!$C$3:$C$869,tabItens[[#This Row],[CÓDIGO]],Consumo!$Q$3:$Q$869)</f>
        <v>161</v>
      </c>
      <c r="AT453" s="316">
        <f>SUMIF(Consumo!$C$3:$C$869,tabItens[[#This Row],[CÓDIGO]],Consumo!$Z$3:$Z$869)</f>
        <v>492</v>
      </c>
      <c r="AU453" s="317">
        <f>SUMIF(Consumo!$C$3:$C$869,tabItens[[#This Row],[CÓDIGO]],Consumo!$AA$3:$AA$869)</f>
        <v>106</v>
      </c>
      <c r="AV453" s="318">
        <f>SUMIF(Consumo!$C$3:$C$869,tabItens[[#This Row],[CÓDIGO]],Consumo!$Y$3:$Y$869)</f>
        <v>41</v>
      </c>
      <c r="AW453" s="291">
        <f>tabItens[[#This Row],[QTDE ATUAL]] + tabItens[[#This Row],[RC QTDE]] + tabItens[[#This Row],[AF SALDO]] + tabItens[[#This Row],[Recentes]]</f>
        <v>1029</v>
      </c>
      <c r="AX453" s="319">
        <v>50</v>
      </c>
      <c r="AY453" s="319">
        <v>4</v>
      </c>
      <c r="AZ453" s="319">
        <f>IF(ISBLANK(tabItens[[#This Row],[CÓDIGO]]),"",tabItens[[#This Row],[PontoMês]] * (AZ$2+tabItens[[#This Row],[PontoQtM]]))</f>
        <v>200</v>
      </c>
      <c r="BA453" s="318">
        <f>tabItens[[#This Row],[PontoPed]] - tabItens[[#This Row],[Saldo]] + (1/10)</f>
        <v>-828.9</v>
      </c>
      <c r="BB453" s="318">
        <f xml:space="preserve"> tabItens[[#This Row],[PontoMês]] * BB$2 - tabItens[[#This Row],[QTDE ATUAL]] - (1/10)</f>
        <v>20.9</v>
      </c>
      <c r="BC453" s="320">
        <f>IF( tabItens[[#This Row],[PontoPed]]&gt;0, IF(tabItens[[#This Row],[PontoPed]]&lt;1, 1, IF( tabItens[[#This Row],[Saldo]]&gt;tabItens[[#This Row],[PontoPed]], 0, (tabItens[[#This Row],[PontoPed]]-tabItens[[#This Row],[Saldo]])/tabItens[[#This Row],[PontoPed]] ) ), 0 )</f>
        <v>0</v>
      </c>
      <c r="BD453" s="321">
        <f>ROUNDDOWN(IF( OR( AND(tabItens[[#This Row],[PontoPed]]&lt;tabItens[[#This Row],[Saldo]],tabItens[[#This Row],[Saldo]]&gt;0), tabItens[[#This Row],[PontoPed]]=0), 99, IF(AND(tabItens[[#This Row],[Saldo]]=0,tabItens[[#This Row],[PontoPed]]&gt;0), 0, (1-tabItens[[#This Row],[PctAb]])*10 ) ),0)</f>
        <v>99</v>
      </c>
      <c r="BE453" s="322">
        <f>MAX(ROUNDDOWN( IF(tabItens[[#This Row],[Abaixo]] &gt; 0,   tabItens[[#This Row],[Abaixo]] + (tabItens[[#This Row],[PontoMês]] * IF( OR( ISBLANK(tabItens[[#This Row],[ATA Nº/ANO]]), tabItens[[#This Row],[ATA Nº/ANO]] = ""),BE$2,BE$1)),0),0),0)</f>
        <v>0</v>
      </c>
      <c r="BF45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23">
        <f>SUMIF(Consumo!$C$3:$C$869,tabItens[[#This Row],[CÓDIGO]],Consumo!$E$3:$E$869)</f>
        <v>0</v>
      </c>
      <c r="BH453" s="324">
        <f>IF(AND(tabItens[[#This Row],[Pend]] &gt; 0,tabItens[[#This Row],[Consumo]] &lt;&gt; 0), tabItens[[#This Row],[Pend]] / tabItens[[#This Row],[Consumo]], 0 )</f>
        <v>0</v>
      </c>
      <c r="BI453" s="323"/>
      <c r="BJ453" s="323"/>
      <c r="BK453" s="325" t="s">
        <v>2064</v>
      </c>
    </row>
    <row r="454" spans="1:63" hidden="1" x14ac:dyDescent="0.3">
      <c r="A454" s="286">
        <v>64627</v>
      </c>
      <c r="B454" s="287" t="s">
        <v>1377</v>
      </c>
      <c r="C454" s="288" t="s">
        <v>294</v>
      </c>
      <c r="D454" s="289">
        <v>66</v>
      </c>
      <c r="E454" s="290"/>
      <c r="F454" s="290"/>
      <c r="G454" s="290" t="s">
        <v>883</v>
      </c>
      <c r="H454" s="291">
        <v>2221</v>
      </c>
      <c r="I454" s="292">
        <v>103003</v>
      </c>
      <c r="J454" s="293">
        <v>66</v>
      </c>
      <c r="K454" s="294">
        <v>55</v>
      </c>
      <c r="L454" s="295">
        <f>IF(tabItens[[#This Row],[Média]] &gt; 0, tabItens[[#This Row],[QTDE ATUAL]] / tabItens[[#This Row],[Média]],999.9)</f>
        <v>619.81395348837202</v>
      </c>
      <c r="M454" s="296">
        <v>0</v>
      </c>
      <c r="N454" s="297">
        <f>tabItens[[#This Row],[VALOR UNIT.]] * tabItens[[#This Row],[LC]]</f>
        <v>0</v>
      </c>
      <c r="O454" s="298" t="s">
        <v>2130</v>
      </c>
      <c r="P454" s="299"/>
      <c r="Q454" s="300"/>
      <c r="R454" s="297"/>
      <c r="S454" s="301"/>
      <c r="T454" s="302">
        <f>ROUNDDOWN(IFERROR(tabItens[[#This Row],[ATA DT.VALID.]] - $D$1,0) / 30,0)</f>
        <v>-1504</v>
      </c>
      <c r="U454" s="287" t="s">
        <v>1342</v>
      </c>
      <c r="V454" s="303">
        <v>1</v>
      </c>
      <c r="W454" s="304" t="s">
        <v>2049</v>
      </c>
      <c r="X454" s="305">
        <v>69</v>
      </c>
      <c r="Y454" s="306">
        <v>8</v>
      </c>
      <c r="Z454" s="307"/>
      <c r="AA454" s="308"/>
      <c r="AB454" s="309"/>
      <c r="AC454" s="309"/>
      <c r="AD454" s="308"/>
      <c r="AE454" s="309"/>
      <c r="AF454" s="302"/>
      <c r="AG454" s="310" t="s">
        <v>2050</v>
      </c>
      <c r="AH454" s="311"/>
      <c r="AI454" s="302">
        <v>18</v>
      </c>
      <c r="AJ454" s="311">
        <v>44579</v>
      </c>
      <c r="AK454" s="311" t="s">
        <v>883</v>
      </c>
      <c r="AL454" s="311">
        <v>44883</v>
      </c>
      <c r="AM454" s="301"/>
      <c r="AN454" s="290"/>
      <c r="AO454" s="312" t="str">
        <f>_xlfn.IFNA(IF(VLOOKUP(tabItens[[#This Row],[CÓDIGO]],tabExcluirDoEstoque[#Data],1,FALSE),"sim",""),"")</f>
        <v/>
      </c>
      <c r="AP454" s="313" t="str">
        <f ca="1">IF(OR(ISBLANK(tabItens[[#This Row],[ATA DT.VALID.]]),tabItens[[#This Row],[ATA DT.VALID.]]="",tabItens[[#This Row],[ATA DT.VALID.]]=" "),"",IF(TYPE(tabItens[[#This Row],[ATA DT.VALID.]])=1,ROUNDUP((tabItens[[#This Row],[ATA DT.VALID.]]-TODAY())/7,0),""))</f>
        <v/>
      </c>
      <c r="AQ454" s="314">
        <v>0</v>
      </c>
      <c r="AR454" s="315" t="str">
        <f>IF(ISBLANK(tabItens[[#This Row],[CÓDIGO]]),"",IFERROR(VLOOKUP(tabItens[[#This Row],[CÓDIGO]],Consumo!$C$2:$AC$869,26,FALSE),0))</f>
        <v>05.2023</v>
      </c>
      <c r="AS454" s="316">
        <f>SUMIF(Consumo!$C$3:$C$869,tabItens[[#This Row],[CÓDIGO]],Consumo!$N$3:$N$869) + SUMIF(Consumo!$C$3:$C$869,tabItens[[#This Row],[CÓDIGO]],Consumo!$O$3:$O$869) + SUMIF(Consumo!$C$3:$C$869,tabItens[[#This Row],[CÓDIGO]],Consumo!$P$3:$P$869) + SUMIF(Consumo!$C$3:$C$869,tabItens[[#This Row],[CÓDIGO]],Consumo!$Q$3:$Q$869)</f>
        <v>40</v>
      </c>
      <c r="AT454" s="316">
        <f>SUMIF(Consumo!$C$3:$C$869,tabItens[[#This Row],[CÓDIGO]],Consumo!$Z$3:$Z$869)</f>
        <v>55</v>
      </c>
      <c r="AU454" s="317">
        <f>SUMIF(Consumo!$C$3:$C$869,tabItens[[#This Row],[CÓDIGO]],Consumo!$AA$3:$AA$869)</f>
        <v>40</v>
      </c>
      <c r="AV454" s="318">
        <f>SUMIF(Consumo!$C$3:$C$869,tabItens[[#This Row],[CÓDIGO]],Consumo!$Y$3:$Y$869)</f>
        <v>3.5833333333333335</v>
      </c>
      <c r="AW454" s="291">
        <f>tabItens[[#This Row],[QTDE ATUAL]] + tabItens[[#This Row],[RC QTDE]] + tabItens[[#This Row],[AF SALDO]] + tabItens[[#This Row],[Recentes]]</f>
        <v>2221</v>
      </c>
      <c r="AX454" s="319">
        <v>50</v>
      </c>
      <c r="AY454" s="319">
        <v>4</v>
      </c>
      <c r="AZ454" s="319">
        <f>IF(ISBLANK(tabItens[[#This Row],[CÓDIGO]]),"",tabItens[[#This Row],[PontoMês]] * (AZ$2+tabItens[[#This Row],[PontoQtM]]))</f>
        <v>200</v>
      </c>
      <c r="BA454" s="318">
        <f>tabItens[[#This Row],[PontoPed]] - tabItens[[#This Row],[Saldo]] + (1/10)</f>
        <v>-2020.9</v>
      </c>
      <c r="BB454" s="318">
        <f xml:space="preserve"> tabItens[[#This Row],[PontoMês]] * BB$2 - tabItens[[#This Row],[QTDE ATUAL]] - (1/10)</f>
        <v>-2171.1</v>
      </c>
      <c r="BC454" s="320">
        <f>IF( tabItens[[#This Row],[PontoPed]]&gt;0, IF(tabItens[[#This Row],[PontoPed]]&lt;1, 1, IF( tabItens[[#This Row],[Saldo]]&gt;tabItens[[#This Row],[PontoPed]], 0, (tabItens[[#This Row],[PontoPed]]-tabItens[[#This Row],[Saldo]])/tabItens[[#This Row],[PontoPed]] ) ), 0 )</f>
        <v>0</v>
      </c>
      <c r="BD454" s="321">
        <f>ROUNDDOWN(IF( OR( AND(tabItens[[#This Row],[PontoPed]]&lt;tabItens[[#This Row],[Saldo]],tabItens[[#This Row],[Saldo]]&gt;0), tabItens[[#This Row],[PontoPed]]=0), 99, IF(AND(tabItens[[#This Row],[Saldo]]=0,tabItens[[#This Row],[PontoPed]]&gt;0), 0, (1-tabItens[[#This Row],[PctAb]])*10 ) ),0)</f>
        <v>99</v>
      </c>
      <c r="BE454" s="322">
        <f>MAX(ROUNDDOWN( IF(tabItens[[#This Row],[Abaixo]] &gt; 0,   tabItens[[#This Row],[Abaixo]] + (tabItens[[#This Row],[PontoMês]] * IF( OR( ISBLANK(tabItens[[#This Row],[ATA Nº/ANO]]), tabItens[[#This Row],[ATA Nº/ANO]] = ""),BE$2,BE$1)),0),0),0)</f>
        <v>0</v>
      </c>
      <c r="BF45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23">
        <f>SUMIF(Consumo!$C$3:$C$869,tabItens[[#This Row],[CÓDIGO]],Consumo!$E$3:$E$869)</f>
        <v>0</v>
      </c>
      <c r="BH454" s="324">
        <f>IF(AND(tabItens[[#This Row],[Pend]] &gt; 0,tabItens[[#This Row],[Consumo]] &lt;&gt; 0), tabItens[[#This Row],[Pend]] / tabItens[[#This Row],[Consumo]], 0 )</f>
        <v>0</v>
      </c>
      <c r="BI454" s="323"/>
      <c r="BJ454" s="323"/>
      <c r="BK454" s="325" t="s">
        <v>2064</v>
      </c>
    </row>
    <row r="455" spans="1:63" hidden="1" x14ac:dyDescent="0.3">
      <c r="A455" s="286">
        <v>64860</v>
      </c>
      <c r="B455" s="287" t="s">
        <v>1387</v>
      </c>
      <c r="C455" s="288" t="s">
        <v>294</v>
      </c>
      <c r="D455" s="289">
        <v>64</v>
      </c>
      <c r="E455" s="290"/>
      <c r="F455" s="290"/>
      <c r="G455" s="290" t="s">
        <v>883</v>
      </c>
      <c r="H455" s="291">
        <v>56</v>
      </c>
      <c r="I455" s="292">
        <v>103003</v>
      </c>
      <c r="J455" s="293">
        <v>64</v>
      </c>
      <c r="K455" s="294">
        <v>211</v>
      </c>
      <c r="L455" s="295">
        <f>IF(tabItens[[#This Row],[Média]] &gt; 0, tabItens[[#This Row],[QTDE ATUAL]] / tabItens[[#This Row],[Média]],999.9)</f>
        <v>4.6993006993006992</v>
      </c>
      <c r="M455" s="296">
        <v>0</v>
      </c>
      <c r="N455" s="297">
        <f>tabItens[[#This Row],[VALOR UNIT.]] * tabItens[[#This Row],[LC]]</f>
        <v>0</v>
      </c>
      <c r="O455" s="298" t="s">
        <v>2130</v>
      </c>
      <c r="P455" s="299"/>
      <c r="Q455" s="300"/>
      <c r="R455" s="297"/>
      <c r="S455" s="301"/>
      <c r="T455" s="302">
        <f>ROUNDDOWN(IFERROR(tabItens[[#This Row],[ATA DT.VALID.]] - $D$1,0) / 30,0)</f>
        <v>-1504</v>
      </c>
      <c r="U455" s="287" t="s">
        <v>1342</v>
      </c>
      <c r="V455" s="303">
        <v>1</v>
      </c>
      <c r="W455" s="304" t="s">
        <v>2049</v>
      </c>
      <c r="X455" s="305">
        <v>69</v>
      </c>
      <c r="Y455" s="306">
        <v>8</v>
      </c>
      <c r="Z455" s="307">
        <v>2991</v>
      </c>
      <c r="AA455" s="308">
        <v>2023</v>
      </c>
      <c r="AB455" s="309">
        <v>50</v>
      </c>
      <c r="AC455" s="309"/>
      <c r="AD455" s="308"/>
      <c r="AE455" s="309"/>
      <c r="AF455" s="302"/>
      <c r="AG455" s="310" t="s">
        <v>2050</v>
      </c>
      <c r="AH455" s="311"/>
      <c r="AI455" s="302">
        <v>70</v>
      </c>
      <c r="AJ455" s="311">
        <v>44410</v>
      </c>
      <c r="AK455" s="311" t="s">
        <v>883</v>
      </c>
      <c r="AL455" s="311">
        <v>44883</v>
      </c>
      <c r="AM455" s="301"/>
      <c r="AN455" s="290"/>
      <c r="AO455" s="312" t="str">
        <f>_xlfn.IFNA(IF(VLOOKUP(tabItens[[#This Row],[CÓDIGO]],tabExcluirDoEstoque[#Data],1,FALSE),"sim",""),"")</f>
        <v/>
      </c>
      <c r="AP455" s="313" t="str">
        <f ca="1">IF(OR(ISBLANK(tabItens[[#This Row],[ATA DT.VALID.]]),tabItens[[#This Row],[ATA DT.VALID.]]="",tabItens[[#This Row],[ATA DT.VALID.]]=" "),"",IF(TYPE(tabItens[[#This Row],[ATA DT.VALID.]])=1,ROUNDUP((tabItens[[#This Row],[ATA DT.VALID.]]-TODAY())/7,0),""))</f>
        <v/>
      </c>
      <c r="AQ455" s="314">
        <v>0</v>
      </c>
      <c r="AR455" s="315" t="str">
        <f>IF(ISBLANK(tabItens[[#This Row],[CÓDIGO]]),"",IFERROR(VLOOKUP(tabItens[[#This Row],[CÓDIGO]],Consumo!$C$2:$AC$869,26,FALSE),0))</f>
        <v>02.2023</v>
      </c>
      <c r="AS455" s="316">
        <f>SUMIF(Consumo!$C$3:$C$869,tabItens[[#This Row],[CÓDIGO]],Consumo!$N$3:$N$869) + SUMIF(Consumo!$C$3:$C$869,tabItens[[#This Row],[CÓDIGO]],Consumo!$O$3:$O$869) + SUMIF(Consumo!$C$3:$C$869,tabItens[[#This Row],[CÓDIGO]],Consumo!$P$3:$P$869) + SUMIF(Consumo!$C$3:$C$869,tabItens[[#This Row],[CÓDIGO]],Consumo!$Q$3:$Q$869)</f>
        <v>0</v>
      </c>
      <c r="AT455" s="316">
        <f>SUMIF(Consumo!$C$3:$C$869,tabItens[[#This Row],[CÓDIGO]],Consumo!$Z$3:$Z$869)</f>
        <v>211</v>
      </c>
      <c r="AU455" s="317">
        <f>SUMIF(Consumo!$C$3:$C$869,tabItens[[#This Row],[CÓDIGO]],Consumo!$AA$3:$AA$869)</f>
        <v>200</v>
      </c>
      <c r="AV455" s="318">
        <f>SUMIF(Consumo!$C$3:$C$869,tabItens[[#This Row],[CÓDIGO]],Consumo!$Y$3:$Y$869)</f>
        <v>11.916666666666666</v>
      </c>
      <c r="AW455" s="291">
        <f>tabItens[[#This Row],[QTDE ATUAL]] + tabItens[[#This Row],[RC QTDE]] + tabItens[[#This Row],[AF SALDO]] + tabItens[[#This Row],[Recentes]]</f>
        <v>106</v>
      </c>
      <c r="AX455" s="319">
        <v>10</v>
      </c>
      <c r="AY455" s="319">
        <v>4</v>
      </c>
      <c r="AZ455" s="319">
        <f>IF(ISBLANK(tabItens[[#This Row],[CÓDIGO]]),"",tabItens[[#This Row],[PontoMês]] * (AZ$2+tabItens[[#This Row],[PontoQtM]]))</f>
        <v>40</v>
      </c>
      <c r="BA455" s="318">
        <f>tabItens[[#This Row],[PontoPed]] - tabItens[[#This Row],[Saldo]] + (1/10)</f>
        <v>-65.900000000000006</v>
      </c>
      <c r="BB455" s="318">
        <f xml:space="preserve"> tabItens[[#This Row],[PontoMês]] * BB$2 - tabItens[[#This Row],[QTDE ATUAL]] - (1/10)</f>
        <v>-46.1</v>
      </c>
      <c r="BC455" s="320">
        <f>IF( tabItens[[#This Row],[PontoPed]]&gt;0, IF(tabItens[[#This Row],[PontoPed]]&lt;1, 1, IF( tabItens[[#This Row],[Saldo]]&gt;tabItens[[#This Row],[PontoPed]], 0, (tabItens[[#This Row],[PontoPed]]-tabItens[[#This Row],[Saldo]])/tabItens[[#This Row],[PontoPed]] ) ), 0 )</f>
        <v>0</v>
      </c>
      <c r="BD455" s="321">
        <f>ROUNDDOWN(IF( OR( AND(tabItens[[#This Row],[PontoPed]]&lt;tabItens[[#This Row],[Saldo]],tabItens[[#This Row],[Saldo]]&gt;0), tabItens[[#This Row],[PontoPed]]=0), 99, IF(AND(tabItens[[#This Row],[Saldo]]=0,tabItens[[#This Row],[PontoPed]]&gt;0), 0, (1-tabItens[[#This Row],[PctAb]])*10 ) ),0)</f>
        <v>99</v>
      </c>
      <c r="BE455" s="322">
        <f>MAX(ROUNDDOWN( IF(tabItens[[#This Row],[Abaixo]] &gt; 0,   tabItens[[#This Row],[Abaixo]] + (tabItens[[#This Row],[PontoMês]] * IF( OR( ISBLANK(tabItens[[#This Row],[ATA Nº/ANO]]), tabItens[[#This Row],[ATA Nº/ANO]] = ""),BE$2,BE$1)),0),0),0)</f>
        <v>0</v>
      </c>
      <c r="BF45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23">
        <f>SUMIF(Consumo!$C$3:$C$869,tabItens[[#This Row],[CÓDIGO]],Consumo!$E$3:$E$869)</f>
        <v>0</v>
      </c>
      <c r="BH455" s="324">
        <f>IF(AND(tabItens[[#This Row],[Pend]] &gt; 0,tabItens[[#This Row],[Consumo]] &lt;&gt; 0), tabItens[[#This Row],[Pend]] / tabItens[[#This Row],[Consumo]], 0 )</f>
        <v>0</v>
      </c>
      <c r="BI455" s="323"/>
      <c r="BJ455" s="323"/>
      <c r="BK455" s="325" t="s">
        <v>2064</v>
      </c>
    </row>
    <row r="456" spans="1:63" hidden="1" x14ac:dyDescent="0.3">
      <c r="A456" s="286">
        <v>64861</v>
      </c>
      <c r="B456" s="287" t="s">
        <v>1388</v>
      </c>
      <c r="C456" s="288" t="s">
        <v>294</v>
      </c>
      <c r="D456" s="289">
        <v>38.89</v>
      </c>
      <c r="E456" s="290"/>
      <c r="F456" s="290"/>
      <c r="G456" s="290" t="s">
        <v>883</v>
      </c>
      <c r="H456" s="291">
        <v>1790</v>
      </c>
      <c r="I456" s="292">
        <v>103003</v>
      </c>
      <c r="J456" s="293">
        <v>38.89</v>
      </c>
      <c r="K456" s="294">
        <v>10</v>
      </c>
      <c r="L456" s="295">
        <f>IF(tabItens[[#This Row],[Média]] &gt; 0, tabItens[[#This Row],[QTDE ATUAL]] / tabItens[[#This Row],[Média]],999.9)</f>
        <v>3580</v>
      </c>
      <c r="M456" s="296">
        <v>0</v>
      </c>
      <c r="N456" s="297">
        <f>tabItens[[#This Row],[VALOR UNIT.]] * tabItens[[#This Row],[LC]]</f>
        <v>0</v>
      </c>
      <c r="O456" s="298" t="s">
        <v>2130</v>
      </c>
      <c r="P456" s="299"/>
      <c r="Q456" s="300"/>
      <c r="R456" s="297"/>
      <c r="S456" s="301"/>
      <c r="T456" s="302">
        <f>ROUNDDOWN(IFERROR(tabItens[[#This Row],[ATA DT.VALID.]] - $D$1,0) / 30,0)</f>
        <v>-1504</v>
      </c>
      <c r="U456" s="287" t="s">
        <v>1342</v>
      </c>
      <c r="V456" s="303">
        <v>1</v>
      </c>
      <c r="W456" s="304" t="s">
        <v>2049</v>
      </c>
      <c r="X456" s="305">
        <v>69</v>
      </c>
      <c r="Y456" s="306">
        <v>8</v>
      </c>
      <c r="Z456" s="307"/>
      <c r="AA456" s="308"/>
      <c r="AB456" s="309"/>
      <c r="AC456" s="309"/>
      <c r="AD456" s="308"/>
      <c r="AE456" s="309"/>
      <c r="AF456" s="302"/>
      <c r="AG456" s="310" t="s">
        <v>2050</v>
      </c>
      <c r="AH456" s="311"/>
      <c r="AI456" s="302">
        <v>4</v>
      </c>
      <c r="AJ456" s="311">
        <v>44579</v>
      </c>
      <c r="AK456" s="311" t="s">
        <v>883</v>
      </c>
      <c r="AL456" s="311">
        <v>44883</v>
      </c>
      <c r="AM456" s="301"/>
      <c r="AN456" s="290"/>
      <c r="AO456" s="312" t="str">
        <f>_xlfn.IFNA(IF(VLOOKUP(tabItens[[#This Row],[CÓDIGO]],tabExcluirDoEstoque[#Data],1,FALSE),"sim",""),"")</f>
        <v/>
      </c>
      <c r="AP456" s="313" t="str">
        <f ca="1">IF(OR(ISBLANK(tabItens[[#This Row],[ATA DT.VALID.]]),tabItens[[#This Row],[ATA DT.VALID.]]="",tabItens[[#This Row],[ATA DT.VALID.]]=" "),"",IF(TYPE(tabItens[[#This Row],[ATA DT.VALID.]])=1,ROUNDUP((tabItens[[#This Row],[ATA DT.VALID.]]-TODAY())/7,0),""))</f>
        <v/>
      </c>
      <c r="AQ456" s="314">
        <v>0</v>
      </c>
      <c r="AR456" s="315" t="str">
        <f>IF(ISBLANK(tabItens[[#This Row],[CÓDIGO]]),"",IFERROR(VLOOKUP(tabItens[[#This Row],[CÓDIGO]],Consumo!$C$2:$AC$869,26,FALSE),0))</f>
        <v>08.2022</v>
      </c>
      <c r="AS456" s="316">
        <f>SUMIF(Consumo!$C$3:$C$869,tabItens[[#This Row],[CÓDIGO]],Consumo!$N$3:$N$869) + SUMIF(Consumo!$C$3:$C$869,tabItens[[#This Row],[CÓDIGO]],Consumo!$O$3:$O$869) + SUMIF(Consumo!$C$3:$C$869,tabItens[[#This Row],[CÓDIGO]],Consumo!$P$3:$P$869) + SUMIF(Consumo!$C$3:$C$869,tabItens[[#This Row],[CÓDIGO]],Consumo!$Q$3:$Q$869)</f>
        <v>0</v>
      </c>
      <c r="AT456" s="316">
        <f>SUMIF(Consumo!$C$3:$C$869,tabItens[[#This Row],[CÓDIGO]],Consumo!$Z$3:$Z$869)</f>
        <v>10</v>
      </c>
      <c r="AU456" s="317">
        <f>SUMIF(Consumo!$C$3:$C$869,tabItens[[#This Row],[CÓDIGO]],Consumo!$AA$3:$AA$869)</f>
        <v>10</v>
      </c>
      <c r="AV456" s="318">
        <f>SUMIF(Consumo!$C$3:$C$869,tabItens[[#This Row],[CÓDIGO]],Consumo!$Y$3:$Y$869)</f>
        <v>0.5</v>
      </c>
      <c r="AW456" s="291">
        <f>tabItens[[#This Row],[QTDE ATUAL]] + tabItens[[#This Row],[RC QTDE]] + tabItens[[#This Row],[AF SALDO]] + tabItens[[#This Row],[Recentes]]</f>
        <v>1790</v>
      </c>
      <c r="AX456" s="319">
        <v>35</v>
      </c>
      <c r="AY456" s="319">
        <v>4</v>
      </c>
      <c r="AZ456" s="319">
        <f>IF(ISBLANK(tabItens[[#This Row],[CÓDIGO]]),"",tabItens[[#This Row],[PontoMês]] * (AZ$2+tabItens[[#This Row],[PontoQtM]]))</f>
        <v>140</v>
      </c>
      <c r="BA456" s="318">
        <f>tabItens[[#This Row],[PontoPed]] - tabItens[[#This Row],[Saldo]] + (1/10)</f>
        <v>-1649.9</v>
      </c>
      <c r="BB456" s="318">
        <f xml:space="preserve"> tabItens[[#This Row],[PontoMês]] * BB$2 - tabItens[[#This Row],[QTDE ATUAL]] - (1/10)</f>
        <v>-1755.1</v>
      </c>
      <c r="BC456" s="320">
        <f>IF( tabItens[[#This Row],[PontoPed]]&gt;0, IF(tabItens[[#This Row],[PontoPed]]&lt;1, 1, IF( tabItens[[#This Row],[Saldo]]&gt;tabItens[[#This Row],[PontoPed]], 0, (tabItens[[#This Row],[PontoPed]]-tabItens[[#This Row],[Saldo]])/tabItens[[#This Row],[PontoPed]] ) ), 0 )</f>
        <v>0</v>
      </c>
      <c r="BD456" s="321">
        <f>ROUNDDOWN(IF( OR( AND(tabItens[[#This Row],[PontoPed]]&lt;tabItens[[#This Row],[Saldo]],tabItens[[#This Row],[Saldo]]&gt;0), tabItens[[#This Row],[PontoPed]]=0), 99, IF(AND(tabItens[[#This Row],[Saldo]]=0,tabItens[[#This Row],[PontoPed]]&gt;0), 0, (1-tabItens[[#This Row],[PctAb]])*10 ) ),0)</f>
        <v>99</v>
      </c>
      <c r="BE456" s="322">
        <f>MAX(ROUNDDOWN( IF(tabItens[[#This Row],[Abaixo]] &gt; 0,   tabItens[[#This Row],[Abaixo]] + (tabItens[[#This Row],[PontoMês]] * IF( OR( ISBLANK(tabItens[[#This Row],[ATA Nº/ANO]]), tabItens[[#This Row],[ATA Nº/ANO]] = ""),BE$2,BE$1)),0),0),0)</f>
        <v>0</v>
      </c>
      <c r="BF45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23">
        <f>SUMIF(Consumo!$C$3:$C$869,tabItens[[#This Row],[CÓDIGO]],Consumo!$E$3:$E$869)</f>
        <v>0</v>
      </c>
      <c r="BH456" s="324">
        <f>IF(AND(tabItens[[#This Row],[Pend]] &gt; 0,tabItens[[#This Row],[Consumo]] &lt;&gt; 0), tabItens[[#This Row],[Pend]] / tabItens[[#This Row],[Consumo]], 0 )</f>
        <v>0</v>
      </c>
      <c r="BI456" s="323"/>
      <c r="BJ456" s="323"/>
      <c r="BK456" s="325" t="s">
        <v>2064</v>
      </c>
    </row>
    <row r="457" spans="1:63" hidden="1" x14ac:dyDescent="0.3">
      <c r="A457" s="286">
        <v>77786</v>
      </c>
      <c r="B457" s="287" t="s">
        <v>1424</v>
      </c>
      <c r="C457" s="288" t="s">
        <v>256</v>
      </c>
      <c r="D457" s="289">
        <v>115</v>
      </c>
      <c r="E457" s="290"/>
      <c r="F457" s="290"/>
      <c r="G457" s="290" t="s">
        <v>883</v>
      </c>
      <c r="H457" s="291">
        <v>50</v>
      </c>
      <c r="I457" s="292">
        <v>103003</v>
      </c>
      <c r="J457" s="293">
        <v>115</v>
      </c>
      <c r="K457" s="294"/>
      <c r="L457" s="295">
        <f>IF(tabItens[[#This Row],[Média]] &gt; 0, tabItens[[#This Row],[QTDE ATUAL]] / tabItens[[#This Row],[Média]],999.9)</f>
        <v>999.9</v>
      </c>
      <c r="M457" s="296">
        <v>0</v>
      </c>
      <c r="N457" s="297">
        <f>tabItens[[#This Row],[VALOR UNIT.]] * tabItens[[#This Row],[LC]]</f>
        <v>0</v>
      </c>
      <c r="O457" s="298" t="s">
        <v>2130</v>
      </c>
      <c r="P457" s="299"/>
      <c r="Q457" s="300"/>
      <c r="R457" s="297"/>
      <c r="S457" s="301"/>
      <c r="T457" s="302">
        <f>ROUNDDOWN(IFERROR(tabItens[[#This Row],[ATA DT.VALID.]] - $D$1,0) / 30,0)</f>
        <v>-1504</v>
      </c>
      <c r="U457" s="287" t="s">
        <v>1342</v>
      </c>
      <c r="V457" s="303">
        <v>1</v>
      </c>
      <c r="W457" s="304" t="s">
        <v>2049</v>
      </c>
      <c r="X457" s="305">
        <v>69</v>
      </c>
      <c r="Y457" s="306">
        <v>8</v>
      </c>
      <c r="Z457" s="307"/>
      <c r="AA457" s="308"/>
      <c r="AB457" s="309"/>
      <c r="AC457" s="309"/>
      <c r="AD457" s="308"/>
      <c r="AE457" s="309"/>
      <c r="AF457" s="302"/>
      <c r="AG457" s="310" t="s">
        <v>2050</v>
      </c>
      <c r="AH457" s="311"/>
      <c r="AI457" s="302">
        <v>0</v>
      </c>
      <c r="AJ457" s="311">
        <v>44067</v>
      </c>
      <c r="AK457" s="311">
        <v>38064</v>
      </c>
      <c r="AL457" s="311">
        <v>44047</v>
      </c>
      <c r="AM457" s="301"/>
      <c r="AN457" s="290"/>
      <c r="AO457" s="312" t="str">
        <f>_xlfn.IFNA(IF(VLOOKUP(tabItens[[#This Row],[CÓDIGO]],tabExcluirDoEstoque[#Data],1,FALSE),"sim",""),"")</f>
        <v/>
      </c>
      <c r="AP457" s="313" t="str">
        <f ca="1">IF(OR(ISBLANK(tabItens[[#This Row],[ATA DT.VALID.]]),tabItens[[#This Row],[ATA DT.VALID.]]="",tabItens[[#This Row],[ATA DT.VALID.]]=" "),"",IF(TYPE(tabItens[[#This Row],[ATA DT.VALID.]])=1,ROUNDUP((tabItens[[#This Row],[ATA DT.VALID.]]-TODAY())/7,0),""))</f>
        <v/>
      </c>
      <c r="AQ457" s="314">
        <v>0</v>
      </c>
      <c r="AR457" s="315">
        <f>IF(ISBLANK(tabItens[[#This Row],[CÓDIGO]]),"",IFERROR(VLOOKUP(tabItens[[#This Row],[CÓDIGO]],Consumo!$C$2:$AC$869,26,FALSE),0))</f>
        <v>0</v>
      </c>
      <c r="AS457" s="316">
        <f>SUMIF(Consumo!$C$3:$C$869,tabItens[[#This Row],[CÓDIGO]],Consumo!$N$3:$N$869) + SUMIF(Consumo!$C$3:$C$869,tabItens[[#This Row],[CÓDIGO]],Consumo!$O$3:$O$869) + SUMIF(Consumo!$C$3:$C$869,tabItens[[#This Row],[CÓDIGO]],Consumo!$P$3:$P$869) + SUMIF(Consumo!$C$3:$C$869,tabItens[[#This Row],[CÓDIGO]],Consumo!$Q$3:$Q$869)</f>
        <v>0</v>
      </c>
      <c r="AT457" s="316">
        <f>SUMIF(Consumo!$C$3:$C$869,tabItens[[#This Row],[CÓDIGO]],Consumo!$Z$3:$Z$869)</f>
        <v>0</v>
      </c>
      <c r="AU457" s="317">
        <f>SUMIF(Consumo!$C$3:$C$869,tabItens[[#This Row],[CÓDIGO]],Consumo!$AA$3:$AA$869)</f>
        <v>0</v>
      </c>
      <c r="AV457" s="318">
        <f>SUMIF(Consumo!$C$3:$C$869,tabItens[[#This Row],[CÓDIGO]],Consumo!$Y$3:$Y$869)</f>
        <v>0</v>
      </c>
      <c r="AW457" s="291">
        <f>tabItens[[#This Row],[QTDE ATUAL]] + tabItens[[#This Row],[RC QTDE]] + tabItens[[#This Row],[AF SALDO]] + tabItens[[#This Row],[Recentes]]</f>
        <v>50</v>
      </c>
      <c r="AX457" s="319">
        <v>5</v>
      </c>
      <c r="AY457" s="319">
        <v>4</v>
      </c>
      <c r="AZ457" s="319">
        <f>IF(ISBLANK(tabItens[[#This Row],[CÓDIGO]]),"",tabItens[[#This Row],[PontoMês]] * (AZ$2+tabItens[[#This Row],[PontoQtM]]))</f>
        <v>20</v>
      </c>
      <c r="BA457" s="318">
        <f>tabItens[[#This Row],[PontoPed]] - tabItens[[#This Row],[Saldo]] + (1/10)</f>
        <v>-29.9</v>
      </c>
      <c r="BB457" s="318">
        <f xml:space="preserve"> tabItens[[#This Row],[PontoMês]] * BB$2 - tabItens[[#This Row],[QTDE ATUAL]] - (1/10)</f>
        <v>-45.1</v>
      </c>
      <c r="BC457" s="320">
        <f>IF( tabItens[[#This Row],[PontoPed]]&gt;0, IF(tabItens[[#This Row],[PontoPed]]&lt;1, 1, IF( tabItens[[#This Row],[Saldo]]&gt;tabItens[[#This Row],[PontoPed]], 0, (tabItens[[#This Row],[PontoPed]]-tabItens[[#This Row],[Saldo]])/tabItens[[#This Row],[PontoPed]] ) ), 0 )</f>
        <v>0</v>
      </c>
      <c r="BD457" s="321">
        <f>ROUNDDOWN(IF( OR( AND(tabItens[[#This Row],[PontoPed]]&lt;tabItens[[#This Row],[Saldo]],tabItens[[#This Row],[Saldo]]&gt;0), tabItens[[#This Row],[PontoPed]]=0), 99, IF(AND(tabItens[[#This Row],[Saldo]]=0,tabItens[[#This Row],[PontoPed]]&gt;0), 0, (1-tabItens[[#This Row],[PctAb]])*10 ) ),0)</f>
        <v>99</v>
      </c>
      <c r="BE457" s="322">
        <f>MAX(ROUNDDOWN( IF(tabItens[[#This Row],[Abaixo]] &gt; 0,   tabItens[[#This Row],[Abaixo]] + (tabItens[[#This Row],[PontoMês]] * IF( OR( ISBLANK(tabItens[[#This Row],[ATA Nº/ANO]]), tabItens[[#This Row],[ATA Nº/ANO]] = ""),BE$2,BE$1)),0),0),0)</f>
        <v>0</v>
      </c>
      <c r="BF45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23">
        <f>SUMIF(Consumo!$C$3:$C$869,tabItens[[#This Row],[CÓDIGO]],Consumo!$E$3:$E$869)</f>
        <v>0</v>
      </c>
      <c r="BH457" s="324">
        <f>IF(AND(tabItens[[#This Row],[Pend]] &gt; 0,tabItens[[#This Row],[Consumo]] &lt;&gt; 0), tabItens[[#This Row],[Pend]] / tabItens[[#This Row],[Consumo]], 0 )</f>
        <v>0</v>
      </c>
      <c r="BI457" s="323"/>
      <c r="BJ457" s="323"/>
      <c r="BK457" s="325" t="s">
        <v>2064</v>
      </c>
    </row>
    <row r="458" spans="1:63" hidden="1" x14ac:dyDescent="0.3">
      <c r="A458" s="286">
        <v>61046</v>
      </c>
      <c r="B458" s="287" t="s">
        <v>1350</v>
      </c>
      <c r="C458" s="288" t="s">
        <v>294</v>
      </c>
      <c r="D458" s="289">
        <v>144</v>
      </c>
      <c r="E458" s="290"/>
      <c r="F458" s="290"/>
      <c r="G458" s="290" t="s">
        <v>883</v>
      </c>
      <c r="H458" s="291">
        <v>496</v>
      </c>
      <c r="I458" s="292">
        <v>103003</v>
      </c>
      <c r="J458" s="293">
        <v>144</v>
      </c>
      <c r="K458" s="294">
        <v>15</v>
      </c>
      <c r="L458" s="295">
        <f>IF(tabItens[[#This Row],[Média]] &gt; 0, tabItens[[#This Row],[QTDE ATUAL]] / tabItens[[#This Row],[Média]],999.9)</f>
        <v>396.8</v>
      </c>
      <c r="M458" s="296">
        <v>0</v>
      </c>
      <c r="N458" s="297">
        <f>tabItens[[#This Row],[VALOR UNIT.]] * tabItens[[#This Row],[LC]]</f>
        <v>0</v>
      </c>
      <c r="O458" s="298" t="s">
        <v>2131</v>
      </c>
      <c r="P458" s="299"/>
      <c r="Q458" s="300"/>
      <c r="R458" s="297"/>
      <c r="S458" s="301"/>
      <c r="T458" s="302">
        <f>ROUNDDOWN(IFERROR(tabItens[[#This Row],[ATA DT.VALID.]] - $D$1,0) / 30,0)</f>
        <v>-1504</v>
      </c>
      <c r="U458" s="287" t="s">
        <v>1258</v>
      </c>
      <c r="V458" s="303">
        <v>1</v>
      </c>
      <c r="W458" s="304" t="s">
        <v>2056</v>
      </c>
      <c r="X458" s="305">
        <v>69</v>
      </c>
      <c r="Y458" s="306">
        <v>3</v>
      </c>
      <c r="Z458" s="307"/>
      <c r="AA458" s="308"/>
      <c r="AB458" s="309"/>
      <c r="AC458" s="309"/>
      <c r="AD458" s="308"/>
      <c r="AE458" s="309"/>
      <c r="AF458" s="302"/>
      <c r="AG458" s="310" t="s">
        <v>2050</v>
      </c>
      <c r="AH458" s="311"/>
      <c r="AI458" s="302">
        <v>6</v>
      </c>
      <c r="AJ458" s="311">
        <v>44510</v>
      </c>
      <c r="AK458" s="311" t="s">
        <v>883</v>
      </c>
      <c r="AL458" s="311">
        <v>44483</v>
      </c>
      <c r="AM458" s="301"/>
      <c r="AN458" s="290"/>
      <c r="AO458" s="312" t="str">
        <f>_xlfn.IFNA(IF(VLOOKUP(tabItens[[#This Row],[CÓDIGO]],tabExcluirDoEstoque[#Data],1,FALSE),"sim",""),"")</f>
        <v/>
      </c>
      <c r="AP458" s="313" t="str">
        <f ca="1">IF(OR(ISBLANK(tabItens[[#This Row],[ATA DT.VALID.]]),tabItens[[#This Row],[ATA DT.VALID.]]="",tabItens[[#This Row],[ATA DT.VALID.]]=" "),"",IF(TYPE(tabItens[[#This Row],[ATA DT.VALID.]])=1,ROUNDUP((tabItens[[#This Row],[ATA DT.VALID.]]-TODAY())/7,0),""))</f>
        <v/>
      </c>
      <c r="AQ458" s="314">
        <v>0</v>
      </c>
      <c r="AR458" s="315" t="str">
        <f>IF(ISBLANK(tabItens[[#This Row],[CÓDIGO]]),"",IFERROR(VLOOKUP(tabItens[[#This Row],[CÓDIGO]],Consumo!$C$2:$AC$869,26,FALSE),0))</f>
        <v>03.2023</v>
      </c>
      <c r="AS458" s="316">
        <f>SUMIF(Consumo!$C$3:$C$869,tabItens[[#This Row],[CÓDIGO]],Consumo!$N$3:$N$869) + SUMIF(Consumo!$C$3:$C$869,tabItens[[#This Row],[CÓDIGO]],Consumo!$O$3:$O$869) + SUMIF(Consumo!$C$3:$C$869,tabItens[[#This Row],[CÓDIGO]],Consumo!$P$3:$P$869) + SUMIF(Consumo!$C$3:$C$869,tabItens[[#This Row],[CÓDIGO]],Consumo!$Q$3:$Q$869)</f>
        <v>0</v>
      </c>
      <c r="AT458" s="316">
        <f>SUMIF(Consumo!$C$3:$C$869,tabItens[[#This Row],[CÓDIGO]],Consumo!$Z$3:$Z$869)</f>
        <v>15</v>
      </c>
      <c r="AU458" s="317">
        <f>SUMIF(Consumo!$C$3:$C$869,tabItens[[#This Row],[CÓDIGO]],Consumo!$AA$3:$AA$869)</f>
        <v>4</v>
      </c>
      <c r="AV458" s="318">
        <f>SUMIF(Consumo!$C$3:$C$869,tabItens[[#This Row],[CÓDIGO]],Consumo!$Y$3:$Y$869)</f>
        <v>1.25</v>
      </c>
      <c r="AW458" s="291">
        <f>tabItens[[#This Row],[QTDE ATUAL]] + tabItens[[#This Row],[RC QTDE]] + tabItens[[#This Row],[AF SALDO]] + tabItens[[#This Row],[Recentes]]</f>
        <v>496</v>
      </c>
      <c r="AX458" s="319">
        <v>8</v>
      </c>
      <c r="AY458" s="319">
        <v>4</v>
      </c>
      <c r="AZ458" s="319">
        <f>IF(ISBLANK(tabItens[[#This Row],[CÓDIGO]]),"",tabItens[[#This Row],[PontoMês]] * (AZ$2+tabItens[[#This Row],[PontoQtM]]))</f>
        <v>32</v>
      </c>
      <c r="BA458" s="318">
        <f>tabItens[[#This Row],[PontoPed]] - tabItens[[#This Row],[Saldo]] + (1/10)</f>
        <v>-463.9</v>
      </c>
      <c r="BB458" s="318">
        <f xml:space="preserve"> tabItens[[#This Row],[PontoMês]] * BB$2 - tabItens[[#This Row],[QTDE ATUAL]] - (1/10)</f>
        <v>-488.1</v>
      </c>
      <c r="BC458" s="320">
        <f>IF( tabItens[[#This Row],[PontoPed]]&gt;0, IF(tabItens[[#This Row],[PontoPed]]&lt;1, 1, IF( tabItens[[#This Row],[Saldo]]&gt;tabItens[[#This Row],[PontoPed]], 0, (tabItens[[#This Row],[PontoPed]]-tabItens[[#This Row],[Saldo]])/tabItens[[#This Row],[PontoPed]] ) ), 0 )</f>
        <v>0</v>
      </c>
      <c r="BD458" s="321">
        <f>ROUNDDOWN(IF( OR( AND(tabItens[[#This Row],[PontoPed]]&lt;tabItens[[#This Row],[Saldo]],tabItens[[#This Row],[Saldo]]&gt;0), tabItens[[#This Row],[PontoPed]]=0), 99, IF(AND(tabItens[[#This Row],[Saldo]]=0,tabItens[[#This Row],[PontoPed]]&gt;0), 0, (1-tabItens[[#This Row],[PctAb]])*10 ) ),0)</f>
        <v>99</v>
      </c>
      <c r="BE458" s="322">
        <f>MAX(ROUNDDOWN( IF(tabItens[[#This Row],[Abaixo]] &gt; 0,   tabItens[[#This Row],[Abaixo]] + (tabItens[[#This Row],[PontoMês]] * IF( OR( ISBLANK(tabItens[[#This Row],[ATA Nº/ANO]]), tabItens[[#This Row],[ATA Nº/ANO]] = ""),BE$2,BE$1)),0),0),0)</f>
        <v>0</v>
      </c>
      <c r="BF45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23">
        <f>SUMIF(Consumo!$C$3:$C$869,tabItens[[#This Row],[CÓDIGO]],Consumo!$E$3:$E$869)</f>
        <v>0</v>
      </c>
      <c r="BH458" s="324">
        <f>IF(AND(tabItens[[#This Row],[Pend]] &gt; 0,tabItens[[#This Row],[Consumo]] &lt;&gt; 0), tabItens[[#This Row],[Pend]] / tabItens[[#This Row],[Consumo]], 0 )</f>
        <v>0</v>
      </c>
      <c r="BI458" s="323"/>
      <c r="BJ458" s="323"/>
      <c r="BK458" s="325" t="s">
        <v>2064</v>
      </c>
    </row>
    <row r="459" spans="1:63" hidden="1" x14ac:dyDescent="0.3">
      <c r="A459" s="286">
        <v>64607</v>
      </c>
      <c r="B459" s="287" t="s">
        <v>1372</v>
      </c>
      <c r="C459" s="288" t="s">
        <v>294</v>
      </c>
      <c r="D459" s="289">
        <v>49.4</v>
      </c>
      <c r="E459" s="290"/>
      <c r="F459" s="290"/>
      <c r="G459" s="290" t="s">
        <v>883</v>
      </c>
      <c r="H459" s="291">
        <v>736</v>
      </c>
      <c r="I459" s="292">
        <v>103003</v>
      </c>
      <c r="J459" s="293">
        <v>49.4</v>
      </c>
      <c r="K459" s="294">
        <v>699</v>
      </c>
      <c r="L459" s="295">
        <f>IF(tabItens[[#This Row],[Média]] &gt; 0, tabItens[[#This Row],[QTDE ATUAL]] / tabItens[[#This Row],[Média]],999.9)</f>
        <v>12.56330014224751</v>
      </c>
      <c r="M459" s="296">
        <v>0</v>
      </c>
      <c r="N459" s="297">
        <f>tabItens[[#This Row],[VALOR UNIT.]] * tabItens[[#This Row],[LC]]</f>
        <v>0</v>
      </c>
      <c r="O459" s="298" t="s">
        <v>2131</v>
      </c>
      <c r="P459" s="299"/>
      <c r="Q459" s="300"/>
      <c r="R459" s="297"/>
      <c r="S459" s="301"/>
      <c r="T459" s="302">
        <f>ROUNDDOWN(IFERROR(tabItens[[#This Row],[ATA DT.VALID.]] - $D$1,0) / 30,0)</f>
        <v>-1504</v>
      </c>
      <c r="U459" s="287" t="s">
        <v>1258</v>
      </c>
      <c r="V459" s="303">
        <v>1</v>
      </c>
      <c r="W459" s="304" t="s">
        <v>2056</v>
      </c>
      <c r="X459" s="305">
        <v>69</v>
      </c>
      <c r="Y459" s="306">
        <v>3</v>
      </c>
      <c r="Z459" s="307"/>
      <c r="AA459" s="308"/>
      <c r="AB459" s="309"/>
      <c r="AC459" s="309">
        <v>8862</v>
      </c>
      <c r="AD459" s="308">
        <v>2023</v>
      </c>
      <c r="AE459" s="309">
        <v>500</v>
      </c>
      <c r="AF459" s="302">
        <v>500</v>
      </c>
      <c r="AG459" s="310" t="s">
        <v>2039</v>
      </c>
      <c r="AH459" s="311">
        <v>45159</v>
      </c>
      <c r="AI459" s="302">
        <v>234</v>
      </c>
      <c r="AJ459" s="311">
        <v>44893</v>
      </c>
      <c r="AK459" s="311" t="s">
        <v>883</v>
      </c>
      <c r="AL459" s="311">
        <v>45128</v>
      </c>
      <c r="AM459" s="301"/>
      <c r="AN459" s="290"/>
      <c r="AO459" s="312" t="str">
        <f>_xlfn.IFNA(IF(VLOOKUP(tabItens[[#This Row],[CÓDIGO]],tabExcluirDoEstoque[#Data],1,FALSE),"sim",""),"")</f>
        <v/>
      </c>
      <c r="AP459" s="313" t="str">
        <f ca="1">IF(OR(ISBLANK(tabItens[[#This Row],[ATA DT.VALID.]]),tabItens[[#This Row],[ATA DT.VALID.]]="",tabItens[[#This Row],[ATA DT.VALID.]]=" "),"",IF(TYPE(tabItens[[#This Row],[ATA DT.VALID.]])=1,ROUNDUP((tabItens[[#This Row],[ATA DT.VALID.]]-TODAY())/7,0),""))</f>
        <v/>
      </c>
      <c r="AQ459" s="314">
        <v>0</v>
      </c>
      <c r="AR459" s="315" t="str">
        <f>IF(ISBLANK(tabItens[[#This Row],[CÓDIGO]]),"",IFERROR(VLOOKUP(tabItens[[#This Row],[CÓDIGO]],Consumo!$C$2:$AC$869,26,FALSE),0))</f>
        <v>07.2023</v>
      </c>
      <c r="AS459" s="316">
        <f>SUMIF(Consumo!$C$3:$C$869,tabItens[[#This Row],[CÓDIGO]],Consumo!$N$3:$N$869) + SUMIF(Consumo!$C$3:$C$869,tabItens[[#This Row],[CÓDIGO]],Consumo!$O$3:$O$869) + SUMIF(Consumo!$C$3:$C$869,tabItens[[#This Row],[CÓDIGO]],Consumo!$P$3:$P$869) + SUMIF(Consumo!$C$3:$C$869,tabItens[[#This Row],[CÓDIGO]],Consumo!$Q$3:$Q$869)</f>
        <v>300</v>
      </c>
      <c r="AT459" s="316">
        <f>SUMIF(Consumo!$C$3:$C$869,tabItens[[#This Row],[CÓDIGO]],Consumo!$Z$3:$Z$869)</f>
        <v>703</v>
      </c>
      <c r="AU459" s="317">
        <f>SUMIF(Consumo!$C$3:$C$869,tabItens[[#This Row],[CÓDIGO]],Consumo!$AA$3:$AA$869)</f>
        <v>190</v>
      </c>
      <c r="AV459" s="318">
        <f>SUMIF(Consumo!$C$3:$C$869,tabItens[[#This Row],[CÓDIGO]],Consumo!$Y$3:$Y$869)</f>
        <v>58.583333333333336</v>
      </c>
      <c r="AW459" s="291">
        <f>tabItens[[#This Row],[QTDE ATUAL]] + tabItens[[#This Row],[RC QTDE]] + tabItens[[#This Row],[AF SALDO]] + tabItens[[#This Row],[Recentes]]</f>
        <v>1236</v>
      </c>
      <c r="AX459" s="319">
        <v>27</v>
      </c>
      <c r="AY459" s="319">
        <v>4</v>
      </c>
      <c r="AZ459" s="319">
        <f>IF(ISBLANK(tabItens[[#This Row],[CÓDIGO]]),"",tabItens[[#This Row],[PontoMês]] * (AZ$2+tabItens[[#This Row],[PontoQtM]]))</f>
        <v>108</v>
      </c>
      <c r="BA459" s="318">
        <f>tabItens[[#This Row],[PontoPed]] - tabItens[[#This Row],[Saldo]] + (1/10)</f>
        <v>-1127.9000000000001</v>
      </c>
      <c r="BB459" s="318">
        <f xml:space="preserve"> tabItens[[#This Row],[PontoMês]] * BB$2 - tabItens[[#This Row],[QTDE ATUAL]] - (1/10)</f>
        <v>-709.1</v>
      </c>
      <c r="BC459" s="320">
        <f>IF( tabItens[[#This Row],[PontoPed]]&gt;0, IF(tabItens[[#This Row],[PontoPed]]&lt;1, 1, IF( tabItens[[#This Row],[Saldo]]&gt;tabItens[[#This Row],[PontoPed]], 0, (tabItens[[#This Row],[PontoPed]]-tabItens[[#This Row],[Saldo]])/tabItens[[#This Row],[PontoPed]] ) ), 0 )</f>
        <v>0</v>
      </c>
      <c r="BD459" s="321">
        <f>ROUNDDOWN(IF( OR( AND(tabItens[[#This Row],[PontoPed]]&lt;tabItens[[#This Row],[Saldo]],tabItens[[#This Row],[Saldo]]&gt;0), tabItens[[#This Row],[PontoPed]]=0), 99, IF(AND(tabItens[[#This Row],[Saldo]]=0,tabItens[[#This Row],[PontoPed]]&gt;0), 0, (1-tabItens[[#This Row],[PctAb]])*10 ) ),0)</f>
        <v>99</v>
      </c>
      <c r="BE459" s="322">
        <f>MAX(ROUNDDOWN( IF(tabItens[[#This Row],[Abaixo]] &gt; 0,   tabItens[[#This Row],[Abaixo]] + (tabItens[[#This Row],[PontoMês]] * IF( OR( ISBLANK(tabItens[[#This Row],[ATA Nº/ANO]]), tabItens[[#This Row],[ATA Nº/ANO]] = ""),BE$2,BE$1)),0),0),0)</f>
        <v>0</v>
      </c>
      <c r="BF45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23">
        <f>SUMIF(Consumo!$C$3:$C$869,tabItens[[#This Row],[CÓDIGO]],Consumo!$E$3:$E$869)</f>
        <v>4</v>
      </c>
      <c r="BH459" s="324">
        <f>IF(AND(tabItens[[#This Row],[Pend]] &gt; 0,tabItens[[#This Row],[Consumo]] &lt;&gt; 0), tabItens[[#This Row],[Pend]] / tabItens[[#This Row],[Consumo]], 0 )</f>
        <v>5.6899004267425323E-3</v>
      </c>
      <c r="BI459" s="323"/>
      <c r="BJ459" s="323"/>
      <c r="BK459" s="325" t="s">
        <v>2064</v>
      </c>
    </row>
    <row r="460" spans="1:63" hidden="1" x14ac:dyDescent="0.3">
      <c r="A460" s="286">
        <v>64609</v>
      </c>
      <c r="B460" s="287" t="s">
        <v>1373</v>
      </c>
      <c r="C460" s="288" t="s">
        <v>294</v>
      </c>
      <c r="D460" s="289">
        <v>62</v>
      </c>
      <c r="E460" s="290"/>
      <c r="F460" s="290"/>
      <c r="G460" s="290" t="s">
        <v>883</v>
      </c>
      <c r="H460" s="291">
        <v>435</v>
      </c>
      <c r="I460" s="292">
        <v>103003</v>
      </c>
      <c r="J460" s="293">
        <v>62</v>
      </c>
      <c r="K460" s="294">
        <v>320</v>
      </c>
      <c r="L460" s="295">
        <f>IF(tabItens[[#This Row],[Média]] &gt; 0, tabItens[[#This Row],[QTDE ATUAL]] / tabItens[[#This Row],[Média]],999.9)</f>
        <v>15.086705202312139</v>
      </c>
      <c r="M460" s="296">
        <v>0</v>
      </c>
      <c r="N460" s="297">
        <f>tabItens[[#This Row],[VALOR UNIT.]] * tabItens[[#This Row],[LC]]</f>
        <v>0</v>
      </c>
      <c r="O460" s="298" t="s">
        <v>2131</v>
      </c>
      <c r="P460" s="299"/>
      <c r="Q460" s="300"/>
      <c r="R460" s="297"/>
      <c r="S460" s="301"/>
      <c r="T460" s="302">
        <f>ROUNDDOWN(IFERROR(tabItens[[#This Row],[ATA DT.VALID.]] - $D$1,0) / 30,0)</f>
        <v>-1504</v>
      </c>
      <c r="U460" s="287" t="s">
        <v>1258</v>
      </c>
      <c r="V460" s="303">
        <v>1</v>
      </c>
      <c r="W460" s="304" t="s">
        <v>2056</v>
      </c>
      <c r="X460" s="305">
        <v>69</v>
      </c>
      <c r="Y460" s="306">
        <v>3</v>
      </c>
      <c r="Z460" s="307"/>
      <c r="AA460" s="308"/>
      <c r="AB460" s="309"/>
      <c r="AC460" s="309"/>
      <c r="AD460" s="308"/>
      <c r="AE460" s="309"/>
      <c r="AF460" s="302"/>
      <c r="AG460" s="310" t="s">
        <v>2050</v>
      </c>
      <c r="AH460" s="311"/>
      <c r="AI460" s="302">
        <v>120</v>
      </c>
      <c r="AJ460" s="311">
        <v>44510</v>
      </c>
      <c r="AK460" s="311" t="s">
        <v>883</v>
      </c>
      <c r="AL460" s="311">
        <v>44781</v>
      </c>
      <c r="AM460" s="301"/>
      <c r="AN460" s="290"/>
      <c r="AO460" s="312" t="str">
        <f>_xlfn.IFNA(IF(VLOOKUP(tabItens[[#This Row],[CÓDIGO]],tabExcluirDoEstoque[#Data],1,FALSE),"sim",""),"")</f>
        <v/>
      </c>
      <c r="AP460" s="313" t="str">
        <f ca="1">IF(OR(ISBLANK(tabItens[[#This Row],[ATA DT.VALID.]]),tabItens[[#This Row],[ATA DT.VALID.]]="",tabItens[[#This Row],[ATA DT.VALID.]]=" "),"",IF(TYPE(tabItens[[#This Row],[ATA DT.VALID.]])=1,ROUNDUP((tabItens[[#This Row],[ATA DT.VALID.]]-TODAY())/7,0),""))</f>
        <v/>
      </c>
      <c r="AQ460" s="314">
        <v>0</v>
      </c>
      <c r="AR460" s="315" t="str">
        <f>IF(ISBLANK(tabItens[[#This Row],[CÓDIGO]]),"",IFERROR(VLOOKUP(tabItens[[#This Row],[CÓDIGO]],Consumo!$C$2:$AC$869,26,FALSE),0))</f>
        <v>06.2023</v>
      </c>
      <c r="AS460" s="316">
        <f>SUMIF(Consumo!$C$3:$C$869,tabItens[[#This Row],[CÓDIGO]],Consumo!$N$3:$N$869) + SUMIF(Consumo!$C$3:$C$869,tabItens[[#This Row],[CÓDIGO]],Consumo!$O$3:$O$869) + SUMIF(Consumo!$C$3:$C$869,tabItens[[#This Row],[CÓDIGO]],Consumo!$P$3:$P$869) + SUMIF(Consumo!$C$3:$C$869,tabItens[[#This Row],[CÓDIGO]],Consumo!$Q$3:$Q$869)</f>
        <v>100</v>
      </c>
      <c r="AT460" s="316">
        <f>SUMIF(Consumo!$C$3:$C$869,tabItens[[#This Row],[CÓDIGO]],Consumo!$Z$3:$Z$869)</f>
        <v>356</v>
      </c>
      <c r="AU460" s="317">
        <f>SUMIF(Consumo!$C$3:$C$869,tabItens[[#This Row],[CÓDIGO]],Consumo!$AA$3:$AA$869)</f>
        <v>100</v>
      </c>
      <c r="AV460" s="318">
        <f>SUMIF(Consumo!$C$3:$C$869,tabItens[[#This Row],[CÓDIGO]],Consumo!$Y$3:$Y$869)</f>
        <v>28.833333333333332</v>
      </c>
      <c r="AW460" s="291">
        <f>tabItens[[#This Row],[QTDE ATUAL]] + tabItens[[#This Row],[RC QTDE]] + tabItens[[#This Row],[AF SALDO]] + tabItens[[#This Row],[Recentes]]</f>
        <v>435</v>
      </c>
      <c r="AX460" s="319">
        <v>28</v>
      </c>
      <c r="AY460" s="319">
        <v>4</v>
      </c>
      <c r="AZ460" s="319">
        <f>IF(ISBLANK(tabItens[[#This Row],[CÓDIGO]]),"",tabItens[[#This Row],[PontoMês]] * (AZ$2+tabItens[[#This Row],[PontoQtM]]))</f>
        <v>112</v>
      </c>
      <c r="BA460" s="318">
        <f>tabItens[[#This Row],[PontoPed]] - tabItens[[#This Row],[Saldo]] + (1/10)</f>
        <v>-322.89999999999998</v>
      </c>
      <c r="BB460" s="318">
        <f xml:space="preserve"> tabItens[[#This Row],[PontoMês]] * BB$2 - tabItens[[#This Row],[QTDE ATUAL]] - (1/10)</f>
        <v>-407.1</v>
      </c>
      <c r="BC460" s="320">
        <f>IF( tabItens[[#This Row],[PontoPed]]&gt;0, IF(tabItens[[#This Row],[PontoPed]]&lt;1, 1, IF( tabItens[[#This Row],[Saldo]]&gt;tabItens[[#This Row],[PontoPed]], 0, (tabItens[[#This Row],[PontoPed]]-tabItens[[#This Row],[Saldo]])/tabItens[[#This Row],[PontoPed]] ) ), 0 )</f>
        <v>0</v>
      </c>
      <c r="BD460" s="321">
        <f>ROUNDDOWN(IF( OR( AND(tabItens[[#This Row],[PontoPed]]&lt;tabItens[[#This Row],[Saldo]],tabItens[[#This Row],[Saldo]]&gt;0), tabItens[[#This Row],[PontoPed]]=0), 99, IF(AND(tabItens[[#This Row],[Saldo]]=0,tabItens[[#This Row],[PontoPed]]&gt;0), 0, (1-tabItens[[#This Row],[PctAb]])*10 ) ),0)</f>
        <v>99</v>
      </c>
      <c r="BE460" s="322">
        <f>MAX(ROUNDDOWN( IF(tabItens[[#This Row],[Abaixo]] &gt; 0,   tabItens[[#This Row],[Abaixo]] + (tabItens[[#This Row],[PontoMês]] * IF( OR( ISBLANK(tabItens[[#This Row],[ATA Nº/ANO]]), tabItens[[#This Row],[ATA Nº/ANO]] = ""),BE$2,BE$1)),0),0),0)</f>
        <v>0</v>
      </c>
      <c r="BF46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23">
        <f>SUMIF(Consumo!$C$3:$C$869,tabItens[[#This Row],[CÓDIGO]],Consumo!$E$3:$E$869)</f>
        <v>0</v>
      </c>
      <c r="BH460" s="324">
        <f>IF(AND(tabItens[[#This Row],[Pend]] &gt; 0,tabItens[[#This Row],[Consumo]] &lt;&gt; 0), tabItens[[#This Row],[Pend]] / tabItens[[#This Row],[Consumo]], 0 )</f>
        <v>0</v>
      </c>
      <c r="BI460" s="323"/>
      <c r="BJ460" s="323"/>
      <c r="BK460" s="325" t="s">
        <v>2064</v>
      </c>
    </row>
    <row r="461" spans="1:63" hidden="1" x14ac:dyDescent="0.3">
      <c r="A461" s="286">
        <v>64625</v>
      </c>
      <c r="B461" s="287" t="s">
        <v>1375</v>
      </c>
      <c r="C461" s="288" t="s">
        <v>294</v>
      </c>
      <c r="D461" s="289">
        <v>61.42</v>
      </c>
      <c r="E461" s="290"/>
      <c r="F461" s="290"/>
      <c r="G461" s="290" t="s">
        <v>883</v>
      </c>
      <c r="H461" s="291">
        <v>677</v>
      </c>
      <c r="I461" s="292">
        <v>103003</v>
      </c>
      <c r="J461" s="293">
        <v>61.42</v>
      </c>
      <c r="K461" s="294">
        <v>75</v>
      </c>
      <c r="L461" s="295">
        <f>IF(tabItens[[#This Row],[Média]] &gt; 0, tabItens[[#This Row],[QTDE ATUAL]] / tabItens[[#This Row],[Média]],999.9)</f>
        <v>116.05714285714286</v>
      </c>
      <c r="M461" s="296">
        <v>0</v>
      </c>
      <c r="N461" s="297">
        <f>tabItens[[#This Row],[VALOR UNIT.]] * tabItens[[#This Row],[LC]]</f>
        <v>0</v>
      </c>
      <c r="O461" s="298" t="s">
        <v>2131</v>
      </c>
      <c r="P461" s="299"/>
      <c r="Q461" s="300"/>
      <c r="R461" s="297"/>
      <c r="S461" s="301"/>
      <c r="T461" s="302">
        <f>ROUNDDOWN(IFERROR(tabItens[[#This Row],[ATA DT.VALID.]] - $D$1,0) / 30,0)</f>
        <v>-1504</v>
      </c>
      <c r="U461" s="287" t="s">
        <v>1342</v>
      </c>
      <c r="V461" s="303">
        <v>1</v>
      </c>
      <c r="W461" s="304" t="s">
        <v>2049</v>
      </c>
      <c r="X461" s="305">
        <v>69</v>
      </c>
      <c r="Y461" s="306">
        <v>8</v>
      </c>
      <c r="Z461" s="307"/>
      <c r="AA461" s="308"/>
      <c r="AB461" s="309"/>
      <c r="AC461" s="309"/>
      <c r="AD461" s="308"/>
      <c r="AE461" s="309"/>
      <c r="AF461" s="302"/>
      <c r="AG461" s="310" t="s">
        <v>2050</v>
      </c>
      <c r="AH461" s="311"/>
      <c r="AI461" s="302">
        <v>26</v>
      </c>
      <c r="AJ461" s="311">
        <v>44893</v>
      </c>
      <c r="AK461" s="311" t="s">
        <v>883</v>
      </c>
      <c r="AL461" s="311">
        <v>44881</v>
      </c>
      <c r="AM461" s="301"/>
      <c r="AN461" s="290"/>
      <c r="AO461" s="312" t="str">
        <f>_xlfn.IFNA(IF(VLOOKUP(tabItens[[#This Row],[CÓDIGO]],tabExcluirDoEstoque[#Data],1,FALSE),"sim",""),"")</f>
        <v/>
      </c>
      <c r="AP461" s="313" t="str">
        <f ca="1">IF(OR(ISBLANK(tabItens[[#This Row],[ATA DT.VALID.]]),tabItens[[#This Row],[ATA DT.VALID.]]="",tabItens[[#This Row],[ATA DT.VALID.]]=" "),"",IF(TYPE(tabItens[[#This Row],[ATA DT.VALID.]])=1,ROUNDUP((tabItens[[#This Row],[ATA DT.VALID.]]-TODAY())/7,0),""))</f>
        <v/>
      </c>
      <c r="AQ461" s="314">
        <v>0</v>
      </c>
      <c r="AR461" s="315" t="str">
        <f>IF(ISBLANK(tabItens[[#This Row],[CÓDIGO]]),"",IFERROR(VLOOKUP(tabItens[[#This Row],[CÓDIGO]],Consumo!$C$2:$AC$869,26,FALSE),0))</f>
        <v>02.2023</v>
      </c>
      <c r="AS461" s="316">
        <f>SUMIF(Consumo!$C$3:$C$869,tabItens[[#This Row],[CÓDIGO]],Consumo!$N$3:$N$869) + SUMIF(Consumo!$C$3:$C$869,tabItens[[#This Row],[CÓDIGO]],Consumo!$O$3:$O$869) + SUMIF(Consumo!$C$3:$C$869,tabItens[[#This Row],[CÓDIGO]],Consumo!$P$3:$P$869) + SUMIF(Consumo!$C$3:$C$869,tabItens[[#This Row],[CÓDIGO]],Consumo!$Q$3:$Q$869)</f>
        <v>0</v>
      </c>
      <c r="AT461" s="316">
        <f>SUMIF(Consumo!$C$3:$C$869,tabItens[[#This Row],[CÓDIGO]],Consumo!$Z$3:$Z$869)</f>
        <v>75</v>
      </c>
      <c r="AU461" s="317">
        <f>SUMIF(Consumo!$C$3:$C$869,tabItens[[#This Row],[CÓDIGO]],Consumo!$AA$3:$AA$869)</f>
        <v>35</v>
      </c>
      <c r="AV461" s="318">
        <f>SUMIF(Consumo!$C$3:$C$869,tabItens[[#This Row],[CÓDIGO]],Consumo!$Y$3:$Y$869)</f>
        <v>5.833333333333333</v>
      </c>
      <c r="AW461" s="291">
        <f>tabItens[[#This Row],[QTDE ATUAL]] + tabItens[[#This Row],[RC QTDE]] + tabItens[[#This Row],[AF SALDO]] + tabItens[[#This Row],[Recentes]]</f>
        <v>677</v>
      </c>
      <c r="AX461" s="319">
        <v>34</v>
      </c>
      <c r="AY461" s="319">
        <v>4</v>
      </c>
      <c r="AZ461" s="319">
        <f>IF(ISBLANK(tabItens[[#This Row],[CÓDIGO]]),"",tabItens[[#This Row],[PontoMês]] * (AZ$2+tabItens[[#This Row],[PontoQtM]]))</f>
        <v>136</v>
      </c>
      <c r="BA461" s="318">
        <f>tabItens[[#This Row],[PontoPed]] - tabItens[[#This Row],[Saldo]] + (1/10)</f>
        <v>-540.9</v>
      </c>
      <c r="BB461" s="318">
        <f xml:space="preserve"> tabItens[[#This Row],[PontoMês]] * BB$2 - tabItens[[#This Row],[QTDE ATUAL]] - (1/10)</f>
        <v>-643.1</v>
      </c>
      <c r="BC461" s="320">
        <f>IF( tabItens[[#This Row],[PontoPed]]&gt;0, IF(tabItens[[#This Row],[PontoPed]]&lt;1, 1, IF( tabItens[[#This Row],[Saldo]]&gt;tabItens[[#This Row],[PontoPed]], 0, (tabItens[[#This Row],[PontoPed]]-tabItens[[#This Row],[Saldo]])/tabItens[[#This Row],[PontoPed]] ) ), 0 )</f>
        <v>0</v>
      </c>
      <c r="BD461" s="321">
        <f>ROUNDDOWN(IF( OR( AND(tabItens[[#This Row],[PontoPed]]&lt;tabItens[[#This Row],[Saldo]],tabItens[[#This Row],[Saldo]]&gt;0), tabItens[[#This Row],[PontoPed]]=0), 99, IF(AND(tabItens[[#This Row],[Saldo]]=0,tabItens[[#This Row],[PontoPed]]&gt;0), 0, (1-tabItens[[#This Row],[PctAb]])*10 ) ),0)</f>
        <v>99</v>
      </c>
      <c r="BE461" s="322">
        <f>MAX(ROUNDDOWN( IF(tabItens[[#This Row],[Abaixo]] &gt; 0,   tabItens[[#This Row],[Abaixo]] + (tabItens[[#This Row],[PontoMês]] * IF( OR( ISBLANK(tabItens[[#This Row],[ATA Nº/ANO]]), tabItens[[#This Row],[ATA Nº/ANO]] = ""),BE$2,BE$1)),0),0),0)</f>
        <v>0</v>
      </c>
      <c r="BF4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23">
        <f>SUMIF(Consumo!$C$3:$C$869,tabItens[[#This Row],[CÓDIGO]],Consumo!$E$3:$E$869)</f>
        <v>0</v>
      </c>
      <c r="BH461" s="324">
        <f>IF(AND(tabItens[[#This Row],[Pend]] &gt; 0,tabItens[[#This Row],[Consumo]] &lt;&gt; 0), tabItens[[#This Row],[Pend]] / tabItens[[#This Row],[Consumo]], 0 )</f>
        <v>0</v>
      </c>
      <c r="BI461" s="323"/>
      <c r="BJ461" s="323"/>
      <c r="BK461" s="325" t="s">
        <v>2064</v>
      </c>
    </row>
    <row r="462" spans="1:63" hidden="1" x14ac:dyDescent="0.3">
      <c r="A462" s="286">
        <v>64817</v>
      </c>
      <c r="B462" s="287" t="s">
        <v>1385</v>
      </c>
      <c r="C462" s="288" t="s">
        <v>294</v>
      </c>
      <c r="D462" s="289">
        <v>16</v>
      </c>
      <c r="E462" s="290"/>
      <c r="F462" s="290"/>
      <c r="G462" s="290" t="s">
        <v>883</v>
      </c>
      <c r="H462" s="291">
        <v>86</v>
      </c>
      <c r="I462" s="292">
        <v>103003</v>
      </c>
      <c r="J462" s="293">
        <v>16</v>
      </c>
      <c r="K462" s="294">
        <v>4</v>
      </c>
      <c r="L462" s="295">
        <f>IF(tabItens[[#This Row],[Média]] &gt; 0, tabItens[[#This Row],[QTDE ATUAL]] / tabItens[[#This Row],[Média]],999.9)</f>
        <v>516</v>
      </c>
      <c r="M462" s="296">
        <v>0</v>
      </c>
      <c r="N462" s="297">
        <f>tabItens[[#This Row],[VALOR UNIT.]] * tabItens[[#This Row],[LC]]</f>
        <v>0</v>
      </c>
      <c r="O462" s="298" t="s">
        <v>2131</v>
      </c>
      <c r="P462" s="299"/>
      <c r="Q462" s="300"/>
      <c r="R462" s="297"/>
      <c r="S462" s="301"/>
      <c r="T462" s="302">
        <f>ROUNDDOWN(IFERROR(tabItens[[#This Row],[ATA DT.VALID.]] - $D$1,0) / 30,0)</f>
        <v>-1504</v>
      </c>
      <c r="U462" s="287" t="s">
        <v>1342</v>
      </c>
      <c r="V462" s="303">
        <v>1</v>
      </c>
      <c r="W462" s="304" t="s">
        <v>2049</v>
      </c>
      <c r="X462" s="305">
        <v>69</v>
      </c>
      <c r="Y462" s="306">
        <v>8</v>
      </c>
      <c r="Z462" s="307"/>
      <c r="AA462" s="308"/>
      <c r="AB462" s="309"/>
      <c r="AC462" s="309"/>
      <c r="AD462" s="308"/>
      <c r="AE462" s="309"/>
      <c r="AF462" s="302"/>
      <c r="AG462" s="310" t="s">
        <v>2050</v>
      </c>
      <c r="AH462" s="311"/>
      <c r="AI462" s="302">
        <v>2</v>
      </c>
      <c r="AJ462" s="311">
        <v>43788</v>
      </c>
      <c r="AK462" s="311" t="s">
        <v>883</v>
      </c>
      <c r="AL462" s="311">
        <v>44012</v>
      </c>
      <c r="AM462" s="301"/>
      <c r="AN462" s="290"/>
      <c r="AO462" s="312" t="str">
        <f>_xlfn.IFNA(IF(VLOOKUP(tabItens[[#This Row],[CÓDIGO]],tabExcluirDoEstoque[#Data],1,FALSE),"sim",""),"")</f>
        <v/>
      </c>
      <c r="AP462" s="313" t="str">
        <f ca="1">IF(OR(ISBLANK(tabItens[[#This Row],[ATA DT.VALID.]]),tabItens[[#This Row],[ATA DT.VALID.]]="",tabItens[[#This Row],[ATA DT.VALID.]]=" "),"",IF(TYPE(tabItens[[#This Row],[ATA DT.VALID.]])=1,ROUNDUP((tabItens[[#This Row],[ATA DT.VALID.]]-TODAY())/7,0),""))</f>
        <v/>
      </c>
      <c r="AQ462" s="314">
        <v>0</v>
      </c>
      <c r="AR462" s="315" t="str">
        <f>IF(ISBLANK(tabItens[[#This Row],[CÓDIGO]]),"",IFERROR(VLOOKUP(tabItens[[#This Row],[CÓDIGO]],Consumo!$C$2:$AC$869,26,FALSE),0))</f>
        <v>01.2023</v>
      </c>
      <c r="AS462" s="316">
        <f>SUMIF(Consumo!$C$3:$C$869,tabItens[[#This Row],[CÓDIGO]],Consumo!$N$3:$N$869) + SUMIF(Consumo!$C$3:$C$869,tabItens[[#This Row],[CÓDIGO]],Consumo!$O$3:$O$869) + SUMIF(Consumo!$C$3:$C$869,tabItens[[#This Row],[CÓDIGO]],Consumo!$P$3:$P$869) + SUMIF(Consumo!$C$3:$C$869,tabItens[[#This Row],[CÓDIGO]],Consumo!$Q$3:$Q$869)</f>
        <v>0</v>
      </c>
      <c r="AT462" s="316">
        <f>SUMIF(Consumo!$C$3:$C$869,tabItens[[#This Row],[CÓDIGO]],Consumo!$Z$3:$Z$869)</f>
        <v>4</v>
      </c>
      <c r="AU462" s="317">
        <f>SUMIF(Consumo!$C$3:$C$869,tabItens[[#This Row],[CÓDIGO]],Consumo!$AA$3:$AA$869)</f>
        <v>2</v>
      </c>
      <c r="AV462" s="318">
        <f>SUMIF(Consumo!$C$3:$C$869,tabItens[[#This Row],[CÓDIGO]],Consumo!$Y$3:$Y$869)</f>
        <v>0.16666666666666666</v>
      </c>
      <c r="AW462" s="291">
        <f>tabItens[[#This Row],[QTDE ATUAL]] + tabItens[[#This Row],[RC QTDE]] + tabItens[[#This Row],[AF SALDO]] + tabItens[[#This Row],[Recentes]]</f>
        <v>86</v>
      </c>
      <c r="AX462" s="319">
        <v>17</v>
      </c>
      <c r="AY462" s="319">
        <v>4</v>
      </c>
      <c r="AZ462" s="319">
        <f>IF(ISBLANK(tabItens[[#This Row],[CÓDIGO]]),"",tabItens[[#This Row],[PontoMês]] * (AZ$2+tabItens[[#This Row],[PontoQtM]]))</f>
        <v>68</v>
      </c>
      <c r="BA462" s="318">
        <f>tabItens[[#This Row],[PontoPed]] - tabItens[[#This Row],[Saldo]] + (1/10)</f>
        <v>-17.899999999999999</v>
      </c>
      <c r="BB462" s="318">
        <f xml:space="preserve"> tabItens[[#This Row],[PontoMês]] * BB$2 - tabItens[[#This Row],[QTDE ATUAL]] - (1/10)</f>
        <v>-69.099999999999994</v>
      </c>
      <c r="BC462" s="320">
        <f>IF( tabItens[[#This Row],[PontoPed]]&gt;0, IF(tabItens[[#This Row],[PontoPed]]&lt;1, 1, IF( tabItens[[#This Row],[Saldo]]&gt;tabItens[[#This Row],[PontoPed]], 0, (tabItens[[#This Row],[PontoPed]]-tabItens[[#This Row],[Saldo]])/tabItens[[#This Row],[PontoPed]] ) ), 0 )</f>
        <v>0</v>
      </c>
      <c r="BD462" s="321">
        <f>ROUNDDOWN(IF( OR( AND(tabItens[[#This Row],[PontoPed]]&lt;tabItens[[#This Row],[Saldo]],tabItens[[#This Row],[Saldo]]&gt;0), tabItens[[#This Row],[PontoPed]]=0), 99, IF(AND(tabItens[[#This Row],[Saldo]]=0,tabItens[[#This Row],[PontoPed]]&gt;0), 0, (1-tabItens[[#This Row],[PctAb]])*10 ) ),0)</f>
        <v>99</v>
      </c>
      <c r="BE462" s="322">
        <f>MAX(ROUNDDOWN( IF(tabItens[[#This Row],[Abaixo]] &gt; 0,   tabItens[[#This Row],[Abaixo]] + (tabItens[[#This Row],[PontoMês]] * IF( OR( ISBLANK(tabItens[[#This Row],[ATA Nº/ANO]]), tabItens[[#This Row],[ATA Nº/ANO]] = ""),BE$2,BE$1)),0),0),0)</f>
        <v>0</v>
      </c>
      <c r="BF4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23">
        <f>SUMIF(Consumo!$C$3:$C$869,tabItens[[#This Row],[CÓDIGO]],Consumo!$E$3:$E$869)</f>
        <v>0</v>
      </c>
      <c r="BH462" s="324">
        <f>IF(AND(tabItens[[#This Row],[Pend]] &gt; 0,tabItens[[#This Row],[Consumo]] &lt;&gt; 0), tabItens[[#This Row],[Pend]] / tabItens[[#This Row],[Consumo]], 0 )</f>
        <v>0</v>
      </c>
      <c r="BI462" s="323"/>
      <c r="BJ462" s="323"/>
      <c r="BK462" s="325" t="s">
        <v>2064</v>
      </c>
    </row>
    <row r="463" spans="1:63" hidden="1" x14ac:dyDescent="0.3">
      <c r="A463" s="286">
        <v>136895</v>
      </c>
      <c r="B463" s="287" t="s">
        <v>1938</v>
      </c>
      <c r="C463" s="288" t="s">
        <v>31</v>
      </c>
      <c r="D463" s="289">
        <v>6</v>
      </c>
      <c r="E463" s="290"/>
      <c r="F463" s="290"/>
      <c r="G463" s="290" t="s">
        <v>883</v>
      </c>
      <c r="H463" s="291">
        <v>165</v>
      </c>
      <c r="I463" s="292">
        <v>103003</v>
      </c>
      <c r="J463" s="293">
        <v>6</v>
      </c>
      <c r="K463" s="294">
        <v>443</v>
      </c>
      <c r="L463" s="295">
        <f>IF(tabItens[[#This Row],[Média]] &gt; 0, tabItens[[#This Row],[QTDE ATUAL]] / tabItens[[#This Row],[Média]],999.9)</f>
        <v>3.8297872340425529</v>
      </c>
      <c r="M463" s="296">
        <v>0</v>
      </c>
      <c r="N463" s="297">
        <f>tabItens[[#This Row],[VALOR UNIT.]] * tabItens[[#This Row],[LC]]</f>
        <v>0</v>
      </c>
      <c r="O463" s="298" t="s">
        <v>2182</v>
      </c>
      <c r="P463" s="299"/>
      <c r="Q463" s="300"/>
      <c r="R463" s="297"/>
      <c r="S463" s="301"/>
      <c r="T463" s="302">
        <f>ROUNDDOWN(IFERROR(tabItens[[#This Row],[ATA DT.VALID.]] - $D$1,0) / 30,0)</f>
        <v>-1504</v>
      </c>
      <c r="U463" s="287" t="s">
        <v>1870</v>
      </c>
      <c r="V463" s="303">
        <v>1</v>
      </c>
      <c r="W463" s="304" t="s">
        <v>2055</v>
      </c>
      <c r="X463" s="305">
        <v>55</v>
      </c>
      <c r="Y463" s="306">
        <v>66</v>
      </c>
      <c r="Z463" s="307">
        <v>2957</v>
      </c>
      <c r="AA463" s="308">
        <v>2023</v>
      </c>
      <c r="AB463" s="309">
        <v>300</v>
      </c>
      <c r="AC463" s="309"/>
      <c r="AD463" s="308"/>
      <c r="AE463" s="309"/>
      <c r="AF463" s="302"/>
      <c r="AG463" s="310" t="s">
        <v>2050</v>
      </c>
      <c r="AH463" s="311"/>
      <c r="AI463" s="302">
        <v>178</v>
      </c>
      <c r="AJ463" s="311">
        <v>44883</v>
      </c>
      <c r="AK463" s="311">
        <v>43584</v>
      </c>
      <c r="AL463" s="311">
        <v>44994</v>
      </c>
      <c r="AM463" s="301"/>
      <c r="AN463" s="290"/>
      <c r="AO463" s="312" t="str">
        <f>_xlfn.IFNA(IF(VLOOKUP(tabItens[[#This Row],[CÓDIGO]],tabExcluirDoEstoque[#Data],1,FALSE),"sim",""),"")</f>
        <v/>
      </c>
      <c r="AP463" s="313" t="str">
        <f ca="1">IF(OR(ISBLANK(tabItens[[#This Row],[ATA DT.VALID.]]),tabItens[[#This Row],[ATA DT.VALID.]]="",tabItens[[#This Row],[ATA DT.VALID.]]=" "),"",IF(TYPE(tabItens[[#This Row],[ATA DT.VALID.]])=1,ROUNDUP((tabItens[[#This Row],[ATA DT.VALID.]]-TODAY())/7,0),""))</f>
        <v/>
      </c>
      <c r="AQ463" s="314">
        <v>0</v>
      </c>
      <c r="AR463" s="315" t="str">
        <f>IF(ISBLANK(tabItens[[#This Row],[CÓDIGO]]),"",IFERROR(VLOOKUP(tabItens[[#This Row],[CÓDIGO]],Consumo!$C$2:$AC$869,26,FALSE),0))</f>
        <v>07.2023</v>
      </c>
      <c r="AS463" s="316">
        <f>SUMIF(Consumo!$C$3:$C$869,tabItens[[#This Row],[CÓDIGO]],Consumo!$N$3:$N$869) + SUMIF(Consumo!$C$3:$C$869,tabItens[[#This Row],[CÓDIGO]],Consumo!$O$3:$O$869) + SUMIF(Consumo!$C$3:$C$869,tabItens[[#This Row],[CÓDIGO]],Consumo!$P$3:$P$869) + SUMIF(Consumo!$C$3:$C$869,tabItens[[#This Row],[CÓDIGO]],Consumo!$Q$3:$Q$869)</f>
        <v>334</v>
      </c>
      <c r="AT463" s="316">
        <f>SUMIF(Consumo!$C$3:$C$869,tabItens[[#This Row],[CÓDIGO]],Consumo!$Z$3:$Z$869)</f>
        <v>532</v>
      </c>
      <c r="AU463" s="317">
        <f>SUMIF(Consumo!$C$3:$C$869,tabItens[[#This Row],[CÓDIGO]],Consumo!$AA$3:$AA$869)</f>
        <v>140</v>
      </c>
      <c r="AV463" s="318">
        <f>SUMIF(Consumo!$C$3:$C$869,tabItens[[#This Row],[CÓDIGO]],Consumo!$Y$3:$Y$869)</f>
        <v>43.083333333333336</v>
      </c>
      <c r="AW463" s="291">
        <f>tabItens[[#This Row],[QTDE ATUAL]] + tabItens[[#This Row],[RC QTDE]] + tabItens[[#This Row],[AF SALDO]] + tabItens[[#This Row],[Recentes]]</f>
        <v>465</v>
      </c>
      <c r="AX463" s="319">
        <v>42</v>
      </c>
      <c r="AY463" s="319">
        <v>4</v>
      </c>
      <c r="AZ463" s="319">
        <f>IF(ISBLANK(tabItens[[#This Row],[CÓDIGO]]),"",tabItens[[#This Row],[PontoMês]] * (AZ$2+tabItens[[#This Row],[PontoQtM]]))</f>
        <v>168</v>
      </c>
      <c r="BA463" s="318">
        <f>tabItens[[#This Row],[PontoPed]] - tabItens[[#This Row],[Saldo]] + (1/10)</f>
        <v>-296.89999999999998</v>
      </c>
      <c r="BB463" s="318">
        <f xml:space="preserve"> tabItens[[#This Row],[PontoMês]] * BB$2 - tabItens[[#This Row],[QTDE ATUAL]] - (1/10)</f>
        <v>-123.1</v>
      </c>
      <c r="BC463" s="320">
        <f>IF( tabItens[[#This Row],[PontoPed]]&gt;0, IF(tabItens[[#This Row],[PontoPed]]&lt;1, 1, IF( tabItens[[#This Row],[Saldo]]&gt;tabItens[[#This Row],[PontoPed]], 0, (tabItens[[#This Row],[PontoPed]]-tabItens[[#This Row],[Saldo]])/tabItens[[#This Row],[PontoPed]] ) ), 0 )</f>
        <v>0</v>
      </c>
      <c r="BD463" s="321">
        <f>ROUNDDOWN(IF( OR( AND(tabItens[[#This Row],[PontoPed]]&lt;tabItens[[#This Row],[Saldo]],tabItens[[#This Row],[Saldo]]&gt;0), tabItens[[#This Row],[PontoPed]]=0), 99, IF(AND(tabItens[[#This Row],[Saldo]]=0,tabItens[[#This Row],[PontoPed]]&gt;0), 0, (1-tabItens[[#This Row],[PctAb]])*10 ) ),0)</f>
        <v>99</v>
      </c>
      <c r="BE463" s="322">
        <f>MAX(ROUNDDOWN( IF(tabItens[[#This Row],[Abaixo]] &gt; 0,   tabItens[[#This Row],[Abaixo]] + (tabItens[[#This Row],[PontoMês]] * IF( OR( ISBLANK(tabItens[[#This Row],[ATA Nº/ANO]]), tabItens[[#This Row],[ATA Nº/ANO]] = ""),BE$2,BE$1)),0),0),0)</f>
        <v>0</v>
      </c>
      <c r="BF46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23">
        <f>SUMIF(Consumo!$C$3:$C$869,tabItens[[#This Row],[CÓDIGO]],Consumo!$E$3:$E$869)</f>
        <v>0</v>
      </c>
      <c r="BH463" s="324">
        <f>IF(AND(tabItens[[#This Row],[Pend]] &gt; 0,tabItens[[#This Row],[Consumo]] &lt;&gt; 0), tabItens[[#This Row],[Pend]] / tabItens[[#This Row],[Consumo]], 0 )</f>
        <v>0</v>
      </c>
      <c r="BI463" s="323"/>
      <c r="BJ463" s="323"/>
      <c r="BK463" s="325" t="s">
        <v>2064</v>
      </c>
    </row>
    <row r="464" spans="1:63" hidden="1" x14ac:dyDescent="0.3">
      <c r="A464" s="286">
        <v>16571</v>
      </c>
      <c r="B464" s="287" t="s">
        <v>1115</v>
      </c>
      <c r="C464" s="288" t="s">
        <v>275</v>
      </c>
      <c r="D464" s="289">
        <v>6.75</v>
      </c>
      <c r="E464" s="290"/>
      <c r="F464" s="290"/>
      <c r="G464" s="290" t="s">
        <v>883</v>
      </c>
      <c r="H464" s="291">
        <v>1334</v>
      </c>
      <c r="I464" s="292">
        <v>103003</v>
      </c>
      <c r="J464" s="293">
        <v>6.75</v>
      </c>
      <c r="K464" s="294">
        <v>1478</v>
      </c>
      <c r="L464" s="295">
        <f>IF(tabItens[[#This Row],[Média]] &gt; 0, tabItens[[#This Row],[QTDE ATUAL]] / tabItens[[#This Row],[Média]],999.9)</f>
        <v>6.7888040712468189</v>
      </c>
      <c r="M464" s="296">
        <v>0</v>
      </c>
      <c r="N464" s="297">
        <f>tabItens[[#This Row],[VALOR UNIT.]] * tabItens[[#This Row],[LC]]</f>
        <v>0</v>
      </c>
      <c r="O464" s="298" t="s">
        <v>2105</v>
      </c>
      <c r="P464" s="299"/>
      <c r="Q464" s="300"/>
      <c r="R464" s="297"/>
      <c r="S464" s="301"/>
      <c r="T464" s="302">
        <f>ROUNDDOWN(IFERROR(tabItens[[#This Row],[ATA DT.VALID.]] - $D$1,0) / 30,0)</f>
        <v>-1504</v>
      </c>
      <c r="U464" s="287" t="s">
        <v>1116</v>
      </c>
      <c r="V464" s="303">
        <v>1</v>
      </c>
      <c r="W464" s="304" t="s">
        <v>2051</v>
      </c>
      <c r="X464" s="305">
        <v>48</v>
      </c>
      <c r="Y464" s="306">
        <v>24</v>
      </c>
      <c r="Z464" s="307"/>
      <c r="AA464" s="308"/>
      <c r="AB464" s="309"/>
      <c r="AC464" s="309">
        <v>9090</v>
      </c>
      <c r="AD464" s="308">
        <v>2023</v>
      </c>
      <c r="AE464" s="309">
        <v>2000</v>
      </c>
      <c r="AF464" s="302">
        <v>2000</v>
      </c>
      <c r="AG464" s="310" t="s">
        <v>2036</v>
      </c>
      <c r="AH464" s="311">
        <v>45159</v>
      </c>
      <c r="AI464" s="302">
        <v>804</v>
      </c>
      <c r="AJ464" s="311">
        <v>44578</v>
      </c>
      <c r="AK464" s="311" t="s">
        <v>883</v>
      </c>
      <c r="AL464" s="311">
        <v>45133</v>
      </c>
      <c r="AM464" s="301"/>
      <c r="AN464" s="290"/>
      <c r="AO464" s="312" t="str">
        <f>_xlfn.IFNA(IF(VLOOKUP(tabItens[[#This Row],[CÓDIGO]],tabExcluirDoEstoque[#Data],1,FALSE),"sim",""),"")</f>
        <v/>
      </c>
      <c r="AP464" s="313" t="str">
        <f ca="1">IF(OR(ISBLANK(tabItens[[#This Row],[ATA DT.VALID.]]),tabItens[[#This Row],[ATA DT.VALID.]]="",tabItens[[#This Row],[ATA DT.VALID.]]=" "),"",IF(TYPE(tabItens[[#This Row],[ATA DT.VALID.]])=1,ROUNDUP((tabItens[[#This Row],[ATA DT.VALID.]]-TODAY())/7,0),""))</f>
        <v/>
      </c>
      <c r="AQ464" s="314">
        <v>0</v>
      </c>
      <c r="AR464" s="315" t="str">
        <f>IF(ISBLANK(tabItens[[#This Row],[CÓDIGO]]),"",IFERROR(VLOOKUP(tabItens[[#This Row],[CÓDIGO]],Consumo!$C$2:$AC$869,26,FALSE),0))</f>
        <v>07.2023</v>
      </c>
      <c r="AS464" s="316">
        <f>SUMIF(Consumo!$C$3:$C$869,tabItens[[#This Row],[CÓDIGO]],Consumo!$N$3:$N$869) + SUMIF(Consumo!$C$3:$C$869,tabItens[[#This Row],[CÓDIGO]],Consumo!$O$3:$O$869) + SUMIF(Consumo!$C$3:$C$869,tabItens[[#This Row],[CÓDIGO]],Consumo!$P$3:$P$869) + SUMIF(Consumo!$C$3:$C$869,tabItens[[#This Row],[CÓDIGO]],Consumo!$Q$3:$Q$869)</f>
        <v>838</v>
      </c>
      <c r="AT464" s="316">
        <f>SUMIF(Consumo!$C$3:$C$869,tabItens[[#This Row],[CÓDIGO]],Consumo!$Z$3:$Z$869)</f>
        <v>2411</v>
      </c>
      <c r="AU464" s="317">
        <f>SUMIF(Consumo!$C$3:$C$869,tabItens[[#This Row],[CÓDIGO]],Consumo!$AA$3:$AA$869)</f>
        <v>395</v>
      </c>
      <c r="AV464" s="318">
        <f>SUMIF(Consumo!$C$3:$C$869,tabItens[[#This Row],[CÓDIGO]],Consumo!$Y$3:$Y$869)</f>
        <v>196.5</v>
      </c>
      <c r="AW464" s="291">
        <f>tabItens[[#This Row],[QTDE ATUAL]] + tabItens[[#This Row],[RC QTDE]] + tabItens[[#This Row],[AF SALDO]] + tabItens[[#This Row],[Recentes]]</f>
        <v>3334</v>
      </c>
      <c r="AX464" s="319">
        <v>256</v>
      </c>
      <c r="AY464" s="319">
        <v>4</v>
      </c>
      <c r="AZ464" s="319">
        <f>IF(ISBLANK(tabItens[[#This Row],[CÓDIGO]]),"",tabItens[[#This Row],[PontoMês]] * (AZ$2+tabItens[[#This Row],[PontoQtM]]))</f>
        <v>1024</v>
      </c>
      <c r="BA464" s="318">
        <f>tabItens[[#This Row],[PontoPed]] - tabItens[[#This Row],[Saldo]] + (1/10)</f>
        <v>-2309.9</v>
      </c>
      <c r="BB464" s="318">
        <f xml:space="preserve"> tabItens[[#This Row],[PontoMês]] * BB$2 - tabItens[[#This Row],[QTDE ATUAL]] - (1/10)</f>
        <v>-1078.0999999999999</v>
      </c>
      <c r="BC464" s="320">
        <f>IF( tabItens[[#This Row],[PontoPed]]&gt;0, IF(tabItens[[#This Row],[PontoPed]]&lt;1, 1, IF( tabItens[[#This Row],[Saldo]]&gt;tabItens[[#This Row],[PontoPed]], 0, (tabItens[[#This Row],[PontoPed]]-tabItens[[#This Row],[Saldo]])/tabItens[[#This Row],[PontoPed]] ) ), 0 )</f>
        <v>0</v>
      </c>
      <c r="BD464" s="321">
        <f>ROUNDDOWN(IF( OR( AND(tabItens[[#This Row],[PontoPed]]&lt;tabItens[[#This Row],[Saldo]],tabItens[[#This Row],[Saldo]]&gt;0), tabItens[[#This Row],[PontoPed]]=0), 99, IF(AND(tabItens[[#This Row],[Saldo]]=0,tabItens[[#This Row],[PontoPed]]&gt;0), 0, (1-tabItens[[#This Row],[PctAb]])*10 ) ),0)</f>
        <v>99</v>
      </c>
      <c r="BE464" s="322">
        <f>MAX(ROUNDDOWN( IF(tabItens[[#This Row],[Abaixo]] &gt; 0,   tabItens[[#This Row],[Abaixo]] + (tabItens[[#This Row],[PontoMês]] * IF( OR( ISBLANK(tabItens[[#This Row],[ATA Nº/ANO]]), tabItens[[#This Row],[ATA Nº/ANO]] = ""),BE$2,BE$1)),0),0),0)</f>
        <v>0</v>
      </c>
      <c r="BF46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23">
        <f>SUMIF(Consumo!$C$3:$C$869,tabItens[[#This Row],[CÓDIGO]],Consumo!$E$3:$E$869)</f>
        <v>0</v>
      </c>
      <c r="BH464" s="324">
        <f>IF(AND(tabItens[[#This Row],[Pend]] &gt; 0,tabItens[[#This Row],[Consumo]] &lt;&gt; 0), tabItens[[#This Row],[Pend]] / tabItens[[#This Row],[Consumo]], 0 )</f>
        <v>0</v>
      </c>
      <c r="BI464" s="323"/>
      <c r="BJ464" s="323"/>
      <c r="BK464" s="325" t="s">
        <v>2064</v>
      </c>
    </row>
    <row r="465" spans="1:63" hidden="1" x14ac:dyDescent="0.3">
      <c r="A465" s="286">
        <v>134546</v>
      </c>
      <c r="B465" s="287" t="s">
        <v>1873</v>
      </c>
      <c r="C465" s="288" t="s">
        <v>629</v>
      </c>
      <c r="D465" s="289">
        <v>41.78</v>
      </c>
      <c r="E465" s="290"/>
      <c r="F465" s="290"/>
      <c r="G465" s="290" t="s">
        <v>883</v>
      </c>
      <c r="H465" s="291">
        <v>977.5</v>
      </c>
      <c r="I465" s="292">
        <v>103003</v>
      </c>
      <c r="J465" s="293">
        <v>41.78</v>
      </c>
      <c r="K465" s="294">
        <v>435</v>
      </c>
      <c r="L465" s="295">
        <f>IF(tabItens[[#This Row],[Média]] &gt; 0, tabItens[[#This Row],[QTDE ATUAL]] / tabItens[[#This Row],[Média]],999.9)</f>
        <v>29.034653465346537</v>
      </c>
      <c r="M465" s="296">
        <v>0</v>
      </c>
      <c r="N465" s="297">
        <f>tabItens[[#This Row],[VALOR UNIT.]] * tabItens[[#This Row],[LC]]</f>
        <v>0</v>
      </c>
      <c r="O465" s="298" t="s">
        <v>2179</v>
      </c>
      <c r="P465" s="299"/>
      <c r="Q465" s="300"/>
      <c r="R465" s="297"/>
      <c r="S465" s="301"/>
      <c r="T465" s="302">
        <f>ROUNDDOWN(IFERROR(tabItens[[#This Row],[ATA DT.VALID.]] - $D$1,0) / 30,0)</f>
        <v>-1504</v>
      </c>
      <c r="U465" s="287" t="s">
        <v>1305</v>
      </c>
      <c r="V465" s="303">
        <v>1</v>
      </c>
      <c r="W465" s="304" t="s">
        <v>2049</v>
      </c>
      <c r="X465" s="305">
        <v>51</v>
      </c>
      <c r="Y465" s="306">
        <v>19</v>
      </c>
      <c r="Z465" s="307">
        <v>2994</v>
      </c>
      <c r="AA465" s="308">
        <v>2023</v>
      </c>
      <c r="AB465" s="309">
        <v>500</v>
      </c>
      <c r="AC465" s="309"/>
      <c r="AD465" s="308"/>
      <c r="AE465" s="309"/>
      <c r="AF465" s="302"/>
      <c r="AG465" s="310" t="s">
        <v>2050</v>
      </c>
      <c r="AH465" s="311"/>
      <c r="AI465" s="302">
        <v>148</v>
      </c>
      <c r="AJ465" s="311">
        <v>44722</v>
      </c>
      <c r="AK465" s="311">
        <v>43172</v>
      </c>
      <c r="AL465" s="311">
        <v>44713</v>
      </c>
      <c r="AM465" s="301"/>
      <c r="AN465" s="290"/>
      <c r="AO465" s="312" t="str">
        <f>_xlfn.IFNA(IF(VLOOKUP(tabItens[[#This Row],[CÓDIGO]],tabExcluirDoEstoque[#Data],1,FALSE),"sim",""),"")</f>
        <v/>
      </c>
      <c r="AP465" s="313" t="str">
        <f ca="1">IF(OR(ISBLANK(tabItens[[#This Row],[ATA DT.VALID.]]),tabItens[[#This Row],[ATA DT.VALID.]]="",tabItens[[#This Row],[ATA DT.VALID.]]=" "),"",IF(TYPE(tabItens[[#This Row],[ATA DT.VALID.]])=1,ROUNDUP((tabItens[[#This Row],[ATA DT.VALID.]]-TODAY())/7,0),""))</f>
        <v/>
      </c>
      <c r="AQ465" s="314">
        <v>0</v>
      </c>
      <c r="AR465" s="315" t="str">
        <f>IF(ISBLANK(tabItens[[#This Row],[CÓDIGO]]),"",IFERROR(VLOOKUP(tabItens[[#This Row],[CÓDIGO]],Consumo!$C$2:$AC$869,26,FALSE),0))</f>
        <v>07.2023</v>
      </c>
      <c r="AS465" s="316">
        <f>SUMIF(Consumo!$C$3:$C$869,tabItens[[#This Row],[CÓDIGO]],Consumo!$N$3:$N$869) + SUMIF(Consumo!$C$3:$C$869,tabItens[[#This Row],[CÓDIGO]],Consumo!$O$3:$O$869) + SUMIF(Consumo!$C$3:$C$869,tabItens[[#This Row],[CÓDIGO]],Consumo!$P$3:$P$869) + SUMIF(Consumo!$C$3:$C$869,tabItens[[#This Row],[CÓDIGO]],Consumo!$Q$3:$Q$869)</f>
        <v>12</v>
      </c>
      <c r="AT465" s="316">
        <f>SUMIF(Consumo!$C$3:$C$869,tabItens[[#This Row],[CÓDIGO]],Consumo!$Z$3:$Z$869)</f>
        <v>441</v>
      </c>
      <c r="AU465" s="317">
        <f>SUMIF(Consumo!$C$3:$C$869,tabItens[[#This Row],[CÓDIGO]],Consumo!$AA$3:$AA$869)</f>
        <v>211</v>
      </c>
      <c r="AV465" s="318">
        <f>SUMIF(Consumo!$C$3:$C$869,tabItens[[#This Row],[CÓDIGO]],Consumo!$Y$3:$Y$869)</f>
        <v>33.666666666666664</v>
      </c>
      <c r="AW465" s="291">
        <f>tabItens[[#This Row],[QTDE ATUAL]] + tabItens[[#This Row],[RC QTDE]] + tabItens[[#This Row],[AF SALDO]] + tabItens[[#This Row],[Recentes]]</f>
        <v>1477.5</v>
      </c>
      <c r="AX465" s="319">
        <v>45</v>
      </c>
      <c r="AY465" s="319">
        <v>4</v>
      </c>
      <c r="AZ465" s="319">
        <f>IF(ISBLANK(tabItens[[#This Row],[CÓDIGO]]),"",tabItens[[#This Row],[PontoMês]] * (AZ$2+tabItens[[#This Row],[PontoQtM]]))</f>
        <v>180</v>
      </c>
      <c r="BA465" s="318">
        <f>tabItens[[#This Row],[PontoPed]] - tabItens[[#This Row],[Saldo]] + (1/10)</f>
        <v>-1297.4000000000001</v>
      </c>
      <c r="BB465" s="318">
        <f xml:space="preserve"> tabItens[[#This Row],[PontoMês]] * BB$2 - tabItens[[#This Row],[QTDE ATUAL]] - (1/10)</f>
        <v>-932.6</v>
      </c>
      <c r="BC465" s="320">
        <f>IF( tabItens[[#This Row],[PontoPed]]&gt;0, IF(tabItens[[#This Row],[PontoPed]]&lt;1, 1, IF( tabItens[[#This Row],[Saldo]]&gt;tabItens[[#This Row],[PontoPed]], 0, (tabItens[[#This Row],[PontoPed]]-tabItens[[#This Row],[Saldo]])/tabItens[[#This Row],[PontoPed]] ) ), 0 )</f>
        <v>0</v>
      </c>
      <c r="BD465" s="321">
        <f>ROUNDDOWN(IF( OR( AND(tabItens[[#This Row],[PontoPed]]&lt;tabItens[[#This Row],[Saldo]],tabItens[[#This Row],[Saldo]]&gt;0), tabItens[[#This Row],[PontoPed]]=0), 99, IF(AND(tabItens[[#This Row],[Saldo]]=0,tabItens[[#This Row],[PontoPed]]&gt;0), 0, (1-tabItens[[#This Row],[PctAb]])*10 ) ),0)</f>
        <v>99</v>
      </c>
      <c r="BE465" s="322">
        <f>MAX(ROUNDDOWN( IF(tabItens[[#This Row],[Abaixo]] &gt; 0,   tabItens[[#This Row],[Abaixo]] + (tabItens[[#This Row],[PontoMês]] * IF( OR( ISBLANK(tabItens[[#This Row],[ATA Nº/ANO]]), tabItens[[#This Row],[ATA Nº/ANO]] = ""),BE$2,BE$1)),0),0),0)</f>
        <v>0</v>
      </c>
      <c r="BF46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23">
        <f>SUMIF(Consumo!$C$3:$C$869,tabItens[[#This Row],[CÓDIGO]],Consumo!$E$3:$E$869)</f>
        <v>0</v>
      </c>
      <c r="BH465" s="324">
        <f>IF(AND(tabItens[[#This Row],[Pend]] &gt; 0,tabItens[[#This Row],[Consumo]] &lt;&gt; 0), tabItens[[#This Row],[Pend]] / tabItens[[#This Row],[Consumo]], 0 )</f>
        <v>0</v>
      </c>
      <c r="BI465" s="323"/>
      <c r="BJ465" s="323"/>
      <c r="BK465" s="325" t="s">
        <v>2064</v>
      </c>
    </row>
    <row r="466" spans="1:63" hidden="1" x14ac:dyDescent="0.3">
      <c r="A466" s="286">
        <v>134547</v>
      </c>
      <c r="B466" s="287" t="s">
        <v>1874</v>
      </c>
      <c r="C466" s="288" t="s">
        <v>629</v>
      </c>
      <c r="D466" s="289">
        <v>42.44</v>
      </c>
      <c r="E466" s="290"/>
      <c r="F466" s="290"/>
      <c r="G466" s="290" t="s">
        <v>883</v>
      </c>
      <c r="H466" s="291">
        <v>1160.44</v>
      </c>
      <c r="I466" s="292">
        <v>103003</v>
      </c>
      <c r="J466" s="293">
        <v>42.44</v>
      </c>
      <c r="K466" s="294">
        <v>433</v>
      </c>
      <c r="L466" s="295">
        <f>IF(tabItens[[#This Row],[Média]] &gt; 0, tabItens[[#This Row],[QTDE ATUAL]] / tabItens[[#This Row],[Média]],999.9)</f>
        <v>30.076198704103671</v>
      </c>
      <c r="M466" s="296">
        <v>0</v>
      </c>
      <c r="N466" s="297">
        <f>tabItens[[#This Row],[VALOR UNIT.]] * tabItens[[#This Row],[LC]]</f>
        <v>0</v>
      </c>
      <c r="O466" s="298" t="s">
        <v>2179</v>
      </c>
      <c r="P466" s="299"/>
      <c r="Q466" s="300"/>
      <c r="R466" s="297"/>
      <c r="S466" s="301"/>
      <c r="T466" s="302">
        <f>ROUNDDOWN(IFERROR(tabItens[[#This Row],[ATA DT.VALID.]] - $D$1,0) / 30,0)</f>
        <v>-1504</v>
      </c>
      <c r="U466" s="287" t="s">
        <v>1305</v>
      </c>
      <c r="V466" s="303">
        <v>1</v>
      </c>
      <c r="W466" s="304" t="s">
        <v>2049</v>
      </c>
      <c r="X466" s="305">
        <v>51</v>
      </c>
      <c r="Y466" s="306">
        <v>19</v>
      </c>
      <c r="Z466" s="307">
        <v>2994</v>
      </c>
      <c r="AA466" s="308">
        <v>2023</v>
      </c>
      <c r="AB466" s="309">
        <v>400</v>
      </c>
      <c r="AC466" s="309"/>
      <c r="AD466" s="308"/>
      <c r="AE466" s="309"/>
      <c r="AF466" s="302"/>
      <c r="AG466" s="310" t="s">
        <v>2050</v>
      </c>
      <c r="AH466" s="311"/>
      <c r="AI466" s="302">
        <v>156</v>
      </c>
      <c r="AJ466" s="311">
        <v>44740</v>
      </c>
      <c r="AK466" s="311">
        <v>43172</v>
      </c>
      <c r="AL466" s="311">
        <v>44713</v>
      </c>
      <c r="AM466" s="301"/>
      <c r="AN466" s="290"/>
      <c r="AO466" s="312" t="str">
        <f>_xlfn.IFNA(IF(VLOOKUP(tabItens[[#This Row],[CÓDIGO]],tabExcluirDoEstoque[#Data],1,FALSE),"sim",""),"")</f>
        <v/>
      </c>
      <c r="AP466" s="313" t="str">
        <f ca="1">IF(OR(ISBLANK(tabItens[[#This Row],[ATA DT.VALID.]]),tabItens[[#This Row],[ATA DT.VALID.]]="",tabItens[[#This Row],[ATA DT.VALID.]]=" "),"",IF(TYPE(tabItens[[#This Row],[ATA DT.VALID.]])=1,ROUNDUP((tabItens[[#This Row],[ATA DT.VALID.]]-TODAY())/7,0),""))</f>
        <v/>
      </c>
      <c r="AQ466" s="314">
        <v>0</v>
      </c>
      <c r="AR466" s="315" t="str">
        <f>IF(ISBLANK(tabItens[[#This Row],[CÓDIGO]]),"",IFERROR(VLOOKUP(tabItens[[#This Row],[CÓDIGO]],Consumo!$C$2:$AC$869,26,FALSE),0))</f>
        <v>07.2023</v>
      </c>
      <c r="AS466" s="316">
        <f>SUMIF(Consumo!$C$3:$C$869,tabItens[[#This Row],[CÓDIGO]],Consumo!$N$3:$N$869) + SUMIF(Consumo!$C$3:$C$869,tabItens[[#This Row],[CÓDIGO]],Consumo!$O$3:$O$869) + SUMIF(Consumo!$C$3:$C$869,tabItens[[#This Row],[CÓDIGO]],Consumo!$P$3:$P$869) + SUMIF(Consumo!$C$3:$C$869,tabItens[[#This Row],[CÓDIGO]],Consumo!$Q$3:$Q$869)</f>
        <v>66</v>
      </c>
      <c r="AT466" s="316">
        <f>SUMIF(Consumo!$C$3:$C$869,tabItens[[#This Row],[CÓDIGO]],Consumo!$Z$3:$Z$869)</f>
        <v>469</v>
      </c>
      <c r="AU466" s="317">
        <f>SUMIF(Consumo!$C$3:$C$869,tabItens[[#This Row],[CÓDIGO]],Consumo!$AA$3:$AA$869)</f>
        <v>144</v>
      </c>
      <c r="AV466" s="318">
        <f>SUMIF(Consumo!$C$3:$C$869,tabItens[[#This Row],[CÓDIGO]],Consumo!$Y$3:$Y$869)</f>
        <v>38.583333333333336</v>
      </c>
      <c r="AW466" s="291">
        <f>tabItens[[#This Row],[QTDE ATUAL]] + tabItens[[#This Row],[RC QTDE]] + tabItens[[#This Row],[AF SALDO]] + tabItens[[#This Row],[Recentes]]</f>
        <v>1560.44</v>
      </c>
      <c r="AX466" s="319">
        <v>100</v>
      </c>
      <c r="AY466" s="319">
        <v>4</v>
      </c>
      <c r="AZ466" s="319">
        <f>IF(ISBLANK(tabItens[[#This Row],[CÓDIGO]]),"",tabItens[[#This Row],[PontoMês]] * (AZ$2+tabItens[[#This Row],[PontoQtM]]))</f>
        <v>400</v>
      </c>
      <c r="BA466" s="318">
        <f>tabItens[[#This Row],[PontoPed]] - tabItens[[#This Row],[Saldo]] + (1/10)</f>
        <v>-1160.3400000000001</v>
      </c>
      <c r="BB466" s="318">
        <f xml:space="preserve"> tabItens[[#This Row],[PontoMês]] * BB$2 - tabItens[[#This Row],[QTDE ATUAL]] - (1/10)</f>
        <v>-1060.54</v>
      </c>
      <c r="BC466" s="320">
        <f>IF( tabItens[[#This Row],[PontoPed]]&gt;0, IF(tabItens[[#This Row],[PontoPed]]&lt;1, 1, IF( tabItens[[#This Row],[Saldo]]&gt;tabItens[[#This Row],[PontoPed]], 0, (tabItens[[#This Row],[PontoPed]]-tabItens[[#This Row],[Saldo]])/tabItens[[#This Row],[PontoPed]] ) ), 0 )</f>
        <v>0</v>
      </c>
      <c r="BD466" s="321">
        <f>ROUNDDOWN(IF( OR( AND(tabItens[[#This Row],[PontoPed]]&lt;tabItens[[#This Row],[Saldo]],tabItens[[#This Row],[Saldo]]&gt;0), tabItens[[#This Row],[PontoPed]]=0), 99, IF(AND(tabItens[[#This Row],[Saldo]]=0,tabItens[[#This Row],[PontoPed]]&gt;0), 0, (1-tabItens[[#This Row],[PctAb]])*10 ) ),0)</f>
        <v>99</v>
      </c>
      <c r="BE466" s="322">
        <f>MAX(ROUNDDOWN( IF(tabItens[[#This Row],[Abaixo]] &gt; 0,   tabItens[[#This Row],[Abaixo]] + (tabItens[[#This Row],[PontoMês]] * IF( OR( ISBLANK(tabItens[[#This Row],[ATA Nº/ANO]]), tabItens[[#This Row],[ATA Nº/ANO]] = ""),BE$2,BE$1)),0),0),0)</f>
        <v>0</v>
      </c>
      <c r="BF46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23">
        <f>SUMIF(Consumo!$C$3:$C$869,tabItens[[#This Row],[CÓDIGO]],Consumo!$E$3:$E$869)</f>
        <v>0</v>
      </c>
      <c r="BH466" s="324">
        <f>IF(AND(tabItens[[#This Row],[Pend]] &gt; 0,tabItens[[#This Row],[Consumo]] &lt;&gt; 0), tabItens[[#This Row],[Pend]] / tabItens[[#This Row],[Consumo]], 0 )</f>
        <v>0</v>
      </c>
      <c r="BI466" s="323"/>
      <c r="BJ466" s="323"/>
      <c r="BK466" s="325" t="s">
        <v>2064</v>
      </c>
    </row>
    <row r="467" spans="1:63" hidden="1" x14ac:dyDescent="0.3">
      <c r="A467" s="286">
        <v>134548</v>
      </c>
      <c r="B467" s="287" t="s">
        <v>1875</v>
      </c>
      <c r="C467" s="288" t="s">
        <v>629</v>
      </c>
      <c r="D467" s="289">
        <v>39.21</v>
      </c>
      <c r="E467" s="290"/>
      <c r="F467" s="290"/>
      <c r="G467" s="290" t="s">
        <v>883</v>
      </c>
      <c r="H467" s="291">
        <v>2397.1799999999998</v>
      </c>
      <c r="I467" s="292">
        <v>103003</v>
      </c>
      <c r="J467" s="293">
        <v>39.21</v>
      </c>
      <c r="K467" s="294">
        <v>1097.5</v>
      </c>
      <c r="L467" s="295">
        <f>IF(tabItens[[#This Row],[Média]] &gt; 0, tabItens[[#This Row],[QTDE ATUAL]] / tabItens[[#This Row],[Média]],999.9)</f>
        <v>28.838255639097742</v>
      </c>
      <c r="M467" s="296">
        <v>0</v>
      </c>
      <c r="N467" s="297">
        <f>tabItens[[#This Row],[VALOR UNIT.]] * tabItens[[#This Row],[LC]]</f>
        <v>0</v>
      </c>
      <c r="O467" s="298" t="s">
        <v>2179</v>
      </c>
      <c r="P467" s="299"/>
      <c r="Q467" s="300"/>
      <c r="R467" s="297"/>
      <c r="S467" s="301"/>
      <c r="T467" s="302">
        <f>ROUNDDOWN(IFERROR(tabItens[[#This Row],[ATA DT.VALID.]] - $D$1,0) / 30,0)</f>
        <v>-1504</v>
      </c>
      <c r="U467" s="287" t="s">
        <v>1305</v>
      </c>
      <c r="V467" s="303">
        <v>1</v>
      </c>
      <c r="W467" s="304" t="s">
        <v>2049</v>
      </c>
      <c r="X467" s="305">
        <v>51</v>
      </c>
      <c r="Y467" s="306">
        <v>19</v>
      </c>
      <c r="Z467" s="307">
        <v>2656</v>
      </c>
      <c r="AA467" s="308">
        <v>2023</v>
      </c>
      <c r="AB467" s="309">
        <v>1000</v>
      </c>
      <c r="AC467" s="309"/>
      <c r="AD467" s="308"/>
      <c r="AE467" s="309"/>
      <c r="AF467" s="302"/>
      <c r="AG467" s="310" t="s">
        <v>2050</v>
      </c>
      <c r="AH467" s="311"/>
      <c r="AI467" s="302">
        <v>378</v>
      </c>
      <c r="AJ467" s="311">
        <v>44733</v>
      </c>
      <c r="AK467" s="311">
        <v>43172</v>
      </c>
      <c r="AL467" s="311">
        <v>44713</v>
      </c>
      <c r="AM467" s="301"/>
      <c r="AN467" s="290"/>
      <c r="AO467" s="312" t="str">
        <f>_xlfn.IFNA(IF(VLOOKUP(tabItens[[#This Row],[CÓDIGO]],tabExcluirDoEstoque[#Data],1,FALSE),"sim",""),"")</f>
        <v/>
      </c>
      <c r="AP467" s="313" t="str">
        <f ca="1">IF(OR(ISBLANK(tabItens[[#This Row],[ATA DT.VALID.]]),tabItens[[#This Row],[ATA DT.VALID.]]="",tabItens[[#This Row],[ATA DT.VALID.]]=" "),"",IF(TYPE(tabItens[[#This Row],[ATA DT.VALID.]])=1,ROUNDUP((tabItens[[#This Row],[ATA DT.VALID.]]-TODAY())/7,0),""))</f>
        <v/>
      </c>
      <c r="AQ467" s="314">
        <v>0</v>
      </c>
      <c r="AR467" s="315" t="str">
        <f>IF(ISBLANK(tabItens[[#This Row],[CÓDIGO]]),"",IFERROR(VLOOKUP(tabItens[[#This Row],[CÓDIGO]],Consumo!$C$2:$AC$869,26,FALSE),0))</f>
        <v>07.2023</v>
      </c>
      <c r="AS467" s="316">
        <f>SUMIF(Consumo!$C$3:$C$869,tabItens[[#This Row],[CÓDIGO]],Consumo!$N$3:$N$869) + SUMIF(Consumo!$C$3:$C$869,tabItens[[#This Row],[CÓDIGO]],Consumo!$O$3:$O$869) + SUMIF(Consumo!$C$3:$C$869,tabItens[[#This Row],[CÓDIGO]],Consumo!$P$3:$P$869) + SUMIF(Consumo!$C$3:$C$869,tabItens[[#This Row],[CÓDIGO]],Consumo!$Q$3:$Q$869)</f>
        <v>28</v>
      </c>
      <c r="AT467" s="316">
        <f>SUMIF(Consumo!$C$3:$C$869,tabItens[[#This Row],[CÓDIGO]],Consumo!$Z$3:$Z$869)</f>
        <v>1134.5</v>
      </c>
      <c r="AU467" s="317">
        <f>SUMIF(Consumo!$C$3:$C$869,tabItens[[#This Row],[CÓDIGO]],Consumo!$AA$3:$AA$869)</f>
        <v>576</v>
      </c>
      <c r="AV467" s="318">
        <f>SUMIF(Consumo!$C$3:$C$869,tabItens[[#This Row],[CÓDIGO]],Consumo!$Y$3:$Y$869)</f>
        <v>83.125</v>
      </c>
      <c r="AW467" s="291">
        <f>tabItens[[#This Row],[QTDE ATUAL]] + tabItens[[#This Row],[RC QTDE]] + tabItens[[#This Row],[AF SALDO]] + tabItens[[#This Row],[Recentes]]</f>
        <v>3397.18</v>
      </c>
      <c r="AX467" s="319">
        <v>109</v>
      </c>
      <c r="AY467" s="319">
        <v>4</v>
      </c>
      <c r="AZ467" s="319">
        <f>IF(ISBLANK(tabItens[[#This Row],[CÓDIGO]]),"",tabItens[[#This Row],[PontoMês]] * (AZ$2+tabItens[[#This Row],[PontoQtM]]))</f>
        <v>436</v>
      </c>
      <c r="BA467" s="318">
        <f>tabItens[[#This Row],[PontoPed]] - tabItens[[#This Row],[Saldo]] + (1/10)</f>
        <v>-2961.08</v>
      </c>
      <c r="BB467" s="318">
        <f xml:space="preserve"> tabItens[[#This Row],[PontoMês]] * BB$2 - tabItens[[#This Row],[QTDE ATUAL]] - (1/10)</f>
        <v>-2288.2799999999997</v>
      </c>
      <c r="BC467" s="320">
        <f>IF( tabItens[[#This Row],[PontoPed]]&gt;0, IF(tabItens[[#This Row],[PontoPed]]&lt;1, 1, IF( tabItens[[#This Row],[Saldo]]&gt;tabItens[[#This Row],[PontoPed]], 0, (tabItens[[#This Row],[PontoPed]]-tabItens[[#This Row],[Saldo]])/tabItens[[#This Row],[PontoPed]] ) ), 0 )</f>
        <v>0</v>
      </c>
      <c r="BD467" s="321">
        <f>ROUNDDOWN(IF( OR( AND(tabItens[[#This Row],[PontoPed]]&lt;tabItens[[#This Row],[Saldo]],tabItens[[#This Row],[Saldo]]&gt;0), tabItens[[#This Row],[PontoPed]]=0), 99, IF(AND(tabItens[[#This Row],[Saldo]]=0,tabItens[[#This Row],[PontoPed]]&gt;0), 0, (1-tabItens[[#This Row],[PctAb]])*10 ) ),0)</f>
        <v>99</v>
      </c>
      <c r="BE467" s="322">
        <f>MAX(ROUNDDOWN( IF(tabItens[[#This Row],[Abaixo]] &gt; 0,   tabItens[[#This Row],[Abaixo]] + (tabItens[[#This Row],[PontoMês]] * IF( OR( ISBLANK(tabItens[[#This Row],[ATA Nº/ANO]]), tabItens[[#This Row],[ATA Nº/ANO]] = ""),BE$2,BE$1)),0),0),0)</f>
        <v>0</v>
      </c>
      <c r="BF4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23">
        <f>SUMIF(Consumo!$C$3:$C$869,tabItens[[#This Row],[CÓDIGO]],Consumo!$E$3:$E$869)</f>
        <v>0</v>
      </c>
      <c r="BH467" s="324">
        <f>IF(AND(tabItens[[#This Row],[Pend]] &gt; 0,tabItens[[#This Row],[Consumo]] &lt;&gt; 0), tabItens[[#This Row],[Pend]] / tabItens[[#This Row],[Consumo]], 0 )</f>
        <v>0</v>
      </c>
      <c r="BI467" s="323"/>
      <c r="BJ467" s="323"/>
      <c r="BK467" s="325" t="s">
        <v>2064</v>
      </c>
    </row>
    <row r="468" spans="1:63" hidden="1" x14ac:dyDescent="0.3">
      <c r="A468" s="286">
        <v>134549</v>
      </c>
      <c r="B468" s="287" t="s">
        <v>1876</v>
      </c>
      <c r="C468" s="288" t="s">
        <v>629</v>
      </c>
      <c r="D468" s="289">
        <v>35.35</v>
      </c>
      <c r="E468" s="290"/>
      <c r="F468" s="290"/>
      <c r="G468" s="290" t="s">
        <v>883</v>
      </c>
      <c r="H468" s="291">
        <v>451.15</v>
      </c>
      <c r="I468" s="292">
        <v>103003</v>
      </c>
      <c r="J468" s="293">
        <v>35.35</v>
      </c>
      <c r="K468" s="294">
        <v>59</v>
      </c>
      <c r="L468" s="295">
        <f>IF(tabItens[[#This Row],[Média]] &gt; 0, tabItens[[#This Row],[QTDE ATUAL]] / tabItens[[#This Row],[Média]],999.9)</f>
        <v>94.978947368421046</v>
      </c>
      <c r="M468" s="296">
        <v>0</v>
      </c>
      <c r="N468" s="297">
        <f>tabItens[[#This Row],[VALOR UNIT.]] * tabItens[[#This Row],[LC]]</f>
        <v>0</v>
      </c>
      <c r="O468" s="298" t="s">
        <v>2179</v>
      </c>
      <c r="P468" s="299"/>
      <c r="Q468" s="300"/>
      <c r="R468" s="297"/>
      <c r="S468" s="301"/>
      <c r="T468" s="302">
        <f>ROUNDDOWN(IFERROR(tabItens[[#This Row],[ATA DT.VALID.]] - $D$1,0) / 30,0)</f>
        <v>-1504</v>
      </c>
      <c r="U468" s="287" t="s">
        <v>1305</v>
      </c>
      <c r="V468" s="303">
        <v>1</v>
      </c>
      <c r="W468" s="304" t="s">
        <v>2049</v>
      </c>
      <c r="X468" s="305">
        <v>51</v>
      </c>
      <c r="Y468" s="306">
        <v>19</v>
      </c>
      <c r="Z468" s="307">
        <v>2656</v>
      </c>
      <c r="AA468" s="308">
        <v>2023</v>
      </c>
      <c r="AB468" s="309">
        <v>1000</v>
      </c>
      <c r="AC468" s="309"/>
      <c r="AD468" s="308"/>
      <c r="AE468" s="309"/>
      <c r="AF468" s="302"/>
      <c r="AG468" s="310" t="s">
        <v>2050</v>
      </c>
      <c r="AH468" s="311"/>
      <c r="AI468" s="302">
        <v>20</v>
      </c>
      <c r="AJ468" s="311">
        <v>44526</v>
      </c>
      <c r="AK468" s="311">
        <v>43172</v>
      </c>
      <c r="AL468" s="311">
        <v>44474</v>
      </c>
      <c r="AM468" s="301"/>
      <c r="AN468" s="290"/>
      <c r="AO468" s="312" t="str">
        <f>_xlfn.IFNA(IF(VLOOKUP(tabItens[[#This Row],[CÓDIGO]],tabExcluirDoEstoque[#Data],1,FALSE),"sim",""),"")</f>
        <v/>
      </c>
      <c r="AP468" s="313" t="str">
        <f ca="1">IF(OR(ISBLANK(tabItens[[#This Row],[ATA DT.VALID.]]),tabItens[[#This Row],[ATA DT.VALID.]]="",tabItens[[#This Row],[ATA DT.VALID.]]=" "),"",IF(TYPE(tabItens[[#This Row],[ATA DT.VALID.]])=1,ROUNDUP((tabItens[[#This Row],[ATA DT.VALID.]]-TODAY())/7,0),""))</f>
        <v/>
      </c>
      <c r="AQ468" s="314">
        <v>0</v>
      </c>
      <c r="AR468" s="315" t="str">
        <f>IF(ISBLANK(tabItens[[#This Row],[CÓDIGO]]),"",IFERROR(VLOOKUP(tabItens[[#This Row],[CÓDIGO]],Consumo!$C$2:$AC$869,26,FALSE),0))</f>
        <v>07.2023</v>
      </c>
      <c r="AS468" s="316">
        <f>SUMIF(Consumo!$C$3:$C$869,tabItens[[#This Row],[CÓDIGO]],Consumo!$N$3:$N$869) + SUMIF(Consumo!$C$3:$C$869,tabItens[[#This Row],[CÓDIGO]],Consumo!$O$3:$O$869) + SUMIF(Consumo!$C$3:$C$869,tabItens[[#This Row],[CÓDIGO]],Consumo!$P$3:$P$869) + SUMIF(Consumo!$C$3:$C$869,tabItens[[#This Row],[CÓDIGO]],Consumo!$Q$3:$Q$869)</f>
        <v>23</v>
      </c>
      <c r="AT468" s="316">
        <f>SUMIF(Consumo!$C$3:$C$869,tabItens[[#This Row],[CÓDIGO]],Consumo!$Z$3:$Z$869)</f>
        <v>59</v>
      </c>
      <c r="AU468" s="317">
        <f>SUMIF(Consumo!$C$3:$C$869,tabItens[[#This Row],[CÓDIGO]],Consumo!$AA$3:$AA$869)</f>
        <v>20</v>
      </c>
      <c r="AV468" s="318">
        <f>SUMIF(Consumo!$C$3:$C$869,tabItens[[#This Row],[CÓDIGO]],Consumo!$Y$3:$Y$869)</f>
        <v>4.75</v>
      </c>
      <c r="AW468" s="291">
        <f>tabItens[[#This Row],[QTDE ATUAL]] + tabItens[[#This Row],[RC QTDE]] + tabItens[[#This Row],[AF SALDO]] + tabItens[[#This Row],[Recentes]]</f>
        <v>1451.15</v>
      </c>
      <c r="AX468" s="319">
        <v>40</v>
      </c>
      <c r="AY468" s="319">
        <v>4</v>
      </c>
      <c r="AZ468" s="319">
        <f>IF(ISBLANK(tabItens[[#This Row],[CÓDIGO]]),"",tabItens[[#This Row],[PontoMês]] * (AZ$2+tabItens[[#This Row],[PontoQtM]]))</f>
        <v>160</v>
      </c>
      <c r="BA468" s="318">
        <f>tabItens[[#This Row],[PontoPed]] - tabItens[[#This Row],[Saldo]] + (1/10)</f>
        <v>-1291.0500000000002</v>
      </c>
      <c r="BB468" s="318">
        <f xml:space="preserve"> tabItens[[#This Row],[PontoMês]] * BB$2 - tabItens[[#This Row],[QTDE ATUAL]] - (1/10)</f>
        <v>-411.25</v>
      </c>
      <c r="BC468" s="320">
        <f>IF( tabItens[[#This Row],[PontoPed]]&gt;0, IF(tabItens[[#This Row],[PontoPed]]&lt;1, 1, IF( tabItens[[#This Row],[Saldo]]&gt;tabItens[[#This Row],[PontoPed]], 0, (tabItens[[#This Row],[PontoPed]]-tabItens[[#This Row],[Saldo]])/tabItens[[#This Row],[PontoPed]] ) ), 0 )</f>
        <v>0</v>
      </c>
      <c r="BD468" s="321">
        <f>ROUNDDOWN(IF( OR( AND(tabItens[[#This Row],[PontoPed]]&lt;tabItens[[#This Row],[Saldo]],tabItens[[#This Row],[Saldo]]&gt;0), tabItens[[#This Row],[PontoPed]]=0), 99, IF(AND(tabItens[[#This Row],[Saldo]]=0,tabItens[[#This Row],[PontoPed]]&gt;0), 0, (1-tabItens[[#This Row],[PctAb]])*10 ) ),0)</f>
        <v>99</v>
      </c>
      <c r="BE468" s="322">
        <f>MAX(ROUNDDOWN( IF(tabItens[[#This Row],[Abaixo]] &gt; 0,   tabItens[[#This Row],[Abaixo]] + (tabItens[[#This Row],[PontoMês]] * IF( OR( ISBLANK(tabItens[[#This Row],[ATA Nº/ANO]]), tabItens[[#This Row],[ATA Nº/ANO]] = ""),BE$2,BE$1)),0),0),0)</f>
        <v>0</v>
      </c>
      <c r="BF4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23">
        <f>SUMIF(Consumo!$C$3:$C$869,tabItens[[#This Row],[CÓDIGO]],Consumo!$E$3:$E$869)</f>
        <v>0</v>
      </c>
      <c r="BH468" s="324">
        <f>IF(AND(tabItens[[#This Row],[Pend]] &gt; 0,tabItens[[#This Row],[Consumo]] &lt;&gt; 0), tabItens[[#This Row],[Pend]] / tabItens[[#This Row],[Consumo]], 0 )</f>
        <v>0</v>
      </c>
      <c r="BI468" s="323"/>
      <c r="BJ468" s="323"/>
      <c r="BK468" s="325" t="s">
        <v>2064</v>
      </c>
    </row>
    <row r="469" spans="1:63" hidden="1" x14ac:dyDescent="0.3">
      <c r="A469" s="286">
        <v>12847</v>
      </c>
      <c r="B469" s="287" t="s">
        <v>969</v>
      </c>
      <c r="C469" s="288" t="s">
        <v>256</v>
      </c>
      <c r="D469" s="289">
        <v>1.02</v>
      </c>
      <c r="E469" s="290"/>
      <c r="F469" s="290"/>
      <c r="G469" s="290" t="s">
        <v>883</v>
      </c>
      <c r="H469" s="291">
        <v>1135</v>
      </c>
      <c r="I469" s="292">
        <v>103003</v>
      </c>
      <c r="J469" s="293">
        <v>1.02</v>
      </c>
      <c r="K469" s="294">
        <v>4444</v>
      </c>
      <c r="L469" s="295">
        <f>IF(tabItens[[#This Row],[Média]] &gt; 0, tabItens[[#This Row],[QTDE ATUAL]] / tabItens[[#This Row],[Média]],999.9)</f>
        <v>3.9137931034482758</v>
      </c>
      <c r="M469" s="296">
        <v>0</v>
      </c>
      <c r="N469" s="297">
        <f>tabItens[[#This Row],[VALOR UNIT.]] * tabItens[[#This Row],[LC]]</f>
        <v>0</v>
      </c>
      <c r="O469" s="298" t="s">
        <v>2077</v>
      </c>
      <c r="P469" s="299"/>
      <c r="Q469" s="300"/>
      <c r="R469" s="297"/>
      <c r="S469" s="301"/>
      <c r="T469" s="302">
        <f>ROUNDDOWN(IFERROR(tabItens[[#This Row],[ATA DT.VALID.]] - $D$1,0) / 30,0)</f>
        <v>-1504</v>
      </c>
      <c r="U469" s="287" t="s">
        <v>962</v>
      </c>
      <c r="V469" s="303">
        <v>1</v>
      </c>
      <c r="W469" s="304" t="s">
        <v>2053</v>
      </c>
      <c r="X469" s="305">
        <v>76</v>
      </c>
      <c r="Y469" s="306">
        <v>11</v>
      </c>
      <c r="Z469" s="307">
        <v>9007</v>
      </c>
      <c r="AA469" s="308">
        <v>2023</v>
      </c>
      <c r="AB469" s="309">
        <v>900</v>
      </c>
      <c r="AC469" s="309"/>
      <c r="AD469" s="308"/>
      <c r="AE469" s="309"/>
      <c r="AF469" s="302"/>
      <c r="AG469" s="310" t="s">
        <v>2050</v>
      </c>
      <c r="AH469" s="311"/>
      <c r="AI469" s="302">
        <v>1598</v>
      </c>
      <c r="AJ469" s="311">
        <v>44874</v>
      </c>
      <c r="AK469" s="311" t="s">
        <v>883</v>
      </c>
      <c r="AL469" s="311">
        <v>44865</v>
      </c>
      <c r="AM469" s="301"/>
      <c r="AN469" s="290"/>
      <c r="AO469" s="312" t="str">
        <f>_xlfn.IFNA(IF(VLOOKUP(tabItens[[#This Row],[CÓDIGO]],tabExcluirDoEstoque[#Data],1,FALSE),"sim",""),"")</f>
        <v/>
      </c>
      <c r="AP469" s="313" t="str">
        <f ca="1">IF(OR(ISBLANK(tabItens[[#This Row],[ATA DT.VALID.]]),tabItens[[#This Row],[ATA DT.VALID.]]="",tabItens[[#This Row],[ATA DT.VALID.]]=" "),"",IF(TYPE(tabItens[[#This Row],[ATA DT.VALID.]])=1,ROUNDUP((tabItens[[#This Row],[ATA DT.VALID.]]-TODAY())/7,0),""))</f>
        <v/>
      </c>
      <c r="AQ469" s="314">
        <v>0</v>
      </c>
      <c r="AR469" s="315" t="str">
        <f>IF(ISBLANK(tabItens[[#This Row],[CÓDIGO]]),"",IFERROR(VLOOKUP(tabItens[[#This Row],[CÓDIGO]],Consumo!$C$2:$AC$869,26,FALSE),0))</f>
        <v>07.2023</v>
      </c>
      <c r="AS469" s="316">
        <f>SUMIF(Consumo!$C$3:$C$869,tabItens[[#This Row],[CÓDIGO]],Consumo!$N$3:$N$869) + SUMIF(Consumo!$C$3:$C$869,tabItens[[#This Row],[CÓDIGO]],Consumo!$O$3:$O$869) + SUMIF(Consumo!$C$3:$C$869,tabItens[[#This Row],[CÓDIGO]],Consumo!$P$3:$P$869) + SUMIF(Consumo!$C$3:$C$869,tabItens[[#This Row],[CÓDIGO]],Consumo!$Q$3:$Q$869)</f>
        <v>274</v>
      </c>
      <c r="AT469" s="316">
        <f>SUMIF(Consumo!$C$3:$C$869,tabItens[[#This Row],[CÓDIGO]],Consumo!$Z$3:$Z$869)</f>
        <v>4794</v>
      </c>
      <c r="AU469" s="317">
        <f>SUMIF(Consumo!$C$3:$C$869,tabItens[[#This Row],[CÓDIGO]],Consumo!$AA$3:$AA$869)</f>
        <v>3950</v>
      </c>
      <c r="AV469" s="318">
        <f>SUMIF(Consumo!$C$3:$C$869,tabItens[[#This Row],[CÓDIGO]],Consumo!$Y$3:$Y$869)</f>
        <v>290</v>
      </c>
      <c r="AW469" s="291">
        <f>tabItens[[#This Row],[QTDE ATUAL]] + tabItens[[#This Row],[RC QTDE]] + tabItens[[#This Row],[AF SALDO]] + tabItens[[#This Row],[Recentes]]</f>
        <v>2035</v>
      </c>
      <c r="AX469" s="319">
        <v>220</v>
      </c>
      <c r="AY469" s="319">
        <v>4</v>
      </c>
      <c r="AZ469" s="319">
        <f>IF(ISBLANK(tabItens[[#This Row],[CÓDIGO]]),"",tabItens[[#This Row],[PontoMês]] * (AZ$2+tabItens[[#This Row],[PontoQtM]]))</f>
        <v>880</v>
      </c>
      <c r="BA469" s="318">
        <f>tabItens[[#This Row],[PontoPed]] - tabItens[[#This Row],[Saldo]] + (1/10)</f>
        <v>-1154.9000000000001</v>
      </c>
      <c r="BB469" s="318">
        <f xml:space="preserve"> tabItens[[#This Row],[PontoMês]] * BB$2 - tabItens[[#This Row],[QTDE ATUAL]] - (1/10)</f>
        <v>-915.1</v>
      </c>
      <c r="BC469" s="320">
        <f>IF( tabItens[[#This Row],[PontoPed]]&gt;0, IF(tabItens[[#This Row],[PontoPed]]&lt;1, 1, IF( tabItens[[#This Row],[Saldo]]&gt;tabItens[[#This Row],[PontoPed]], 0, (tabItens[[#This Row],[PontoPed]]-tabItens[[#This Row],[Saldo]])/tabItens[[#This Row],[PontoPed]] ) ), 0 )</f>
        <v>0</v>
      </c>
      <c r="BD469" s="321">
        <f>ROUNDDOWN(IF( OR( AND(tabItens[[#This Row],[PontoPed]]&lt;tabItens[[#This Row],[Saldo]],tabItens[[#This Row],[Saldo]]&gt;0), tabItens[[#This Row],[PontoPed]]=0), 99, IF(AND(tabItens[[#This Row],[Saldo]]=0,tabItens[[#This Row],[PontoPed]]&gt;0), 0, (1-tabItens[[#This Row],[PctAb]])*10 ) ),0)</f>
        <v>99</v>
      </c>
      <c r="BE469" s="322">
        <f>MAX(ROUNDDOWN( IF(tabItens[[#This Row],[Abaixo]] &gt; 0,   tabItens[[#This Row],[Abaixo]] + (tabItens[[#This Row],[PontoMês]] * IF( OR( ISBLANK(tabItens[[#This Row],[ATA Nº/ANO]]), tabItens[[#This Row],[ATA Nº/ANO]] = ""),BE$2,BE$1)),0),0),0)</f>
        <v>0</v>
      </c>
      <c r="BF4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23">
        <f>SUMIF(Consumo!$C$3:$C$869,tabItens[[#This Row],[CÓDIGO]],Consumo!$E$3:$E$869)</f>
        <v>0</v>
      </c>
      <c r="BH469" s="324">
        <f>IF(AND(tabItens[[#This Row],[Pend]] &gt; 0,tabItens[[#This Row],[Consumo]] &lt;&gt; 0), tabItens[[#This Row],[Pend]] / tabItens[[#This Row],[Consumo]], 0 )</f>
        <v>0</v>
      </c>
      <c r="BI469" s="323"/>
      <c r="BJ469" s="323"/>
      <c r="BK469" s="325" t="s">
        <v>2064</v>
      </c>
    </row>
    <row r="470" spans="1:63" hidden="1" x14ac:dyDescent="0.3">
      <c r="A470" s="286">
        <v>24204</v>
      </c>
      <c r="B470" s="287" t="s">
        <v>1191</v>
      </c>
      <c r="C470" s="288" t="s">
        <v>256</v>
      </c>
      <c r="D470" s="289">
        <v>3.72</v>
      </c>
      <c r="E470" s="290"/>
      <c r="F470" s="290"/>
      <c r="G470" s="290" t="s">
        <v>883</v>
      </c>
      <c r="H470" s="291">
        <v>102</v>
      </c>
      <c r="I470" s="292">
        <v>103003</v>
      </c>
      <c r="J470" s="293">
        <v>3.72</v>
      </c>
      <c r="K470" s="294">
        <v>474</v>
      </c>
      <c r="L470" s="295">
        <f>IF(tabItens[[#This Row],[Média]] &gt; 0, tabItens[[#This Row],[QTDE ATUAL]] / tabItens[[#This Row],[Média]],999.9)</f>
        <v>1.520496894409938</v>
      </c>
      <c r="M470" s="296">
        <v>0</v>
      </c>
      <c r="N470" s="297">
        <f>tabItens[[#This Row],[VALOR UNIT.]] * tabItens[[#This Row],[LC]]</f>
        <v>0</v>
      </c>
      <c r="O470" s="298" t="s">
        <v>2077</v>
      </c>
      <c r="P470" s="299"/>
      <c r="Q470" s="300"/>
      <c r="R470" s="297"/>
      <c r="S470" s="301"/>
      <c r="T470" s="302">
        <f>ROUNDDOWN(IFERROR(tabItens[[#This Row],[ATA DT.VALID.]] - $D$1,0) / 30,0)</f>
        <v>-1504</v>
      </c>
      <c r="U470" s="287" t="s">
        <v>962</v>
      </c>
      <c r="V470" s="303">
        <v>1</v>
      </c>
      <c r="W470" s="304" t="s">
        <v>2053</v>
      </c>
      <c r="X470" s="305">
        <v>76</v>
      </c>
      <c r="Y470" s="306">
        <v>11</v>
      </c>
      <c r="Z470" s="307">
        <v>2659</v>
      </c>
      <c r="AA470" s="308">
        <v>2023</v>
      </c>
      <c r="AB470" s="309">
        <v>500</v>
      </c>
      <c r="AC470" s="309"/>
      <c r="AD470" s="308"/>
      <c r="AE470" s="309"/>
      <c r="AF470" s="302"/>
      <c r="AG470" s="310" t="s">
        <v>2050</v>
      </c>
      <c r="AH470" s="311"/>
      <c r="AI470" s="302">
        <v>270</v>
      </c>
      <c r="AJ470" s="311">
        <v>44523</v>
      </c>
      <c r="AK470" s="311" t="s">
        <v>883</v>
      </c>
      <c r="AL470" s="311">
        <v>45117</v>
      </c>
      <c r="AM470" s="301"/>
      <c r="AN470" s="290"/>
      <c r="AO470" s="312" t="str">
        <f>_xlfn.IFNA(IF(VLOOKUP(tabItens[[#This Row],[CÓDIGO]],tabExcluirDoEstoque[#Data],1,FALSE),"sim",""),"")</f>
        <v/>
      </c>
      <c r="AP470" s="313" t="str">
        <f ca="1">IF(OR(ISBLANK(tabItens[[#This Row],[ATA DT.VALID.]]),tabItens[[#This Row],[ATA DT.VALID.]]="",tabItens[[#This Row],[ATA DT.VALID.]]=" "),"",IF(TYPE(tabItens[[#This Row],[ATA DT.VALID.]])=1,ROUNDUP((tabItens[[#This Row],[ATA DT.VALID.]]-TODAY())/7,0),""))</f>
        <v/>
      </c>
      <c r="AQ470" s="314">
        <v>0</v>
      </c>
      <c r="AR470" s="315" t="str">
        <f>IF(ISBLANK(tabItens[[#This Row],[CÓDIGO]]),"",IFERROR(VLOOKUP(tabItens[[#This Row],[CÓDIGO]],Consumo!$C$2:$AC$869,26,FALSE),0))</f>
        <v>07.2023</v>
      </c>
      <c r="AS470" s="316">
        <f>SUMIF(Consumo!$C$3:$C$869,tabItens[[#This Row],[CÓDIGO]],Consumo!$N$3:$N$869) + SUMIF(Consumo!$C$3:$C$869,tabItens[[#This Row],[CÓDIGO]],Consumo!$O$3:$O$869) + SUMIF(Consumo!$C$3:$C$869,tabItens[[#This Row],[CÓDIGO]],Consumo!$P$3:$P$869) + SUMIF(Consumo!$C$3:$C$869,tabItens[[#This Row],[CÓDIGO]],Consumo!$Q$3:$Q$869)</f>
        <v>291</v>
      </c>
      <c r="AT470" s="316">
        <f>SUMIF(Consumo!$C$3:$C$869,tabItens[[#This Row],[CÓDIGO]],Consumo!$Z$3:$Z$869)</f>
        <v>807</v>
      </c>
      <c r="AU470" s="317">
        <f>SUMIF(Consumo!$C$3:$C$869,tabItens[[#This Row],[CÓDIGO]],Consumo!$AA$3:$AA$869)</f>
        <v>100</v>
      </c>
      <c r="AV470" s="318">
        <f>SUMIF(Consumo!$C$3:$C$869,tabItens[[#This Row],[CÓDIGO]],Consumo!$Y$3:$Y$869)</f>
        <v>67.083333333333329</v>
      </c>
      <c r="AW470" s="291">
        <f>tabItens[[#This Row],[QTDE ATUAL]] + tabItens[[#This Row],[RC QTDE]] + tabItens[[#This Row],[AF SALDO]] + tabItens[[#This Row],[Recentes]]</f>
        <v>602</v>
      </c>
      <c r="AX470" s="319">
        <v>15</v>
      </c>
      <c r="AY470" s="319">
        <v>4</v>
      </c>
      <c r="AZ470" s="319">
        <f>IF(ISBLANK(tabItens[[#This Row],[CÓDIGO]]),"",tabItens[[#This Row],[PontoMês]] * (AZ$2+tabItens[[#This Row],[PontoQtM]]))</f>
        <v>60</v>
      </c>
      <c r="BA470" s="318">
        <f>tabItens[[#This Row],[PontoPed]] - tabItens[[#This Row],[Saldo]] + (1/10)</f>
        <v>-541.9</v>
      </c>
      <c r="BB470" s="318">
        <f xml:space="preserve"> tabItens[[#This Row],[PontoMês]] * BB$2 - tabItens[[#This Row],[QTDE ATUAL]] - (1/10)</f>
        <v>-87.1</v>
      </c>
      <c r="BC470" s="320">
        <f>IF( tabItens[[#This Row],[PontoPed]]&gt;0, IF(tabItens[[#This Row],[PontoPed]]&lt;1, 1, IF( tabItens[[#This Row],[Saldo]]&gt;tabItens[[#This Row],[PontoPed]], 0, (tabItens[[#This Row],[PontoPed]]-tabItens[[#This Row],[Saldo]])/tabItens[[#This Row],[PontoPed]] ) ), 0 )</f>
        <v>0</v>
      </c>
      <c r="BD470" s="321">
        <f>ROUNDDOWN(IF( OR( AND(tabItens[[#This Row],[PontoPed]]&lt;tabItens[[#This Row],[Saldo]],tabItens[[#This Row],[Saldo]]&gt;0), tabItens[[#This Row],[PontoPed]]=0), 99, IF(AND(tabItens[[#This Row],[Saldo]]=0,tabItens[[#This Row],[PontoPed]]&gt;0), 0, (1-tabItens[[#This Row],[PctAb]])*10 ) ),0)</f>
        <v>99</v>
      </c>
      <c r="BE470" s="322">
        <f>MAX(ROUNDDOWN( IF(tabItens[[#This Row],[Abaixo]] &gt; 0,   tabItens[[#This Row],[Abaixo]] + (tabItens[[#This Row],[PontoMês]] * IF( OR( ISBLANK(tabItens[[#This Row],[ATA Nº/ANO]]), tabItens[[#This Row],[ATA Nº/ANO]] = ""),BE$2,BE$1)),0),0),0)</f>
        <v>0</v>
      </c>
      <c r="BF4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23">
        <f>SUMIF(Consumo!$C$3:$C$869,tabItens[[#This Row],[CÓDIGO]],Consumo!$E$3:$E$869)</f>
        <v>0</v>
      </c>
      <c r="BH470" s="324">
        <f>IF(AND(tabItens[[#This Row],[Pend]] &gt; 0,tabItens[[#This Row],[Consumo]] &lt;&gt; 0), tabItens[[#This Row],[Pend]] / tabItens[[#This Row],[Consumo]], 0 )</f>
        <v>0</v>
      </c>
      <c r="BI470" s="323"/>
      <c r="BJ470" s="323"/>
      <c r="BK470" s="325" t="s">
        <v>2064</v>
      </c>
    </row>
    <row r="471" spans="1:63" hidden="1" x14ac:dyDescent="0.3">
      <c r="A471" s="286">
        <v>88839</v>
      </c>
      <c r="B471" s="287" t="s">
        <v>1508</v>
      </c>
      <c r="C471" s="288" t="s">
        <v>273</v>
      </c>
      <c r="D471" s="289">
        <v>85</v>
      </c>
      <c r="E471" s="290"/>
      <c r="F471" s="290"/>
      <c r="G471" s="290" t="s">
        <v>883</v>
      </c>
      <c r="H471" s="291">
        <v>15</v>
      </c>
      <c r="I471" s="292">
        <v>103003</v>
      </c>
      <c r="J471" s="293">
        <v>85</v>
      </c>
      <c r="K471" s="294">
        <v>50</v>
      </c>
      <c r="L471" s="295">
        <f>IF(tabItens[[#This Row],[Média]] &gt; 0, tabItens[[#This Row],[QTDE ATUAL]] / tabItens[[#This Row],[Média]],999.9)</f>
        <v>3.214285714285714</v>
      </c>
      <c r="M471" s="296">
        <v>0</v>
      </c>
      <c r="N471" s="297">
        <f>tabItens[[#This Row],[VALOR UNIT.]] * tabItens[[#This Row],[LC]]</f>
        <v>0</v>
      </c>
      <c r="O471" s="298" t="s">
        <v>2077</v>
      </c>
      <c r="P471" s="299"/>
      <c r="Q471" s="300"/>
      <c r="R471" s="297"/>
      <c r="S471" s="301"/>
      <c r="T471" s="302">
        <f>ROUNDDOWN(IFERROR(tabItens[[#This Row],[ATA DT.VALID.]] - $D$1,0) / 30,0)</f>
        <v>-1504</v>
      </c>
      <c r="U471" s="287" t="s">
        <v>1509</v>
      </c>
      <c r="V471" s="303">
        <v>1</v>
      </c>
      <c r="W471" s="304" t="s">
        <v>2053</v>
      </c>
      <c r="X471" s="305">
        <v>76</v>
      </c>
      <c r="Y471" s="306">
        <v>13</v>
      </c>
      <c r="Z471" s="307">
        <v>2661</v>
      </c>
      <c r="AA471" s="308">
        <v>2023</v>
      </c>
      <c r="AB471" s="309">
        <v>40</v>
      </c>
      <c r="AC471" s="309"/>
      <c r="AD471" s="308"/>
      <c r="AE471" s="309"/>
      <c r="AF471" s="302"/>
      <c r="AG471" s="310" t="s">
        <v>2050</v>
      </c>
      <c r="AH471" s="311"/>
      <c r="AI471" s="302">
        <v>18</v>
      </c>
      <c r="AJ471" s="311">
        <v>44613</v>
      </c>
      <c r="AK471" s="311">
        <v>38663</v>
      </c>
      <c r="AL471" s="311">
        <v>44586</v>
      </c>
      <c r="AM471" s="301"/>
      <c r="AN471" s="290"/>
      <c r="AO471" s="312" t="str">
        <f>_xlfn.IFNA(IF(VLOOKUP(tabItens[[#This Row],[CÓDIGO]],tabExcluirDoEstoque[#Data],1,FALSE),"sim",""),"")</f>
        <v/>
      </c>
      <c r="AP471" s="313" t="str">
        <f ca="1">IF(OR(ISBLANK(tabItens[[#This Row],[ATA DT.VALID.]]),tabItens[[#This Row],[ATA DT.VALID.]]="",tabItens[[#This Row],[ATA DT.VALID.]]=" "),"",IF(TYPE(tabItens[[#This Row],[ATA DT.VALID.]])=1,ROUNDUP((tabItens[[#This Row],[ATA DT.VALID.]]-TODAY())/7,0),""))</f>
        <v/>
      </c>
      <c r="AQ471" s="314">
        <v>0</v>
      </c>
      <c r="AR471" s="315" t="str">
        <f>IF(ISBLANK(tabItens[[#This Row],[CÓDIGO]]),"",IFERROR(VLOOKUP(tabItens[[#This Row],[CÓDIGO]],Consumo!$C$2:$AC$869,26,FALSE),0))</f>
        <v>06.2023</v>
      </c>
      <c r="AS471" s="316">
        <f>SUMIF(Consumo!$C$3:$C$869,tabItens[[#This Row],[CÓDIGO]],Consumo!$N$3:$N$869) + SUMIF(Consumo!$C$3:$C$869,tabItens[[#This Row],[CÓDIGO]],Consumo!$O$3:$O$869) + SUMIF(Consumo!$C$3:$C$869,tabItens[[#This Row],[CÓDIGO]],Consumo!$P$3:$P$869) + SUMIF(Consumo!$C$3:$C$869,tabItens[[#This Row],[CÓDIGO]],Consumo!$Q$3:$Q$869)</f>
        <v>5</v>
      </c>
      <c r="AT471" s="316">
        <f>SUMIF(Consumo!$C$3:$C$869,tabItens[[#This Row],[CÓDIGO]],Consumo!$Z$3:$Z$869)</f>
        <v>56</v>
      </c>
      <c r="AU471" s="317">
        <f>SUMIF(Consumo!$C$3:$C$869,tabItens[[#This Row],[CÓDIGO]],Consumo!$AA$3:$AA$869)</f>
        <v>13</v>
      </c>
      <c r="AV471" s="318">
        <f>SUMIF(Consumo!$C$3:$C$869,tabItens[[#This Row],[CÓDIGO]],Consumo!$Y$3:$Y$869)</f>
        <v>4.666666666666667</v>
      </c>
      <c r="AW471" s="291">
        <f>tabItens[[#This Row],[QTDE ATUAL]] + tabItens[[#This Row],[RC QTDE]] + tabItens[[#This Row],[AF SALDO]] + tabItens[[#This Row],[Recentes]]</f>
        <v>55</v>
      </c>
      <c r="AX471" s="319">
        <v>2</v>
      </c>
      <c r="AY471" s="319">
        <v>4</v>
      </c>
      <c r="AZ471" s="319">
        <f>IF(ISBLANK(tabItens[[#This Row],[CÓDIGO]]),"",tabItens[[#This Row],[PontoMês]] * (AZ$2+tabItens[[#This Row],[PontoQtM]]))</f>
        <v>8</v>
      </c>
      <c r="BA471" s="318">
        <f>tabItens[[#This Row],[PontoPed]] - tabItens[[#This Row],[Saldo]] + (1/10)</f>
        <v>-46.9</v>
      </c>
      <c r="BB471" s="318">
        <f xml:space="preserve"> tabItens[[#This Row],[PontoMês]] * BB$2 - tabItens[[#This Row],[QTDE ATUAL]] - (1/10)</f>
        <v>-13.1</v>
      </c>
      <c r="BC471" s="320">
        <f>IF( tabItens[[#This Row],[PontoPed]]&gt;0, IF(tabItens[[#This Row],[PontoPed]]&lt;1, 1, IF( tabItens[[#This Row],[Saldo]]&gt;tabItens[[#This Row],[PontoPed]], 0, (tabItens[[#This Row],[PontoPed]]-tabItens[[#This Row],[Saldo]])/tabItens[[#This Row],[PontoPed]] ) ), 0 )</f>
        <v>0</v>
      </c>
      <c r="BD471" s="321">
        <f>ROUNDDOWN(IF( OR( AND(tabItens[[#This Row],[PontoPed]]&lt;tabItens[[#This Row],[Saldo]],tabItens[[#This Row],[Saldo]]&gt;0), tabItens[[#This Row],[PontoPed]]=0), 99, IF(AND(tabItens[[#This Row],[Saldo]]=0,tabItens[[#This Row],[PontoPed]]&gt;0), 0, (1-tabItens[[#This Row],[PctAb]])*10 ) ),0)</f>
        <v>99</v>
      </c>
      <c r="BE471" s="322">
        <f>MAX(ROUNDDOWN( IF(tabItens[[#This Row],[Abaixo]] &gt; 0,   tabItens[[#This Row],[Abaixo]] + (tabItens[[#This Row],[PontoMês]] * IF( OR( ISBLANK(tabItens[[#This Row],[ATA Nº/ANO]]), tabItens[[#This Row],[ATA Nº/ANO]] = ""),BE$2,BE$1)),0),0),0)</f>
        <v>0</v>
      </c>
      <c r="BF47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23">
        <f>SUMIF(Consumo!$C$3:$C$869,tabItens[[#This Row],[CÓDIGO]],Consumo!$E$3:$E$869)</f>
        <v>0</v>
      </c>
      <c r="BH471" s="324">
        <f>IF(AND(tabItens[[#This Row],[Pend]] &gt; 0,tabItens[[#This Row],[Consumo]] &lt;&gt; 0), tabItens[[#This Row],[Pend]] / tabItens[[#This Row],[Consumo]], 0 )</f>
        <v>0</v>
      </c>
      <c r="BI471" s="323"/>
      <c r="BJ471" s="323"/>
      <c r="BK471" s="325" t="s">
        <v>2064</v>
      </c>
    </row>
    <row r="472" spans="1:63" x14ac:dyDescent="0.3">
      <c r="A472" s="396">
        <v>128287</v>
      </c>
      <c r="B472" s="397" t="s">
        <v>1779</v>
      </c>
      <c r="C472" s="398" t="s">
        <v>273</v>
      </c>
      <c r="D472" s="399">
        <v>84.22</v>
      </c>
      <c r="E472" s="290"/>
      <c r="F472" s="400"/>
      <c r="G472" s="400" t="s">
        <v>883</v>
      </c>
      <c r="H472" s="401">
        <v>0</v>
      </c>
      <c r="I472" s="292">
        <v>103003</v>
      </c>
      <c r="J472" s="293">
        <v>84.22</v>
      </c>
      <c r="K472" s="402">
        <v>328</v>
      </c>
      <c r="L472" s="403">
        <f>IF(tabItens[[#This Row],[Média]] &gt; 0, tabItens[[#This Row],[QTDE ATUAL]] / tabItens[[#This Row],[Média]],999.9)</f>
        <v>0</v>
      </c>
      <c r="M472" s="404">
        <v>0</v>
      </c>
      <c r="N472" s="405">
        <f>tabItens[[#This Row],[VALOR UNIT.]] * tabItens[[#This Row],[LC]]</f>
        <v>0</v>
      </c>
      <c r="O472" s="406" t="s">
        <v>2077</v>
      </c>
      <c r="P472" s="407"/>
      <c r="Q472" s="408"/>
      <c r="R472" s="297"/>
      <c r="S472" s="409"/>
      <c r="T472" s="410">
        <f>ROUNDDOWN(IFERROR(tabItens[[#This Row],[ATA DT.VALID.]] - $D$1,0) / 30,0)</f>
        <v>-1504</v>
      </c>
      <c r="U472" s="287" t="s">
        <v>1183</v>
      </c>
      <c r="V472" s="303">
        <v>1</v>
      </c>
      <c r="W472" s="411" t="s">
        <v>2053</v>
      </c>
      <c r="X472" s="412">
        <v>76</v>
      </c>
      <c r="Y472" s="413">
        <v>16</v>
      </c>
      <c r="Z472" s="414">
        <v>2503</v>
      </c>
      <c r="AA472" s="415">
        <v>2023</v>
      </c>
      <c r="AB472" s="416">
        <v>700</v>
      </c>
      <c r="AC472" s="416"/>
      <c r="AD472" s="415"/>
      <c r="AE472" s="416"/>
      <c r="AF472" s="302"/>
      <c r="AG472" s="417" t="s">
        <v>2050</v>
      </c>
      <c r="AH472" s="418"/>
      <c r="AI472" s="302">
        <v>126</v>
      </c>
      <c r="AJ472" s="418">
        <v>44601</v>
      </c>
      <c r="AK472" s="311">
        <v>41828</v>
      </c>
      <c r="AL472" s="311">
        <v>44586</v>
      </c>
      <c r="AM472" s="301"/>
      <c r="AN472" s="290"/>
      <c r="AO472" s="312" t="str">
        <f>_xlfn.IFNA(IF(VLOOKUP(tabItens[[#This Row],[CÓDIGO]],tabExcluirDoEstoque[#Data],1,FALSE),"sim",""),"")</f>
        <v/>
      </c>
      <c r="AP472" s="419" t="str">
        <f ca="1">IF(OR(ISBLANK(tabItens[[#This Row],[ATA DT.VALID.]]),tabItens[[#This Row],[ATA DT.VALID.]]="",tabItens[[#This Row],[ATA DT.VALID.]]=" "),"",IF(TYPE(tabItens[[#This Row],[ATA DT.VALID.]])=1,ROUNDUP((tabItens[[#This Row],[ATA DT.VALID.]]-TODAY())/7,0),""))</f>
        <v/>
      </c>
      <c r="AQ472" s="314">
        <v>0</v>
      </c>
      <c r="AR472" s="315" t="str">
        <f>IF(ISBLANK(tabItens[[#This Row],[CÓDIGO]]),"",IFERROR(VLOOKUP(tabItens[[#This Row],[CÓDIGO]],Consumo!$C$2:$AC$869,26,FALSE),0))</f>
        <v>03.2023</v>
      </c>
      <c r="AS472" s="316">
        <f>SUMIF(Consumo!$C$3:$C$869,tabItens[[#This Row],[CÓDIGO]],Consumo!$N$3:$N$869) + SUMIF(Consumo!$C$3:$C$869,tabItens[[#This Row],[CÓDIGO]],Consumo!$O$3:$O$869) + SUMIF(Consumo!$C$3:$C$869,tabItens[[#This Row],[CÓDIGO]],Consumo!$P$3:$P$869) + SUMIF(Consumo!$C$3:$C$869,tabItens[[#This Row],[CÓDIGO]],Consumo!$Q$3:$Q$869)</f>
        <v>0</v>
      </c>
      <c r="AT472" s="316">
        <f>SUMIF(Consumo!$C$3:$C$869,tabItens[[#This Row],[CÓDIGO]],Consumo!$Z$3:$Z$869)</f>
        <v>401</v>
      </c>
      <c r="AU472" s="317">
        <f>SUMIF(Consumo!$C$3:$C$869,tabItens[[#This Row],[CÓDIGO]],Consumo!$AA$3:$AA$869)</f>
        <v>74</v>
      </c>
      <c r="AV472" s="318">
        <f>SUMIF(Consumo!$C$3:$C$869,tabItens[[#This Row],[CÓDIGO]],Consumo!$Y$3:$Y$869)</f>
        <v>33.416666666666664</v>
      </c>
      <c r="AW472" s="401">
        <f>tabItens[[#This Row],[QTDE ATUAL]] + tabItens[[#This Row],[RC QTDE]] + tabItens[[#This Row],[AF SALDO]] + tabItens[[#This Row],[Recentes]]</f>
        <v>700</v>
      </c>
      <c r="AX472" s="420">
        <v>45</v>
      </c>
      <c r="AY472" s="420">
        <v>4</v>
      </c>
      <c r="AZ472" s="420">
        <f>IF(ISBLANK(tabItens[[#This Row],[CÓDIGO]]),"",tabItens[[#This Row],[PontoMês]] * (AZ$2+tabItens[[#This Row],[PontoQtM]]))</f>
        <v>180</v>
      </c>
      <c r="BA472" s="421">
        <f>tabItens[[#This Row],[PontoPed]] - tabItens[[#This Row],[Saldo]] + (1/10)</f>
        <v>-519.9</v>
      </c>
      <c r="BB472" s="421">
        <f xml:space="preserve"> tabItens[[#This Row],[PontoMês]] * BB$2 - tabItens[[#This Row],[QTDE ATUAL]] - (1/10)</f>
        <v>44.9</v>
      </c>
      <c r="BC472" s="320">
        <f>IF( tabItens[[#This Row],[PontoPed]]&gt;0, IF(tabItens[[#This Row],[PontoPed]]&lt;1, 1, IF( tabItens[[#This Row],[Saldo]]&gt;tabItens[[#This Row],[PontoPed]], 0, (tabItens[[#This Row],[PontoPed]]-tabItens[[#This Row],[Saldo]])/tabItens[[#This Row],[PontoPed]] ) ), 0 )</f>
        <v>0</v>
      </c>
      <c r="BD472" s="422">
        <f>ROUNDDOWN(IF( OR( AND(tabItens[[#This Row],[PontoPed]]&lt;tabItens[[#This Row],[Saldo]],tabItens[[#This Row],[Saldo]]&gt;0), tabItens[[#This Row],[PontoPed]]=0), 99, IF(AND(tabItens[[#This Row],[Saldo]]=0,tabItens[[#This Row],[PontoPed]]&gt;0), 0, (1-tabItens[[#This Row],[PctAb]])*10 ) ),0)</f>
        <v>99</v>
      </c>
      <c r="BE472" s="423">
        <f>MAX(ROUNDDOWN( IF(tabItens[[#This Row],[Abaixo]] &gt; 0,   tabItens[[#This Row],[Abaixo]] + (tabItens[[#This Row],[PontoMês]] * IF( OR( ISBLANK(tabItens[[#This Row],[ATA Nº/ANO]]), tabItens[[#This Row],[ATA Nº/ANO]] = ""),BE$2,BE$1)),0),0),0)</f>
        <v>0</v>
      </c>
      <c r="BF472"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23">
        <f>SUMIF(Consumo!$C$3:$C$869,tabItens[[#This Row],[CÓDIGO]],Consumo!$E$3:$E$869)</f>
        <v>24</v>
      </c>
      <c r="BH472" s="324">
        <f>IF(AND(tabItens[[#This Row],[Pend]] &gt; 0,tabItens[[#This Row],[Consumo]] &lt;&gt; 0), tabItens[[#This Row],[Pend]] / tabItens[[#This Row],[Consumo]], 0 )</f>
        <v>5.9850374064837904E-2</v>
      </c>
      <c r="BI472" s="323"/>
      <c r="BJ472" s="424"/>
      <c r="BK472" s="425" t="s">
        <v>2064</v>
      </c>
    </row>
    <row r="473" spans="1:63" hidden="1" x14ac:dyDescent="0.3">
      <c r="A473" s="286">
        <v>13066</v>
      </c>
      <c r="B473" s="287" t="s">
        <v>993</v>
      </c>
      <c r="C473" s="288" t="s">
        <v>569</v>
      </c>
      <c r="D473" s="289">
        <v>0.99</v>
      </c>
      <c r="E473" s="290"/>
      <c r="F473" s="290"/>
      <c r="G473" s="290" t="s">
        <v>883</v>
      </c>
      <c r="H473" s="291">
        <v>855</v>
      </c>
      <c r="I473" s="292">
        <v>103003</v>
      </c>
      <c r="J473" s="293">
        <v>0.99</v>
      </c>
      <c r="K473" s="294">
        <v>10</v>
      </c>
      <c r="L473" s="295">
        <f>IF(tabItens[[#This Row],[Média]] &gt; 0, tabItens[[#This Row],[QTDE ATUAL]] / tabItens[[#This Row],[Média]],999.9)</f>
        <v>1710</v>
      </c>
      <c r="M473" s="296">
        <v>0</v>
      </c>
      <c r="N473" s="297">
        <f>tabItens[[#This Row],[VALOR UNIT.]] * tabItens[[#This Row],[LC]]</f>
        <v>0</v>
      </c>
      <c r="O473" s="298" t="s">
        <v>2077</v>
      </c>
      <c r="P473" s="299"/>
      <c r="Q473" s="300"/>
      <c r="R473" s="297"/>
      <c r="S473" s="301"/>
      <c r="T473" s="302">
        <f>ROUNDDOWN(IFERROR(tabItens[[#This Row],[ATA DT.VALID.]] - $D$1,0) / 30,0)</f>
        <v>-1504</v>
      </c>
      <c r="U473" s="287" t="s">
        <v>994</v>
      </c>
      <c r="V473" s="303">
        <v>1</v>
      </c>
      <c r="W473" s="304" t="s">
        <v>2056</v>
      </c>
      <c r="X473" s="305">
        <v>83</v>
      </c>
      <c r="Y473" s="306">
        <v>2</v>
      </c>
      <c r="Z473" s="307"/>
      <c r="AA473" s="308"/>
      <c r="AB473" s="309"/>
      <c r="AC473" s="309"/>
      <c r="AD473" s="308"/>
      <c r="AE473" s="309"/>
      <c r="AF473" s="302"/>
      <c r="AG473" s="310" t="s">
        <v>2050</v>
      </c>
      <c r="AH473" s="311"/>
      <c r="AI473" s="302">
        <v>4</v>
      </c>
      <c r="AJ473" s="311">
        <v>44067</v>
      </c>
      <c r="AK473" s="311" t="s">
        <v>883</v>
      </c>
      <c r="AL473" s="311">
        <v>44040</v>
      </c>
      <c r="AM473" s="301"/>
      <c r="AN473" s="290"/>
      <c r="AO473" s="312" t="str">
        <f>_xlfn.IFNA(IF(VLOOKUP(tabItens[[#This Row],[CÓDIGO]],tabExcluirDoEstoque[#Data],1,FALSE),"sim",""),"")</f>
        <v/>
      </c>
      <c r="AP473" s="313" t="str">
        <f ca="1">IF(OR(ISBLANK(tabItens[[#This Row],[ATA DT.VALID.]]),tabItens[[#This Row],[ATA DT.VALID.]]="",tabItens[[#This Row],[ATA DT.VALID.]]=" "),"",IF(TYPE(tabItens[[#This Row],[ATA DT.VALID.]])=1,ROUNDUP((tabItens[[#This Row],[ATA DT.VALID.]]-TODAY())/7,0),""))</f>
        <v/>
      </c>
      <c r="AQ473" s="314">
        <v>0</v>
      </c>
      <c r="AR473" s="315" t="str">
        <f>IF(ISBLANK(tabItens[[#This Row],[CÓDIGO]]),"",IFERROR(VLOOKUP(tabItens[[#This Row],[CÓDIGO]],Consumo!$C$2:$AC$869,26,FALSE),0))</f>
        <v>05.2023</v>
      </c>
      <c r="AS473" s="316">
        <f>SUMIF(Consumo!$C$3:$C$869,tabItens[[#This Row],[CÓDIGO]],Consumo!$N$3:$N$869) + SUMIF(Consumo!$C$3:$C$869,tabItens[[#This Row],[CÓDIGO]],Consumo!$O$3:$O$869) + SUMIF(Consumo!$C$3:$C$869,tabItens[[#This Row],[CÓDIGO]],Consumo!$P$3:$P$869) + SUMIF(Consumo!$C$3:$C$869,tabItens[[#This Row],[CÓDIGO]],Consumo!$Q$3:$Q$869)</f>
        <v>10</v>
      </c>
      <c r="AT473" s="316">
        <f>SUMIF(Consumo!$C$3:$C$869,tabItens[[#This Row],[CÓDIGO]],Consumo!$Z$3:$Z$869)</f>
        <v>10</v>
      </c>
      <c r="AU473" s="317">
        <f>SUMIF(Consumo!$C$3:$C$869,tabItens[[#This Row],[CÓDIGO]],Consumo!$AA$3:$AA$869)</f>
        <v>10</v>
      </c>
      <c r="AV473" s="318">
        <f>SUMIF(Consumo!$C$3:$C$869,tabItens[[#This Row],[CÓDIGO]],Consumo!$Y$3:$Y$869)</f>
        <v>0.5</v>
      </c>
      <c r="AW473" s="291">
        <f>tabItens[[#This Row],[QTDE ATUAL]] + tabItens[[#This Row],[RC QTDE]] + tabItens[[#This Row],[AF SALDO]] + tabItens[[#This Row],[Recentes]]</f>
        <v>855</v>
      </c>
      <c r="AX473" s="319">
        <v>24</v>
      </c>
      <c r="AY473" s="319">
        <v>4</v>
      </c>
      <c r="AZ473" s="319">
        <f>IF(ISBLANK(tabItens[[#This Row],[CÓDIGO]]),"",tabItens[[#This Row],[PontoMês]] * (AZ$2+tabItens[[#This Row],[PontoQtM]]))</f>
        <v>96</v>
      </c>
      <c r="BA473" s="318">
        <f>tabItens[[#This Row],[PontoPed]] - tabItens[[#This Row],[Saldo]] + (1/10)</f>
        <v>-758.9</v>
      </c>
      <c r="BB473" s="318">
        <f xml:space="preserve"> tabItens[[#This Row],[PontoMês]] * BB$2 - tabItens[[#This Row],[QTDE ATUAL]] - (1/10)</f>
        <v>-831.1</v>
      </c>
      <c r="BC473" s="320">
        <f>IF( tabItens[[#This Row],[PontoPed]]&gt;0, IF(tabItens[[#This Row],[PontoPed]]&lt;1, 1, IF( tabItens[[#This Row],[Saldo]]&gt;tabItens[[#This Row],[PontoPed]], 0, (tabItens[[#This Row],[PontoPed]]-tabItens[[#This Row],[Saldo]])/tabItens[[#This Row],[PontoPed]] ) ), 0 )</f>
        <v>0</v>
      </c>
      <c r="BD473" s="321">
        <f>ROUNDDOWN(IF( OR( AND(tabItens[[#This Row],[PontoPed]]&lt;tabItens[[#This Row],[Saldo]],tabItens[[#This Row],[Saldo]]&gt;0), tabItens[[#This Row],[PontoPed]]=0), 99, IF(AND(tabItens[[#This Row],[Saldo]]=0,tabItens[[#This Row],[PontoPed]]&gt;0), 0, (1-tabItens[[#This Row],[PctAb]])*10 ) ),0)</f>
        <v>99</v>
      </c>
      <c r="BE473" s="322">
        <f>MAX(ROUNDDOWN( IF(tabItens[[#This Row],[Abaixo]] &gt; 0,   tabItens[[#This Row],[Abaixo]] + (tabItens[[#This Row],[PontoMês]] * IF( OR( ISBLANK(tabItens[[#This Row],[ATA Nº/ANO]]), tabItens[[#This Row],[ATA Nº/ANO]] = ""),BE$2,BE$1)),0),0),0)</f>
        <v>0</v>
      </c>
      <c r="BF4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23">
        <f>SUMIF(Consumo!$C$3:$C$869,tabItens[[#This Row],[CÓDIGO]],Consumo!$E$3:$E$869)</f>
        <v>0</v>
      </c>
      <c r="BH473" s="324">
        <f>IF(AND(tabItens[[#This Row],[Pend]] &gt; 0,tabItens[[#This Row],[Consumo]] &lt;&gt; 0), tabItens[[#This Row],[Pend]] / tabItens[[#This Row],[Consumo]], 0 )</f>
        <v>0</v>
      </c>
      <c r="BI473" s="323"/>
      <c r="BJ473" s="323"/>
      <c r="BK473" s="325" t="s">
        <v>2064</v>
      </c>
    </row>
    <row r="474" spans="1:63" hidden="1" x14ac:dyDescent="0.3">
      <c r="A474" s="286">
        <v>13087</v>
      </c>
      <c r="B474" s="287" t="s">
        <v>997</v>
      </c>
      <c r="C474" s="288" t="s">
        <v>569</v>
      </c>
      <c r="D474" s="289">
        <v>1.3</v>
      </c>
      <c r="E474" s="290"/>
      <c r="F474" s="290"/>
      <c r="G474" s="290" t="s">
        <v>883</v>
      </c>
      <c r="H474" s="291">
        <v>222</v>
      </c>
      <c r="I474" s="292">
        <v>103003</v>
      </c>
      <c r="J474" s="293">
        <v>1.3</v>
      </c>
      <c r="K474" s="294">
        <v>55</v>
      </c>
      <c r="L474" s="295">
        <f>IF(tabItens[[#This Row],[Média]] &gt; 0, tabItens[[#This Row],[QTDE ATUAL]] / tabItens[[#This Row],[Média]],999.9)</f>
        <v>49.333333333333336</v>
      </c>
      <c r="M474" s="296">
        <v>0</v>
      </c>
      <c r="N474" s="297">
        <f>tabItens[[#This Row],[VALOR UNIT.]] * tabItens[[#This Row],[LC]]</f>
        <v>0</v>
      </c>
      <c r="O474" s="298" t="s">
        <v>2077</v>
      </c>
      <c r="P474" s="299"/>
      <c r="Q474" s="300"/>
      <c r="R474" s="297"/>
      <c r="S474" s="301"/>
      <c r="T474" s="302">
        <f>ROUNDDOWN(IFERROR(tabItens[[#This Row],[ATA DT.VALID.]] - $D$1,0) / 30,0)</f>
        <v>-1504</v>
      </c>
      <c r="U474" s="287" t="s">
        <v>994</v>
      </c>
      <c r="V474" s="303">
        <v>1</v>
      </c>
      <c r="W474" s="304" t="s">
        <v>2056</v>
      </c>
      <c r="X474" s="305">
        <v>83</v>
      </c>
      <c r="Y474" s="306">
        <v>2</v>
      </c>
      <c r="Z474" s="307"/>
      <c r="AA474" s="308"/>
      <c r="AB474" s="309"/>
      <c r="AC474" s="309"/>
      <c r="AD474" s="308"/>
      <c r="AE474" s="309"/>
      <c r="AF474" s="302"/>
      <c r="AG474" s="310" t="s">
        <v>2050</v>
      </c>
      <c r="AH474" s="311"/>
      <c r="AI474" s="302">
        <v>18</v>
      </c>
      <c r="AJ474" s="311">
        <v>44067</v>
      </c>
      <c r="AK474" s="311" t="s">
        <v>883</v>
      </c>
      <c r="AL474" s="311">
        <v>44922</v>
      </c>
      <c r="AM474" s="301"/>
      <c r="AN474" s="290"/>
      <c r="AO474" s="312" t="str">
        <f>_xlfn.IFNA(IF(VLOOKUP(tabItens[[#This Row],[CÓDIGO]],tabExcluirDoEstoque[#Data],1,FALSE),"sim",""),"")</f>
        <v/>
      </c>
      <c r="AP474" s="313" t="str">
        <f ca="1">IF(OR(ISBLANK(tabItens[[#This Row],[ATA DT.VALID.]]),tabItens[[#This Row],[ATA DT.VALID.]]="",tabItens[[#This Row],[ATA DT.VALID.]]=" "),"",IF(TYPE(tabItens[[#This Row],[ATA DT.VALID.]])=1,ROUNDUP((tabItens[[#This Row],[ATA DT.VALID.]]-TODAY())/7,0),""))</f>
        <v/>
      </c>
      <c r="AQ474" s="314">
        <v>0</v>
      </c>
      <c r="AR474" s="315" t="str">
        <f>IF(ISBLANK(tabItens[[#This Row],[CÓDIGO]]),"",IFERROR(VLOOKUP(tabItens[[#This Row],[CÓDIGO]],Consumo!$C$2:$AC$869,26,FALSE),0))</f>
        <v>05.2023</v>
      </c>
      <c r="AS474" s="316">
        <f>SUMIF(Consumo!$C$3:$C$869,tabItens[[#This Row],[CÓDIGO]],Consumo!$N$3:$N$869) + SUMIF(Consumo!$C$3:$C$869,tabItens[[#This Row],[CÓDIGO]],Consumo!$O$3:$O$869) + SUMIF(Consumo!$C$3:$C$869,tabItens[[#This Row],[CÓDIGO]],Consumo!$P$3:$P$869) + SUMIF(Consumo!$C$3:$C$869,tabItens[[#This Row],[CÓDIGO]],Consumo!$Q$3:$Q$869)</f>
        <v>15</v>
      </c>
      <c r="AT474" s="316">
        <f>SUMIF(Consumo!$C$3:$C$869,tabItens[[#This Row],[CÓDIGO]],Consumo!$Z$3:$Z$869)</f>
        <v>55</v>
      </c>
      <c r="AU474" s="317">
        <f>SUMIF(Consumo!$C$3:$C$869,tabItens[[#This Row],[CÓDIGO]],Consumo!$AA$3:$AA$869)</f>
        <v>20</v>
      </c>
      <c r="AV474" s="318">
        <f>SUMIF(Consumo!$C$3:$C$869,tabItens[[#This Row],[CÓDIGO]],Consumo!$Y$3:$Y$869)</f>
        <v>4.5</v>
      </c>
      <c r="AW474" s="291">
        <f>tabItens[[#This Row],[QTDE ATUAL]] + tabItens[[#This Row],[RC QTDE]] + tabItens[[#This Row],[AF SALDO]] + tabItens[[#This Row],[Recentes]]</f>
        <v>222</v>
      </c>
      <c r="AX474" s="319">
        <v>25</v>
      </c>
      <c r="AY474" s="319">
        <v>4</v>
      </c>
      <c r="AZ474" s="319">
        <f>IF(ISBLANK(tabItens[[#This Row],[CÓDIGO]]),"",tabItens[[#This Row],[PontoMês]] * (AZ$2+tabItens[[#This Row],[PontoQtM]]))</f>
        <v>100</v>
      </c>
      <c r="BA474" s="318">
        <f>tabItens[[#This Row],[PontoPed]] - tabItens[[#This Row],[Saldo]] + (1/10)</f>
        <v>-121.9</v>
      </c>
      <c r="BB474" s="318">
        <f xml:space="preserve"> tabItens[[#This Row],[PontoMês]] * BB$2 - tabItens[[#This Row],[QTDE ATUAL]] - (1/10)</f>
        <v>-197.1</v>
      </c>
      <c r="BC474" s="320">
        <f>IF( tabItens[[#This Row],[PontoPed]]&gt;0, IF(tabItens[[#This Row],[PontoPed]]&lt;1, 1, IF( tabItens[[#This Row],[Saldo]]&gt;tabItens[[#This Row],[PontoPed]], 0, (tabItens[[#This Row],[PontoPed]]-tabItens[[#This Row],[Saldo]])/tabItens[[#This Row],[PontoPed]] ) ), 0 )</f>
        <v>0</v>
      </c>
      <c r="BD474" s="321">
        <f>ROUNDDOWN(IF( OR( AND(tabItens[[#This Row],[PontoPed]]&lt;tabItens[[#This Row],[Saldo]],tabItens[[#This Row],[Saldo]]&gt;0), tabItens[[#This Row],[PontoPed]]=0), 99, IF(AND(tabItens[[#This Row],[Saldo]]=0,tabItens[[#This Row],[PontoPed]]&gt;0), 0, (1-tabItens[[#This Row],[PctAb]])*10 ) ),0)</f>
        <v>99</v>
      </c>
      <c r="BE474" s="322">
        <f>MAX(ROUNDDOWN( IF(tabItens[[#This Row],[Abaixo]] &gt; 0,   tabItens[[#This Row],[Abaixo]] + (tabItens[[#This Row],[PontoMês]] * IF( OR( ISBLANK(tabItens[[#This Row],[ATA Nº/ANO]]), tabItens[[#This Row],[ATA Nº/ANO]] = ""),BE$2,BE$1)),0),0),0)</f>
        <v>0</v>
      </c>
      <c r="BF4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23">
        <f>SUMIF(Consumo!$C$3:$C$869,tabItens[[#This Row],[CÓDIGO]],Consumo!$E$3:$E$869)</f>
        <v>0</v>
      </c>
      <c r="BH474" s="324">
        <f>IF(AND(tabItens[[#This Row],[Pend]] &gt; 0,tabItens[[#This Row],[Consumo]] &lt;&gt; 0), tabItens[[#This Row],[Pend]] / tabItens[[#This Row],[Consumo]], 0 )</f>
        <v>0</v>
      </c>
      <c r="BI474" s="323"/>
      <c r="BJ474" s="323"/>
      <c r="BK474" s="325" t="s">
        <v>2064</v>
      </c>
    </row>
    <row r="475" spans="1:63" hidden="1" x14ac:dyDescent="0.3">
      <c r="A475" s="286">
        <v>13101</v>
      </c>
      <c r="B475" s="287" t="s">
        <v>1005</v>
      </c>
      <c r="C475" s="288" t="s">
        <v>569</v>
      </c>
      <c r="D475" s="289">
        <v>2.5</v>
      </c>
      <c r="E475" s="290"/>
      <c r="F475" s="290"/>
      <c r="G475" s="290" t="s">
        <v>883</v>
      </c>
      <c r="H475" s="291">
        <v>45</v>
      </c>
      <c r="I475" s="292">
        <v>103003</v>
      </c>
      <c r="J475" s="293">
        <v>2.5</v>
      </c>
      <c r="K475" s="294">
        <v>96</v>
      </c>
      <c r="L475" s="295">
        <f>IF(tabItens[[#This Row],[Média]] &gt; 0, tabItens[[#This Row],[QTDE ATUAL]] / tabItens[[#This Row],[Média]],999.9)</f>
        <v>5.6842105263157894</v>
      </c>
      <c r="M475" s="296">
        <v>0</v>
      </c>
      <c r="N475" s="297">
        <f>tabItens[[#This Row],[VALOR UNIT.]] * tabItens[[#This Row],[LC]]</f>
        <v>0</v>
      </c>
      <c r="O475" s="298" t="s">
        <v>2077</v>
      </c>
      <c r="P475" s="299"/>
      <c r="Q475" s="300"/>
      <c r="R475" s="297"/>
      <c r="S475" s="301"/>
      <c r="T475" s="302">
        <f>ROUNDDOWN(IFERROR(tabItens[[#This Row],[ATA DT.VALID.]] - $D$1,0) / 30,0)</f>
        <v>-1504</v>
      </c>
      <c r="U475" s="287" t="s">
        <v>994</v>
      </c>
      <c r="V475" s="303">
        <v>1</v>
      </c>
      <c r="W475" s="304" t="s">
        <v>2056</v>
      </c>
      <c r="X475" s="305">
        <v>83</v>
      </c>
      <c r="Y475" s="306">
        <v>2</v>
      </c>
      <c r="Z475" s="307">
        <v>2995</v>
      </c>
      <c r="AA475" s="308">
        <v>2023</v>
      </c>
      <c r="AB475" s="309">
        <v>50</v>
      </c>
      <c r="AC475" s="309"/>
      <c r="AD475" s="308"/>
      <c r="AE475" s="309"/>
      <c r="AF475" s="302"/>
      <c r="AG475" s="310" t="s">
        <v>2050</v>
      </c>
      <c r="AH475" s="311"/>
      <c r="AI475" s="302">
        <v>32</v>
      </c>
      <c r="AJ475" s="311">
        <v>43748</v>
      </c>
      <c r="AK475" s="311" t="s">
        <v>883</v>
      </c>
      <c r="AL475" s="311">
        <v>45096</v>
      </c>
      <c r="AM475" s="301"/>
      <c r="AN475" s="290"/>
      <c r="AO475" s="312" t="str">
        <f>_xlfn.IFNA(IF(VLOOKUP(tabItens[[#This Row],[CÓDIGO]],tabExcluirDoEstoque[#Data],1,FALSE),"sim",""),"")</f>
        <v/>
      </c>
      <c r="AP475" s="313" t="str">
        <f ca="1">IF(OR(ISBLANK(tabItens[[#This Row],[ATA DT.VALID.]]),tabItens[[#This Row],[ATA DT.VALID.]]="",tabItens[[#This Row],[ATA DT.VALID.]]=" "),"",IF(TYPE(tabItens[[#This Row],[ATA DT.VALID.]])=1,ROUNDUP((tabItens[[#This Row],[ATA DT.VALID.]]-TODAY())/7,0),""))</f>
        <v/>
      </c>
      <c r="AQ475" s="314">
        <v>0</v>
      </c>
      <c r="AR475" s="315" t="str">
        <f>IF(ISBLANK(tabItens[[#This Row],[CÓDIGO]]),"",IFERROR(VLOOKUP(tabItens[[#This Row],[CÓDIGO]],Consumo!$C$2:$AC$869,26,FALSE),0))</f>
        <v>05.2023</v>
      </c>
      <c r="AS475" s="316">
        <f>SUMIF(Consumo!$C$3:$C$869,tabItens[[#This Row],[CÓDIGO]],Consumo!$N$3:$N$869) + SUMIF(Consumo!$C$3:$C$869,tabItens[[#This Row],[CÓDIGO]],Consumo!$O$3:$O$869) + SUMIF(Consumo!$C$3:$C$869,tabItens[[#This Row],[CÓDIGO]],Consumo!$P$3:$P$869) + SUMIF(Consumo!$C$3:$C$869,tabItens[[#This Row],[CÓDIGO]],Consumo!$Q$3:$Q$869)</f>
        <v>11</v>
      </c>
      <c r="AT475" s="316">
        <f>SUMIF(Consumo!$C$3:$C$869,tabItens[[#This Row],[CÓDIGO]],Consumo!$Z$3:$Z$869)</f>
        <v>97</v>
      </c>
      <c r="AU475" s="317">
        <f>SUMIF(Consumo!$C$3:$C$869,tabItens[[#This Row],[CÓDIGO]],Consumo!$AA$3:$AA$869)</f>
        <v>30</v>
      </c>
      <c r="AV475" s="318">
        <f>SUMIF(Consumo!$C$3:$C$869,tabItens[[#This Row],[CÓDIGO]],Consumo!$Y$3:$Y$869)</f>
        <v>7.916666666666667</v>
      </c>
      <c r="AW475" s="291">
        <f>tabItens[[#This Row],[QTDE ATUAL]] + tabItens[[#This Row],[RC QTDE]] + tabItens[[#This Row],[AF SALDO]] + tabItens[[#This Row],[Recentes]]</f>
        <v>95</v>
      </c>
      <c r="AX475" s="319">
        <v>17</v>
      </c>
      <c r="AY475" s="319">
        <v>4</v>
      </c>
      <c r="AZ475" s="319">
        <f>IF(ISBLANK(tabItens[[#This Row],[CÓDIGO]]),"",tabItens[[#This Row],[PontoMês]] * (AZ$2+tabItens[[#This Row],[PontoQtM]]))</f>
        <v>68</v>
      </c>
      <c r="BA475" s="318">
        <f>tabItens[[#This Row],[PontoPed]] - tabItens[[#This Row],[Saldo]] + (1/10)</f>
        <v>-26.9</v>
      </c>
      <c r="BB475" s="318">
        <f xml:space="preserve"> tabItens[[#This Row],[PontoMês]] * BB$2 - tabItens[[#This Row],[QTDE ATUAL]] - (1/10)</f>
        <v>-28.1</v>
      </c>
      <c r="BC475" s="320">
        <f>IF( tabItens[[#This Row],[PontoPed]]&gt;0, IF(tabItens[[#This Row],[PontoPed]]&lt;1, 1, IF( tabItens[[#This Row],[Saldo]]&gt;tabItens[[#This Row],[PontoPed]], 0, (tabItens[[#This Row],[PontoPed]]-tabItens[[#This Row],[Saldo]])/tabItens[[#This Row],[PontoPed]] ) ), 0 )</f>
        <v>0</v>
      </c>
      <c r="BD475" s="321">
        <f>ROUNDDOWN(IF( OR( AND(tabItens[[#This Row],[PontoPed]]&lt;tabItens[[#This Row],[Saldo]],tabItens[[#This Row],[Saldo]]&gt;0), tabItens[[#This Row],[PontoPed]]=0), 99, IF(AND(tabItens[[#This Row],[Saldo]]=0,tabItens[[#This Row],[PontoPed]]&gt;0), 0, (1-tabItens[[#This Row],[PctAb]])*10 ) ),0)</f>
        <v>99</v>
      </c>
      <c r="BE475" s="322">
        <f>MAX(ROUNDDOWN( IF(tabItens[[#This Row],[Abaixo]] &gt; 0,   tabItens[[#This Row],[Abaixo]] + (tabItens[[#This Row],[PontoMês]] * IF( OR( ISBLANK(tabItens[[#This Row],[ATA Nº/ANO]]), tabItens[[#This Row],[ATA Nº/ANO]] = ""),BE$2,BE$1)),0),0),0)</f>
        <v>0</v>
      </c>
      <c r="BF4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23">
        <f>SUMIF(Consumo!$C$3:$C$869,tabItens[[#This Row],[CÓDIGO]],Consumo!$E$3:$E$869)</f>
        <v>0</v>
      </c>
      <c r="BH475" s="324">
        <f>IF(AND(tabItens[[#This Row],[Pend]] &gt; 0,tabItens[[#This Row],[Consumo]] &lt;&gt; 0), tabItens[[#This Row],[Pend]] / tabItens[[#This Row],[Consumo]], 0 )</f>
        <v>0</v>
      </c>
      <c r="BI475" s="323"/>
      <c r="BJ475" s="323"/>
      <c r="BK475" s="325" t="s">
        <v>2064</v>
      </c>
    </row>
    <row r="476" spans="1:63" x14ac:dyDescent="0.3">
      <c r="A476" s="396">
        <v>13109</v>
      </c>
      <c r="B476" s="397" t="s">
        <v>1007</v>
      </c>
      <c r="C476" s="398" t="s">
        <v>569</v>
      </c>
      <c r="D476" s="399">
        <v>1.66</v>
      </c>
      <c r="E476" s="290"/>
      <c r="F476" s="400"/>
      <c r="G476" s="400" t="s">
        <v>883</v>
      </c>
      <c r="H476" s="401">
        <v>0</v>
      </c>
      <c r="I476" s="292">
        <v>103003</v>
      </c>
      <c r="J476" s="293">
        <v>1.66</v>
      </c>
      <c r="K476" s="402">
        <v>277</v>
      </c>
      <c r="L476" s="403">
        <f>IF(tabItens[[#This Row],[Média]] &gt; 0, tabItens[[#This Row],[QTDE ATUAL]] / tabItens[[#This Row],[Média]],999.9)</f>
        <v>0</v>
      </c>
      <c r="M476" s="404">
        <v>0</v>
      </c>
      <c r="N476" s="405">
        <f>tabItens[[#This Row],[VALOR UNIT.]] * tabItens[[#This Row],[LC]]</f>
        <v>0</v>
      </c>
      <c r="O476" s="406" t="s">
        <v>2077</v>
      </c>
      <c r="P476" s="407"/>
      <c r="Q476" s="408"/>
      <c r="R476" s="297"/>
      <c r="S476" s="409"/>
      <c r="T476" s="410">
        <f>ROUNDDOWN(IFERROR(tabItens[[#This Row],[ATA DT.VALID.]] - $D$1,0) / 30,0)</f>
        <v>-1504</v>
      </c>
      <c r="U476" s="287" t="s">
        <v>994</v>
      </c>
      <c r="V476" s="303">
        <v>1</v>
      </c>
      <c r="W476" s="411" t="s">
        <v>2056</v>
      </c>
      <c r="X476" s="412">
        <v>83</v>
      </c>
      <c r="Y476" s="413">
        <v>2</v>
      </c>
      <c r="Z476" s="414">
        <v>2222</v>
      </c>
      <c r="AA476" s="415">
        <v>2023</v>
      </c>
      <c r="AB476" s="416">
        <v>600</v>
      </c>
      <c r="AC476" s="416"/>
      <c r="AD476" s="415"/>
      <c r="AE476" s="416"/>
      <c r="AF476" s="302"/>
      <c r="AG476" s="417" t="s">
        <v>2050</v>
      </c>
      <c r="AH476" s="418"/>
      <c r="AI476" s="302">
        <v>96</v>
      </c>
      <c r="AJ476" s="418">
        <v>44211</v>
      </c>
      <c r="AK476" s="311" t="s">
        <v>883</v>
      </c>
      <c r="AL476" s="311">
        <v>44438</v>
      </c>
      <c r="AM476" s="301"/>
      <c r="AN476" s="290"/>
      <c r="AO476" s="312" t="str">
        <f>_xlfn.IFNA(IF(VLOOKUP(tabItens[[#This Row],[CÓDIGO]],tabExcluirDoEstoque[#Data],1,FALSE),"sim",""),"")</f>
        <v/>
      </c>
      <c r="AP476" s="419" t="str">
        <f ca="1">IF(OR(ISBLANK(tabItens[[#This Row],[ATA DT.VALID.]]),tabItens[[#This Row],[ATA DT.VALID.]]="",tabItens[[#This Row],[ATA DT.VALID.]]=" "),"",IF(TYPE(tabItens[[#This Row],[ATA DT.VALID.]])=1,ROUNDUP((tabItens[[#This Row],[ATA DT.VALID.]]-TODAY())/7,0),""))</f>
        <v/>
      </c>
      <c r="AQ476" s="314">
        <v>0</v>
      </c>
      <c r="AR476" s="315" t="str">
        <f>IF(ISBLANK(tabItens[[#This Row],[CÓDIGO]]),"",IFERROR(VLOOKUP(tabItens[[#This Row],[CÓDIGO]],Consumo!$C$2:$AC$869,26,FALSE),0))</f>
        <v>07.2023</v>
      </c>
      <c r="AS476" s="316">
        <f>SUMIF(Consumo!$C$3:$C$869,tabItens[[#This Row],[CÓDIGO]],Consumo!$N$3:$N$869) + SUMIF(Consumo!$C$3:$C$869,tabItens[[#This Row],[CÓDIGO]],Consumo!$O$3:$O$869) + SUMIF(Consumo!$C$3:$C$869,tabItens[[#This Row],[CÓDIGO]],Consumo!$P$3:$P$869) + SUMIF(Consumo!$C$3:$C$869,tabItens[[#This Row],[CÓDIGO]],Consumo!$Q$3:$Q$869)</f>
        <v>12</v>
      </c>
      <c r="AT476" s="316">
        <f>SUMIF(Consumo!$C$3:$C$869,tabItens[[#This Row],[CÓDIGO]],Consumo!$Z$3:$Z$869)</f>
        <v>318</v>
      </c>
      <c r="AU476" s="317">
        <f>SUMIF(Consumo!$C$3:$C$869,tabItens[[#This Row],[CÓDIGO]],Consumo!$AA$3:$AA$869)</f>
        <v>102</v>
      </c>
      <c r="AV476" s="318">
        <f>SUMIF(Consumo!$C$3:$C$869,tabItens[[#This Row],[CÓDIGO]],Consumo!$Y$3:$Y$869)</f>
        <v>25.916666666666668</v>
      </c>
      <c r="AW476" s="401">
        <f>tabItens[[#This Row],[QTDE ATUAL]] + tabItens[[#This Row],[RC QTDE]] + tabItens[[#This Row],[AF SALDO]] + tabItens[[#This Row],[Recentes]]</f>
        <v>600</v>
      </c>
      <c r="AX476" s="420">
        <v>17</v>
      </c>
      <c r="AY476" s="420">
        <v>4</v>
      </c>
      <c r="AZ476" s="420">
        <f>IF(ISBLANK(tabItens[[#This Row],[CÓDIGO]]),"",tabItens[[#This Row],[PontoMês]] * (AZ$2+tabItens[[#This Row],[PontoQtM]]))</f>
        <v>68</v>
      </c>
      <c r="BA476" s="421">
        <f>tabItens[[#This Row],[PontoPed]] - tabItens[[#This Row],[Saldo]] + (1/10)</f>
        <v>-531.9</v>
      </c>
      <c r="BB476" s="421">
        <f xml:space="preserve"> tabItens[[#This Row],[PontoMês]] * BB$2 - tabItens[[#This Row],[QTDE ATUAL]] - (1/10)</f>
        <v>16.899999999999999</v>
      </c>
      <c r="BC476" s="320">
        <f>IF( tabItens[[#This Row],[PontoPed]]&gt;0, IF(tabItens[[#This Row],[PontoPed]]&lt;1, 1, IF( tabItens[[#This Row],[Saldo]]&gt;tabItens[[#This Row],[PontoPed]], 0, (tabItens[[#This Row],[PontoPed]]-tabItens[[#This Row],[Saldo]])/tabItens[[#This Row],[PontoPed]] ) ), 0 )</f>
        <v>0</v>
      </c>
      <c r="BD476" s="422">
        <f>ROUNDDOWN(IF( OR( AND(tabItens[[#This Row],[PontoPed]]&lt;tabItens[[#This Row],[Saldo]],tabItens[[#This Row],[Saldo]]&gt;0), tabItens[[#This Row],[PontoPed]]=0), 99, IF(AND(tabItens[[#This Row],[Saldo]]=0,tabItens[[#This Row],[PontoPed]]&gt;0), 0, (1-tabItens[[#This Row],[PctAb]])*10 ) ),0)</f>
        <v>99</v>
      </c>
      <c r="BE476" s="423">
        <f>MAX(ROUNDDOWN( IF(tabItens[[#This Row],[Abaixo]] &gt; 0,   tabItens[[#This Row],[Abaixo]] + (tabItens[[#This Row],[PontoMês]] * IF( OR( ISBLANK(tabItens[[#This Row],[ATA Nº/ANO]]), tabItens[[#This Row],[ATA Nº/ANO]] = ""),BE$2,BE$1)),0),0),0)</f>
        <v>0</v>
      </c>
      <c r="BF47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23">
        <f>SUMIF(Consumo!$C$3:$C$869,tabItens[[#This Row],[CÓDIGO]],Consumo!$E$3:$E$869)</f>
        <v>29</v>
      </c>
      <c r="BH476" s="324">
        <f>IF(AND(tabItens[[#This Row],[Pend]] &gt; 0,tabItens[[#This Row],[Consumo]] &lt;&gt; 0), tabItens[[#This Row],[Pend]] / tabItens[[#This Row],[Consumo]], 0 )</f>
        <v>9.1194968553459113E-2</v>
      </c>
      <c r="BI476" s="323"/>
      <c r="BJ476" s="424"/>
      <c r="BK476" s="425" t="s">
        <v>2064</v>
      </c>
    </row>
    <row r="477" spans="1:63" hidden="1" x14ac:dyDescent="0.3">
      <c r="A477" s="286">
        <v>13218</v>
      </c>
      <c r="B477" s="287" t="s">
        <v>1028</v>
      </c>
      <c r="C477" s="288" t="s">
        <v>569</v>
      </c>
      <c r="D477" s="289">
        <v>1.3</v>
      </c>
      <c r="E477" s="290"/>
      <c r="F477" s="290"/>
      <c r="G477" s="290" t="s">
        <v>883</v>
      </c>
      <c r="H477" s="291">
        <v>204</v>
      </c>
      <c r="I477" s="292">
        <v>103003</v>
      </c>
      <c r="J477" s="293">
        <v>1.3</v>
      </c>
      <c r="K477" s="294">
        <v>1</v>
      </c>
      <c r="L477" s="295">
        <f>IF(tabItens[[#This Row],[Média]] &gt; 0, tabItens[[#This Row],[QTDE ATUAL]] / tabItens[[#This Row],[Média]],999.9)</f>
        <v>999.9</v>
      </c>
      <c r="M477" s="296">
        <v>0</v>
      </c>
      <c r="N477" s="297">
        <f>tabItens[[#This Row],[VALOR UNIT.]] * tabItens[[#This Row],[LC]]</f>
        <v>0</v>
      </c>
      <c r="O477" s="298" t="s">
        <v>2077</v>
      </c>
      <c r="P477" s="299"/>
      <c r="Q477" s="300"/>
      <c r="R477" s="297"/>
      <c r="S477" s="301"/>
      <c r="T477" s="302">
        <f>ROUNDDOWN(IFERROR(tabItens[[#This Row],[ATA DT.VALID.]] - $D$1,0) / 30,0)</f>
        <v>-1504</v>
      </c>
      <c r="U477" s="287" t="s">
        <v>994</v>
      </c>
      <c r="V477" s="303">
        <v>1</v>
      </c>
      <c r="W477" s="304" t="s">
        <v>2056</v>
      </c>
      <c r="X477" s="305">
        <v>83</v>
      </c>
      <c r="Y477" s="306">
        <v>2</v>
      </c>
      <c r="Z477" s="307"/>
      <c r="AA477" s="308"/>
      <c r="AB477" s="309"/>
      <c r="AC477" s="309"/>
      <c r="AD477" s="308"/>
      <c r="AE477" s="309"/>
      <c r="AF477" s="302"/>
      <c r="AG477" s="310" t="s">
        <v>2050</v>
      </c>
      <c r="AH477" s="311"/>
      <c r="AI477" s="302">
        <v>0</v>
      </c>
      <c r="AJ477" s="311">
        <v>44067</v>
      </c>
      <c r="AK477" s="311" t="s">
        <v>883</v>
      </c>
      <c r="AL477" s="311">
        <v>44922</v>
      </c>
      <c r="AM477" s="301"/>
      <c r="AN477" s="290"/>
      <c r="AO477" s="312" t="str">
        <f>_xlfn.IFNA(IF(VLOOKUP(tabItens[[#This Row],[CÓDIGO]],tabExcluirDoEstoque[#Data],1,FALSE),"sim",""),"")</f>
        <v/>
      </c>
      <c r="AP477" s="313" t="str">
        <f ca="1">IF(OR(ISBLANK(tabItens[[#This Row],[ATA DT.VALID.]]),tabItens[[#This Row],[ATA DT.VALID.]]="",tabItens[[#This Row],[ATA DT.VALID.]]=" "),"",IF(TYPE(tabItens[[#This Row],[ATA DT.VALID.]])=1,ROUNDUP((tabItens[[#This Row],[ATA DT.VALID.]]-TODAY())/7,0),""))</f>
        <v/>
      </c>
      <c r="AQ477" s="314">
        <v>0</v>
      </c>
      <c r="AR477" s="315" t="str">
        <f>IF(ISBLANK(tabItens[[#This Row],[CÓDIGO]]),"",IFERROR(VLOOKUP(tabItens[[#This Row],[CÓDIGO]],Consumo!$C$2:$AC$869,26,FALSE),0))</f>
        <v>04.2023</v>
      </c>
      <c r="AS477" s="316">
        <f>SUMIF(Consumo!$C$3:$C$869,tabItens[[#This Row],[CÓDIGO]],Consumo!$N$3:$N$869) + SUMIF(Consumo!$C$3:$C$869,tabItens[[#This Row],[CÓDIGO]],Consumo!$O$3:$O$869) + SUMIF(Consumo!$C$3:$C$869,tabItens[[#This Row],[CÓDIGO]],Consumo!$P$3:$P$869) + SUMIF(Consumo!$C$3:$C$869,tabItens[[#This Row],[CÓDIGO]],Consumo!$Q$3:$Q$869)</f>
        <v>1</v>
      </c>
      <c r="AT477" s="316">
        <f>SUMIF(Consumo!$C$3:$C$869,tabItens[[#This Row],[CÓDIGO]],Consumo!$Z$3:$Z$869)</f>
        <v>1</v>
      </c>
      <c r="AU477" s="317">
        <f>SUMIF(Consumo!$C$3:$C$869,tabItens[[#This Row],[CÓDIGO]],Consumo!$AA$3:$AA$869)</f>
        <v>1</v>
      </c>
      <c r="AV477" s="318">
        <f>SUMIF(Consumo!$C$3:$C$869,tabItens[[#This Row],[CÓDIGO]],Consumo!$Y$3:$Y$869)</f>
        <v>0</v>
      </c>
      <c r="AW477" s="291">
        <f>tabItens[[#This Row],[QTDE ATUAL]] + tabItens[[#This Row],[RC QTDE]] + tabItens[[#This Row],[AF SALDO]] + tabItens[[#This Row],[Recentes]]</f>
        <v>204</v>
      </c>
      <c r="AX477" s="319">
        <v>42</v>
      </c>
      <c r="AY477" s="319">
        <v>4</v>
      </c>
      <c r="AZ477" s="319">
        <f>IF(ISBLANK(tabItens[[#This Row],[CÓDIGO]]),"",tabItens[[#This Row],[PontoMês]] * (AZ$2+tabItens[[#This Row],[PontoQtM]]))</f>
        <v>168</v>
      </c>
      <c r="BA477" s="318">
        <f>tabItens[[#This Row],[PontoPed]] - tabItens[[#This Row],[Saldo]] + (1/10)</f>
        <v>-35.9</v>
      </c>
      <c r="BB477" s="318">
        <f xml:space="preserve"> tabItens[[#This Row],[PontoMês]] * BB$2 - tabItens[[#This Row],[QTDE ATUAL]] - (1/10)</f>
        <v>-162.1</v>
      </c>
      <c r="BC477" s="320">
        <f>IF( tabItens[[#This Row],[PontoPed]]&gt;0, IF(tabItens[[#This Row],[PontoPed]]&lt;1, 1, IF( tabItens[[#This Row],[Saldo]]&gt;tabItens[[#This Row],[PontoPed]], 0, (tabItens[[#This Row],[PontoPed]]-tabItens[[#This Row],[Saldo]])/tabItens[[#This Row],[PontoPed]] ) ), 0 )</f>
        <v>0</v>
      </c>
      <c r="BD477" s="321">
        <f>ROUNDDOWN(IF( OR( AND(tabItens[[#This Row],[PontoPed]]&lt;tabItens[[#This Row],[Saldo]],tabItens[[#This Row],[Saldo]]&gt;0), tabItens[[#This Row],[PontoPed]]=0), 99, IF(AND(tabItens[[#This Row],[Saldo]]=0,tabItens[[#This Row],[PontoPed]]&gt;0), 0, (1-tabItens[[#This Row],[PctAb]])*10 ) ),0)</f>
        <v>99</v>
      </c>
      <c r="BE477" s="322">
        <f>MAX(ROUNDDOWN( IF(tabItens[[#This Row],[Abaixo]] &gt; 0,   tabItens[[#This Row],[Abaixo]] + (tabItens[[#This Row],[PontoMês]] * IF( OR( ISBLANK(tabItens[[#This Row],[ATA Nº/ANO]]), tabItens[[#This Row],[ATA Nº/ANO]] = ""),BE$2,BE$1)),0),0),0)</f>
        <v>0</v>
      </c>
      <c r="BF47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23">
        <f>SUMIF(Consumo!$C$3:$C$869,tabItens[[#This Row],[CÓDIGO]],Consumo!$E$3:$E$869)</f>
        <v>0</v>
      </c>
      <c r="BH477" s="324">
        <f>IF(AND(tabItens[[#This Row],[Pend]] &gt; 0,tabItens[[#This Row],[Consumo]] &lt;&gt; 0), tabItens[[#This Row],[Pend]] / tabItens[[#This Row],[Consumo]], 0 )</f>
        <v>0</v>
      </c>
      <c r="BI477" s="323"/>
      <c r="BJ477" s="323"/>
      <c r="BK477" s="325" t="s">
        <v>2064</v>
      </c>
    </row>
    <row r="478" spans="1:63" hidden="1" x14ac:dyDescent="0.3">
      <c r="A478" s="286">
        <v>17662</v>
      </c>
      <c r="B478" s="287" t="s">
        <v>1138</v>
      </c>
      <c r="C478" s="288" t="s">
        <v>569</v>
      </c>
      <c r="D478" s="289">
        <v>0.99</v>
      </c>
      <c r="E478" s="290"/>
      <c r="F478" s="290"/>
      <c r="G478" s="290" t="s">
        <v>883</v>
      </c>
      <c r="H478" s="291">
        <v>1410</v>
      </c>
      <c r="I478" s="292">
        <v>103003</v>
      </c>
      <c r="J478" s="293">
        <v>0.99</v>
      </c>
      <c r="K478" s="294">
        <v>10</v>
      </c>
      <c r="L478" s="295">
        <f>IF(tabItens[[#This Row],[Média]] &gt; 0, tabItens[[#This Row],[QTDE ATUAL]] / tabItens[[#This Row],[Média]],999.9)</f>
        <v>2820</v>
      </c>
      <c r="M478" s="296">
        <v>0</v>
      </c>
      <c r="N478" s="297">
        <f>tabItens[[#This Row],[VALOR UNIT.]] * tabItens[[#This Row],[LC]]</f>
        <v>0</v>
      </c>
      <c r="O478" s="298" t="s">
        <v>2077</v>
      </c>
      <c r="P478" s="299"/>
      <c r="Q478" s="300"/>
      <c r="R478" s="297"/>
      <c r="S478" s="301"/>
      <c r="T478" s="302">
        <f>ROUNDDOWN(IFERROR(tabItens[[#This Row],[ATA DT.VALID.]] - $D$1,0) / 30,0)</f>
        <v>-1504</v>
      </c>
      <c r="U478" s="287" t="s">
        <v>994</v>
      </c>
      <c r="V478" s="303">
        <v>1</v>
      </c>
      <c r="W478" s="304" t="s">
        <v>2056</v>
      </c>
      <c r="X478" s="305">
        <v>83</v>
      </c>
      <c r="Y478" s="306">
        <v>2</v>
      </c>
      <c r="Z478" s="307"/>
      <c r="AA478" s="308"/>
      <c r="AB478" s="309"/>
      <c r="AC478" s="309"/>
      <c r="AD478" s="308"/>
      <c r="AE478" s="309"/>
      <c r="AF478" s="302"/>
      <c r="AG478" s="310" t="s">
        <v>2050</v>
      </c>
      <c r="AH478" s="311"/>
      <c r="AI478" s="302">
        <v>4</v>
      </c>
      <c r="AJ478" s="311">
        <v>43826</v>
      </c>
      <c r="AK478" s="311" t="s">
        <v>883</v>
      </c>
      <c r="AL478" s="311">
        <v>44349</v>
      </c>
      <c r="AM478" s="301"/>
      <c r="AN478" s="290"/>
      <c r="AO478" s="312" t="str">
        <f>_xlfn.IFNA(IF(VLOOKUP(tabItens[[#This Row],[CÓDIGO]],tabExcluirDoEstoque[#Data],1,FALSE),"sim",""),"")</f>
        <v/>
      </c>
      <c r="AP478" s="313" t="str">
        <f ca="1">IF(OR(ISBLANK(tabItens[[#This Row],[ATA DT.VALID.]]),tabItens[[#This Row],[ATA DT.VALID.]]="",tabItens[[#This Row],[ATA DT.VALID.]]=" "),"",IF(TYPE(tabItens[[#This Row],[ATA DT.VALID.]])=1,ROUNDUP((tabItens[[#This Row],[ATA DT.VALID.]]-TODAY())/7,0),""))</f>
        <v/>
      </c>
      <c r="AQ478" s="314">
        <v>0</v>
      </c>
      <c r="AR478" s="315" t="str">
        <f>IF(ISBLANK(tabItens[[#This Row],[CÓDIGO]]),"",IFERROR(VLOOKUP(tabItens[[#This Row],[CÓDIGO]],Consumo!$C$2:$AC$869,26,FALSE),0))</f>
        <v>11.2022</v>
      </c>
      <c r="AS478" s="316">
        <f>SUMIF(Consumo!$C$3:$C$869,tabItens[[#This Row],[CÓDIGO]],Consumo!$N$3:$N$869) + SUMIF(Consumo!$C$3:$C$869,tabItens[[#This Row],[CÓDIGO]],Consumo!$O$3:$O$869) + SUMIF(Consumo!$C$3:$C$869,tabItens[[#This Row],[CÓDIGO]],Consumo!$P$3:$P$869) + SUMIF(Consumo!$C$3:$C$869,tabItens[[#This Row],[CÓDIGO]],Consumo!$Q$3:$Q$869)</f>
        <v>0</v>
      </c>
      <c r="AT478" s="316">
        <f>SUMIF(Consumo!$C$3:$C$869,tabItens[[#This Row],[CÓDIGO]],Consumo!$Z$3:$Z$869)</f>
        <v>10</v>
      </c>
      <c r="AU478" s="317">
        <f>SUMIF(Consumo!$C$3:$C$869,tabItens[[#This Row],[CÓDIGO]],Consumo!$AA$3:$AA$869)</f>
        <v>10</v>
      </c>
      <c r="AV478" s="318">
        <f>SUMIF(Consumo!$C$3:$C$869,tabItens[[#This Row],[CÓDIGO]],Consumo!$Y$3:$Y$869)</f>
        <v>0.5</v>
      </c>
      <c r="AW478" s="291">
        <f>tabItens[[#This Row],[QTDE ATUAL]] + tabItens[[#This Row],[RC QTDE]] + tabItens[[#This Row],[AF SALDO]] + tabItens[[#This Row],[Recentes]]</f>
        <v>1410</v>
      </c>
      <c r="AX478" s="319">
        <v>24</v>
      </c>
      <c r="AY478" s="319">
        <v>4</v>
      </c>
      <c r="AZ478" s="319">
        <f>IF(ISBLANK(tabItens[[#This Row],[CÓDIGO]]),"",tabItens[[#This Row],[PontoMês]] * (AZ$2+tabItens[[#This Row],[PontoQtM]]))</f>
        <v>96</v>
      </c>
      <c r="BA478" s="318">
        <f>tabItens[[#This Row],[PontoPed]] - tabItens[[#This Row],[Saldo]] + (1/10)</f>
        <v>-1313.9</v>
      </c>
      <c r="BB478" s="318">
        <f xml:space="preserve"> tabItens[[#This Row],[PontoMês]] * BB$2 - tabItens[[#This Row],[QTDE ATUAL]] - (1/10)</f>
        <v>-1386.1</v>
      </c>
      <c r="BC478" s="320">
        <f>IF( tabItens[[#This Row],[PontoPed]]&gt;0, IF(tabItens[[#This Row],[PontoPed]]&lt;1, 1, IF( tabItens[[#This Row],[Saldo]]&gt;tabItens[[#This Row],[PontoPed]], 0, (tabItens[[#This Row],[PontoPed]]-tabItens[[#This Row],[Saldo]])/tabItens[[#This Row],[PontoPed]] ) ), 0 )</f>
        <v>0</v>
      </c>
      <c r="BD478" s="321">
        <f>ROUNDDOWN(IF( OR( AND(tabItens[[#This Row],[PontoPed]]&lt;tabItens[[#This Row],[Saldo]],tabItens[[#This Row],[Saldo]]&gt;0), tabItens[[#This Row],[PontoPed]]=0), 99, IF(AND(tabItens[[#This Row],[Saldo]]=0,tabItens[[#This Row],[PontoPed]]&gt;0), 0, (1-tabItens[[#This Row],[PctAb]])*10 ) ),0)</f>
        <v>99</v>
      </c>
      <c r="BE478" s="322">
        <f>MAX(ROUNDDOWN( IF(tabItens[[#This Row],[Abaixo]] &gt; 0,   tabItens[[#This Row],[Abaixo]] + (tabItens[[#This Row],[PontoMês]] * IF( OR( ISBLANK(tabItens[[#This Row],[ATA Nº/ANO]]), tabItens[[#This Row],[ATA Nº/ANO]] = ""),BE$2,BE$1)),0),0),0)</f>
        <v>0</v>
      </c>
      <c r="BF4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23">
        <f>SUMIF(Consumo!$C$3:$C$869,tabItens[[#This Row],[CÓDIGO]],Consumo!$E$3:$E$869)</f>
        <v>0</v>
      </c>
      <c r="BH478" s="324">
        <f>IF(AND(tabItens[[#This Row],[Pend]] &gt; 0,tabItens[[#This Row],[Consumo]] &lt;&gt; 0), tabItens[[#This Row],[Pend]] / tabItens[[#This Row],[Consumo]], 0 )</f>
        <v>0</v>
      </c>
      <c r="BI478" s="323"/>
      <c r="BJ478" s="323"/>
      <c r="BK478" s="325" t="s">
        <v>2064</v>
      </c>
    </row>
    <row r="479" spans="1:63" x14ac:dyDescent="0.3">
      <c r="A479" s="396">
        <v>17696</v>
      </c>
      <c r="B479" s="397" t="s">
        <v>1139</v>
      </c>
      <c r="C479" s="398" t="s">
        <v>569</v>
      </c>
      <c r="D479" s="399">
        <v>2.4</v>
      </c>
      <c r="E479" s="290"/>
      <c r="F479" s="400"/>
      <c r="G479" s="400" t="s">
        <v>883</v>
      </c>
      <c r="H479" s="401">
        <v>0</v>
      </c>
      <c r="I479" s="292">
        <v>103003</v>
      </c>
      <c r="J479" s="293">
        <v>2.4</v>
      </c>
      <c r="K479" s="402">
        <v>89</v>
      </c>
      <c r="L479" s="403">
        <f>IF(tabItens[[#This Row],[Média]] &gt; 0, tabItens[[#This Row],[QTDE ATUAL]] / tabItens[[#This Row],[Média]],999.9)</f>
        <v>0</v>
      </c>
      <c r="M479" s="404">
        <v>0</v>
      </c>
      <c r="N479" s="405">
        <f>tabItens[[#This Row],[VALOR UNIT.]] * tabItens[[#This Row],[LC]]</f>
        <v>0</v>
      </c>
      <c r="O479" s="406" t="s">
        <v>2077</v>
      </c>
      <c r="P479" s="407"/>
      <c r="Q479" s="408"/>
      <c r="R479" s="297"/>
      <c r="S479" s="409"/>
      <c r="T479" s="410">
        <f>ROUNDDOWN(IFERROR(tabItens[[#This Row],[ATA DT.VALID.]] - $D$1,0) / 30,0)</f>
        <v>-1504</v>
      </c>
      <c r="U479" s="287" t="s">
        <v>994</v>
      </c>
      <c r="V479" s="303">
        <v>1</v>
      </c>
      <c r="W479" s="411" t="s">
        <v>2056</v>
      </c>
      <c r="X479" s="412">
        <v>83</v>
      </c>
      <c r="Y479" s="413">
        <v>2</v>
      </c>
      <c r="Z479" s="414">
        <v>2222</v>
      </c>
      <c r="AA479" s="415">
        <v>2023</v>
      </c>
      <c r="AB479" s="416">
        <v>300</v>
      </c>
      <c r="AC479" s="416"/>
      <c r="AD479" s="415"/>
      <c r="AE479" s="416"/>
      <c r="AF479" s="302"/>
      <c r="AG479" s="417" t="s">
        <v>2050</v>
      </c>
      <c r="AH479" s="418"/>
      <c r="AI479" s="302">
        <v>30</v>
      </c>
      <c r="AJ479" s="418">
        <v>44743</v>
      </c>
      <c r="AK479" s="311" t="s">
        <v>883</v>
      </c>
      <c r="AL479" s="311">
        <v>44922</v>
      </c>
      <c r="AM479" s="301"/>
      <c r="AN479" s="290"/>
      <c r="AO479" s="312" t="str">
        <f>_xlfn.IFNA(IF(VLOOKUP(tabItens[[#This Row],[CÓDIGO]],tabExcluirDoEstoque[#Data],1,FALSE),"sim",""),"")</f>
        <v/>
      </c>
      <c r="AP479" s="419" t="str">
        <f ca="1">IF(OR(ISBLANK(tabItens[[#This Row],[ATA DT.VALID.]]),tabItens[[#This Row],[ATA DT.VALID.]]="",tabItens[[#This Row],[ATA DT.VALID.]]=" "),"",IF(TYPE(tabItens[[#This Row],[ATA DT.VALID.]])=1,ROUNDUP((tabItens[[#This Row],[ATA DT.VALID.]]-TODAY())/7,0),""))</f>
        <v/>
      </c>
      <c r="AQ479" s="314">
        <v>0</v>
      </c>
      <c r="AR479" s="315" t="str">
        <f>IF(ISBLANK(tabItens[[#This Row],[CÓDIGO]]),"",IFERROR(VLOOKUP(tabItens[[#This Row],[CÓDIGO]],Consumo!$C$2:$AC$869,26,FALSE),0))</f>
        <v>10.2022</v>
      </c>
      <c r="AS479" s="316">
        <f>SUMIF(Consumo!$C$3:$C$869,tabItens[[#This Row],[CÓDIGO]],Consumo!$N$3:$N$869) + SUMIF(Consumo!$C$3:$C$869,tabItens[[#This Row],[CÓDIGO]],Consumo!$O$3:$O$869) + SUMIF(Consumo!$C$3:$C$869,tabItens[[#This Row],[CÓDIGO]],Consumo!$P$3:$P$869) + SUMIF(Consumo!$C$3:$C$869,tabItens[[#This Row],[CÓDIGO]],Consumo!$Q$3:$Q$869)</f>
        <v>0</v>
      </c>
      <c r="AT479" s="316">
        <f>SUMIF(Consumo!$C$3:$C$869,tabItens[[#This Row],[CÓDIGO]],Consumo!$Z$3:$Z$869)</f>
        <v>116</v>
      </c>
      <c r="AU479" s="317">
        <f>SUMIF(Consumo!$C$3:$C$869,tabItens[[#This Row],[CÓDIGO]],Consumo!$AA$3:$AA$869)</f>
        <v>55</v>
      </c>
      <c r="AV479" s="318">
        <f>SUMIF(Consumo!$C$3:$C$869,tabItens[[#This Row],[CÓDIGO]],Consumo!$Y$3:$Y$869)</f>
        <v>8.75</v>
      </c>
      <c r="AW479" s="401">
        <f>tabItens[[#This Row],[QTDE ATUAL]] + tabItens[[#This Row],[RC QTDE]] + tabItens[[#This Row],[AF SALDO]] + tabItens[[#This Row],[Recentes]]</f>
        <v>300</v>
      </c>
      <c r="AX479" s="420">
        <v>17</v>
      </c>
      <c r="AY479" s="420">
        <v>4</v>
      </c>
      <c r="AZ479" s="420">
        <f>IF(ISBLANK(tabItens[[#This Row],[CÓDIGO]]),"",tabItens[[#This Row],[PontoMês]] * (AZ$2+tabItens[[#This Row],[PontoQtM]]))</f>
        <v>68</v>
      </c>
      <c r="BA479" s="421">
        <f>tabItens[[#This Row],[PontoPed]] - tabItens[[#This Row],[Saldo]] + (1/10)</f>
        <v>-231.9</v>
      </c>
      <c r="BB479" s="421">
        <f xml:space="preserve"> tabItens[[#This Row],[PontoMês]] * BB$2 - tabItens[[#This Row],[QTDE ATUAL]] - (1/10)</f>
        <v>16.899999999999999</v>
      </c>
      <c r="BC479" s="320">
        <f>IF( tabItens[[#This Row],[PontoPed]]&gt;0, IF(tabItens[[#This Row],[PontoPed]]&lt;1, 1, IF( tabItens[[#This Row],[Saldo]]&gt;tabItens[[#This Row],[PontoPed]], 0, (tabItens[[#This Row],[PontoPed]]-tabItens[[#This Row],[Saldo]])/tabItens[[#This Row],[PontoPed]] ) ), 0 )</f>
        <v>0</v>
      </c>
      <c r="BD479" s="422">
        <f>ROUNDDOWN(IF( OR( AND(tabItens[[#This Row],[PontoPed]]&lt;tabItens[[#This Row],[Saldo]],tabItens[[#This Row],[Saldo]]&gt;0), tabItens[[#This Row],[PontoPed]]=0), 99, IF(AND(tabItens[[#This Row],[Saldo]]=0,tabItens[[#This Row],[PontoPed]]&gt;0), 0, (1-tabItens[[#This Row],[PctAb]])*10 ) ),0)</f>
        <v>99</v>
      </c>
      <c r="BE479" s="423">
        <f>MAX(ROUNDDOWN( IF(tabItens[[#This Row],[Abaixo]] &gt; 0,   tabItens[[#This Row],[Abaixo]] + (tabItens[[#This Row],[PontoMês]] * IF( OR( ISBLANK(tabItens[[#This Row],[ATA Nº/ANO]]), tabItens[[#This Row],[ATA Nº/ANO]] = ""),BE$2,BE$1)),0),0),0)</f>
        <v>0</v>
      </c>
      <c r="BF47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23">
        <f>SUMIF(Consumo!$C$3:$C$869,tabItens[[#This Row],[CÓDIGO]],Consumo!$E$3:$E$869)</f>
        <v>27</v>
      </c>
      <c r="BH479" s="324">
        <f>IF(AND(tabItens[[#This Row],[Pend]] &gt; 0,tabItens[[#This Row],[Consumo]] &lt;&gt; 0), tabItens[[#This Row],[Pend]] / tabItens[[#This Row],[Consumo]], 0 )</f>
        <v>0.23275862068965517</v>
      </c>
      <c r="BI479" s="323"/>
      <c r="BJ479" s="424"/>
      <c r="BK479" s="425" t="s">
        <v>2064</v>
      </c>
    </row>
    <row r="480" spans="1:63" hidden="1" x14ac:dyDescent="0.3">
      <c r="A480" s="286">
        <v>17698</v>
      </c>
      <c r="B480" s="287" t="s">
        <v>1140</v>
      </c>
      <c r="C480" s="288" t="s">
        <v>569</v>
      </c>
      <c r="D480" s="289">
        <v>2.76</v>
      </c>
      <c r="E480" s="290"/>
      <c r="F480" s="290"/>
      <c r="G480" s="290" t="s">
        <v>883</v>
      </c>
      <c r="H480" s="291">
        <v>146</v>
      </c>
      <c r="I480" s="292">
        <v>103003</v>
      </c>
      <c r="J480" s="293">
        <v>2.76</v>
      </c>
      <c r="K480" s="294">
        <v>308</v>
      </c>
      <c r="L480" s="295">
        <f>IF(tabItens[[#This Row],[Média]] &gt; 0, tabItens[[#This Row],[QTDE ATUAL]] / tabItens[[#This Row],[Média]],999.9)</f>
        <v>4.5271317829457365</v>
      </c>
      <c r="M480" s="296">
        <v>0</v>
      </c>
      <c r="N480" s="297">
        <f>tabItens[[#This Row],[VALOR UNIT.]] * tabItens[[#This Row],[LC]]</f>
        <v>0</v>
      </c>
      <c r="O480" s="298" t="s">
        <v>2077</v>
      </c>
      <c r="P480" s="299"/>
      <c r="Q480" s="300"/>
      <c r="R480" s="297"/>
      <c r="S480" s="301"/>
      <c r="T480" s="302">
        <f>ROUNDDOWN(IFERROR(tabItens[[#This Row],[ATA DT.VALID.]] - $D$1,0) / 30,0)</f>
        <v>-1504</v>
      </c>
      <c r="U480" s="287" t="s">
        <v>994</v>
      </c>
      <c r="V480" s="303">
        <v>1</v>
      </c>
      <c r="W480" s="304" t="s">
        <v>2056</v>
      </c>
      <c r="X480" s="305">
        <v>83</v>
      </c>
      <c r="Y480" s="306">
        <v>2</v>
      </c>
      <c r="Z480" s="307">
        <v>2659</v>
      </c>
      <c r="AA480" s="308">
        <v>2023</v>
      </c>
      <c r="AB480" s="309">
        <v>400</v>
      </c>
      <c r="AC480" s="309"/>
      <c r="AD480" s="308"/>
      <c r="AE480" s="309"/>
      <c r="AF480" s="302"/>
      <c r="AG480" s="310" t="s">
        <v>2050</v>
      </c>
      <c r="AH480" s="311"/>
      <c r="AI480" s="302">
        <v>106</v>
      </c>
      <c r="AJ480" s="311">
        <v>44928</v>
      </c>
      <c r="AK480" s="311" t="s">
        <v>883</v>
      </c>
      <c r="AL480" s="311">
        <v>44952</v>
      </c>
      <c r="AM480" s="301"/>
      <c r="AN480" s="290"/>
      <c r="AO480" s="312" t="str">
        <f>_xlfn.IFNA(IF(VLOOKUP(tabItens[[#This Row],[CÓDIGO]],tabExcluirDoEstoque[#Data],1,FALSE),"sim",""),"")</f>
        <v/>
      </c>
      <c r="AP480" s="313" t="str">
        <f ca="1">IF(OR(ISBLANK(tabItens[[#This Row],[ATA DT.VALID.]]),tabItens[[#This Row],[ATA DT.VALID.]]="",tabItens[[#This Row],[ATA DT.VALID.]]=" "),"",IF(TYPE(tabItens[[#This Row],[ATA DT.VALID.]])=1,ROUNDUP((tabItens[[#This Row],[ATA DT.VALID.]]-TODAY())/7,0),""))</f>
        <v/>
      </c>
      <c r="AQ480" s="314">
        <v>0</v>
      </c>
      <c r="AR480" s="315" t="str">
        <f>IF(ISBLANK(tabItens[[#This Row],[CÓDIGO]]),"",IFERROR(VLOOKUP(tabItens[[#This Row],[CÓDIGO]],Consumo!$C$2:$AC$869,26,FALSE),0))</f>
        <v>07.2023</v>
      </c>
      <c r="AS480" s="316">
        <f>SUMIF(Consumo!$C$3:$C$869,tabItens[[#This Row],[CÓDIGO]],Consumo!$N$3:$N$869) + SUMIF(Consumo!$C$3:$C$869,tabItens[[#This Row],[CÓDIGO]],Consumo!$O$3:$O$869) + SUMIF(Consumo!$C$3:$C$869,tabItens[[#This Row],[CÓDIGO]],Consumo!$P$3:$P$869) + SUMIF(Consumo!$C$3:$C$869,tabItens[[#This Row],[CÓDIGO]],Consumo!$Q$3:$Q$869)</f>
        <v>162</v>
      </c>
      <c r="AT480" s="316">
        <f>SUMIF(Consumo!$C$3:$C$869,tabItens[[#This Row],[CÓDIGO]],Consumo!$Z$3:$Z$869)</f>
        <v>387</v>
      </c>
      <c r="AU480" s="317">
        <f>SUMIF(Consumo!$C$3:$C$869,tabItens[[#This Row],[CÓDIGO]],Consumo!$AA$3:$AA$869)</f>
        <v>78</v>
      </c>
      <c r="AV480" s="318">
        <f>SUMIF(Consumo!$C$3:$C$869,tabItens[[#This Row],[CÓDIGO]],Consumo!$Y$3:$Y$869)</f>
        <v>32.25</v>
      </c>
      <c r="AW480" s="291">
        <f>tabItens[[#This Row],[QTDE ATUAL]] + tabItens[[#This Row],[RC QTDE]] + tabItens[[#This Row],[AF SALDO]] + tabItens[[#This Row],[Recentes]]</f>
        <v>546</v>
      </c>
      <c r="AX480" s="319">
        <v>44</v>
      </c>
      <c r="AY480" s="319">
        <v>4</v>
      </c>
      <c r="AZ480" s="319">
        <f>IF(ISBLANK(tabItens[[#This Row],[CÓDIGO]]),"",tabItens[[#This Row],[PontoMês]] * (AZ$2+tabItens[[#This Row],[PontoQtM]]))</f>
        <v>176</v>
      </c>
      <c r="BA480" s="318">
        <f>tabItens[[#This Row],[PontoPed]] - tabItens[[#This Row],[Saldo]] + (1/10)</f>
        <v>-369.9</v>
      </c>
      <c r="BB480" s="318">
        <f xml:space="preserve"> tabItens[[#This Row],[PontoMês]] * BB$2 - tabItens[[#This Row],[QTDE ATUAL]] - (1/10)</f>
        <v>-102.1</v>
      </c>
      <c r="BC480" s="320">
        <f>IF( tabItens[[#This Row],[PontoPed]]&gt;0, IF(tabItens[[#This Row],[PontoPed]]&lt;1, 1, IF( tabItens[[#This Row],[Saldo]]&gt;tabItens[[#This Row],[PontoPed]], 0, (tabItens[[#This Row],[PontoPed]]-tabItens[[#This Row],[Saldo]])/tabItens[[#This Row],[PontoPed]] ) ), 0 )</f>
        <v>0</v>
      </c>
      <c r="BD480" s="321">
        <f>ROUNDDOWN(IF( OR( AND(tabItens[[#This Row],[PontoPed]]&lt;tabItens[[#This Row],[Saldo]],tabItens[[#This Row],[Saldo]]&gt;0), tabItens[[#This Row],[PontoPed]]=0), 99, IF(AND(tabItens[[#This Row],[Saldo]]=0,tabItens[[#This Row],[PontoPed]]&gt;0), 0, (1-tabItens[[#This Row],[PctAb]])*10 ) ),0)</f>
        <v>99</v>
      </c>
      <c r="BE480" s="322">
        <f>MAX(ROUNDDOWN( IF(tabItens[[#This Row],[Abaixo]] &gt; 0,   tabItens[[#This Row],[Abaixo]] + (tabItens[[#This Row],[PontoMês]] * IF( OR( ISBLANK(tabItens[[#This Row],[ATA Nº/ANO]]), tabItens[[#This Row],[ATA Nº/ANO]] = ""),BE$2,BE$1)),0),0),0)</f>
        <v>0</v>
      </c>
      <c r="BF48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23">
        <f>SUMIF(Consumo!$C$3:$C$869,tabItens[[#This Row],[CÓDIGO]],Consumo!$E$3:$E$869)</f>
        <v>72</v>
      </c>
      <c r="BH480" s="324">
        <f>IF(AND(tabItens[[#This Row],[Pend]] &gt; 0,tabItens[[#This Row],[Consumo]] &lt;&gt; 0), tabItens[[#This Row],[Pend]] / tabItens[[#This Row],[Consumo]], 0 )</f>
        <v>0.18604651162790697</v>
      </c>
      <c r="BI480" s="323"/>
      <c r="BJ480" s="323"/>
      <c r="BK480" s="325" t="s">
        <v>2064</v>
      </c>
    </row>
    <row r="481" spans="1:63" hidden="1" x14ac:dyDescent="0.3">
      <c r="A481" s="286">
        <v>71697</v>
      </c>
      <c r="B481" s="287" t="s">
        <v>1397</v>
      </c>
      <c r="C481" s="288" t="s">
        <v>569</v>
      </c>
      <c r="D481" s="289">
        <v>0.8</v>
      </c>
      <c r="E481" s="290"/>
      <c r="F481" s="290"/>
      <c r="G481" s="290" t="s">
        <v>883</v>
      </c>
      <c r="H481" s="291">
        <v>142</v>
      </c>
      <c r="I481" s="292">
        <v>103003</v>
      </c>
      <c r="J481" s="293">
        <v>0.8</v>
      </c>
      <c r="K481" s="294">
        <v>1664</v>
      </c>
      <c r="L481" s="295">
        <f>IF(tabItens[[#This Row],[Média]] &gt; 0, tabItens[[#This Row],[QTDE ATUAL]] / tabItens[[#This Row],[Média]],999.9)</f>
        <v>0.63087745279526097</v>
      </c>
      <c r="M481" s="296">
        <v>0</v>
      </c>
      <c r="N481" s="297">
        <f>tabItens[[#This Row],[VALOR UNIT.]] * tabItens[[#This Row],[LC]]</f>
        <v>0</v>
      </c>
      <c r="O481" s="298" t="s">
        <v>2077</v>
      </c>
      <c r="P481" s="299"/>
      <c r="Q481" s="300"/>
      <c r="R481" s="297"/>
      <c r="S481" s="301"/>
      <c r="T481" s="302">
        <f>ROUNDDOWN(IFERROR(tabItens[[#This Row],[ATA DT.VALID.]] - $D$1,0) / 30,0)</f>
        <v>-1504</v>
      </c>
      <c r="U481" s="287" t="s">
        <v>994</v>
      </c>
      <c r="V481" s="303">
        <v>1</v>
      </c>
      <c r="W481" s="304" t="s">
        <v>2056</v>
      </c>
      <c r="X481" s="305">
        <v>83</v>
      </c>
      <c r="Y481" s="306">
        <v>2</v>
      </c>
      <c r="Z481" s="307">
        <v>2659</v>
      </c>
      <c r="AA481" s="308">
        <v>2023</v>
      </c>
      <c r="AB481" s="309">
        <v>2000</v>
      </c>
      <c r="AC481" s="309"/>
      <c r="AD481" s="308"/>
      <c r="AE481" s="309"/>
      <c r="AF481" s="302"/>
      <c r="AG481" s="310" t="s">
        <v>2050</v>
      </c>
      <c r="AH481" s="311"/>
      <c r="AI481" s="302">
        <v>900</v>
      </c>
      <c r="AJ481" s="311">
        <v>44571</v>
      </c>
      <c r="AK481" s="311" t="s">
        <v>883</v>
      </c>
      <c r="AL481" s="311">
        <v>44960</v>
      </c>
      <c r="AM481" s="301"/>
      <c r="AN481" s="290"/>
      <c r="AO481" s="312" t="str">
        <f>_xlfn.IFNA(IF(VLOOKUP(tabItens[[#This Row],[CÓDIGO]],tabExcluirDoEstoque[#Data],1,FALSE),"sim",""),"")</f>
        <v/>
      </c>
      <c r="AP481" s="313" t="str">
        <f ca="1">IF(OR(ISBLANK(tabItens[[#This Row],[ATA DT.VALID.]]),tabItens[[#This Row],[ATA DT.VALID.]]="",tabItens[[#This Row],[ATA DT.VALID.]]=" "),"",IF(TYPE(tabItens[[#This Row],[ATA DT.VALID.]])=1,ROUNDUP((tabItens[[#This Row],[ATA DT.VALID.]]-TODAY())/7,0),""))</f>
        <v/>
      </c>
      <c r="AQ481" s="314">
        <v>0</v>
      </c>
      <c r="AR481" s="315" t="str">
        <f>IF(ISBLANK(tabItens[[#This Row],[CÓDIGO]]),"",IFERROR(VLOOKUP(tabItens[[#This Row],[CÓDIGO]],Consumo!$C$2:$AC$869,26,FALSE),0))</f>
        <v>07.2023</v>
      </c>
      <c r="AS481" s="316">
        <f>SUMIF(Consumo!$C$3:$C$869,tabItens[[#This Row],[CÓDIGO]],Consumo!$N$3:$N$869) + SUMIF(Consumo!$C$3:$C$869,tabItens[[#This Row],[CÓDIGO]],Consumo!$O$3:$O$869) + SUMIF(Consumo!$C$3:$C$869,tabItens[[#This Row],[CÓDIGO]],Consumo!$P$3:$P$869) + SUMIF(Consumo!$C$3:$C$869,tabItens[[#This Row],[CÓDIGO]],Consumo!$Q$3:$Q$869)</f>
        <v>828</v>
      </c>
      <c r="AT481" s="316">
        <f>SUMIF(Consumo!$C$3:$C$869,tabItens[[#This Row],[CÓDIGO]],Consumo!$Z$3:$Z$869)</f>
        <v>2701</v>
      </c>
      <c r="AU481" s="317">
        <f>SUMIF(Consumo!$C$3:$C$869,tabItens[[#This Row],[CÓDIGO]],Consumo!$AA$3:$AA$869)</f>
        <v>358</v>
      </c>
      <c r="AV481" s="318">
        <f>SUMIF(Consumo!$C$3:$C$869,tabItens[[#This Row],[CÓDIGO]],Consumo!$Y$3:$Y$869)</f>
        <v>225.08333333333334</v>
      </c>
      <c r="AW481" s="291">
        <f>tabItens[[#This Row],[QTDE ATUAL]] + tabItens[[#This Row],[RC QTDE]] + tabItens[[#This Row],[AF SALDO]] + tabItens[[#This Row],[Recentes]]</f>
        <v>2142</v>
      </c>
      <c r="AX481" s="319">
        <v>103</v>
      </c>
      <c r="AY481" s="319">
        <v>4</v>
      </c>
      <c r="AZ481" s="319">
        <f>IF(ISBLANK(tabItens[[#This Row],[CÓDIGO]]),"",tabItens[[#This Row],[PontoMês]] * (AZ$2+tabItens[[#This Row],[PontoQtM]]))</f>
        <v>412</v>
      </c>
      <c r="BA481" s="318">
        <f>tabItens[[#This Row],[PontoPed]] - tabItens[[#This Row],[Saldo]] + (1/10)</f>
        <v>-1729.9</v>
      </c>
      <c r="BB481" s="318">
        <f xml:space="preserve"> tabItens[[#This Row],[PontoMês]] * BB$2 - tabItens[[#This Row],[QTDE ATUAL]] - (1/10)</f>
        <v>-39.1</v>
      </c>
      <c r="BC481" s="320">
        <f>IF( tabItens[[#This Row],[PontoPed]]&gt;0, IF(tabItens[[#This Row],[PontoPed]]&lt;1, 1, IF( tabItens[[#This Row],[Saldo]]&gt;tabItens[[#This Row],[PontoPed]], 0, (tabItens[[#This Row],[PontoPed]]-tabItens[[#This Row],[Saldo]])/tabItens[[#This Row],[PontoPed]] ) ), 0 )</f>
        <v>0</v>
      </c>
      <c r="BD481" s="321">
        <f>ROUNDDOWN(IF( OR( AND(tabItens[[#This Row],[PontoPed]]&lt;tabItens[[#This Row],[Saldo]],tabItens[[#This Row],[Saldo]]&gt;0), tabItens[[#This Row],[PontoPed]]=0), 99, IF(AND(tabItens[[#This Row],[Saldo]]=0,tabItens[[#This Row],[PontoPed]]&gt;0), 0, (1-tabItens[[#This Row],[PctAb]])*10 ) ),0)</f>
        <v>99</v>
      </c>
      <c r="BE481" s="322">
        <f>MAX(ROUNDDOWN( IF(tabItens[[#This Row],[Abaixo]] &gt; 0,   tabItens[[#This Row],[Abaixo]] + (tabItens[[#This Row],[PontoMês]] * IF( OR( ISBLANK(tabItens[[#This Row],[ATA Nº/ANO]]), tabItens[[#This Row],[ATA Nº/ANO]] = ""),BE$2,BE$1)),0),0),0)</f>
        <v>0</v>
      </c>
      <c r="BF4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23">
        <f>SUMIF(Consumo!$C$3:$C$869,tabItens[[#This Row],[CÓDIGO]],Consumo!$E$3:$E$869)</f>
        <v>0</v>
      </c>
      <c r="BH481" s="324">
        <f>IF(AND(tabItens[[#This Row],[Pend]] &gt; 0,tabItens[[#This Row],[Consumo]] &lt;&gt; 0), tabItens[[#This Row],[Pend]] / tabItens[[#This Row],[Consumo]], 0 )</f>
        <v>0</v>
      </c>
      <c r="BI481" s="323"/>
      <c r="BJ481" s="323"/>
      <c r="BK481" s="325" t="s">
        <v>2064</v>
      </c>
    </row>
    <row r="482" spans="1:63" hidden="1" x14ac:dyDescent="0.3">
      <c r="A482" s="286">
        <v>88838</v>
      </c>
      <c r="B482" s="287" t="s">
        <v>1507</v>
      </c>
      <c r="C482" s="288" t="s">
        <v>569</v>
      </c>
      <c r="D482" s="289">
        <v>0.72</v>
      </c>
      <c r="E482" s="290"/>
      <c r="F482" s="290"/>
      <c r="G482" s="290" t="s">
        <v>883</v>
      </c>
      <c r="H482" s="291">
        <v>1091</v>
      </c>
      <c r="I482" s="292">
        <v>103003</v>
      </c>
      <c r="J482" s="293">
        <v>0.72</v>
      </c>
      <c r="K482" s="294">
        <v>2214</v>
      </c>
      <c r="L482" s="295">
        <f>IF(tabItens[[#This Row],[Média]] &gt; 0, tabItens[[#This Row],[QTDE ATUAL]] / tabItens[[#This Row],[Média]],999.9)</f>
        <v>3.7729106628242071</v>
      </c>
      <c r="M482" s="296">
        <v>0</v>
      </c>
      <c r="N482" s="297">
        <f>tabItens[[#This Row],[VALOR UNIT.]] * tabItens[[#This Row],[LC]]</f>
        <v>0</v>
      </c>
      <c r="O482" s="298" t="s">
        <v>2077</v>
      </c>
      <c r="P482" s="299"/>
      <c r="Q482" s="300"/>
      <c r="R482" s="297"/>
      <c r="S482" s="301"/>
      <c r="T482" s="302">
        <f>ROUNDDOWN(IFERROR(tabItens[[#This Row],[ATA DT.VALID.]] - $D$1,0) / 30,0)</f>
        <v>-1504</v>
      </c>
      <c r="U482" s="287" t="s">
        <v>994</v>
      </c>
      <c r="V482" s="303">
        <v>1</v>
      </c>
      <c r="W482" s="304" t="s">
        <v>2056</v>
      </c>
      <c r="X482" s="305">
        <v>83</v>
      </c>
      <c r="Y482" s="306">
        <v>2</v>
      </c>
      <c r="Z482" s="307">
        <v>2659</v>
      </c>
      <c r="AA482" s="308">
        <v>2023</v>
      </c>
      <c r="AB482" s="309">
        <v>2000</v>
      </c>
      <c r="AC482" s="309"/>
      <c r="AD482" s="308"/>
      <c r="AE482" s="309"/>
      <c r="AF482" s="302"/>
      <c r="AG482" s="310" t="s">
        <v>2050</v>
      </c>
      <c r="AH482" s="311"/>
      <c r="AI482" s="302">
        <v>1192</v>
      </c>
      <c r="AJ482" s="311">
        <v>44946</v>
      </c>
      <c r="AK482" s="311">
        <v>38663</v>
      </c>
      <c r="AL482" s="311">
        <v>44922</v>
      </c>
      <c r="AM482" s="301"/>
      <c r="AN482" s="290"/>
      <c r="AO482" s="312" t="str">
        <f>_xlfn.IFNA(IF(VLOOKUP(tabItens[[#This Row],[CÓDIGO]],tabExcluirDoEstoque[#Data],1,FALSE),"sim",""),"")</f>
        <v/>
      </c>
      <c r="AP482" s="313" t="str">
        <f ca="1">IF(OR(ISBLANK(tabItens[[#This Row],[ATA DT.VALID.]]),tabItens[[#This Row],[ATA DT.VALID.]]="",tabItens[[#This Row],[ATA DT.VALID.]]=" "),"",IF(TYPE(tabItens[[#This Row],[ATA DT.VALID.]])=1,ROUNDUP((tabItens[[#This Row],[ATA DT.VALID.]]-TODAY())/7,0),""))</f>
        <v/>
      </c>
      <c r="AQ482" s="314">
        <v>0</v>
      </c>
      <c r="AR482" s="315" t="str">
        <f>IF(ISBLANK(tabItens[[#This Row],[CÓDIGO]]),"",IFERROR(VLOOKUP(tabItens[[#This Row],[CÓDIGO]],Consumo!$C$2:$AC$869,26,FALSE),0))</f>
        <v>07.2023</v>
      </c>
      <c r="AS482" s="316">
        <f>SUMIF(Consumo!$C$3:$C$869,tabItens[[#This Row],[CÓDIGO]],Consumo!$N$3:$N$869) + SUMIF(Consumo!$C$3:$C$869,tabItens[[#This Row],[CÓDIGO]],Consumo!$O$3:$O$869) + SUMIF(Consumo!$C$3:$C$869,tabItens[[#This Row],[CÓDIGO]],Consumo!$P$3:$P$869) + SUMIF(Consumo!$C$3:$C$869,tabItens[[#This Row],[CÓDIGO]],Consumo!$Q$3:$Q$869)</f>
        <v>948</v>
      </c>
      <c r="AT482" s="316">
        <f>SUMIF(Consumo!$C$3:$C$869,tabItens[[#This Row],[CÓDIGO]],Consumo!$Z$3:$Z$869)</f>
        <v>3470</v>
      </c>
      <c r="AU482" s="317">
        <f>SUMIF(Consumo!$C$3:$C$869,tabItens[[#This Row],[CÓDIGO]],Consumo!$AA$3:$AA$869)</f>
        <v>453</v>
      </c>
      <c r="AV482" s="318">
        <f>SUMIF(Consumo!$C$3:$C$869,tabItens[[#This Row],[CÓDIGO]],Consumo!$Y$3:$Y$869)</f>
        <v>289.16666666666669</v>
      </c>
      <c r="AW482" s="291">
        <f>tabItens[[#This Row],[QTDE ATUAL]] + tabItens[[#This Row],[RC QTDE]] + tabItens[[#This Row],[AF SALDO]] + tabItens[[#This Row],[Recentes]]</f>
        <v>3091</v>
      </c>
      <c r="AX482" s="319">
        <v>125</v>
      </c>
      <c r="AY482" s="319">
        <v>4</v>
      </c>
      <c r="AZ482" s="319">
        <f>IF(ISBLANK(tabItens[[#This Row],[CÓDIGO]]),"",tabItens[[#This Row],[PontoMês]] * (AZ$2+tabItens[[#This Row],[PontoQtM]]))</f>
        <v>500</v>
      </c>
      <c r="BA482" s="318">
        <f>tabItens[[#This Row],[PontoPed]] - tabItens[[#This Row],[Saldo]] + (1/10)</f>
        <v>-2590.9</v>
      </c>
      <c r="BB482" s="318">
        <f xml:space="preserve"> tabItens[[#This Row],[PontoMês]] * BB$2 - tabItens[[#This Row],[QTDE ATUAL]] - (1/10)</f>
        <v>-966.1</v>
      </c>
      <c r="BC482" s="320">
        <f>IF( tabItens[[#This Row],[PontoPed]]&gt;0, IF(tabItens[[#This Row],[PontoPed]]&lt;1, 1, IF( tabItens[[#This Row],[Saldo]]&gt;tabItens[[#This Row],[PontoPed]], 0, (tabItens[[#This Row],[PontoPed]]-tabItens[[#This Row],[Saldo]])/tabItens[[#This Row],[PontoPed]] ) ), 0 )</f>
        <v>0</v>
      </c>
      <c r="BD482" s="321">
        <f>ROUNDDOWN(IF( OR( AND(tabItens[[#This Row],[PontoPed]]&lt;tabItens[[#This Row],[Saldo]],tabItens[[#This Row],[Saldo]]&gt;0), tabItens[[#This Row],[PontoPed]]=0), 99, IF(AND(tabItens[[#This Row],[Saldo]]=0,tabItens[[#This Row],[PontoPed]]&gt;0), 0, (1-tabItens[[#This Row],[PctAb]])*10 ) ),0)</f>
        <v>99</v>
      </c>
      <c r="BE482" s="322">
        <f>MAX(ROUNDDOWN( IF(tabItens[[#This Row],[Abaixo]] &gt; 0,   tabItens[[#This Row],[Abaixo]] + (tabItens[[#This Row],[PontoMês]] * IF( OR( ISBLANK(tabItens[[#This Row],[ATA Nº/ANO]]), tabItens[[#This Row],[ATA Nº/ANO]] = ""),BE$2,BE$1)),0),0),0)</f>
        <v>0</v>
      </c>
      <c r="BF4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23">
        <f>SUMIF(Consumo!$C$3:$C$869,tabItens[[#This Row],[CÓDIGO]],Consumo!$E$3:$E$869)</f>
        <v>0</v>
      </c>
      <c r="BH482" s="324">
        <f>IF(AND(tabItens[[#This Row],[Pend]] &gt; 0,tabItens[[#This Row],[Consumo]] &lt;&gt; 0), tabItens[[#This Row],[Pend]] / tabItens[[#This Row],[Consumo]], 0 )</f>
        <v>0</v>
      </c>
      <c r="BI482" s="323"/>
      <c r="BJ482" s="323"/>
      <c r="BK482" s="325" t="s">
        <v>2064</v>
      </c>
    </row>
    <row r="483" spans="1:63" hidden="1" x14ac:dyDescent="0.3">
      <c r="A483" s="286">
        <v>58706</v>
      </c>
      <c r="B483" s="287" t="s">
        <v>1333</v>
      </c>
      <c r="C483" s="288" t="s">
        <v>256</v>
      </c>
      <c r="D483" s="289">
        <v>79.73</v>
      </c>
      <c r="E483" s="290"/>
      <c r="F483" s="290"/>
      <c r="G483" s="290" t="s">
        <v>883</v>
      </c>
      <c r="H483" s="291">
        <v>28</v>
      </c>
      <c r="I483" s="292">
        <v>103003</v>
      </c>
      <c r="J483" s="293">
        <v>79.73</v>
      </c>
      <c r="K483" s="294">
        <v>389</v>
      </c>
      <c r="L483" s="295">
        <f>IF(tabItens[[#This Row],[Média]] &gt; 0, tabItens[[#This Row],[QTDE ATUAL]] / tabItens[[#This Row],[Média]],999.9)</f>
        <v>0.61202185792349728</v>
      </c>
      <c r="M483" s="296">
        <v>0</v>
      </c>
      <c r="N483" s="297">
        <f>tabItens[[#This Row],[VALOR UNIT.]] * tabItens[[#This Row],[LC]]</f>
        <v>0</v>
      </c>
      <c r="O483" s="298" t="s">
        <v>2127</v>
      </c>
      <c r="P483" s="299"/>
      <c r="Q483" s="300"/>
      <c r="R483" s="297"/>
      <c r="S483" s="301"/>
      <c r="T483" s="302">
        <f>ROUNDDOWN(IFERROR(tabItens[[#This Row],[ATA DT.VALID.]] - $D$1,0) / 30,0)</f>
        <v>-1504</v>
      </c>
      <c r="U483" s="287" t="s">
        <v>1334</v>
      </c>
      <c r="V483" s="303">
        <v>1</v>
      </c>
      <c r="W483" s="304" t="s">
        <v>2049</v>
      </c>
      <c r="X483" s="305">
        <v>74</v>
      </c>
      <c r="Y483" s="306">
        <v>3</v>
      </c>
      <c r="Z483" s="307">
        <v>6326</v>
      </c>
      <c r="AA483" s="308">
        <v>2023</v>
      </c>
      <c r="AB483" s="309">
        <v>450</v>
      </c>
      <c r="AC483" s="309"/>
      <c r="AD483" s="308"/>
      <c r="AE483" s="309"/>
      <c r="AF483" s="302"/>
      <c r="AG483" s="310" t="s">
        <v>2050</v>
      </c>
      <c r="AH483" s="311"/>
      <c r="AI483" s="302">
        <v>184</v>
      </c>
      <c r="AJ483" s="311">
        <v>44974</v>
      </c>
      <c r="AK483" s="311" t="s">
        <v>883</v>
      </c>
      <c r="AL483" s="311">
        <v>44887</v>
      </c>
      <c r="AM483" s="301"/>
      <c r="AN483" s="290"/>
      <c r="AO483" s="312" t="str">
        <f>_xlfn.IFNA(IF(VLOOKUP(tabItens[[#This Row],[CÓDIGO]],tabExcluirDoEstoque[#Data],1,FALSE),"sim",""),"")</f>
        <v/>
      </c>
      <c r="AP483" s="313" t="str">
        <f ca="1">IF(OR(ISBLANK(tabItens[[#This Row],[ATA DT.VALID.]]),tabItens[[#This Row],[ATA DT.VALID.]]="",tabItens[[#This Row],[ATA DT.VALID.]]=" "),"",IF(TYPE(tabItens[[#This Row],[ATA DT.VALID.]])=1,ROUNDUP((tabItens[[#This Row],[ATA DT.VALID.]]-TODAY())/7,0),""))</f>
        <v/>
      </c>
      <c r="AQ483" s="314">
        <v>0</v>
      </c>
      <c r="AR483" s="315" t="str">
        <f>IF(ISBLANK(tabItens[[#This Row],[CÓDIGO]]),"",IFERROR(VLOOKUP(tabItens[[#This Row],[CÓDIGO]],Consumo!$C$2:$AC$869,26,FALSE),0))</f>
        <v>07.2023</v>
      </c>
      <c r="AS483" s="316">
        <f>SUMIF(Consumo!$C$3:$C$869,tabItens[[#This Row],[CÓDIGO]],Consumo!$N$3:$N$869) + SUMIF(Consumo!$C$3:$C$869,tabItens[[#This Row],[CÓDIGO]],Consumo!$O$3:$O$869) + SUMIF(Consumo!$C$3:$C$869,tabItens[[#This Row],[CÓDIGO]],Consumo!$P$3:$P$869) + SUMIF(Consumo!$C$3:$C$869,tabItens[[#This Row],[CÓDIGO]],Consumo!$Q$3:$Q$869)</f>
        <v>149</v>
      </c>
      <c r="AT483" s="316">
        <f>SUMIF(Consumo!$C$3:$C$869,tabItens[[#This Row],[CÓDIGO]],Consumo!$Z$3:$Z$869)</f>
        <v>549</v>
      </c>
      <c r="AU483" s="317">
        <f>SUMIF(Consumo!$C$3:$C$869,tabItens[[#This Row],[CÓDIGO]],Consumo!$AA$3:$AA$869)</f>
        <v>86</v>
      </c>
      <c r="AV483" s="318">
        <f>SUMIF(Consumo!$C$3:$C$869,tabItens[[#This Row],[CÓDIGO]],Consumo!$Y$3:$Y$869)</f>
        <v>45.75</v>
      </c>
      <c r="AW483" s="291">
        <f>tabItens[[#This Row],[QTDE ATUAL]] + tabItens[[#This Row],[RC QTDE]] + tabItens[[#This Row],[AF SALDO]] + tabItens[[#This Row],[Recentes]]</f>
        <v>478</v>
      </c>
      <c r="AX483" s="319">
        <v>32</v>
      </c>
      <c r="AY483" s="319">
        <v>4</v>
      </c>
      <c r="AZ483" s="319">
        <f>IF(ISBLANK(tabItens[[#This Row],[CÓDIGO]]),"",tabItens[[#This Row],[PontoMês]] * (AZ$2+tabItens[[#This Row],[PontoQtM]]))</f>
        <v>128</v>
      </c>
      <c r="BA483" s="318">
        <f>tabItens[[#This Row],[PontoPed]] - tabItens[[#This Row],[Saldo]] + (1/10)</f>
        <v>-349.9</v>
      </c>
      <c r="BB483" s="318">
        <f xml:space="preserve"> tabItens[[#This Row],[PontoMês]] * BB$2 - tabItens[[#This Row],[QTDE ATUAL]] - (1/10)</f>
        <v>3.9</v>
      </c>
      <c r="BC483" s="320">
        <f>IF( tabItens[[#This Row],[PontoPed]]&gt;0, IF(tabItens[[#This Row],[PontoPed]]&lt;1, 1, IF( tabItens[[#This Row],[Saldo]]&gt;tabItens[[#This Row],[PontoPed]], 0, (tabItens[[#This Row],[PontoPed]]-tabItens[[#This Row],[Saldo]])/tabItens[[#This Row],[PontoPed]] ) ), 0 )</f>
        <v>0</v>
      </c>
      <c r="BD483" s="321">
        <f>ROUNDDOWN(IF( OR( AND(tabItens[[#This Row],[PontoPed]]&lt;tabItens[[#This Row],[Saldo]],tabItens[[#This Row],[Saldo]]&gt;0), tabItens[[#This Row],[PontoPed]]=0), 99, IF(AND(tabItens[[#This Row],[Saldo]]=0,tabItens[[#This Row],[PontoPed]]&gt;0), 0, (1-tabItens[[#This Row],[PctAb]])*10 ) ),0)</f>
        <v>99</v>
      </c>
      <c r="BE483" s="322">
        <f>MAX(ROUNDDOWN( IF(tabItens[[#This Row],[Abaixo]] &gt; 0,   tabItens[[#This Row],[Abaixo]] + (tabItens[[#This Row],[PontoMês]] * IF( OR( ISBLANK(tabItens[[#This Row],[ATA Nº/ANO]]), tabItens[[#This Row],[ATA Nº/ANO]] = ""),BE$2,BE$1)),0),0),0)</f>
        <v>0</v>
      </c>
      <c r="BF48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23">
        <f>SUMIF(Consumo!$C$3:$C$869,tabItens[[#This Row],[CÓDIGO]],Consumo!$E$3:$E$869)</f>
        <v>0</v>
      </c>
      <c r="BH483" s="324">
        <f>IF(AND(tabItens[[#This Row],[Pend]] &gt; 0,tabItens[[#This Row],[Consumo]] &lt;&gt; 0), tabItens[[#This Row],[Pend]] / tabItens[[#This Row],[Consumo]], 0 )</f>
        <v>0</v>
      </c>
      <c r="BI483" s="323"/>
      <c r="BJ483" s="323"/>
      <c r="BK483" s="325" t="s">
        <v>2064</v>
      </c>
    </row>
    <row r="484" spans="1:63" hidden="1" x14ac:dyDescent="0.3">
      <c r="A484" s="286">
        <v>12754</v>
      </c>
      <c r="B484" s="287" t="s">
        <v>959</v>
      </c>
      <c r="C484" s="288" t="s">
        <v>268</v>
      </c>
      <c r="D484" s="289">
        <v>1.76</v>
      </c>
      <c r="E484" s="290"/>
      <c r="F484" s="290"/>
      <c r="G484" s="290" t="s">
        <v>883</v>
      </c>
      <c r="H484" s="291">
        <v>641</v>
      </c>
      <c r="I484" s="292">
        <v>103003</v>
      </c>
      <c r="J484" s="293">
        <v>1.76</v>
      </c>
      <c r="K484" s="294">
        <v>847</v>
      </c>
      <c r="L484" s="295">
        <f>IF(tabItens[[#This Row],[Média]] &gt; 0, tabItens[[#This Row],[QTDE ATUAL]] / tabItens[[#This Row],[Média]],999.9)</f>
        <v>6.0376766091051799</v>
      </c>
      <c r="M484" s="296">
        <v>0</v>
      </c>
      <c r="N484" s="297">
        <f>tabItens[[#This Row],[VALOR UNIT.]] * tabItens[[#This Row],[LC]]</f>
        <v>0</v>
      </c>
      <c r="O484" s="298" t="s">
        <v>2071</v>
      </c>
      <c r="P484" s="299"/>
      <c r="Q484" s="300"/>
      <c r="R484" s="297"/>
      <c r="S484" s="301"/>
      <c r="T484" s="302">
        <f>ROUNDDOWN(IFERROR(tabItens[[#This Row],[ATA DT.VALID.]] - $D$1,0) / 30,0)</f>
        <v>-1504</v>
      </c>
      <c r="U484" s="287" t="s">
        <v>892</v>
      </c>
      <c r="V484" s="303">
        <v>1</v>
      </c>
      <c r="W484" s="304" t="s">
        <v>2051</v>
      </c>
      <c r="X484" s="305">
        <v>72</v>
      </c>
      <c r="Y484" s="306">
        <v>6</v>
      </c>
      <c r="Z484" s="307"/>
      <c r="AA484" s="308"/>
      <c r="AB484" s="309"/>
      <c r="AC484" s="309"/>
      <c r="AD484" s="308"/>
      <c r="AE484" s="309"/>
      <c r="AF484" s="302"/>
      <c r="AG484" s="310" t="s">
        <v>2050</v>
      </c>
      <c r="AH484" s="311"/>
      <c r="AI484" s="302">
        <v>426</v>
      </c>
      <c r="AJ484" s="311">
        <v>44874</v>
      </c>
      <c r="AK484" s="311" t="s">
        <v>883</v>
      </c>
      <c r="AL484" s="311">
        <v>45133</v>
      </c>
      <c r="AM484" s="301"/>
      <c r="AN484" s="290"/>
      <c r="AO484" s="312" t="str">
        <f>_xlfn.IFNA(IF(VLOOKUP(tabItens[[#This Row],[CÓDIGO]],tabExcluirDoEstoque[#Data],1,FALSE),"sim",""),"")</f>
        <v/>
      </c>
      <c r="AP484" s="313" t="str">
        <f ca="1">IF(OR(ISBLANK(tabItens[[#This Row],[ATA DT.VALID.]]),tabItens[[#This Row],[ATA DT.VALID.]]="",tabItens[[#This Row],[ATA DT.VALID.]]=" "),"",IF(TYPE(tabItens[[#This Row],[ATA DT.VALID.]])=1,ROUNDUP((tabItens[[#This Row],[ATA DT.VALID.]]-TODAY())/7,0),""))</f>
        <v/>
      </c>
      <c r="AQ484" s="314">
        <v>0</v>
      </c>
      <c r="AR484" s="315" t="str">
        <f>IF(ISBLANK(tabItens[[#This Row],[CÓDIGO]]),"",IFERROR(VLOOKUP(tabItens[[#This Row],[CÓDIGO]],Consumo!$C$2:$AC$869,26,FALSE),0))</f>
        <v>07.2023</v>
      </c>
      <c r="AS484" s="316">
        <f>SUMIF(Consumo!$C$3:$C$869,tabItens[[#This Row],[CÓDIGO]],Consumo!$N$3:$N$869) + SUMIF(Consumo!$C$3:$C$869,tabItens[[#This Row],[CÓDIGO]],Consumo!$O$3:$O$869) + SUMIF(Consumo!$C$3:$C$869,tabItens[[#This Row],[CÓDIGO]],Consumo!$P$3:$P$869) + SUMIF(Consumo!$C$3:$C$869,tabItens[[#This Row],[CÓDIGO]],Consumo!$Q$3:$Q$869)</f>
        <v>540</v>
      </c>
      <c r="AT484" s="316">
        <f>SUMIF(Consumo!$C$3:$C$869,tabItens[[#This Row],[CÓDIGO]],Consumo!$Z$3:$Z$869)</f>
        <v>1275</v>
      </c>
      <c r="AU484" s="317">
        <f>SUMIF(Consumo!$C$3:$C$869,tabItens[[#This Row],[CÓDIGO]],Consumo!$AA$3:$AA$869)</f>
        <v>192</v>
      </c>
      <c r="AV484" s="318">
        <f>SUMIF(Consumo!$C$3:$C$869,tabItens[[#This Row],[CÓDIGO]],Consumo!$Y$3:$Y$869)</f>
        <v>106.16666666666667</v>
      </c>
      <c r="AW484" s="291">
        <f>tabItens[[#This Row],[QTDE ATUAL]] + tabItens[[#This Row],[RC QTDE]] + tabItens[[#This Row],[AF SALDO]] + tabItens[[#This Row],[Recentes]]</f>
        <v>641</v>
      </c>
      <c r="AX484" s="319">
        <v>87</v>
      </c>
      <c r="AY484" s="319">
        <v>4</v>
      </c>
      <c r="AZ484" s="319">
        <f>IF(ISBLANK(tabItens[[#This Row],[CÓDIGO]]),"",tabItens[[#This Row],[PontoMês]] * (AZ$2+tabItens[[#This Row],[PontoQtM]]))</f>
        <v>348</v>
      </c>
      <c r="BA484" s="318">
        <f>tabItens[[#This Row],[PontoPed]] - tabItens[[#This Row],[Saldo]] + (1/10)</f>
        <v>-292.89999999999998</v>
      </c>
      <c r="BB484" s="318">
        <f xml:space="preserve"> tabItens[[#This Row],[PontoMês]] * BB$2 - tabItens[[#This Row],[QTDE ATUAL]] - (1/10)</f>
        <v>-554.1</v>
      </c>
      <c r="BC484" s="320">
        <f>IF( tabItens[[#This Row],[PontoPed]]&gt;0, IF(tabItens[[#This Row],[PontoPed]]&lt;1, 1, IF( tabItens[[#This Row],[Saldo]]&gt;tabItens[[#This Row],[PontoPed]], 0, (tabItens[[#This Row],[PontoPed]]-tabItens[[#This Row],[Saldo]])/tabItens[[#This Row],[PontoPed]] ) ), 0 )</f>
        <v>0</v>
      </c>
      <c r="BD484" s="321">
        <f>ROUNDDOWN(IF( OR( AND(tabItens[[#This Row],[PontoPed]]&lt;tabItens[[#This Row],[Saldo]],tabItens[[#This Row],[Saldo]]&gt;0), tabItens[[#This Row],[PontoPed]]=0), 99, IF(AND(tabItens[[#This Row],[Saldo]]=0,tabItens[[#This Row],[PontoPed]]&gt;0), 0, (1-tabItens[[#This Row],[PctAb]])*10 ) ),0)</f>
        <v>99</v>
      </c>
      <c r="BE484" s="322">
        <f>MAX(ROUNDDOWN( IF(tabItens[[#This Row],[Abaixo]] &gt; 0,   tabItens[[#This Row],[Abaixo]] + (tabItens[[#This Row],[PontoMês]] * IF( OR( ISBLANK(tabItens[[#This Row],[ATA Nº/ANO]]), tabItens[[#This Row],[ATA Nº/ANO]] = ""),BE$2,BE$1)),0),0),0)</f>
        <v>0</v>
      </c>
      <c r="BF4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23">
        <f>SUMIF(Consumo!$C$3:$C$869,tabItens[[#This Row],[CÓDIGO]],Consumo!$E$3:$E$869)</f>
        <v>0</v>
      </c>
      <c r="BH484" s="324">
        <f>IF(AND(tabItens[[#This Row],[Pend]] &gt; 0,tabItens[[#This Row],[Consumo]] &lt;&gt; 0), tabItens[[#This Row],[Pend]] / tabItens[[#This Row],[Consumo]], 0 )</f>
        <v>0</v>
      </c>
      <c r="BI484" s="323"/>
      <c r="BJ484" s="323"/>
      <c r="BK484" s="325" t="s">
        <v>2064</v>
      </c>
    </row>
    <row r="485" spans="1:63" x14ac:dyDescent="0.3">
      <c r="A485" s="396">
        <v>81131</v>
      </c>
      <c r="B485" s="397" t="s">
        <v>1459</v>
      </c>
      <c r="C485" s="398" t="s">
        <v>268</v>
      </c>
      <c r="D485" s="399">
        <v>0.52</v>
      </c>
      <c r="E485" s="290"/>
      <c r="F485" s="400"/>
      <c r="G485" s="400" t="s">
        <v>883</v>
      </c>
      <c r="H485" s="401">
        <v>0</v>
      </c>
      <c r="I485" s="292">
        <v>103003</v>
      </c>
      <c r="J485" s="293">
        <v>0.52</v>
      </c>
      <c r="K485" s="402">
        <v>210</v>
      </c>
      <c r="L485" s="403">
        <f>IF(tabItens[[#This Row],[Média]] &gt; 0, tabItens[[#This Row],[QTDE ATUAL]] / tabItens[[#This Row],[Média]],999.9)</f>
        <v>0</v>
      </c>
      <c r="M485" s="404">
        <v>0</v>
      </c>
      <c r="N485" s="405">
        <f>tabItens[[#This Row],[VALOR UNIT.]] * tabItens[[#This Row],[LC]]</f>
        <v>0</v>
      </c>
      <c r="O485" s="406" t="s">
        <v>2071</v>
      </c>
      <c r="P485" s="407"/>
      <c r="Q485" s="408"/>
      <c r="R485" s="297"/>
      <c r="S485" s="409"/>
      <c r="T485" s="410">
        <f>ROUNDDOWN(IFERROR(tabItens[[#This Row],[ATA DT.VALID.]] - $D$1,0) / 30,0)</f>
        <v>-1504</v>
      </c>
      <c r="U485" s="287" t="s">
        <v>892</v>
      </c>
      <c r="V485" s="303">
        <v>1</v>
      </c>
      <c r="W485" s="411" t="s">
        <v>2051</v>
      </c>
      <c r="X485" s="412">
        <v>72</v>
      </c>
      <c r="Y485" s="413">
        <v>6</v>
      </c>
      <c r="Z485" s="414">
        <v>9010</v>
      </c>
      <c r="AA485" s="415">
        <v>2023</v>
      </c>
      <c r="AB485" s="416">
        <v>70</v>
      </c>
      <c r="AC485" s="416"/>
      <c r="AD485" s="415"/>
      <c r="AE485" s="416"/>
      <c r="AF485" s="302"/>
      <c r="AG485" s="417" t="s">
        <v>2050</v>
      </c>
      <c r="AH485" s="418"/>
      <c r="AI485" s="302">
        <v>82</v>
      </c>
      <c r="AJ485" s="418">
        <v>43682</v>
      </c>
      <c r="AK485" s="311">
        <v>38205</v>
      </c>
      <c r="AL485" s="311">
        <v>43851</v>
      </c>
      <c r="AM485" s="301"/>
      <c r="AN485" s="290"/>
      <c r="AO485" s="312" t="str">
        <f>_xlfn.IFNA(IF(VLOOKUP(tabItens[[#This Row],[CÓDIGO]],tabExcluirDoEstoque[#Data],1,FALSE),"sim",""),"")</f>
        <v/>
      </c>
      <c r="AP485" s="419" t="str">
        <f ca="1">IF(OR(ISBLANK(tabItens[[#This Row],[ATA DT.VALID.]]),tabItens[[#This Row],[ATA DT.VALID.]]="",tabItens[[#This Row],[ATA DT.VALID.]]=" "),"",IF(TYPE(tabItens[[#This Row],[ATA DT.VALID.]])=1,ROUNDUP((tabItens[[#This Row],[ATA DT.VALID.]]-TODAY())/7,0),""))</f>
        <v/>
      </c>
      <c r="AQ485" s="314">
        <v>0</v>
      </c>
      <c r="AR485" s="315" t="str">
        <f>IF(ISBLANK(tabItens[[#This Row],[CÓDIGO]]),"",IFERROR(VLOOKUP(tabItens[[#This Row],[CÓDIGO]],Consumo!$C$2:$AC$869,26,FALSE),0))</f>
        <v>06.2023</v>
      </c>
      <c r="AS485" s="316">
        <f>SUMIF(Consumo!$C$3:$C$869,tabItens[[#This Row],[CÓDIGO]],Consumo!$N$3:$N$869) + SUMIF(Consumo!$C$3:$C$869,tabItens[[#This Row],[CÓDIGO]],Consumo!$O$3:$O$869) + SUMIF(Consumo!$C$3:$C$869,tabItens[[#This Row],[CÓDIGO]],Consumo!$P$3:$P$869) + SUMIF(Consumo!$C$3:$C$869,tabItens[[#This Row],[CÓDIGO]],Consumo!$Q$3:$Q$869)</f>
        <v>77</v>
      </c>
      <c r="AT485" s="316">
        <f>SUMIF(Consumo!$C$3:$C$869,tabItens[[#This Row],[CÓDIGO]],Consumo!$Z$3:$Z$869)</f>
        <v>245</v>
      </c>
      <c r="AU485" s="317">
        <f>SUMIF(Consumo!$C$3:$C$869,tabItens[[#This Row],[CÓDIGO]],Consumo!$AA$3:$AA$869)</f>
        <v>71</v>
      </c>
      <c r="AV485" s="318">
        <f>SUMIF(Consumo!$C$3:$C$869,tabItens[[#This Row],[CÓDIGO]],Consumo!$Y$3:$Y$869)</f>
        <v>19.666666666666668</v>
      </c>
      <c r="AW485" s="401">
        <f>tabItens[[#This Row],[QTDE ATUAL]] + tabItens[[#This Row],[RC QTDE]] + tabItens[[#This Row],[AF SALDO]] + tabItens[[#This Row],[Recentes]]</f>
        <v>70</v>
      </c>
      <c r="AX485" s="420">
        <v>10</v>
      </c>
      <c r="AY485" s="420">
        <v>4</v>
      </c>
      <c r="AZ485" s="420">
        <f>IF(ISBLANK(tabItens[[#This Row],[CÓDIGO]]),"",tabItens[[#This Row],[PontoMês]] * (AZ$2+tabItens[[#This Row],[PontoQtM]]))</f>
        <v>40</v>
      </c>
      <c r="BA485" s="421">
        <f>tabItens[[#This Row],[PontoPed]] - tabItens[[#This Row],[Saldo]] + (1/10)</f>
        <v>-29.9</v>
      </c>
      <c r="BB485" s="421">
        <f xml:space="preserve"> tabItens[[#This Row],[PontoMês]] * BB$2 - tabItens[[#This Row],[QTDE ATUAL]] - (1/10)</f>
        <v>9.9</v>
      </c>
      <c r="BC485" s="320">
        <f>IF( tabItens[[#This Row],[PontoPed]]&gt;0, IF(tabItens[[#This Row],[PontoPed]]&lt;1, 1, IF( tabItens[[#This Row],[Saldo]]&gt;tabItens[[#This Row],[PontoPed]], 0, (tabItens[[#This Row],[PontoPed]]-tabItens[[#This Row],[Saldo]])/tabItens[[#This Row],[PontoPed]] ) ), 0 )</f>
        <v>0</v>
      </c>
      <c r="BD485" s="422">
        <f>ROUNDDOWN(IF( OR( AND(tabItens[[#This Row],[PontoPed]]&lt;tabItens[[#This Row],[Saldo]],tabItens[[#This Row],[Saldo]]&gt;0), tabItens[[#This Row],[PontoPed]]=0), 99, IF(AND(tabItens[[#This Row],[Saldo]]=0,tabItens[[#This Row],[PontoPed]]&gt;0), 0, (1-tabItens[[#This Row],[PctAb]])*10 ) ),0)</f>
        <v>99</v>
      </c>
      <c r="BE485" s="423">
        <f>MAX(ROUNDDOWN( IF(tabItens[[#This Row],[Abaixo]] &gt; 0,   tabItens[[#This Row],[Abaixo]] + (tabItens[[#This Row],[PontoMês]] * IF( OR( ISBLANK(tabItens[[#This Row],[ATA Nº/ANO]]), tabItens[[#This Row],[ATA Nº/ANO]] = ""),BE$2,BE$1)),0),0),0)</f>
        <v>0</v>
      </c>
      <c r="BF485"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23">
        <f>SUMIF(Consumo!$C$3:$C$869,tabItens[[#This Row],[CÓDIGO]],Consumo!$E$3:$E$869)</f>
        <v>0</v>
      </c>
      <c r="BH485" s="324">
        <f>IF(AND(tabItens[[#This Row],[Pend]] &gt; 0,tabItens[[#This Row],[Consumo]] &lt;&gt; 0), tabItens[[#This Row],[Pend]] / tabItens[[#This Row],[Consumo]], 0 )</f>
        <v>0</v>
      </c>
      <c r="BI485" s="323"/>
      <c r="BJ485" s="424"/>
      <c r="BK485" s="425" t="s">
        <v>2064</v>
      </c>
    </row>
    <row r="486" spans="1:63" hidden="1" x14ac:dyDescent="0.3">
      <c r="A486" s="286">
        <v>135088</v>
      </c>
      <c r="B486" s="287" t="s">
        <v>1897</v>
      </c>
      <c r="C486" s="288" t="s">
        <v>31</v>
      </c>
      <c r="D486" s="289">
        <v>10.83</v>
      </c>
      <c r="E486" s="290"/>
      <c r="F486" s="290"/>
      <c r="G486" s="290" t="s">
        <v>883</v>
      </c>
      <c r="H486" s="291">
        <v>404</v>
      </c>
      <c r="I486" s="292">
        <v>103003</v>
      </c>
      <c r="J486" s="293">
        <v>10.83</v>
      </c>
      <c r="K486" s="294">
        <v>305</v>
      </c>
      <c r="L486" s="295">
        <f>IF(tabItens[[#This Row],[Média]] &gt; 0, tabItens[[#This Row],[QTDE ATUAL]] / tabItens[[#This Row],[Média]],999.9)</f>
        <v>16.775086505190313</v>
      </c>
      <c r="M486" s="296">
        <v>0</v>
      </c>
      <c r="N486" s="297">
        <f>tabItens[[#This Row],[VALOR UNIT.]] * tabItens[[#This Row],[LC]]</f>
        <v>0</v>
      </c>
      <c r="O486" s="298" t="s">
        <v>2177</v>
      </c>
      <c r="P486" s="299"/>
      <c r="Q486" s="300"/>
      <c r="R486" s="297"/>
      <c r="S486" s="301"/>
      <c r="T486" s="302">
        <f>ROUNDDOWN(IFERROR(tabItens[[#This Row],[ATA DT.VALID.]] - $D$1,0) / 30,0)</f>
        <v>-1504</v>
      </c>
      <c r="U486" s="287" t="s">
        <v>1870</v>
      </c>
      <c r="V486" s="303">
        <v>1</v>
      </c>
      <c r="W486" s="304" t="s">
        <v>2055</v>
      </c>
      <c r="X486" s="305">
        <v>55</v>
      </c>
      <c r="Y486" s="306">
        <v>66</v>
      </c>
      <c r="Z486" s="307">
        <v>2664</v>
      </c>
      <c r="AA486" s="308">
        <v>2023</v>
      </c>
      <c r="AB486" s="309">
        <v>300</v>
      </c>
      <c r="AC486" s="309"/>
      <c r="AD486" s="308"/>
      <c r="AE486" s="309"/>
      <c r="AF486" s="302"/>
      <c r="AG486" s="310" t="s">
        <v>2050</v>
      </c>
      <c r="AH486" s="311"/>
      <c r="AI486" s="302">
        <v>102</v>
      </c>
      <c r="AJ486" s="311">
        <v>44742</v>
      </c>
      <c r="AK486" s="311">
        <v>43238</v>
      </c>
      <c r="AL486" s="311">
        <v>44722</v>
      </c>
      <c r="AM486" s="301"/>
      <c r="AN486" s="290"/>
      <c r="AO486" s="312" t="str">
        <f>_xlfn.IFNA(IF(VLOOKUP(tabItens[[#This Row],[CÓDIGO]],tabExcluirDoEstoque[#Data],1,FALSE),"sim",""),"")</f>
        <v/>
      </c>
      <c r="AP486" s="313" t="str">
        <f ca="1">IF(OR(ISBLANK(tabItens[[#This Row],[ATA DT.VALID.]]),tabItens[[#This Row],[ATA DT.VALID.]]="",tabItens[[#This Row],[ATA DT.VALID.]]=" "),"",IF(TYPE(tabItens[[#This Row],[ATA DT.VALID.]])=1,ROUNDUP((tabItens[[#This Row],[ATA DT.VALID.]]-TODAY())/7,0),""))</f>
        <v/>
      </c>
      <c r="AQ486" s="314">
        <v>0</v>
      </c>
      <c r="AR486" s="315" t="str">
        <f>IF(ISBLANK(tabItens[[#This Row],[CÓDIGO]]),"",IFERROR(VLOOKUP(tabItens[[#This Row],[CÓDIGO]],Consumo!$C$2:$AC$869,26,FALSE),0))</f>
        <v>06.2023</v>
      </c>
      <c r="AS486" s="316">
        <f>SUMIF(Consumo!$C$3:$C$869,tabItens[[#This Row],[CÓDIGO]],Consumo!$N$3:$N$869) + SUMIF(Consumo!$C$3:$C$869,tabItens[[#This Row],[CÓDIGO]],Consumo!$O$3:$O$869) + SUMIF(Consumo!$C$3:$C$869,tabItens[[#This Row],[CÓDIGO]],Consumo!$P$3:$P$869) + SUMIF(Consumo!$C$3:$C$869,tabItens[[#This Row],[CÓDIGO]],Consumo!$Q$3:$Q$869)</f>
        <v>4</v>
      </c>
      <c r="AT486" s="316">
        <f>SUMIF(Consumo!$C$3:$C$869,tabItens[[#This Row],[CÓDIGO]],Consumo!$Z$3:$Z$869)</f>
        <v>307</v>
      </c>
      <c r="AU486" s="317">
        <f>SUMIF(Consumo!$C$3:$C$869,tabItens[[#This Row],[CÓDIGO]],Consumo!$AA$3:$AA$869)</f>
        <v>125</v>
      </c>
      <c r="AV486" s="318">
        <f>SUMIF(Consumo!$C$3:$C$869,tabItens[[#This Row],[CÓDIGO]],Consumo!$Y$3:$Y$869)</f>
        <v>24.083333333333332</v>
      </c>
      <c r="AW486" s="291">
        <f>tabItens[[#This Row],[QTDE ATUAL]] + tabItens[[#This Row],[RC QTDE]] + tabItens[[#This Row],[AF SALDO]] + tabItens[[#This Row],[Recentes]]</f>
        <v>704</v>
      </c>
      <c r="AX486" s="319">
        <v>40</v>
      </c>
      <c r="AY486" s="319">
        <v>4</v>
      </c>
      <c r="AZ486" s="319">
        <f>IF(ISBLANK(tabItens[[#This Row],[CÓDIGO]]),"",tabItens[[#This Row],[PontoMês]] * (AZ$2+tabItens[[#This Row],[PontoQtM]]))</f>
        <v>160</v>
      </c>
      <c r="BA486" s="318">
        <f>tabItens[[#This Row],[PontoPed]] - tabItens[[#This Row],[Saldo]] + (1/10)</f>
        <v>-543.9</v>
      </c>
      <c r="BB486" s="318">
        <f xml:space="preserve"> tabItens[[#This Row],[PontoMês]] * BB$2 - tabItens[[#This Row],[QTDE ATUAL]] - (1/10)</f>
        <v>-364.1</v>
      </c>
      <c r="BC486" s="320">
        <f>IF( tabItens[[#This Row],[PontoPed]]&gt;0, IF(tabItens[[#This Row],[PontoPed]]&lt;1, 1, IF( tabItens[[#This Row],[Saldo]]&gt;tabItens[[#This Row],[PontoPed]], 0, (tabItens[[#This Row],[PontoPed]]-tabItens[[#This Row],[Saldo]])/tabItens[[#This Row],[PontoPed]] ) ), 0 )</f>
        <v>0</v>
      </c>
      <c r="BD486" s="321">
        <f>ROUNDDOWN(IF( OR( AND(tabItens[[#This Row],[PontoPed]]&lt;tabItens[[#This Row],[Saldo]],tabItens[[#This Row],[Saldo]]&gt;0), tabItens[[#This Row],[PontoPed]]=0), 99, IF(AND(tabItens[[#This Row],[Saldo]]=0,tabItens[[#This Row],[PontoPed]]&gt;0), 0, (1-tabItens[[#This Row],[PctAb]])*10 ) ),0)</f>
        <v>99</v>
      </c>
      <c r="BE486" s="322">
        <f>MAX(ROUNDDOWN( IF(tabItens[[#This Row],[Abaixo]] &gt; 0,   tabItens[[#This Row],[Abaixo]] + (tabItens[[#This Row],[PontoMês]] * IF( OR( ISBLANK(tabItens[[#This Row],[ATA Nº/ANO]]), tabItens[[#This Row],[ATA Nº/ANO]] = ""),BE$2,BE$1)),0),0),0)</f>
        <v>0</v>
      </c>
      <c r="BF48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23">
        <f>SUMIF(Consumo!$C$3:$C$869,tabItens[[#This Row],[CÓDIGO]],Consumo!$E$3:$E$869)</f>
        <v>0</v>
      </c>
      <c r="BH486" s="324">
        <f>IF(AND(tabItens[[#This Row],[Pend]] &gt; 0,tabItens[[#This Row],[Consumo]] &lt;&gt; 0), tabItens[[#This Row],[Pend]] / tabItens[[#This Row],[Consumo]], 0 )</f>
        <v>0</v>
      </c>
      <c r="BI486" s="323"/>
      <c r="BJ486" s="323"/>
      <c r="BK486" s="325" t="s">
        <v>2064</v>
      </c>
    </row>
    <row r="487" spans="1:63" hidden="1" x14ac:dyDescent="0.3">
      <c r="A487" s="286">
        <v>130572</v>
      </c>
      <c r="B487" s="287" t="s">
        <v>1794</v>
      </c>
      <c r="C487" s="288" t="s">
        <v>301</v>
      </c>
      <c r="D487" s="289">
        <v>6.47</v>
      </c>
      <c r="E487" s="290"/>
      <c r="F487" s="290"/>
      <c r="G487" s="290" t="s">
        <v>883</v>
      </c>
      <c r="H487" s="291">
        <v>0</v>
      </c>
      <c r="I487" s="292">
        <v>103003</v>
      </c>
      <c r="J487" s="293">
        <v>6.47</v>
      </c>
      <c r="K487" s="294">
        <v>18</v>
      </c>
      <c r="L487" s="295">
        <f>IF(tabItens[[#This Row],[Média]] &gt; 0, tabItens[[#This Row],[QTDE ATUAL]] / tabItens[[#This Row],[Média]],999.9)</f>
        <v>0</v>
      </c>
      <c r="M487" s="296">
        <v>0</v>
      </c>
      <c r="N487" s="297">
        <f>tabItens[[#This Row],[VALOR UNIT.]] * tabItens[[#This Row],[LC]]</f>
        <v>0</v>
      </c>
      <c r="O487" s="298" t="s">
        <v>2173</v>
      </c>
      <c r="P487" s="299"/>
      <c r="Q487" s="300"/>
      <c r="R487" s="297"/>
      <c r="S487" s="301"/>
      <c r="T487" s="302">
        <f>ROUNDDOWN(IFERROR(tabItens[[#This Row],[ATA DT.VALID.]] - $D$1,0) / 30,0)</f>
        <v>-1504</v>
      </c>
      <c r="U487" s="287" t="s">
        <v>1481</v>
      </c>
      <c r="V487" s="303">
        <v>1</v>
      </c>
      <c r="W487" s="304" t="s">
        <v>2058</v>
      </c>
      <c r="X487" s="305">
        <v>54</v>
      </c>
      <c r="Y487" s="306">
        <v>4</v>
      </c>
      <c r="Z487" s="307">
        <v>2825</v>
      </c>
      <c r="AA487" s="308">
        <v>2023</v>
      </c>
      <c r="AB487" s="309">
        <v>20</v>
      </c>
      <c r="AC487" s="309"/>
      <c r="AD487" s="308"/>
      <c r="AE487" s="309"/>
      <c r="AF487" s="302"/>
      <c r="AG487" s="310" t="s">
        <v>2050</v>
      </c>
      <c r="AH487" s="311"/>
      <c r="AI487" s="302">
        <v>6</v>
      </c>
      <c r="AJ487" s="311">
        <v>43819</v>
      </c>
      <c r="AK487" s="311">
        <v>42188</v>
      </c>
      <c r="AL487" s="311">
        <v>44232</v>
      </c>
      <c r="AM487" s="301"/>
      <c r="AN487" s="290"/>
      <c r="AO487" s="312" t="str">
        <f>_xlfn.IFNA(IF(VLOOKUP(tabItens[[#This Row],[CÓDIGO]],tabExcluirDoEstoque[#Data],1,FALSE),"sim",""),"")</f>
        <v/>
      </c>
      <c r="AP487" s="313" t="str">
        <f ca="1">IF(OR(ISBLANK(tabItens[[#This Row],[ATA DT.VALID.]]),tabItens[[#This Row],[ATA DT.VALID.]]="",tabItens[[#This Row],[ATA DT.VALID.]]=" "),"",IF(TYPE(tabItens[[#This Row],[ATA DT.VALID.]])=1,ROUNDUP((tabItens[[#This Row],[ATA DT.VALID.]]-TODAY())/7,0),""))</f>
        <v/>
      </c>
      <c r="AQ487" s="314">
        <v>0</v>
      </c>
      <c r="AR487" s="315" t="str">
        <f>IF(ISBLANK(tabItens[[#This Row],[CÓDIGO]]),"",IFERROR(VLOOKUP(tabItens[[#This Row],[CÓDIGO]],Consumo!$C$2:$AC$869,26,FALSE),0))</f>
        <v>09.2022</v>
      </c>
      <c r="AS487" s="316">
        <f>SUMIF(Consumo!$C$3:$C$869,tabItens[[#This Row],[CÓDIGO]],Consumo!$N$3:$N$869) + SUMIF(Consumo!$C$3:$C$869,tabItens[[#This Row],[CÓDIGO]],Consumo!$O$3:$O$869) + SUMIF(Consumo!$C$3:$C$869,tabItens[[#This Row],[CÓDIGO]],Consumo!$P$3:$P$869) + SUMIF(Consumo!$C$3:$C$869,tabItens[[#This Row],[CÓDIGO]],Consumo!$Q$3:$Q$869)</f>
        <v>0</v>
      </c>
      <c r="AT487" s="316">
        <f>SUMIF(Consumo!$C$3:$C$869,tabItens[[#This Row],[CÓDIGO]],Consumo!$Z$3:$Z$869)</f>
        <v>18</v>
      </c>
      <c r="AU487" s="317">
        <f>SUMIF(Consumo!$C$3:$C$869,tabItens[[#This Row],[CÓDIGO]],Consumo!$AA$3:$AA$869)</f>
        <v>18</v>
      </c>
      <c r="AV487" s="318">
        <f>SUMIF(Consumo!$C$3:$C$869,tabItens[[#This Row],[CÓDIGO]],Consumo!$Y$3:$Y$869)</f>
        <v>0.91666666666666663</v>
      </c>
      <c r="AW487" s="291">
        <f>tabItens[[#This Row],[QTDE ATUAL]] + tabItens[[#This Row],[RC QTDE]] + tabItens[[#This Row],[AF SALDO]] + tabItens[[#This Row],[Recentes]]</f>
        <v>20</v>
      </c>
      <c r="AX487" s="319">
        <v>0</v>
      </c>
      <c r="AY487" s="319">
        <v>4</v>
      </c>
      <c r="AZ487" s="319">
        <f>IF(ISBLANK(tabItens[[#This Row],[CÓDIGO]]),"",tabItens[[#This Row],[PontoMês]] * (AZ$2+tabItens[[#This Row],[PontoQtM]]))</f>
        <v>0</v>
      </c>
      <c r="BA487" s="318">
        <f>tabItens[[#This Row],[PontoPed]] - tabItens[[#This Row],[Saldo]] + (1/10)</f>
        <v>-19.899999999999999</v>
      </c>
      <c r="BB487" s="318">
        <f xml:space="preserve"> tabItens[[#This Row],[PontoMês]] * BB$2 - tabItens[[#This Row],[QTDE ATUAL]] - (1/10)</f>
        <v>-0.1</v>
      </c>
      <c r="BC487" s="320">
        <f>IF( tabItens[[#This Row],[PontoPed]]&gt;0, IF(tabItens[[#This Row],[PontoPed]]&lt;1, 1, IF( tabItens[[#This Row],[Saldo]]&gt;tabItens[[#This Row],[PontoPed]], 0, (tabItens[[#This Row],[PontoPed]]-tabItens[[#This Row],[Saldo]])/tabItens[[#This Row],[PontoPed]] ) ), 0 )</f>
        <v>0</v>
      </c>
      <c r="BD487" s="321">
        <f>ROUNDDOWN(IF( OR( AND(tabItens[[#This Row],[PontoPed]]&lt;tabItens[[#This Row],[Saldo]],tabItens[[#This Row],[Saldo]]&gt;0), tabItens[[#This Row],[PontoPed]]=0), 99, IF(AND(tabItens[[#This Row],[Saldo]]=0,tabItens[[#This Row],[PontoPed]]&gt;0), 0, (1-tabItens[[#This Row],[PctAb]])*10 ) ),0)</f>
        <v>99</v>
      </c>
      <c r="BE487" s="322">
        <f>MAX(ROUNDDOWN( IF(tabItens[[#This Row],[Abaixo]] &gt; 0,   tabItens[[#This Row],[Abaixo]] + (tabItens[[#This Row],[PontoMês]] * IF( OR( ISBLANK(tabItens[[#This Row],[ATA Nº/ANO]]), tabItens[[#This Row],[ATA Nº/ANO]] = ""),BE$2,BE$1)),0),0),0)</f>
        <v>0</v>
      </c>
      <c r="BF4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23">
        <f>SUMIF(Consumo!$C$3:$C$869,tabItens[[#This Row],[CÓDIGO]],Consumo!$E$3:$E$869)</f>
        <v>0</v>
      </c>
      <c r="BH487" s="324">
        <f>IF(AND(tabItens[[#This Row],[Pend]] &gt; 0,tabItens[[#This Row],[Consumo]] &lt;&gt; 0), tabItens[[#This Row],[Pend]] / tabItens[[#This Row],[Consumo]], 0 )</f>
        <v>0</v>
      </c>
      <c r="BI487" s="323"/>
      <c r="BJ487" s="323"/>
      <c r="BK487" s="325" t="s">
        <v>2064</v>
      </c>
    </row>
    <row r="488" spans="1:63" hidden="1" x14ac:dyDescent="0.3">
      <c r="A488" s="286">
        <v>15813</v>
      </c>
      <c r="B488" s="287" t="s">
        <v>1107</v>
      </c>
      <c r="C488" s="288" t="s">
        <v>256</v>
      </c>
      <c r="D488" s="289">
        <v>0.6</v>
      </c>
      <c r="E488" s="290"/>
      <c r="F488" s="290"/>
      <c r="G488" s="290" t="s">
        <v>883</v>
      </c>
      <c r="H488" s="291">
        <v>2165</v>
      </c>
      <c r="I488" s="292">
        <v>103003</v>
      </c>
      <c r="J488" s="293">
        <v>0.6</v>
      </c>
      <c r="K488" s="294">
        <v>5815</v>
      </c>
      <c r="L488" s="295">
        <f>IF(tabItens[[#This Row],[Média]] &gt; 0, tabItens[[#This Row],[QTDE ATUAL]] / tabItens[[#This Row],[Média]],999.9)</f>
        <v>3.4310618066561016</v>
      </c>
      <c r="M488" s="296"/>
      <c r="N488" s="297">
        <f>tabItens[[#This Row],[VALOR UNIT.]] * tabItens[[#This Row],[LC]]</f>
        <v>0</v>
      </c>
      <c r="O488" s="298" t="s">
        <v>2103</v>
      </c>
      <c r="P488" s="299"/>
      <c r="Q488" s="300"/>
      <c r="R488" s="297"/>
      <c r="S488" s="301"/>
      <c r="T488" s="302">
        <f>ROUNDDOWN(IFERROR(tabItens[[#This Row],[ATA DT.VALID.]] - $D$1,0) / 30,0)</f>
        <v>-1504</v>
      </c>
      <c r="U488" s="287" t="s">
        <v>1108</v>
      </c>
      <c r="V488" s="303">
        <v>1</v>
      </c>
      <c r="W488" s="304" t="s">
        <v>2049</v>
      </c>
      <c r="X488" s="305">
        <v>51</v>
      </c>
      <c r="Y488" s="306">
        <v>6</v>
      </c>
      <c r="Z488" s="307">
        <v>9011</v>
      </c>
      <c r="AA488" s="308">
        <v>2023</v>
      </c>
      <c r="AB488" s="309">
        <v>2200</v>
      </c>
      <c r="AC488" s="309"/>
      <c r="AD488" s="308"/>
      <c r="AE488" s="309"/>
      <c r="AF488" s="302"/>
      <c r="AG488" s="310" t="s">
        <v>2050</v>
      </c>
      <c r="AH488" s="311"/>
      <c r="AI488" s="302">
        <v>2538</v>
      </c>
      <c r="AJ488" s="311">
        <v>44560</v>
      </c>
      <c r="AK488" s="311" t="s">
        <v>883</v>
      </c>
      <c r="AL488" s="311">
        <v>45078</v>
      </c>
      <c r="AM488" s="301"/>
      <c r="AN488" s="290"/>
      <c r="AO488" s="312" t="str">
        <f>_xlfn.IFNA(IF(VLOOKUP(tabItens[[#This Row],[CÓDIGO]],tabExcluirDoEstoque[#Data],1,FALSE),"sim",""),"")</f>
        <v/>
      </c>
      <c r="AP488" s="313" t="str">
        <f ca="1">IF(OR(ISBLANK(tabItens[[#This Row],[ATA DT.VALID.]]),tabItens[[#This Row],[ATA DT.VALID.]]="",tabItens[[#This Row],[ATA DT.VALID.]]=" "),"",IF(TYPE(tabItens[[#This Row],[ATA DT.VALID.]])=1,ROUNDUP((tabItens[[#This Row],[ATA DT.VALID.]]-TODAY())/7,0),""))</f>
        <v/>
      </c>
      <c r="AQ488" s="314">
        <v>0</v>
      </c>
      <c r="AR488" s="315" t="str">
        <f>IF(ISBLANK(tabItens[[#This Row],[CÓDIGO]]),"",IFERROR(VLOOKUP(tabItens[[#This Row],[CÓDIGO]],Consumo!$C$2:$AC$869,26,FALSE),0))</f>
        <v>07.2023</v>
      </c>
      <c r="AS488" s="316">
        <f>SUMIF(Consumo!$C$3:$C$869,tabItens[[#This Row],[CÓDIGO]],Consumo!$N$3:$N$869) + SUMIF(Consumo!$C$3:$C$869,tabItens[[#This Row],[CÓDIGO]],Consumo!$O$3:$O$869) + SUMIF(Consumo!$C$3:$C$869,tabItens[[#This Row],[CÓDIGO]],Consumo!$P$3:$P$869) + SUMIF(Consumo!$C$3:$C$869,tabItens[[#This Row],[CÓDIGO]],Consumo!$Q$3:$Q$869)</f>
        <v>2585</v>
      </c>
      <c r="AT488" s="316">
        <f>SUMIF(Consumo!$C$3:$C$869,tabItens[[#This Row],[CÓDIGO]],Consumo!$Z$3:$Z$869)</f>
        <v>7615</v>
      </c>
      <c r="AU488" s="317">
        <f>SUMIF(Consumo!$C$3:$C$869,tabItens[[#This Row],[CÓDIGO]],Consumo!$AA$3:$AA$869)</f>
        <v>1635</v>
      </c>
      <c r="AV488" s="318">
        <f>SUMIF(Consumo!$C$3:$C$869,tabItens[[#This Row],[CÓDIGO]],Consumo!$Y$3:$Y$869)</f>
        <v>631</v>
      </c>
      <c r="AW488" s="291">
        <f>tabItens[[#This Row],[QTDE ATUAL]] + tabItens[[#This Row],[RC QTDE]] + tabItens[[#This Row],[AF SALDO]] + tabItens[[#This Row],[Recentes]]</f>
        <v>4365</v>
      </c>
      <c r="AX488" s="319">
        <v>542</v>
      </c>
      <c r="AY488" s="319">
        <v>4</v>
      </c>
      <c r="AZ488" s="319">
        <f>IF(ISBLANK(tabItens[[#This Row],[CÓDIGO]]),"",tabItens[[#This Row],[PontoMês]] * (AZ$2+tabItens[[#This Row],[PontoQtM]]))</f>
        <v>2168</v>
      </c>
      <c r="BA488" s="318">
        <f>tabItens[[#This Row],[PontoPed]] - tabItens[[#This Row],[Saldo]] + (1/10)</f>
        <v>-2196.9</v>
      </c>
      <c r="BB488" s="318">
        <f xml:space="preserve"> tabItens[[#This Row],[PontoMês]] * BB$2 - tabItens[[#This Row],[QTDE ATUAL]] - (1/10)</f>
        <v>-1623.1</v>
      </c>
      <c r="BC488" s="320">
        <f>IF( tabItens[[#This Row],[PontoPed]]&gt;0, IF(tabItens[[#This Row],[PontoPed]]&lt;1, 1, IF( tabItens[[#This Row],[Saldo]]&gt;tabItens[[#This Row],[PontoPed]], 0, (tabItens[[#This Row],[PontoPed]]-tabItens[[#This Row],[Saldo]])/tabItens[[#This Row],[PontoPed]] ) ), 0 )</f>
        <v>0</v>
      </c>
      <c r="BD488" s="321">
        <f>ROUNDDOWN(IF( OR( AND(tabItens[[#This Row],[PontoPed]]&lt;tabItens[[#This Row],[Saldo]],tabItens[[#This Row],[Saldo]]&gt;0), tabItens[[#This Row],[PontoPed]]=0), 99, IF(AND(tabItens[[#This Row],[Saldo]]=0,tabItens[[#This Row],[PontoPed]]&gt;0), 0, (1-tabItens[[#This Row],[PctAb]])*10 ) ),0)</f>
        <v>99</v>
      </c>
      <c r="BE488" s="322">
        <f>MAX(ROUNDDOWN( IF(tabItens[[#This Row],[Abaixo]] &gt; 0,   tabItens[[#This Row],[Abaixo]] + (tabItens[[#This Row],[PontoMês]] * IF( OR( ISBLANK(tabItens[[#This Row],[ATA Nº/ANO]]), tabItens[[#This Row],[ATA Nº/ANO]] = ""),BE$2,BE$1)),0),0),0)</f>
        <v>0</v>
      </c>
      <c r="BF48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23">
        <f>SUMIF(Consumo!$C$3:$C$869,tabItens[[#This Row],[CÓDIGO]],Consumo!$E$3:$E$869)</f>
        <v>0</v>
      </c>
      <c r="BH488" s="324">
        <f>IF(AND(tabItens[[#This Row],[Pend]] &gt; 0,tabItens[[#This Row],[Consumo]] &lt;&gt; 0), tabItens[[#This Row],[Pend]] / tabItens[[#This Row],[Consumo]], 0 )</f>
        <v>0</v>
      </c>
      <c r="BI488" s="323"/>
      <c r="BJ488" s="323"/>
      <c r="BK488" s="325" t="s">
        <v>2064</v>
      </c>
    </row>
    <row r="489" spans="1:63" hidden="1" x14ac:dyDescent="0.3">
      <c r="A489" s="286">
        <v>114297</v>
      </c>
      <c r="B489" s="287" t="s">
        <v>1691</v>
      </c>
      <c r="C489" s="288" t="s">
        <v>256</v>
      </c>
      <c r="D489" s="289">
        <v>2.06</v>
      </c>
      <c r="E489" s="290"/>
      <c r="F489" s="290"/>
      <c r="G489" s="290" t="s">
        <v>883</v>
      </c>
      <c r="H489" s="291">
        <v>4224</v>
      </c>
      <c r="I489" s="292">
        <v>103003</v>
      </c>
      <c r="J489" s="293">
        <v>2.06</v>
      </c>
      <c r="K489" s="294">
        <v>53</v>
      </c>
      <c r="L489" s="295">
        <f>IF(tabItens[[#This Row],[Média]] &gt; 0, tabItens[[#This Row],[QTDE ATUAL]] / tabItens[[#This Row],[Média]],999.9)</f>
        <v>1078.4680851063831</v>
      </c>
      <c r="M489" s="296">
        <v>0</v>
      </c>
      <c r="N489" s="297">
        <f>tabItens[[#This Row],[VALOR UNIT.]] * tabItens[[#This Row],[LC]]</f>
        <v>0</v>
      </c>
      <c r="O489" s="298" t="s">
        <v>2103</v>
      </c>
      <c r="P489" s="299"/>
      <c r="Q489" s="300"/>
      <c r="R489" s="297"/>
      <c r="S489" s="301"/>
      <c r="T489" s="302">
        <f>ROUNDDOWN(IFERROR(tabItens[[#This Row],[ATA DT.VALID.]] - $D$1,0) / 30,0)</f>
        <v>-1504</v>
      </c>
      <c r="U489" s="287" t="s">
        <v>1273</v>
      </c>
      <c r="V489" s="303">
        <v>1</v>
      </c>
      <c r="W489" s="304" t="s">
        <v>2049</v>
      </c>
      <c r="X489" s="305">
        <v>51</v>
      </c>
      <c r="Y489" s="306">
        <v>17</v>
      </c>
      <c r="Z489" s="307"/>
      <c r="AA489" s="308"/>
      <c r="AB489" s="309"/>
      <c r="AC489" s="309"/>
      <c r="AD489" s="308"/>
      <c r="AE489" s="309"/>
      <c r="AF489" s="302"/>
      <c r="AG489" s="310" t="s">
        <v>2050</v>
      </c>
      <c r="AH489" s="311"/>
      <c r="AI489" s="302">
        <v>18</v>
      </c>
      <c r="AJ489" s="311">
        <v>42552</v>
      </c>
      <c r="AK489" s="311">
        <v>40240</v>
      </c>
      <c r="AL489" s="311">
        <v>42543</v>
      </c>
      <c r="AM489" s="301"/>
      <c r="AN489" s="290"/>
      <c r="AO489" s="312" t="str">
        <f>_xlfn.IFNA(IF(VLOOKUP(tabItens[[#This Row],[CÓDIGO]],tabExcluirDoEstoque[#Data],1,FALSE),"sim",""),"")</f>
        <v/>
      </c>
      <c r="AP489" s="313" t="str">
        <f ca="1">IF(OR(ISBLANK(tabItens[[#This Row],[ATA DT.VALID.]]),tabItens[[#This Row],[ATA DT.VALID.]]="",tabItens[[#This Row],[ATA DT.VALID.]]=" "),"",IF(TYPE(tabItens[[#This Row],[ATA DT.VALID.]])=1,ROUNDUP((tabItens[[#This Row],[ATA DT.VALID.]]-TODAY())/7,0),""))</f>
        <v/>
      </c>
      <c r="AQ489" s="314">
        <v>0</v>
      </c>
      <c r="AR489" s="315" t="str">
        <f>IF(ISBLANK(tabItens[[#This Row],[CÓDIGO]]),"",IFERROR(VLOOKUP(tabItens[[#This Row],[CÓDIGO]],Consumo!$C$2:$AC$869,26,FALSE),0))</f>
        <v>02.2023</v>
      </c>
      <c r="AS489" s="316">
        <f>SUMIF(Consumo!$C$3:$C$869,tabItens[[#This Row],[CÓDIGO]],Consumo!$N$3:$N$869) + SUMIF(Consumo!$C$3:$C$869,tabItens[[#This Row],[CÓDIGO]],Consumo!$O$3:$O$869) + SUMIF(Consumo!$C$3:$C$869,tabItens[[#This Row],[CÓDIGO]],Consumo!$P$3:$P$869) + SUMIF(Consumo!$C$3:$C$869,tabItens[[#This Row],[CÓDIGO]],Consumo!$Q$3:$Q$869)</f>
        <v>0</v>
      </c>
      <c r="AT489" s="316">
        <f>SUMIF(Consumo!$C$3:$C$869,tabItens[[#This Row],[CÓDIGO]],Consumo!$Z$3:$Z$869)</f>
        <v>53</v>
      </c>
      <c r="AU489" s="317">
        <f>SUMIF(Consumo!$C$3:$C$869,tabItens[[#This Row],[CÓDIGO]],Consumo!$AA$3:$AA$869)</f>
        <v>28</v>
      </c>
      <c r="AV489" s="318">
        <f>SUMIF(Consumo!$C$3:$C$869,tabItens[[#This Row],[CÓDIGO]],Consumo!$Y$3:$Y$869)</f>
        <v>3.9166666666666665</v>
      </c>
      <c r="AW489" s="291">
        <f>tabItens[[#This Row],[QTDE ATUAL]] + tabItens[[#This Row],[RC QTDE]] + tabItens[[#This Row],[AF SALDO]] + tabItens[[#This Row],[Recentes]]</f>
        <v>4224</v>
      </c>
      <c r="AX489" s="319">
        <v>49</v>
      </c>
      <c r="AY489" s="319">
        <v>4</v>
      </c>
      <c r="AZ489" s="319">
        <f>IF(ISBLANK(tabItens[[#This Row],[CÓDIGO]]),"",tabItens[[#This Row],[PontoMês]] * (AZ$2+tabItens[[#This Row],[PontoQtM]]))</f>
        <v>196</v>
      </c>
      <c r="BA489" s="318">
        <f>tabItens[[#This Row],[PontoPed]] - tabItens[[#This Row],[Saldo]] + (1/10)</f>
        <v>-4027.9</v>
      </c>
      <c r="BB489" s="318">
        <f xml:space="preserve"> tabItens[[#This Row],[PontoMês]] * BB$2 - tabItens[[#This Row],[QTDE ATUAL]] - (1/10)</f>
        <v>-4175.1000000000004</v>
      </c>
      <c r="BC489" s="320">
        <f>IF( tabItens[[#This Row],[PontoPed]]&gt;0, IF(tabItens[[#This Row],[PontoPed]]&lt;1, 1, IF( tabItens[[#This Row],[Saldo]]&gt;tabItens[[#This Row],[PontoPed]], 0, (tabItens[[#This Row],[PontoPed]]-tabItens[[#This Row],[Saldo]])/tabItens[[#This Row],[PontoPed]] ) ), 0 )</f>
        <v>0</v>
      </c>
      <c r="BD489" s="321">
        <f>ROUNDDOWN(IF( OR( AND(tabItens[[#This Row],[PontoPed]]&lt;tabItens[[#This Row],[Saldo]],tabItens[[#This Row],[Saldo]]&gt;0), tabItens[[#This Row],[PontoPed]]=0), 99, IF(AND(tabItens[[#This Row],[Saldo]]=0,tabItens[[#This Row],[PontoPed]]&gt;0), 0, (1-tabItens[[#This Row],[PctAb]])*10 ) ),0)</f>
        <v>99</v>
      </c>
      <c r="BE489" s="322">
        <f>MAX(ROUNDDOWN( IF(tabItens[[#This Row],[Abaixo]] &gt; 0,   tabItens[[#This Row],[Abaixo]] + (tabItens[[#This Row],[PontoMês]] * IF( OR( ISBLANK(tabItens[[#This Row],[ATA Nº/ANO]]), tabItens[[#This Row],[ATA Nº/ANO]] = ""),BE$2,BE$1)),0),0),0)</f>
        <v>0</v>
      </c>
      <c r="BF4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23">
        <f>SUMIF(Consumo!$C$3:$C$869,tabItens[[#This Row],[CÓDIGO]],Consumo!$E$3:$E$869)</f>
        <v>0</v>
      </c>
      <c r="BH489" s="324">
        <f>IF(AND(tabItens[[#This Row],[Pend]] &gt; 0,tabItens[[#This Row],[Consumo]] &lt;&gt; 0), tabItens[[#This Row],[Pend]] / tabItens[[#This Row],[Consumo]], 0 )</f>
        <v>0</v>
      </c>
      <c r="BI489" s="323"/>
      <c r="BJ489" s="323"/>
      <c r="BK489" s="325" t="s">
        <v>2064</v>
      </c>
    </row>
    <row r="490" spans="1:63" hidden="1" x14ac:dyDescent="0.3">
      <c r="A490" s="286">
        <v>63382</v>
      </c>
      <c r="B490" s="287" t="s">
        <v>1357</v>
      </c>
      <c r="C490" s="288" t="s">
        <v>413</v>
      </c>
      <c r="D490" s="289">
        <v>8.9</v>
      </c>
      <c r="E490" s="290"/>
      <c r="F490" s="290"/>
      <c r="G490" s="290" t="s">
        <v>883</v>
      </c>
      <c r="H490" s="291">
        <v>214</v>
      </c>
      <c r="I490" s="292">
        <v>103003</v>
      </c>
      <c r="J490" s="293">
        <v>8.9</v>
      </c>
      <c r="K490" s="294">
        <v>51</v>
      </c>
      <c r="L490" s="295">
        <f>IF(tabItens[[#This Row],[Média]] &gt; 0, tabItens[[#This Row],[QTDE ATUAL]] / tabItens[[#This Row],[Média]],999.9)</f>
        <v>59.720930232558139</v>
      </c>
      <c r="M490" s="296">
        <v>0</v>
      </c>
      <c r="N490" s="297">
        <f>tabItens[[#This Row],[VALOR UNIT.]] * tabItens[[#This Row],[LC]]</f>
        <v>0</v>
      </c>
      <c r="O490" s="298" t="s">
        <v>2103</v>
      </c>
      <c r="P490" s="299"/>
      <c r="Q490" s="300"/>
      <c r="R490" s="297"/>
      <c r="S490" s="301"/>
      <c r="T490" s="302">
        <f>ROUNDDOWN(IFERROR(tabItens[[#This Row],[ATA DT.VALID.]] - $D$1,0) / 30,0)</f>
        <v>-1504</v>
      </c>
      <c r="U490" s="287" t="s">
        <v>1110</v>
      </c>
      <c r="V490" s="303">
        <v>1</v>
      </c>
      <c r="W490" s="304" t="s">
        <v>2049</v>
      </c>
      <c r="X490" s="305">
        <v>51</v>
      </c>
      <c r="Y490" s="306">
        <v>33</v>
      </c>
      <c r="Z490" s="307"/>
      <c r="AA490" s="308"/>
      <c r="AB490" s="309"/>
      <c r="AC490" s="309"/>
      <c r="AD490" s="308"/>
      <c r="AE490" s="309"/>
      <c r="AF490" s="302"/>
      <c r="AG490" s="310" t="s">
        <v>2050</v>
      </c>
      <c r="AH490" s="311"/>
      <c r="AI490" s="302">
        <v>18</v>
      </c>
      <c r="AJ490" s="311">
        <v>43627</v>
      </c>
      <c r="AK490" s="311" t="s">
        <v>883</v>
      </c>
      <c r="AL490" s="311">
        <v>44956</v>
      </c>
      <c r="AM490" s="301"/>
      <c r="AN490" s="290"/>
      <c r="AO490" s="312" t="str">
        <f>_xlfn.IFNA(IF(VLOOKUP(tabItens[[#This Row],[CÓDIGO]],tabExcluirDoEstoque[#Data],1,FALSE),"sim",""),"")</f>
        <v/>
      </c>
      <c r="AP490" s="313" t="str">
        <f ca="1">IF(OR(ISBLANK(tabItens[[#This Row],[ATA DT.VALID.]]),tabItens[[#This Row],[ATA DT.VALID.]]="",tabItens[[#This Row],[ATA DT.VALID.]]=" "),"",IF(TYPE(tabItens[[#This Row],[ATA DT.VALID.]])=1,ROUNDUP((tabItens[[#This Row],[ATA DT.VALID.]]-TODAY())/7,0),""))</f>
        <v/>
      </c>
      <c r="AQ490" s="314">
        <v>0</v>
      </c>
      <c r="AR490" s="315" t="str">
        <f>IF(ISBLANK(tabItens[[#This Row],[CÓDIGO]]),"",IFERROR(VLOOKUP(tabItens[[#This Row],[CÓDIGO]],Consumo!$C$2:$AC$869,26,FALSE),0))</f>
        <v>04.2023</v>
      </c>
      <c r="AS490" s="316">
        <f>SUMIF(Consumo!$C$3:$C$869,tabItens[[#This Row],[CÓDIGO]],Consumo!$N$3:$N$869) + SUMIF(Consumo!$C$3:$C$869,tabItens[[#This Row],[CÓDIGO]],Consumo!$O$3:$O$869) + SUMIF(Consumo!$C$3:$C$869,tabItens[[#This Row],[CÓDIGO]],Consumo!$P$3:$P$869) + SUMIF(Consumo!$C$3:$C$869,tabItens[[#This Row],[CÓDIGO]],Consumo!$Q$3:$Q$869)</f>
        <v>32</v>
      </c>
      <c r="AT490" s="316">
        <f>SUMIF(Consumo!$C$3:$C$869,tabItens[[#This Row],[CÓDIGO]],Consumo!$Z$3:$Z$869)</f>
        <v>52</v>
      </c>
      <c r="AU490" s="317">
        <f>SUMIF(Consumo!$C$3:$C$869,tabItens[[#This Row],[CÓDIGO]],Consumo!$AA$3:$AA$869)</f>
        <v>32</v>
      </c>
      <c r="AV490" s="318">
        <f>SUMIF(Consumo!$C$3:$C$869,tabItens[[#This Row],[CÓDIGO]],Consumo!$Y$3:$Y$869)</f>
        <v>3.5833333333333335</v>
      </c>
      <c r="AW490" s="291">
        <f>tabItens[[#This Row],[QTDE ATUAL]] + tabItens[[#This Row],[RC QTDE]] + tabItens[[#This Row],[AF SALDO]] + tabItens[[#This Row],[Recentes]]</f>
        <v>214</v>
      </c>
      <c r="AX490" s="319">
        <v>2</v>
      </c>
      <c r="AY490" s="319">
        <v>4</v>
      </c>
      <c r="AZ490" s="319">
        <f>IF(ISBLANK(tabItens[[#This Row],[CÓDIGO]]),"",tabItens[[#This Row],[PontoMês]] * (AZ$2+tabItens[[#This Row],[PontoQtM]]))</f>
        <v>8</v>
      </c>
      <c r="BA490" s="318">
        <f>tabItens[[#This Row],[PontoPed]] - tabItens[[#This Row],[Saldo]] + (1/10)</f>
        <v>-205.9</v>
      </c>
      <c r="BB490" s="318">
        <f xml:space="preserve"> tabItens[[#This Row],[PontoMês]] * BB$2 - tabItens[[#This Row],[QTDE ATUAL]] - (1/10)</f>
        <v>-212.1</v>
      </c>
      <c r="BC490" s="320">
        <f>IF( tabItens[[#This Row],[PontoPed]]&gt;0, IF(tabItens[[#This Row],[PontoPed]]&lt;1, 1, IF( tabItens[[#This Row],[Saldo]]&gt;tabItens[[#This Row],[PontoPed]], 0, (tabItens[[#This Row],[PontoPed]]-tabItens[[#This Row],[Saldo]])/tabItens[[#This Row],[PontoPed]] ) ), 0 )</f>
        <v>0</v>
      </c>
      <c r="BD490" s="321">
        <f>ROUNDDOWN(IF( OR( AND(tabItens[[#This Row],[PontoPed]]&lt;tabItens[[#This Row],[Saldo]],tabItens[[#This Row],[Saldo]]&gt;0), tabItens[[#This Row],[PontoPed]]=0), 99, IF(AND(tabItens[[#This Row],[Saldo]]=0,tabItens[[#This Row],[PontoPed]]&gt;0), 0, (1-tabItens[[#This Row],[PctAb]])*10 ) ),0)</f>
        <v>99</v>
      </c>
      <c r="BE490" s="322">
        <f>MAX(ROUNDDOWN( IF(tabItens[[#This Row],[Abaixo]] &gt; 0,   tabItens[[#This Row],[Abaixo]] + (tabItens[[#This Row],[PontoMês]] * IF( OR( ISBLANK(tabItens[[#This Row],[ATA Nº/ANO]]), tabItens[[#This Row],[ATA Nº/ANO]] = ""),BE$2,BE$1)),0),0),0)</f>
        <v>0</v>
      </c>
      <c r="BF49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23">
        <f>SUMIF(Consumo!$C$3:$C$869,tabItens[[#This Row],[CÓDIGO]],Consumo!$E$3:$E$869)</f>
        <v>0</v>
      </c>
      <c r="BH490" s="324">
        <f>IF(AND(tabItens[[#This Row],[Pend]] &gt; 0,tabItens[[#This Row],[Consumo]] &lt;&gt; 0), tabItens[[#This Row],[Pend]] / tabItens[[#This Row],[Consumo]], 0 )</f>
        <v>0</v>
      </c>
      <c r="BI490" s="323"/>
      <c r="BJ490" s="323"/>
      <c r="BK490" s="325" t="s">
        <v>2064</v>
      </c>
    </row>
    <row r="491" spans="1:63" hidden="1" x14ac:dyDescent="0.3">
      <c r="A491" s="286">
        <v>102277</v>
      </c>
      <c r="B491" s="287" t="s">
        <v>1572</v>
      </c>
      <c r="C491" s="288" t="s">
        <v>256</v>
      </c>
      <c r="D491" s="289">
        <v>355</v>
      </c>
      <c r="E491" s="290"/>
      <c r="F491" s="290"/>
      <c r="G491" s="290" t="s">
        <v>883</v>
      </c>
      <c r="H491" s="291">
        <v>162</v>
      </c>
      <c r="I491" s="292">
        <v>103003</v>
      </c>
      <c r="J491" s="293">
        <v>355</v>
      </c>
      <c r="K491" s="294"/>
      <c r="L491" s="295">
        <f>IF(tabItens[[#This Row],[Média]] &gt; 0, tabItens[[#This Row],[QTDE ATUAL]] / tabItens[[#This Row],[Média]],999.9)</f>
        <v>999.9</v>
      </c>
      <c r="M491" s="296">
        <v>0</v>
      </c>
      <c r="N491" s="297">
        <f>tabItens[[#This Row],[VALOR UNIT.]] * tabItens[[#This Row],[LC]]</f>
        <v>0</v>
      </c>
      <c r="O491" s="298" t="s">
        <v>2103</v>
      </c>
      <c r="P491" s="299"/>
      <c r="Q491" s="300"/>
      <c r="R491" s="297"/>
      <c r="S491" s="301"/>
      <c r="T491" s="302">
        <f>ROUNDDOWN(IFERROR(tabItens[[#This Row],[ATA DT.VALID.]] - $D$1,0) / 30,0)</f>
        <v>-1504</v>
      </c>
      <c r="U491" s="287" t="s">
        <v>1037</v>
      </c>
      <c r="V491" s="303">
        <v>1</v>
      </c>
      <c r="W491" s="304" t="s">
        <v>2056</v>
      </c>
      <c r="X491" s="305">
        <v>69</v>
      </c>
      <c r="Y491" s="306">
        <v>10</v>
      </c>
      <c r="Z491" s="307"/>
      <c r="AA491" s="308"/>
      <c r="AB491" s="309"/>
      <c r="AC491" s="309"/>
      <c r="AD491" s="308"/>
      <c r="AE491" s="309"/>
      <c r="AF491" s="302"/>
      <c r="AG491" s="310" t="s">
        <v>2050</v>
      </c>
      <c r="AH491" s="311"/>
      <c r="AI491" s="302">
        <v>8</v>
      </c>
      <c r="AJ491" s="311">
        <v>44516</v>
      </c>
      <c r="AK491" s="311">
        <v>39352</v>
      </c>
      <c r="AL491" s="311">
        <v>44483</v>
      </c>
      <c r="AM491" s="301"/>
      <c r="AN491" s="290"/>
      <c r="AO491" s="312" t="str">
        <f>_xlfn.IFNA(IF(VLOOKUP(tabItens[[#This Row],[CÓDIGO]],tabExcluirDoEstoque[#Data],1,FALSE),"sim",""),"")</f>
        <v/>
      </c>
      <c r="AP491" s="313" t="str">
        <f ca="1">IF(OR(ISBLANK(tabItens[[#This Row],[ATA DT.VALID.]]),tabItens[[#This Row],[ATA DT.VALID.]]="",tabItens[[#This Row],[ATA DT.VALID.]]=" "),"",IF(TYPE(tabItens[[#This Row],[ATA DT.VALID.]])=1,ROUNDUP((tabItens[[#This Row],[ATA DT.VALID.]]-TODAY())/7,0),""))</f>
        <v/>
      </c>
      <c r="AQ491" s="314">
        <v>0</v>
      </c>
      <c r="AR491" s="315">
        <f>IF(ISBLANK(tabItens[[#This Row],[CÓDIGO]]),"",IFERROR(VLOOKUP(tabItens[[#This Row],[CÓDIGO]],Consumo!$C$2:$AC$869,26,FALSE),0))</f>
        <v>0</v>
      </c>
      <c r="AS491" s="316">
        <f>SUMIF(Consumo!$C$3:$C$869,tabItens[[#This Row],[CÓDIGO]],Consumo!$N$3:$N$869) + SUMIF(Consumo!$C$3:$C$869,tabItens[[#This Row],[CÓDIGO]],Consumo!$O$3:$O$869) + SUMIF(Consumo!$C$3:$C$869,tabItens[[#This Row],[CÓDIGO]],Consumo!$P$3:$P$869) + SUMIF(Consumo!$C$3:$C$869,tabItens[[#This Row],[CÓDIGO]],Consumo!$Q$3:$Q$869)</f>
        <v>0</v>
      </c>
      <c r="AT491" s="316">
        <f>SUMIF(Consumo!$C$3:$C$869,tabItens[[#This Row],[CÓDIGO]],Consumo!$Z$3:$Z$869)</f>
        <v>0</v>
      </c>
      <c r="AU491" s="317">
        <f>SUMIF(Consumo!$C$3:$C$869,tabItens[[#This Row],[CÓDIGO]],Consumo!$AA$3:$AA$869)</f>
        <v>0</v>
      </c>
      <c r="AV491" s="318">
        <f>SUMIF(Consumo!$C$3:$C$869,tabItens[[#This Row],[CÓDIGO]],Consumo!$Y$3:$Y$869)</f>
        <v>0</v>
      </c>
      <c r="AW491" s="291">
        <f>tabItens[[#This Row],[QTDE ATUAL]] + tabItens[[#This Row],[RC QTDE]] + tabItens[[#This Row],[AF SALDO]] + tabItens[[#This Row],[Recentes]]</f>
        <v>162</v>
      </c>
      <c r="AX491" s="319">
        <v>15</v>
      </c>
      <c r="AY491" s="319">
        <v>4</v>
      </c>
      <c r="AZ491" s="319">
        <f>IF(ISBLANK(tabItens[[#This Row],[CÓDIGO]]),"",tabItens[[#This Row],[PontoMês]] * (AZ$2+tabItens[[#This Row],[PontoQtM]]))</f>
        <v>60</v>
      </c>
      <c r="BA491" s="318">
        <f>tabItens[[#This Row],[PontoPed]] - tabItens[[#This Row],[Saldo]] + (1/10)</f>
        <v>-101.9</v>
      </c>
      <c r="BB491" s="318">
        <f xml:space="preserve"> tabItens[[#This Row],[PontoMês]] * BB$2 - tabItens[[#This Row],[QTDE ATUAL]] - (1/10)</f>
        <v>-147.1</v>
      </c>
      <c r="BC491" s="320">
        <f>IF( tabItens[[#This Row],[PontoPed]]&gt;0, IF(tabItens[[#This Row],[PontoPed]]&lt;1, 1, IF( tabItens[[#This Row],[Saldo]]&gt;tabItens[[#This Row],[PontoPed]], 0, (tabItens[[#This Row],[PontoPed]]-tabItens[[#This Row],[Saldo]])/tabItens[[#This Row],[PontoPed]] ) ), 0 )</f>
        <v>0</v>
      </c>
      <c r="BD491" s="321">
        <f>ROUNDDOWN(IF( OR( AND(tabItens[[#This Row],[PontoPed]]&lt;tabItens[[#This Row],[Saldo]],tabItens[[#This Row],[Saldo]]&gt;0), tabItens[[#This Row],[PontoPed]]=0), 99, IF(AND(tabItens[[#This Row],[Saldo]]=0,tabItens[[#This Row],[PontoPed]]&gt;0), 0, (1-tabItens[[#This Row],[PctAb]])*10 ) ),0)</f>
        <v>99</v>
      </c>
      <c r="BE491" s="322">
        <f>MAX(ROUNDDOWN( IF(tabItens[[#This Row],[Abaixo]] &gt; 0,   tabItens[[#This Row],[Abaixo]] + (tabItens[[#This Row],[PontoMês]] * IF( OR( ISBLANK(tabItens[[#This Row],[ATA Nº/ANO]]), tabItens[[#This Row],[ATA Nº/ANO]] = ""),BE$2,BE$1)),0),0),0)</f>
        <v>0</v>
      </c>
      <c r="BF49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23">
        <f>SUMIF(Consumo!$C$3:$C$869,tabItens[[#This Row],[CÓDIGO]],Consumo!$E$3:$E$869)</f>
        <v>0</v>
      </c>
      <c r="BH491" s="324">
        <f>IF(AND(tabItens[[#This Row],[Pend]] &gt; 0,tabItens[[#This Row],[Consumo]] &lt;&gt; 0), tabItens[[#This Row],[Pend]] / tabItens[[#This Row],[Consumo]], 0 )</f>
        <v>0</v>
      </c>
      <c r="BI491" s="323"/>
      <c r="BJ491" s="323"/>
      <c r="BK491" s="325" t="s">
        <v>2064</v>
      </c>
    </row>
    <row r="492" spans="1:63" hidden="1" x14ac:dyDescent="0.3">
      <c r="A492" s="286">
        <v>134545</v>
      </c>
      <c r="B492" s="287" t="s">
        <v>1872</v>
      </c>
      <c r="C492" s="288" t="s">
        <v>629</v>
      </c>
      <c r="D492" s="289">
        <v>32</v>
      </c>
      <c r="E492" s="290"/>
      <c r="F492" s="290"/>
      <c r="G492" s="290" t="s">
        <v>883</v>
      </c>
      <c r="H492" s="291">
        <v>894.81</v>
      </c>
      <c r="I492" s="292">
        <v>103003</v>
      </c>
      <c r="J492" s="293">
        <v>32</v>
      </c>
      <c r="K492" s="294">
        <v>43</v>
      </c>
      <c r="L492" s="295">
        <f>IF(tabItens[[#This Row],[Média]] &gt; 0, tabItens[[#This Row],[QTDE ATUAL]] / tabItens[[#This Row],[Média]],999.9)</f>
        <v>268.44299999999998</v>
      </c>
      <c r="M492" s="296">
        <v>0</v>
      </c>
      <c r="N492" s="297">
        <f>tabItens[[#This Row],[VALOR UNIT.]] * tabItens[[#This Row],[LC]]</f>
        <v>0</v>
      </c>
      <c r="O492" s="298" t="s">
        <v>2178</v>
      </c>
      <c r="P492" s="299"/>
      <c r="Q492" s="300"/>
      <c r="R492" s="297"/>
      <c r="S492" s="301"/>
      <c r="T492" s="302">
        <f>ROUNDDOWN(IFERROR(tabItens[[#This Row],[ATA DT.VALID.]] - $D$1,0) / 30,0)</f>
        <v>-1504</v>
      </c>
      <c r="U492" s="287" t="s">
        <v>1305</v>
      </c>
      <c r="V492" s="303">
        <v>1</v>
      </c>
      <c r="W492" s="304" t="s">
        <v>2049</v>
      </c>
      <c r="X492" s="305">
        <v>51</v>
      </c>
      <c r="Y492" s="306">
        <v>19</v>
      </c>
      <c r="Z492" s="307"/>
      <c r="AA492" s="308"/>
      <c r="AB492" s="309"/>
      <c r="AC492" s="309"/>
      <c r="AD492" s="308"/>
      <c r="AE492" s="309"/>
      <c r="AF492" s="302"/>
      <c r="AG492" s="310" t="s">
        <v>2050</v>
      </c>
      <c r="AH492" s="311"/>
      <c r="AI492" s="302">
        <v>14</v>
      </c>
      <c r="AJ492" s="311">
        <v>43731</v>
      </c>
      <c r="AK492" s="311">
        <v>43172</v>
      </c>
      <c r="AL492" s="311">
        <v>43720</v>
      </c>
      <c r="AM492" s="301"/>
      <c r="AN492" s="290"/>
      <c r="AO492" s="312" t="str">
        <f>_xlfn.IFNA(IF(VLOOKUP(tabItens[[#This Row],[CÓDIGO]],tabExcluirDoEstoque[#Data],1,FALSE),"sim",""),"")</f>
        <v/>
      </c>
      <c r="AP492" s="313" t="str">
        <f ca="1">IF(OR(ISBLANK(tabItens[[#This Row],[ATA DT.VALID.]]),tabItens[[#This Row],[ATA DT.VALID.]]="",tabItens[[#This Row],[ATA DT.VALID.]]=" "),"",IF(TYPE(tabItens[[#This Row],[ATA DT.VALID.]])=1,ROUNDUP((tabItens[[#This Row],[ATA DT.VALID.]]-TODAY())/7,0),""))</f>
        <v/>
      </c>
      <c r="AQ492" s="314">
        <v>0</v>
      </c>
      <c r="AR492" s="315" t="str">
        <f>IF(ISBLANK(tabItens[[#This Row],[CÓDIGO]]),"",IFERROR(VLOOKUP(tabItens[[#This Row],[CÓDIGO]],Consumo!$C$2:$AC$869,26,FALSE),0))</f>
        <v>07.2023</v>
      </c>
      <c r="AS492" s="316">
        <f>SUMIF(Consumo!$C$3:$C$869,tabItens[[#This Row],[CÓDIGO]],Consumo!$N$3:$N$869) + SUMIF(Consumo!$C$3:$C$869,tabItens[[#This Row],[CÓDIGO]],Consumo!$O$3:$O$869) + SUMIF(Consumo!$C$3:$C$869,tabItens[[#This Row],[CÓDIGO]],Consumo!$P$3:$P$869) + SUMIF(Consumo!$C$3:$C$869,tabItens[[#This Row],[CÓDIGO]],Consumo!$Q$3:$Q$869)</f>
        <v>21</v>
      </c>
      <c r="AT492" s="316">
        <f>SUMIF(Consumo!$C$3:$C$869,tabItens[[#This Row],[CÓDIGO]],Consumo!$Z$3:$Z$869)</f>
        <v>43</v>
      </c>
      <c r="AU492" s="317">
        <f>SUMIF(Consumo!$C$3:$C$869,tabItens[[#This Row],[CÓDIGO]],Consumo!$AA$3:$AA$869)</f>
        <v>22</v>
      </c>
      <c r="AV492" s="318">
        <f>SUMIF(Consumo!$C$3:$C$869,tabItens[[#This Row],[CÓDIGO]],Consumo!$Y$3:$Y$869)</f>
        <v>3.3333333333333335</v>
      </c>
      <c r="AW492" s="291">
        <f>tabItens[[#This Row],[QTDE ATUAL]] + tabItens[[#This Row],[RC QTDE]] + tabItens[[#This Row],[AF SALDO]] + tabItens[[#This Row],[Recentes]]</f>
        <v>894.81</v>
      </c>
      <c r="AX492" s="319">
        <v>83</v>
      </c>
      <c r="AY492" s="319">
        <v>4</v>
      </c>
      <c r="AZ492" s="319">
        <f>IF(ISBLANK(tabItens[[#This Row],[CÓDIGO]]),"",tabItens[[#This Row],[PontoMês]] * (AZ$2+tabItens[[#This Row],[PontoQtM]]))</f>
        <v>332</v>
      </c>
      <c r="BA492" s="318">
        <f>tabItens[[#This Row],[PontoPed]] - tabItens[[#This Row],[Saldo]] + (1/10)</f>
        <v>-562.70999999999992</v>
      </c>
      <c r="BB492" s="318">
        <f xml:space="preserve"> tabItens[[#This Row],[PontoMês]] * BB$2 - tabItens[[#This Row],[QTDE ATUAL]] - (1/10)</f>
        <v>-811.91</v>
      </c>
      <c r="BC492" s="320">
        <f>IF( tabItens[[#This Row],[PontoPed]]&gt;0, IF(tabItens[[#This Row],[PontoPed]]&lt;1, 1, IF( tabItens[[#This Row],[Saldo]]&gt;tabItens[[#This Row],[PontoPed]], 0, (tabItens[[#This Row],[PontoPed]]-tabItens[[#This Row],[Saldo]])/tabItens[[#This Row],[PontoPed]] ) ), 0 )</f>
        <v>0</v>
      </c>
      <c r="BD492" s="321">
        <f>ROUNDDOWN(IF( OR( AND(tabItens[[#This Row],[PontoPed]]&lt;tabItens[[#This Row],[Saldo]],tabItens[[#This Row],[Saldo]]&gt;0), tabItens[[#This Row],[PontoPed]]=0), 99, IF(AND(tabItens[[#This Row],[Saldo]]=0,tabItens[[#This Row],[PontoPed]]&gt;0), 0, (1-tabItens[[#This Row],[PctAb]])*10 ) ),0)</f>
        <v>99</v>
      </c>
      <c r="BE492" s="322">
        <f>MAX(ROUNDDOWN( IF(tabItens[[#This Row],[Abaixo]] &gt; 0,   tabItens[[#This Row],[Abaixo]] + (tabItens[[#This Row],[PontoMês]] * IF( OR( ISBLANK(tabItens[[#This Row],[ATA Nº/ANO]]), tabItens[[#This Row],[ATA Nº/ANO]] = ""),BE$2,BE$1)),0),0),0)</f>
        <v>0</v>
      </c>
      <c r="BF49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23">
        <f>SUMIF(Consumo!$C$3:$C$869,tabItens[[#This Row],[CÓDIGO]],Consumo!$E$3:$E$869)</f>
        <v>0</v>
      </c>
      <c r="BH492" s="324">
        <f>IF(AND(tabItens[[#This Row],[Pend]] &gt; 0,tabItens[[#This Row],[Consumo]] &lt;&gt; 0), tabItens[[#This Row],[Pend]] / tabItens[[#This Row],[Consumo]], 0 )</f>
        <v>0</v>
      </c>
      <c r="BI492" s="323"/>
      <c r="BJ492" s="323"/>
      <c r="BK492" s="325" t="s">
        <v>2064</v>
      </c>
    </row>
    <row r="493" spans="1:63" hidden="1" x14ac:dyDescent="0.3">
      <c r="A493" s="286">
        <v>134544</v>
      </c>
      <c r="B493" s="287" t="s">
        <v>1871</v>
      </c>
      <c r="C493" s="288" t="s">
        <v>629</v>
      </c>
      <c r="D493" s="289">
        <v>21.66</v>
      </c>
      <c r="E493" s="290"/>
      <c r="F493" s="290"/>
      <c r="G493" s="290" t="s">
        <v>883</v>
      </c>
      <c r="H493" s="291">
        <v>847.3</v>
      </c>
      <c r="I493" s="292">
        <v>103003</v>
      </c>
      <c r="J493" s="293">
        <v>21.66</v>
      </c>
      <c r="K493" s="294">
        <v>1179</v>
      </c>
      <c r="L493" s="295">
        <f>IF(tabItens[[#This Row],[Média]] &gt; 0, tabItens[[#This Row],[QTDE ATUAL]] / tabItens[[#This Row],[Média]],999.9)</f>
        <v>8.1601926163723917</v>
      </c>
      <c r="M493" s="296">
        <v>0</v>
      </c>
      <c r="N493" s="297">
        <f>tabItens[[#This Row],[VALOR UNIT.]] * tabItens[[#This Row],[LC]]</f>
        <v>0</v>
      </c>
      <c r="O493" s="298" t="s">
        <v>2178</v>
      </c>
      <c r="P493" s="299"/>
      <c r="Q493" s="300"/>
      <c r="R493" s="297"/>
      <c r="S493" s="301"/>
      <c r="T493" s="302">
        <f>ROUNDDOWN(IFERROR(tabItens[[#This Row],[ATA DT.VALID.]] - $D$1,0) / 30,0)</f>
        <v>-1504</v>
      </c>
      <c r="U493" s="287" t="s">
        <v>1723</v>
      </c>
      <c r="V493" s="303">
        <v>1</v>
      </c>
      <c r="W493" s="304" t="s">
        <v>2049</v>
      </c>
      <c r="X493" s="305">
        <v>51</v>
      </c>
      <c r="Y493" s="306">
        <v>21</v>
      </c>
      <c r="Z493" s="307">
        <v>2668</v>
      </c>
      <c r="AA493" s="308">
        <v>2023</v>
      </c>
      <c r="AB493" s="309">
        <v>2000</v>
      </c>
      <c r="AC493" s="309"/>
      <c r="AD493" s="308"/>
      <c r="AE493" s="309"/>
      <c r="AF493" s="302"/>
      <c r="AG493" s="310" t="s">
        <v>2050</v>
      </c>
      <c r="AH493" s="311"/>
      <c r="AI493" s="302">
        <v>416</v>
      </c>
      <c r="AJ493" s="311">
        <v>44365</v>
      </c>
      <c r="AK493" s="311">
        <v>43172</v>
      </c>
      <c r="AL493" s="311">
        <v>44357</v>
      </c>
      <c r="AM493" s="301"/>
      <c r="AN493" s="290"/>
      <c r="AO493" s="312" t="str">
        <f>_xlfn.IFNA(IF(VLOOKUP(tabItens[[#This Row],[CÓDIGO]],tabExcluirDoEstoque[#Data],1,FALSE),"sim",""),"")</f>
        <v/>
      </c>
      <c r="AP493" s="313" t="str">
        <f ca="1">IF(OR(ISBLANK(tabItens[[#This Row],[ATA DT.VALID.]]),tabItens[[#This Row],[ATA DT.VALID.]]="",tabItens[[#This Row],[ATA DT.VALID.]]=" "),"",IF(TYPE(tabItens[[#This Row],[ATA DT.VALID.]])=1,ROUNDUP((tabItens[[#This Row],[ATA DT.VALID.]]-TODAY())/7,0),""))</f>
        <v/>
      </c>
      <c r="AQ493" s="314">
        <v>0</v>
      </c>
      <c r="AR493" s="315" t="str">
        <f>IF(ISBLANK(tabItens[[#This Row],[CÓDIGO]]),"",IFERROR(VLOOKUP(tabItens[[#This Row],[CÓDIGO]],Consumo!$C$2:$AC$869,26,FALSE),0))</f>
        <v>07.2023</v>
      </c>
      <c r="AS493" s="316">
        <f>SUMIF(Consumo!$C$3:$C$869,tabItens[[#This Row],[CÓDIGO]],Consumo!$N$3:$N$869) + SUMIF(Consumo!$C$3:$C$869,tabItens[[#This Row],[CÓDIGO]],Consumo!$O$3:$O$869) + SUMIF(Consumo!$C$3:$C$869,tabItens[[#This Row],[CÓDIGO]],Consumo!$P$3:$P$869) + SUMIF(Consumo!$C$3:$C$869,tabItens[[#This Row],[CÓDIGO]],Consumo!$Q$3:$Q$869)</f>
        <v>32</v>
      </c>
      <c r="AT493" s="316">
        <f>SUMIF(Consumo!$C$3:$C$869,tabItens[[#This Row],[CÓDIGO]],Consumo!$Z$3:$Z$869)</f>
        <v>1246</v>
      </c>
      <c r="AU493" s="317">
        <f>SUMIF(Consumo!$C$3:$C$869,tabItens[[#This Row],[CÓDIGO]],Consumo!$AA$3:$AA$869)</f>
        <v>316</v>
      </c>
      <c r="AV493" s="318">
        <f>SUMIF(Consumo!$C$3:$C$869,tabItens[[#This Row],[CÓDIGO]],Consumo!$Y$3:$Y$869)</f>
        <v>103.83333333333333</v>
      </c>
      <c r="AW493" s="291">
        <f>tabItens[[#This Row],[QTDE ATUAL]] + tabItens[[#This Row],[RC QTDE]] + tabItens[[#This Row],[AF SALDO]] + tabItens[[#This Row],[Recentes]]</f>
        <v>2847.3</v>
      </c>
      <c r="AX493" s="319">
        <v>125</v>
      </c>
      <c r="AY493" s="319">
        <v>4</v>
      </c>
      <c r="AZ493" s="319">
        <f>IF(ISBLANK(tabItens[[#This Row],[CÓDIGO]]),"",tabItens[[#This Row],[PontoMês]] * (AZ$2+tabItens[[#This Row],[PontoQtM]]))</f>
        <v>500</v>
      </c>
      <c r="BA493" s="318">
        <f>tabItens[[#This Row],[PontoPed]] - tabItens[[#This Row],[Saldo]] + (1/10)</f>
        <v>-2347.2000000000003</v>
      </c>
      <c r="BB493" s="318">
        <f xml:space="preserve"> tabItens[[#This Row],[PontoMês]] * BB$2 - tabItens[[#This Row],[QTDE ATUAL]] - (1/10)</f>
        <v>-722.4</v>
      </c>
      <c r="BC493" s="320">
        <f>IF( tabItens[[#This Row],[PontoPed]]&gt;0, IF(tabItens[[#This Row],[PontoPed]]&lt;1, 1, IF( tabItens[[#This Row],[Saldo]]&gt;tabItens[[#This Row],[PontoPed]], 0, (tabItens[[#This Row],[PontoPed]]-tabItens[[#This Row],[Saldo]])/tabItens[[#This Row],[PontoPed]] ) ), 0 )</f>
        <v>0</v>
      </c>
      <c r="BD493" s="321">
        <f>ROUNDDOWN(IF( OR( AND(tabItens[[#This Row],[PontoPed]]&lt;tabItens[[#This Row],[Saldo]],tabItens[[#This Row],[Saldo]]&gt;0), tabItens[[#This Row],[PontoPed]]=0), 99, IF(AND(tabItens[[#This Row],[Saldo]]=0,tabItens[[#This Row],[PontoPed]]&gt;0), 0, (1-tabItens[[#This Row],[PctAb]])*10 ) ),0)</f>
        <v>99</v>
      </c>
      <c r="BE493" s="322">
        <f>MAX(ROUNDDOWN( IF(tabItens[[#This Row],[Abaixo]] &gt; 0,   tabItens[[#This Row],[Abaixo]] + (tabItens[[#This Row],[PontoMês]] * IF( OR( ISBLANK(tabItens[[#This Row],[ATA Nº/ANO]]), tabItens[[#This Row],[ATA Nº/ANO]] = ""),BE$2,BE$1)),0),0),0)</f>
        <v>0</v>
      </c>
      <c r="BF4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23">
        <f>SUMIF(Consumo!$C$3:$C$869,tabItens[[#This Row],[CÓDIGO]],Consumo!$E$3:$E$869)</f>
        <v>0</v>
      </c>
      <c r="BH493" s="324">
        <f>IF(AND(tabItens[[#This Row],[Pend]] &gt; 0,tabItens[[#This Row],[Consumo]] &lt;&gt; 0), tabItens[[#This Row],[Pend]] / tabItens[[#This Row],[Consumo]], 0 )</f>
        <v>0</v>
      </c>
      <c r="BI493" s="323"/>
      <c r="BJ493" s="323"/>
      <c r="BK493" s="325" t="s">
        <v>2064</v>
      </c>
    </row>
    <row r="494" spans="1:63" hidden="1" x14ac:dyDescent="0.3">
      <c r="A494" s="286">
        <v>12835</v>
      </c>
      <c r="B494" s="287" t="s">
        <v>968</v>
      </c>
      <c r="C494" s="288" t="s">
        <v>256</v>
      </c>
      <c r="D494" s="289">
        <v>0.62</v>
      </c>
      <c r="E494" s="290"/>
      <c r="F494" s="290"/>
      <c r="G494" s="290" t="s">
        <v>883</v>
      </c>
      <c r="H494" s="291">
        <v>209</v>
      </c>
      <c r="I494" s="292">
        <v>103003</v>
      </c>
      <c r="J494" s="293">
        <v>0.62</v>
      </c>
      <c r="K494" s="294">
        <v>242</v>
      </c>
      <c r="L494" s="295">
        <f>IF(tabItens[[#This Row],[Média]] &gt; 0, tabItens[[#This Row],[QTDE ATUAL]] / tabItens[[#This Row],[Média]],999.9)</f>
        <v>10.582278481012658</v>
      </c>
      <c r="M494" s="296">
        <v>0</v>
      </c>
      <c r="N494" s="297">
        <f>tabItens[[#This Row],[VALOR UNIT.]] * tabItens[[#This Row],[LC]]</f>
        <v>0</v>
      </c>
      <c r="O494" s="298" t="s">
        <v>2076</v>
      </c>
      <c r="P494" s="299"/>
      <c r="Q494" s="300"/>
      <c r="R494" s="297"/>
      <c r="S494" s="301"/>
      <c r="T494" s="302">
        <f>ROUNDDOWN(IFERROR(tabItens[[#This Row],[ATA DT.VALID.]] - $D$1,0) / 30,0)</f>
        <v>-1504</v>
      </c>
      <c r="U494" s="287" t="s">
        <v>964</v>
      </c>
      <c r="V494" s="303">
        <v>1</v>
      </c>
      <c r="W494" s="304" t="s">
        <v>2054</v>
      </c>
      <c r="X494" s="305">
        <v>61</v>
      </c>
      <c r="Y494" s="306">
        <v>8</v>
      </c>
      <c r="Z494" s="307">
        <v>2453</v>
      </c>
      <c r="AA494" s="308">
        <v>2023</v>
      </c>
      <c r="AB494" s="309">
        <v>300</v>
      </c>
      <c r="AC494" s="309"/>
      <c r="AD494" s="308"/>
      <c r="AE494" s="309"/>
      <c r="AF494" s="302"/>
      <c r="AG494" s="310" t="s">
        <v>2050</v>
      </c>
      <c r="AH494" s="311"/>
      <c r="AI494" s="302">
        <v>86</v>
      </c>
      <c r="AJ494" s="311">
        <v>44530</v>
      </c>
      <c r="AK494" s="311" t="s">
        <v>883</v>
      </c>
      <c r="AL494" s="311">
        <v>44722</v>
      </c>
      <c r="AM494" s="301"/>
      <c r="AN494" s="290"/>
      <c r="AO494" s="312" t="str">
        <f>_xlfn.IFNA(IF(VLOOKUP(tabItens[[#This Row],[CÓDIGO]],tabExcluirDoEstoque[#Data],1,FALSE),"sim",""),"")</f>
        <v/>
      </c>
      <c r="AP494" s="313" t="str">
        <f ca="1">IF(OR(ISBLANK(tabItens[[#This Row],[ATA DT.VALID.]]),tabItens[[#This Row],[ATA DT.VALID.]]="",tabItens[[#This Row],[ATA DT.VALID.]]=" "),"",IF(TYPE(tabItens[[#This Row],[ATA DT.VALID.]])=1,ROUNDUP((tabItens[[#This Row],[ATA DT.VALID.]]-TODAY())/7,0),""))</f>
        <v/>
      </c>
      <c r="AQ494" s="314">
        <v>0</v>
      </c>
      <c r="AR494" s="315" t="str">
        <f>IF(ISBLANK(tabItens[[#This Row],[CÓDIGO]]),"",IFERROR(VLOOKUP(tabItens[[#This Row],[CÓDIGO]],Consumo!$C$2:$AC$869,26,FALSE),0))</f>
        <v>05.2023</v>
      </c>
      <c r="AS494" s="316">
        <f>SUMIF(Consumo!$C$3:$C$869,tabItens[[#This Row],[CÓDIGO]],Consumo!$N$3:$N$869) + SUMIF(Consumo!$C$3:$C$869,tabItens[[#This Row],[CÓDIGO]],Consumo!$O$3:$O$869) + SUMIF(Consumo!$C$3:$C$869,tabItens[[#This Row],[CÓDIGO]],Consumo!$P$3:$P$869) + SUMIF(Consumo!$C$3:$C$869,tabItens[[#This Row],[CÓDIGO]],Consumo!$Q$3:$Q$869)</f>
        <v>145</v>
      </c>
      <c r="AT494" s="316">
        <f>SUMIF(Consumo!$C$3:$C$869,tabItens[[#This Row],[CÓDIGO]],Consumo!$Z$3:$Z$869)</f>
        <v>258</v>
      </c>
      <c r="AU494" s="317">
        <f>SUMIF(Consumo!$C$3:$C$869,tabItens[[#This Row],[CÓDIGO]],Consumo!$AA$3:$AA$869)</f>
        <v>100</v>
      </c>
      <c r="AV494" s="318">
        <f>SUMIF(Consumo!$C$3:$C$869,tabItens[[#This Row],[CÓDIGO]],Consumo!$Y$3:$Y$869)</f>
        <v>19.75</v>
      </c>
      <c r="AW494" s="291">
        <f>tabItens[[#This Row],[QTDE ATUAL]] + tabItens[[#This Row],[RC QTDE]] + tabItens[[#This Row],[AF SALDO]] + tabItens[[#This Row],[Recentes]]</f>
        <v>509</v>
      </c>
      <c r="AX494" s="319">
        <v>40</v>
      </c>
      <c r="AY494" s="319">
        <v>4</v>
      </c>
      <c r="AZ494" s="319">
        <f>IF(ISBLANK(tabItens[[#This Row],[CÓDIGO]]),"",tabItens[[#This Row],[PontoMês]] * (AZ$2+tabItens[[#This Row],[PontoQtM]]))</f>
        <v>160</v>
      </c>
      <c r="BA494" s="318">
        <f>tabItens[[#This Row],[PontoPed]] - tabItens[[#This Row],[Saldo]] + (1/10)</f>
        <v>-348.9</v>
      </c>
      <c r="BB494" s="318">
        <f xml:space="preserve"> tabItens[[#This Row],[PontoMês]] * BB$2 - tabItens[[#This Row],[QTDE ATUAL]] - (1/10)</f>
        <v>-169.1</v>
      </c>
      <c r="BC494" s="320">
        <f>IF( tabItens[[#This Row],[PontoPed]]&gt;0, IF(tabItens[[#This Row],[PontoPed]]&lt;1, 1, IF( tabItens[[#This Row],[Saldo]]&gt;tabItens[[#This Row],[PontoPed]], 0, (tabItens[[#This Row],[PontoPed]]-tabItens[[#This Row],[Saldo]])/tabItens[[#This Row],[PontoPed]] ) ), 0 )</f>
        <v>0</v>
      </c>
      <c r="BD494" s="321">
        <f>ROUNDDOWN(IF( OR( AND(tabItens[[#This Row],[PontoPed]]&lt;tabItens[[#This Row],[Saldo]],tabItens[[#This Row],[Saldo]]&gt;0), tabItens[[#This Row],[PontoPed]]=0), 99, IF(AND(tabItens[[#This Row],[Saldo]]=0,tabItens[[#This Row],[PontoPed]]&gt;0), 0, (1-tabItens[[#This Row],[PctAb]])*10 ) ),0)</f>
        <v>99</v>
      </c>
      <c r="BE494" s="322">
        <f>MAX(ROUNDDOWN( IF(tabItens[[#This Row],[Abaixo]] &gt; 0,   tabItens[[#This Row],[Abaixo]] + (tabItens[[#This Row],[PontoMês]] * IF( OR( ISBLANK(tabItens[[#This Row],[ATA Nº/ANO]]), tabItens[[#This Row],[ATA Nº/ANO]] = ""),BE$2,BE$1)),0),0),0)</f>
        <v>0</v>
      </c>
      <c r="BF4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23">
        <f>SUMIF(Consumo!$C$3:$C$869,tabItens[[#This Row],[CÓDIGO]],Consumo!$E$3:$E$869)</f>
        <v>0</v>
      </c>
      <c r="BH494" s="324">
        <f>IF(AND(tabItens[[#This Row],[Pend]] &gt; 0,tabItens[[#This Row],[Consumo]] &lt;&gt; 0), tabItens[[#This Row],[Pend]] / tabItens[[#This Row],[Consumo]], 0 )</f>
        <v>0</v>
      </c>
      <c r="BI494" s="323"/>
      <c r="BJ494" s="323"/>
      <c r="BK494" s="325" t="s">
        <v>2064</v>
      </c>
    </row>
    <row r="495" spans="1:63" hidden="1" x14ac:dyDescent="0.3">
      <c r="A495" s="286">
        <v>135414</v>
      </c>
      <c r="B495" s="287" t="s">
        <v>1906</v>
      </c>
      <c r="C495" s="288" t="s">
        <v>256</v>
      </c>
      <c r="D495" s="289">
        <v>43.67</v>
      </c>
      <c r="E495" s="290"/>
      <c r="F495" s="290"/>
      <c r="G495" s="290" t="s">
        <v>883</v>
      </c>
      <c r="H495" s="291">
        <v>322</v>
      </c>
      <c r="I495" s="292">
        <v>103003</v>
      </c>
      <c r="J495" s="293">
        <v>43.67</v>
      </c>
      <c r="K495" s="294">
        <v>215</v>
      </c>
      <c r="L495" s="295">
        <f>IF(tabItens[[#This Row],[Média]] &gt; 0, tabItens[[#This Row],[QTDE ATUAL]] / tabItens[[#This Row],[Média]],999.9)</f>
        <v>13.510489510489512</v>
      </c>
      <c r="M495" s="296">
        <v>0</v>
      </c>
      <c r="N495" s="297">
        <f>tabItens[[#This Row],[VALOR UNIT.]] * tabItens[[#This Row],[LC]]</f>
        <v>0</v>
      </c>
      <c r="O495" s="298" t="s">
        <v>2076</v>
      </c>
      <c r="P495" s="299"/>
      <c r="Q495" s="300"/>
      <c r="R495" s="297"/>
      <c r="S495" s="301"/>
      <c r="T495" s="302">
        <f>ROUNDDOWN(IFERROR(tabItens[[#This Row],[ATA DT.VALID.]] - $D$1,0) / 30,0)</f>
        <v>-1504</v>
      </c>
      <c r="U495" s="287" t="s">
        <v>1013</v>
      </c>
      <c r="V495" s="303">
        <v>1</v>
      </c>
      <c r="W495" s="304" t="s">
        <v>2054</v>
      </c>
      <c r="X495" s="305">
        <v>61</v>
      </c>
      <c r="Y495" s="306">
        <v>14</v>
      </c>
      <c r="Z495" s="307">
        <v>2232</v>
      </c>
      <c r="AA495" s="308">
        <v>2023</v>
      </c>
      <c r="AB495" s="309">
        <v>200</v>
      </c>
      <c r="AC495" s="309"/>
      <c r="AD495" s="308"/>
      <c r="AE495" s="309"/>
      <c r="AF495" s="302"/>
      <c r="AG495" s="310" t="s">
        <v>2050</v>
      </c>
      <c r="AH495" s="311"/>
      <c r="AI495" s="302">
        <v>72</v>
      </c>
      <c r="AJ495" s="311">
        <v>45051</v>
      </c>
      <c r="AK495" s="311">
        <v>43294</v>
      </c>
      <c r="AL495" s="311">
        <v>44942</v>
      </c>
      <c r="AM495" s="301"/>
      <c r="AN495" s="290"/>
      <c r="AO495" s="312" t="str">
        <f>_xlfn.IFNA(IF(VLOOKUP(tabItens[[#This Row],[CÓDIGO]],tabExcluirDoEstoque[#Data],1,FALSE),"sim",""),"")</f>
        <v/>
      </c>
      <c r="AP495" s="313" t="str">
        <f ca="1">IF(OR(ISBLANK(tabItens[[#This Row],[ATA DT.VALID.]]),tabItens[[#This Row],[ATA DT.VALID.]]="",tabItens[[#This Row],[ATA DT.VALID.]]=" "),"",IF(TYPE(tabItens[[#This Row],[ATA DT.VALID.]])=1,ROUNDUP((tabItens[[#This Row],[ATA DT.VALID.]]-TODAY())/7,0),""))</f>
        <v/>
      </c>
      <c r="AQ495" s="314">
        <v>0</v>
      </c>
      <c r="AR495" s="315" t="str">
        <f>IF(ISBLANK(tabItens[[#This Row],[CÓDIGO]]),"",IFERROR(VLOOKUP(tabItens[[#This Row],[CÓDIGO]],Consumo!$C$2:$AC$869,26,FALSE),0))</f>
        <v>06.2023</v>
      </c>
      <c r="AS495" s="316">
        <f>SUMIF(Consumo!$C$3:$C$869,tabItens[[#This Row],[CÓDIGO]],Consumo!$N$3:$N$869) + SUMIF(Consumo!$C$3:$C$869,tabItens[[#This Row],[CÓDIGO]],Consumo!$O$3:$O$869) + SUMIF(Consumo!$C$3:$C$869,tabItens[[#This Row],[CÓDIGO]],Consumo!$P$3:$P$869) + SUMIF(Consumo!$C$3:$C$869,tabItens[[#This Row],[CÓDIGO]],Consumo!$Q$3:$Q$869)</f>
        <v>78</v>
      </c>
      <c r="AT495" s="316">
        <f>SUMIF(Consumo!$C$3:$C$869,tabItens[[#This Row],[CÓDIGO]],Consumo!$Z$3:$Z$869)</f>
        <v>286</v>
      </c>
      <c r="AU495" s="317">
        <f>SUMIF(Consumo!$C$3:$C$869,tabItens[[#This Row],[CÓDIGO]],Consumo!$AA$3:$AA$869)</f>
        <v>53</v>
      </c>
      <c r="AV495" s="318">
        <f>SUMIF(Consumo!$C$3:$C$869,tabItens[[#This Row],[CÓDIGO]],Consumo!$Y$3:$Y$869)</f>
        <v>23.833333333333332</v>
      </c>
      <c r="AW495" s="291">
        <f>tabItens[[#This Row],[QTDE ATUAL]] + tabItens[[#This Row],[RC QTDE]] + tabItens[[#This Row],[AF SALDO]] + tabItens[[#This Row],[Recentes]]</f>
        <v>522</v>
      </c>
      <c r="AX495" s="319">
        <v>34</v>
      </c>
      <c r="AY495" s="319">
        <v>4</v>
      </c>
      <c r="AZ495" s="319">
        <f>IF(ISBLANK(tabItens[[#This Row],[CÓDIGO]]),"",tabItens[[#This Row],[PontoMês]] * (AZ$2+tabItens[[#This Row],[PontoQtM]]))</f>
        <v>136</v>
      </c>
      <c r="BA495" s="318">
        <f>tabItens[[#This Row],[PontoPed]] - tabItens[[#This Row],[Saldo]] + (1/10)</f>
        <v>-385.9</v>
      </c>
      <c r="BB495" s="318">
        <f xml:space="preserve"> tabItens[[#This Row],[PontoMês]] * BB$2 - tabItens[[#This Row],[QTDE ATUAL]] - (1/10)</f>
        <v>-288.10000000000002</v>
      </c>
      <c r="BC495" s="320">
        <f>IF( tabItens[[#This Row],[PontoPed]]&gt;0, IF(tabItens[[#This Row],[PontoPed]]&lt;1, 1, IF( tabItens[[#This Row],[Saldo]]&gt;tabItens[[#This Row],[PontoPed]], 0, (tabItens[[#This Row],[PontoPed]]-tabItens[[#This Row],[Saldo]])/tabItens[[#This Row],[PontoPed]] ) ), 0 )</f>
        <v>0</v>
      </c>
      <c r="BD495" s="321">
        <f>ROUNDDOWN(IF( OR( AND(tabItens[[#This Row],[PontoPed]]&lt;tabItens[[#This Row],[Saldo]],tabItens[[#This Row],[Saldo]]&gt;0), tabItens[[#This Row],[PontoPed]]=0), 99, IF(AND(tabItens[[#This Row],[Saldo]]=0,tabItens[[#This Row],[PontoPed]]&gt;0), 0, (1-tabItens[[#This Row],[PctAb]])*10 ) ),0)</f>
        <v>99</v>
      </c>
      <c r="BE495" s="322">
        <f>MAX(ROUNDDOWN( IF(tabItens[[#This Row],[Abaixo]] &gt; 0,   tabItens[[#This Row],[Abaixo]] + (tabItens[[#This Row],[PontoMês]] * IF( OR( ISBLANK(tabItens[[#This Row],[ATA Nº/ANO]]), tabItens[[#This Row],[ATA Nº/ANO]] = ""),BE$2,BE$1)),0),0),0)</f>
        <v>0</v>
      </c>
      <c r="BF4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23">
        <f>SUMIF(Consumo!$C$3:$C$869,tabItens[[#This Row],[CÓDIGO]],Consumo!$E$3:$E$869)</f>
        <v>71</v>
      </c>
      <c r="BH495" s="324">
        <f>IF(AND(tabItens[[#This Row],[Pend]] &gt; 0,tabItens[[#This Row],[Consumo]] &lt;&gt; 0), tabItens[[#This Row],[Pend]] / tabItens[[#This Row],[Consumo]], 0 )</f>
        <v>0.24825174825174826</v>
      </c>
      <c r="BI495" s="323"/>
      <c r="BJ495" s="323"/>
      <c r="BK495" s="325" t="s">
        <v>2064</v>
      </c>
    </row>
    <row r="496" spans="1:63" x14ac:dyDescent="0.3">
      <c r="A496" s="396">
        <v>136553</v>
      </c>
      <c r="B496" s="397" t="s">
        <v>1913</v>
      </c>
      <c r="C496" s="398" t="s">
        <v>256</v>
      </c>
      <c r="D496" s="399">
        <v>2.7</v>
      </c>
      <c r="E496" s="290"/>
      <c r="F496" s="400"/>
      <c r="G496" s="400" t="s">
        <v>883</v>
      </c>
      <c r="H496" s="401">
        <v>0</v>
      </c>
      <c r="I496" s="292">
        <v>103003</v>
      </c>
      <c r="J496" s="293">
        <v>2.7</v>
      </c>
      <c r="K496" s="402">
        <v>2469</v>
      </c>
      <c r="L496" s="403">
        <f>IF(tabItens[[#This Row],[Média]] &gt; 0, tabItens[[#This Row],[QTDE ATUAL]] / tabItens[[#This Row],[Média]],999.9)</f>
        <v>0</v>
      </c>
      <c r="M496" s="404">
        <v>0</v>
      </c>
      <c r="N496" s="405">
        <f>tabItens[[#This Row],[VALOR UNIT.]] * tabItens[[#This Row],[LC]]</f>
        <v>0</v>
      </c>
      <c r="O496" s="406" t="s">
        <v>2167</v>
      </c>
      <c r="P496" s="407"/>
      <c r="Q496" s="408"/>
      <c r="R496" s="297"/>
      <c r="S496" s="409"/>
      <c r="T496" s="410">
        <f>ROUNDDOWN(IFERROR(tabItens[[#This Row],[ATA DT.VALID.]] - $D$1,0) / 30,0)</f>
        <v>-1504</v>
      </c>
      <c r="U496" s="287" t="s">
        <v>1914</v>
      </c>
      <c r="V496" s="303">
        <v>1</v>
      </c>
      <c r="W496" s="411" t="s">
        <v>2049</v>
      </c>
      <c r="X496" s="412">
        <v>51</v>
      </c>
      <c r="Y496" s="413">
        <v>10</v>
      </c>
      <c r="Z496" s="414">
        <v>2669</v>
      </c>
      <c r="AA496" s="415">
        <v>2023</v>
      </c>
      <c r="AB496" s="416">
        <v>2000</v>
      </c>
      <c r="AC496" s="416"/>
      <c r="AD496" s="415"/>
      <c r="AE496" s="416"/>
      <c r="AF496" s="302"/>
      <c r="AG496" s="417" t="s">
        <v>2050</v>
      </c>
      <c r="AH496" s="418"/>
      <c r="AI496" s="302">
        <v>948</v>
      </c>
      <c r="AJ496" s="418">
        <v>44516</v>
      </c>
      <c r="AK496" s="311">
        <v>43518</v>
      </c>
      <c r="AL496" s="311">
        <v>44984</v>
      </c>
      <c r="AM496" s="301"/>
      <c r="AN496" s="290"/>
      <c r="AO496" s="312" t="str">
        <f>_xlfn.IFNA(IF(VLOOKUP(tabItens[[#This Row],[CÓDIGO]],tabExcluirDoEstoque[#Data],1,FALSE),"sim",""),"")</f>
        <v/>
      </c>
      <c r="AP496" s="419" t="str">
        <f ca="1">IF(OR(ISBLANK(tabItens[[#This Row],[ATA DT.VALID.]]),tabItens[[#This Row],[ATA DT.VALID.]]="",tabItens[[#This Row],[ATA DT.VALID.]]=" "),"",IF(TYPE(tabItens[[#This Row],[ATA DT.VALID.]])=1,ROUNDUP((tabItens[[#This Row],[ATA DT.VALID.]]-TODAY())/7,0),""))</f>
        <v/>
      </c>
      <c r="AQ496" s="314">
        <v>0</v>
      </c>
      <c r="AR496" s="315" t="str">
        <f>IF(ISBLANK(tabItens[[#This Row],[CÓDIGO]]),"",IFERROR(VLOOKUP(tabItens[[#This Row],[CÓDIGO]],Consumo!$C$2:$AC$869,26,FALSE),0))</f>
        <v>05.2023</v>
      </c>
      <c r="AS496" s="316">
        <f>SUMIF(Consumo!$C$3:$C$869,tabItens[[#This Row],[CÓDIGO]],Consumo!$N$3:$N$869) + SUMIF(Consumo!$C$3:$C$869,tabItens[[#This Row],[CÓDIGO]],Consumo!$O$3:$O$869) + SUMIF(Consumo!$C$3:$C$869,tabItens[[#This Row],[CÓDIGO]],Consumo!$P$3:$P$869) + SUMIF(Consumo!$C$3:$C$869,tabItens[[#This Row],[CÓDIGO]],Consumo!$Q$3:$Q$869)</f>
        <v>378</v>
      </c>
      <c r="AT496" s="316">
        <f>SUMIF(Consumo!$C$3:$C$869,tabItens[[#This Row],[CÓDIGO]],Consumo!$Z$3:$Z$869)</f>
        <v>3012</v>
      </c>
      <c r="AU496" s="317">
        <f>SUMIF(Consumo!$C$3:$C$869,tabItens[[#This Row],[CÓDIGO]],Consumo!$AA$3:$AA$869)</f>
        <v>580</v>
      </c>
      <c r="AV496" s="318">
        <f>SUMIF(Consumo!$C$3:$C$869,tabItens[[#This Row],[CÓDIGO]],Consumo!$Y$3:$Y$869)</f>
        <v>251</v>
      </c>
      <c r="AW496" s="401">
        <f>tabItens[[#This Row],[QTDE ATUAL]] + tabItens[[#This Row],[RC QTDE]] + tabItens[[#This Row],[AF SALDO]] + tabItens[[#This Row],[Recentes]]</f>
        <v>2000</v>
      </c>
      <c r="AX496" s="420">
        <v>478</v>
      </c>
      <c r="AY496" s="420">
        <v>4</v>
      </c>
      <c r="AZ496" s="420">
        <f>IF(ISBLANK(tabItens[[#This Row],[CÓDIGO]]),"",tabItens[[#This Row],[PontoMês]] * (AZ$2+tabItens[[#This Row],[PontoQtM]]))</f>
        <v>1912</v>
      </c>
      <c r="BA496" s="421">
        <f>tabItens[[#This Row],[PontoPed]] - tabItens[[#This Row],[Saldo]] + (1/10)</f>
        <v>-87.9</v>
      </c>
      <c r="BB496" s="421">
        <f xml:space="preserve"> tabItens[[#This Row],[PontoMês]] * BB$2 - tabItens[[#This Row],[QTDE ATUAL]] - (1/10)</f>
        <v>477.9</v>
      </c>
      <c r="BC496" s="320">
        <f>IF( tabItens[[#This Row],[PontoPed]]&gt;0, IF(tabItens[[#This Row],[PontoPed]]&lt;1, 1, IF( tabItens[[#This Row],[Saldo]]&gt;tabItens[[#This Row],[PontoPed]], 0, (tabItens[[#This Row],[PontoPed]]-tabItens[[#This Row],[Saldo]])/tabItens[[#This Row],[PontoPed]] ) ), 0 )</f>
        <v>0</v>
      </c>
      <c r="BD496" s="422">
        <f>ROUNDDOWN(IF( OR( AND(tabItens[[#This Row],[PontoPed]]&lt;tabItens[[#This Row],[Saldo]],tabItens[[#This Row],[Saldo]]&gt;0), tabItens[[#This Row],[PontoPed]]=0), 99, IF(AND(tabItens[[#This Row],[Saldo]]=0,tabItens[[#This Row],[PontoPed]]&gt;0), 0, (1-tabItens[[#This Row],[PctAb]])*10 ) ),0)</f>
        <v>99</v>
      </c>
      <c r="BE496" s="423">
        <f>MAX(ROUNDDOWN( IF(tabItens[[#This Row],[Abaixo]] &gt; 0,   tabItens[[#This Row],[Abaixo]] + (tabItens[[#This Row],[PontoMês]] * IF( OR( ISBLANK(tabItens[[#This Row],[ATA Nº/ANO]]), tabItens[[#This Row],[ATA Nº/ANO]] = ""),BE$2,BE$1)),0),0),0)</f>
        <v>0</v>
      </c>
      <c r="BF49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23">
        <f>SUMIF(Consumo!$C$3:$C$869,tabItens[[#This Row],[CÓDIGO]],Consumo!$E$3:$E$869)</f>
        <v>200</v>
      </c>
      <c r="BH496" s="324">
        <f>IF(AND(tabItens[[#This Row],[Pend]] &gt; 0,tabItens[[#This Row],[Consumo]] &lt;&gt; 0), tabItens[[#This Row],[Pend]] / tabItens[[#This Row],[Consumo]], 0 )</f>
        <v>6.6401062416998669E-2</v>
      </c>
      <c r="BI496" s="323"/>
      <c r="BJ496" s="424"/>
      <c r="BK496" s="425" t="s">
        <v>2064</v>
      </c>
    </row>
    <row r="497" spans="1:63" x14ac:dyDescent="0.3">
      <c r="A497" s="396">
        <v>136556</v>
      </c>
      <c r="B497" s="397" t="s">
        <v>1917</v>
      </c>
      <c r="C497" s="398" t="s">
        <v>256</v>
      </c>
      <c r="D497" s="399">
        <v>5.24</v>
      </c>
      <c r="E497" s="290"/>
      <c r="F497" s="400"/>
      <c r="G497" s="400" t="s">
        <v>883</v>
      </c>
      <c r="H497" s="401">
        <v>0</v>
      </c>
      <c r="I497" s="292">
        <v>103003</v>
      </c>
      <c r="J497" s="293">
        <v>5.24</v>
      </c>
      <c r="K497" s="402">
        <v>767</v>
      </c>
      <c r="L497" s="403">
        <f>IF(tabItens[[#This Row],[Média]] &gt; 0, tabItens[[#This Row],[QTDE ATUAL]] / tabItens[[#This Row],[Média]],999.9)</f>
        <v>0</v>
      </c>
      <c r="M497" s="404">
        <v>0</v>
      </c>
      <c r="N497" s="405">
        <f>tabItens[[#This Row],[VALOR UNIT.]] * tabItens[[#This Row],[LC]]</f>
        <v>0</v>
      </c>
      <c r="O497" s="406" t="s">
        <v>2167</v>
      </c>
      <c r="P497" s="407"/>
      <c r="Q497" s="408"/>
      <c r="R497" s="297"/>
      <c r="S497" s="409"/>
      <c r="T497" s="410">
        <f>ROUNDDOWN(IFERROR(tabItens[[#This Row],[ATA DT.VALID.]] - $D$1,0) / 30,0)</f>
        <v>-1504</v>
      </c>
      <c r="U497" s="287" t="s">
        <v>1914</v>
      </c>
      <c r="V497" s="303">
        <v>1</v>
      </c>
      <c r="W497" s="411" t="s">
        <v>2049</v>
      </c>
      <c r="X497" s="412">
        <v>51</v>
      </c>
      <c r="Y497" s="413">
        <v>10</v>
      </c>
      <c r="Z497" s="414">
        <v>2673</v>
      </c>
      <c r="AA497" s="415">
        <v>2023</v>
      </c>
      <c r="AB497" s="416">
        <v>2000</v>
      </c>
      <c r="AC497" s="416"/>
      <c r="AD497" s="415"/>
      <c r="AE497" s="416"/>
      <c r="AF497" s="302"/>
      <c r="AG497" s="417" t="s">
        <v>2050</v>
      </c>
      <c r="AH497" s="418"/>
      <c r="AI497" s="302">
        <v>342</v>
      </c>
      <c r="AJ497" s="418">
        <v>44946</v>
      </c>
      <c r="AK497" s="311">
        <v>43518</v>
      </c>
      <c r="AL497" s="311">
        <v>44922</v>
      </c>
      <c r="AM497" s="301"/>
      <c r="AN497" s="290"/>
      <c r="AO497" s="312" t="str">
        <f>_xlfn.IFNA(IF(VLOOKUP(tabItens[[#This Row],[CÓDIGO]],tabExcluirDoEstoque[#Data],1,FALSE),"sim",""),"")</f>
        <v/>
      </c>
      <c r="AP497" s="419" t="str">
        <f ca="1">IF(OR(ISBLANK(tabItens[[#This Row],[ATA DT.VALID.]]),tabItens[[#This Row],[ATA DT.VALID.]]="",tabItens[[#This Row],[ATA DT.VALID.]]=" "),"",IF(TYPE(tabItens[[#This Row],[ATA DT.VALID.]])=1,ROUNDUP((tabItens[[#This Row],[ATA DT.VALID.]]-TODAY())/7,0),""))</f>
        <v/>
      </c>
      <c r="AQ497" s="314">
        <v>0</v>
      </c>
      <c r="AR497" s="315" t="str">
        <f>IF(ISBLANK(tabItens[[#This Row],[CÓDIGO]]),"",IFERROR(VLOOKUP(tabItens[[#This Row],[CÓDIGO]],Consumo!$C$2:$AC$869,26,FALSE),0))</f>
        <v>04.2023</v>
      </c>
      <c r="AS497" s="316">
        <f>SUMIF(Consumo!$C$3:$C$869,tabItens[[#This Row],[CÓDIGO]],Consumo!$N$3:$N$869) + SUMIF(Consumo!$C$3:$C$869,tabItens[[#This Row],[CÓDIGO]],Consumo!$O$3:$O$869) + SUMIF(Consumo!$C$3:$C$869,tabItens[[#This Row],[CÓDIGO]],Consumo!$P$3:$P$869) + SUMIF(Consumo!$C$3:$C$869,tabItens[[#This Row],[CÓDIGO]],Consumo!$Q$3:$Q$869)</f>
        <v>144</v>
      </c>
      <c r="AT497" s="316">
        <f>SUMIF(Consumo!$C$3:$C$869,tabItens[[#This Row],[CÓDIGO]],Consumo!$Z$3:$Z$869)</f>
        <v>990</v>
      </c>
      <c r="AU497" s="317">
        <f>SUMIF(Consumo!$C$3:$C$869,tabItens[[#This Row],[CÓDIGO]],Consumo!$AA$3:$AA$869)</f>
        <v>144</v>
      </c>
      <c r="AV497" s="318">
        <f>SUMIF(Consumo!$C$3:$C$869,tabItens[[#This Row],[CÓDIGO]],Consumo!$Y$3:$Y$869)</f>
        <v>82.5</v>
      </c>
      <c r="AW497" s="401">
        <f>tabItens[[#This Row],[QTDE ATUAL]] + tabItens[[#This Row],[RC QTDE]] + tabItens[[#This Row],[AF SALDO]] + tabItens[[#This Row],[Recentes]]</f>
        <v>2000</v>
      </c>
      <c r="AX497" s="420">
        <v>89</v>
      </c>
      <c r="AY497" s="420">
        <v>4</v>
      </c>
      <c r="AZ497" s="420">
        <f>IF(ISBLANK(tabItens[[#This Row],[CÓDIGO]]),"",tabItens[[#This Row],[PontoMês]] * (AZ$2+tabItens[[#This Row],[PontoQtM]]))</f>
        <v>356</v>
      </c>
      <c r="BA497" s="421">
        <f>tabItens[[#This Row],[PontoPed]] - tabItens[[#This Row],[Saldo]] + (1/10)</f>
        <v>-1643.9</v>
      </c>
      <c r="BB497" s="421">
        <f xml:space="preserve"> tabItens[[#This Row],[PontoMês]] * BB$2 - tabItens[[#This Row],[QTDE ATUAL]] - (1/10)</f>
        <v>88.9</v>
      </c>
      <c r="BC497" s="320">
        <f>IF( tabItens[[#This Row],[PontoPed]]&gt;0, IF(tabItens[[#This Row],[PontoPed]]&lt;1, 1, IF( tabItens[[#This Row],[Saldo]]&gt;tabItens[[#This Row],[PontoPed]], 0, (tabItens[[#This Row],[PontoPed]]-tabItens[[#This Row],[Saldo]])/tabItens[[#This Row],[PontoPed]] ) ), 0 )</f>
        <v>0</v>
      </c>
      <c r="BD497" s="422">
        <f>ROUNDDOWN(IF( OR( AND(tabItens[[#This Row],[PontoPed]]&lt;tabItens[[#This Row],[Saldo]],tabItens[[#This Row],[Saldo]]&gt;0), tabItens[[#This Row],[PontoPed]]=0), 99, IF(AND(tabItens[[#This Row],[Saldo]]=0,tabItens[[#This Row],[PontoPed]]&gt;0), 0, (1-tabItens[[#This Row],[PctAb]])*10 ) ),0)</f>
        <v>99</v>
      </c>
      <c r="BE497" s="423">
        <f>MAX(ROUNDDOWN( IF(tabItens[[#This Row],[Abaixo]] &gt; 0,   tabItens[[#This Row],[Abaixo]] + (tabItens[[#This Row],[PontoMês]] * IF( OR( ISBLANK(tabItens[[#This Row],[ATA Nº/ANO]]), tabItens[[#This Row],[ATA Nº/ANO]] = ""),BE$2,BE$1)),0),0),0)</f>
        <v>0</v>
      </c>
      <c r="BF49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23">
        <f>SUMIF(Consumo!$C$3:$C$869,tabItens[[#This Row],[CÓDIGO]],Consumo!$E$3:$E$869)</f>
        <v>97</v>
      </c>
      <c r="BH497" s="324">
        <f>IF(AND(tabItens[[#This Row],[Pend]] &gt; 0,tabItens[[#This Row],[Consumo]] &lt;&gt; 0), tabItens[[#This Row],[Pend]] / tabItens[[#This Row],[Consumo]], 0 )</f>
        <v>9.7979797979797986E-2</v>
      </c>
      <c r="BI497" s="323"/>
      <c r="BJ497" s="424"/>
      <c r="BK497" s="425" t="s">
        <v>2064</v>
      </c>
    </row>
    <row r="498" spans="1:63" hidden="1" x14ac:dyDescent="0.3">
      <c r="A498" s="286">
        <v>122818</v>
      </c>
      <c r="B498" s="287" t="s">
        <v>1744</v>
      </c>
      <c r="C498" s="288" t="s">
        <v>629</v>
      </c>
      <c r="D498" s="289">
        <v>319.89999999999998</v>
      </c>
      <c r="E498" s="290"/>
      <c r="F498" s="290"/>
      <c r="G498" s="290" t="s">
        <v>883</v>
      </c>
      <c r="H498" s="291">
        <v>2413.25</v>
      </c>
      <c r="I498" s="292">
        <v>103003</v>
      </c>
      <c r="J498" s="293">
        <v>319.89999999999998</v>
      </c>
      <c r="K498" s="294">
        <v>457</v>
      </c>
      <c r="L498" s="295">
        <f>IF(tabItens[[#This Row],[Média]] &gt; 0, tabItens[[#This Row],[QTDE ATUAL]] / tabItens[[#This Row],[Média]],999.9)</f>
        <v>77.430481283422452</v>
      </c>
      <c r="M498" s="296">
        <v>0</v>
      </c>
      <c r="N498" s="297">
        <f>tabItens[[#This Row],[VALOR UNIT.]] * tabItens[[#This Row],[LC]]</f>
        <v>0</v>
      </c>
      <c r="O498" s="298" t="s">
        <v>2167</v>
      </c>
      <c r="P498" s="299"/>
      <c r="Q498" s="300"/>
      <c r="R498" s="297"/>
      <c r="S498" s="301"/>
      <c r="T498" s="302">
        <f>ROUNDDOWN(IFERROR(tabItens[[#This Row],[ATA DT.VALID.]] - $D$1,0) / 30,0)</f>
        <v>-1504</v>
      </c>
      <c r="U498" s="287" t="s">
        <v>1723</v>
      </c>
      <c r="V498" s="303">
        <v>1</v>
      </c>
      <c r="W498" s="304" t="s">
        <v>2049</v>
      </c>
      <c r="X498" s="305">
        <v>51</v>
      </c>
      <c r="Y498" s="306">
        <v>21</v>
      </c>
      <c r="Z498" s="307"/>
      <c r="AA498" s="308"/>
      <c r="AB498" s="309"/>
      <c r="AC498" s="309"/>
      <c r="AD498" s="308"/>
      <c r="AE498" s="309"/>
      <c r="AF498" s="302"/>
      <c r="AG498" s="310" t="s">
        <v>2050</v>
      </c>
      <c r="AH498" s="311"/>
      <c r="AI498" s="302">
        <v>152</v>
      </c>
      <c r="AJ498" s="311">
        <v>44553</v>
      </c>
      <c r="AK498" s="311">
        <v>41003</v>
      </c>
      <c r="AL498" s="311">
        <v>44412</v>
      </c>
      <c r="AM498" s="301"/>
      <c r="AN498" s="290"/>
      <c r="AO498" s="312" t="str">
        <f>_xlfn.IFNA(IF(VLOOKUP(tabItens[[#This Row],[CÓDIGO]],tabExcluirDoEstoque[#Data],1,FALSE),"sim",""),"")</f>
        <v/>
      </c>
      <c r="AP498" s="313" t="str">
        <f ca="1">IF(OR(ISBLANK(tabItens[[#This Row],[ATA DT.VALID.]]),tabItens[[#This Row],[ATA DT.VALID.]]="",tabItens[[#This Row],[ATA DT.VALID.]]=" "),"",IF(TYPE(tabItens[[#This Row],[ATA DT.VALID.]])=1,ROUNDUP((tabItens[[#This Row],[ATA DT.VALID.]]-TODAY())/7,0),""))</f>
        <v/>
      </c>
      <c r="AQ498" s="314">
        <v>0</v>
      </c>
      <c r="AR498" s="315" t="str">
        <f>IF(ISBLANK(tabItens[[#This Row],[CÓDIGO]]),"",IFERROR(VLOOKUP(tabItens[[#This Row],[CÓDIGO]],Consumo!$C$2:$AC$869,26,FALSE),0))</f>
        <v>07.2023</v>
      </c>
      <c r="AS498" s="316">
        <f>SUMIF(Consumo!$C$3:$C$869,tabItens[[#This Row],[CÓDIGO]],Consumo!$N$3:$N$869) + SUMIF(Consumo!$C$3:$C$869,tabItens[[#This Row],[CÓDIGO]],Consumo!$O$3:$O$869) + SUMIF(Consumo!$C$3:$C$869,tabItens[[#This Row],[CÓDIGO]],Consumo!$P$3:$P$869) + SUMIF(Consumo!$C$3:$C$869,tabItens[[#This Row],[CÓDIGO]],Consumo!$Q$3:$Q$869)</f>
        <v>90</v>
      </c>
      <c r="AT498" s="316">
        <f>SUMIF(Consumo!$C$3:$C$869,tabItens[[#This Row],[CÓDIGO]],Consumo!$Z$3:$Z$869)</f>
        <v>457</v>
      </c>
      <c r="AU498" s="317">
        <f>SUMIF(Consumo!$C$3:$C$869,tabItens[[#This Row],[CÓDIGO]],Consumo!$AA$3:$AA$869)</f>
        <v>280</v>
      </c>
      <c r="AV498" s="318">
        <f>SUMIF(Consumo!$C$3:$C$869,tabItens[[#This Row],[CÓDIGO]],Consumo!$Y$3:$Y$869)</f>
        <v>31.166666666666668</v>
      </c>
      <c r="AW498" s="291">
        <f>tabItens[[#This Row],[QTDE ATUAL]] + tabItens[[#This Row],[RC QTDE]] + tabItens[[#This Row],[AF SALDO]] + tabItens[[#This Row],[Recentes]]</f>
        <v>2413.25</v>
      </c>
      <c r="AX498" s="319">
        <v>100</v>
      </c>
      <c r="AY498" s="319">
        <v>4</v>
      </c>
      <c r="AZ498" s="319">
        <f>IF(ISBLANK(tabItens[[#This Row],[CÓDIGO]]),"",tabItens[[#This Row],[PontoMês]] * (AZ$2+tabItens[[#This Row],[PontoQtM]]))</f>
        <v>400</v>
      </c>
      <c r="BA498" s="318">
        <f>tabItens[[#This Row],[PontoPed]] - tabItens[[#This Row],[Saldo]] + (1/10)</f>
        <v>-2013.15</v>
      </c>
      <c r="BB498" s="318">
        <f xml:space="preserve"> tabItens[[#This Row],[PontoMês]] * BB$2 - tabItens[[#This Row],[QTDE ATUAL]] - (1/10)</f>
        <v>-2313.35</v>
      </c>
      <c r="BC498" s="320">
        <f>IF( tabItens[[#This Row],[PontoPed]]&gt;0, IF(tabItens[[#This Row],[PontoPed]]&lt;1, 1, IF( tabItens[[#This Row],[Saldo]]&gt;tabItens[[#This Row],[PontoPed]], 0, (tabItens[[#This Row],[PontoPed]]-tabItens[[#This Row],[Saldo]])/tabItens[[#This Row],[PontoPed]] ) ), 0 )</f>
        <v>0</v>
      </c>
      <c r="BD498" s="321">
        <f>ROUNDDOWN(IF( OR( AND(tabItens[[#This Row],[PontoPed]]&lt;tabItens[[#This Row],[Saldo]],tabItens[[#This Row],[Saldo]]&gt;0), tabItens[[#This Row],[PontoPed]]=0), 99, IF(AND(tabItens[[#This Row],[Saldo]]=0,tabItens[[#This Row],[PontoPed]]&gt;0), 0, (1-tabItens[[#This Row],[PctAb]])*10 ) ),0)</f>
        <v>99</v>
      </c>
      <c r="BE498" s="322">
        <f>MAX(ROUNDDOWN( IF(tabItens[[#This Row],[Abaixo]] &gt; 0,   tabItens[[#This Row],[Abaixo]] + (tabItens[[#This Row],[PontoMês]] * IF( OR( ISBLANK(tabItens[[#This Row],[ATA Nº/ANO]]), tabItens[[#This Row],[ATA Nº/ANO]] = ""),BE$2,BE$1)),0),0),0)</f>
        <v>0</v>
      </c>
      <c r="BF4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23">
        <f>SUMIF(Consumo!$C$3:$C$869,tabItens[[#This Row],[CÓDIGO]],Consumo!$E$3:$E$869)</f>
        <v>0</v>
      </c>
      <c r="BH498" s="324">
        <f>IF(AND(tabItens[[#This Row],[Pend]] &gt; 0,tabItens[[#This Row],[Consumo]] &lt;&gt; 0), tabItens[[#This Row],[Pend]] / tabItens[[#This Row],[Consumo]], 0 )</f>
        <v>0</v>
      </c>
      <c r="BI498" s="323"/>
      <c r="BJ498" s="323"/>
      <c r="BK498" s="325" t="s">
        <v>2064</v>
      </c>
    </row>
    <row r="499" spans="1:63" hidden="1" x14ac:dyDescent="0.3">
      <c r="A499" s="286">
        <v>125262</v>
      </c>
      <c r="B499" s="287" t="s">
        <v>1759</v>
      </c>
      <c r="C499" s="288" t="s">
        <v>629</v>
      </c>
      <c r="D499" s="289">
        <v>319.89999999999998</v>
      </c>
      <c r="E499" s="290"/>
      <c r="F499" s="290"/>
      <c r="G499" s="290" t="s">
        <v>883</v>
      </c>
      <c r="H499" s="291">
        <v>1692.56</v>
      </c>
      <c r="I499" s="292">
        <v>103003</v>
      </c>
      <c r="J499" s="293">
        <v>319.89999999999998</v>
      </c>
      <c r="K499" s="294">
        <v>457</v>
      </c>
      <c r="L499" s="295">
        <f>IF(tabItens[[#This Row],[Média]] &gt; 0, tabItens[[#This Row],[QTDE ATUAL]] / tabItens[[#This Row],[Média]],999.9)</f>
        <v>54.306737967914437</v>
      </c>
      <c r="M499" s="296">
        <v>0</v>
      </c>
      <c r="N499" s="297">
        <f>tabItens[[#This Row],[VALOR UNIT.]] * tabItens[[#This Row],[LC]]</f>
        <v>0</v>
      </c>
      <c r="O499" s="298" t="s">
        <v>2167</v>
      </c>
      <c r="P499" s="299"/>
      <c r="Q499" s="300"/>
      <c r="R499" s="297"/>
      <c r="S499" s="301"/>
      <c r="T499" s="302">
        <f>ROUNDDOWN(IFERROR(tabItens[[#This Row],[ATA DT.VALID.]] - $D$1,0) / 30,0)</f>
        <v>-1504</v>
      </c>
      <c r="U499" s="287" t="s">
        <v>1723</v>
      </c>
      <c r="V499" s="303">
        <v>1</v>
      </c>
      <c r="W499" s="304" t="s">
        <v>2049</v>
      </c>
      <c r="X499" s="305">
        <v>51</v>
      </c>
      <c r="Y499" s="306">
        <v>21</v>
      </c>
      <c r="Z499" s="307">
        <v>2996</v>
      </c>
      <c r="AA499" s="308">
        <v>2023</v>
      </c>
      <c r="AB499" s="309">
        <v>500</v>
      </c>
      <c r="AC499" s="309"/>
      <c r="AD499" s="308"/>
      <c r="AE499" s="309"/>
      <c r="AF499" s="302"/>
      <c r="AG499" s="310" t="s">
        <v>2050</v>
      </c>
      <c r="AH499" s="311"/>
      <c r="AI499" s="302">
        <v>152</v>
      </c>
      <c r="AJ499" s="311">
        <v>44550</v>
      </c>
      <c r="AK499" s="311">
        <v>41366</v>
      </c>
      <c r="AL499" s="311">
        <v>44412</v>
      </c>
      <c r="AM499" s="301"/>
      <c r="AN499" s="290"/>
      <c r="AO499" s="312" t="str">
        <f>_xlfn.IFNA(IF(VLOOKUP(tabItens[[#This Row],[CÓDIGO]],tabExcluirDoEstoque[#Data],1,FALSE),"sim",""),"")</f>
        <v/>
      </c>
      <c r="AP499" s="313" t="str">
        <f ca="1">IF(OR(ISBLANK(tabItens[[#This Row],[ATA DT.VALID.]]),tabItens[[#This Row],[ATA DT.VALID.]]="",tabItens[[#This Row],[ATA DT.VALID.]]=" "),"",IF(TYPE(tabItens[[#This Row],[ATA DT.VALID.]])=1,ROUNDUP((tabItens[[#This Row],[ATA DT.VALID.]]-TODAY())/7,0),""))</f>
        <v/>
      </c>
      <c r="AQ499" s="314">
        <v>0</v>
      </c>
      <c r="AR499" s="315" t="str">
        <f>IF(ISBLANK(tabItens[[#This Row],[CÓDIGO]]),"",IFERROR(VLOOKUP(tabItens[[#This Row],[CÓDIGO]],Consumo!$C$2:$AC$869,26,FALSE),0))</f>
        <v>07.2023</v>
      </c>
      <c r="AS499" s="316">
        <f>SUMIF(Consumo!$C$3:$C$869,tabItens[[#This Row],[CÓDIGO]],Consumo!$N$3:$N$869) + SUMIF(Consumo!$C$3:$C$869,tabItens[[#This Row],[CÓDIGO]],Consumo!$O$3:$O$869) + SUMIF(Consumo!$C$3:$C$869,tabItens[[#This Row],[CÓDIGO]],Consumo!$P$3:$P$869) + SUMIF(Consumo!$C$3:$C$869,tabItens[[#This Row],[CÓDIGO]],Consumo!$Q$3:$Q$869)</f>
        <v>90</v>
      </c>
      <c r="AT499" s="316">
        <f>SUMIF(Consumo!$C$3:$C$869,tabItens[[#This Row],[CÓDIGO]],Consumo!$Z$3:$Z$869)</f>
        <v>457</v>
      </c>
      <c r="AU499" s="317">
        <f>SUMIF(Consumo!$C$3:$C$869,tabItens[[#This Row],[CÓDIGO]],Consumo!$AA$3:$AA$869)</f>
        <v>280</v>
      </c>
      <c r="AV499" s="318">
        <f>SUMIF(Consumo!$C$3:$C$869,tabItens[[#This Row],[CÓDIGO]],Consumo!$Y$3:$Y$869)</f>
        <v>31.166666666666668</v>
      </c>
      <c r="AW499" s="291">
        <f>tabItens[[#This Row],[QTDE ATUAL]] + tabItens[[#This Row],[RC QTDE]] + tabItens[[#This Row],[AF SALDO]] + tabItens[[#This Row],[Recentes]]</f>
        <v>2192.56</v>
      </c>
      <c r="AX499" s="319">
        <v>62</v>
      </c>
      <c r="AY499" s="319">
        <v>4</v>
      </c>
      <c r="AZ499" s="319">
        <f>IF(ISBLANK(tabItens[[#This Row],[CÓDIGO]]),"",tabItens[[#This Row],[PontoMês]] * (AZ$2+tabItens[[#This Row],[PontoQtM]]))</f>
        <v>248</v>
      </c>
      <c r="BA499" s="318">
        <f>tabItens[[#This Row],[PontoPed]] - tabItens[[#This Row],[Saldo]] + (1/10)</f>
        <v>-1944.46</v>
      </c>
      <c r="BB499" s="318">
        <f xml:space="preserve"> tabItens[[#This Row],[PontoMês]] * BB$2 - tabItens[[#This Row],[QTDE ATUAL]] - (1/10)</f>
        <v>-1630.6599999999999</v>
      </c>
      <c r="BC499" s="320">
        <f>IF( tabItens[[#This Row],[PontoPed]]&gt;0, IF(tabItens[[#This Row],[PontoPed]]&lt;1, 1, IF( tabItens[[#This Row],[Saldo]]&gt;tabItens[[#This Row],[PontoPed]], 0, (tabItens[[#This Row],[PontoPed]]-tabItens[[#This Row],[Saldo]])/tabItens[[#This Row],[PontoPed]] ) ), 0 )</f>
        <v>0</v>
      </c>
      <c r="BD499" s="321">
        <f>ROUNDDOWN(IF( OR( AND(tabItens[[#This Row],[PontoPed]]&lt;tabItens[[#This Row],[Saldo]],tabItens[[#This Row],[Saldo]]&gt;0), tabItens[[#This Row],[PontoPed]]=0), 99, IF(AND(tabItens[[#This Row],[Saldo]]=0,tabItens[[#This Row],[PontoPed]]&gt;0), 0, (1-tabItens[[#This Row],[PctAb]])*10 ) ),0)</f>
        <v>99</v>
      </c>
      <c r="BE499" s="322">
        <f>MAX(ROUNDDOWN( IF(tabItens[[#This Row],[Abaixo]] &gt; 0,   tabItens[[#This Row],[Abaixo]] + (tabItens[[#This Row],[PontoMês]] * IF( OR( ISBLANK(tabItens[[#This Row],[ATA Nº/ANO]]), tabItens[[#This Row],[ATA Nº/ANO]] = ""),BE$2,BE$1)),0),0),0)</f>
        <v>0</v>
      </c>
      <c r="BF49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23">
        <f>SUMIF(Consumo!$C$3:$C$869,tabItens[[#This Row],[CÓDIGO]],Consumo!$E$3:$E$869)</f>
        <v>0</v>
      </c>
      <c r="BH499" s="324">
        <f>IF(AND(tabItens[[#This Row],[Pend]] &gt; 0,tabItens[[#This Row],[Consumo]] &lt;&gt; 0), tabItens[[#This Row],[Pend]] / tabItens[[#This Row],[Consumo]], 0 )</f>
        <v>0</v>
      </c>
      <c r="BI499" s="323"/>
      <c r="BJ499" s="323"/>
      <c r="BK499" s="325" t="s">
        <v>2064</v>
      </c>
    </row>
    <row r="500" spans="1:63" x14ac:dyDescent="0.3">
      <c r="A500" s="396">
        <v>12877</v>
      </c>
      <c r="B500" s="397" t="s">
        <v>971</v>
      </c>
      <c r="C500" s="398" t="s">
        <v>273</v>
      </c>
      <c r="D500" s="399">
        <v>100</v>
      </c>
      <c r="E500" s="290"/>
      <c r="F500" s="400"/>
      <c r="G500" s="400" t="s">
        <v>883</v>
      </c>
      <c r="H500" s="401">
        <v>0</v>
      </c>
      <c r="I500" s="292">
        <v>103003</v>
      </c>
      <c r="J500" s="293">
        <v>100</v>
      </c>
      <c r="K500" s="402">
        <v>326</v>
      </c>
      <c r="L500" s="403">
        <f>IF(tabItens[[#This Row],[Média]] &gt; 0, tabItens[[#This Row],[QTDE ATUAL]] / tabItens[[#This Row],[Média]],999.9)</f>
        <v>0</v>
      </c>
      <c r="M500" s="404">
        <v>0</v>
      </c>
      <c r="N500" s="405">
        <f>tabItens[[#This Row],[VALOR UNIT.]] * tabItens[[#This Row],[LC]]</f>
        <v>0</v>
      </c>
      <c r="O500" s="406" t="s">
        <v>2079</v>
      </c>
      <c r="P500" s="407"/>
      <c r="Q500" s="408"/>
      <c r="R500" s="297"/>
      <c r="S500" s="409"/>
      <c r="T500" s="410">
        <f>ROUNDDOWN(IFERROR(tabItens[[#This Row],[ATA DT.VALID.]] - $D$1,0) / 30,0)</f>
        <v>-1504</v>
      </c>
      <c r="U500" s="287" t="s">
        <v>972</v>
      </c>
      <c r="V500" s="303">
        <v>1</v>
      </c>
      <c r="W500" s="411" t="s">
        <v>2053</v>
      </c>
      <c r="X500" s="412">
        <v>76</v>
      </c>
      <c r="Y500" s="413">
        <v>10</v>
      </c>
      <c r="Z500" s="414">
        <v>2794</v>
      </c>
      <c r="AA500" s="415">
        <v>2023</v>
      </c>
      <c r="AB500" s="416">
        <v>500</v>
      </c>
      <c r="AC500" s="416"/>
      <c r="AD500" s="415"/>
      <c r="AE500" s="416"/>
      <c r="AF500" s="302"/>
      <c r="AG500" s="417" t="s">
        <v>2050</v>
      </c>
      <c r="AH500" s="418"/>
      <c r="AI500" s="302">
        <v>154</v>
      </c>
      <c r="AJ500" s="418">
        <v>44882</v>
      </c>
      <c r="AK500" s="311" t="s">
        <v>883</v>
      </c>
      <c r="AL500" s="311">
        <v>44865</v>
      </c>
      <c r="AM500" s="301"/>
      <c r="AN500" s="290"/>
      <c r="AO500" s="312" t="str">
        <f>_xlfn.IFNA(IF(VLOOKUP(tabItens[[#This Row],[CÓDIGO]],tabExcluirDoEstoque[#Data],1,FALSE),"sim",""),"")</f>
        <v/>
      </c>
      <c r="AP500" s="419" t="str">
        <f ca="1">IF(OR(ISBLANK(tabItens[[#This Row],[ATA DT.VALID.]]),tabItens[[#This Row],[ATA DT.VALID.]]="",tabItens[[#This Row],[ATA DT.VALID.]]=" "),"",IF(TYPE(tabItens[[#This Row],[ATA DT.VALID.]])=1,ROUNDUP((tabItens[[#This Row],[ATA DT.VALID.]]-TODAY())/7,0),""))</f>
        <v/>
      </c>
      <c r="AQ500" s="314">
        <v>0</v>
      </c>
      <c r="AR500" s="315" t="str">
        <f>IF(ISBLANK(tabItens[[#This Row],[CÓDIGO]]),"",IFERROR(VLOOKUP(tabItens[[#This Row],[CÓDIGO]],Consumo!$C$2:$AC$869,26,FALSE),0))</f>
        <v>07.2023</v>
      </c>
      <c r="AS500" s="316">
        <f>SUMIF(Consumo!$C$3:$C$869,tabItens[[#This Row],[CÓDIGO]],Consumo!$N$3:$N$869) + SUMIF(Consumo!$C$3:$C$869,tabItens[[#This Row],[CÓDIGO]],Consumo!$O$3:$O$869) + SUMIF(Consumo!$C$3:$C$869,tabItens[[#This Row],[CÓDIGO]],Consumo!$P$3:$P$869) + SUMIF(Consumo!$C$3:$C$869,tabItens[[#This Row],[CÓDIGO]],Consumo!$Q$3:$Q$869)</f>
        <v>109</v>
      </c>
      <c r="AT500" s="316">
        <f>SUMIF(Consumo!$C$3:$C$869,tabItens[[#This Row],[CÓDIGO]],Consumo!$Z$3:$Z$869)</f>
        <v>454</v>
      </c>
      <c r="AU500" s="317">
        <f>SUMIF(Consumo!$C$3:$C$869,tabItens[[#This Row],[CÓDIGO]],Consumo!$AA$3:$AA$869)</f>
        <v>64</v>
      </c>
      <c r="AV500" s="318">
        <f>SUMIF(Consumo!$C$3:$C$869,tabItens[[#This Row],[CÓDIGO]],Consumo!$Y$3:$Y$869)</f>
        <v>37.833333333333336</v>
      </c>
      <c r="AW500" s="401">
        <f>tabItens[[#This Row],[QTDE ATUAL]] + tabItens[[#This Row],[RC QTDE]] + tabItens[[#This Row],[AF SALDO]] + tabItens[[#This Row],[Recentes]]</f>
        <v>500</v>
      </c>
      <c r="AX500" s="420">
        <v>15</v>
      </c>
      <c r="AY500" s="420">
        <v>4</v>
      </c>
      <c r="AZ500" s="420">
        <f>IF(ISBLANK(tabItens[[#This Row],[CÓDIGO]]),"",tabItens[[#This Row],[PontoMês]] * (AZ$2+tabItens[[#This Row],[PontoQtM]]))</f>
        <v>60</v>
      </c>
      <c r="BA500" s="421">
        <f>tabItens[[#This Row],[PontoPed]] - tabItens[[#This Row],[Saldo]] + (1/10)</f>
        <v>-439.9</v>
      </c>
      <c r="BB500" s="421">
        <f xml:space="preserve"> tabItens[[#This Row],[PontoMês]] * BB$2 - tabItens[[#This Row],[QTDE ATUAL]] - (1/10)</f>
        <v>14.9</v>
      </c>
      <c r="BC500" s="320">
        <f>IF( tabItens[[#This Row],[PontoPed]]&gt;0, IF(tabItens[[#This Row],[PontoPed]]&lt;1, 1, IF( tabItens[[#This Row],[Saldo]]&gt;tabItens[[#This Row],[PontoPed]], 0, (tabItens[[#This Row],[PontoPed]]-tabItens[[#This Row],[Saldo]])/tabItens[[#This Row],[PontoPed]] ) ), 0 )</f>
        <v>0</v>
      </c>
      <c r="BD500" s="422">
        <f>ROUNDDOWN(IF( OR( AND(tabItens[[#This Row],[PontoPed]]&lt;tabItens[[#This Row],[Saldo]],tabItens[[#This Row],[Saldo]]&gt;0), tabItens[[#This Row],[PontoPed]]=0), 99, IF(AND(tabItens[[#This Row],[Saldo]]=0,tabItens[[#This Row],[PontoPed]]&gt;0), 0, (1-tabItens[[#This Row],[PctAb]])*10 ) ),0)</f>
        <v>99</v>
      </c>
      <c r="BE500" s="423">
        <f>MAX(ROUNDDOWN( IF(tabItens[[#This Row],[Abaixo]] &gt; 0,   tabItens[[#This Row],[Abaixo]] + (tabItens[[#This Row],[PontoMês]] * IF( OR( ISBLANK(tabItens[[#This Row],[ATA Nº/ANO]]), tabItens[[#This Row],[ATA Nº/ANO]] = ""),BE$2,BE$1)),0),0),0)</f>
        <v>0</v>
      </c>
      <c r="BF50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23">
        <f>SUMIF(Consumo!$C$3:$C$869,tabItens[[#This Row],[CÓDIGO]],Consumo!$E$3:$E$869)</f>
        <v>0</v>
      </c>
      <c r="BH500" s="324">
        <f>IF(AND(tabItens[[#This Row],[Pend]] &gt; 0,tabItens[[#This Row],[Consumo]] &lt;&gt; 0), tabItens[[#This Row],[Pend]] / tabItens[[#This Row],[Consumo]], 0 )</f>
        <v>0</v>
      </c>
      <c r="BI500" s="323"/>
      <c r="BJ500" s="424"/>
      <c r="BK500" s="425" t="s">
        <v>2064</v>
      </c>
    </row>
    <row r="501" spans="1:63" hidden="1" x14ac:dyDescent="0.3">
      <c r="A501" s="286">
        <v>93139</v>
      </c>
      <c r="B501" s="287" t="s">
        <v>1526</v>
      </c>
      <c r="C501" s="288" t="s">
        <v>281</v>
      </c>
      <c r="D501" s="289">
        <v>8.5</v>
      </c>
      <c r="E501" s="290"/>
      <c r="F501" s="290"/>
      <c r="G501" s="290" t="s">
        <v>883</v>
      </c>
      <c r="H501" s="291">
        <v>138</v>
      </c>
      <c r="I501" s="292">
        <v>103003</v>
      </c>
      <c r="J501" s="293">
        <v>5.8621999999999996</v>
      </c>
      <c r="K501" s="294">
        <v>124</v>
      </c>
      <c r="L501" s="295">
        <f>IF(tabItens[[#This Row],[Média]] &gt; 0, tabItens[[#This Row],[QTDE ATUAL]] / tabItens[[#This Row],[Média]],999.9)</f>
        <v>12.176470588235293</v>
      </c>
      <c r="M501" s="296">
        <v>0</v>
      </c>
      <c r="N501" s="297">
        <f>tabItens[[#This Row],[VALOR UNIT.]] * tabItens[[#This Row],[LC]]</f>
        <v>0</v>
      </c>
      <c r="O501" s="298" t="s">
        <v>2146</v>
      </c>
      <c r="P501" s="299"/>
      <c r="Q501" s="300"/>
      <c r="R501" s="297"/>
      <c r="S501" s="301"/>
      <c r="T501" s="302">
        <f>ROUNDDOWN(IFERROR(tabItens[[#This Row],[ATA DT.VALID.]] - $D$1,0) / 30,0)</f>
        <v>-1504</v>
      </c>
      <c r="U501" s="287" t="s">
        <v>1527</v>
      </c>
      <c r="V501" s="303">
        <v>1</v>
      </c>
      <c r="W501" s="304" t="s">
        <v>2058</v>
      </c>
      <c r="X501" s="305">
        <v>54</v>
      </c>
      <c r="Y501" s="306">
        <v>8</v>
      </c>
      <c r="Z501" s="307">
        <v>2833</v>
      </c>
      <c r="AA501" s="308">
        <v>2023</v>
      </c>
      <c r="AB501" s="309">
        <v>50</v>
      </c>
      <c r="AC501" s="309"/>
      <c r="AD501" s="308"/>
      <c r="AE501" s="309"/>
      <c r="AF501" s="302"/>
      <c r="AG501" s="310" t="s">
        <v>2050</v>
      </c>
      <c r="AH501" s="311"/>
      <c r="AI501" s="302">
        <v>52</v>
      </c>
      <c r="AJ501" s="311">
        <v>44956</v>
      </c>
      <c r="AK501" s="311">
        <v>38912</v>
      </c>
      <c r="AL501" s="311">
        <v>44929</v>
      </c>
      <c r="AM501" s="301"/>
      <c r="AN501" s="290"/>
      <c r="AO501" s="312" t="str">
        <f>_xlfn.IFNA(IF(VLOOKUP(tabItens[[#This Row],[CÓDIGO]],tabExcluirDoEstoque[#Data],1,FALSE),"sim",""),"")</f>
        <v/>
      </c>
      <c r="AP501" s="313" t="str">
        <f ca="1">IF(OR(ISBLANK(tabItens[[#This Row],[ATA DT.VALID.]]),tabItens[[#This Row],[ATA DT.VALID.]]="",tabItens[[#This Row],[ATA DT.VALID.]]=" "),"",IF(TYPE(tabItens[[#This Row],[ATA DT.VALID.]])=1,ROUNDUP((tabItens[[#This Row],[ATA DT.VALID.]]-TODAY())/7,0),""))</f>
        <v/>
      </c>
      <c r="AQ501" s="314">
        <v>0</v>
      </c>
      <c r="AR501" s="315" t="str">
        <f>IF(ISBLANK(tabItens[[#This Row],[CÓDIGO]]),"",IFERROR(VLOOKUP(tabItens[[#This Row],[CÓDIGO]],Consumo!$C$2:$AC$869,26,FALSE),0))</f>
        <v>06.2023</v>
      </c>
      <c r="AS501" s="316">
        <f>SUMIF(Consumo!$C$3:$C$869,tabItens[[#This Row],[CÓDIGO]],Consumo!$N$3:$N$869) + SUMIF(Consumo!$C$3:$C$869,tabItens[[#This Row],[CÓDIGO]],Consumo!$O$3:$O$869) + SUMIF(Consumo!$C$3:$C$869,tabItens[[#This Row],[CÓDIGO]],Consumo!$P$3:$P$869) + SUMIF(Consumo!$C$3:$C$869,tabItens[[#This Row],[CÓDIGO]],Consumo!$Q$3:$Q$869)</f>
        <v>75</v>
      </c>
      <c r="AT501" s="316">
        <f>SUMIF(Consumo!$C$3:$C$869,tabItens[[#This Row],[CÓDIGO]],Consumo!$Z$3:$Z$869)</f>
        <v>153</v>
      </c>
      <c r="AU501" s="317">
        <f>SUMIF(Consumo!$C$3:$C$869,tabItens[[#This Row],[CÓDIGO]],Consumo!$AA$3:$AA$869)</f>
        <v>61</v>
      </c>
      <c r="AV501" s="318">
        <f>SUMIF(Consumo!$C$3:$C$869,tabItens[[#This Row],[CÓDIGO]],Consumo!$Y$3:$Y$869)</f>
        <v>11.333333333333334</v>
      </c>
      <c r="AW501" s="291">
        <f>tabItens[[#This Row],[QTDE ATUAL]] + tabItens[[#This Row],[RC QTDE]] + tabItens[[#This Row],[AF SALDO]] + tabItens[[#This Row],[Recentes]]</f>
        <v>188</v>
      </c>
      <c r="AX501" s="319">
        <v>15</v>
      </c>
      <c r="AY501" s="319">
        <v>4</v>
      </c>
      <c r="AZ501" s="319">
        <f>IF(ISBLANK(tabItens[[#This Row],[CÓDIGO]]),"",tabItens[[#This Row],[PontoMês]] * (AZ$2+tabItens[[#This Row],[PontoQtM]]))</f>
        <v>60</v>
      </c>
      <c r="BA501" s="318">
        <f>tabItens[[#This Row],[PontoPed]] - tabItens[[#This Row],[Saldo]] + (1/10)</f>
        <v>-127.9</v>
      </c>
      <c r="BB501" s="318">
        <f xml:space="preserve"> tabItens[[#This Row],[PontoMês]] * BB$2 - tabItens[[#This Row],[QTDE ATUAL]] - (1/10)</f>
        <v>-123.1</v>
      </c>
      <c r="BC501" s="320">
        <f>IF( tabItens[[#This Row],[PontoPed]]&gt;0, IF(tabItens[[#This Row],[PontoPed]]&lt;1, 1, IF( tabItens[[#This Row],[Saldo]]&gt;tabItens[[#This Row],[PontoPed]], 0, (tabItens[[#This Row],[PontoPed]]-tabItens[[#This Row],[Saldo]])/tabItens[[#This Row],[PontoPed]] ) ), 0 )</f>
        <v>0</v>
      </c>
      <c r="BD501" s="321">
        <f>ROUNDDOWN(IF( OR( AND(tabItens[[#This Row],[PontoPed]]&lt;tabItens[[#This Row],[Saldo]],tabItens[[#This Row],[Saldo]]&gt;0), tabItens[[#This Row],[PontoPed]]=0), 99, IF(AND(tabItens[[#This Row],[Saldo]]=0,tabItens[[#This Row],[PontoPed]]&gt;0), 0, (1-tabItens[[#This Row],[PctAb]])*10 ) ),0)</f>
        <v>99</v>
      </c>
      <c r="BE501" s="322">
        <f>MAX(ROUNDDOWN( IF(tabItens[[#This Row],[Abaixo]] &gt; 0,   tabItens[[#This Row],[Abaixo]] + (tabItens[[#This Row],[PontoMês]] * IF( OR( ISBLANK(tabItens[[#This Row],[ATA Nº/ANO]]), tabItens[[#This Row],[ATA Nº/ANO]] = ""),BE$2,BE$1)),0),0),0)</f>
        <v>0</v>
      </c>
      <c r="BF50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23">
        <f>SUMIF(Consumo!$C$3:$C$869,tabItens[[#This Row],[CÓDIGO]],Consumo!$E$3:$E$869)</f>
        <v>0</v>
      </c>
      <c r="BH501" s="324">
        <f>IF(AND(tabItens[[#This Row],[Pend]] &gt; 0,tabItens[[#This Row],[Consumo]] &lt;&gt; 0), tabItens[[#This Row],[Pend]] / tabItens[[#This Row],[Consumo]], 0 )</f>
        <v>0</v>
      </c>
      <c r="BI501" s="323"/>
      <c r="BJ501" s="323"/>
      <c r="BK501" s="325" t="s">
        <v>2064</v>
      </c>
    </row>
    <row r="502" spans="1:63" hidden="1" x14ac:dyDescent="0.3">
      <c r="A502" s="286">
        <v>109848</v>
      </c>
      <c r="B502" s="287" t="s">
        <v>1654</v>
      </c>
      <c r="C502" s="288" t="s">
        <v>1655</v>
      </c>
      <c r="D502" s="289">
        <v>54.34</v>
      </c>
      <c r="E502" s="290"/>
      <c r="F502" s="290"/>
      <c r="G502" s="290" t="s">
        <v>883</v>
      </c>
      <c r="H502" s="291">
        <v>9</v>
      </c>
      <c r="I502" s="292">
        <v>103003</v>
      </c>
      <c r="J502" s="293">
        <v>54.34</v>
      </c>
      <c r="K502" s="294">
        <v>90</v>
      </c>
      <c r="L502" s="295">
        <f>IF(tabItens[[#This Row],[Média]] &gt; 0, tabItens[[#This Row],[QTDE ATUAL]] / tabItens[[#This Row],[Média]],999.9)</f>
        <v>1.2</v>
      </c>
      <c r="M502" s="296">
        <v>0</v>
      </c>
      <c r="N502" s="297">
        <f>tabItens[[#This Row],[VALOR UNIT.]] * tabItens[[#This Row],[LC]]</f>
        <v>0</v>
      </c>
      <c r="O502" s="298" t="s">
        <v>2146</v>
      </c>
      <c r="P502" s="299"/>
      <c r="Q502" s="300"/>
      <c r="R502" s="297"/>
      <c r="S502" s="301"/>
      <c r="T502" s="302">
        <f>ROUNDDOWN(IFERROR(tabItens[[#This Row],[ATA DT.VALID.]] - $D$1,0) / 30,0)</f>
        <v>-1504</v>
      </c>
      <c r="U502" s="287" t="s">
        <v>1386</v>
      </c>
      <c r="V502" s="303">
        <v>1</v>
      </c>
      <c r="W502" s="304" t="s">
        <v>2053</v>
      </c>
      <c r="X502" s="305">
        <v>76</v>
      </c>
      <c r="Y502" s="306">
        <v>9</v>
      </c>
      <c r="Z502" s="307">
        <v>2795</v>
      </c>
      <c r="AA502" s="308">
        <v>2023</v>
      </c>
      <c r="AB502" s="309">
        <v>200</v>
      </c>
      <c r="AC502" s="309"/>
      <c r="AD502" s="308"/>
      <c r="AE502" s="309"/>
      <c r="AF502" s="302"/>
      <c r="AG502" s="310" t="s">
        <v>2050</v>
      </c>
      <c r="AH502" s="311"/>
      <c r="AI502" s="302">
        <v>30</v>
      </c>
      <c r="AJ502" s="311">
        <v>44725</v>
      </c>
      <c r="AK502" s="311">
        <v>39857</v>
      </c>
      <c r="AL502" s="311">
        <v>44781</v>
      </c>
      <c r="AM502" s="301"/>
      <c r="AN502" s="290"/>
      <c r="AO502" s="312" t="str">
        <f>_xlfn.IFNA(IF(VLOOKUP(tabItens[[#This Row],[CÓDIGO]],tabExcluirDoEstoque[#Data],1,FALSE),"sim",""),"")</f>
        <v/>
      </c>
      <c r="AP502" s="313" t="str">
        <f ca="1">IF(OR(ISBLANK(tabItens[[#This Row],[ATA DT.VALID.]]),tabItens[[#This Row],[ATA DT.VALID.]]="",tabItens[[#This Row],[ATA DT.VALID.]]=" "),"",IF(TYPE(tabItens[[#This Row],[ATA DT.VALID.]])=1,ROUNDUP((tabItens[[#This Row],[ATA DT.VALID.]]-TODAY())/7,0),""))</f>
        <v/>
      </c>
      <c r="AQ502" s="314">
        <v>0</v>
      </c>
      <c r="AR502" s="315" t="str">
        <f>IF(ISBLANK(tabItens[[#This Row],[CÓDIGO]]),"",IFERROR(VLOOKUP(tabItens[[#This Row],[CÓDIGO]],Consumo!$C$2:$AC$869,26,FALSE),0))</f>
        <v>03.2023</v>
      </c>
      <c r="AS502" s="316">
        <f>SUMIF(Consumo!$C$3:$C$869,tabItens[[#This Row],[CÓDIGO]],Consumo!$N$3:$N$869) + SUMIF(Consumo!$C$3:$C$869,tabItens[[#This Row],[CÓDIGO]],Consumo!$O$3:$O$869) + SUMIF(Consumo!$C$3:$C$869,tabItens[[#This Row],[CÓDIGO]],Consumo!$P$3:$P$869) + SUMIF(Consumo!$C$3:$C$869,tabItens[[#This Row],[CÓDIGO]],Consumo!$Q$3:$Q$869)</f>
        <v>0</v>
      </c>
      <c r="AT502" s="316">
        <f>SUMIF(Consumo!$C$3:$C$869,tabItens[[#This Row],[CÓDIGO]],Consumo!$Z$3:$Z$869)</f>
        <v>90</v>
      </c>
      <c r="AU502" s="317">
        <f>SUMIF(Consumo!$C$3:$C$869,tabItens[[#This Row],[CÓDIGO]],Consumo!$AA$3:$AA$869)</f>
        <v>27</v>
      </c>
      <c r="AV502" s="318">
        <f>SUMIF(Consumo!$C$3:$C$869,tabItens[[#This Row],[CÓDIGO]],Consumo!$Y$3:$Y$869)</f>
        <v>7.5</v>
      </c>
      <c r="AW502" s="291">
        <f>tabItens[[#This Row],[QTDE ATUAL]] + tabItens[[#This Row],[RC QTDE]] + tabItens[[#This Row],[AF SALDO]] + tabItens[[#This Row],[Recentes]]</f>
        <v>209</v>
      </c>
      <c r="AX502" s="319">
        <v>5</v>
      </c>
      <c r="AY502" s="319">
        <v>4</v>
      </c>
      <c r="AZ502" s="319">
        <f>IF(ISBLANK(tabItens[[#This Row],[CÓDIGO]]),"",tabItens[[#This Row],[PontoMês]] * (AZ$2+tabItens[[#This Row],[PontoQtM]]))</f>
        <v>20</v>
      </c>
      <c r="BA502" s="318">
        <f>tabItens[[#This Row],[PontoPed]] - tabItens[[#This Row],[Saldo]] + (1/10)</f>
        <v>-188.9</v>
      </c>
      <c r="BB502" s="318">
        <f xml:space="preserve"> tabItens[[#This Row],[PontoMês]] * BB$2 - tabItens[[#This Row],[QTDE ATUAL]] - (1/10)</f>
        <v>-4.0999999999999996</v>
      </c>
      <c r="BC502" s="320">
        <f>IF( tabItens[[#This Row],[PontoPed]]&gt;0, IF(tabItens[[#This Row],[PontoPed]]&lt;1, 1, IF( tabItens[[#This Row],[Saldo]]&gt;tabItens[[#This Row],[PontoPed]], 0, (tabItens[[#This Row],[PontoPed]]-tabItens[[#This Row],[Saldo]])/tabItens[[#This Row],[PontoPed]] ) ), 0 )</f>
        <v>0</v>
      </c>
      <c r="BD502" s="321">
        <f>ROUNDDOWN(IF( OR( AND(tabItens[[#This Row],[PontoPed]]&lt;tabItens[[#This Row],[Saldo]],tabItens[[#This Row],[Saldo]]&gt;0), tabItens[[#This Row],[PontoPed]]=0), 99, IF(AND(tabItens[[#This Row],[Saldo]]=0,tabItens[[#This Row],[PontoPed]]&gt;0), 0, (1-tabItens[[#This Row],[PctAb]])*10 ) ),0)</f>
        <v>99</v>
      </c>
      <c r="BE502" s="322">
        <f>MAX(ROUNDDOWN( IF(tabItens[[#This Row],[Abaixo]] &gt; 0,   tabItens[[#This Row],[Abaixo]] + (tabItens[[#This Row],[PontoMês]] * IF( OR( ISBLANK(tabItens[[#This Row],[ATA Nº/ANO]]), tabItens[[#This Row],[ATA Nº/ANO]] = ""),BE$2,BE$1)),0),0),0)</f>
        <v>0</v>
      </c>
      <c r="BF5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23">
        <f>SUMIF(Consumo!$C$3:$C$869,tabItens[[#This Row],[CÓDIGO]],Consumo!$E$3:$E$869)</f>
        <v>0</v>
      </c>
      <c r="BH502" s="324">
        <f>IF(AND(tabItens[[#This Row],[Pend]] &gt; 0,tabItens[[#This Row],[Consumo]] &lt;&gt; 0), tabItens[[#This Row],[Pend]] / tabItens[[#This Row],[Consumo]], 0 )</f>
        <v>0</v>
      </c>
      <c r="BI502" s="323"/>
      <c r="BJ502" s="323"/>
      <c r="BK502" s="325" t="s">
        <v>2064</v>
      </c>
    </row>
    <row r="503" spans="1:63" hidden="1" x14ac:dyDescent="0.3">
      <c r="A503" s="286">
        <v>127664</v>
      </c>
      <c r="B503" s="287" t="s">
        <v>1776</v>
      </c>
      <c r="C503" s="288" t="s">
        <v>413</v>
      </c>
      <c r="D503" s="289">
        <v>3.63</v>
      </c>
      <c r="E503" s="290"/>
      <c r="F503" s="290"/>
      <c r="G503" s="290" t="s">
        <v>883</v>
      </c>
      <c r="H503" s="291">
        <v>4461</v>
      </c>
      <c r="I503" s="292">
        <v>103003</v>
      </c>
      <c r="J503" s="293">
        <v>3.63</v>
      </c>
      <c r="K503" s="294">
        <v>3337</v>
      </c>
      <c r="L503" s="295">
        <f>IF(tabItens[[#This Row],[Média]] &gt; 0, tabItens[[#This Row],[QTDE ATUAL]] / tabItens[[#This Row],[Média]],999.9)</f>
        <v>9.1995188176662648</v>
      </c>
      <c r="M503" s="296">
        <v>0</v>
      </c>
      <c r="N503" s="297">
        <f>tabItens[[#This Row],[VALOR UNIT.]] * tabItens[[#This Row],[LC]]</f>
        <v>0</v>
      </c>
      <c r="O503" s="298" t="s">
        <v>2170</v>
      </c>
      <c r="P503" s="299"/>
      <c r="Q503" s="300"/>
      <c r="R503" s="297"/>
      <c r="S503" s="301"/>
      <c r="T503" s="302">
        <f>ROUNDDOWN(IFERROR(tabItens[[#This Row],[ATA DT.VALID.]] - $D$1,0) / 30,0)</f>
        <v>-1504</v>
      </c>
      <c r="U503" s="287" t="s">
        <v>1777</v>
      </c>
      <c r="V503" s="303">
        <v>1</v>
      </c>
      <c r="W503" s="304" t="s">
        <v>2051</v>
      </c>
      <c r="X503" s="305">
        <v>71</v>
      </c>
      <c r="Y503" s="306">
        <v>34</v>
      </c>
      <c r="Z503" s="307"/>
      <c r="AA503" s="308"/>
      <c r="AB503" s="309"/>
      <c r="AC503" s="309"/>
      <c r="AD503" s="308"/>
      <c r="AE503" s="309"/>
      <c r="AF503" s="302"/>
      <c r="AG503" s="310" t="s">
        <v>2050</v>
      </c>
      <c r="AH503" s="311"/>
      <c r="AI503" s="302">
        <v>1930</v>
      </c>
      <c r="AJ503" s="311">
        <v>45090</v>
      </c>
      <c r="AK503" s="311">
        <v>41733</v>
      </c>
      <c r="AL503" s="311">
        <v>45072</v>
      </c>
      <c r="AM503" s="301"/>
      <c r="AN503" s="290"/>
      <c r="AO503" s="312" t="str">
        <f>_xlfn.IFNA(IF(VLOOKUP(tabItens[[#This Row],[CÓDIGO]],tabExcluirDoEstoque[#Data],1,FALSE),"sim",""),"")</f>
        <v/>
      </c>
      <c r="AP503" s="313" t="str">
        <f ca="1">IF(OR(ISBLANK(tabItens[[#This Row],[ATA DT.VALID.]]),tabItens[[#This Row],[ATA DT.VALID.]]="",tabItens[[#This Row],[ATA DT.VALID.]]=" "),"",IF(TYPE(tabItens[[#This Row],[ATA DT.VALID.]])=1,ROUNDUP((tabItens[[#This Row],[ATA DT.VALID.]]-TODAY())/7,0),""))</f>
        <v/>
      </c>
      <c r="AQ503" s="314">
        <v>0</v>
      </c>
      <c r="AR503" s="315" t="str">
        <f>IF(ISBLANK(tabItens[[#This Row],[CÓDIGO]]),"",IFERROR(VLOOKUP(tabItens[[#This Row],[CÓDIGO]],Consumo!$C$2:$AC$869,26,FALSE),0))</f>
        <v>07.2023</v>
      </c>
      <c r="AS503" s="316">
        <f>SUMIF(Consumo!$C$3:$C$869,tabItens[[#This Row],[CÓDIGO]],Consumo!$N$3:$N$869) + SUMIF(Consumo!$C$3:$C$869,tabItens[[#This Row],[CÓDIGO]],Consumo!$O$3:$O$869) + SUMIF(Consumo!$C$3:$C$869,tabItens[[#This Row],[CÓDIGO]],Consumo!$P$3:$P$869) + SUMIF(Consumo!$C$3:$C$869,tabItens[[#This Row],[CÓDIGO]],Consumo!$Q$3:$Q$869)</f>
        <v>2081</v>
      </c>
      <c r="AT503" s="316">
        <f>SUMIF(Consumo!$C$3:$C$869,tabItens[[#This Row],[CÓDIGO]],Consumo!$Z$3:$Z$869)</f>
        <v>5819</v>
      </c>
      <c r="AU503" s="317">
        <f>SUMIF(Consumo!$C$3:$C$869,tabItens[[#This Row],[CÓDIGO]],Consumo!$AA$3:$AA$869)</f>
        <v>589</v>
      </c>
      <c r="AV503" s="318">
        <f>SUMIF(Consumo!$C$3:$C$869,tabItens[[#This Row],[CÓDIGO]],Consumo!$Y$3:$Y$869)</f>
        <v>484.91666666666669</v>
      </c>
      <c r="AW503" s="291">
        <f>tabItens[[#This Row],[QTDE ATUAL]] + tabItens[[#This Row],[RC QTDE]] + tabItens[[#This Row],[AF SALDO]] + tabItens[[#This Row],[Recentes]]</f>
        <v>4461</v>
      </c>
      <c r="AX503" s="319">
        <v>420</v>
      </c>
      <c r="AY503" s="319">
        <v>3</v>
      </c>
      <c r="AZ503" s="319">
        <f>IF(ISBLANK(tabItens[[#This Row],[CÓDIGO]]),"",tabItens[[#This Row],[PontoMês]] * (AZ$2+tabItens[[#This Row],[PontoQtM]]))</f>
        <v>1260</v>
      </c>
      <c r="BA503" s="318">
        <f>tabItens[[#This Row],[PontoPed]] - tabItens[[#This Row],[Saldo]] + (1/10)</f>
        <v>-3200.9</v>
      </c>
      <c r="BB503" s="318">
        <f xml:space="preserve"> tabItens[[#This Row],[PontoMês]] * BB$2 - tabItens[[#This Row],[QTDE ATUAL]] - (1/10)</f>
        <v>-4041.1</v>
      </c>
      <c r="BC503" s="320">
        <f>IF( tabItens[[#This Row],[PontoPed]]&gt;0, IF(tabItens[[#This Row],[PontoPed]]&lt;1, 1, IF( tabItens[[#This Row],[Saldo]]&gt;tabItens[[#This Row],[PontoPed]], 0, (tabItens[[#This Row],[PontoPed]]-tabItens[[#This Row],[Saldo]])/tabItens[[#This Row],[PontoPed]] ) ), 0 )</f>
        <v>0</v>
      </c>
      <c r="BD503" s="321">
        <f>ROUNDDOWN(IF( OR( AND(tabItens[[#This Row],[PontoPed]]&lt;tabItens[[#This Row],[Saldo]],tabItens[[#This Row],[Saldo]]&gt;0), tabItens[[#This Row],[PontoPed]]=0), 99, IF(AND(tabItens[[#This Row],[Saldo]]=0,tabItens[[#This Row],[PontoPed]]&gt;0), 0, (1-tabItens[[#This Row],[PctAb]])*10 ) ),0)</f>
        <v>99</v>
      </c>
      <c r="BE503" s="322">
        <f>MAX(ROUNDDOWN( IF(tabItens[[#This Row],[Abaixo]] &gt; 0,   tabItens[[#This Row],[Abaixo]] + (tabItens[[#This Row],[PontoMês]] * IF( OR( ISBLANK(tabItens[[#This Row],[ATA Nº/ANO]]), tabItens[[#This Row],[ATA Nº/ANO]] = ""),BE$2,BE$1)),0),0),0)</f>
        <v>0</v>
      </c>
      <c r="BF50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23">
        <f>SUMIF(Consumo!$C$3:$C$869,tabItens[[#This Row],[CÓDIGO]],Consumo!$E$3:$E$869)</f>
        <v>31</v>
      </c>
      <c r="BH503" s="324">
        <f>IF(AND(tabItens[[#This Row],[Pend]] &gt; 0,tabItens[[#This Row],[Consumo]] &lt;&gt; 0), tabItens[[#This Row],[Pend]] / tabItens[[#This Row],[Consumo]], 0 )</f>
        <v>5.3273758377728134E-3</v>
      </c>
      <c r="BI503" s="323"/>
      <c r="BJ503" s="323"/>
      <c r="BK503" s="325" t="s">
        <v>2064</v>
      </c>
    </row>
    <row r="504" spans="1:63" hidden="1" x14ac:dyDescent="0.3">
      <c r="A504" s="286">
        <v>13558</v>
      </c>
      <c r="B504" s="287" t="s">
        <v>1038</v>
      </c>
      <c r="C504" s="288" t="s">
        <v>294</v>
      </c>
      <c r="D504" s="289">
        <v>45.9</v>
      </c>
      <c r="E504" s="290"/>
      <c r="F504" s="290"/>
      <c r="G504" s="290" t="s">
        <v>883</v>
      </c>
      <c r="H504" s="291">
        <v>112</v>
      </c>
      <c r="I504" s="292">
        <v>103003</v>
      </c>
      <c r="J504" s="293">
        <v>45.9</v>
      </c>
      <c r="K504" s="294">
        <v>58</v>
      </c>
      <c r="L504" s="295">
        <f>IF(tabItens[[#This Row],[Média]] &gt; 0, tabItens[[#This Row],[QTDE ATUAL]] / tabItens[[#This Row],[Média]],999.9)</f>
        <v>19.764705882352938</v>
      </c>
      <c r="M504" s="296">
        <v>0</v>
      </c>
      <c r="N504" s="297">
        <f>tabItens[[#This Row],[VALOR UNIT.]] * tabItens[[#This Row],[LC]]</f>
        <v>0</v>
      </c>
      <c r="O504" s="298" t="s">
        <v>2090</v>
      </c>
      <c r="P504" s="299"/>
      <c r="Q504" s="300"/>
      <c r="R504" s="297"/>
      <c r="S504" s="301"/>
      <c r="T504" s="302">
        <f>ROUNDDOWN(IFERROR(tabItens[[#This Row],[ATA DT.VALID.]] - $D$1,0) / 30,0)</f>
        <v>-1504</v>
      </c>
      <c r="U504" s="287" t="s">
        <v>1039</v>
      </c>
      <c r="V504" s="303">
        <v>1</v>
      </c>
      <c r="W504" s="304" t="s">
        <v>2054</v>
      </c>
      <c r="X504" s="305">
        <v>61</v>
      </c>
      <c r="Y504" s="306">
        <v>2</v>
      </c>
      <c r="Z504" s="307">
        <v>2674</v>
      </c>
      <c r="AA504" s="308">
        <v>2023</v>
      </c>
      <c r="AB504" s="309">
        <v>50</v>
      </c>
      <c r="AC504" s="309"/>
      <c r="AD504" s="308"/>
      <c r="AE504" s="309"/>
      <c r="AF504" s="302"/>
      <c r="AG504" s="310" t="s">
        <v>2050</v>
      </c>
      <c r="AH504" s="311"/>
      <c r="AI504" s="302">
        <v>24</v>
      </c>
      <c r="AJ504" s="311">
        <v>44533</v>
      </c>
      <c r="AK504" s="311" t="s">
        <v>883</v>
      </c>
      <c r="AL504" s="311">
        <v>45096</v>
      </c>
      <c r="AM504" s="301"/>
      <c r="AN504" s="290"/>
      <c r="AO504" s="312" t="str">
        <f>_xlfn.IFNA(IF(VLOOKUP(tabItens[[#This Row],[CÓDIGO]],tabExcluirDoEstoque[#Data],1,FALSE),"sim",""),"")</f>
        <v/>
      </c>
      <c r="AP504" s="313" t="str">
        <f ca="1">IF(OR(ISBLANK(tabItens[[#This Row],[ATA DT.VALID.]]),tabItens[[#This Row],[ATA DT.VALID.]]="",tabItens[[#This Row],[ATA DT.VALID.]]=" "),"",IF(TYPE(tabItens[[#This Row],[ATA DT.VALID.]])=1,ROUNDUP((tabItens[[#This Row],[ATA DT.VALID.]]-TODAY())/7,0),""))</f>
        <v/>
      </c>
      <c r="AQ504" s="314">
        <v>0</v>
      </c>
      <c r="AR504" s="315" t="str">
        <f>IF(ISBLANK(tabItens[[#This Row],[CÓDIGO]]),"",IFERROR(VLOOKUP(tabItens[[#This Row],[CÓDIGO]],Consumo!$C$2:$AC$869,26,FALSE),0))</f>
        <v>07.2023</v>
      </c>
      <c r="AS504" s="316">
        <f>SUMIF(Consumo!$C$3:$C$869,tabItens[[#This Row],[CÓDIGO]],Consumo!$N$3:$N$869) + SUMIF(Consumo!$C$3:$C$869,tabItens[[#This Row],[CÓDIGO]],Consumo!$O$3:$O$869) + SUMIF(Consumo!$C$3:$C$869,tabItens[[#This Row],[CÓDIGO]],Consumo!$P$3:$P$869) + SUMIF(Consumo!$C$3:$C$869,tabItens[[#This Row],[CÓDIGO]],Consumo!$Q$3:$Q$869)</f>
        <v>21</v>
      </c>
      <c r="AT504" s="316">
        <f>SUMIF(Consumo!$C$3:$C$869,tabItens[[#This Row],[CÓDIGO]],Consumo!$Z$3:$Z$869)</f>
        <v>68</v>
      </c>
      <c r="AU504" s="317">
        <f>SUMIF(Consumo!$C$3:$C$869,tabItens[[#This Row],[CÓDIGO]],Consumo!$AA$3:$AA$869)</f>
        <v>15</v>
      </c>
      <c r="AV504" s="318">
        <f>SUMIF(Consumo!$C$3:$C$869,tabItens[[#This Row],[CÓDIGO]],Consumo!$Y$3:$Y$869)</f>
        <v>5.666666666666667</v>
      </c>
      <c r="AW504" s="291">
        <f>tabItens[[#This Row],[QTDE ATUAL]] + tabItens[[#This Row],[RC QTDE]] + tabItens[[#This Row],[AF SALDO]] + tabItens[[#This Row],[Recentes]]</f>
        <v>162</v>
      </c>
      <c r="AX504" s="319">
        <v>9</v>
      </c>
      <c r="AY504" s="319">
        <v>4</v>
      </c>
      <c r="AZ504" s="319">
        <f>IF(ISBLANK(tabItens[[#This Row],[CÓDIGO]]),"",tabItens[[#This Row],[PontoMês]] * (AZ$2+tabItens[[#This Row],[PontoQtM]]))</f>
        <v>36</v>
      </c>
      <c r="BA504" s="318">
        <f>tabItens[[#This Row],[PontoPed]] - tabItens[[#This Row],[Saldo]] + (1/10)</f>
        <v>-125.9</v>
      </c>
      <c r="BB504" s="318">
        <f xml:space="preserve"> tabItens[[#This Row],[PontoMês]] * BB$2 - tabItens[[#This Row],[QTDE ATUAL]] - (1/10)</f>
        <v>-103.1</v>
      </c>
      <c r="BC504" s="320">
        <f>IF( tabItens[[#This Row],[PontoPed]]&gt;0, IF(tabItens[[#This Row],[PontoPed]]&lt;1, 1, IF( tabItens[[#This Row],[Saldo]]&gt;tabItens[[#This Row],[PontoPed]], 0, (tabItens[[#This Row],[PontoPed]]-tabItens[[#This Row],[Saldo]])/tabItens[[#This Row],[PontoPed]] ) ), 0 )</f>
        <v>0</v>
      </c>
      <c r="BD504" s="321">
        <f>ROUNDDOWN(IF( OR( AND(tabItens[[#This Row],[PontoPed]]&lt;tabItens[[#This Row],[Saldo]],tabItens[[#This Row],[Saldo]]&gt;0), tabItens[[#This Row],[PontoPed]]=0), 99, IF(AND(tabItens[[#This Row],[Saldo]]=0,tabItens[[#This Row],[PontoPed]]&gt;0), 0, (1-tabItens[[#This Row],[PctAb]])*10 ) ),0)</f>
        <v>99</v>
      </c>
      <c r="BE504" s="322">
        <f>MAX(ROUNDDOWN( IF(tabItens[[#This Row],[Abaixo]] &gt; 0,   tabItens[[#This Row],[Abaixo]] + (tabItens[[#This Row],[PontoMês]] * IF( OR( ISBLANK(tabItens[[#This Row],[ATA Nº/ANO]]), tabItens[[#This Row],[ATA Nº/ANO]] = ""),BE$2,BE$1)),0),0),0)</f>
        <v>0</v>
      </c>
      <c r="BF50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23">
        <f>SUMIF(Consumo!$C$3:$C$869,tabItens[[#This Row],[CÓDIGO]],Consumo!$E$3:$E$869)</f>
        <v>0</v>
      </c>
      <c r="BH504" s="324">
        <f>IF(AND(tabItens[[#This Row],[Pend]] &gt; 0,tabItens[[#This Row],[Consumo]] &lt;&gt; 0), tabItens[[#This Row],[Pend]] / tabItens[[#This Row],[Consumo]], 0 )</f>
        <v>0</v>
      </c>
      <c r="BI504" s="323"/>
      <c r="BJ504" s="323"/>
      <c r="BK504" s="325" t="s">
        <v>2064</v>
      </c>
    </row>
    <row r="505" spans="1:63" x14ac:dyDescent="0.3">
      <c r="A505" s="396">
        <v>13559</v>
      </c>
      <c r="B505" s="397" t="s">
        <v>1040</v>
      </c>
      <c r="C505" s="398" t="s">
        <v>294</v>
      </c>
      <c r="D505" s="399">
        <v>89.77</v>
      </c>
      <c r="E505" s="290"/>
      <c r="F505" s="400"/>
      <c r="G505" s="400" t="s">
        <v>883</v>
      </c>
      <c r="H505" s="401">
        <v>0</v>
      </c>
      <c r="I505" s="292">
        <v>103003</v>
      </c>
      <c r="J505" s="293">
        <v>89.77</v>
      </c>
      <c r="K505" s="402">
        <v>157</v>
      </c>
      <c r="L505" s="403">
        <f>IF(tabItens[[#This Row],[Média]] &gt; 0, tabItens[[#This Row],[QTDE ATUAL]] / tabItens[[#This Row],[Média]],999.9)</f>
        <v>0</v>
      </c>
      <c r="M505" s="404">
        <v>0</v>
      </c>
      <c r="N505" s="405">
        <f>tabItens[[#This Row],[VALOR UNIT.]] * tabItens[[#This Row],[LC]]</f>
        <v>0</v>
      </c>
      <c r="O505" s="406" t="s">
        <v>2090</v>
      </c>
      <c r="P505" s="407"/>
      <c r="Q505" s="408"/>
      <c r="R505" s="297"/>
      <c r="S505" s="409"/>
      <c r="T505" s="410">
        <f>ROUNDDOWN(IFERROR(tabItens[[#This Row],[ATA DT.VALID.]] - $D$1,0) / 30,0)</f>
        <v>-1504</v>
      </c>
      <c r="U505" s="287" t="s">
        <v>1039</v>
      </c>
      <c r="V505" s="303">
        <v>1</v>
      </c>
      <c r="W505" s="411" t="s">
        <v>2054</v>
      </c>
      <c r="X505" s="412">
        <v>61</v>
      </c>
      <c r="Y505" s="413">
        <v>2</v>
      </c>
      <c r="Z505" s="414">
        <v>2676</v>
      </c>
      <c r="AA505" s="415">
        <v>2023</v>
      </c>
      <c r="AB505" s="416">
        <v>200</v>
      </c>
      <c r="AC505" s="416"/>
      <c r="AD505" s="415"/>
      <c r="AE505" s="416"/>
      <c r="AF505" s="302"/>
      <c r="AG505" s="417" t="s">
        <v>2050</v>
      </c>
      <c r="AH505" s="418"/>
      <c r="AI505" s="302">
        <v>64</v>
      </c>
      <c r="AJ505" s="418">
        <v>44578</v>
      </c>
      <c r="AK505" s="311" t="s">
        <v>883</v>
      </c>
      <c r="AL505" s="311">
        <v>44721</v>
      </c>
      <c r="AM505" s="301"/>
      <c r="AN505" s="290"/>
      <c r="AO505" s="312" t="str">
        <f>_xlfn.IFNA(IF(VLOOKUP(tabItens[[#This Row],[CÓDIGO]],tabExcluirDoEstoque[#Data],1,FALSE),"sim",""),"")</f>
        <v/>
      </c>
      <c r="AP505" s="419" t="str">
        <f ca="1">IF(OR(ISBLANK(tabItens[[#This Row],[ATA DT.VALID.]]),tabItens[[#This Row],[ATA DT.VALID.]]="",tabItens[[#This Row],[ATA DT.VALID.]]=" "),"",IF(TYPE(tabItens[[#This Row],[ATA DT.VALID.]])=1,ROUNDUP((tabItens[[#This Row],[ATA DT.VALID.]]-TODAY())/7,0),""))</f>
        <v/>
      </c>
      <c r="AQ505" s="314">
        <v>0</v>
      </c>
      <c r="AR505" s="315" t="str">
        <f>IF(ISBLANK(tabItens[[#This Row],[CÓDIGO]]),"",IFERROR(VLOOKUP(tabItens[[#This Row],[CÓDIGO]],Consumo!$C$2:$AC$869,26,FALSE),0))</f>
        <v>04.2023</v>
      </c>
      <c r="AS505" s="316">
        <f>SUMIF(Consumo!$C$3:$C$869,tabItens[[#This Row],[CÓDIGO]],Consumo!$N$3:$N$869) + SUMIF(Consumo!$C$3:$C$869,tabItens[[#This Row],[CÓDIGO]],Consumo!$O$3:$O$869) + SUMIF(Consumo!$C$3:$C$869,tabItens[[#This Row],[CÓDIGO]],Consumo!$P$3:$P$869) + SUMIF(Consumo!$C$3:$C$869,tabItens[[#This Row],[CÓDIGO]],Consumo!$Q$3:$Q$869)</f>
        <v>9</v>
      </c>
      <c r="AT505" s="316">
        <f>SUMIF(Consumo!$C$3:$C$869,tabItens[[#This Row],[CÓDIGO]],Consumo!$Z$3:$Z$869)</f>
        <v>218</v>
      </c>
      <c r="AU505" s="317">
        <f>SUMIF(Consumo!$C$3:$C$869,tabItens[[#This Row],[CÓDIGO]],Consumo!$AA$3:$AA$869)</f>
        <v>54</v>
      </c>
      <c r="AV505" s="318">
        <f>SUMIF(Consumo!$C$3:$C$869,tabItens[[#This Row],[CÓDIGO]],Consumo!$Y$3:$Y$869)</f>
        <v>17.666666666666668</v>
      </c>
      <c r="AW505" s="401">
        <f>tabItens[[#This Row],[QTDE ATUAL]] + tabItens[[#This Row],[RC QTDE]] + tabItens[[#This Row],[AF SALDO]] + tabItens[[#This Row],[Recentes]]</f>
        <v>200</v>
      </c>
      <c r="AX505" s="420">
        <v>25</v>
      </c>
      <c r="AY505" s="420">
        <v>4</v>
      </c>
      <c r="AZ505" s="420">
        <f>IF(ISBLANK(tabItens[[#This Row],[CÓDIGO]]),"",tabItens[[#This Row],[PontoMês]] * (AZ$2+tabItens[[#This Row],[PontoQtM]]))</f>
        <v>100</v>
      </c>
      <c r="BA505" s="421">
        <f>tabItens[[#This Row],[PontoPed]] - tabItens[[#This Row],[Saldo]] + (1/10)</f>
        <v>-99.9</v>
      </c>
      <c r="BB505" s="421">
        <f xml:space="preserve"> tabItens[[#This Row],[PontoMês]] * BB$2 - tabItens[[#This Row],[QTDE ATUAL]] - (1/10)</f>
        <v>24.9</v>
      </c>
      <c r="BC505" s="320">
        <f>IF( tabItens[[#This Row],[PontoPed]]&gt;0, IF(tabItens[[#This Row],[PontoPed]]&lt;1, 1, IF( tabItens[[#This Row],[Saldo]]&gt;tabItens[[#This Row],[PontoPed]], 0, (tabItens[[#This Row],[PontoPed]]-tabItens[[#This Row],[Saldo]])/tabItens[[#This Row],[PontoPed]] ) ), 0 )</f>
        <v>0</v>
      </c>
      <c r="BD505" s="422">
        <f>ROUNDDOWN(IF( OR( AND(tabItens[[#This Row],[PontoPed]]&lt;tabItens[[#This Row],[Saldo]],tabItens[[#This Row],[Saldo]]&gt;0), tabItens[[#This Row],[PontoPed]]=0), 99, IF(AND(tabItens[[#This Row],[Saldo]]=0,tabItens[[#This Row],[PontoPed]]&gt;0), 0, (1-tabItens[[#This Row],[PctAb]])*10 ) ),0)</f>
        <v>99</v>
      </c>
      <c r="BE505" s="423">
        <f>MAX(ROUNDDOWN( IF(tabItens[[#This Row],[Abaixo]] &gt; 0,   tabItens[[#This Row],[Abaixo]] + (tabItens[[#This Row],[PontoMês]] * IF( OR( ISBLANK(tabItens[[#This Row],[ATA Nº/ANO]]), tabItens[[#This Row],[ATA Nº/ANO]] = ""),BE$2,BE$1)),0),0),0)</f>
        <v>0</v>
      </c>
      <c r="BF505"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23">
        <f>SUMIF(Consumo!$C$3:$C$869,tabItens[[#This Row],[CÓDIGO]],Consumo!$E$3:$E$869)</f>
        <v>29</v>
      </c>
      <c r="BH505" s="324">
        <f>IF(AND(tabItens[[#This Row],[Pend]] &gt; 0,tabItens[[#This Row],[Consumo]] &lt;&gt; 0), tabItens[[#This Row],[Pend]] / tabItens[[#This Row],[Consumo]], 0 )</f>
        <v>0.13302752293577982</v>
      </c>
      <c r="BI505" s="323"/>
      <c r="BJ505" s="424"/>
      <c r="BK505" s="425" t="s">
        <v>2064</v>
      </c>
    </row>
    <row r="506" spans="1:63" hidden="1" x14ac:dyDescent="0.3">
      <c r="A506" s="286">
        <v>13560</v>
      </c>
      <c r="B506" s="287" t="s">
        <v>1041</v>
      </c>
      <c r="C506" s="288" t="s">
        <v>294</v>
      </c>
      <c r="D506" s="289">
        <v>70</v>
      </c>
      <c r="E506" s="290"/>
      <c r="F506" s="290"/>
      <c r="G506" s="290" t="s">
        <v>883</v>
      </c>
      <c r="H506" s="291">
        <v>42</v>
      </c>
      <c r="I506" s="292">
        <v>103003</v>
      </c>
      <c r="J506" s="293">
        <v>70</v>
      </c>
      <c r="K506" s="294">
        <v>31</v>
      </c>
      <c r="L506" s="295">
        <f>IF(tabItens[[#This Row],[Média]] &gt; 0, tabItens[[#This Row],[QTDE ATUAL]] / tabItens[[#This Row],[Média]],999.9)</f>
        <v>16.8</v>
      </c>
      <c r="M506" s="296">
        <v>0</v>
      </c>
      <c r="N506" s="297">
        <f>tabItens[[#This Row],[VALOR UNIT.]] * tabItens[[#This Row],[LC]]</f>
        <v>0</v>
      </c>
      <c r="O506" s="298" t="s">
        <v>2090</v>
      </c>
      <c r="P506" s="299"/>
      <c r="Q506" s="300"/>
      <c r="R506" s="297"/>
      <c r="S506" s="301"/>
      <c r="T506" s="302">
        <f>ROUNDDOWN(IFERROR(tabItens[[#This Row],[ATA DT.VALID.]] - $D$1,0) / 30,0)</f>
        <v>-1504</v>
      </c>
      <c r="U506" s="287" t="s">
        <v>1039</v>
      </c>
      <c r="V506" s="303">
        <v>1</v>
      </c>
      <c r="W506" s="304" t="s">
        <v>2054</v>
      </c>
      <c r="X506" s="305">
        <v>61</v>
      </c>
      <c r="Y506" s="306">
        <v>2</v>
      </c>
      <c r="Z506" s="307">
        <v>2674</v>
      </c>
      <c r="AA506" s="308">
        <v>2023</v>
      </c>
      <c r="AB506" s="309">
        <v>20</v>
      </c>
      <c r="AC506" s="309"/>
      <c r="AD506" s="308"/>
      <c r="AE506" s="309"/>
      <c r="AF506" s="302"/>
      <c r="AG506" s="310" t="s">
        <v>2050</v>
      </c>
      <c r="AH506" s="311"/>
      <c r="AI506" s="302">
        <v>12</v>
      </c>
      <c r="AJ506" s="311">
        <v>44533</v>
      </c>
      <c r="AK506" s="311" t="s">
        <v>883</v>
      </c>
      <c r="AL506" s="311">
        <v>44522</v>
      </c>
      <c r="AM506" s="301"/>
      <c r="AN506" s="290"/>
      <c r="AO506" s="312" t="str">
        <f>_xlfn.IFNA(IF(VLOOKUP(tabItens[[#This Row],[CÓDIGO]],tabExcluirDoEstoque[#Data],1,FALSE),"sim",""),"")</f>
        <v/>
      </c>
      <c r="AP506" s="313" t="str">
        <f ca="1">IF(OR(ISBLANK(tabItens[[#This Row],[ATA DT.VALID.]]),tabItens[[#This Row],[ATA DT.VALID.]]="",tabItens[[#This Row],[ATA DT.VALID.]]=" "),"",IF(TYPE(tabItens[[#This Row],[ATA DT.VALID.]])=1,ROUNDUP((tabItens[[#This Row],[ATA DT.VALID.]]-TODAY())/7,0),""))</f>
        <v/>
      </c>
      <c r="AQ506" s="314">
        <v>0</v>
      </c>
      <c r="AR506" s="315" t="str">
        <f>IF(ISBLANK(tabItens[[#This Row],[CÓDIGO]]),"",IFERROR(VLOOKUP(tabItens[[#This Row],[CÓDIGO]],Consumo!$C$2:$AC$869,26,FALSE),0))</f>
        <v>04.2023</v>
      </c>
      <c r="AS506" s="316">
        <f>SUMIF(Consumo!$C$3:$C$869,tabItens[[#This Row],[CÓDIGO]],Consumo!$N$3:$N$869) + SUMIF(Consumo!$C$3:$C$869,tabItens[[#This Row],[CÓDIGO]],Consumo!$O$3:$O$869) + SUMIF(Consumo!$C$3:$C$869,tabItens[[#This Row],[CÓDIGO]],Consumo!$P$3:$P$869) + SUMIF(Consumo!$C$3:$C$869,tabItens[[#This Row],[CÓDIGO]],Consumo!$Q$3:$Q$869)</f>
        <v>6</v>
      </c>
      <c r="AT506" s="316">
        <f>SUMIF(Consumo!$C$3:$C$869,tabItens[[#This Row],[CÓDIGO]],Consumo!$Z$3:$Z$869)</f>
        <v>33</v>
      </c>
      <c r="AU506" s="317">
        <f>SUMIF(Consumo!$C$3:$C$869,tabItens[[#This Row],[CÓDIGO]],Consumo!$AA$3:$AA$869)</f>
        <v>13</v>
      </c>
      <c r="AV506" s="318">
        <f>SUMIF(Consumo!$C$3:$C$869,tabItens[[#This Row],[CÓDIGO]],Consumo!$Y$3:$Y$869)</f>
        <v>2.5</v>
      </c>
      <c r="AW506" s="291">
        <f>tabItens[[#This Row],[QTDE ATUAL]] + tabItens[[#This Row],[RC QTDE]] + tabItens[[#This Row],[AF SALDO]] + tabItens[[#This Row],[Recentes]]</f>
        <v>62</v>
      </c>
      <c r="AX506" s="319">
        <v>5</v>
      </c>
      <c r="AY506" s="319">
        <v>4</v>
      </c>
      <c r="AZ506" s="319">
        <f>IF(ISBLANK(tabItens[[#This Row],[CÓDIGO]]),"",tabItens[[#This Row],[PontoMês]] * (AZ$2+tabItens[[#This Row],[PontoQtM]]))</f>
        <v>20</v>
      </c>
      <c r="BA506" s="318">
        <f>tabItens[[#This Row],[PontoPed]] - tabItens[[#This Row],[Saldo]] + (1/10)</f>
        <v>-41.9</v>
      </c>
      <c r="BB506" s="318">
        <f xml:space="preserve"> tabItens[[#This Row],[PontoMês]] * BB$2 - tabItens[[#This Row],[QTDE ATUAL]] - (1/10)</f>
        <v>-37.1</v>
      </c>
      <c r="BC506" s="320">
        <f>IF( tabItens[[#This Row],[PontoPed]]&gt;0, IF(tabItens[[#This Row],[PontoPed]]&lt;1, 1, IF( tabItens[[#This Row],[Saldo]]&gt;tabItens[[#This Row],[PontoPed]], 0, (tabItens[[#This Row],[PontoPed]]-tabItens[[#This Row],[Saldo]])/tabItens[[#This Row],[PontoPed]] ) ), 0 )</f>
        <v>0</v>
      </c>
      <c r="BD506" s="321">
        <f>ROUNDDOWN(IF( OR( AND(tabItens[[#This Row],[PontoPed]]&lt;tabItens[[#This Row],[Saldo]],tabItens[[#This Row],[Saldo]]&gt;0), tabItens[[#This Row],[PontoPed]]=0), 99, IF(AND(tabItens[[#This Row],[Saldo]]=0,tabItens[[#This Row],[PontoPed]]&gt;0), 0, (1-tabItens[[#This Row],[PctAb]])*10 ) ),0)</f>
        <v>99</v>
      </c>
      <c r="BE506" s="322">
        <f>MAX(ROUNDDOWN( IF(tabItens[[#This Row],[Abaixo]] &gt; 0,   tabItens[[#This Row],[Abaixo]] + (tabItens[[#This Row],[PontoMês]] * IF( OR( ISBLANK(tabItens[[#This Row],[ATA Nº/ANO]]), tabItens[[#This Row],[ATA Nº/ANO]] = ""),BE$2,BE$1)),0),0),0)</f>
        <v>0</v>
      </c>
      <c r="BF5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23">
        <f>SUMIF(Consumo!$C$3:$C$869,tabItens[[#This Row],[CÓDIGO]],Consumo!$E$3:$E$869)</f>
        <v>0</v>
      </c>
      <c r="BH506" s="324">
        <f>IF(AND(tabItens[[#This Row],[Pend]] &gt; 0,tabItens[[#This Row],[Consumo]] &lt;&gt; 0), tabItens[[#This Row],[Pend]] / tabItens[[#This Row],[Consumo]], 0 )</f>
        <v>0</v>
      </c>
      <c r="BI506" s="323"/>
      <c r="BJ506" s="323"/>
      <c r="BK506" s="325" t="s">
        <v>2064</v>
      </c>
    </row>
    <row r="507" spans="1:63" hidden="1" x14ac:dyDescent="0.3">
      <c r="A507" s="286">
        <v>13562</v>
      </c>
      <c r="B507" s="287" t="s">
        <v>1043</v>
      </c>
      <c r="C507" s="288" t="s">
        <v>294</v>
      </c>
      <c r="D507" s="289">
        <v>16.78</v>
      </c>
      <c r="E507" s="290"/>
      <c r="F507" s="290"/>
      <c r="G507" s="290" t="s">
        <v>883</v>
      </c>
      <c r="H507" s="291">
        <v>412</v>
      </c>
      <c r="I507" s="292">
        <v>103003</v>
      </c>
      <c r="J507" s="293">
        <v>16.78</v>
      </c>
      <c r="K507" s="294">
        <v>315</v>
      </c>
      <c r="L507" s="295">
        <f>IF(tabItens[[#This Row],[Média]] &gt; 0, tabItens[[#This Row],[QTDE ATUAL]] / tabItens[[#This Row],[Média]],999.9)</f>
        <v>10.865934065934066</v>
      </c>
      <c r="M507" s="296">
        <v>0</v>
      </c>
      <c r="N507" s="297">
        <f>tabItens[[#This Row],[VALOR UNIT.]] * tabItens[[#This Row],[LC]]</f>
        <v>0</v>
      </c>
      <c r="O507" s="298" t="s">
        <v>2090</v>
      </c>
      <c r="P507" s="299"/>
      <c r="Q507" s="300"/>
      <c r="R507" s="297"/>
      <c r="S507" s="301"/>
      <c r="T507" s="302">
        <f>ROUNDDOWN(IFERROR(tabItens[[#This Row],[ATA DT.VALID.]] - $D$1,0) / 30,0)</f>
        <v>-1504</v>
      </c>
      <c r="U507" s="287" t="s">
        <v>1039</v>
      </c>
      <c r="V507" s="303">
        <v>1</v>
      </c>
      <c r="W507" s="304" t="s">
        <v>2054</v>
      </c>
      <c r="X507" s="305">
        <v>61</v>
      </c>
      <c r="Y507" s="306">
        <v>2</v>
      </c>
      <c r="Z507" s="307">
        <v>2677</v>
      </c>
      <c r="AA507" s="308">
        <v>2023</v>
      </c>
      <c r="AB507" s="309">
        <v>400</v>
      </c>
      <c r="AC507" s="309"/>
      <c r="AD507" s="308"/>
      <c r="AE507" s="309"/>
      <c r="AF507" s="302"/>
      <c r="AG507" s="310" t="s">
        <v>2050</v>
      </c>
      <c r="AH507" s="311"/>
      <c r="AI507" s="302">
        <v>152</v>
      </c>
      <c r="AJ507" s="311">
        <v>44915</v>
      </c>
      <c r="AK507" s="311" t="s">
        <v>883</v>
      </c>
      <c r="AL507" s="311">
        <v>45105</v>
      </c>
      <c r="AM507" s="301"/>
      <c r="AN507" s="290"/>
      <c r="AO507" s="312" t="str">
        <f>_xlfn.IFNA(IF(VLOOKUP(tabItens[[#This Row],[CÓDIGO]],tabExcluirDoEstoque[#Data],1,FALSE),"sim",""),"")</f>
        <v/>
      </c>
      <c r="AP507" s="313" t="str">
        <f ca="1">IF(OR(ISBLANK(tabItens[[#This Row],[ATA DT.VALID.]]),tabItens[[#This Row],[ATA DT.VALID.]]="",tabItens[[#This Row],[ATA DT.VALID.]]=" "),"",IF(TYPE(tabItens[[#This Row],[ATA DT.VALID.]])=1,ROUNDUP((tabItens[[#This Row],[ATA DT.VALID.]]-TODAY())/7,0),""))</f>
        <v/>
      </c>
      <c r="AQ507" s="314">
        <v>0</v>
      </c>
      <c r="AR507" s="315" t="str">
        <f>IF(ISBLANK(tabItens[[#This Row],[CÓDIGO]]),"",IFERROR(VLOOKUP(tabItens[[#This Row],[CÓDIGO]],Consumo!$C$2:$AC$869,26,FALSE),0))</f>
        <v>07.2023</v>
      </c>
      <c r="AS507" s="316">
        <f>SUMIF(Consumo!$C$3:$C$869,tabItens[[#This Row],[CÓDIGO]],Consumo!$N$3:$N$869) + SUMIF(Consumo!$C$3:$C$869,tabItens[[#This Row],[CÓDIGO]],Consumo!$O$3:$O$869) + SUMIF(Consumo!$C$3:$C$869,tabItens[[#This Row],[CÓDIGO]],Consumo!$P$3:$P$869) + SUMIF(Consumo!$C$3:$C$869,tabItens[[#This Row],[CÓDIGO]],Consumo!$Q$3:$Q$869)</f>
        <v>138</v>
      </c>
      <c r="AT507" s="316">
        <f>SUMIF(Consumo!$C$3:$C$869,tabItens[[#This Row],[CÓDIGO]],Consumo!$Z$3:$Z$869)</f>
        <v>455</v>
      </c>
      <c r="AU507" s="317">
        <f>SUMIF(Consumo!$C$3:$C$869,tabItens[[#This Row],[CÓDIGO]],Consumo!$AA$3:$AA$869)</f>
        <v>70</v>
      </c>
      <c r="AV507" s="318">
        <f>SUMIF(Consumo!$C$3:$C$869,tabItens[[#This Row],[CÓDIGO]],Consumo!$Y$3:$Y$869)</f>
        <v>37.916666666666664</v>
      </c>
      <c r="AW507" s="291">
        <f>tabItens[[#This Row],[QTDE ATUAL]] + tabItens[[#This Row],[RC QTDE]] + tabItens[[#This Row],[AF SALDO]] + tabItens[[#This Row],[Recentes]]</f>
        <v>812</v>
      </c>
      <c r="AX507" s="319">
        <v>72</v>
      </c>
      <c r="AY507" s="319">
        <v>4</v>
      </c>
      <c r="AZ507" s="319">
        <f>IF(ISBLANK(tabItens[[#This Row],[CÓDIGO]]),"",tabItens[[#This Row],[PontoMês]] * (AZ$2+tabItens[[#This Row],[PontoQtM]]))</f>
        <v>288</v>
      </c>
      <c r="BA507" s="318">
        <f>tabItens[[#This Row],[PontoPed]] - tabItens[[#This Row],[Saldo]] + (1/10)</f>
        <v>-523.9</v>
      </c>
      <c r="BB507" s="318">
        <f xml:space="preserve"> tabItens[[#This Row],[PontoMês]] * BB$2 - tabItens[[#This Row],[QTDE ATUAL]] - (1/10)</f>
        <v>-340.1</v>
      </c>
      <c r="BC507" s="320">
        <f>IF( tabItens[[#This Row],[PontoPed]]&gt;0, IF(tabItens[[#This Row],[PontoPed]]&lt;1, 1, IF( tabItens[[#This Row],[Saldo]]&gt;tabItens[[#This Row],[PontoPed]], 0, (tabItens[[#This Row],[PontoPed]]-tabItens[[#This Row],[Saldo]])/tabItens[[#This Row],[PontoPed]] ) ), 0 )</f>
        <v>0</v>
      </c>
      <c r="BD507" s="321">
        <f>ROUNDDOWN(IF( OR( AND(tabItens[[#This Row],[PontoPed]]&lt;tabItens[[#This Row],[Saldo]],tabItens[[#This Row],[Saldo]]&gt;0), tabItens[[#This Row],[PontoPed]]=0), 99, IF(AND(tabItens[[#This Row],[Saldo]]=0,tabItens[[#This Row],[PontoPed]]&gt;0), 0, (1-tabItens[[#This Row],[PctAb]])*10 ) ),0)</f>
        <v>99</v>
      </c>
      <c r="BE507" s="322">
        <f>MAX(ROUNDDOWN( IF(tabItens[[#This Row],[Abaixo]] &gt; 0,   tabItens[[#This Row],[Abaixo]] + (tabItens[[#This Row],[PontoMês]] * IF( OR( ISBLANK(tabItens[[#This Row],[ATA Nº/ANO]]), tabItens[[#This Row],[ATA Nº/ANO]] = ""),BE$2,BE$1)),0),0),0)</f>
        <v>0</v>
      </c>
      <c r="BF50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23">
        <f>SUMIF(Consumo!$C$3:$C$869,tabItens[[#This Row],[CÓDIGO]],Consumo!$E$3:$E$869)</f>
        <v>0</v>
      </c>
      <c r="BH507" s="324">
        <f>IF(AND(tabItens[[#This Row],[Pend]] &gt; 0,tabItens[[#This Row],[Consumo]] &lt;&gt; 0), tabItens[[#This Row],[Pend]] / tabItens[[#This Row],[Consumo]], 0 )</f>
        <v>0</v>
      </c>
      <c r="BI507" s="323"/>
      <c r="BJ507" s="323"/>
      <c r="BK507" s="325" t="s">
        <v>2064</v>
      </c>
    </row>
    <row r="508" spans="1:63" hidden="1" x14ac:dyDescent="0.3">
      <c r="A508" s="286">
        <v>59018</v>
      </c>
      <c r="B508" s="287" t="s">
        <v>1335</v>
      </c>
      <c r="C508" s="288" t="s">
        <v>294</v>
      </c>
      <c r="D508" s="289">
        <v>146.83000000000001</v>
      </c>
      <c r="E508" s="290"/>
      <c r="F508" s="290"/>
      <c r="G508" s="290" t="s">
        <v>883</v>
      </c>
      <c r="H508" s="291">
        <v>732</v>
      </c>
      <c r="I508" s="292">
        <v>103003</v>
      </c>
      <c r="J508" s="293">
        <v>146.83000000000001</v>
      </c>
      <c r="K508" s="294">
        <v>217</v>
      </c>
      <c r="L508" s="295">
        <f>IF(tabItens[[#This Row],[Média]] &gt; 0, tabItens[[#This Row],[QTDE ATUAL]] / tabItens[[#This Row],[Média]],999.9)</f>
        <v>42.640776699029125</v>
      </c>
      <c r="M508" s="296">
        <v>0</v>
      </c>
      <c r="N508" s="297">
        <f>tabItens[[#This Row],[VALOR UNIT.]] * tabItens[[#This Row],[LC]]</f>
        <v>0</v>
      </c>
      <c r="O508" s="298" t="s">
        <v>2090</v>
      </c>
      <c r="P508" s="299"/>
      <c r="Q508" s="300"/>
      <c r="R508" s="297"/>
      <c r="S508" s="301"/>
      <c r="T508" s="302">
        <f>ROUNDDOWN(IFERROR(tabItens[[#This Row],[ATA DT.VALID.]] - $D$1,0) / 30,0)</f>
        <v>-1504</v>
      </c>
      <c r="U508" s="287" t="s">
        <v>1258</v>
      </c>
      <c r="V508" s="303">
        <v>1</v>
      </c>
      <c r="W508" s="304" t="s">
        <v>2056</v>
      </c>
      <c r="X508" s="305">
        <v>69</v>
      </c>
      <c r="Y508" s="306">
        <v>3</v>
      </c>
      <c r="Z508" s="307"/>
      <c r="AA508" s="308"/>
      <c r="AB508" s="309"/>
      <c r="AC508" s="309"/>
      <c r="AD508" s="308"/>
      <c r="AE508" s="309"/>
      <c r="AF508" s="302"/>
      <c r="AG508" s="310" t="s">
        <v>2050</v>
      </c>
      <c r="AH508" s="311"/>
      <c r="AI508" s="302">
        <v>76</v>
      </c>
      <c r="AJ508" s="311">
        <v>44579</v>
      </c>
      <c r="AK508" s="311" t="s">
        <v>883</v>
      </c>
      <c r="AL508" s="311">
        <v>44781</v>
      </c>
      <c r="AM508" s="301"/>
      <c r="AN508" s="290"/>
      <c r="AO508" s="312" t="str">
        <f>_xlfn.IFNA(IF(VLOOKUP(tabItens[[#This Row],[CÓDIGO]],tabExcluirDoEstoque[#Data],1,FALSE),"sim",""),"")</f>
        <v/>
      </c>
      <c r="AP508" s="313" t="str">
        <f ca="1">IF(OR(ISBLANK(tabItens[[#This Row],[ATA DT.VALID.]]),tabItens[[#This Row],[ATA DT.VALID.]]="",tabItens[[#This Row],[ATA DT.VALID.]]=" "),"",IF(TYPE(tabItens[[#This Row],[ATA DT.VALID.]])=1,ROUNDUP((tabItens[[#This Row],[ATA DT.VALID.]]-TODAY())/7,0),""))</f>
        <v/>
      </c>
      <c r="AQ508" s="314">
        <v>0</v>
      </c>
      <c r="AR508" s="315" t="str">
        <f>IF(ISBLANK(tabItens[[#This Row],[CÓDIGO]]),"",IFERROR(VLOOKUP(tabItens[[#This Row],[CÓDIGO]],Consumo!$C$2:$AC$869,26,FALSE),0))</f>
        <v>06.2023</v>
      </c>
      <c r="AS508" s="316">
        <f>SUMIF(Consumo!$C$3:$C$869,tabItens[[#This Row],[CÓDIGO]],Consumo!$N$3:$N$869) + SUMIF(Consumo!$C$3:$C$869,tabItens[[#This Row],[CÓDIGO]],Consumo!$O$3:$O$869) + SUMIF(Consumo!$C$3:$C$869,tabItens[[#This Row],[CÓDIGO]],Consumo!$P$3:$P$869) + SUMIF(Consumo!$C$3:$C$869,tabItens[[#This Row],[CÓDIGO]],Consumo!$Q$3:$Q$869)</f>
        <v>140</v>
      </c>
      <c r="AT508" s="316">
        <f>SUMIF(Consumo!$C$3:$C$869,tabItens[[#This Row],[CÓDIGO]],Consumo!$Z$3:$Z$869)</f>
        <v>228</v>
      </c>
      <c r="AU508" s="317">
        <f>SUMIF(Consumo!$C$3:$C$869,tabItens[[#This Row],[CÓDIGO]],Consumo!$AA$3:$AA$869)</f>
        <v>100</v>
      </c>
      <c r="AV508" s="318">
        <f>SUMIF(Consumo!$C$3:$C$869,tabItens[[#This Row],[CÓDIGO]],Consumo!$Y$3:$Y$869)</f>
        <v>17.166666666666668</v>
      </c>
      <c r="AW508" s="291">
        <f>tabItens[[#This Row],[QTDE ATUAL]] + tabItens[[#This Row],[RC QTDE]] + tabItens[[#This Row],[AF SALDO]] + tabItens[[#This Row],[Recentes]]</f>
        <v>732</v>
      </c>
      <c r="AX508" s="319">
        <v>25</v>
      </c>
      <c r="AY508" s="319">
        <v>4</v>
      </c>
      <c r="AZ508" s="319">
        <f>IF(ISBLANK(tabItens[[#This Row],[CÓDIGO]]),"",tabItens[[#This Row],[PontoMês]] * (AZ$2+tabItens[[#This Row],[PontoQtM]]))</f>
        <v>100</v>
      </c>
      <c r="BA508" s="318">
        <f>tabItens[[#This Row],[PontoPed]] - tabItens[[#This Row],[Saldo]] + (1/10)</f>
        <v>-631.9</v>
      </c>
      <c r="BB508" s="318">
        <f xml:space="preserve"> tabItens[[#This Row],[PontoMês]] * BB$2 - tabItens[[#This Row],[QTDE ATUAL]] - (1/10)</f>
        <v>-707.1</v>
      </c>
      <c r="BC508" s="320">
        <f>IF( tabItens[[#This Row],[PontoPed]]&gt;0, IF(tabItens[[#This Row],[PontoPed]]&lt;1, 1, IF( tabItens[[#This Row],[Saldo]]&gt;tabItens[[#This Row],[PontoPed]], 0, (tabItens[[#This Row],[PontoPed]]-tabItens[[#This Row],[Saldo]])/tabItens[[#This Row],[PontoPed]] ) ), 0 )</f>
        <v>0</v>
      </c>
      <c r="BD508" s="321">
        <f>ROUNDDOWN(IF( OR( AND(tabItens[[#This Row],[PontoPed]]&lt;tabItens[[#This Row],[Saldo]],tabItens[[#This Row],[Saldo]]&gt;0), tabItens[[#This Row],[PontoPed]]=0), 99, IF(AND(tabItens[[#This Row],[Saldo]]=0,tabItens[[#This Row],[PontoPed]]&gt;0), 0, (1-tabItens[[#This Row],[PctAb]])*10 ) ),0)</f>
        <v>99</v>
      </c>
      <c r="BE508" s="322">
        <f>MAX(ROUNDDOWN( IF(tabItens[[#This Row],[Abaixo]] &gt; 0,   tabItens[[#This Row],[Abaixo]] + (tabItens[[#This Row],[PontoMês]] * IF( OR( ISBLANK(tabItens[[#This Row],[ATA Nº/ANO]]), tabItens[[#This Row],[ATA Nº/ANO]] = ""),BE$2,BE$1)),0),0),0)</f>
        <v>0</v>
      </c>
      <c r="BF5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23">
        <f>SUMIF(Consumo!$C$3:$C$869,tabItens[[#This Row],[CÓDIGO]],Consumo!$E$3:$E$869)</f>
        <v>0</v>
      </c>
      <c r="BH508" s="324">
        <f>IF(AND(tabItens[[#This Row],[Pend]] &gt; 0,tabItens[[#This Row],[Consumo]] &lt;&gt; 0), tabItens[[#This Row],[Pend]] / tabItens[[#This Row],[Consumo]], 0 )</f>
        <v>0</v>
      </c>
      <c r="BI508" s="323"/>
      <c r="BJ508" s="323"/>
      <c r="BK508" s="325" t="s">
        <v>2064</v>
      </c>
    </row>
    <row r="509" spans="1:63" hidden="1" x14ac:dyDescent="0.3">
      <c r="A509" s="286">
        <v>88740</v>
      </c>
      <c r="B509" s="287" t="s">
        <v>1502</v>
      </c>
      <c r="C509" s="288" t="s">
        <v>256</v>
      </c>
      <c r="D509" s="289">
        <v>20.079999999999998</v>
      </c>
      <c r="E509" s="290"/>
      <c r="F509" s="290"/>
      <c r="G509" s="290" t="s">
        <v>883</v>
      </c>
      <c r="H509" s="291">
        <v>76</v>
      </c>
      <c r="I509" s="292">
        <v>103003</v>
      </c>
      <c r="J509" s="293">
        <v>20.079999999999998</v>
      </c>
      <c r="K509" s="294">
        <v>78</v>
      </c>
      <c r="L509" s="295">
        <f>IF(tabItens[[#This Row],[Média]] &gt; 0, tabItens[[#This Row],[QTDE ATUAL]] / tabItens[[#This Row],[Média]],999.9)</f>
        <v>15.724137931034484</v>
      </c>
      <c r="M509" s="296">
        <v>0</v>
      </c>
      <c r="N509" s="297">
        <f>tabItens[[#This Row],[VALOR UNIT.]] * tabItens[[#This Row],[LC]]</f>
        <v>0</v>
      </c>
      <c r="O509" s="298" t="s">
        <v>2145</v>
      </c>
      <c r="P509" s="299"/>
      <c r="Q509" s="300"/>
      <c r="R509" s="297"/>
      <c r="S509" s="301"/>
      <c r="T509" s="302">
        <f>ROUNDDOWN(IFERROR(tabItens[[#This Row],[ATA DT.VALID.]] - $D$1,0) / 30,0)</f>
        <v>-1504</v>
      </c>
      <c r="U509" s="287" t="s">
        <v>1491</v>
      </c>
      <c r="V509" s="303">
        <v>1</v>
      </c>
      <c r="W509" s="304" t="s">
        <v>2055</v>
      </c>
      <c r="X509" s="305">
        <v>55</v>
      </c>
      <c r="Y509" s="306">
        <v>26</v>
      </c>
      <c r="Z509" s="307"/>
      <c r="AA509" s="308"/>
      <c r="AB509" s="309"/>
      <c r="AC509" s="309"/>
      <c r="AD509" s="308"/>
      <c r="AE509" s="309"/>
      <c r="AF509" s="302"/>
      <c r="AG509" s="310" t="s">
        <v>2050</v>
      </c>
      <c r="AH509" s="311"/>
      <c r="AI509" s="302">
        <v>26</v>
      </c>
      <c r="AJ509" s="311">
        <v>41173</v>
      </c>
      <c r="AK509" s="311">
        <v>38656</v>
      </c>
      <c r="AL509" s="311">
        <v>44291</v>
      </c>
      <c r="AM509" s="301"/>
      <c r="AN509" s="290"/>
      <c r="AO509" s="312" t="str">
        <f>_xlfn.IFNA(IF(VLOOKUP(tabItens[[#This Row],[CÓDIGO]],tabExcluirDoEstoque[#Data],1,FALSE),"sim",""),"")</f>
        <v/>
      </c>
      <c r="AP509" s="313" t="str">
        <f ca="1">IF(OR(ISBLANK(tabItens[[#This Row],[ATA DT.VALID.]]),tabItens[[#This Row],[ATA DT.VALID.]]="",tabItens[[#This Row],[ATA DT.VALID.]]=" "),"",IF(TYPE(tabItens[[#This Row],[ATA DT.VALID.]])=1,ROUNDUP((tabItens[[#This Row],[ATA DT.VALID.]]-TODAY())/7,0),""))</f>
        <v/>
      </c>
      <c r="AQ509" s="314">
        <v>0</v>
      </c>
      <c r="AR509" s="315" t="str">
        <f>IF(ISBLANK(tabItens[[#This Row],[CÓDIGO]]),"",IFERROR(VLOOKUP(tabItens[[#This Row],[CÓDIGO]],Consumo!$C$2:$AC$869,26,FALSE),0))</f>
        <v>04.2023</v>
      </c>
      <c r="AS509" s="316">
        <f>SUMIF(Consumo!$C$3:$C$869,tabItens[[#This Row],[CÓDIGO]],Consumo!$N$3:$N$869) + SUMIF(Consumo!$C$3:$C$869,tabItens[[#This Row],[CÓDIGO]],Consumo!$O$3:$O$869) + SUMIF(Consumo!$C$3:$C$869,tabItens[[#This Row],[CÓDIGO]],Consumo!$P$3:$P$869) + SUMIF(Consumo!$C$3:$C$869,tabItens[[#This Row],[CÓDIGO]],Consumo!$Q$3:$Q$869)</f>
        <v>63</v>
      </c>
      <c r="AT509" s="316">
        <f>SUMIF(Consumo!$C$3:$C$869,tabItens[[#This Row],[CÓDIGO]],Consumo!$Z$3:$Z$869)</f>
        <v>79</v>
      </c>
      <c r="AU509" s="317">
        <f>SUMIF(Consumo!$C$3:$C$869,tabItens[[#This Row],[CÓDIGO]],Consumo!$AA$3:$AA$869)</f>
        <v>63</v>
      </c>
      <c r="AV509" s="318">
        <f>SUMIF(Consumo!$C$3:$C$869,tabItens[[#This Row],[CÓDIGO]],Consumo!$Y$3:$Y$869)</f>
        <v>4.833333333333333</v>
      </c>
      <c r="AW509" s="291">
        <f>tabItens[[#This Row],[QTDE ATUAL]] + tabItens[[#This Row],[RC QTDE]] + tabItens[[#This Row],[AF SALDO]] + tabItens[[#This Row],[Recentes]]</f>
        <v>76</v>
      </c>
      <c r="AX509" s="319">
        <v>8</v>
      </c>
      <c r="AY509" s="319">
        <v>4</v>
      </c>
      <c r="AZ509" s="319">
        <f>IF(ISBLANK(tabItens[[#This Row],[CÓDIGO]]),"",tabItens[[#This Row],[PontoMês]] * (AZ$2+tabItens[[#This Row],[PontoQtM]]))</f>
        <v>32</v>
      </c>
      <c r="BA509" s="318">
        <f>tabItens[[#This Row],[PontoPed]] - tabItens[[#This Row],[Saldo]] + (1/10)</f>
        <v>-43.9</v>
      </c>
      <c r="BB509" s="318">
        <f xml:space="preserve"> tabItens[[#This Row],[PontoMês]] * BB$2 - tabItens[[#This Row],[QTDE ATUAL]] - (1/10)</f>
        <v>-68.099999999999994</v>
      </c>
      <c r="BC509" s="320">
        <f>IF( tabItens[[#This Row],[PontoPed]]&gt;0, IF(tabItens[[#This Row],[PontoPed]]&lt;1, 1, IF( tabItens[[#This Row],[Saldo]]&gt;tabItens[[#This Row],[PontoPed]], 0, (tabItens[[#This Row],[PontoPed]]-tabItens[[#This Row],[Saldo]])/tabItens[[#This Row],[PontoPed]] ) ), 0 )</f>
        <v>0</v>
      </c>
      <c r="BD509" s="321">
        <f>ROUNDDOWN(IF( OR( AND(tabItens[[#This Row],[PontoPed]]&lt;tabItens[[#This Row],[Saldo]],tabItens[[#This Row],[Saldo]]&gt;0), tabItens[[#This Row],[PontoPed]]=0), 99, IF(AND(tabItens[[#This Row],[Saldo]]=0,tabItens[[#This Row],[PontoPed]]&gt;0), 0, (1-tabItens[[#This Row],[PctAb]])*10 ) ),0)</f>
        <v>99</v>
      </c>
      <c r="BE509" s="322">
        <f>MAX(ROUNDDOWN( IF(tabItens[[#This Row],[Abaixo]] &gt; 0,   tabItens[[#This Row],[Abaixo]] + (tabItens[[#This Row],[PontoMês]] * IF( OR( ISBLANK(tabItens[[#This Row],[ATA Nº/ANO]]), tabItens[[#This Row],[ATA Nº/ANO]] = ""),BE$2,BE$1)),0),0),0)</f>
        <v>0</v>
      </c>
      <c r="BF5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23">
        <f>SUMIF(Consumo!$C$3:$C$869,tabItens[[#This Row],[CÓDIGO]],Consumo!$E$3:$E$869)</f>
        <v>0</v>
      </c>
      <c r="BH509" s="324">
        <f>IF(AND(tabItens[[#This Row],[Pend]] &gt; 0,tabItens[[#This Row],[Consumo]] &lt;&gt; 0), tabItens[[#This Row],[Pend]] / tabItens[[#This Row],[Consumo]], 0 )</f>
        <v>0</v>
      </c>
      <c r="BI509" s="323"/>
      <c r="BJ509" s="323"/>
      <c r="BK509" s="325" t="s">
        <v>2064</v>
      </c>
    </row>
    <row r="510" spans="1:63" hidden="1" x14ac:dyDescent="0.3">
      <c r="A510" s="286">
        <v>88744</v>
      </c>
      <c r="B510" s="287" t="s">
        <v>1503</v>
      </c>
      <c r="C510" s="288" t="s">
        <v>256</v>
      </c>
      <c r="D510" s="289">
        <v>44</v>
      </c>
      <c r="E510" s="290"/>
      <c r="F510" s="290"/>
      <c r="G510" s="290" t="s">
        <v>883</v>
      </c>
      <c r="H510" s="291">
        <v>32</v>
      </c>
      <c r="I510" s="292">
        <v>103003</v>
      </c>
      <c r="J510" s="293">
        <v>44</v>
      </c>
      <c r="K510" s="294">
        <v>17</v>
      </c>
      <c r="L510" s="295">
        <f>IF(tabItens[[#This Row],[Média]] &gt; 0, tabItens[[#This Row],[QTDE ATUAL]] / tabItens[[#This Row],[Média]],999.9)</f>
        <v>21.333333333333332</v>
      </c>
      <c r="M510" s="296">
        <v>0</v>
      </c>
      <c r="N510" s="297">
        <f>tabItens[[#This Row],[VALOR UNIT.]] * tabItens[[#This Row],[LC]]</f>
        <v>0</v>
      </c>
      <c r="O510" s="298" t="s">
        <v>2145</v>
      </c>
      <c r="P510" s="299"/>
      <c r="Q510" s="300"/>
      <c r="R510" s="297"/>
      <c r="S510" s="301"/>
      <c r="T510" s="302">
        <f>ROUNDDOWN(IFERROR(tabItens[[#This Row],[ATA DT.VALID.]] - $D$1,0) / 30,0)</f>
        <v>-1504</v>
      </c>
      <c r="U510" s="287" t="s">
        <v>1491</v>
      </c>
      <c r="V510" s="303">
        <v>1</v>
      </c>
      <c r="W510" s="304" t="s">
        <v>2055</v>
      </c>
      <c r="X510" s="305">
        <v>55</v>
      </c>
      <c r="Y510" s="306">
        <v>26</v>
      </c>
      <c r="Z510" s="307"/>
      <c r="AA510" s="308"/>
      <c r="AB510" s="309"/>
      <c r="AC510" s="309"/>
      <c r="AD510" s="308"/>
      <c r="AE510" s="309"/>
      <c r="AF510" s="302"/>
      <c r="AG510" s="310" t="s">
        <v>2050</v>
      </c>
      <c r="AH510" s="311"/>
      <c r="AI510" s="302">
        <v>6</v>
      </c>
      <c r="AJ510" s="311">
        <v>44509</v>
      </c>
      <c r="AK510" s="311">
        <v>38656</v>
      </c>
      <c r="AL510" s="311">
        <v>44687</v>
      </c>
      <c r="AM510" s="301"/>
      <c r="AN510" s="290"/>
      <c r="AO510" s="312" t="str">
        <f>_xlfn.IFNA(IF(VLOOKUP(tabItens[[#This Row],[CÓDIGO]],tabExcluirDoEstoque[#Data],1,FALSE),"sim",""),"")</f>
        <v/>
      </c>
      <c r="AP510" s="313" t="str">
        <f ca="1">IF(OR(ISBLANK(tabItens[[#This Row],[ATA DT.VALID.]]),tabItens[[#This Row],[ATA DT.VALID.]]="",tabItens[[#This Row],[ATA DT.VALID.]]=" "),"",IF(TYPE(tabItens[[#This Row],[ATA DT.VALID.]])=1,ROUNDUP((tabItens[[#This Row],[ATA DT.VALID.]]-TODAY())/7,0),""))</f>
        <v/>
      </c>
      <c r="AQ510" s="314">
        <v>0</v>
      </c>
      <c r="AR510" s="315" t="str">
        <f>IF(ISBLANK(tabItens[[#This Row],[CÓDIGO]]),"",IFERROR(VLOOKUP(tabItens[[#This Row],[CÓDIGO]],Consumo!$C$2:$AC$869,26,FALSE),0))</f>
        <v>04.2023</v>
      </c>
      <c r="AS510" s="316">
        <f>SUMIF(Consumo!$C$3:$C$869,tabItens[[#This Row],[CÓDIGO]],Consumo!$N$3:$N$869) + SUMIF(Consumo!$C$3:$C$869,tabItens[[#This Row],[CÓDIGO]],Consumo!$O$3:$O$869) + SUMIF(Consumo!$C$3:$C$869,tabItens[[#This Row],[CÓDIGO]],Consumo!$P$3:$P$869) + SUMIF(Consumo!$C$3:$C$869,tabItens[[#This Row],[CÓDIGO]],Consumo!$Q$3:$Q$869)</f>
        <v>5</v>
      </c>
      <c r="AT510" s="316">
        <f>SUMIF(Consumo!$C$3:$C$869,tabItens[[#This Row],[CÓDIGO]],Consumo!$Z$3:$Z$869)</f>
        <v>18</v>
      </c>
      <c r="AU510" s="317">
        <f>SUMIF(Consumo!$C$3:$C$869,tabItens[[#This Row],[CÓDIGO]],Consumo!$AA$3:$AA$869)</f>
        <v>5</v>
      </c>
      <c r="AV510" s="318">
        <f>SUMIF(Consumo!$C$3:$C$869,tabItens[[#This Row],[CÓDIGO]],Consumo!$Y$3:$Y$869)</f>
        <v>1.5</v>
      </c>
      <c r="AW510" s="291">
        <f>tabItens[[#This Row],[QTDE ATUAL]] + tabItens[[#This Row],[RC QTDE]] + tabItens[[#This Row],[AF SALDO]] + tabItens[[#This Row],[Recentes]]</f>
        <v>32</v>
      </c>
      <c r="AX510" s="319">
        <v>3</v>
      </c>
      <c r="AY510" s="319">
        <v>4</v>
      </c>
      <c r="AZ510" s="319">
        <f>IF(ISBLANK(tabItens[[#This Row],[CÓDIGO]]),"",tabItens[[#This Row],[PontoMês]] * (AZ$2+tabItens[[#This Row],[PontoQtM]]))</f>
        <v>12</v>
      </c>
      <c r="BA510" s="318">
        <f>tabItens[[#This Row],[PontoPed]] - tabItens[[#This Row],[Saldo]] + (1/10)</f>
        <v>-19.899999999999999</v>
      </c>
      <c r="BB510" s="318">
        <f xml:space="preserve"> tabItens[[#This Row],[PontoMês]] * BB$2 - tabItens[[#This Row],[QTDE ATUAL]] - (1/10)</f>
        <v>-29.1</v>
      </c>
      <c r="BC510" s="320">
        <f>IF( tabItens[[#This Row],[PontoPed]]&gt;0, IF(tabItens[[#This Row],[PontoPed]]&lt;1, 1, IF( tabItens[[#This Row],[Saldo]]&gt;tabItens[[#This Row],[PontoPed]], 0, (tabItens[[#This Row],[PontoPed]]-tabItens[[#This Row],[Saldo]])/tabItens[[#This Row],[PontoPed]] ) ), 0 )</f>
        <v>0</v>
      </c>
      <c r="BD510" s="321">
        <f>ROUNDDOWN(IF( OR( AND(tabItens[[#This Row],[PontoPed]]&lt;tabItens[[#This Row],[Saldo]],tabItens[[#This Row],[Saldo]]&gt;0), tabItens[[#This Row],[PontoPed]]=0), 99, IF(AND(tabItens[[#This Row],[Saldo]]=0,tabItens[[#This Row],[PontoPed]]&gt;0), 0, (1-tabItens[[#This Row],[PctAb]])*10 ) ),0)</f>
        <v>99</v>
      </c>
      <c r="BE510" s="322">
        <f>MAX(ROUNDDOWN( IF(tabItens[[#This Row],[Abaixo]] &gt; 0,   tabItens[[#This Row],[Abaixo]] + (tabItens[[#This Row],[PontoMês]] * IF( OR( ISBLANK(tabItens[[#This Row],[ATA Nº/ANO]]), tabItens[[#This Row],[ATA Nº/ANO]] = ""),BE$2,BE$1)),0),0),0)</f>
        <v>0</v>
      </c>
      <c r="BF5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23">
        <f>SUMIF(Consumo!$C$3:$C$869,tabItens[[#This Row],[CÓDIGO]],Consumo!$E$3:$E$869)</f>
        <v>0</v>
      </c>
      <c r="BH510" s="324">
        <f>IF(AND(tabItens[[#This Row],[Pend]] &gt; 0,tabItens[[#This Row],[Consumo]] &lt;&gt; 0), tabItens[[#This Row],[Pend]] / tabItens[[#This Row],[Consumo]], 0 )</f>
        <v>0</v>
      </c>
      <c r="BI510" s="323"/>
      <c r="BJ510" s="323"/>
      <c r="BK510" s="325" t="s">
        <v>2064</v>
      </c>
    </row>
    <row r="511" spans="1:63" hidden="1" x14ac:dyDescent="0.3">
      <c r="A511" s="286">
        <v>88745</v>
      </c>
      <c r="B511" s="287" t="s">
        <v>1504</v>
      </c>
      <c r="C511" s="288" t="s">
        <v>256</v>
      </c>
      <c r="D511" s="289">
        <v>80</v>
      </c>
      <c r="E511" s="290"/>
      <c r="F511" s="290"/>
      <c r="G511" s="290" t="s">
        <v>883</v>
      </c>
      <c r="H511" s="291">
        <v>17</v>
      </c>
      <c r="I511" s="292">
        <v>103003</v>
      </c>
      <c r="J511" s="293">
        <v>80</v>
      </c>
      <c r="K511" s="294">
        <v>15</v>
      </c>
      <c r="L511" s="295">
        <f>IF(tabItens[[#This Row],[Média]] &gt; 0, tabItens[[#This Row],[QTDE ATUAL]] / tabItens[[#This Row],[Média]],999.9)</f>
        <v>14.571428571428571</v>
      </c>
      <c r="M511" s="296">
        <v>0</v>
      </c>
      <c r="N511" s="297">
        <f>tabItens[[#This Row],[VALOR UNIT.]] * tabItens[[#This Row],[LC]]</f>
        <v>0</v>
      </c>
      <c r="O511" s="298" t="s">
        <v>2145</v>
      </c>
      <c r="P511" s="299"/>
      <c r="Q511" s="300"/>
      <c r="R511" s="297"/>
      <c r="S511" s="301"/>
      <c r="T511" s="302">
        <f>ROUNDDOWN(IFERROR(tabItens[[#This Row],[ATA DT.VALID.]] - $D$1,0) / 30,0)</f>
        <v>-1504</v>
      </c>
      <c r="U511" s="287" t="s">
        <v>1491</v>
      </c>
      <c r="V511" s="303">
        <v>1</v>
      </c>
      <c r="W511" s="304" t="s">
        <v>2055</v>
      </c>
      <c r="X511" s="305">
        <v>55</v>
      </c>
      <c r="Y511" s="306">
        <v>26</v>
      </c>
      <c r="Z511" s="307">
        <v>2678</v>
      </c>
      <c r="AA511" s="308">
        <v>2023</v>
      </c>
      <c r="AB511" s="309">
        <v>70</v>
      </c>
      <c r="AC511" s="309"/>
      <c r="AD511" s="308"/>
      <c r="AE511" s="309"/>
      <c r="AF511" s="302"/>
      <c r="AG511" s="310" t="s">
        <v>2050</v>
      </c>
      <c r="AH511" s="311"/>
      <c r="AI511" s="302">
        <v>6</v>
      </c>
      <c r="AJ511" s="311">
        <v>44855</v>
      </c>
      <c r="AK511" s="311">
        <v>38656</v>
      </c>
      <c r="AL511" s="311">
        <v>44845</v>
      </c>
      <c r="AM511" s="301"/>
      <c r="AN511" s="290"/>
      <c r="AO511" s="312" t="str">
        <f>_xlfn.IFNA(IF(VLOOKUP(tabItens[[#This Row],[CÓDIGO]],tabExcluirDoEstoque[#Data],1,FALSE),"sim",""),"")</f>
        <v/>
      </c>
      <c r="AP511" s="313" t="str">
        <f ca="1">IF(OR(ISBLANK(tabItens[[#This Row],[ATA DT.VALID.]]),tabItens[[#This Row],[ATA DT.VALID.]]="",tabItens[[#This Row],[ATA DT.VALID.]]=" "),"",IF(TYPE(tabItens[[#This Row],[ATA DT.VALID.]])=1,ROUNDUP((tabItens[[#This Row],[ATA DT.VALID.]]-TODAY())/7,0),""))</f>
        <v/>
      </c>
      <c r="AQ511" s="314">
        <v>0</v>
      </c>
      <c r="AR511" s="315" t="str">
        <f>IF(ISBLANK(tabItens[[#This Row],[CÓDIGO]]),"",IFERROR(VLOOKUP(tabItens[[#This Row],[CÓDIGO]],Consumo!$C$2:$AC$869,26,FALSE),0))</f>
        <v>04.2023</v>
      </c>
      <c r="AS511" s="316">
        <f>SUMIF(Consumo!$C$3:$C$869,tabItens[[#This Row],[CÓDIGO]],Consumo!$N$3:$N$869) + SUMIF(Consumo!$C$3:$C$869,tabItens[[#This Row],[CÓDIGO]],Consumo!$O$3:$O$869) + SUMIF(Consumo!$C$3:$C$869,tabItens[[#This Row],[CÓDIGO]],Consumo!$P$3:$P$869) + SUMIF(Consumo!$C$3:$C$869,tabItens[[#This Row],[CÓDIGO]],Consumo!$Q$3:$Q$869)</f>
        <v>5</v>
      </c>
      <c r="AT511" s="316">
        <f>SUMIF(Consumo!$C$3:$C$869,tabItens[[#This Row],[CÓDIGO]],Consumo!$Z$3:$Z$869)</f>
        <v>15</v>
      </c>
      <c r="AU511" s="317">
        <f>SUMIF(Consumo!$C$3:$C$869,tabItens[[#This Row],[CÓDIGO]],Consumo!$AA$3:$AA$869)</f>
        <v>5</v>
      </c>
      <c r="AV511" s="318">
        <f>SUMIF(Consumo!$C$3:$C$869,tabItens[[#This Row],[CÓDIGO]],Consumo!$Y$3:$Y$869)</f>
        <v>1.1666666666666667</v>
      </c>
      <c r="AW511" s="291">
        <f>tabItens[[#This Row],[QTDE ATUAL]] + tabItens[[#This Row],[RC QTDE]] + tabItens[[#This Row],[AF SALDO]] + tabItens[[#This Row],[Recentes]]</f>
        <v>87</v>
      </c>
      <c r="AX511" s="319">
        <v>4</v>
      </c>
      <c r="AY511" s="319">
        <v>4</v>
      </c>
      <c r="AZ511" s="319">
        <f>IF(ISBLANK(tabItens[[#This Row],[CÓDIGO]]),"",tabItens[[#This Row],[PontoMês]] * (AZ$2+tabItens[[#This Row],[PontoQtM]]))</f>
        <v>16</v>
      </c>
      <c r="BA511" s="318">
        <f>tabItens[[#This Row],[PontoPed]] - tabItens[[#This Row],[Saldo]] + (1/10)</f>
        <v>-70.900000000000006</v>
      </c>
      <c r="BB511" s="318">
        <f xml:space="preserve"> tabItens[[#This Row],[PontoMês]] * BB$2 - tabItens[[#This Row],[QTDE ATUAL]] - (1/10)</f>
        <v>-13.1</v>
      </c>
      <c r="BC511" s="320">
        <f>IF( tabItens[[#This Row],[PontoPed]]&gt;0, IF(tabItens[[#This Row],[PontoPed]]&lt;1, 1, IF( tabItens[[#This Row],[Saldo]]&gt;tabItens[[#This Row],[PontoPed]], 0, (tabItens[[#This Row],[PontoPed]]-tabItens[[#This Row],[Saldo]])/tabItens[[#This Row],[PontoPed]] ) ), 0 )</f>
        <v>0</v>
      </c>
      <c r="BD511" s="321">
        <f>ROUNDDOWN(IF( OR( AND(tabItens[[#This Row],[PontoPed]]&lt;tabItens[[#This Row],[Saldo]],tabItens[[#This Row],[Saldo]]&gt;0), tabItens[[#This Row],[PontoPed]]=0), 99, IF(AND(tabItens[[#This Row],[Saldo]]=0,tabItens[[#This Row],[PontoPed]]&gt;0), 0, (1-tabItens[[#This Row],[PctAb]])*10 ) ),0)</f>
        <v>99</v>
      </c>
      <c r="BE511" s="322">
        <f>MAX(ROUNDDOWN( IF(tabItens[[#This Row],[Abaixo]] &gt; 0,   tabItens[[#This Row],[Abaixo]] + (tabItens[[#This Row],[PontoMês]] * IF( OR( ISBLANK(tabItens[[#This Row],[ATA Nº/ANO]]), tabItens[[#This Row],[ATA Nº/ANO]] = ""),BE$2,BE$1)),0),0),0)</f>
        <v>0</v>
      </c>
      <c r="BF51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23">
        <f>SUMIF(Consumo!$C$3:$C$869,tabItens[[#This Row],[CÓDIGO]],Consumo!$E$3:$E$869)</f>
        <v>0</v>
      </c>
      <c r="BH511" s="324">
        <f>IF(AND(tabItens[[#This Row],[Pend]] &gt; 0,tabItens[[#This Row],[Consumo]] &lt;&gt; 0), tabItens[[#This Row],[Pend]] / tabItens[[#This Row],[Consumo]], 0 )</f>
        <v>0</v>
      </c>
      <c r="BI511" s="323"/>
      <c r="BJ511" s="323"/>
      <c r="BK511" s="325" t="s">
        <v>2064</v>
      </c>
    </row>
    <row r="512" spans="1:63" hidden="1" x14ac:dyDescent="0.3">
      <c r="A512" s="286">
        <v>88746</v>
      </c>
      <c r="B512" s="287" t="s">
        <v>1505</v>
      </c>
      <c r="C512" s="288" t="s">
        <v>256</v>
      </c>
      <c r="D512" s="289">
        <v>158.69999999999999</v>
      </c>
      <c r="E512" s="290"/>
      <c r="F512" s="290"/>
      <c r="G512" s="290" t="s">
        <v>883</v>
      </c>
      <c r="H512" s="291">
        <v>42</v>
      </c>
      <c r="I512" s="292">
        <v>103003</v>
      </c>
      <c r="J512" s="293">
        <v>158.69999999999999</v>
      </c>
      <c r="K512" s="294">
        <v>10</v>
      </c>
      <c r="L512" s="295">
        <f>IF(tabItens[[#This Row],[Média]] &gt; 0, tabItens[[#This Row],[QTDE ATUAL]] / tabItens[[#This Row],[Média]],999.9)</f>
        <v>63</v>
      </c>
      <c r="M512" s="296">
        <v>0</v>
      </c>
      <c r="N512" s="297">
        <f>tabItens[[#This Row],[VALOR UNIT.]] * tabItens[[#This Row],[LC]]</f>
        <v>0</v>
      </c>
      <c r="O512" s="298" t="s">
        <v>2145</v>
      </c>
      <c r="P512" s="299"/>
      <c r="Q512" s="300"/>
      <c r="R512" s="297"/>
      <c r="S512" s="301"/>
      <c r="T512" s="302">
        <f>ROUNDDOWN(IFERROR(tabItens[[#This Row],[ATA DT.VALID.]] - $D$1,0) / 30,0)</f>
        <v>-1504</v>
      </c>
      <c r="U512" s="287" t="s">
        <v>1491</v>
      </c>
      <c r="V512" s="303">
        <v>1</v>
      </c>
      <c r="W512" s="304" t="s">
        <v>2055</v>
      </c>
      <c r="X512" s="305">
        <v>55</v>
      </c>
      <c r="Y512" s="306">
        <v>26</v>
      </c>
      <c r="Z512" s="307"/>
      <c r="AA512" s="308"/>
      <c r="AB512" s="309"/>
      <c r="AC512" s="309"/>
      <c r="AD512" s="308"/>
      <c r="AE512" s="309"/>
      <c r="AF512" s="302"/>
      <c r="AG512" s="310" t="s">
        <v>2050</v>
      </c>
      <c r="AH512" s="311"/>
      <c r="AI512" s="302">
        <v>4</v>
      </c>
      <c r="AJ512" s="311">
        <v>43818</v>
      </c>
      <c r="AK512" s="311">
        <v>38656</v>
      </c>
      <c r="AL512" s="311">
        <v>44923</v>
      </c>
      <c r="AM512" s="301"/>
      <c r="AN512" s="290"/>
      <c r="AO512" s="312" t="str">
        <f>_xlfn.IFNA(IF(VLOOKUP(tabItens[[#This Row],[CÓDIGO]],tabExcluirDoEstoque[#Data],1,FALSE),"sim",""),"")</f>
        <v/>
      </c>
      <c r="AP512" s="313" t="str">
        <f ca="1">IF(OR(ISBLANK(tabItens[[#This Row],[ATA DT.VALID.]]),tabItens[[#This Row],[ATA DT.VALID.]]="",tabItens[[#This Row],[ATA DT.VALID.]]=" "),"",IF(TYPE(tabItens[[#This Row],[ATA DT.VALID.]])=1,ROUNDUP((tabItens[[#This Row],[ATA DT.VALID.]]-TODAY())/7,0),""))</f>
        <v/>
      </c>
      <c r="AQ512" s="314">
        <v>0</v>
      </c>
      <c r="AR512" s="315" t="str">
        <f>IF(ISBLANK(tabItens[[#This Row],[CÓDIGO]]),"",IFERROR(VLOOKUP(tabItens[[#This Row],[CÓDIGO]],Consumo!$C$2:$AC$869,26,FALSE),0))</f>
        <v>04.2023</v>
      </c>
      <c r="AS512" s="316">
        <f>SUMIF(Consumo!$C$3:$C$869,tabItens[[#This Row],[CÓDIGO]],Consumo!$N$3:$N$869) + SUMIF(Consumo!$C$3:$C$869,tabItens[[#This Row],[CÓDIGO]],Consumo!$O$3:$O$869) + SUMIF(Consumo!$C$3:$C$869,tabItens[[#This Row],[CÓDIGO]],Consumo!$P$3:$P$869) + SUMIF(Consumo!$C$3:$C$869,tabItens[[#This Row],[CÓDIGO]],Consumo!$Q$3:$Q$869)</f>
        <v>5</v>
      </c>
      <c r="AT512" s="316">
        <f>SUMIF(Consumo!$C$3:$C$869,tabItens[[#This Row],[CÓDIGO]],Consumo!$Z$3:$Z$869)</f>
        <v>10</v>
      </c>
      <c r="AU512" s="317">
        <f>SUMIF(Consumo!$C$3:$C$869,tabItens[[#This Row],[CÓDIGO]],Consumo!$AA$3:$AA$869)</f>
        <v>5</v>
      </c>
      <c r="AV512" s="318">
        <f>SUMIF(Consumo!$C$3:$C$869,tabItens[[#This Row],[CÓDIGO]],Consumo!$Y$3:$Y$869)</f>
        <v>0.66666666666666663</v>
      </c>
      <c r="AW512" s="291">
        <f>tabItens[[#This Row],[QTDE ATUAL]] + tabItens[[#This Row],[RC QTDE]] + tabItens[[#This Row],[AF SALDO]] + tabItens[[#This Row],[Recentes]]</f>
        <v>42</v>
      </c>
      <c r="AX512" s="319">
        <v>3</v>
      </c>
      <c r="AY512" s="319">
        <v>4</v>
      </c>
      <c r="AZ512" s="319">
        <f>IF(ISBLANK(tabItens[[#This Row],[CÓDIGO]]),"",tabItens[[#This Row],[PontoMês]] * (AZ$2+tabItens[[#This Row],[PontoQtM]]))</f>
        <v>12</v>
      </c>
      <c r="BA512" s="318">
        <f>tabItens[[#This Row],[PontoPed]] - tabItens[[#This Row],[Saldo]] + (1/10)</f>
        <v>-29.9</v>
      </c>
      <c r="BB512" s="318">
        <f xml:space="preserve"> tabItens[[#This Row],[PontoMês]] * BB$2 - tabItens[[#This Row],[QTDE ATUAL]] - (1/10)</f>
        <v>-39.1</v>
      </c>
      <c r="BC512" s="320">
        <f>IF( tabItens[[#This Row],[PontoPed]]&gt;0, IF(tabItens[[#This Row],[PontoPed]]&lt;1, 1, IF( tabItens[[#This Row],[Saldo]]&gt;tabItens[[#This Row],[PontoPed]], 0, (tabItens[[#This Row],[PontoPed]]-tabItens[[#This Row],[Saldo]])/tabItens[[#This Row],[PontoPed]] ) ), 0 )</f>
        <v>0</v>
      </c>
      <c r="BD512" s="321">
        <f>ROUNDDOWN(IF( OR( AND(tabItens[[#This Row],[PontoPed]]&lt;tabItens[[#This Row],[Saldo]],tabItens[[#This Row],[Saldo]]&gt;0), tabItens[[#This Row],[PontoPed]]=0), 99, IF(AND(tabItens[[#This Row],[Saldo]]=0,tabItens[[#This Row],[PontoPed]]&gt;0), 0, (1-tabItens[[#This Row],[PctAb]])*10 ) ),0)</f>
        <v>99</v>
      </c>
      <c r="BE512" s="322">
        <f>MAX(ROUNDDOWN( IF(tabItens[[#This Row],[Abaixo]] &gt; 0,   tabItens[[#This Row],[Abaixo]] + (tabItens[[#This Row],[PontoMês]] * IF( OR( ISBLANK(tabItens[[#This Row],[ATA Nº/ANO]]), tabItens[[#This Row],[ATA Nº/ANO]] = ""),BE$2,BE$1)),0),0),0)</f>
        <v>0</v>
      </c>
      <c r="BF5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23">
        <f>SUMIF(Consumo!$C$3:$C$869,tabItens[[#This Row],[CÓDIGO]],Consumo!$E$3:$E$869)</f>
        <v>0</v>
      </c>
      <c r="BH512" s="324">
        <f>IF(AND(tabItens[[#This Row],[Pend]] &gt; 0,tabItens[[#This Row],[Consumo]] &lt;&gt; 0), tabItens[[#This Row],[Pend]] / tabItens[[#This Row],[Consumo]], 0 )</f>
        <v>0</v>
      </c>
      <c r="BI512" s="323"/>
      <c r="BJ512" s="323"/>
      <c r="BK512" s="325" t="s">
        <v>2064</v>
      </c>
    </row>
    <row r="513" spans="1:63" x14ac:dyDescent="0.3">
      <c r="A513" s="396">
        <v>102820</v>
      </c>
      <c r="B513" s="397" t="s">
        <v>1583</v>
      </c>
      <c r="C513" s="398" t="s">
        <v>256</v>
      </c>
      <c r="D513" s="399">
        <v>233.33</v>
      </c>
      <c r="E513" s="290"/>
      <c r="F513" s="400"/>
      <c r="G513" s="400" t="s">
        <v>883</v>
      </c>
      <c r="H513" s="401">
        <v>0</v>
      </c>
      <c r="I513" s="292">
        <v>103003</v>
      </c>
      <c r="J513" s="293">
        <v>233.33</v>
      </c>
      <c r="K513" s="402">
        <v>5</v>
      </c>
      <c r="L513" s="403">
        <f>IF(tabItens[[#This Row],[Média]] &gt; 0, tabItens[[#This Row],[QTDE ATUAL]] / tabItens[[#This Row],[Média]],999.9)</f>
        <v>0</v>
      </c>
      <c r="M513" s="404">
        <v>0</v>
      </c>
      <c r="N513" s="405">
        <f>tabItens[[#This Row],[VALOR UNIT.]] * tabItens[[#This Row],[LC]]</f>
        <v>0</v>
      </c>
      <c r="O513" s="406" t="s">
        <v>2145</v>
      </c>
      <c r="P513" s="407"/>
      <c r="Q513" s="408"/>
      <c r="R513" s="297"/>
      <c r="S513" s="409"/>
      <c r="T513" s="410">
        <f>ROUNDDOWN(IFERROR(tabItens[[#This Row],[ATA DT.VALID.]] - $D$1,0) / 30,0)</f>
        <v>-1504</v>
      </c>
      <c r="U513" s="287" t="s">
        <v>1491</v>
      </c>
      <c r="V513" s="303">
        <v>1</v>
      </c>
      <c r="W513" s="411" t="s">
        <v>2055</v>
      </c>
      <c r="X513" s="412">
        <v>55</v>
      </c>
      <c r="Y513" s="413">
        <v>26</v>
      </c>
      <c r="Z513" s="414">
        <v>2234</v>
      </c>
      <c r="AA513" s="415">
        <v>2023</v>
      </c>
      <c r="AB513" s="416">
        <v>20</v>
      </c>
      <c r="AC513" s="416"/>
      <c r="AD513" s="415"/>
      <c r="AE513" s="416"/>
      <c r="AF513" s="302"/>
      <c r="AG513" s="417" t="s">
        <v>2050</v>
      </c>
      <c r="AH513" s="418"/>
      <c r="AI513" s="302">
        <v>2</v>
      </c>
      <c r="AJ513" s="418">
        <v>44874</v>
      </c>
      <c r="AK513" s="311">
        <v>39374</v>
      </c>
      <c r="AL513" s="311">
        <v>44845</v>
      </c>
      <c r="AM513" s="301"/>
      <c r="AN513" s="290"/>
      <c r="AO513" s="312" t="str">
        <f>_xlfn.IFNA(IF(VLOOKUP(tabItens[[#This Row],[CÓDIGO]],tabExcluirDoEstoque[#Data],1,FALSE),"sim",""),"")</f>
        <v/>
      </c>
      <c r="AP513" s="419" t="str">
        <f ca="1">IF(OR(ISBLANK(tabItens[[#This Row],[ATA DT.VALID.]]),tabItens[[#This Row],[ATA DT.VALID.]]="",tabItens[[#This Row],[ATA DT.VALID.]]=" "),"",IF(TYPE(tabItens[[#This Row],[ATA DT.VALID.]])=1,ROUNDUP((tabItens[[#This Row],[ATA DT.VALID.]]-TODAY())/7,0),""))</f>
        <v/>
      </c>
      <c r="AQ513" s="314">
        <v>0</v>
      </c>
      <c r="AR513" s="315" t="str">
        <f>IF(ISBLANK(tabItens[[#This Row],[CÓDIGO]]),"",IFERROR(VLOOKUP(tabItens[[#This Row],[CÓDIGO]],Consumo!$C$2:$AC$869,26,FALSE),0))</f>
        <v>01.2023</v>
      </c>
      <c r="AS513" s="316">
        <f>SUMIF(Consumo!$C$3:$C$869,tabItens[[#This Row],[CÓDIGO]],Consumo!$N$3:$N$869) + SUMIF(Consumo!$C$3:$C$869,tabItens[[#This Row],[CÓDIGO]],Consumo!$O$3:$O$869) + SUMIF(Consumo!$C$3:$C$869,tabItens[[#This Row],[CÓDIGO]],Consumo!$P$3:$P$869) + SUMIF(Consumo!$C$3:$C$869,tabItens[[#This Row],[CÓDIGO]],Consumo!$Q$3:$Q$869)</f>
        <v>0</v>
      </c>
      <c r="AT513" s="316">
        <f>SUMIF(Consumo!$C$3:$C$869,tabItens[[#This Row],[CÓDIGO]],Consumo!$Z$3:$Z$869)</f>
        <v>5</v>
      </c>
      <c r="AU513" s="317">
        <f>SUMIF(Consumo!$C$3:$C$869,tabItens[[#This Row],[CÓDIGO]],Consumo!$AA$3:$AA$869)</f>
        <v>3</v>
      </c>
      <c r="AV513" s="318">
        <f>SUMIF(Consumo!$C$3:$C$869,tabItens[[#This Row],[CÓDIGO]],Consumo!$Y$3:$Y$869)</f>
        <v>0.33333333333333331</v>
      </c>
      <c r="AW513" s="401">
        <f>tabItens[[#This Row],[QTDE ATUAL]] + tabItens[[#This Row],[RC QTDE]] + tabItens[[#This Row],[AF SALDO]] + tabItens[[#This Row],[Recentes]]</f>
        <v>20</v>
      </c>
      <c r="AX513" s="420">
        <v>3</v>
      </c>
      <c r="AY513" s="420">
        <v>4</v>
      </c>
      <c r="AZ513" s="420">
        <f>IF(ISBLANK(tabItens[[#This Row],[CÓDIGO]]),"",tabItens[[#This Row],[PontoMês]] * (AZ$2+tabItens[[#This Row],[PontoQtM]]))</f>
        <v>12</v>
      </c>
      <c r="BA513" s="421">
        <f>tabItens[[#This Row],[PontoPed]] - tabItens[[#This Row],[Saldo]] + (1/10)</f>
        <v>-7.9</v>
      </c>
      <c r="BB513" s="421">
        <f xml:space="preserve"> tabItens[[#This Row],[PontoMês]] * BB$2 - tabItens[[#This Row],[QTDE ATUAL]] - (1/10)</f>
        <v>2.9</v>
      </c>
      <c r="BC513" s="320">
        <f>IF( tabItens[[#This Row],[PontoPed]]&gt;0, IF(tabItens[[#This Row],[PontoPed]]&lt;1, 1, IF( tabItens[[#This Row],[Saldo]]&gt;tabItens[[#This Row],[PontoPed]], 0, (tabItens[[#This Row],[PontoPed]]-tabItens[[#This Row],[Saldo]])/tabItens[[#This Row],[PontoPed]] ) ), 0 )</f>
        <v>0</v>
      </c>
      <c r="BD513" s="422">
        <f>ROUNDDOWN(IF( OR( AND(tabItens[[#This Row],[PontoPed]]&lt;tabItens[[#This Row],[Saldo]],tabItens[[#This Row],[Saldo]]&gt;0), tabItens[[#This Row],[PontoPed]]=0), 99, IF(AND(tabItens[[#This Row],[Saldo]]=0,tabItens[[#This Row],[PontoPed]]&gt;0), 0, (1-tabItens[[#This Row],[PctAb]])*10 ) ),0)</f>
        <v>99</v>
      </c>
      <c r="BE513" s="423">
        <f>MAX(ROUNDDOWN( IF(tabItens[[#This Row],[Abaixo]] &gt; 0,   tabItens[[#This Row],[Abaixo]] + (tabItens[[#This Row],[PontoMês]] * IF( OR( ISBLANK(tabItens[[#This Row],[ATA Nº/ANO]]), tabItens[[#This Row],[ATA Nº/ANO]] = ""),BE$2,BE$1)),0),0),0)</f>
        <v>0</v>
      </c>
      <c r="BF51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23">
        <f>SUMIF(Consumo!$C$3:$C$869,tabItens[[#This Row],[CÓDIGO]],Consumo!$E$3:$E$869)</f>
        <v>0</v>
      </c>
      <c r="BH513" s="324">
        <f>IF(AND(tabItens[[#This Row],[Pend]] &gt; 0,tabItens[[#This Row],[Consumo]] &lt;&gt; 0), tabItens[[#This Row],[Pend]] / tabItens[[#This Row],[Consumo]], 0 )</f>
        <v>0</v>
      </c>
      <c r="BI513" s="323"/>
      <c r="BJ513" s="424"/>
      <c r="BK513" s="425" t="s">
        <v>2064</v>
      </c>
    </row>
    <row r="514" spans="1:63" x14ac:dyDescent="0.3">
      <c r="A514" s="396">
        <v>136898</v>
      </c>
      <c r="B514" s="397" t="s">
        <v>1940</v>
      </c>
      <c r="C514" s="398" t="s">
        <v>31</v>
      </c>
      <c r="D514" s="399">
        <v>19.920000000000002</v>
      </c>
      <c r="E514" s="290"/>
      <c r="F514" s="400"/>
      <c r="G514" s="400" t="s">
        <v>883</v>
      </c>
      <c r="H514" s="401">
        <v>0</v>
      </c>
      <c r="I514" s="292">
        <v>103003</v>
      </c>
      <c r="J514" s="293">
        <v>19.920000000000002</v>
      </c>
      <c r="K514" s="402">
        <v>147</v>
      </c>
      <c r="L514" s="403">
        <f>IF(tabItens[[#This Row],[Média]] &gt; 0, tabItens[[#This Row],[QTDE ATUAL]] / tabItens[[#This Row],[Média]],999.9)</f>
        <v>0</v>
      </c>
      <c r="M514" s="404">
        <v>0</v>
      </c>
      <c r="N514" s="405">
        <f>tabItens[[#This Row],[VALOR UNIT.]] * tabItens[[#This Row],[LC]]</f>
        <v>0</v>
      </c>
      <c r="O514" s="406" t="s">
        <v>2145</v>
      </c>
      <c r="P514" s="407"/>
      <c r="Q514" s="408"/>
      <c r="R514" s="297"/>
      <c r="S514" s="409"/>
      <c r="T514" s="410">
        <f>ROUNDDOWN(IFERROR(tabItens[[#This Row],[ATA DT.VALID.]] - $D$1,0) / 30,0)</f>
        <v>-1504</v>
      </c>
      <c r="U514" s="287" t="s">
        <v>1083</v>
      </c>
      <c r="V514" s="303">
        <v>1</v>
      </c>
      <c r="W514" s="411" t="s">
        <v>2055</v>
      </c>
      <c r="X514" s="412">
        <v>55</v>
      </c>
      <c r="Y514" s="413">
        <v>49</v>
      </c>
      <c r="Z514" s="414">
        <v>2234</v>
      </c>
      <c r="AA514" s="415">
        <v>2023</v>
      </c>
      <c r="AB514" s="416">
        <v>300</v>
      </c>
      <c r="AC514" s="416"/>
      <c r="AD514" s="415"/>
      <c r="AE514" s="416"/>
      <c r="AF514" s="302"/>
      <c r="AG514" s="417" t="s">
        <v>2050</v>
      </c>
      <c r="AH514" s="418"/>
      <c r="AI514" s="302">
        <v>50</v>
      </c>
      <c r="AJ514" s="418">
        <v>44957</v>
      </c>
      <c r="AK514" s="311">
        <v>43584</v>
      </c>
      <c r="AL514" s="311">
        <v>44917</v>
      </c>
      <c r="AM514" s="301"/>
      <c r="AN514" s="290"/>
      <c r="AO514" s="312" t="str">
        <f>_xlfn.IFNA(IF(VLOOKUP(tabItens[[#This Row],[CÓDIGO]],tabExcluirDoEstoque[#Data],1,FALSE),"sim",""),"")</f>
        <v/>
      </c>
      <c r="AP514" s="419" t="str">
        <f ca="1">IF(OR(ISBLANK(tabItens[[#This Row],[ATA DT.VALID.]]),tabItens[[#This Row],[ATA DT.VALID.]]="",tabItens[[#This Row],[ATA DT.VALID.]]=" "),"",IF(TYPE(tabItens[[#This Row],[ATA DT.VALID.]])=1,ROUNDUP((tabItens[[#This Row],[ATA DT.VALID.]]-TODAY())/7,0),""))</f>
        <v/>
      </c>
      <c r="AQ514" s="314">
        <v>0</v>
      </c>
      <c r="AR514" s="315" t="str">
        <f>IF(ISBLANK(tabItens[[#This Row],[CÓDIGO]]),"",IFERROR(VLOOKUP(tabItens[[#This Row],[CÓDIGO]],Consumo!$C$2:$AC$869,26,FALSE),0))</f>
        <v>02.2023</v>
      </c>
      <c r="AS514" s="316">
        <f>SUMIF(Consumo!$C$3:$C$869,tabItens[[#This Row],[CÓDIGO]],Consumo!$N$3:$N$869) + SUMIF(Consumo!$C$3:$C$869,tabItens[[#This Row],[CÓDIGO]],Consumo!$O$3:$O$869) + SUMIF(Consumo!$C$3:$C$869,tabItens[[#This Row],[CÓDIGO]],Consumo!$P$3:$P$869) + SUMIF(Consumo!$C$3:$C$869,tabItens[[#This Row],[CÓDIGO]],Consumo!$Q$3:$Q$869)</f>
        <v>0</v>
      </c>
      <c r="AT514" s="316">
        <f>SUMIF(Consumo!$C$3:$C$869,tabItens[[#This Row],[CÓDIGO]],Consumo!$Z$3:$Z$869)</f>
        <v>169</v>
      </c>
      <c r="AU514" s="317">
        <f>SUMIF(Consumo!$C$3:$C$869,tabItens[[#This Row],[CÓDIGO]],Consumo!$AA$3:$AA$869)</f>
        <v>50</v>
      </c>
      <c r="AV514" s="318">
        <f>SUMIF(Consumo!$C$3:$C$869,tabItens[[#This Row],[CÓDIGO]],Consumo!$Y$3:$Y$869)</f>
        <v>14.083333333333334</v>
      </c>
      <c r="AW514" s="401">
        <f>tabItens[[#This Row],[QTDE ATUAL]] + tabItens[[#This Row],[RC QTDE]] + tabItens[[#This Row],[AF SALDO]] + tabItens[[#This Row],[Recentes]]</f>
        <v>300</v>
      </c>
      <c r="AX514" s="420">
        <v>5</v>
      </c>
      <c r="AY514" s="420">
        <v>4</v>
      </c>
      <c r="AZ514" s="420">
        <f>IF(ISBLANK(tabItens[[#This Row],[CÓDIGO]]),"",tabItens[[#This Row],[PontoMês]] * (AZ$2+tabItens[[#This Row],[PontoQtM]]))</f>
        <v>20</v>
      </c>
      <c r="BA514" s="421">
        <f>tabItens[[#This Row],[PontoPed]] - tabItens[[#This Row],[Saldo]] + (1/10)</f>
        <v>-279.89999999999998</v>
      </c>
      <c r="BB514" s="421">
        <f xml:space="preserve"> tabItens[[#This Row],[PontoMês]] * BB$2 - tabItens[[#This Row],[QTDE ATUAL]] - (1/10)</f>
        <v>4.9000000000000004</v>
      </c>
      <c r="BC514" s="320">
        <f>IF( tabItens[[#This Row],[PontoPed]]&gt;0, IF(tabItens[[#This Row],[PontoPed]]&lt;1, 1, IF( tabItens[[#This Row],[Saldo]]&gt;tabItens[[#This Row],[PontoPed]], 0, (tabItens[[#This Row],[PontoPed]]-tabItens[[#This Row],[Saldo]])/tabItens[[#This Row],[PontoPed]] ) ), 0 )</f>
        <v>0</v>
      </c>
      <c r="BD514" s="422">
        <f>ROUNDDOWN(IF( OR( AND(tabItens[[#This Row],[PontoPed]]&lt;tabItens[[#This Row],[Saldo]],tabItens[[#This Row],[Saldo]]&gt;0), tabItens[[#This Row],[PontoPed]]=0), 99, IF(AND(tabItens[[#This Row],[Saldo]]=0,tabItens[[#This Row],[PontoPed]]&gt;0), 0, (1-tabItens[[#This Row],[PctAb]])*10 ) ),0)</f>
        <v>99</v>
      </c>
      <c r="BE514" s="423">
        <f>MAX(ROUNDDOWN( IF(tabItens[[#This Row],[Abaixo]] &gt; 0,   tabItens[[#This Row],[Abaixo]] + (tabItens[[#This Row],[PontoMês]] * IF( OR( ISBLANK(tabItens[[#This Row],[ATA Nº/ANO]]), tabItens[[#This Row],[ATA Nº/ANO]] = ""),BE$2,BE$1)),0),0),0)</f>
        <v>0</v>
      </c>
      <c r="BF514"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23">
        <f>SUMIF(Consumo!$C$3:$C$869,tabItens[[#This Row],[CÓDIGO]],Consumo!$E$3:$E$869)</f>
        <v>22</v>
      </c>
      <c r="BH514" s="324">
        <f>IF(AND(tabItens[[#This Row],[Pend]] &gt; 0,tabItens[[#This Row],[Consumo]] &lt;&gt; 0), tabItens[[#This Row],[Pend]] / tabItens[[#This Row],[Consumo]], 0 )</f>
        <v>0.13017751479289941</v>
      </c>
      <c r="BI514" s="323"/>
      <c r="BJ514" s="424"/>
      <c r="BK514" s="425" t="s">
        <v>2064</v>
      </c>
    </row>
    <row r="515" spans="1:63" hidden="1" x14ac:dyDescent="0.3">
      <c r="A515" s="286">
        <v>136896</v>
      </c>
      <c r="B515" s="287" t="s">
        <v>1939</v>
      </c>
      <c r="C515" s="288" t="s">
        <v>31</v>
      </c>
      <c r="D515" s="289">
        <v>12.6</v>
      </c>
      <c r="E515" s="290"/>
      <c r="F515" s="290"/>
      <c r="G515" s="290" t="s">
        <v>883</v>
      </c>
      <c r="H515" s="291">
        <v>197</v>
      </c>
      <c r="I515" s="292">
        <v>103003</v>
      </c>
      <c r="J515" s="293">
        <v>12.6</v>
      </c>
      <c r="K515" s="294">
        <v>911</v>
      </c>
      <c r="L515" s="295">
        <f>IF(tabItens[[#This Row],[Média]] &gt; 0, tabItens[[#This Row],[QTDE ATUAL]] / tabItens[[#This Row],[Média]],999.9)</f>
        <v>2.0646288209606984</v>
      </c>
      <c r="M515" s="296">
        <v>0</v>
      </c>
      <c r="N515" s="297">
        <f>tabItens[[#This Row],[VALOR UNIT.]] * tabItens[[#This Row],[LC]]</f>
        <v>0</v>
      </c>
      <c r="O515" s="298" t="s">
        <v>2145</v>
      </c>
      <c r="P515" s="299"/>
      <c r="Q515" s="300"/>
      <c r="R515" s="297"/>
      <c r="S515" s="301"/>
      <c r="T515" s="302">
        <f>ROUNDDOWN(IFERROR(tabItens[[#This Row],[ATA DT.VALID.]] - $D$1,0) / 30,0)</f>
        <v>-1504</v>
      </c>
      <c r="U515" s="287" t="s">
        <v>1870</v>
      </c>
      <c r="V515" s="303">
        <v>1</v>
      </c>
      <c r="W515" s="304" t="s">
        <v>2055</v>
      </c>
      <c r="X515" s="305">
        <v>55</v>
      </c>
      <c r="Y515" s="306">
        <v>66</v>
      </c>
      <c r="Z515" s="307">
        <v>2679</v>
      </c>
      <c r="AA515" s="308">
        <v>2023</v>
      </c>
      <c r="AB515" s="309">
        <v>500</v>
      </c>
      <c r="AC515" s="309"/>
      <c r="AD515" s="308"/>
      <c r="AE515" s="309"/>
      <c r="AF515" s="302"/>
      <c r="AG515" s="310" t="s">
        <v>2050</v>
      </c>
      <c r="AH515" s="311"/>
      <c r="AI515" s="302">
        <v>382</v>
      </c>
      <c r="AJ515" s="311">
        <v>44635</v>
      </c>
      <c r="AK515" s="311">
        <v>43584</v>
      </c>
      <c r="AL515" s="311">
        <v>44616</v>
      </c>
      <c r="AM515" s="301"/>
      <c r="AN515" s="290"/>
      <c r="AO515" s="312" t="str">
        <f>_xlfn.IFNA(IF(VLOOKUP(tabItens[[#This Row],[CÓDIGO]],tabExcluirDoEstoque[#Data],1,FALSE),"sim",""),"")</f>
        <v/>
      </c>
      <c r="AP515" s="313" t="str">
        <f ca="1">IF(OR(ISBLANK(tabItens[[#This Row],[ATA DT.VALID.]]),tabItens[[#This Row],[ATA DT.VALID.]]="",tabItens[[#This Row],[ATA DT.VALID.]]=" "),"",IF(TYPE(tabItens[[#This Row],[ATA DT.VALID.]])=1,ROUNDUP((tabItens[[#This Row],[ATA DT.VALID.]]-TODAY())/7,0),""))</f>
        <v/>
      </c>
      <c r="AQ515" s="314">
        <v>0</v>
      </c>
      <c r="AR515" s="315" t="str">
        <f>IF(ISBLANK(tabItens[[#This Row],[CÓDIGO]]),"",IFERROR(VLOOKUP(tabItens[[#This Row],[CÓDIGO]],Consumo!$C$2:$AC$869,26,FALSE),0))</f>
        <v>07.2023</v>
      </c>
      <c r="AS515" s="316">
        <f>SUMIF(Consumo!$C$3:$C$869,tabItens[[#This Row],[CÓDIGO]],Consumo!$N$3:$N$869) + SUMIF(Consumo!$C$3:$C$869,tabItens[[#This Row],[CÓDIGO]],Consumo!$O$3:$O$869) + SUMIF(Consumo!$C$3:$C$869,tabItens[[#This Row],[CÓDIGO]],Consumo!$P$3:$P$869) + SUMIF(Consumo!$C$3:$C$869,tabItens[[#This Row],[CÓDIGO]],Consumo!$Q$3:$Q$869)</f>
        <v>544</v>
      </c>
      <c r="AT515" s="316">
        <f>SUMIF(Consumo!$C$3:$C$869,tabItens[[#This Row],[CÓDIGO]],Consumo!$Z$3:$Z$869)</f>
        <v>1145</v>
      </c>
      <c r="AU515" s="317">
        <f>SUMIF(Consumo!$C$3:$C$869,tabItens[[#This Row],[CÓDIGO]],Consumo!$AA$3:$AA$869)</f>
        <v>224</v>
      </c>
      <c r="AV515" s="318">
        <f>SUMIF(Consumo!$C$3:$C$869,tabItens[[#This Row],[CÓDIGO]],Consumo!$Y$3:$Y$869)</f>
        <v>95.416666666666671</v>
      </c>
      <c r="AW515" s="291">
        <f>tabItens[[#This Row],[QTDE ATUAL]] + tabItens[[#This Row],[RC QTDE]] + tabItens[[#This Row],[AF SALDO]] + tabItens[[#This Row],[Recentes]]</f>
        <v>697</v>
      </c>
      <c r="AX515" s="319">
        <v>97</v>
      </c>
      <c r="AY515" s="319">
        <v>4</v>
      </c>
      <c r="AZ515" s="319">
        <f>IF(ISBLANK(tabItens[[#This Row],[CÓDIGO]]),"",tabItens[[#This Row],[PontoMês]] * (AZ$2+tabItens[[#This Row],[PontoQtM]]))</f>
        <v>388</v>
      </c>
      <c r="BA515" s="318">
        <f>tabItens[[#This Row],[PontoPed]] - tabItens[[#This Row],[Saldo]] + (1/10)</f>
        <v>-308.89999999999998</v>
      </c>
      <c r="BB515" s="318">
        <f xml:space="preserve"> tabItens[[#This Row],[PontoMês]] * BB$2 - tabItens[[#This Row],[QTDE ATUAL]] - (1/10)</f>
        <v>-100.1</v>
      </c>
      <c r="BC515" s="320">
        <f>IF( tabItens[[#This Row],[PontoPed]]&gt;0, IF(tabItens[[#This Row],[PontoPed]]&lt;1, 1, IF( tabItens[[#This Row],[Saldo]]&gt;tabItens[[#This Row],[PontoPed]], 0, (tabItens[[#This Row],[PontoPed]]-tabItens[[#This Row],[Saldo]])/tabItens[[#This Row],[PontoPed]] ) ), 0 )</f>
        <v>0</v>
      </c>
      <c r="BD515" s="321">
        <f>ROUNDDOWN(IF( OR( AND(tabItens[[#This Row],[PontoPed]]&lt;tabItens[[#This Row],[Saldo]],tabItens[[#This Row],[Saldo]]&gt;0), tabItens[[#This Row],[PontoPed]]=0), 99, IF(AND(tabItens[[#This Row],[Saldo]]=0,tabItens[[#This Row],[PontoPed]]&gt;0), 0, (1-tabItens[[#This Row],[PctAb]])*10 ) ),0)</f>
        <v>99</v>
      </c>
      <c r="BE515" s="322">
        <f>MAX(ROUNDDOWN( IF(tabItens[[#This Row],[Abaixo]] &gt; 0,   tabItens[[#This Row],[Abaixo]] + (tabItens[[#This Row],[PontoMês]] * IF( OR( ISBLANK(tabItens[[#This Row],[ATA Nº/ANO]]), tabItens[[#This Row],[ATA Nº/ANO]] = ""),BE$2,BE$1)),0),0),0)</f>
        <v>0</v>
      </c>
      <c r="BF5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23">
        <f>SUMIF(Consumo!$C$3:$C$869,tabItens[[#This Row],[CÓDIGO]],Consumo!$E$3:$E$869)</f>
        <v>0</v>
      </c>
      <c r="BH515" s="324">
        <f>IF(AND(tabItens[[#This Row],[Pend]] &gt; 0,tabItens[[#This Row],[Consumo]] &lt;&gt; 0), tabItens[[#This Row],[Pend]] / tabItens[[#This Row],[Consumo]], 0 )</f>
        <v>0</v>
      </c>
      <c r="BI515" s="323"/>
      <c r="BJ515" s="323"/>
      <c r="BK515" s="325" t="s">
        <v>2064</v>
      </c>
    </row>
    <row r="516" spans="1:63" hidden="1" x14ac:dyDescent="0.3">
      <c r="A516" s="286">
        <v>130634</v>
      </c>
      <c r="B516" s="287" t="s">
        <v>1798</v>
      </c>
      <c r="C516" s="288" t="s">
        <v>256</v>
      </c>
      <c r="D516" s="289">
        <v>15.95</v>
      </c>
      <c r="E516" s="290"/>
      <c r="F516" s="290"/>
      <c r="G516" s="290" t="s">
        <v>883</v>
      </c>
      <c r="H516" s="291">
        <v>1077</v>
      </c>
      <c r="I516" s="292">
        <v>103003</v>
      </c>
      <c r="J516" s="293">
        <v>15.95</v>
      </c>
      <c r="K516" s="294">
        <v>1104</v>
      </c>
      <c r="L516" s="295">
        <f>IF(tabItens[[#This Row],[Média]] &gt; 0, tabItens[[#This Row],[QTDE ATUAL]] / tabItens[[#This Row],[Média]],999.9)</f>
        <v>10.778982485404503</v>
      </c>
      <c r="M516" s="296">
        <v>0</v>
      </c>
      <c r="N516" s="297">
        <f>tabItens[[#This Row],[VALOR UNIT.]] * tabItens[[#This Row],[LC]]</f>
        <v>0</v>
      </c>
      <c r="O516" s="298" t="s">
        <v>2141</v>
      </c>
      <c r="P516" s="299"/>
      <c r="Q516" s="300"/>
      <c r="R516" s="297"/>
      <c r="S516" s="301"/>
      <c r="T516" s="302">
        <f>ROUNDDOWN(IFERROR(tabItens[[#This Row],[ATA DT.VALID.]] - $D$1,0) / 30,0)</f>
        <v>-1504</v>
      </c>
      <c r="U516" s="287" t="s">
        <v>1554</v>
      </c>
      <c r="V516" s="303">
        <v>1</v>
      </c>
      <c r="W516" s="304" t="s">
        <v>2049</v>
      </c>
      <c r="X516" s="305">
        <v>51</v>
      </c>
      <c r="Y516" s="306">
        <v>24</v>
      </c>
      <c r="Z516" s="307"/>
      <c r="AA516" s="308"/>
      <c r="AB516" s="309"/>
      <c r="AC516" s="309"/>
      <c r="AD516" s="308"/>
      <c r="AE516" s="309"/>
      <c r="AF516" s="302"/>
      <c r="AG516" s="310" t="s">
        <v>2050</v>
      </c>
      <c r="AH516" s="311"/>
      <c r="AI516" s="302">
        <v>820</v>
      </c>
      <c r="AJ516" s="311">
        <v>44924</v>
      </c>
      <c r="AK516" s="311">
        <v>42208</v>
      </c>
      <c r="AL516" s="311">
        <v>45000</v>
      </c>
      <c r="AM516" s="301"/>
      <c r="AN516" s="290"/>
      <c r="AO516" s="312" t="str">
        <f>_xlfn.IFNA(IF(VLOOKUP(tabItens[[#This Row],[CÓDIGO]],tabExcluirDoEstoque[#Data],1,FALSE),"sim",""),"")</f>
        <v/>
      </c>
      <c r="AP516" s="313" t="str">
        <f ca="1">IF(OR(ISBLANK(tabItens[[#This Row],[ATA DT.VALID.]]),tabItens[[#This Row],[ATA DT.VALID.]]="",tabItens[[#This Row],[ATA DT.VALID.]]=" "),"",IF(TYPE(tabItens[[#This Row],[ATA DT.VALID.]])=1,ROUNDUP((tabItens[[#This Row],[ATA DT.VALID.]]-TODAY())/7,0),""))</f>
        <v/>
      </c>
      <c r="AQ516" s="314">
        <v>0</v>
      </c>
      <c r="AR516" s="315" t="str">
        <f>IF(ISBLANK(tabItens[[#This Row],[CÓDIGO]]),"",IFERROR(VLOOKUP(tabItens[[#This Row],[CÓDIGO]],Consumo!$C$2:$AC$869,26,FALSE),0))</f>
        <v>06.2023</v>
      </c>
      <c r="AS516" s="316">
        <f>SUMIF(Consumo!$C$3:$C$869,tabItens[[#This Row],[CÓDIGO]],Consumo!$N$3:$N$869) + SUMIF(Consumo!$C$3:$C$869,tabItens[[#This Row],[CÓDIGO]],Consumo!$O$3:$O$869) + SUMIF(Consumo!$C$3:$C$869,tabItens[[#This Row],[CÓDIGO]],Consumo!$P$3:$P$869) + SUMIF(Consumo!$C$3:$C$869,tabItens[[#This Row],[CÓDIGO]],Consumo!$Q$3:$Q$869)</f>
        <v>714</v>
      </c>
      <c r="AT516" s="316">
        <f>SUMIF(Consumo!$C$3:$C$869,tabItens[[#This Row],[CÓDIGO]],Consumo!$Z$3:$Z$869)</f>
        <v>1257</v>
      </c>
      <c r="AU516" s="317">
        <f>SUMIF(Consumo!$C$3:$C$869,tabItens[[#This Row],[CÓDIGO]],Consumo!$AA$3:$AA$869)</f>
        <v>409</v>
      </c>
      <c r="AV516" s="318">
        <f>SUMIF(Consumo!$C$3:$C$869,tabItens[[#This Row],[CÓDIGO]],Consumo!$Y$3:$Y$869)</f>
        <v>99.916666666666671</v>
      </c>
      <c r="AW516" s="291">
        <f>tabItens[[#This Row],[QTDE ATUAL]] + tabItens[[#This Row],[RC QTDE]] + tabItens[[#This Row],[AF SALDO]] + tabItens[[#This Row],[Recentes]]</f>
        <v>1077</v>
      </c>
      <c r="AX516" s="319">
        <v>113</v>
      </c>
      <c r="AY516" s="319">
        <v>4</v>
      </c>
      <c r="AZ516" s="319">
        <f>IF(ISBLANK(tabItens[[#This Row],[CÓDIGO]]),"",tabItens[[#This Row],[PontoMês]] * (AZ$2+tabItens[[#This Row],[PontoQtM]]))</f>
        <v>452</v>
      </c>
      <c r="BA516" s="318">
        <f>tabItens[[#This Row],[PontoPed]] - tabItens[[#This Row],[Saldo]] + (1/10)</f>
        <v>-624.9</v>
      </c>
      <c r="BB516" s="318">
        <f xml:space="preserve"> tabItens[[#This Row],[PontoMês]] * BB$2 - tabItens[[#This Row],[QTDE ATUAL]] - (1/10)</f>
        <v>-964.1</v>
      </c>
      <c r="BC516" s="320">
        <f>IF( tabItens[[#This Row],[PontoPed]]&gt;0, IF(tabItens[[#This Row],[PontoPed]]&lt;1, 1, IF( tabItens[[#This Row],[Saldo]]&gt;tabItens[[#This Row],[PontoPed]], 0, (tabItens[[#This Row],[PontoPed]]-tabItens[[#This Row],[Saldo]])/tabItens[[#This Row],[PontoPed]] ) ), 0 )</f>
        <v>0</v>
      </c>
      <c r="BD516" s="321">
        <f>ROUNDDOWN(IF( OR( AND(tabItens[[#This Row],[PontoPed]]&lt;tabItens[[#This Row],[Saldo]],tabItens[[#This Row],[Saldo]]&gt;0), tabItens[[#This Row],[PontoPed]]=0), 99, IF(AND(tabItens[[#This Row],[Saldo]]=0,tabItens[[#This Row],[PontoPed]]&gt;0), 0, (1-tabItens[[#This Row],[PctAb]])*10 ) ),0)</f>
        <v>99</v>
      </c>
      <c r="BE516" s="322">
        <f>MAX(ROUNDDOWN( IF(tabItens[[#This Row],[Abaixo]] &gt; 0,   tabItens[[#This Row],[Abaixo]] + (tabItens[[#This Row],[PontoMês]] * IF( OR( ISBLANK(tabItens[[#This Row],[ATA Nº/ANO]]), tabItens[[#This Row],[ATA Nº/ANO]] = ""),BE$2,BE$1)),0),0),0)</f>
        <v>0</v>
      </c>
      <c r="BF5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23">
        <f>SUMIF(Consumo!$C$3:$C$869,tabItens[[#This Row],[CÓDIGO]],Consumo!$E$3:$E$869)</f>
        <v>0</v>
      </c>
      <c r="BH516" s="324">
        <f>IF(AND(tabItens[[#This Row],[Pend]] &gt; 0,tabItens[[#This Row],[Consumo]] &lt;&gt; 0), tabItens[[#This Row],[Pend]] / tabItens[[#This Row],[Consumo]], 0 )</f>
        <v>0</v>
      </c>
      <c r="BI516" s="323"/>
      <c r="BJ516" s="323"/>
      <c r="BK516" s="325" t="s">
        <v>2064</v>
      </c>
    </row>
    <row r="517" spans="1:63" hidden="1" x14ac:dyDescent="0.3">
      <c r="A517" s="286">
        <v>115840</v>
      </c>
      <c r="B517" s="287" t="s">
        <v>1711</v>
      </c>
      <c r="C517" s="288" t="s">
        <v>31</v>
      </c>
      <c r="D517" s="289">
        <v>849.2</v>
      </c>
      <c r="E517" s="290"/>
      <c r="F517" s="290"/>
      <c r="G517" s="290" t="s">
        <v>883</v>
      </c>
      <c r="H517" s="291">
        <v>25</v>
      </c>
      <c r="I517" s="292">
        <v>103003</v>
      </c>
      <c r="J517" s="293">
        <v>849.2</v>
      </c>
      <c r="K517" s="294">
        <v>7</v>
      </c>
      <c r="L517" s="295">
        <f>IF(tabItens[[#This Row],[Média]] &gt; 0, tabItens[[#This Row],[QTDE ATUAL]] / tabItens[[#This Row],[Média]],999.9)</f>
        <v>60</v>
      </c>
      <c r="M517" s="296">
        <v>0</v>
      </c>
      <c r="N517" s="297">
        <f>tabItens[[#This Row],[VALOR UNIT.]] * tabItens[[#This Row],[LC]]</f>
        <v>0</v>
      </c>
      <c r="O517" s="298" t="s">
        <v>2141</v>
      </c>
      <c r="P517" s="299"/>
      <c r="Q517" s="300"/>
      <c r="R517" s="297"/>
      <c r="S517" s="301"/>
      <c r="T517" s="302">
        <f>ROUNDDOWN(IFERROR(tabItens[[#This Row],[ATA DT.VALID.]] - $D$1,0) / 30,0)</f>
        <v>-1504</v>
      </c>
      <c r="U517" s="287" t="s">
        <v>1211</v>
      </c>
      <c r="V517" s="303">
        <v>1</v>
      </c>
      <c r="W517" s="304" t="s">
        <v>2049</v>
      </c>
      <c r="X517" s="305">
        <v>51</v>
      </c>
      <c r="Y517" s="306">
        <v>26</v>
      </c>
      <c r="Z517" s="307"/>
      <c r="AA517" s="308"/>
      <c r="AB517" s="309"/>
      <c r="AC517" s="309"/>
      <c r="AD517" s="308"/>
      <c r="AE517" s="309"/>
      <c r="AF517" s="302"/>
      <c r="AG517" s="310" t="s">
        <v>2050</v>
      </c>
      <c r="AH517" s="311"/>
      <c r="AI517" s="302">
        <v>0</v>
      </c>
      <c r="AJ517" s="311">
        <v>44188</v>
      </c>
      <c r="AK517" s="311">
        <v>40357</v>
      </c>
      <c r="AL517" s="311">
        <v>44176</v>
      </c>
      <c r="AM517" s="301"/>
      <c r="AN517" s="290"/>
      <c r="AO517" s="312" t="str">
        <f>_xlfn.IFNA(IF(VLOOKUP(tabItens[[#This Row],[CÓDIGO]],tabExcluirDoEstoque[#Data],1,FALSE),"sim",""),"")</f>
        <v/>
      </c>
      <c r="AP517" s="313" t="str">
        <f ca="1">IF(OR(ISBLANK(tabItens[[#This Row],[ATA DT.VALID.]]),tabItens[[#This Row],[ATA DT.VALID.]]="",tabItens[[#This Row],[ATA DT.VALID.]]=" "),"",IF(TYPE(tabItens[[#This Row],[ATA DT.VALID.]])=1,ROUNDUP((tabItens[[#This Row],[ATA DT.VALID.]]-TODAY())/7,0),""))</f>
        <v/>
      </c>
      <c r="AQ517" s="314">
        <v>0</v>
      </c>
      <c r="AR517" s="315" t="str">
        <f>IF(ISBLANK(tabItens[[#This Row],[CÓDIGO]]),"",IFERROR(VLOOKUP(tabItens[[#This Row],[CÓDIGO]],Consumo!$C$2:$AC$869,26,FALSE),0))</f>
        <v>07.2023</v>
      </c>
      <c r="AS517" s="316">
        <f>SUMIF(Consumo!$C$3:$C$869,tabItens[[#This Row],[CÓDIGO]],Consumo!$N$3:$N$869) + SUMIF(Consumo!$C$3:$C$869,tabItens[[#This Row],[CÓDIGO]],Consumo!$O$3:$O$869) + SUMIF(Consumo!$C$3:$C$869,tabItens[[#This Row],[CÓDIGO]],Consumo!$P$3:$P$869) + SUMIF(Consumo!$C$3:$C$869,tabItens[[#This Row],[CÓDIGO]],Consumo!$Q$3:$Q$869)</f>
        <v>7</v>
      </c>
      <c r="AT517" s="316">
        <f>SUMIF(Consumo!$C$3:$C$869,tabItens[[#This Row],[CÓDIGO]],Consumo!$Z$3:$Z$869)</f>
        <v>7</v>
      </c>
      <c r="AU517" s="317">
        <f>SUMIF(Consumo!$C$3:$C$869,tabItens[[#This Row],[CÓDIGO]],Consumo!$AA$3:$AA$869)</f>
        <v>6</v>
      </c>
      <c r="AV517" s="318">
        <f>SUMIF(Consumo!$C$3:$C$869,tabItens[[#This Row],[CÓDIGO]],Consumo!$Y$3:$Y$869)</f>
        <v>0.41666666666666669</v>
      </c>
      <c r="AW517" s="291">
        <f>tabItens[[#This Row],[QTDE ATUAL]] + tabItens[[#This Row],[RC QTDE]] + tabItens[[#This Row],[AF SALDO]] + tabItens[[#This Row],[Recentes]]</f>
        <v>25</v>
      </c>
      <c r="AX517" s="319">
        <v>3</v>
      </c>
      <c r="AY517" s="319">
        <v>4</v>
      </c>
      <c r="AZ517" s="319">
        <f>IF(ISBLANK(tabItens[[#This Row],[CÓDIGO]]),"",tabItens[[#This Row],[PontoMês]] * (AZ$2+tabItens[[#This Row],[PontoQtM]]))</f>
        <v>12</v>
      </c>
      <c r="BA517" s="318">
        <f>tabItens[[#This Row],[PontoPed]] - tabItens[[#This Row],[Saldo]] + (1/10)</f>
        <v>-12.9</v>
      </c>
      <c r="BB517" s="318">
        <f xml:space="preserve"> tabItens[[#This Row],[PontoMês]] * BB$2 - tabItens[[#This Row],[QTDE ATUAL]] - (1/10)</f>
        <v>-22.1</v>
      </c>
      <c r="BC517" s="320">
        <f>IF( tabItens[[#This Row],[PontoPed]]&gt;0, IF(tabItens[[#This Row],[PontoPed]]&lt;1, 1, IF( tabItens[[#This Row],[Saldo]]&gt;tabItens[[#This Row],[PontoPed]], 0, (tabItens[[#This Row],[PontoPed]]-tabItens[[#This Row],[Saldo]])/tabItens[[#This Row],[PontoPed]] ) ), 0 )</f>
        <v>0</v>
      </c>
      <c r="BD517" s="321">
        <f>ROUNDDOWN(IF( OR( AND(tabItens[[#This Row],[PontoPed]]&lt;tabItens[[#This Row],[Saldo]],tabItens[[#This Row],[Saldo]]&gt;0), tabItens[[#This Row],[PontoPed]]=0), 99, IF(AND(tabItens[[#This Row],[Saldo]]=0,tabItens[[#This Row],[PontoPed]]&gt;0), 0, (1-tabItens[[#This Row],[PctAb]])*10 ) ),0)</f>
        <v>99</v>
      </c>
      <c r="BE517" s="322">
        <f>MAX(ROUNDDOWN( IF(tabItens[[#This Row],[Abaixo]] &gt; 0,   tabItens[[#This Row],[Abaixo]] + (tabItens[[#This Row],[PontoMês]] * IF( OR( ISBLANK(tabItens[[#This Row],[ATA Nº/ANO]]), tabItens[[#This Row],[ATA Nº/ANO]] = ""),BE$2,BE$1)),0),0),0)</f>
        <v>0</v>
      </c>
      <c r="BF51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23">
        <f>SUMIF(Consumo!$C$3:$C$869,tabItens[[#This Row],[CÓDIGO]],Consumo!$E$3:$E$869)</f>
        <v>0</v>
      </c>
      <c r="BH517" s="324">
        <f>IF(AND(tabItens[[#This Row],[Pend]] &gt; 0,tabItens[[#This Row],[Consumo]] &lt;&gt; 0), tabItens[[#This Row],[Pend]] / tabItens[[#This Row],[Consumo]], 0 )</f>
        <v>0</v>
      </c>
      <c r="BI517" s="323"/>
      <c r="BJ517" s="323"/>
      <c r="BK517" s="325" t="s">
        <v>2064</v>
      </c>
    </row>
    <row r="518" spans="1:63" x14ac:dyDescent="0.3">
      <c r="A518" s="396">
        <v>78509</v>
      </c>
      <c r="B518" s="397" t="s">
        <v>1443</v>
      </c>
      <c r="C518" s="398" t="s">
        <v>256</v>
      </c>
      <c r="D518" s="399">
        <v>206.5</v>
      </c>
      <c r="E518" s="290"/>
      <c r="F518" s="400"/>
      <c r="G518" s="400" t="s">
        <v>883</v>
      </c>
      <c r="H518" s="401">
        <v>0</v>
      </c>
      <c r="I518" s="292">
        <v>103003</v>
      </c>
      <c r="J518" s="293">
        <v>206.5</v>
      </c>
      <c r="K518" s="402">
        <v>14</v>
      </c>
      <c r="L518" s="403">
        <f>IF(tabItens[[#This Row],[Média]] &gt; 0, tabItens[[#This Row],[QTDE ATUAL]] / tabItens[[#This Row],[Média]],999.9)</f>
        <v>0</v>
      </c>
      <c r="M518" s="404">
        <v>0</v>
      </c>
      <c r="N518" s="405">
        <f>tabItens[[#This Row],[VALOR UNIT.]] * tabItens[[#This Row],[LC]]</f>
        <v>0</v>
      </c>
      <c r="O518" s="406" t="s">
        <v>2141</v>
      </c>
      <c r="P518" s="407"/>
      <c r="Q518" s="408"/>
      <c r="R518" s="297"/>
      <c r="S518" s="409"/>
      <c r="T518" s="410">
        <f>ROUNDDOWN(IFERROR(tabItens[[#This Row],[ATA DT.VALID.]] - $D$1,0) / 30,0)</f>
        <v>-1504</v>
      </c>
      <c r="U518" s="287" t="s">
        <v>1436</v>
      </c>
      <c r="V518" s="303">
        <v>1</v>
      </c>
      <c r="W518" s="411" t="s">
        <v>2049</v>
      </c>
      <c r="X518" s="412">
        <v>51</v>
      </c>
      <c r="Y518" s="413">
        <v>36</v>
      </c>
      <c r="Z518" s="414"/>
      <c r="AA518" s="415"/>
      <c r="AB518" s="416"/>
      <c r="AC518" s="416">
        <v>8938</v>
      </c>
      <c r="AD518" s="415">
        <v>2023</v>
      </c>
      <c r="AE518" s="416">
        <v>15</v>
      </c>
      <c r="AF518" s="302">
        <v>15</v>
      </c>
      <c r="AG518" s="417" t="s">
        <v>2042</v>
      </c>
      <c r="AH518" s="418">
        <v>45162</v>
      </c>
      <c r="AI518" s="302">
        <v>6</v>
      </c>
      <c r="AJ518" s="418">
        <v>44550</v>
      </c>
      <c r="AK518" s="311">
        <v>38100</v>
      </c>
      <c r="AL518" s="311">
        <v>45131</v>
      </c>
      <c r="AM518" s="301"/>
      <c r="AN518" s="290"/>
      <c r="AO518" s="312" t="str">
        <f>_xlfn.IFNA(IF(VLOOKUP(tabItens[[#This Row],[CÓDIGO]],tabExcluirDoEstoque[#Data],1,FALSE),"sim",""),"")</f>
        <v/>
      </c>
      <c r="AP518" s="419" t="str">
        <f ca="1">IF(OR(ISBLANK(tabItens[[#This Row],[ATA DT.VALID.]]),tabItens[[#This Row],[ATA DT.VALID.]]="",tabItens[[#This Row],[ATA DT.VALID.]]=" "),"",IF(TYPE(tabItens[[#This Row],[ATA DT.VALID.]])=1,ROUNDUP((tabItens[[#This Row],[ATA DT.VALID.]]-TODAY())/7,0),""))</f>
        <v/>
      </c>
      <c r="AQ518" s="314">
        <v>0</v>
      </c>
      <c r="AR518" s="315" t="str">
        <f>IF(ISBLANK(tabItens[[#This Row],[CÓDIGO]]),"",IFERROR(VLOOKUP(tabItens[[#This Row],[CÓDIGO]],Consumo!$C$2:$AC$869,26,FALSE),0))</f>
        <v>04.2023</v>
      </c>
      <c r="AS518" s="316">
        <f>SUMIF(Consumo!$C$3:$C$869,tabItens[[#This Row],[CÓDIGO]],Consumo!$N$3:$N$869) + SUMIF(Consumo!$C$3:$C$869,tabItens[[#This Row],[CÓDIGO]],Consumo!$O$3:$O$869) + SUMIF(Consumo!$C$3:$C$869,tabItens[[#This Row],[CÓDIGO]],Consumo!$P$3:$P$869) + SUMIF(Consumo!$C$3:$C$869,tabItens[[#This Row],[CÓDIGO]],Consumo!$Q$3:$Q$869)</f>
        <v>1</v>
      </c>
      <c r="AT518" s="316">
        <f>SUMIF(Consumo!$C$3:$C$869,tabItens[[#This Row],[CÓDIGO]],Consumo!$Z$3:$Z$869)</f>
        <v>17</v>
      </c>
      <c r="AU518" s="317">
        <f>SUMIF(Consumo!$C$3:$C$869,tabItens[[#This Row],[CÓDIGO]],Consumo!$AA$3:$AA$869)</f>
        <v>3</v>
      </c>
      <c r="AV518" s="318">
        <f>SUMIF(Consumo!$C$3:$C$869,tabItens[[#This Row],[CÓDIGO]],Consumo!$Y$3:$Y$869)</f>
        <v>1.4166666666666667</v>
      </c>
      <c r="AW518" s="401">
        <f>tabItens[[#This Row],[QTDE ATUAL]] + tabItens[[#This Row],[RC QTDE]] + tabItens[[#This Row],[AF SALDO]] + tabItens[[#This Row],[Recentes]]</f>
        <v>15</v>
      </c>
      <c r="AX518" s="420">
        <v>1</v>
      </c>
      <c r="AY518" s="420">
        <v>4</v>
      </c>
      <c r="AZ518" s="420">
        <f>IF(ISBLANK(tabItens[[#This Row],[CÓDIGO]]),"",tabItens[[#This Row],[PontoMês]] * (AZ$2+tabItens[[#This Row],[PontoQtM]]))</f>
        <v>4</v>
      </c>
      <c r="BA518" s="421">
        <f>tabItens[[#This Row],[PontoPed]] - tabItens[[#This Row],[Saldo]] + (1/10)</f>
        <v>-10.9</v>
      </c>
      <c r="BB518" s="421">
        <f xml:space="preserve"> tabItens[[#This Row],[PontoMês]] * BB$2 - tabItens[[#This Row],[QTDE ATUAL]] - (1/10)</f>
        <v>0.9</v>
      </c>
      <c r="BC518" s="320">
        <f>IF( tabItens[[#This Row],[PontoPed]]&gt;0, IF(tabItens[[#This Row],[PontoPed]]&lt;1, 1, IF( tabItens[[#This Row],[Saldo]]&gt;tabItens[[#This Row],[PontoPed]], 0, (tabItens[[#This Row],[PontoPed]]-tabItens[[#This Row],[Saldo]])/tabItens[[#This Row],[PontoPed]] ) ), 0 )</f>
        <v>0</v>
      </c>
      <c r="BD518" s="422">
        <f>ROUNDDOWN(IF( OR( AND(tabItens[[#This Row],[PontoPed]]&lt;tabItens[[#This Row],[Saldo]],tabItens[[#This Row],[Saldo]]&gt;0), tabItens[[#This Row],[PontoPed]]=0), 99, IF(AND(tabItens[[#This Row],[Saldo]]=0,tabItens[[#This Row],[PontoPed]]&gt;0), 0, (1-tabItens[[#This Row],[PctAb]])*10 ) ),0)</f>
        <v>99</v>
      </c>
      <c r="BE518" s="423">
        <f>MAX(ROUNDDOWN( IF(tabItens[[#This Row],[Abaixo]] &gt; 0,   tabItens[[#This Row],[Abaixo]] + (tabItens[[#This Row],[PontoMês]] * IF( OR( ISBLANK(tabItens[[#This Row],[ATA Nº/ANO]]), tabItens[[#This Row],[ATA Nº/ANO]] = ""),BE$2,BE$1)),0),0),0)</f>
        <v>0</v>
      </c>
      <c r="BF51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23">
        <f>SUMIF(Consumo!$C$3:$C$869,tabItens[[#This Row],[CÓDIGO]],Consumo!$E$3:$E$869)</f>
        <v>1</v>
      </c>
      <c r="BH518" s="324">
        <f>IF(AND(tabItens[[#This Row],[Pend]] &gt; 0,tabItens[[#This Row],[Consumo]] &lt;&gt; 0), tabItens[[#This Row],[Pend]] / tabItens[[#This Row],[Consumo]], 0 )</f>
        <v>5.8823529411764705E-2</v>
      </c>
      <c r="BI518" s="323"/>
      <c r="BJ518" s="424"/>
      <c r="BK518" s="425" t="s">
        <v>2064</v>
      </c>
    </row>
    <row r="519" spans="1:63" hidden="1" x14ac:dyDescent="0.3">
      <c r="A519" s="286">
        <v>76218</v>
      </c>
      <c r="B519" s="287" t="s">
        <v>1412</v>
      </c>
      <c r="C519" s="288" t="s">
        <v>256</v>
      </c>
      <c r="D519" s="289">
        <v>781.2</v>
      </c>
      <c r="E519" s="290"/>
      <c r="F519" s="290"/>
      <c r="G519" s="290" t="s">
        <v>883</v>
      </c>
      <c r="H519" s="291">
        <v>36</v>
      </c>
      <c r="I519" s="292">
        <v>103003</v>
      </c>
      <c r="J519" s="293">
        <v>781.2</v>
      </c>
      <c r="K519" s="294">
        <v>7</v>
      </c>
      <c r="L519" s="295">
        <f>IF(tabItens[[#This Row],[Média]] &gt; 0, tabItens[[#This Row],[QTDE ATUAL]] / tabItens[[#This Row],[Média]],999.9)</f>
        <v>72</v>
      </c>
      <c r="M519" s="296">
        <v>0</v>
      </c>
      <c r="N519" s="297">
        <f>tabItens[[#This Row],[VALOR UNIT.]] * tabItens[[#This Row],[LC]]</f>
        <v>0</v>
      </c>
      <c r="O519" s="298" t="s">
        <v>2136</v>
      </c>
      <c r="P519" s="299"/>
      <c r="Q519" s="300"/>
      <c r="R519" s="297"/>
      <c r="S519" s="301"/>
      <c r="T519" s="302">
        <f>ROUNDDOWN(IFERROR(tabItens[[#This Row],[ATA DT.VALID.]] - $D$1,0) / 30,0)</f>
        <v>-1504</v>
      </c>
      <c r="U519" s="287" t="s">
        <v>1273</v>
      </c>
      <c r="V519" s="303">
        <v>1</v>
      </c>
      <c r="W519" s="304" t="s">
        <v>2049</v>
      </c>
      <c r="X519" s="305">
        <v>51</v>
      </c>
      <c r="Y519" s="306">
        <v>17</v>
      </c>
      <c r="Z519" s="307"/>
      <c r="AA519" s="308"/>
      <c r="AB519" s="309"/>
      <c r="AC519" s="309"/>
      <c r="AD519" s="308"/>
      <c r="AE519" s="309"/>
      <c r="AF519" s="302"/>
      <c r="AG519" s="310" t="s">
        <v>2050</v>
      </c>
      <c r="AH519" s="311"/>
      <c r="AI519" s="302">
        <v>2</v>
      </c>
      <c r="AJ519" s="311">
        <v>44195</v>
      </c>
      <c r="AK519" s="311">
        <v>37956</v>
      </c>
      <c r="AL519" s="311">
        <v>44945</v>
      </c>
      <c r="AM519" s="301"/>
      <c r="AN519" s="290"/>
      <c r="AO519" s="312" t="str">
        <f>_xlfn.IFNA(IF(VLOOKUP(tabItens[[#This Row],[CÓDIGO]],tabExcluirDoEstoque[#Data],1,FALSE),"sim",""),"")</f>
        <v/>
      </c>
      <c r="AP519" s="313" t="str">
        <f ca="1">IF(OR(ISBLANK(tabItens[[#This Row],[ATA DT.VALID.]]),tabItens[[#This Row],[ATA DT.VALID.]]="",tabItens[[#This Row],[ATA DT.VALID.]]=" "),"",IF(TYPE(tabItens[[#This Row],[ATA DT.VALID.]])=1,ROUNDUP((tabItens[[#This Row],[ATA DT.VALID.]]-TODAY())/7,0),""))</f>
        <v/>
      </c>
      <c r="AQ519" s="314">
        <v>0</v>
      </c>
      <c r="AR519" s="315" t="str">
        <f>IF(ISBLANK(tabItens[[#This Row],[CÓDIGO]]),"",IFERROR(VLOOKUP(tabItens[[#This Row],[CÓDIGO]],Consumo!$C$2:$AC$869,26,FALSE),0))</f>
        <v>04.2023</v>
      </c>
      <c r="AS519" s="316">
        <f>SUMIF(Consumo!$C$3:$C$869,tabItens[[#This Row],[CÓDIGO]],Consumo!$N$3:$N$869) + SUMIF(Consumo!$C$3:$C$869,tabItens[[#This Row],[CÓDIGO]],Consumo!$O$3:$O$869) + SUMIF(Consumo!$C$3:$C$869,tabItens[[#This Row],[CÓDIGO]],Consumo!$P$3:$P$869) + SUMIF(Consumo!$C$3:$C$869,tabItens[[#This Row],[CÓDIGO]],Consumo!$Q$3:$Q$869)</f>
        <v>4</v>
      </c>
      <c r="AT519" s="316">
        <f>SUMIF(Consumo!$C$3:$C$869,tabItens[[#This Row],[CÓDIGO]],Consumo!$Z$3:$Z$869)</f>
        <v>7</v>
      </c>
      <c r="AU519" s="317">
        <f>SUMIF(Consumo!$C$3:$C$869,tabItens[[#This Row],[CÓDIGO]],Consumo!$AA$3:$AA$869)</f>
        <v>4</v>
      </c>
      <c r="AV519" s="318">
        <f>SUMIF(Consumo!$C$3:$C$869,tabItens[[#This Row],[CÓDIGO]],Consumo!$Y$3:$Y$869)</f>
        <v>0.5</v>
      </c>
      <c r="AW519" s="291">
        <f>tabItens[[#This Row],[QTDE ATUAL]] + tabItens[[#This Row],[RC QTDE]] + tabItens[[#This Row],[AF SALDO]] + tabItens[[#This Row],[Recentes]]</f>
        <v>36</v>
      </c>
      <c r="AX519" s="319">
        <v>3</v>
      </c>
      <c r="AY519" s="319">
        <v>4</v>
      </c>
      <c r="AZ519" s="319">
        <f>IF(ISBLANK(tabItens[[#This Row],[CÓDIGO]]),"",tabItens[[#This Row],[PontoMês]] * (AZ$2+tabItens[[#This Row],[PontoQtM]]))</f>
        <v>12</v>
      </c>
      <c r="BA519" s="318">
        <f>tabItens[[#This Row],[PontoPed]] - tabItens[[#This Row],[Saldo]] + (1/10)</f>
        <v>-23.9</v>
      </c>
      <c r="BB519" s="318">
        <f xml:space="preserve"> tabItens[[#This Row],[PontoMês]] * BB$2 - tabItens[[#This Row],[QTDE ATUAL]] - (1/10)</f>
        <v>-33.1</v>
      </c>
      <c r="BC519" s="320">
        <f>IF( tabItens[[#This Row],[PontoPed]]&gt;0, IF(tabItens[[#This Row],[PontoPed]]&lt;1, 1, IF( tabItens[[#This Row],[Saldo]]&gt;tabItens[[#This Row],[PontoPed]], 0, (tabItens[[#This Row],[PontoPed]]-tabItens[[#This Row],[Saldo]])/tabItens[[#This Row],[PontoPed]] ) ), 0 )</f>
        <v>0</v>
      </c>
      <c r="BD519" s="321">
        <f>ROUNDDOWN(IF( OR( AND(tabItens[[#This Row],[PontoPed]]&lt;tabItens[[#This Row],[Saldo]],tabItens[[#This Row],[Saldo]]&gt;0), tabItens[[#This Row],[PontoPed]]=0), 99, IF(AND(tabItens[[#This Row],[Saldo]]=0,tabItens[[#This Row],[PontoPed]]&gt;0), 0, (1-tabItens[[#This Row],[PctAb]])*10 ) ),0)</f>
        <v>99</v>
      </c>
      <c r="BE519" s="322">
        <f>MAX(ROUNDDOWN( IF(tabItens[[#This Row],[Abaixo]] &gt; 0,   tabItens[[#This Row],[Abaixo]] + (tabItens[[#This Row],[PontoMês]] * IF( OR( ISBLANK(tabItens[[#This Row],[ATA Nº/ANO]]), tabItens[[#This Row],[ATA Nº/ANO]] = ""),BE$2,BE$1)),0),0),0)</f>
        <v>0</v>
      </c>
      <c r="BF51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23">
        <f>SUMIF(Consumo!$C$3:$C$869,tabItens[[#This Row],[CÓDIGO]],Consumo!$E$3:$E$869)</f>
        <v>0</v>
      </c>
      <c r="BH519" s="324">
        <f>IF(AND(tabItens[[#This Row],[Pend]] &gt; 0,tabItens[[#This Row],[Consumo]] &lt;&gt; 0), tabItens[[#This Row],[Pend]] / tabItens[[#This Row],[Consumo]], 0 )</f>
        <v>0</v>
      </c>
      <c r="BI519" s="323"/>
      <c r="BJ519" s="323"/>
      <c r="BK519" s="325" t="s">
        <v>2064</v>
      </c>
    </row>
    <row r="520" spans="1:63" hidden="1" x14ac:dyDescent="0.3">
      <c r="A520" s="286">
        <v>125269</v>
      </c>
      <c r="B520" s="287" t="s">
        <v>1760</v>
      </c>
      <c r="C520" s="288" t="s">
        <v>31</v>
      </c>
      <c r="D520" s="289">
        <v>0.59</v>
      </c>
      <c r="E520" s="290"/>
      <c r="F520" s="290"/>
      <c r="G520" s="290" t="s">
        <v>883</v>
      </c>
      <c r="H520" s="291">
        <v>2965</v>
      </c>
      <c r="I520" s="292">
        <v>103003</v>
      </c>
      <c r="J520" s="293">
        <v>0.59</v>
      </c>
      <c r="K520" s="294">
        <v>365</v>
      </c>
      <c r="L520" s="295">
        <f>IF(tabItens[[#This Row],[Média]] &gt; 0, tabItens[[#This Row],[QTDE ATUAL]] / tabItens[[#This Row],[Média]],999.9)</f>
        <v>110.49689440993789</v>
      </c>
      <c r="M520" s="296">
        <v>0</v>
      </c>
      <c r="N520" s="297">
        <f>tabItens[[#This Row],[VALOR UNIT.]] * tabItens[[#This Row],[LC]]</f>
        <v>0</v>
      </c>
      <c r="O520" s="298" t="s">
        <v>2168</v>
      </c>
      <c r="P520" s="299"/>
      <c r="Q520" s="300"/>
      <c r="R520" s="297"/>
      <c r="S520" s="301"/>
      <c r="T520" s="302">
        <f>ROUNDDOWN(IFERROR(tabItens[[#This Row],[ATA DT.VALID.]] - $D$1,0) / 30,0)</f>
        <v>-1504</v>
      </c>
      <c r="U520" s="287" t="s">
        <v>1618</v>
      </c>
      <c r="V520" s="303">
        <v>1</v>
      </c>
      <c r="W520" s="304" t="s">
        <v>2063</v>
      </c>
      <c r="X520" s="305">
        <v>60</v>
      </c>
      <c r="Y520" s="306">
        <v>21</v>
      </c>
      <c r="Z520" s="307"/>
      <c r="AA520" s="308"/>
      <c r="AB520" s="309"/>
      <c r="AC520" s="309"/>
      <c r="AD520" s="308"/>
      <c r="AE520" s="309"/>
      <c r="AF520" s="302"/>
      <c r="AG520" s="310" t="s">
        <v>2050</v>
      </c>
      <c r="AH520" s="311"/>
      <c r="AI520" s="302">
        <v>122</v>
      </c>
      <c r="AJ520" s="311">
        <v>44747</v>
      </c>
      <c r="AK520" s="311">
        <v>41368</v>
      </c>
      <c r="AL520" s="311">
        <v>45111</v>
      </c>
      <c r="AM520" s="301"/>
      <c r="AN520" s="290"/>
      <c r="AO520" s="312" t="str">
        <f>_xlfn.IFNA(IF(VLOOKUP(tabItens[[#This Row],[CÓDIGO]],tabExcluirDoEstoque[#Data],1,FALSE),"sim",""),"")</f>
        <v/>
      </c>
      <c r="AP520" s="313" t="str">
        <f ca="1">IF(OR(ISBLANK(tabItens[[#This Row],[ATA DT.VALID.]]),tabItens[[#This Row],[ATA DT.VALID.]]="",tabItens[[#This Row],[ATA DT.VALID.]]=" "),"",IF(TYPE(tabItens[[#This Row],[ATA DT.VALID.]])=1,ROUNDUP((tabItens[[#This Row],[ATA DT.VALID.]]-TODAY())/7,0),""))</f>
        <v/>
      </c>
      <c r="AQ520" s="314">
        <v>0</v>
      </c>
      <c r="AR520" s="315" t="str">
        <f>IF(ISBLANK(tabItens[[#This Row],[CÓDIGO]]),"",IFERROR(VLOOKUP(tabItens[[#This Row],[CÓDIGO]],Consumo!$C$2:$AC$869,26,FALSE),0))</f>
        <v>01.2023</v>
      </c>
      <c r="AS520" s="316">
        <f>SUMIF(Consumo!$C$3:$C$869,tabItens[[#This Row],[CÓDIGO]],Consumo!$N$3:$N$869) + SUMIF(Consumo!$C$3:$C$869,tabItens[[#This Row],[CÓDIGO]],Consumo!$O$3:$O$869) + SUMIF(Consumo!$C$3:$C$869,tabItens[[#This Row],[CÓDIGO]],Consumo!$P$3:$P$869) + SUMIF(Consumo!$C$3:$C$869,tabItens[[#This Row],[CÓDIGO]],Consumo!$Q$3:$Q$869)</f>
        <v>0</v>
      </c>
      <c r="AT520" s="316">
        <f>SUMIF(Consumo!$C$3:$C$869,tabItens[[#This Row],[CÓDIGO]],Consumo!$Z$3:$Z$869)</f>
        <v>365</v>
      </c>
      <c r="AU520" s="317">
        <f>SUMIF(Consumo!$C$3:$C$869,tabItens[[#This Row],[CÓDIGO]],Consumo!$AA$3:$AA$869)</f>
        <v>200</v>
      </c>
      <c r="AV520" s="318">
        <f>SUMIF(Consumo!$C$3:$C$869,tabItens[[#This Row],[CÓDIGO]],Consumo!$Y$3:$Y$869)</f>
        <v>26.833333333333332</v>
      </c>
      <c r="AW520" s="291">
        <f>tabItens[[#This Row],[QTDE ATUAL]] + tabItens[[#This Row],[RC QTDE]] + tabItens[[#This Row],[AF SALDO]] + tabItens[[#This Row],[Recentes]]</f>
        <v>2965</v>
      </c>
      <c r="AX520" s="319">
        <v>67</v>
      </c>
      <c r="AY520" s="319">
        <v>4</v>
      </c>
      <c r="AZ520" s="319">
        <f>IF(ISBLANK(tabItens[[#This Row],[CÓDIGO]]),"",tabItens[[#This Row],[PontoMês]] * (AZ$2+tabItens[[#This Row],[PontoQtM]]))</f>
        <v>268</v>
      </c>
      <c r="BA520" s="318">
        <f>tabItens[[#This Row],[PontoPed]] - tabItens[[#This Row],[Saldo]] + (1/10)</f>
        <v>-2696.9</v>
      </c>
      <c r="BB520" s="318">
        <f xml:space="preserve"> tabItens[[#This Row],[PontoMês]] * BB$2 - tabItens[[#This Row],[QTDE ATUAL]] - (1/10)</f>
        <v>-2898.1</v>
      </c>
      <c r="BC520" s="320">
        <f>IF( tabItens[[#This Row],[PontoPed]]&gt;0, IF(tabItens[[#This Row],[PontoPed]]&lt;1, 1, IF( tabItens[[#This Row],[Saldo]]&gt;tabItens[[#This Row],[PontoPed]], 0, (tabItens[[#This Row],[PontoPed]]-tabItens[[#This Row],[Saldo]])/tabItens[[#This Row],[PontoPed]] ) ), 0 )</f>
        <v>0</v>
      </c>
      <c r="BD520" s="321">
        <f>ROUNDDOWN(IF( OR( AND(tabItens[[#This Row],[PontoPed]]&lt;tabItens[[#This Row],[Saldo]],tabItens[[#This Row],[Saldo]]&gt;0), tabItens[[#This Row],[PontoPed]]=0), 99, IF(AND(tabItens[[#This Row],[Saldo]]=0,tabItens[[#This Row],[PontoPed]]&gt;0), 0, (1-tabItens[[#This Row],[PctAb]])*10 ) ),0)</f>
        <v>99</v>
      </c>
      <c r="BE520" s="322">
        <f>MAX(ROUNDDOWN( IF(tabItens[[#This Row],[Abaixo]] &gt; 0,   tabItens[[#This Row],[Abaixo]] + (tabItens[[#This Row],[PontoMês]] * IF( OR( ISBLANK(tabItens[[#This Row],[ATA Nº/ANO]]), tabItens[[#This Row],[ATA Nº/ANO]] = ""),BE$2,BE$1)),0),0),0)</f>
        <v>0</v>
      </c>
      <c r="BF52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23">
        <f>SUMIF(Consumo!$C$3:$C$869,tabItens[[#This Row],[CÓDIGO]],Consumo!$E$3:$E$869)</f>
        <v>0</v>
      </c>
      <c r="BH520" s="324">
        <f>IF(AND(tabItens[[#This Row],[Pend]] &gt; 0,tabItens[[#This Row],[Consumo]] &lt;&gt; 0), tabItens[[#This Row],[Pend]] / tabItens[[#This Row],[Consumo]], 0 )</f>
        <v>0</v>
      </c>
      <c r="BI520" s="323"/>
      <c r="BJ520" s="323"/>
      <c r="BK520" s="325" t="s">
        <v>2064</v>
      </c>
    </row>
    <row r="521" spans="1:63" hidden="1" x14ac:dyDescent="0.3">
      <c r="A521" s="286">
        <v>102000</v>
      </c>
      <c r="B521" s="287" t="s">
        <v>1570</v>
      </c>
      <c r="C521" s="288" t="s">
        <v>629</v>
      </c>
      <c r="D521" s="289">
        <v>54.02</v>
      </c>
      <c r="E521" s="290"/>
      <c r="F521" s="290"/>
      <c r="G521" s="290" t="s">
        <v>883</v>
      </c>
      <c r="H521" s="291">
        <v>546</v>
      </c>
      <c r="I521" s="292">
        <v>103003</v>
      </c>
      <c r="J521" s="293">
        <v>54.02</v>
      </c>
      <c r="K521" s="294">
        <v>2330</v>
      </c>
      <c r="L521" s="295">
        <f>IF(tabItens[[#This Row],[Média]] &gt; 0, tabItens[[#This Row],[QTDE ATUAL]] / tabItens[[#This Row],[Média]],999.9)</f>
        <v>2.7141673570836788</v>
      </c>
      <c r="M521" s="296">
        <v>0</v>
      </c>
      <c r="N521" s="297">
        <f>tabItens[[#This Row],[VALOR UNIT.]] * tabItens[[#This Row],[LC]]</f>
        <v>0</v>
      </c>
      <c r="O521" s="298" t="s">
        <v>2150</v>
      </c>
      <c r="P521" s="299"/>
      <c r="Q521" s="300"/>
      <c r="R521" s="297"/>
      <c r="S521" s="301"/>
      <c r="T521" s="302">
        <f>ROUNDDOWN(IFERROR(tabItens[[#This Row],[ATA DT.VALID.]] - $D$1,0) / 30,0)</f>
        <v>-1504</v>
      </c>
      <c r="U521" s="287" t="s">
        <v>1197</v>
      </c>
      <c r="V521" s="303">
        <v>1</v>
      </c>
      <c r="W521" s="304" t="s">
        <v>2049</v>
      </c>
      <c r="X521" s="305">
        <v>51</v>
      </c>
      <c r="Y521" s="306">
        <v>7</v>
      </c>
      <c r="Z521" s="307">
        <v>2997</v>
      </c>
      <c r="AA521" s="308">
        <v>2023</v>
      </c>
      <c r="AB521" s="309">
        <v>250</v>
      </c>
      <c r="AC521" s="309"/>
      <c r="AD521" s="308"/>
      <c r="AE521" s="309"/>
      <c r="AF521" s="302"/>
      <c r="AG521" s="310" t="s">
        <v>2050</v>
      </c>
      <c r="AH521" s="311"/>
      <c r="AI521" s="302">
        <v>804</v>
      </c>
      <c r="AJ521" s="311">
        <v>44733</v>
      </c>
      <c r="AK521" s="311">
        <v>39339</v>
      </c>
      <c r="AL521" s="311">
        <v>44887</v>
      </c>
      <c r="AM521" s="301"/>
      <c r="AN521" s="290"/>
      <c r="AO521" s="312" t="str">
        <f>_xlfn.IFNA(IF(VLOOKUP(tabItens[[#This Row],[CÓDIGO]],tabExcluirDoEstoque[#Data],1,FALSE),"sim",""),"")</f>
        <v/>
      </c>
      <c r="AP521" s="313" t="str">
        <f ca="1">IF(OR(ISBLANK(tabItens[[#This Row],[ATA DT.VALID.]]),tabItens[[#This Row],[ATA DT.VALID.]]="",tabItens[[#This Row],[ATA DT.VALID.]]=" "),"",IF(TYPE(tabItens[[#This Row],[ATA DT.VALID.]])=1,ROUNDUP((tabItens[[#This Row],[ATA DT.VALID.]]-TODAY())/7,0),""))</f>
        <v/>
      </c>
      <c r="AQ521" s="314">
        <v>0</v>
      </c>
      <c r="AR521" s="315" t="str">
        <f>IF(ISBLANK(tabItens[[#This Row],[CÓDIGO]]),"",IFERROR(VLOOKUP(tabItens[[#This Row],[CÓDIGO]],Consumo!$C$2:$AC$869,26,FALSE),0))</f>
        <v>07.2023</v>
      </c>
      <c r="AS521" s="316">
        <f>SUMIF(Consumo!$C$3:$C$869,tabItens[[#This Row],[CÓDIGO]],Consumo!$N$3:$N$869) + SUMIF(Consumo!$C$3:$C$869,tabItens[[#This Row],[CÓDIGO]],Consumo!$O$3:$O$869) + SUMIF(Consumo!$C$3:$C$869,tabItens[[#This Row],[CÓDIGO]],Consumo!$P$3:$P$869) + SUMIF(Consumo!$C$3:$C$869,tabItens[[#This Row],[CÓDIGO]],Consumo!$Q$3:$Q$869)</f>
        <v>864</v>
      </c>
      <c r="AT521" s="316">
        <f>SUMIF(Consumo!$C$3:$C$869,tabItens[[#This Row],[CÓDIGO]],Consumo!$Z$3:$Z$869)</f>
        <v>2414</v>
      </c>
      <c r="AU521" s="317">
        <f>SUMIF(Consumo!$C$3:$C$869,tabItens[[#This Row],[CÓDIGO]],Consumo!$AA$3:$AA$869)</f>
        <v>704</v>
      </c>
      <c r="AV521" s="318">
        <f>SUMIF(Consumo!$C$3:$C$869,tabItens[[#This Row],[CÓDIGO]],Consumo!$Y$3:$Y$869)</f>
        <v>201.16666666666666</v>
      </c>
      <c r="AW521" s="291">
        <f>tabItens[[#This Row],[QTDE ATUAL]] + tabItens[[#This Row],[RC QTDE]] + tabItens[[#This Row],[AF SALDO]] + tabItens[[#This Row],[Recentes]]</f>
        <v>796</v>
      </c>
      <c r="AX521" s="319">
        <v>20</v>
      </c>
      <c r="AY521" s="319">
        <v>3</v>
      </c>
      <c r="AZ521" s="319">
        <f>IF(ISBLANK(tabItens[[#This Row],[CÓDIGO]]),"",tabItens[[#This Row],[PontoMês]] * (AZ$2+tabItens[[#This Row],[PontoQtM]]))</f>
        <v>60</v>
      </c>
      <c r="BA521" s="318">
        <f>tabItens[[#This Row],[PontoPed]] - tabItens[[#This Row],[Saldo]] + (1/10)</f>
        <v>-735.9</v>
      </c>
      <c r="BB521" s="318">
        <f xml:space="preserve"> tabItens[[#This Row],[PontoMês]] * BB$2 - tabItens[[#This Row],[QTDE ATUAL]] - (1/10)</f>
        <v>-526.1</v>
      </c>
      <c r="BC521" s="320">
        <f>IF( tabItens[[#This Row],[PontoPed]]&gt;0, IF(tabItens[[#This Row],[PontoPed]]&lt;1, 1, IF( tabItens[[#This Row],[Saldo]]&gt;tabItens[[#This Row],[PontoPed]], 0, (tabItens[[#This Row],[PontoPed]]-tabItens[[#This Row],[Saldo]])/tabItens[[#This Row],[PontoPed]] ) ), 0 )</f>
        <v>0</v>
      </c>
      <c r="BD521" s="321">
        <f>ROUNDDOWN(IF( OR( AND(tabItens[[#This Row],[PontoPed]]&lt;tabItens[[#This Row],[Saldo]],tabItens[[#This Row],[Saldo]]&gt;0), tabItens[[#This Row],[PontoPed]]=0), 99, IF(AND(tabItens[[#This Row],[Saldo]]=0,tabItens[[#This Row],[PontoPed]]&gt;0), 0, (1-tabItens[[#This Row],[PctAb]])*10 ) ),0)</f>
        <v>99</v>
      </c>
      <c r="BE521" s="322">
        <f>MAX(ROUNDDOWN( IF(tabItens[[#This Row],[Abaixo]] &gt; 0,   tabItens[[#This Row],[Abaixo]] + (tabItens[[#This Row],[PontoMês]] * IF( OR( ISBLANK(tabItens[[#This Row],[ATA Nº/ANO]]), tabItens[[#This Row],[ATA Nº/ANO]] = ""),BE$2,BE$1)),0),0),0)</f>
        <v>0</v>
      </c>
      <c r="BF52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23">
        <f>SUMIF(Consumo!$C$3:$C$869,tabItens[[#This Row],[CÓDIGO]],Consumo!$E$3:$E$869)</f>
        <v>0</v>
      </c>
      <c r="BH521" s="324">
        <f>IF(AND(tabItens[[#This Row],[Pend]] &gt; 0,tabItens[[#This Row],[Consumo]] &lt;&gt; 0), tabItens[[#This Row],[Pend]] / tabItens[[#This Row],[Consumo]], 0 )</f>
        <v>0</v>
      </c>
      <c r="BI521" s="323"/>
      <c r="BJ521" s="323"/>
      <c r="BK521" s="325" t="s">
        <v>2064</v>
      </c>
    </row>
    <row r="522" spans="1:63" hidden="1" x14ac:dyDescent="0.3">
      <c r="A522" s="286">
        <v>132623</v>
      </c>
      <c r="B522" s="287" t="s">
        <v>1826</v>
      </c>
      <c r="C522" s="288" t="s">
        <v>31</v>
      </c>
      <c r="D522" s="289">
        <v>179.54</v>
      </c>
      <c r="E522" s="290"/>
      <c r="F522" s="290"/>
      <c r="G522" s="290" t="s">
        <v>883</v>
      </c>
      <c r="H522" s="291">
        <v>67</v>
      </c>
      <c r="I522" s="292">
        <v>103003</v>
      </c>
      <c r="J522" s="293">
        <v>179.54</v>
      </c>
      <c r="K522" s="294">
        <v>13</v>
      </c>
      <c r="L522" s="295">
        <f>IF(tabItens[[#This Row],[Média]] &gt; 0, tabItens[[#This Row],[QTDE ATUAL]] / tabItens[[#This Row],[Média]],999.9)</f>
        <v>61.846153846153854</v>
      </c>
      <c r="M522" s="296">
        <v>0</v>
      </c>
      <c r="N522" s="297">
        <f>tabItens[[#This Row],[VALOR UNIT.]] * tabItens[[#This Row],[LC]]</f>
        <v>0</v>
      </c>
      <c r="O522" s="298" t="s">
        <v>2150</v>
      </c>
      <c r="P522" s="299"/>
      <c r="Q522" s="300"/>
      <c r="R522" s="297"/>
      <c r="S522" s="301"/>
      <c r="T522" s="302">
        <f>ROUNDDOWN(IFERROR(tabItens[[#This Row],[ATA DT.VALID.]] - $D$1,0) / 30,0)</f>
        <v>-1504</v>
      </c>
      <c r="U522" s="287" t="s">
        <v>1024</v>
      </c>
      <c r="V522" s="303">
        <v>1</v>
      </c>
      <c r="W522" s="304" t="s">
        <v>2049</v>
      </c>
      <c r="X522" s="305">
        <v>51</v>
      </c>
      <c r="Y522" s="306">
        <v>35</v>
      </c>
      <c r="Z522" s="307"/>
      <c r="AA522" s="308"/>
      <c r="AB522" s="309"/>
      <c r="AC522" s="309"/>
      <c r="AD522" s="308"/>
      <c r="AE522" s="309"/>
      <c r="AF522" s="302"/>
      <c r="AG522" s="310" t="s">
        <v>2050</v>
      </c>
      <c r="AH522" s="311"/>
      <c r="AI522" s="302">
        <v>6</v>
      </c>
      <c r="AJ522" s="311">
        <v>44362</v>
      </c>
      <c r="AK522" s="311">
        <v>42850</v>
      </c>
      <c r="AL522" s="311">
        <v>44257</v>
      </c>
      <c r="AM522" s="301"/>
      <c r="AN522" s="290"/>
      <c r="AO522" s="312" t="str">
        <f>_xlfn.IFNA(IF(VLOOKUP(tabItens[[#This Row],[CÓDIGO]],tabExcluirDoEstoque[#Data],1,FALSE),"sim",""),"")</f>
        <v/>
      </c>
      <c r="AP522" s="313" t="str">
        <f ca="1">IF(OR(ISBLANK(tabItens[[#This Row],[ATA DT.VALID.]]),tabItens[[#This Row],[ATA DT.VALID.]]="",tabItens[[#This Row],[ATA DT.VALID.]]=" "),"",IF(TYPE(tabItens[[#This Row],[ATA DT.VALID.]])=1,ROUNDUP((tabItens[[#This Row],[ATA DT.VALID.]]-TODAY())/7,0),""))</f>
        <v/>
      </c>
      <c r="AQ522" s="314">
        <v>0</v>
      </c>
      <c r="AR522" s="315" t="str">
        <f>IF(ISBLANK(tabItens[[#This Row],[CÓDIGO]]),"",IFERROR(VLOOKUP(tabItens[[#This Row],[CÓDIGO]],Consumo!$C$2:$AC$869,26,FALSE),0))</f>
        <v>04.2023</v>
      </c>
      <c r="AS522" s="316">
        <f>SUMIF(Consumo!$C$3:$C$869,tabItens[[#This Row],[CÓDIGO]],Consumo!$N$3:$N$869) + SUMIF(Consumo!$C$3:$C$869,tabItens[[#This Row],[CÓDIGO]],Consumo!$O$3:$O$869) + SUMIF(Consumo!$C$3:$C$869,tabItens[[#This Row],[CÓDIGO]],Consumo!$P$3:$P$869) + SUMIF(Consumo!$C$3:$C$869,tabItens[[#This Row],[CÓDIGO]],Consumo!$Q$3:$Q$869)</f>
        <v>3</v>
      </c>
      <c r="AT522" s="316">
        <f>SUMIF(Consumo!$C$3:$C$869,tabItens[[#This Row],[CÓDIGO]],Consumo!$Z$3:$Z$869)</f>
        <v>15</v>
      </c>
      <c r="AU522" s="317">
        <f>SUMIF(Consumo!$C$3:$C$869,tabItens[[#This Row],[CÓDIGO]],Consumo!$AA$3:$AA$869)</f>
        <v>6</v>
      </c>
      <c r="AV522" s="318">
        <f>SUMIF(Consumo!$C$3:$C$869,tabItens[[#This Row],[CÓDIGO]],Consumo!$Y$3:$Y$869)</f>
        <v>1.0833333333333333</v>
      </c>
      <c r="AW522" s="291">
        <f>tabItens[[#This Row],[QTDE ATUAL]] + tabItens[[#This Row],[RC QTDE]] + tabItens[[#This Row],[AF SALDO]] + tabItens[[#This Row],[Recentes]]</f>
        <v>67</v>
      </c>
      <c r="AX522" s="319">
        <v>6</v>
      </c>
      <c r="AY522" s="319">
        <v>4</v>
      </c>
      <c r="AZ522" s="319">
        <f>IF(ISBLANK(tabItens[[#This Row],[CÓDIGO]]),"",tabItens[[#This Row],[PontoMês]] * (AZ$2+tabItens[[#This Row],[PontoQtM]]))</f>
        <v>24</v>
      </c>
      <c r="BA522" s="318">
        <f>tabItens[[#This Row],[PontoPed]] - tabItens[[#This Row],[Saldo]] + (1/10)</f>
        <v>-42.9</v>
      </c>
      <c r="BB522" s="318">
        <f xml:space="preserve"> tabItens[[#This Row],[PontoMês]] * BB$2 - tabItens[[#This Row],[QTDE ATUAL]] - (1/10)</f>
        <v>-61.1</v>
      </c>
      <c r="BC522" s="320">
        <f>IF( tabItens[[#This Row],[PontoPed]]&gt;0, IF(tabItens[[#This Row],[PontoPed]]&lt;1, 1, IF( tabItens[[#This Row],[Saldo]]&gt;tabItens[[#This Row],[PontoPed]], 0, (tabItens[[#This Row],[PontoPed]]-tabItens[[#This Row],[Saldo]])/tabItens[[#This Row],[PontoPed]] ) ), 0 )</f>
        <v>0</v>
      </c>
      <c r="BD522" s="321">
        <f>ROUNDDOWN(IF( OR( AND(tabItens[[#This Row],[PontoPed]]&lt;tabItens[[#This Row],[Saldo]],tabItens[[#This Row],[Saldo]]&gt;0), tabItens[[#This Row],[PontoPed]]=0), 99, IF(AND(tabItens[[#This Row],[Saldo]]=0,tabItens[[#This Row],[PontoPed]]&gt;0), 0, (1-tabItens[[#This Row],[PctAb]])*10 ) ),0)</f>
        <v>99</v>
      </c>
      <c r="BE522" s="322">
        <f>MAX(ROUNDDOWN( IF(tabItens[[#This Row],[Abaixo]] &gt; 0,   tabItens[[#This Row],[Abaixo]] + (tabItens[[#This Row],[PontoMês]] * IF( OR( ISBLANK(tabItens[[#This Row],[ATA Nº/ANO]]), tabItens[[#This Row],[ATA Nº/ANO]] = ""),BE$2,BE$1)),0),0),0)</f>
        <v>0</v>
      </c>
      <c r="BF52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23">
        <f>SUMIF(Consumo!$C$3:$C$869,tabItens[[#This Row],[CÓDIGO]],Consumo!$E$3:$E$869)</f>
        <v>0</v>
      </c>
      <c r="BH522" s="324">
        <f>IF(AND(tabItens[[#This Row],[Pend]] &gt; 0,tabItens[[#This Row],[Consumo]] &lt;&gt; 0), tabItens[[#This Row],[Pend]] / tabItens[[#This Row],[Consumo]], 0 )</f>
        <v>0</v>
      </c>
      <c r="BI522" s="323"/>
      <c r="BJ522" s="323"/>
      <c r="BK522" s="325" t="s">
        <v>2064</v>
      </c>
    </row>
    <row r="523" spans="1:63" x14ac:dyDescent="0.3">
      <c r="A523" s="396">
        <v>100802</v>
      </c>
      <c r="B523" s="397" t="s">
        <v>1564</v>
      </c>
      <c r="C523" s="398" t="s">
        <v>270</v>
      </c>
      <c r="D523" s="399">
        <v>14</v>
      </c>
      <c r="E523" s="290"/>
      <c r="F523" s="400"/>
      <c r="G523" s="400" t="s">
        <v>883</v>
      </c>
      <c r="H523" s="401">
        <v>0</v>
      </c>
      <c r="I523" s="292">
        <v>103003</v>
      </c>
      <c r="J523" s="293">
        <v>14</v>
      </c>
      <c r="K523" s="402">
        <v>769</v>
      </c>
      <c r="L523" s="403">
        <f>IF(tabItens[[#This Row],[Média]] &gt; 0, tabItens[[#This Row],[QTDE ATUAL]] / tabItens[[#This Row],[Média]],999.9)</f>
        <v>0</v>
      </c>
      <c r="M523" s="404">
        <v>0</v>
      </c>
      <c r="N523" s="405">
        <f>tabItens[[#This Row],[VALOR UNIT.]] * tabItens[[#This Row],[LC]]</f>
        <v>0</v>
      </c>
      <c r="O523" s="406" t="s">
        <v>2112</v>
      </c>
      <c r="P523" s="407"/>
      <c r="Q523" s="408"/>
      <c r="R523" s="297"/>
      <c r="S523" s="409"/>
      <c r="T523" s="410">
        <f>ROUNDDOWN(IFERROR(tabItens[[#This Row],[ATA DT.VALID.]] - $D$1,0) / 30,0)</f>
        <v>-1504</v>
      </c>
      <c r="U523" s="287" t="s">
        <v>991</v>
      </c>
      <c r="V523" s="303">
        <v>1</v>
      </c>
      <c r="W523" s="411" t="s">
        <v>2054</v>
      </c>
      <c r="X523" s="412">
        <v>61</v>
      </c>
      <c r="Y523" s="413">
        <v>9</v>
      </c>
      <c r="Z523" s="414"/>
      <c r="AA523" s="415"/>
      <c r="AB523" s="416"/>
      <c r="AC523" s="416">
        <v>8939</v>
      </c>
      <c r="AD523" s="415">
        <v>2023</v>
      </c>
      <c r="AE523" s="416">
        <v>1000</v>
      </c>
      <c r="AF523" s="302">
        <v>1000</v>
      </c>
      <c r="AG523" s="417" t="s">
        <v>2043</v>
      </c>
      <c r="AH523" s="418">
        <v>45162</v>
      </c>
      <c r="AI523" s="302">
        <v>256</v>
      </c>
      <c r="AJ523" s="418">
        <v>44615</v>
      </c>
      <c r="AK523" s="311">
        <v>39275</v>
      </c>
      <c r="AL523" s="311">
        <v>45131</v>
      </c>
      <c r="AM523" s="301"/>
      <c r="AN523" s="290"/>
      <c r="AO523" s="312" t="str">
        <f>_xlfn.IFNA(IF(VLOOKUP(tabItens[[#This Row],[CÓDIGO]],tabExcluirDoEstoque[#Data],1,FALSE),"sim",""),"")</f>
        <v/>
      </c>
      <c r="AP523" s="419" t="str">
        <f ca="1">IF(OR(ISBLANK(tabItens[[#This Row],[ATA DT.VALID.]]),tabItens[[#This Row],[ATA DT.VALID.]]="",tabItens[[#This Row],[ATA DT.VALID.]]=" "),"",IF(TYPE(tabItens[[#This Row],[ATA DT.VALID.]])=1,ROUNDUP((tabItens[[#This Row],[ATA DT.VALID.]]-TODAY())/7,0),""))</f>
        <v/>
      </c>
      <c r="AQ523" s="314">
        <v>0</v>
      </c>
      <c r="AR523" s="315" t="str">
        <f>IF(ISBLANK(tabItens[[#This Row],[CÓDIGO]]),"",IFERROR(VLOOKUP(tabItens[[#This Row],[CÓDIGO]],Consumo!$C$2:$AC$869,26,FALSE),0))</f>
        <v>01.2023</v>
      </c>
      <c r="AS523" s="316">
        <f>SUMIF(Consumo!$C$3:$C$869,tabItens[[#This Row],[CÓDIGO]],Consumo!$N$3:$N$869) + SUMIF(Consumo!$C$3:$C$869,tabItens[[#This Row],[CÓDIGO]],Consumo!$O$3:$O$869) + SUMIF(Consumo!$C$3:$C$869,tabItens[[#This Row],[CÓDIGO]],Consumo!$P$3:$P$869) + SUMIF(Consumo!$C$3:$C$869,tabItens[[#This Row],[CÓDIGO]],Consumo!$Q$3:$Q$869)</f>
        <v>0</v>
      </c>
      <c r="AT523" s="316">
        <f>SUMIF(Consumo!$C$3:$C$869,tabItens[[#This Row],[CÓDIGO]],Consumo!$Z$3:$Z$869)</f>
        <v>776</v>
      </c>
      <c r="AU523" s="317">
        <f>SUMIF(Consumo!$C$3:$C$869,tabItens[[#This Row],[CÓDIGO]],Consumo!$AA$3:$AA$869)</f>
        <v>215</v>
      </c>
      <c r="AV523" s="318">
        <f>SUMIF(Consumo!$C$3:$C$869,tabItens[[#This Row],[CÓDIGO]],Consumo!$Y$3:$Y$869)</f>
        <v>64.666666666666671</v>
      </c>
      <c r="AW523" s="401">
        <f>tabItens[[#This Row],[QTDE ATUAL]] + tabItens[[#This Row],[RC QTDE]] + tabItens[[#This Row],[AF SALDO]] + tabItens[[#This Row],[Recentes]]</f>
        <v>1000</v>
      </c>
      <c r="AX523" s="420">
        <v>49</v>
      </c>
      <c r="AY523" s="420">
        <v>4</v>
      </c>
      <c r="AZ523" s="420">
        <f>IF(ISBLANK(tabItens[[#This Row],[CÓDIGO]]),"",tabItens[[#This Row],[PontoMês]] * (AZ$2+tabItens[[#This Row],[PontoQtM]]))</f>
        <v>196</v>
      </c>
      <c r="BA523" s="421">
        <f>tabItens[[#This Row],[PontoPed]] - tabItens[[#This Row],[Saldo]] + (1/10)</f>
        <v>-803.9</v>
      </c>
      <c r="BB523" s="421">
        <f xml:space="preserve"> tabItens[[#This Row],[PontoMês]] * BB$2 - tabItens[[#This Row],[QTDE ATUAL]] - (1/10)</f>
        <v>48.9</v>
      </c>
      <c r="BC523" s="320">
        <f>IF( tabItens[[#This Row],[PontoPed]]&gt;0, IF(tabItens[[#This Row],[PontoPed]]&lt;1, 1, IF( tabItens[[#This Row],[Saldo]]&gt;tabItens[[#This Row],[PontoPed]], 0, (tabItens[[#This Row],[PontoPed]]-tabItens[[#This Row],[Saldo]])/tabItens[[#This Row],[PontoPed]] ) ), 0 )</f>
        <v>0</v>
      </c>
      <c r="BD523" s="422">
        <f>ROUNDDOWN(IF( OR( AND(tabItens[[#This Row],[PontoPed]]&lt;tabItens[[#This Row],[Saldo]],tabItens[[#This Row],[Saldo]]&gt;0), tabItens[[#This Row],[PontoPed]]=0), 99, IF(AND(tabItens[[#This Row],[Saldo]]=0,tabItens[[#This Row],[PontoPed]]&gt;0), 0, (1-tabItens[[#This Row],[PctAb]])*10 ) ),0)</f>
        <v>99</v>
      </c>
      <c r="BE523" s="423">
        <f>MAX(ROUNDDOWN( IF(tabItens[[#This Row],[Abaixo]] &gt; 0,   tabItens[[#This Row],[Abaixo]] + (tabItens[[#This Row],[PontoMês]] * IF( OR( ISBLANK(tabItens[[#This Row],[ATA Nº/ANO]]), tabItens[[#This Row],[ATA Nº/ANO]] = ""),BE$2,BE$1)),0),0),0)</f>
        <v>0</v>
      </c>
      <c r="BF52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23">
        <f>SUMIF(Consumo!$C$3:$C$869,tabItens[[#This Row],[CÓDIGO]],Consumo!$E$3:$E$869)</f>
        <v>7</v>
      </c>
      <c r="BH523" s="324">
        <f>IF(AND(tabItens[[#This Row],[Pend]] &gt; 0,tabItens[[#This Row],[Consumo]] &lt;&gt; 0), tabItens[[#This Row],[Pend]] / tabItens[[#This Row],[Consumo]], 0 )</f>
        <v>9.0206185567010301E-3</v>
      </c>
      <c r="BI523" s="323"/>
      <c r="BJ523" s="424"/>
      <c r="BK523" s="425" t="s">
        <v>2064</v>
      </c>
    </row>
    <row r="524" spans="1:63" hidden="1" x14ac:dyDescent="0.3">
      <c r="A524" s="286">
        <v>122305</v>
      </c>
      <c r="B524" s="287" t="s">
        <v>1743</v>
      </c>
      <c r="C524" s="288" t="s">
        <v>31</v>
      </c>
      <c r="D524" s="289">
        <v>2.14</v>
      </c>
      <c r="E524" s="290"/>
      <c r="F524" s="290"/>
      <c r="G524" s="290" t="s">
        <v>883</v>
      </c>
      <c r="H524" s="291">
        <v>526</v>
      </c>
      <c r="I524" s="292">
        <v>103003</v>
      </c>
      <c r="J524" s="293">
        <v>2.14</v>
      </c>
      <c r="K524" s="294">
        <v>753</v>
      </c>
      <c r="L524" s="295">
        <f>IF(tabItens[[#This Row],[Média]] &gt; 0, tabItens[[#This Row],[QTDE ATUAL]] / tabItens[[#This Row],[Média]],999.9)</f>
        <v>9.3928571428571423</v>
      </c>
      <c r="M524" s="296">
        <v>0</v>
      </c>
      <c r="N524" s="297">
        <f>tabItens[[#This Row],[VALOR UNIT.]] * tabItens[[#This Row],[LC]]</f>
        <v>0</v>
      </c>
      <c r="O524" s="298" t="s">
        <v>2112</v>
      </c>
      <c r="P524" s="299"/>
      <c r="Q524" s="300"/>
      <c r="R524" s="297"/>
      <c r="S524" s="301"/>
      <c r="T524" s="302">
        <f>ROUNDDOWN(IFERROR(tabItens[[#This Row],[ATA DT.VALID.]] - $D$1,0) / 30,0)</f>
        <v>-1504</v>
      </c>
      <c r="U524" s="287" t="s">
        <v>1275</v>
      </c>
      <c r="V524" s="303">
        <v>1</v>
      </c>
      <c r="W524" s="304" t="s">
        <v>2056</v>
      </c>
      <c r="X524" s="305">
        <v>83</v>
      </c>
      <c r="Y524" s="306">
        <v>4</v>
      </c>
      <c r="Z524" s="307"/>
      <c r="AA524" s="308"/>
      <c r="AB524" s="309"/>
      <c r="AC524" s="309"/>
      <c r="AD524" s="308"/>
      <c r="AE524" s="309"/>
      <c r="AF524" s="302"/>
      <c r="AG524" s="310" t="s">
        <v>2050</v>
      </c>
      <c r="AH524" s="311"/>
      <c r="AI524" s="302">
        <v>252</v>
      </c>
      <c r="AJ524" s="311">
        <v>43818</v>
      </c>
      <c r="AK524" s="311">
        <v>40946</v>
      </c>
      <c r="AL524" s="311">
        <v>44214</v>
      </c>
      <c r="AM524" s="301"/>
      <c r="AN524" s="290"/>
      <c r="AO524" s="312" t="str">
        <f>_xlfn.IFNA(IF(VLOOKUP(tabItens[[#This Row],[CÓDIGO]],tabExcluirDoEstoque[#Data],1,FALSE),"sim",""),"")</f>
        <v/>
      </c>
      <c r="AP524" s="313" t="str">
        <f ca="1">IF(OR(ISBLANK(tabItens[[#This Row],[ATA DT.VALID.]]),tabItens[[#This Row],[ATA DT.VALID.]]="",tabItens[[#This Row],[ATA DT.VALID.]]=" "),"",IF(TYPE(tabItens[[#This Row],[ATA DT.VALID.]])=1,ROUNDUP((tabItens[[#This Row],[ATA DT.VALID.]]-TODAY())/7,0),""))</f>
        <v/>
      </c>
      <c r="AQ524" s="314">
        <v>0</v>
      </c>
      <c r="AR524" s="315" t="str">
        <f>IF(ISBLANK(tabItens[[#This Row],[CÓDIGO]]),"",IFERROR(VLOOKUP(tabItens[[#This Row],[CÓDIGO]],Consumo!$C$2:$AC$869,26,FALSE),0))</f>
        <v>05.2023</v>
      </c>
      <c r="AS524" s="316">
        <f>SUMIF(Consumo!$C$3:$C$869,tabItens[[#This Row],[CÓDIGO]],Consumo!$N$3:$N$869) + SUMIF(Consumo!$C$3:$C$869,tabItens[[#This Row],[CÓDIGO]],Consumo!$O$3:$O$869) + SUMIF(Consumo!$C$3:$C$869,tabItens[[#This Row],[CÓDIGO]],Consumo!$P$3:$P$869) + SUMIF(Consumo!$C$3:$C$869,tabItens[[#This Row],[CÓDIGO]],Consumo!$Q$3:$Q$869)</f>
        <v>420</v>
      </c>
      <c r="AT524" s="316">
        <f>SUMIF(Consumo!$C$3:$C$869,tabItens[[#This Row],[CÓDIGO]],Consumo!$Z$3:$Z$869)</f>
        <v>753</v>
      </c>
      <c r="AU524" s="317">
        <f>SUMIF(Consumo!$C$3:$C$869,tabItens[[#This Row],[CÓDIGO]],Consumo!$AA$3:$AA$869)</f>
        <v>400</v>
      </c>
      <c r="AV524" s="318">
        <f>SUMIF(Consumo!$C$3:$C$869,tabItens[[#This Row],[CÓDIGO]],Consumo!$Y$3:$Y$869)</f>
        <v>56</v>
      </c>
      <c r="AW524" s="291">
        <f>tabItens[[#This Row],[QTDE ATUAL]] + tabItens[[#This Row],[RC QTDE]] + tabItens[[#This Row],[AF SALDO]] + tabItens[[#This Row],[Recentes]]</f>
        <v>526</v>
      </c>
      <c r="AX524" s="319">
        <v>100</v>
      </c>
      <c r="AY524" s="319">
        <v>4</v>
      </c>
      <c r="AZ524" s="319">
        <f>IF(ISBLANK(tabItens[[#This Row],[CÓDIGO]]),"",tabItens[[#This Row],[PontoMês]] * (AZ$2+tabItens[[#This Row],[PontoQtM]]))</f>
        <v>400</v>
      </c>
      <c r="BA524" s="318">
        <f>tabItens[[#This Row],[PontoPed]] - tabItens[[#This Row],[Saldo]] + (1/10)</f>
        <v>-125.9</v>
      </c>
      <c r="BB524" s="318">
        <f xml:space="preserve"> tabItens[[#This Row],[PontoMês]] * BB$2 - tabItens[[#This Row],[QTDE ATUAL]] - (1/10)</f>
        <v>-426.1</v>
      </c>
      <c r="BC524" s="320">
        <f>IF( tabItens[[#This Row],[PontoPed]]&gt;0, IF(tabItens[[#This Row],[PontoPed]]&lt;1, 1, IF( tabItens[[#This Row],[Saldo]]&gt;tabItens[[#This Row],[PontoPed]], 0, (tabItens[[#This Row],[PontoPed]]-tabItens[[#This Row],[Saldo]])/tabItens[[#This Row],[PontoPed]] ) ), 0 )</f>
        <v>0</v>
      </c>
      <c r="BD524" s="321">
        <f>ROUNDDOWN(IF( OR( AND(tabItens[[#This Row],[PontoPed]]&lt;tabItens[[#This Row],[Saldo]],tabItens[[#This Row],[Saldo]]&gt;0), tabItens[[#This Row],[PontoPed]]=0), 99, IF(AND(tabItens[[#This Row],[Saldo]]=0,tabItens[[#This Row],[PontoPed]]&gt;0), 0, (1-tabItens[[#This Row],[PctAb]])*10 ) ),0)</f>
        <v>99</v>
      </c>
      <c r="BE524" s="322">
        <f>MAX(ROUNDDOWN( IF(tabItens[[#This Row],[Abaixo]] &gt; 0,   tabItens[[#This Row],[Abaixo]] + (tabItens[[#This Row],[PontoMês]] * IF( OR( ISBLANK(tabItens[[#This Row],[ATA Nº/ANO]]), tabItens[[#This Row],[ATA Nº/ANO]] = ""),BE$2,BE$1)),0),0),0)</f>
        <v>0</v>
      </c>
      <c r="BF52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23">
        <f>SUMIF(Consumo!$C$3:$C$869,tabItens[[#This Row],[CÓDIGO]],Consumo!$E$3:$E$869)</f>
        <v>0</v>
      </c>
      <c r="BH524" s="324">
        <f>IF(AND(tabItens[[#This Row],[Pend]] &gt; 0,tabItens[[#This Row],[Consumo]] &lt;&gt; 0), tabItens[[#This Row],[Pend]] / tabItens[[#This Row],[Consumo]], 0 )</f>
        <v>0</v>
      </c>
      <c r="BI524" s="323"/>
      <c r="BJ524" s="323"/>
      <c r="BK524" s="325" t="s">
        <v>2064</v>
      </c>
    </row>
    <row r="525" spans="1:63" hidden="1" x14ac:dyDescent="0.3">
      <c r="A525" s="286">
        <v>101891</v>
      </c>
      <c r="B525" s="287" t="s">
        <v>1568</v>
      </c>
      <c r="C525" s="288" t="s">
        <v>256</v>
      </c>
      <c r="D525" s="289">
        <v>67.45</v>
      </c>
      <c r="E525" s="290"/>
      <c r="F525" s="290"/>
      <c r="G525" s="290" t="s">
        <v>883</v>
      </c>
      <c r="H525" s="291">
        <v>29</v>
      </c>
      <c r="I525" s="292">
        <v>103003</v>
      </c>
      <c r="J525" s="293">
        <v>67.45</v>
      </c>
      <c r="K525" s="294">
        <v>26</v>
      </c>
      <c r="L525" s="295">
        <f>IF(tabItens[[#This Row],[Média]] &gt; 0, tabItens[[#This Row],[QTDE ATUAL]] / tabItens[[#This Row],[Média]],999.9)</f>
        <v>15.818181818181818</v>
      </c>
      <c r="M525" s="296">
        <v>0</v>
      </c>
      <c r="N525" s="297">
        <f>tabItens[[#This Row],[VALOR UNIT.]] * tabItens[[#This Row],[LC]]</f>
        <v>0</v>
      </c>
      <c r="O525" s="298" t="s">
        <v>2096</v>
      </c>
      <c r="P525" s="299"/>
      <c r="Q525" s="300"/>
      <c r="R525" s="297"/>
      <c r="S525" s="301"/>
      <c r="T525" s="302">
        <f>ROUNDDOWN(IFERROR(tabItens[[#This Row],[ATA DT.VALID.]] - $D$1,0) / 30,0)</f>
        <v>-1504</v>
      </c>
      <c r="U525" s="287" t="s">
        <v>1569</v>
      </c>
      <c r="V525" s="303">
        <v>1</v>
      </c>
      <c r="W525" s="304" t="s">
        <v>2055</v>
      </c>
      <c r="X525" s="305">
        <v>55</v>
      </c>
      <c r="Y525" s="306">
        <v>24</v>
      </c>
      <c r="Z525" s="307">
        <v>2956</v>
      </c>
      <c r="AA525" s="308">
        <v>2023</v>
      </c>
      <c r="AB525" s="309">
        <v>10</v>
      </c>
      <c r="AC525" s="309"/>
      <c r="AD525" s="308"/>
      <c r="AE525" s="309"/>
      <c r="AF525" s="302"/>
      <c r="AG525" s="310" t="s">
        <v>2050</v>
      </c>
      <c r="AH525" s="311"/>
      <c r="AI525" s="302">
        <v>8</v>
      </c>
      <c r="AJ525" s="311">
        <v>44945</v>
      </c>
      <c r="AK525" s="311">
        <v>39330</v>
      </c>
      <c r="AL525" s="311">
        <v>44917</v>
      </c>
      <c r="AM525" s="301"/>
      <c r="AN525" s="290"/>
      <c r="AO525" s="312" t="str">
        <f>_xlfn.IFNA(IF(VLOOKUP(tabItens[[#This Row],[CÓDIGO]],tabExcluirDoEstoque[#Data],1,FALSE),"sim",""),"")</f>
        <v/>
      </c>
      <c r="AP525" s="313" t="str">
        <f ca="1">IF(OR(ISBLANK(tabItens[[#This Row],[ATA DT.VALID.]]),tabItens[[#This Row],[ATA DT.VALID.]]="",tabItens[[#This Row],[ATA DT.VALID.]]=" "),"",IF(TYPE(tabItens[[#This Row],[ATA DT.VALID.]])=1,ROUNDUP((tabItens[[#This Row],[ATA DT.VALID.]]-TODAY())/7,0),""))</f>
        <v/>
      </c>
      <c r="AQ525" s="314">
        <v>0</v>
      </c>
      <c r="AR525" s="315" t="str">
        <f>IF(ISBLANK(tabItens[[#This Row],[CÓDIGO]]),"",IFERROR(VLOOKUP(tabItens[[#This Row],[CÓDIGO]],Consumo!$C$2:$AC$869,26,FALSE),0))</f>
        <v>04.2023</v>
      </c>
      <c r="AS525" s="316">
        <f>SUMIF(Consumo!$C$3:$C$869,tabItens[[#This Row],[CÓDIGO]],Consumo!$N$3:$N$869) + SUMIF(Consumo!$C$3:$C$869,tabItens[[#This Row],[CÓDIGO]],Consumo!$O$3:$O$869) + SUMIF(Consumo!$C$3:$C$869,tabItens[[#This Row],[CÓDIGO]],Consumo!$P$3:$P$869) + SUMIF(Consumo!$C$3:$C$869,tabItens[[#This Row],[CÓDIGO]],Consumo!$Q$3:$Q$869)</f>
        <v>10</v>
      </c>
      <c r="AT525" s="316">
        <f>SUMIF(Consumo!$C$3:$C$869,tabItens[[#This Row],[CÓDIGO]],Consumo!$Z$3:$Z$869)</f>
        <v>26</v>
      </c>
      <c r="AU525" s="317">
        <f>SUMIF(Consumo!$C$3:$C$869,tabItens[[#This Row],[CÓDIGO]],Consumo!$AA$3:$AA$869)</f>
        <v>16</v>
      </c>
      <c r="AV525" s="318">
        <f>SUMIF(Consumo!$C$3:$C$869,tabItens[[#This Row],[CÓDIGO]],Consumo!$Y$3:$Y$869)</f>
        <v>1.8333333333333333</v>
      </c>
      <c r="AW525" s="291">
        <f>tabItens[[#This Row],[QTDE ATUAL]] + tabItens[[#This Row],[RC QTDE]] + tabItens[[#This Row],[AF SALDO]] + tabItens[[#This Row],[Recentes]]</f>
        <v>39</v>
      </c>
      <c r="AX525" s="319">
        <v>5</v>
      </c>
      <c r="AY525" s="319">
        <v>4</v>
      </c>
      <c r="AZ525" s="319">
        <f>IF(ISBLANK(tabItens[[#This Row],[CÓDIGO]]),"",tabItens[[#This Row],[PontoMês]] * (AZ$2+tabItens[[#This Row],[PontoQtM]]))</f>
        <v>20</v>
      </c>
      <c r="BA525" s="318">
        <f>tabItens[[#This Row],[PontoPed]] - tabItens[[#This Row],[Saldo]] + (1/10)</f>
        <v>-18.899999999999999</v>
      </c>
      <c r="BB525" s="318">
        <f xml:space="preserve"> tabItens[[#This Row],[PontoMês]] * BB$2 - tabItens[[#This Row],[QTDE ATUAL]] - (1/10)</f>
        <v>-24.1</v>
      </c>
      <c r="BC525" s="320">
        <f>IF( tabItens[[#This Row],[PontoPed]]&gt;0, IF(tabItens[[#This Row],[PontoPed]]&lt;1, 1, IF( tabItens[[#This Row],[Saldo]]&gt;tabItens[[#This Row],[PontoPed]], 0, (tabItens[[#This Row],[PontoPed]]-tabItens[[#This Row],[Saldo]])/tabItens[[#This Row],[PontoPed]] ) ), 0 )</f>
        <v>0</v>
      </c>
      <c r="BD525" s="321">
        <f>ROUNDDOWN(IF( OR( AND(tabItens[[#This Row],[PontoPed]]&lt;tabItens[[#This Row],[Saldo]],tabItens[[#This Row],[Saldo]]&gt;0), tabItens[[#This Row],[PontoPed]]=0), 99, IF(AND(tabItens[[#This Row],[Saldo]]=0,tabItens[[#This Row],[PontoPed]]&gt;0), 0, (1-tabItens[[#This Row],[PctAb]])*10 ) ),0)</f>
        <v>99</v>
      </c>
      <c r="BE525" s="322">
        <f>MAX(ROUNDDOWN( IF(tabItens[[#This Row],[Abaixo]] &gt; 0,   tabItens[[#This Row],[Abaixo]] + (tabItens[[#This Row],[PontoMês]] * IF( OR( ISBLANK(tabItens[[#This Row],[ATA Nº/ANO]]), tabItens[[#This Row],[ATA Nº/ANO]] = ""),BE$2,BE$1)),0),0),0)</f>
        <v>0</v>
      </c>
      <c r="BF5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23">
        <f>SUMIF(Consumo!$C$3:$C$869,tabItens[[#This Row],[CÓDIGO]],Consumo!$E$3:$E$869)</f>
        <v>0</v>
      </c>
      <c r="BH525" s="324">
        <f>IF(AND(tabItens[[#This Row],[Pend]] &gt; 0,tabItens[[#This Row],[Consumo]] &lt;&gt; 0), tabItens[[#This Row],[Pend]] / tabItens[[#This Row],[Consumo]], 0 )</f>
        <v>0</v>
      </c>
      <c r="BI525" s="323"/>
      <c r="BJ525" s="323"/>
      <c r="BK525" s="325" t="s">
        <v>2064</v>
      </c>
    </row>
    <row r="526" spans="1:63" x14ac:dyDescent="0.3">
      <c r="A526" s="396">
        <v>133301</v>
      </c>
      <c r="B526" s="397" t="s">
        <v>1840</v>
      </c>
      <c r="C526" s="398" t="s">
        <v>256</v>
      </c>
      <c r="D526" s="399">
        <v>5.31</v>
      </c>
      <c r="E526" s="290"/>
      <c r="F526" s="400"/>
      <c r="G526" s="400" t="s">
        <v>883</v>
      </c>
      <c r="H526" s="401">
        <v>0</v>
      </c>
      <c r="I526" s="292">
        <v>103003</v>
      </c>
      <c r="J526" s="293">
        <v>5.31</v>
      </c>
      <c r="K526" s="402">
        <v>3092</v>
      </c>
      <c r="L526" s="403">
        <f>IF(tabItens[[#This Row],[Média]] &gt; 0, tabItens[[#This Row],[QTDE ATUAL]] / tabItens[[#This Row],[Média]],999.9)</f>
        <v>0</v>
      </c>
      <c r="M526" s="404">
        <v>0</v>
      </c>
      <c r="N526" s="405">
        <f>tabItens[[#This Row],[VALOR UNIT.]] * tabItens[[#This Row],[LC]]</f>
        <v>0</v>
      </c>
      <c r="O526" s="406" t="s">
        <v>2096</v>
      </c>
      <c r="P526" s="407"/>
      <c r="Q526" s="408"/>
      <c r="R526" s="297"/>
      <c r="S526" s="409"/>
      <c r="T526" s="410">
        <f>ROUNDDOWN(IFERROR(tabItens[[#This Row],[ATA DT.VALID.]] - $D$1,0) / 30,0)</f>
        <v>-1504</v>
      </c>
      <c r="U526" s="287" t="s">
        <v>1073</v>
      </c>
      <c r="V526" s="303">
        <v>1</v>
      </c>
      <c r="W526" s="411" t="s">
        <v>2055</v>
      </c>
      <c r="X526" s="412">
        <v>55</v>
      </c>
      <c r="Y526" s="413">
        <v>27</v>
      </c>
      <c r="Z526" s="414">
        <v>2235</v>
      </c>
      <c r="AA526" s="415">
        <v>2023</v>
      </c>
      <c r="AB526" s="416">
        <v>7000</v>
      </c>
      <c r="AC526" s="416"/>
      <c r="AD526" s="415"/>
      <c r="AE526" s="416"/>
      <c r="AF526" s="302"/>
      <c r="AG526" s="417" t="s">
        <v>2050</v>
      </c>
      <c r="AH526" s="418"/>
      <c r="AI526" s="302">
        <v>1030</v>
      </c>
      <c r="AJ526" s="418">
        <v>44629</v>
      </c>
      <c r="AK526" s="311">
        <v>42978</v>
      </c>
      <c r="AL526" s="311">
        <v>44917</v>
      </c>
      <c r="AM526" s="301"/>
      <c r="AN526" s="290"/>
      <c r="AO526" s="312" t="str">
        <f>_xlfn.IFNA(IF(VLOOKUP(tabItens[[#This Row],[CÓDIGO]],tabExcluirDoEstoque[#Data],1,FALSE),"sim",""),"")</f>
        <v/>
      </c>
      <c r="AP526" s="419" t="str">
        <f ca="1">IF(OR(ISBLANK(tabItens[[#This Row],[ATA DT.VALID.]]),tabItens[[#This Row],[ATA DT.VALID.]]="",tabItens[[#This Row],[ATA DT.VALID.]]=" "),"",IF(TYPE(tabItens[[#This Row],[ATA DT.VALID.]])=1,ROUNDUP((tabItens[[#This Row],[ATA DT.VALID.]]-TODAY())/7,0),""))</f>
        <v/>
      </c>
      <c r="AQ526" s="314">
        <v>0</v>
      </c>
      <c r="AR526" s="315" t="str">
        <f>IF(ISBLANK(tabItens[[#This Row],[CÓDIGO]]),"",IFERROR(VLOOKUP(tabItens[[#This Row],[CÓDIGO]],Consumo!$C$2:$AC$869,26,FALSE),0))</f>
        <v>01.2023</v>
      </c>
      <c r="AS526" s="316">
        <f>SUMIF(Consumo!$C$3:$C$869,tabItens[[#This Row],[CÓDIGO]],Consumo!$N$3:$N$869) + SUMIF(Consumo!$C$3:$C$869,tabItens[[#This Row],[CÓDIGO]],Consumo!$O$3:$O$869) + SUMIF(Consumo!$C$3:$C$869,tabItens[[#This Row],[CÓDIGO]],Consumo!$P$3:$P$869) + SUMIF(Consumo!$C$3:$C$869,tabItens[[#This Row],[CÓDIGO]],Consumo!$Q$3:$Q$869)</f>
        <v>0</v>
      </c>
      <c r="AT526" s="316">
        <f>SUMIF(Consumo!$C$3:$C$869,tabItens[[#This Row],[CÓDIGO]],Consumo!$Z$3:$Z$869)</f>
        <v>4570</v>
      </c>
      <c r="AU526" s="317">
        <f>SUMIF(Consumo!$C$3:$C$869,tabItens[[#This Row],[CÓDIGO]],Consumo!$AA$3:$AA$869)</f>
        <v>650</v>
      </c>
      <c r="AV526" s="318">
        <f>SUMIF(Consumo!$C$3:$C$869,tabItens[[#This Row],[CÓDIGO]],Consumo!$Y$3:$Y$869)</f>
        <v>380.83333333333331</v>
      </c>
      <c r="AW526" s="401">
        <f>tabItens[[#This Row],[QTDE ATUAL]] + tabItens[[#This Row],[RC QTDE]] + tabItens[[#This Row],[AF SALDO]] + tabItens[[#This Row],[Recentes]]</f>
        <v>7000</v>
      </c>
      <c r="AX526" s="420">
        <v>355</v>
      </c>
      <c r="AY526" s="420">
        <v>4</v>
      </c>
      <c r="AZ526" s="420">
        <f>IF(ISBLANK(tabItens[[#This Row],[CÓDIGO]]),"",tabItens[[#This Row],[PontoMês]] * (AZ$2+tabItens[[#This Row],[PontoQtM]]))</f>
        <v>1420</v>
      </c>
      <c r="BA526" s="421">
        <f>tabItens[[#This Row],[PontoPed]] - tabItens[[#This Row],[Saldo]] + (1/10)</f>
        <v>-5579.9</v>
      </c>
      <c r="BB526" s="421">
        <f xml:space="preserve"> tabItens[[#This Row],[PontoMês]] * BB$2 - tabItens[[#This Row],[QTDE ATUAL]] - (1/10)</f>
        <v>354.9</v>
      </c>
      <c r="BC526" s="320">
        <f>IF( tabItens[[#This Row],[PontoPed]]&gt;0, IF(tabItens[[#This Row],[PontoPed]]&lt;1, 1, IF( tabItens[[#This Row],[Saldo]]&gt;tabItens[[#This Row],[PontoPed]], 0, (tabItens[[#This Row],[PontoPed]]-tabItens[[#This Row],[Saldo]])/tabItens[[#This Row],[PontoPed]] ) ), 0 )</f>
        <v>0</v>
      </c>
      <c r="BD526" s="422">
        <f>ROUNDDOWN(IF( OR( AND(tabItens[[#This Row],[PontoPed]]&lt;tabItens[[#This Row],[Saldo]],tabItens[[#This Row],[Saldo]]&gt;0), tabItens[[#This Row],[PontoPed]]=0), 99, IF(AND(tabItens[[#This Row],[Saldo]]=0,tabItens[[#This Row],[PontoPed]]&gt;0), 0, (1-tabItens[[#This Row],[PctAb]])*10 ) ),0)</f>
        <v>99</v>
      </c>
      <c r="BE526" s="423">
        <f>MAX(ROUNDDOWN( IF(tabItens[[#This Row],[Abaixo]] &gt; 0,   tabItens[[#This Row],[Abaixo]] + (tabItens[[#This Row],[PontoMês]] * IF( OR( ISBLANK(tabItens[[#This Row],[ATA Nº/ANO]]), tabItens[[#This Row],[ATA Nº/ANO]] = ""),BE$2,BE$1)),0),0),0)</f>
        <v>0</v>
      </c>
      <c r="BF52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23">
        <f>SUMIF(Consumo!$C$3:$C$869,tabItens[[#This Row],[CÓDIGO]],Consumo!$E$3:$E$869)</f>
        <v>1478</v>
      </c>
      <c r="BH526" s="324">
        <f>IF(AND(tabItens[[#This Row],[Pend]] &gt; 0,tabItens[[#This Row],[Consumo]] &lt;&gt; 0), tabItens[[#This Row],[Pend]] / tabItens[[#This Row],[Consumo]], 0 )</f>
        <v>0.32341356673960614</v>
      </c>
      <c r="BI526" s="323"/>
      <c r="BJ526" s="424"/>
      <c r="BK526" s="425" t="s">
        <v>2064</v>
      </c>
    </row>
    <row r="527" spans="1:63" hidden="1" x14ac:dyDescent="0.3">
      <c r="A527" s="286">
        <v>113634</v>
      </c>
      <c r="B527" s="287" t="s">
        <v>1689</v>
      </c>
      <c r="C527" s="288" t="s">
        <v>31</v>
      </c>
      <c r="D527" s="289">
        <v>15.25</v>
      </c>
      <c r="E527" s="290"/>
      <c r="F527" s="290"/>
      <c r="G527" s="290" t="s">
        <v>883</v>
      </c>
      <c r="H527" s="291">
        <v>63</v>
      </c>
      <c r="I527" s="292">
        <v>103003</v>
      </c>
      <c r="J527" s="293">
        <v>15.25</v>
      </c>
      <c r="K527" s="294">
        <v>4</v>
      </c>
      <c r="L527" s="295">
        <f>IF(tabItens[[#This Row],[Média]] &gt; 0, tabItens[[#This Row],[QTDE ATUAL]] / tabItens[[#This Row],[Média]],999.9)</f>
        <v>252</v>
      </c>
      <c r="M527" s="296">
        <v>0</v>
      </c>
      <c r="N527" s="297">
        <f>tabItens[[#This Row],[VALOR UNIT.]] * tabItens[[#This Row],[LC]]</f>
        <v>0</v>
      </c>
      <c r="O527" s="298" t="s">
        <v>2096</v>
      </c>
      <c r="P527" s="299"/>
      <c r="Q527" s="300"/>
      <c r="R527" s="297"/>
      <c r="S527" s="301"/>
      <c r="T527" s="302">
        <f>ROUNDDOWN(IFERROR(tabItens[[#This Row],[ATA DT.VALID.]] - $D$1,0) / 30,0)</f>
        <v>-1504</v>
      </c>
      <c r="U527" s="287" t="s">
        <v>983</v>
      </c>
      <c r="V527" s="303">
        <v>1</v>
      </c>
      <c r="W527" s="304" t="s">
        <v>2055</v>
      </c>
      <c r="X527" s="305">
        <v>55</v>
      </c>
      <c r="Y527" s="306">
        <v>31</v>
      </c>
      <c r="Z527" s="307"/>
      <c r="AA527" s="308"/>
      <c r="AB527" s="309"/>
      <c r="AC527" s="309"/>
      <c r="AD527" s="308"/>
      <c r="AE527" s="309"/>
      <c r="AF527" s="302"/>
      <c r="AG527" s="310" t="s">
        <v>2050</v>
      </c>
      <c r="AH527" s="311"/>
      <c r="AI527" s="302">
        <v>2</v>
      </c>
      <c r="AJ527" s="311">
        <v>43916</v>
      </c>
      <c r="AK527" s="311">
        <v>40150</v>
      </c>
      <c r="AL527" s="311">
        <v>43865</v>
      </c>
      <c r="AM527" s="301"/>
      <c r="AN527" s="290"/>
      <c r="AO527" s="312" t="str">
        <f>_xlfn.IFNA(IF(VLOOKUP(tabItens[[#This Row],[CÓDIGO]],tabExcluirDoEstoque[#Data],1,FALSE),"sim",""),"")</f>
        <v/>
      </c>
      <c r="AP527" s="313" t="str">
        <f ca="1">IF(OR(ISBLANK(tabItens[[#This Row],[ATA DT.VALID.]]),tabItens[[#This Row],[ATA DT.VALID.]]="",tabItens[[#This Row],[ATA DT.VALID.]]=" "),"",IF(TYPE(tabItens[[#This Row],[ATA DT.VALID.]])=1,ROUNDUP((tabItens[[#This Row],[ATA DT.VALID.]]-TODAY())/7,0),""))</f>
        <v/>
      </c>
      <c r="AQ527" s="314">
        <v>0</v>
      </c>
      <c r="AR527" s="315" t="str">
        <f>IF(ISBLANK(tabItens[[#This Row],[CÓDIGO]]),"",IFERROR(VLOOKUP(tabItens[[#This Row],[CÓDIGO]],Consumo!$C$2:$AC$869,26,FALSE),0))</f>
        <v>03.2023</v>
      </c>
      <c r="AS527" s="316">
        <f>SUMIF(Consumo!$C$3:$C$869,tabItens[[#This Row],[CÓDIGO]],Consumo!$N$3:$N$869) + SUMIF(Consumo!$C$3:$C$869,tabItens[[#This Row],[CÓDIGO]],Consumo!$O$3:$O$869) + SUMIF(Consumo!$C$3:$C$869,tabItens[[#This Row],[CÓDIGO]],Consumo!$P$3:$P$869) + SUMIF(Consumo!$C$3:$C$869,tabItens[[#This Row],[CÓDIGO]],Consumo!$Q$3:$Q$869)</f>
        <v>0</v>
      </c>
      <c r="AT527" s="316">
        <f>SUMIF(Consumo!$C$3:$C$869,tabItens[[#This Row],[CÓDIGO]],Consumo!$Z$3:$Z$869)</f>
        <v>4</v>
      </c>
      <c r="AU527" s="317">
        <f>SUMIF(Consumo!$C$3:$C$869,tabItens[[#This Row],[CÓDIGO]],Consumo!$AA$3:$AA$869)</f>
        <v>3</v>
      </c>
      <c r="AV527" s="318">
        <f>SUMIF(Consumo!$C$3:$C$869,tabItens[[#This Row],[CÓDIGO]],Consumo!$Y$3:$Y$869)</f>
        <v>0.25</v>
      </c>
      <c r="AW527" s="291">
        <f>tabItens[[#This Row],[QTDE ATUAL]] + tabItens[[#This Row],[RC QTDE]] + tabItens[[#This Row],[AF SALDO]] + tabItens[[#This Row],[Recentes]]</f>
        <v>63</v>
      </c>
      <c r="AX527" s="319">
        <v>5</v>
      </c>
      <c r="AY527" s="319">
        <v>4</v>
      </c>
      <c r="AZ527" s="319">
        <f>IF(ISBLANK(tabItens[[#This Row],[CÓDIGO]]),"",tabItens[[#This Row],[PontoMês]] * (AZ$2+tabItens[[#This Row],[PontoQtM]]))</f>
        <v>20</v>
      </c>
      <c r="BA527" s="318">
        <f>tabItens[[#This Row],[PontoPed]] - tabItens[[#This Row],[Saldo]] + (1/10)</f>
        <v>-42.9</v>
      </c>
      <c r="BB527" s="318">
        <f xml:space="preserve"> tabItens[[#This Row],[PontoMês]] * BB$2 - tabItens[[#This Row],[QTDE ATUAL]] - (1/10)</f>
        <v>-58.1</v>
      </c>
      <c r="BC527" s="320">
        <f>IF( tabItens[[#This Row],[PontoPed]]&gt;0, IF(tabItens[[#This Row],[PontoPed]]&lt;1, 1, IF( tabItens[[#This Row],[Saldo]]&gt;tabItens[[#This Row],[PontoPed]], 0, (tabItens[[#This Row],[PontoPed]]-tabItens[[#This Row],[Saldo]])/tabItens[[#This Row],[PontoPed]] ) ), 0 )</f>
        <v>0</v>
      </c>
      <c r="BD527" s="321">
        <f>ROUNDDOWN(IF( OR( AND(tabItens[[#This Row],[PontoPed]]&lt;tabItens[[#This Row],[Saldo]],tabItens[[#This Row],[Saldo]]&gt;0), tabItens[[#This Row],[PontoPed]]=0), 99, IF(AND(tabItens[[#This Row],[Saldo]]=0,tabItens[[#This Row],[PontoPed]]&gt;0), 0, (1-tabItens[[#This Row],[PctAb]])*10 ) ),0)</f>
        <v>99</v>
      </c>
      <c r="BE527" s="322">
        <f>MAX(ROUNDDOWN( IF(tabItens[[#This Row],[Abaixo]] &gt; 0,   tabItens[[#This Row],[Abaixo]] + (tabItens[[#This Row],[PontoMês]] * IF( OR( ISBLANK(tabItens[[#This Row],[ATA Nº/ANO]]), tabItens[[#This Row],[ATA Nº/ANO]] = ""),BE$2,BE$1)),0),0),0)</f>
        <v>0</v>
      </c>
      <c r="BF52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23">
        <f>SUMIF(Consumo!$C$3:$C$869,tabItens[[#This Row],[CÓDIGO]],Consumo!$E$3:$E$869)</f>
        <v>0</v>
      </c>
      <c r="BH527" s="324">
        <f>IF(AND(tabItens[[#This Row],[Pend]] &gt; 0,tabItens[[#This Row],[Consumo]] &lt;&gt; 0), tabItens[[#This Row],[Pend]] / tabItens[[#This Row],[Consumo]], 0 )</f>
        <v>0</v>
      </c>
      <c r="BI527" s="323"/>
      <c r="BJ527" s="323"/>
      <c r="BK527" s="325" t="s">
        <v>2064</v>
      </c>
    </row>
    <row r="528" spans="1:63" x14ac:dyDescent="0.3">
      <c r="A528" s="396">
        <v>14784</v>
      </c>
      <c r="B528" s="397" t="s">
        <v>1071</v>
      </c>
      <c r="C528" s="398" t="s">
        <v>256</v>
      </c>
      <c r="D528" s="399">
        <v>6.8</v>
      </c>
      <c r="E528" s="290"/>
      <c r="F528" s="400"/>
      <c r="G528" s="400" t="s">
        <v>883</v>
      </c>
      <c r="H528" s="401">
        <v>0</v>
      </c>
      <c r="I528" s="292">
        <v>103003</v>
      </c>
      <c r="J528" s="293">
        <v>6.8</v>
      </c>
      <c r="K528" s="402">
        <v>258</v>
      </c>
      <c r="L528" s="403">
        <f>IF(tabItens[[#This Row],[Média]] &gt; 0, tabItens[[#This Row],[QTDE ATUAL]] / tabItens[[#This Row],[Média]],999.9)</f>
        <v>0</v>
      </c>
      <c r="M528" s="404">
        <v>0</v>
      </c>
      <c r="N528" s="405">
        <f>tabItens[[#This Row],[VALOR UNIT.]] * tabItens[[#This Row],[LC]]</f>
        <v>0</v>
      </c>
      <c r="O528" s="406" t="s">
        <v>2096</v>
      </c>
      <c r="P528" s="407"/>
      <c r="Q528" s="408"/>
      <c r="R528" s="297"/>
      <c r="S528" s="409"/>
      <c r="T528" s="410">
        <f>ROUNDDOWN(IFERROR(tabItens[[#This Row],[ATA DT.VALID.]] - $D$1,0) / 30,0)</f>
        <v>-1504</v>
      </c>
      <c r="U528" s="287" t="s">
        <v>988</v>
      </c>
      <c r="V528" s="303">
        <v>1</v>
      </c>
      <c r="W528" s="411" t="s">
        <v>2055</v>
      </c>
      <c r="X528" s="412">
        <v>55</v>
      </c>
      <c r="Y528" s="413">
        <v>32</v>
      </c>
      <c r="Z528" s="414">
        <v>2686</v>
      </c>
      <c r="AA528" s="415">
        <v>2023</v>
      </c>
      <c r="AB528" s="416">
        <v>100</v>
      </c>
      <c r="AC528" s="416"/>
      <c r="AD528" s="415"/>
      <c r="AE528" s="416"/>
      <c r="AF528" s="302"/>
      <c r="AG528" s="417" t="s">
        <v>2050</v>
      </c>
      <c r="AH528" s="418"/>
      <c r="AI528" s="302">
        <v>92</v>
      </c>
      <c r="AJ528" s="418">
        <v>44733</v>
      </c>
      <c r="AK528" s="311" t="s">
        <v>883</v>
      </c>
      <c r="AL528" s="311">
        <v>44722</v>
      </c>
      <c r="AM528" s="301"/>
      <c r="AN528" s="290"/>
      <c r="AO528" s="312" t="str">
        <f>_xlfn.IFNA(IF(VLOOKUP(tabItens[[#This Row],[CÓDIGO]],tabExcluirDoEstoque[#Data],1,FALSE),"sim",""),"")</f>
        <v/>
      </c>
      <c r="AP528" s="419" t="str">
        <f ca="1">IF(OR(ISBLANK(tabItens[[#This Row],[ATA DT.VALID.]]),tabItens[[#This Row],[ATA DT.VALID.]]="",tabItens[[#This Row],[ATA DT.VALID.]]=" "),"",IF(TYPE(tabItens[[#This Row],[ATA DT.VALID.]])=1,ROUNDUP((tabItens[[#This Row],[ATA DT.VALID.]]-TODAY())/7,0),""))</f>
        <v/>
      </c>
      <c r="AQ528" s="314">
        <v>0</v>
      </c>
      <c r="AR528" s="315" t="str">
        <f>IF(ISBLANK(tabItens[[#This Row],[CÓDIGO]]),"",IFERROR(VLOOKUP(tabItens[[#This Row],[CÓDIGO]],Consumo!$C$2:$AC$869,26,FALSE),0))</f>
        <v>04.2023</v>
      </c>
      <c r="AS528" s="316">
        <f>SUMIF(Consumo!$C$3:$C$869,tabItens[[#This Row],[CÓDIGO]],Consumo!$N$3:$N$869) + SUMIF(Consumo!$C$3:$C$869,tabItens[[#This Row],[CÓDIGO]],Consumo!$O$3:$O$869) + SUMIF(Consumo!$C$3:$C$869,tabItens[[#This Row],[CÓDIGO]],Consumo!$P$3:$P$869) + SUMIF(Consumo!$C$3:$C$869,tabItens[[#This Row],[CÓDIGO]],Consumo!$Q$3:$Q$869)</f>
        <v>38</v>
      </c>
      <c r="AT528" s="316">
        <f>SUMIF(Consumo!$C$3:$C$869,tabItens[[#This Row],[CÓDIGO]],Consumo!$Z$3:$Z$869)</f>
        <v>325</v>
      </c>
      <c r="AU528" s="317">
        <f>SUMIF(Consumo!$C$3:$C$869,tabItens[[#This Row],[CÓDIGO]],Consumo!$AA$3:$AA$869)</f>
        <v>61</v>
      </c>
      <c r="AV528" s="318">
        <f>SUMIF(Consumo!$C$3:$C$869,tabItens[[#This Row],[CÓDIGO]],Consumo!$Y$3:$Y$869)</f>
        <v>27.083333333333332</v>
      </c>
      <c r="AW528" s="401">
        <f>tabItens[[#This Row],[QTDE ATUAL]] + tabItens[[#This Row],[RC QTDE]] + tabItens[[#This Row],[AF SALDO]] + tabItens[[#This Row],[Recentes]]</f>
        <v>100</v>
      </c>
      <c r="AX528" s="420">
        <v>15</v>
      </c>
      <c r="AY528" s="420">
        <v>4</v>
      </c>
      <c r="AZ528" s="420">
        <f>IF(ISBLANK(tabItens[[#This Row],[CÓDIGO]]),"",tabItens[[#This Row],[PontoMês]] * (AZ$2+tabItens[[#This Row],[PontoQtM]]))</f>
        <v>60</v>
      </c>
      <c r="BA528" s="421">
        <f>tabItens[[#This Row],[PontoPed]] - tabItens[[#This Row],[Saldo]] + (1/10)</f>
        <v>-39.9</v>
      </c>
      <c r="BB528" s="421">
        <f xml:space="preserve"> tabItens[[#This Row],[PontoMês]] * BB$2 - tabItens[[#This Row],[QTDE ATUAL]] - (1/10)</f>
        <v>14.9</v>
      </c>
      <c r="BC528" s="320">
        <f>IF( tabItens[[#This Row],[PontoPed]]&gt;0, IF(tabItens[[#This Row],[PontoPed]]&lt;1, 1, IF( tabItens[[#This Row],[Saldo]]&gt;tabItens[[#This Row],[PontoPed]], 0, (tabItens[[#This Row],[PontoPed]]-tabItens[[#This Row],[Saldo]])/tabItens[[#This Row],[PontoPed]] ) ), 0 )</f>
        <v>0</v>
      </c>
      <c r="BD528" s="422">
        <f>ROUNDDOWN(IF( OR( AND(tabItens[[#This Row],[PontoPed]]&lt;tabItens[[#This Row],[Saldo]],tabItens[[#This Row],[Saldo]]&gt;0), tabItens[[#This Row],[PontoPed]]=0), 99, IF(AND(tabItens[[#This Row],[Saldo]]=0,tabItens[[#This Row],[PontoPed]]&gt;0), 0, (1-tabItens[[#This Row],[PctAb]])*10 ) ),0)</f>
        <v>99</v>
      </c>
      <c r="BE528" s="423">
        <f>MAX(ROUNDDOWN( IF(tabItens[[#This Row],[Abaixo]] &gt; 0,   tabItens[[#This Row],[Abaixo]] + (tabItens[[#This Row],[PontoMês]] * IF( OR( ISBLANK(tabItens[[#This Row],[ATA Nº/ANO]]), tabItens[[#This Row],[ATA Nº/ANO]] = ""),BE$2,BE$1)),0),0),0)</f>
        <v>0</v>
      </c>
      <c r="BF528"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23">
        <f>SUMIF(Consumo!$C$3:$C$869,tabItens[[#This Row],[CÓDIGO]],Consumo!$E$3:$E$869)</f>
        <v>47</v>
      </c>
      <c r="BH528" s="324">
        <f>IF(AND(tabItens[[#This Row],[Pend]] &gt; 0,tabItens[[#This Row],[Consumo]] &lt;&gt; 0), tabItens[[#This Row],[Pend]] / tabItens[[#This Row],[Consumo]], 0 )</f>
        <v>0.14461538461538462</v>
      </c>
      <c r="BI528" s="323"/>
      <c r="BJ528" s="424"/>
      <c r="BK528" s="425" t="s">
        <v>2064</v>
      </c>
    </row>
    <row r="529" spans="1:63" hidden="1" x14ac:dyDescent="0.3">
      <c r="A529" s="286">
        <v>60889</v>
      </c>
      <c r="B529" s="287" t="s">
        <v>1348</v>
      </c>
      <c r="C529" s="288" t="s">
        <v>294</v>
      </c>
      <c r="D529" s="289">
        <v>34.659999999999997</v>
      </c>
      <c r="E529" s="290"/>
      <c r="F529" s="290"/>
      <c r="G529" s="290" t="s">
        <v>883</v>
      </c>
      <c r="H529" s="291">
        <v>918</v>
      </c>
      <c r="I529" s="292">
        <v>103003</v>
      </c>
      <c r="J529" s="293">
        <v>34.659999999999997</v>
      </c>
      <c r="K529" s="294">
        <v>1258</v>
      </c>
      <c r="L529" s="295">
        <f>IF(tabItens[[#This Row],[Média]] &gt; 0, tabItens[[#This Row],[QTDE ATUAL]] / tabItens[[#This Row],[Média]],999.9)</f>
        <v>5.7404898384575302</v>
      </c>
      <c r="M529" s="296">
        <v>0</v>
      </c>
      <c r="N529" s="297">
        <f>tabItens[[#This Row],[VALOR UNIT.]] * tabItens[[#This Row],[LC]]</f>
        <v>0</v>
      </c>
      <c r="O529" s="298" t="s">
        <v>2096</v>
      </c>
      <c r="P529" s="299"/>
      <c r="Q529" s="300"/>
      <c r="R529" s="297"/>
      <c r="S529" s="301"/>
      <c r="T529" s="302">
        <f>ROUNDDOWN(IFERROR(tabItens[[#This Row],[ATA DT.VALID.]] - $D$1,0) / 30,0)</f>
        <v>-1504</v>
      </c>
      <c r="U529" s="287" t="s">
        <v>988</v>
      </c>
      <c r="V529" s="303">
        <v>1</v>
      </c>
      <c r="W529" s="304" t="s">
        <v>2055</v>
      </c>
      <c r="X529" s="305">
        <v>55</v>
      </c>
      <c r="Y529" s="306">
        <v>32</v>
      </c>
      <c r="Z529" s="307">
        <v>2956</v>
      </c>
      <c r="AA529" s="308">
        <v>2023</v>
      </c>
      <c r="AB529" s="309">
        <v>300</v>
      </c>
      <c r="AC529" s="309"/>
      <c r="AD529" s="308"/>
      <c r="AE529" s="309"/>
      <c r="AF529" s="302"/>
      <c r="AG529" s="310" t="s">
        <v>2050</v>
      </c>
      <c r="AH529" s="311"/>
      <c r="AI529" s="302">
        <v>646</v>
      </c>
      <c r="AJ529" s="311">
        <v>44874</v>
      </c>
      <c r="AK529" s="311" t="s">
        <v>883</v>
      </c>
      <c r="AL529" s="311">
        <v>44845</v>
      </c>
      <c r="AM529" s="301"/>
      <c r="AN529" s="290"/>
      <c r="AO529" s="312" t="str">
        <f>_xlfn.IFNA(IF(VLOOKUP(tabItens[[#This Row],[CÓDIGO]],tabExcluirDoEstoque[#Data],1,FALSE),"sim",""),"")</f>
        <v/>
      </c>
      <c r="AP529" s="313" t="str">
        <f ca="1">IF(OR(ISBLANK(tabItens[[#This Row],[ATA DT.VALID.]]),tabItens[[#This Row],[ATA DT.VALID.]]="",tabItens[[#This Row],[ATA DT.VALID.]]=" "),"",IF(TYPE(tabItens[[#This Row],[ATA DT.VALID.]])=1,ROUNDUP((tabItens[[#This Row],[ATA DT.VALID.]]-TODAY())/7,0),""))</f>
        <v/>
      </c>
      <c r="AQ529" s="314">
        <v>0</v>
      </c>
      <c r="AR529" s="315" t="str">
        <f>IF(ISBLANK(tabItens[[#This Row],[CÓDIGO]]),"",IFERROR(VLOOKUP(tabItens[[#This Row],[CÓDIGO]],Consumo!$C$2:$AC$869,26,FALSE),0))</f>
        <v>07.2023</v>
      </c>
      <c r="AS529" s="316">
        <f>SUMIF(Consumo!$C$3:$C$869,tabItens[[#This Row],[CÓDIGO]],Consumo!$N$3:$N$869) + SUMIF(Consumo!$C$3:$C$869,tabItens[[#This Row],[CÓDIGO]],Consumo!$O$3:$O$869) + SUMIF(Consumo!$C$3:$C$869,tabItens[[#This Row],[CÓDIGO]],Consumo!$P$3:$P$869) + SUMIF(Consumo!$C$3:$C$869,tabItens[[#This Row],[CÓDIGO]],Consumo!$Q$3:$Q$869)</f>
        <v>583</v>
      </c>
      <c r="AT529" s="316">
        <f>SUMIF(Consumo!$C$3:$C$869,tabItens[[#This Row],[CÓDIGO]],Consumo!$Z$3:$Z$869)</f>
        <v>1935</v>
      </c>
      <c r="AU529" s="317">
        <f>SUMIF(Consumo!$C$3:$C$869,tabItens[[#This Row],[CÓDIGO]],Consumo!$AA$3:$AA$869)</f>
        <v>320</v>
      </c>
      <c r="AV529" s="318">
        <f>SUMIF(Consumo!$C$3:$C$869,tabItens[[#This Row],[CÓDIGO]],Consumo!$Y$3:$Y$869)</f>
        <v>159.91666666666666</v>
      </c>
      <c r="AW529" s="291">
        <f>tabItens[[#This Row],[QTDE ATUAL]] + tabItens[[#This Row],[RC QTDE]] + tabItens[[#This Row],[AF SALDO]] + tabItens[[#This Row],[Recentes]]</f>
        <v>1218</v>
      </c>
      <c r="AX529" s="319">
        <v>79</v>
      </c>
      <c r="AY529" s="319">
        <v>4</v>
      </c>
      <c r="AZ529" s="319">
        <f>IF(ISBLANK(tabItens[[#This Row],[CÓDIGO]]),"",tabItens[[#This Row],[PontoMês]] * (AZ$2+tabItens[[#This Row],[PontoQtM]]))</f>
        <v>316</v>
      </c>
      <c r="BA529" s="318">
        <f>tabItens[[#This Row],[PontoPed]] - tabItens[[#This Row],[Saldo]] + (1/10)</f>
        <v>-901.9</v>
      </c>
      <c r="BB529" s="318">
        <f xml:space="preserve"> tabItens[[#This Row],[PontoMês]] * BB$2 - tabItens[[#This Row],[QTDE ATUAL]] - (1/10)</f>
        <v>-839.1</v>
      </c>
      <c r="BC529" s="320">
        <f>IF( tabItens[[#This Row],[PontoPed]]&gt;0, IF(tabItens[[#This Row],[PontoPed]]&lt;1, 1, IF( tabItens[[#This Row],[Saldo]]&gt;tabItens[[#This Row],[PontoPed]], 0, (tabItens[[#This Row],[PontoPed]]-tabItens[[#This Row],[Saldo]])/tabItens[[#This Row],[PontoPed]] ) ), 0 )</f>
        <v>0</v>
      </c>
      <c r="BD529" s="321">
        <f>ROUNDDOWN(IF( OR( AND(tabItens[[#This Row],[PontoPed]]&lt;tabItens[[#This Row],[Saldo]],tabItens[[#This Row],[Saldo]]&gt;0), tabItens[[#This Row],[PontoPed]]=0), 99, IF(AND(tabItens[[#This Row],[Saldo]]=0,tabItens[[#This Row],[PontoPed]]&gt;0), 0, (1-tabItens[[#This Row],[PctAb]])*10 ) ),0)</f>
        <v>99</v>
      </c>
      <c r="BE529" s="322">
        <f>MAX(ROUNDDOWN( IF(tabItens[[#This Row],[Abaixo]] &gt; 0,   tabItens[[#This Row],[Abaixo]] + (tabItens[[#This Row],[PontoMês]] * IF( OR( ISBLANK(tabItens[[#This Row],[ATA Nº/ANO]]), tabItens[[#This Row],[ATA Nº/ANO]] = ""),BE$2,BE$1)),0),0),0)</f>
        <v>0</v>
      </c>
      <c r="BF52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23">
        <f>SUMIF(Consumo!$C$3:$C$869,tabItens[[#This Row],[CÓDIGO]],Consumo!$E$3:$E$869)</f>
        <v>0</v>
      </c>
      <c r="BH529" s="324">
        <f>IF(AND(tabItens[[#This Row],[Pend]] &gt; 0,tabItens[[#This Row],[Consumo]] &lt;&gt; 0), tabItens[[#This Row],[Pend]] / tabItens[[#This Row],[Consumo]], 0 )</f>
        <v>0</v>
      </c>
      <c r="BI529" s="323"/>
      <c r="BJ529" s="323"/>
      <c r="BK529" s="325" t="s">
        <v>2064</v>
      </c>
    </row>
    <row r="530" spans="1:63" hidden="1" x14ac:dyDescent="0.3">
      <c r="A530" s="286">
        <v>99787</v>
      </c>
      <c r="B530" s="287" t="s">
        <v>1560</v>
      </c>
      <c r="C530" s="288" t="s">
        <v>256</v>
      </c>
      <c r="D530" s="289">
        <v>73</v>
      </c>
      <c r="E530" s="290"/>
      <c r="F530" s="290"/>
      <c r="G530" s="290" t="s">
        <v>883</v>
      </c>
      <c r="H530" s="291">
        <v>16</v>
      </c>
      <c r="I530" s="292">
        <v>103003</v>
      </c>
      <c r="J530" s="293">
        <v>73</v>
      </c>
      <c r="K530" s="294">
        <v>63</v>
      </c>
      <c r="L530" s="295">
        <f>IF(tabItens[[#This Row],[Média]] &gt; 0, tabItens[[#This Row],[QTDE ATUAL]] / tabItens[[#This Row],[Média]],999.9)</f>
        <v>3.254237288135593</v>
      </c>
      <c r="M530" s="296">
        <v>0</v>
      </c>
      <c r="N530" s="297">
        <f>tabItens[[#This Row],[VALOR UNIT.]] * tabItens[[#This Row],[LC]]</f>
        <v>0</v>
      </c>
      <c r="O530" s="298" t="s">
        <v>2096</v>
      </c>
      <c r="P530" s="299"/>
      <c r="Q530" s="300"/>
      <c r="R530" s="297"/>
      <c r="S530" s="301"/>
      <c r="T530" s="302">
        <f>ROUNDDOWN(IFERROR(tabItens[[#This Row],[ATA DT.VALID.]] - $D$1,0) / 30,0)</f>
        <v>-1504</v>
      </c>
      <c r="U530" s="287" t="s">
        <v>988</v>
      </c>
      <c r="V530" s="303">
        <v>1</v>
      </c>
      <c r="W530" s="304" t="s">
        <v>2055</v>
      </c>
      <c r="X530" s="305">
        <v>55</v>
      </c>
      <c r="Y530" s="306">
        <v>32</v>
      </c>
      <c r="Z530" s="307">
        <v>2691</v>
      </c>
      <c r="AA530" s="308">
        <v>2023</v>
      </c>
      <c r="AB530" s="309">
        <v>60</v>
      </c>
      <c r="AC530" s="309"/>
      <c r="AD530" s="308"/>
      <c r="AE530" s="309"/>
      <c r="AF530" s="302"/>
      <c r="AG530" s="310" t="s">
        <v>2050</v>
      </c>
      <c r="AH530" s="311"/>
      <c r="AI530" s="302">
        <v>24</v>
      </c>
      <c r="AJ530" s="311">
        <v>44874</v>
      </c>
      <c r="AK530" s="311">
        <v>39227</v>
      </c>
      <c r="AL530" s="311">
        <v>44845</v>
      </c>
      <c r="AM530" s="301"/>
      <c r="AN530" s="290"/>
      <c r="AO530" s="312" t="str">
        <f>_xlfn.IFNA(IF(VLOOKUP(tabItens[[#This Row],[CÓDIGO]],tabExcluirDoEstoque[#Data],1,FALSE),"sim",""),"")</f>
        <v/>
      </c>
      <c r="AP530" s="313" t="str">
        <f ca="1">IF(OR(ISBLANK(tabItens[[#This Row],[ATA DT.VALID.]]),tabItens[[#This Row],[ATA DT.VALID.]]="",tabItens[[#This Row],[ATA DT.VALID.]]=" "),"",IF(TYPE(tabItens[[#This Row],[ATA DT.VALID.]])=1,ROUNDUP((tabItens[[#This Row],[ATA DT.VALID.]]-TODAY())/7,0),""))</f>
        <v/>
      </c>
      <c r="AQ530" s="314">
        <v>0</v>
      </c>
      <c r="AR530" s="315" t="str">
        <f>IF(ISBLANK(tabItens[[#This Row],[CÓDIGO]]),"",IFERROR(VLOOKUP(tabItens[[#This Row],[CÓDIGO]],Consumo!$C$2:$AC$869,26,FALSE),0))</f>
        <v>07.2023</v>
      </c>
      <c r="AS530" s="316">
        <f>SUMIF(Consumo!$C$3:$C$869,tabItens[[#This Row],[CÓDIGO]],Consumo!$N$3:$N$869) + SUMIF(Consumo!$C$3:$C$869,tabItens[[#This Row],[CÓDIGO]],Consumo!$O$3:$O$869) + SUMIF(Consumo!$C$3:$C$869,tabItens[[#This Row],[CÓDIGO]],Consumo!$P$3:$P$869) + SUMIF(Consumo!$C$3:$C$869,tabItens[[#This Row],[CÓDIGO]],Consumo!$Q$3:$Q$869)</f>
        <v>10</v>
      </c>
      <c r="AT530" s="316">
        <f>SUMIF(Consumo!$C$3:$C$869,tabItens[[#This Row],[CÓDIGO]],Consumo!$Z$3:$Z$869)</f>
        <v>69</v>
      </c>
      <c r="AU530" s="317">
        <f>SUMIF(Consumo!$C$3:$C$869,tabItens[[#This Row],[CÓDIGO]],Consumo!$AA$3:$AA$869)</f>
        <v>35</v>
      </c>
      <c r="AV530" s="318">
        <f>SUMIF(Consumo!$C$3:$C$869,tabItens[[#This Row],[CÓDIGO]],Consumo!$Y$3:$Y$869)</f>
        <v>4.916666666666667</v>
      </c>
      <c r="AW530" s="291">
        <f>tabItens[[#This Row],[QTDE ATUAL]] + tabItens[[#This Row],[RC QTDE]] + tabItens[[#This Row],[AF SALDO]] + tabItens[[#This Row],[Recentes]]</f>
        <v>76</v>
      </c>
      <c r="AX530" s="319">
        <v>5</v>
      </c>
      <c r="AY530" s="319">
        <v>4</v>
      </c>
      <c r="AZ530" s="319">
        <f>IF(ISBLANK(tabItens[[#This Row],[CÓDIGO]]),"",tabItens[[#This Row],[PontoMês]] * (AZ$2+tabItens[[#This Row],[PontoQtM]]))</f>
        <v>20</v>
      </c>
      <c r="BA530" s="318">
        <f>tabItens[[#This Row],[PontoPed]] - tabItens[[#This Row],[Saldo]] + (1/10)</f>
        <v>-55.9</v>
      </c>
      <c r="BB530" s="318">
        <f xml:space="preserve"> tabItens[[#This Row],[PontoMês]] * BB$2 - tabItens[[#This Row],[QTDE ATUAL]] - (1/10)</f>
        <v>-11.1</v>
      </c>
      <c r="BC530" s="320">
        <f>IF( tabItens[[#This Row],[PontoPed]]&gt;0, IF(tabItens[[#This Row],[PontoPed]]&lt;1, 1, IF( tabItens[[#This Row],[Saldo]]&gt;tabItens[[#This Row],[PontoPed]], 0, (tabItens[[#This Row],[PontoPed]]-tabItens[[#This Row],[Saldo]])/tabItens[[#This Row],[PontoPed]] ) ), 0 )</f>
        <v>0</v>
      </c>
      <c r="BD530" s="321">
        <f>ROUNDDOWN(IF( OR( AND(tabItens[[#This Row],[PontoPed]]&lt;tabItens[[#This Row],[Saldo]],tabItens[[#This Row],[Saldo]]&gt;0), tabItens[[#This Row],[PontoPed]]=0), 99, IF(AND(tabItens[[#This Row],[Saldo]]=0,tabItens[[#This Row],[PontoPed]]&gt;0), 0, (1-tabItens[[#This Row],[PctAb]])*10 ) ),0)</f>
        <v>99</v>
      </c>
      <c r="BE530" s="322">
        <f>MAX(ROUNDDOWN( IF(tabItens[[#This Row],[Abaixo]] &gt; 0,   tabItens[[#This Row],[Abaixo]] + (tabItens[[#This Row],[PontoMês]] * IF( OR( ISBLANK(tabItens[[#This Row],[ATA Nº/ANO]]), tabItens[[#This Row],[ATA Nº/ANO]] = ""),BE$2,BE$1)),0),0),0)</f>
        <v>0</v>
      </c>
      <c r="BF53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23">
        <f>SUMIF(Consumo!$C$3:$C$869,tabItens[[#This Row],[CÓDIGO]],Consumo!$E$3:$E$869)</f>
        <v>0</v>
      </c>
      <c r="BH530" s="324">
        <f>IF(AND(tabItens[[#This Row],[Pend]] &gt; 0,tabItens[[#This Row],[Consumo]] &lt;&gt; 0), tabItens[[#This Row],[Pend]] / tabItens[[#This Row],[Consumo]], 0 )</f>
        <v>0</v>
      </c>
      <c r="BI530" s="323"/>
      <c r="BJ530" s="323"/>
      <c r="BK530" s="325" t="s">
        <v>2064</v>
      </c>
    </row>
    <row r="531" spans="1:63" hidden="1" x14ac:dyDescent="0.3">
      <c r="A531" s="286">
        <v>15668</v>
      </c>
      <c r="B531" s="287" t="s">
        <v>1103</v>
      </c>
      <c r="C531" s="288" t="s">
        <v>256</v>
      </c>
      <c r="D531" s="289">
        <v>10.14</v>
      </c>
      <c r="E531" s="290"/>
      <c r="F531" s="290"/>
      <c r="G531" s="290" t="s">
        <v>883</v>
      </c>
      <c r="H531" s="291">
        <v>244</v>
      </c>
      <c r="I531" s="292">
        <v>103003</v>
      </c>
      <c r="J531" s="293">
        <v>10.14</v>
      </c>
      <c r="K531" s="294">
        <v>20</v>
      </c>
      <c r="L531" s="295">
        <f>IF(tabItens[[#This Row],[Média]] &gt; 0, tabItens[[#This Row],[QTDE ATUAL]] / tabItens[[#This Row],[Média]],999.9)</f>
        <v>162.66666666666666</v>
      </c>
      <c r="M531" s="296">
        <v>0</v>
      </c>
      <c r="N531" s="297">
        <f>tabItens[[#This Row],[VALOR UNIT.]] * tabItens[[#This Row],[LC]]</f>
        <v>0</v>
      </c>
      <c r="O531" s="298" t="s">
        <v>2096</v>
      </c>
      <c r="P531" s="299"/>
      <c r="Q531" s="300"/>
      <c r="R531" s="297"/>
      <c r="S531" s="301"/>
      <c r="T531" s="302">
        <f>ROUNDDOWN(IFERROR(tabItens[[#This Row],[ATA DT.VALID.]] - $D$1,0) / 30,0)</f>
        <v>-1504</v>
      </c>
      <c r="U531" s="287" t="s">
        <v>1100</v>
      </c>
      <c r="V531" s="303">
        <v>1</v>
      </c>
      <c r="W531" s="304" t="s">
        <v>2055</v>
      </c>
      <c r="X531" s="305">
        <v>55</v>
      </c>
      <c r="Y531" s="306">
        <v>35</v>
      </c>
      <c r="Z531" s="307"/>
      <c r="AA531" s="308"/>
      <c r="AB531" s="309"/>
      <c r="AC531" s="309"/>
      <c r="AD531" s="308"/>
      <c r="AE531" s="309"/>
      <c r="AF531" s="302"/>
      <c r="AG531" s="310" t="s">
        <v>2050</v>
      </c>
      <c r="AH531" s="311"/>
      <c r="AI531" s="302">
        <v>8</v>
      </c>
      <c r="AJ531" s="311">
        <v>44168</v>
      </c>
      <c r="AK531" s="311" t="s">
        <v>883</v>
      </c>
      <c r="AL531" s="311">
        <v>44740</v>
      </c>
      <c r="AM531" s="301"/>
      <c r="AN531" s="290"/>
      <c r="AO531" s="312" t="str">
        <f>_xlfn.IFNA(IF(VLOOKUP(tabItens[[#This Row],[CÓDIGO]],tabExcluirDoEstoque[#Data],1,FALSE),"sim",""),"")</f>
        <v/>
      </c>
      <c r="AP531" s="313" t="str">
        <f ca="1">IF(OR(ISBLANK(tabItens[[#This Row],[ATA DT.VALID.]]),tabItens[[#This Row],[ATA DT.VALID.]]="",tabItens[[#This Row],[ATA DT.VALID.]]=" "),"",IF(TYPE(tabItens[[#This Row],[ATA DT.VALID.]])=1,ROUNDUP((tabItens[[#This Row],[ATA DT.VALID.]]-TODAY())/7,0),""))</f>
        <v/>
      </c>
      <c r="AQ531" s="314">
        <v>0</v>
      </c>
      <c r="AR531" s="315" t="str">
        <f>IF(ISBLANK(tabItens[[#This Row],[CÓDIGO]]),"",IFERROR(VLOOKUP(tabItens[[#This Row],[CÓDIGO]],Consumo!$C$2:$AC$869,26,FALSE),0))</f>
        <v>12.2022</v>
      </c>
      <c r="AS531" s="316">
        <f>SUMIF(Consumo!$C$3:$C$869,tabItens[[#This Row],[CÓDIGO]],Consumo!$N$3:$N$869) + SUMIF(Consumo!$C$3:$C$869,tabItens[[#This Row],[CÓDIGO]],Consumo!$O$3:$O$869) + SUMIF(Consumo!$C$3:$C$869,tabItens[[#This Row],[CÓDIGO]],Consumo!$P$3:$P$869) + SUMIF(Consumo!$C$3:$C$869,tabItens[[#This Row],[CÓDIGO]],Consumo!$Q$3:$Q$869)</f>
        <v>0</v>
      </c>
      <c r="AT531" s="316">
        <f>SUMIF(Consumo!$C$3:$C$869,tabItens[[#This Row],[CÓDIGO]],Consumo!$Z$3:$Z$869)</f>
        <v>20</v>
      </c>
      <c r="AU531" s="317">
        <f>SUMIF(Consumo!$C$3:$C$869,tabItens[[#This Row],[CÓDIGO]],Consumo!$AA$3:$AA$869)</f>
        <v>10</v>
      </c>
      <c r="AV531" s="318">
        <f>SUMIF(Consumo!$C$3:$C$869,tabItens[[#This Row],[CÓDIGO]],Consumo!$Y$3:$Y$869)</f>
        <v>1.5</v>
      </c>
      <c r="AW531" s="291">
        <f>tabItens[[#This Row],[QTDE ATUAL]] + tabItens[[#This Row],[RC QTDE]] + tabItens[[#This Row],[AF SALDO]] + tabItens[[#This Row],[Recentes]]</f>
        <v>244</v>
      </c>
      <c r="AX531" s="319">
        <v>6</v>
      </c>
      <c r="AY531" s="319">
        <v>4</v>
      </c>
      <c r="AZ531" s="319">
        <f>IF(ISBLANK(tabItens[[#This Row],[CÓDIGO]]),"",tabItens[[#This Row],[PontoMês]] * (AZ$2+tabItens[[#This Row],[PontoQtM]]))</f>
        <v>24</v>
      </c>
      <c r="BA531" s="318">
        <f>tabItens[[#This Row],[PontoPed]] - tabItens[[#This Row],[Saldo]] + (1/10)</f>
        <v>-219.9</v>
      </c>
      <c r="BB531" s="318">
        <f xml:space="preserve"> tabItens[[#This Row],[PontoMês]] * BB$2 - tabItens[[#This Row],[QTDE ATUAL]] - (1/10)</f>
        <v>-238.1</v>
      </c>
      <c r="BC531" s="320">
        <f>IF( tabItens[[#This Row],[PontoPed]]&gt;0, IF(tabItens[[#This Row],[PontoPed]]&lt;1, 1, IF( tabItens[[#This Row],[Saldo]]&gt;tabItens[[#This Row],[PontoPed]], 0, (tabItens[[#This Row],[PontoPed]]-tabItens[[#This Row],[Saldo]])/tabItens[[#This Row],[PontoPed]] ) ), 0 )</f>
        <v>0</v>
      </c>
      <c r="BD531" s="321">
        <f>ROUNDDOWN(IF( OR( AND(tabItens[[#This Row],[PontoPed]]&lt;tabItens[[#This Row],[Saldo]],tabItens[[#This Row],[Saldo]]&gt;0), tabItens[[#This Row],[PontoPed]]=0), 99, IF(AND(tabItens[[#This Row],[Saldo]]=0,tabItens[[#This Row],[PontoPed]]&gt;0), 0, (1-tabItens[[#This Row],[PctAb]])*10 ) ),0)</f>
        <v>99</v>
      </c>
      <c r="BE531" s="322">
        <f>MAX(ROUNDDOWN( IF(tabItens[[#This Row],[Abaixo]] &gt; 0,   tabItens[[#This Row],[Abaixo]] + (tabItens[[#This Row],[PontoMês]] * IF( OR( ISBLANK(tabItens[[#This Row],[ATA Nº/ANO]]), tabItens[[#This Row],[ATA Nº/ANO]] = ""),BE$2,BE$1)),0),0),0)</f>
        <v>0</v>
      </c>
      <c r="BF5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23">
        <f>SUMIF(Consumo!$C$3:$C$869,tabItens[[#This Row],[CÓDIGO]],Consumo!$E$3:$E$869)</f>
        <v>0</v>
      </c>
      <c r="BH531" s="324">
        <f>IF(AND(tabItens[[#This Row],[Pend]] &gt; 0,tabItens[[#This Row],[Consumo]] &lt;&gt; 0), tabItens[[#This Row],[Pend]] / tabItens[[#This Row],[Consumo]], 0 )</f>
        <v>0</v>
      </c>
      <c r="BI531" s="323"/>
      <c r="BJ531" s="323"/>
      <c r="BK531" s="325" t="s">
        <v>2064</v>
      </c>
    </row>
    <row r="532" spans="1:63" x14ac:dyDescent="0.3">
      <c r="A532" s="396">
        <v>15672</v>
      </c>
      <c r="B532" s="397" t="s">
        <v>1104</v>
      </c>
      <c r="C532" s="398" t="s">
        <v>256</v>
      </c>
      <c r="D532" s="399">
        <v>17.399999999999999</v>
      </c>
      <c r="E532" s="290"/>
      <c r="F532" s="400"/>
      <c r="G532" s="400" t="s">
        <v>883</v>
      </c>
      <c r="H532" s="401">
        <v>0</v>
      </c>
      <c r="I532" s="292">
        <v>103003</v>
      </c>
      <c r="J532" s="293">
        <v>17.399999999999999</v>
      </c>
      <c r="K532" s="402">
        <v>44</v>
      </c>
      <c r="L532" s="403">
        <f>IF(tabItens[[#This Row],[Média]] &gt; 0, tabItens[[#This Row],[QTDE ATUAL]] / tabItens[[#This Row],[Média]],999.9)</f>
        <v>0</v>
      </c>
      <c r="M532" s="404">
        <v>0</v>
      </c>
      <c r="N532" s="405">
        <f>tabItens[[#This Row],[VALOR UNIT.]] * tabItens[[#This Row],[LC]]</f>
        <v>0</v>
      </c>
      <c r="O532" s="406" t="s">
        <v>2096</v>
      </c>
      <c r="P532" s="407"/>
      <c r="Q532" s="408"/>
      <c r="R532" s="297"/>
      <c r="S532" s="409"/>
      <c r="T532" s="410">
        <f>ROUNDDOWN(IFERROR(tabItens[[#This Row],[ATA DT.VALID.]] - $D$1,0) / 30,0)</f>
        <v>-1504</v>
      </c>
      <c r="U532" s="287" t="s">
        <v>1100</v>
      </c>
      <c r="V532" s="303">
        <v>1</v>
      </c>
      <c r="W532" s="411" t="s">
        <v>2055</v>
      </c>
      <c r="X532" s="412">
        <v>55</v>
      </c>
      <c r="Y532" s="413">
        <v>35</v>
      </c>
      <c r="Z532" s="414">
        <v>2235</v>
      </c>
      <c r="AA532" s="415">
        <v>2023</v>
      </c>
      <c r="AB532" s="416">
        <v>500</v>
      </c>
      <c r="AC532" s="416"/>
      <c r="AD532" s="415"/>
      <c r="AE532" s="416"/>
      <c r="AF532" s="302"/>
      <c r="AG532" s="417" t="s">
        <v>2050</v>
      </c>
      <c r="AH532" s="418"/>
      <c r="AI532" s="302">
        <v>14</v>
      </c>
      <c r="AJ532" s="418">
        <v>44168</v>
      </c>
      <c r="AK532" s="311" t="s">
        <v>883</v>
      </c>
      <c r="AL532" s="311">
        <v>44146</v>
      </c>
      <c r="AM532" s="301"/>
      <c r="AN532" s="290"/>
      <c r="AO532" s="312" t="str">
        <f>_xlfn.IFNA(IF(VLOOKUP(tabItens[[#This Row],[CÓDIGO]],tabExcluirDoEstoque[#Data],1,FALSE),"sim",""),"")</f>
        <v/>
      </c>
      <c r="AP532" s="419" t="str">
        <f ca="1">IF(OR(ISBLANK(tabItens[[#This Row],[ATA DT.VALID.]]),tabItens[[#This Row],[ATA DT.VALID.]]="",tabItens[[#This Row],[ATA DT.VALID.]]=" "),"",IF(TYPE(tabItens[[#This Row],[ATA DT.VALID.]])=1,ROUNDUP((tabItens[[#This Row],[ATA DT.VALID.]]-TODAY())/7,0),""))</f>
        <v/>
      </c>
      <c r="AQ532" s="314">
        <v>0</v>
      </c>
      <c r="AR532" s="315" t="str">
        <f>IF(ISBLANK(tabItens[[#This Row],[CÓDIGO]]),"",IFERROR(VLOOKUP(tabItens[[#This Row],[CÓDIGO]],Consumo!$C$2:$AC$869,26,FALSE),0))</f>
        <v>01.2023</v>
      </c>
      <c r="AS532" s="316">
        <f>SUMIF(Consumo!$C$3:$C$869,tabItens[[#This Row],[CÓDIGO]],Consumo!$N$3:$N$869) + SUMIF(Consumo!$C$3:$C$869,tabItens[[#This Row],[CÓDIGO]],Consumo!$O$3:$O$869) + SUMIF(Consumo!$C$3:$C$869,tabItens[[#This Row],[CÓDIGO]],Consumo!$P$3:$P$869) + SUMIF(Consumo!$C$3:$C$869,tabItens[[#This Row],[CÓDIGO]],Consumo!$Q$3:$Q$869)</f>
        <v>0</v>
      </c>
      <c r="AT532" s="316">
        <f>SUMIF(Consumo!$C$3:$C$869,tabItens[[#This Row],[CÓDIGO]],Consumo!$Z$3:$Z$869)</f>
        <v>70</v>
      </c>
      <c r="AU532" s="317">
        <f>SUMIF(Consumo!$C$3:$C$869,tabItens[[#This Row],[CÓDIGO]],Consumo!$AA$3:$AA$869)</f>
        <v>26</v>
      </c>
      <c r="AV532" s="318">
        <f>SUMIF(Consumo!$C$3:$C$869,tabItens[[#This Row],[CÓDIGO]],Consumo!$Y$3:$Y$869)</f>
        <v>5.75</v>
      </c>
      <c r="AW532" s="401">
        <f>tabItens[[#This Row],[QTDE ATUAL]] + tabItens[[#This Row],[RC QTDE]] + tabItens[[#This Row],[AF SALDO]] + tabItens[[#This Row],[Recentes]]</f>
        <v>500</v>
      </c>
      <c r="AX532" s="420">
        <v>5</v>
      </c>
      <c r="AY532" s="420">
        <v>4</v>
      </c>
      <c r="AZ532" s="420">
        <f>IF(ISBLANK(tabItens[[#This Row],[CÓDIGO]]),"",tabItens[[#This Row],[PontoMês]] * (AZ$2+tabItens[[#This Row],[PontoQtM]]))</f>
        <v>20</v>
      </c>
      <c r="BA532" s="421">
        <f>tabItens[[#This Row],[PontoPed]] - tabItens[[#This Row],[Saldo]] + (1/10)</f>
        <v>-479.9</v>
      </c>
      <c r="BB532" s="421">
        <f xml:space="preserve"> tabItens[[#This Row],[PontoMês]] * BB$2 - tabItens[[#This Row],[QTDE ATUAL]] - (1/10)</f>
        <v>4.9000000000000004</v>
      </c>
      <c r="BC532" s="320">
        <f>IF( tabItens[[#This Row],[PontoPed]]&gt;0, IF(tabItens[[#This Row],[PontoPed]]&lt;1, 1, IF( tabItens[[#This Row],[Saldo]]&gt;tabItens[[#This Row],[PontoPed]], 0, (tabItens[[#This Row],[PontoPed]]-tabItens[[#This Row],[Saldo]])/tabItens[[#This Row],[PontoPed]] ) ), 0 )</f>
        <v>0</v>
      </c>
      <c r="BD532" s="422">
        <f>ROUNDDOWN(IF( OR( AND(tabItens[[#This Row],[PontoPed]]&lt;tabItens[[#This Row],[Saldo]],tabItens[[#This Row],[Saldo]]&gt;0), tabItens[[#This Row],[PontoPed]]=0), 99, IF(AND(tabItens[[#This Row],[Saldo]]=0,tabItens[[#This Row],[PontoPed]]&gt;0), 0, (1-tabItens[[#This Row],[PctAb]])*10 ) ),0)</f>
        <v>99</v>
      </c>
      <c r="BE532" s="423">
        <f>MAX(ROUNDDOWN( IF(tabItens[[#This Row],[Abaixo]] &gt; 0,   tabItens[[#This Row],[Abaixo]] + (tabItens[[#This Row],[PontoMês]] * IF( OR( ISBLANK(tabItens[[#This Row],[ATA Nº/ANO]]), tabItens[[#This Row],[ATA Nº/ANO]] = ""),BE$2,BE$1)),0),0),0)</f>
        <v>0</v>
      </c>
      <c r="BF532"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23">
        <f>SUMIF(Consumo!$C$3:$C$869,tabItens[[#This Row],[CÓDIGO]],Consumo!$E$3:$E$869)</f>
        <v>26</v>
      </c>
      <c r="BH532" s="324">
        <f>IF(AND(tabItens[[#This Row],[Pend]] &gt; 0,tabItens[[#This Row],[Consumo]] &lt;&gt; 0), tabItens[[#This Row],[Pend]] / tabItens[[#This Row],[Consumo]], 0 )</f>
        <v>0.37142857142857144</v>
      </c>
      <c r="BI532" s="323"/>
      <c r="BJ532" s="424"/>
      <c r="BK532" s="425" t="s">
        <v>2064</v>
      </c>
    </row>
    <row r="533" spans="1:63" hidden="1" x14ac:dyDescent="0.3">
      <c r="A533" s="286">
        <v>17299</v>
      </c>
      <c r="B533" s="287" t="s">
        <v>1126</v>
      </c>
      <c r="C533" s="288" t="s">
        <v>268</v>
      </c>
      <c r="D533" s="289">
        <v>278</v>
      </c>
      <c r="E533" s="290"/>
      <c r="F533" s="290"/>
      <c r="G533" s="290" t="s">
        <v>883</v>
      </c>
      <c r="H533" s="291">
        <v>42</v>
      </c>
      <c r="I533" s="292">
        <v>103003</v>
      </c>
      <c r="J533" s="293">
        <v>278</v>
      </c>
      <c r="K533" s="294"/>
      <c r="L533" s="295">
        <f>IF(tabItens[[#This Row],[Média]] &gt; 0, tabItens[[#This Row],[QTDE ATUAL]] / tabItens[[#This Row],[Média]],999.9)</f>
        <v>999.9</v>
      </c>
      <c r="M533" s="296">
        <v>0</v>
      </c>
      <c r="N533" s="297">
        <f>tabItens[[#This Row],[VALOR UNIT.]] * tabItens[[#This Row],[LC]]</f>
        <v>0</v>
      </c>
      <c r="O533" s="298" t="s">
        <v>2106</v>
      </c>
      <c r="P533" s="299"/>
      <c r="Q533" s="300"/>
      <c r="R533" s="297"/>
      <c r="S533" s="301"/>
      <c r="T533" s="302">
        <f>ROUNDDOWN(IFERROR(tabItens[[#This Row],[ATA DT.VALID.]] - $D$1,0) / 30,0)</f>
        <v>-1504</v>
      </c>
      <c r="U533" s="287" t="s">
        <v>1127</v>
      </c>
      <c r="V533" s="303">
        <v>1</v>
      </c>
      <c r="W533" s="304" t="s">
        <v>2052</v>
      </c>
      <c r="X533" s="305">
        <v>57</v>
      </c>
      <c r="Y533" s="306">
        <v>18</v>
      </c>
      <c r="Z533" s="307"/>
      <c r="AA533" s="308"/>
      <c r="AB533" s="309"/>
      <c r="AC533" s="309"/>
      <c r="AD533" s="308"/>
      <c r="AE533" s="309"/>
      <c r="AF533" s="302"/>
      <c r="AG533" s="310" t="s">
        <v>2050</v>
      </c>
      <c r="AH533" s="311"/>
      <c r="AI533" s="302">
        <v>0</v>
      </c>
      <c r="AJ533" s="311">
        <v>43622</v>
      </c>
      <c r="AK533" s="311" t="s">
        <v>883</v>
      </c>
      <c r="AL533" s="311">
        <v>44952</v>
      </c>
      <c r="AM533" s="301"/>
      <c r="AN533" s="290"/>
      <c r="AO533" s="312" t="str">
        <f>_xlfn.IFNA(IF(VLOOKUP(tabItens[[#This Row],[CÓDIGO]],tabExcluirDoEstoque[#Data],1,FALSE),"sim",""),"")</f>
        <v/>
      </c>
      <c r="AP533" s="313" t="str">
        <f ca="1">IF(OR(ISBLANK(tabItens[[#This Row],[ATA DT.VALID.]]),tabItens[[#This Row],[ATA DT.VALID.]]="",tabItens[[#This Row],[ATA DT.VALID.]]=" "),"",IF(TYPE(tabItens[[#This Row],[ATA DT.VALID.]])=1,ROUNDUP((tabItens[[#This Row],[ATA DT.VALID.]]-TODAY())/7,0),""))</f>
        <v/>
      </c>
      <c r="AQ533" s="314">
        <v>0</v>
      </c>
      <c r="AR533" s="315">
        <f>IF(ISBLANK(tabItens[[#This Row],[CÓDIGO]]),"",IFERROR(VLOOKUP(tabItens[[#This Row],[CÓDIGO]],Consumo!$C$2:$AC$869,26,FALSE),0))</f>
        <v>0</v>
      </c>
      <c r="AS533" s="316">
        <f>SUMIF(Consumo!$C$3:$C$869,tabItens[[#This Row],[CÓDIGO]],Consumo!$N$3:$N$869) + SUMIF(Consumo!$C$3:$C$869,tabItens[[#This Row],[CÓDIGO]],Consumo!$O$3:$O$869) + SUMIF(Consumo!$C$3:$C$869,tabItens[[#This Row],[CÓDIGO]],Consumo!$P$3:$P$869) + SUMIF(Consumo!$C$3:$C$869,tabItens[[#This Row],[CÓDIGO]],Consumo!$Q$3:$Q$869)</f>
        <v>0</v>
      </c>
      <c r="AT533" s="316">
        <f>SUMIF(Consumo!$C$3:$C$869,tabItens[[#This Row],[CÓDIGO]],Consumo!$Z$3:$Z$869)</f>
        <v>0</v>
      </c>
      <c r="AU533" s="317">
        <f>SUMIF(Consumo!$C$3:$C$869,tabItens[[#This Row],[CÓDIGO]],Consumo!$AA$3:$AA$869)</f>
        <v>0</v>
      </c>
      <c r="AV533" s="318">
        <f>SUMIF(Consumo!$C$3:$C$869,tabItens[[#This Row],[CÓDIGO]],Consumo!$Y$3:$Y$869)</f>
        <v>0</v>
      </c>
      <c r="AW533" s="291">
        <f>tabItens[[#This Row],[QTDE ATUAL]] + tabItens[[#This Row],[RC QTDE]] + tabItens[[#This Row],[AF SALDO]] + tabItens[[#This Row],[Recentes]]</f>
        <v>42</v>
      </c>
      <c r="AX533" s="319">
        <v>3</v>
      </c>
      <c r="AY533" s="319">
        <v>4</v>
      </c>
      <c r="AZ533" s="319">
        <f>IF(ISBLANK(tabItens[[#This Row],[CÓDIGO]]),"",tabItens[[#This Row],[PontoMês]] * (AZ$2+tabItens[[#This Row],[PontoQtM]]))</f>
        <v>12</v>
      </c>
      <c r="BA533" s="318">
        <f>tabItens[[#This Row],[PontoPed]] - tabItens[[#This Row],[Saldo]] + (1/10)</f>
        <v>-29.9</v>
      </c>
      <c r="BB533" s="318">
        <f xml:space="preserve"> tabItens[[#This Row],[PontoMês]] * BB$2 - tabItens[[#This Row],[QTDE ATUAL]] - (1/10)</f>
        <v>-39.1</v>
      </c>
      <c r="BC533" s="320">
        <f>IF( tabItens[[#This Row],[PontoPed]]&gt;0, IF(tabItens[[#This Row],[PontoPed]]&lt;1, 1, IF( tabItens[[#This Row],[Saldo]]&gt;tabItens[[#This Row],[PontoPed]], 0, (tabItens[[#This Row],[PontoPed]]-tabItens[[#This Row],[Saldo]])/tabItens[[#This Row],[PontoPed]] ) ), 0 )</f>
        <v>0</v>
      </c>
      <c r="BD533" s="321">
        <f>ROUNDDOWN(IF( OR( AND(tabItens[[#This Row],[PontoPed]]&lt;tabItens[[#This Row],[Saldo]],tabItens[[#This Row],[Saldo]]&gt;0), tabItens[[#This Row],[PontoPed]]=0), 99, IF(AND(tabItens[[#This Row],[Saldo]]=0,tabItens[[#This Row],[PontoPed]]&gt;0), 0, (1-tabItens[[#This Row],[PctAb]])*10 ) ),0)</f>
        <v>99</v>
      </c>
      <c r="BE533" s="322">
        <f>MAX(ROUNDDOWN( IF(tabItens[[#This Row],[Abaixo]] &gt; 0,   tabItens[[#This Row],[Abaixo]] + (tabItens[[#This Row],[PontoMês]] * IF( OR( ISBLANK(tabItens[[#This Row],[ATA Nº/ANO]]), tabItens[[#This Row],[ATA Nº/ANO]] = ""),BE$2,BE$1)),0),0),0)</f>
        <v>0</v>
      </c>
      <c r="BF53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23">
        <f>SUMIF(Consumo!$C$3:$C$869,tabItens[[#This Row],[CÓDIGO]],Consumo!$E$3:$E$869)</f>
        <v>0</v>
      </c>
      <c r="BH533" s="324">
        <f>IF(AND(tabItens[[#This Row],[Pend]] &gt; 0,tabItens[[#This Row],[Consumo]] &lt;&gt; 0), tabItens[[#This Row],[Pend]] / tabItens[[#This Row],[Consumo]], 0 )</f>
        <v>0</v>
      </c>
      <c r="BI533" s="323"/>
      <c r="BJ533" s="323"/>
      <c r="BK533" s="325" t="s">
        <v>2064</v>
      </c>
    </row>
    <row r="534" spans="1:63" hidden="1" x14ac:dyDescent="0.3">
      <c r="A534" s="286">
        <v>140030</v>
      </c>
      <c r="B534" s="287" t="s">
        <v>1982</v>
      </c>
      <c r="C534" s="288" t="s">
        <v>281</v>
      </c>
      <c r="D534" s="289">
        <v>172.21</v>
      </c>
      <c r="E534" s="290"/>
      <c r="F534" s="290"/>
      <c r="G534" s="290" t="s">
        <v>883</v>
      </c>
      <c r="H534" s="291">
        <v>82</v>
      </c>
      <c r="I534" s="292">
        <v>103003</v>
      </c>
      <c r="J534" s="293">
        <v>172.21</v>
      </c>
      <c r="K534" s="294">
        <v>69</v>
      </c>
      <c r="L534" s="295">
        <f>IF(tabItens[[#This Row],[Média]] &gt; 0, tabItens[[#This Row],[QTDE ATUAL]] / tabItens[[#This Row],[Média]],999.9)</f>
        <v>11.714285714285714</v>
      </c>
      <c r="M534" s="296">
        <v>0</v>
      </c>
      <c r="N534" s="297">
        <f>tabItens[[#This Row],[VALOR UNIT.]] * tabItens[[#This Row],[LC]]</f>
        <v>0</v>
      </c>
      <c r="O534" s="298" t="s">
        <v>2184</v>
      </c>
      <c r="P534" s="299"/>
      <c r="Q534" s="300"/>
      <c r="R534" s="297"/>
      <c r="S534" s="301"/>
      <c r="T534" s="302">
        <f>ROUNDDOWN(IFERROR(tabItens[[#This Row],[ATA DT.VALID.]] - $D$1,0) / 30,0)</f>
        <v>-1504</v>
      </c>
      <c r="U534" s="287" t="s">
        <v>1666</v>
      </c>
      <c r="V534" s="303">
        <v>1</v>
      </c>
      <c r="W534" s="304" t="s">
        <v>2055</v>
      </c>
      <c r="X534" s="305">
        <v>55</v>
      </c>
      <c r="Y534" s="306">
        <v>19</v>
      </c>
      <c r="Z534" s="307"/>
      <c r="AA534" s="308"/>
      <c r="AB534" s="309"/>
      <c r="AC534" s="309"/>
      <c r="AD534" s="308"/>
      <c r="AE534" s="309"/>
      <c r="AF534" s="302"/>
      <c r="AG534" s="310" t="s">
        <v>2050</v>
      </c>
      <c r="AH534" s="311"/>
      <c r="AI534" s="302">
        <v>30</v>
      </c>
      <c r="AJ534" s="311">
        <v>45030</v>
      </c>
      <c r="AK534" s="311">
        <v>44096</v>
      </c>
      <c r="AL534" s="311">
        <v>44995</v>
      </c>
      <c r="AM534" s="301"/>
      <c r="AN534" s="290"/>
      <c r="AO534" s="312" t="str">
        <f>_xlfn.IFNA(IF(VLOOKUP(tabItens[[#This Row],[CÓDIGO]],tabExcluirDoEstoque[#Data],1,FALSE),"sim",""),"")</f>
        <v/>
      </c>
      <c r="AP534" s="313" t="str">
        <f ca="1">IF(OR(ISBLANK(tabItens[[#This Row],[ATA DT.VALID.]]),tabItens[[#This Row],[ATA DT.VALID.]]="",tabItens[[#This Row],[ATA DT.VALID.]]=" "),"",IF(TYPE(tabItens[[#This Row],[ATA DT.VALID.]])=1,ROUNDUP((tabItens[[#This Row],[ATA DT.VALID.]]-TODAY())/7,0),""))</f>
        <v/>
      </c>
      <c r="AQ534" s="314">
        <v>0</v>
      </c>
      <c r="AR534" s="315" t="str">
        <f>IF(ISBLANK(tabItens[[#This Row],[CÓDIGO]]),"",IFERROR(VLOOKUP(tabItens[[#This Row],[CÓDIGO]],Consumo!$C$2:$AC$869,26,FALSE),0))</f>
        <v>07.2023</v>
      </c>
      <c r="AS534" s="316">
        <f>SUMIF(Consumo!$C$3:$C$869,tabItens[[#This Row],[CÓDIGO]],Consumo!$N$3:$N$869) + SUMIF(Consumo!$C$3:$C$869,tabItens[[#This Row],[CÓDIGO]],Consumo!$O$3:$O$869) + SUMIF(Consumo!$C$3:$C$869,tabItens[[#This Row],[CÓDIGO]],Consumo!$P$3:$P$869) + SUMIF(Consumo!$C$3:$C$869,tabItens[[#This Row],[CÓDIGO]],Consumo!$Q$3:$Q$869)</f>
        <v>54</v>
      </c>
      <c r="AT534" s="316">
        <f>SUMIF(Consumo!$C$3:$C$869,tabItens[[#This Row],[CÓDIGO]],Consumo!$Z$3:$Z$869)</f>
        <v>91</v>
      </c>
      <c r="AU534" s="317">
        <f>SUMIF(Consumo!$C$3:$C$869,tabItens[[#This Row],[CÓDIGO]],Consumo!$AA$3:$AA$869)</f>
        <v>29</v>
      </c>
      <c r="AV534" s="318">
        <f>SUMIF(Consumo!$C$3:$C$869,tabItens[[#This Row],[CÓDIGO]],Consumo!$Y$3:$Y$869)</f>
        <v>7</v>
      </c>
      <c r="AW534" s="291">
        <f>tabItens[[#This Row],[QTDE ATUAL]] + tabItens[[#This Row],[RC QTDE]] + tabItens[[#This Row],[AF SALDO]] + tabItens[[#This Row],[Recentes]]</f>
        <v>82</v>
      </c>
      <c r="AX534" s="319">
        <v>8</v>
      </c>
      <c r="AY534" s="319">
        <v>4</v>
      </c>
      <c r="AZ534" s="319">
        <f>IF(ISBLANK(tabItens[[#This Row],[CÓDIGO]]),"",tabItens[[#This Row],[PontoMês]] * (AZ$2+tabItens[[#This Row],[PontoQtM]]))</f>
        <v>32</v>
      </c>
      <c r="BA534" s="318">
        <f>tabItens[[#This Row],[PontoPed]] - tabItens[[#This Row],[Saldo]] + (1/10)</f>
        <v>-49.9</v>
      </c>
      <c r="BB534" s="318">
        <f xml:space="preserve"> tabItens[[#This Row],[PontoMês]] * BB$2 - tabItens[[#This Row],[QTDE ATUAL]] - (1/10)</f>
        <v>-74.099999999999994</v>
      </c>
      <c r="BC534" s="320">
        <f>IF( tabItens[[#This Row],[PontoPed]]&gt;0, IF(tabItens[[#This Row],[PontoPed]]&lt;1, 1, IF( tabItens[[#This Row],[Saldo]]&gt;tabItens[[#This Row],[PontoPed]], 0, (tabItens[[#This Row],[PontoPed]]-tabItens[[#This Row],[Saldo]])/tabItens[[#This Row],[PontoPed]] ) ), 0 )</f>
        <v>0</v>
      </c>
      <c r="BD534" s="321">
        <f>ROUNDDOWN(IF( OR( AND(tabItens[[#This Row],[PontoPed]]&lt;tabItens[[#This Row],[Saldo]],tabItens[[#This Row],[Saldo]]&gt;0), tabItens[[#This Row],[PontoPed]]=0), 99, IF(AND(tabItens[[#This Row],[Saldo]]=0,tabItens[[#This Row],[PontoPed]]&gt;0), 0, (1-tabItens[[#This Row],[PctAb]])*10 ) ),0)</f>
        <v>99</v>
      </c>
      <c r="BE534" s="322">
        <f>MAX(ROUNDDOWN( IF(tabItens[[#This Row],[Abaixo]] &gt; 0,   tabItens[[#This Row],[Abaixo]] + (tabItens[[#This Row],[PontoMês]] * IF( OR( ISBLANK(tabItens[[#This Row],[ATA Nº/ANO]]), tabItens[[#This Row],[ATA Nº/ANO]] = ""),BE$2,BE$1)),0),0),0)</f>
        <v>0</v>
      </c>
      <c r="BF53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23">
        <f>SUMIF(Consumo!$C$3:$C$869,tabItens[[#This Row],[CÓDIGO]],Consumo!$E$3:$E$869)</f>
        <v>0</v>
      </c>
      <c r="BH534" s="324">
        <f>IF(AND(tabItens[[#This Row],[Pend]] &gt; 0,tabItens[[#This Row],[Consumo]] &lt;&gt; 0), tabItens[[#This Row],[Pend]] / tabItens[[#This Row],[Consumo]], 0 )</f>
        <v>0</v>
      </c>
      <c r="BI534" s="323"/>
      <c r="BJ534" s="323"/>
      <c r="BK534" s="325" t="s">
        <v>2064</v>
      </c>
    </row>
    <row r="535" spans="1:63" hidden="1" x14ac:dyDescent="0.3">
      <c r="A535" s="286">
        <v>140032</v>
      </c>
      <c r="B535" s="287" t="s">
        <v>1983</v>
      </c>
      <c r="C535" s="288" t="s">
        <v>281</v>
      </c>
      <c r="D535" s="289">
        <v>170.8</v>
      </c>
      <c r="E535" s="290"/>
      <c r="F535" s="290"/>
      <c r="G535" s="290" t="s">
        <v>883</v>
      </c>
      <c r="H535" s="291">
        <v>95</v>
      </c>
      <c r="I535" s="292">
        <v>103003</v>
      </c>
      <c r="J535" s="293">
        <v>170.8</v>
      </c>
      <c r="K535" s="294">
        <v>401</v>
      </c>
      <c r="L535" s="295">
        <f>IF(tabItens[[#This Row],[Média]] &gt; 0, tabItens[[#This Row],[QTDE ATUAL]] / tabItens[[#This Row],[Média]],999.9)</f>
        <v>2.5909090909090913</v>
      </c>
      <c r="M535" s="296">
        <v>0</v>
      </c>
      <c r="N535" s="297">
        <f>tabItens[[#This Row],[VALOR UNIT.]] * tabItens[[#This Row],[LC]]</f>
        <v>0</v>
      </c>
      <c r="O535" s="298" t="s">
        <v>2184</v>
      </c>
      <c r="P535" s="299"/>
      <c r="Q535" s="300"/>
      <c r="R535" s="297"/>
      <c r="S535" s="301"/>
      <c r="T535" s="302">
        <f>ROUNDDOWN(IFERROR(tabItens[[#This Row],[ATA DT.VALID.]] - $D$1,0) / 30,0)</f>
        <v>-1504</v>
      </c>
      <c r="U535" s="287" t="s">
        <v>1666</v>
      </c>
      <c r="V535" s="303">
        <v>1</v>
      </c>
      <c r="W535" s="304" t="s">
        <v>2055</v>
      </c>
      <c r="X535" s="305">
        <v>55</v>
      </c>
      <c r="Y535" s="306">
        <v>19</v>
      </c>
      <c r="Z535" s="307">
        <v>2375</v>
      </c>
      <c r="AA535" s="308">
        <v>2023</v>
      </c>
      <c r="AB535" s="309">
        <v>400</v>
      </c>
      <c r="AC535" s="309"/>
      <c r="AD535" s="308"/>
      <c r="AE535" s="309"/>
      <c r="AF535" s="302"/>
      <c r="AG535" s="310" t="s">
        <v>2050</v>
      </c>
      <c r="AH535" s="311"/>
      <c r="AI535" s="302">
        <v>170</v>
      </c>
      <c r="AJ535" s="311">
        <v>44928</v>
      </c>
      <c r="AK535" s="311">
        <v>44096</v>
      </c>
      <c r="AL535" s="311">
        <v>45072</v>
      </c>
      <c r="AM535" s="301"/>
      <c r="AN535" s="290"/>
      <c r="AO535" s="312" t="str">
        <f>_xlfn.IFNA(IF(VLOOKUP(tabItens[[#This Row],[CÓDIGO]],tabExcluirDoEstoque[#Data],1,FALSE),"sim",""),"")</f>
        <v/>
      </c>
      <c r="AP535" s="313" t="str">
        <f ca="1">IF(OR(ISBLANK(tabItens[[#This Row],[ATA DT.VALID.]]),tabItens[[#This Row],[ATA DT.VALID.]]="",tabItens[[#This Row],[ATA DT.VALID.]]=" "),"",IF(TYPE(tabItens[[#This Row],[ATA DT.VALID.]])=1,ROUNDUP((tabItens[[#This Row],[ATA DT.VALID.]]-TODAY())/7,0),""))</f>
        <v/>
      </c>
      <c r="AQ535" s="314">
        <v>0</v>
      </c>
      <c r="AR535" s="315" t="str">
        <f>IF(ISBLANK(tabItens[[#This Row],[CÓDIGO]]),"",IFERROR(VLOOKUP(tabItens[[#This Row],[CÓDIGO]],Consumo!$C$2:$AC$869,26,FALSE),0))</f>
        <v>07.2023</v>
      </c>
      <c r="AS535" s="316">
        <f>SUMIF(Consumo!$C$3:$C$869,tabItens[[#This Row],[CÓDIGO]],Consumo!$N$3:$N$869) + SUMIF(Consumo!$C$3:$C$869,tabItens[[#This Row],[CÓDIGO]],Consumo!$O$3:$O$869) + SUMIF(Consumo!$C$3:$C$869,tabItens[[#This Row],[CÓDIGO]],Consumo!$P$3:$P$869) + SUMIF(Consumo!$C$3:$C$869,tabItens[[#This Row],[CÓDIGO]],Consumo!$Q$3:$Q$869)</f>
        <v>113</v>
      </c>
      <c r="AT535" s="316">
        <f>SUMIF(Consumo!$C$3:$C$869,tabItens[[#This Row],[CÓDIGO]],Consumo!$Z$3:$Z$869)</f>
        <v>511</v>
      </c>
      <c r="AU535" s="317">
        <f>SUMIF(Consumo!$C$3:$C$869,tabItens[[#This Row],[CÓDIGO]],Consumo!$AA$3:$AA$869)</f>
        <v>231</v>
      </c>
      <c r="AV535" s="318">
        <f>SUMIF(Consumo!$C$3:$C$869,tabItens[[#This Row],[CÓDIGO]],Consumo!$Y$3:$Y$869)</f>
        <v>36.666666666666664</v>
      </c>
      <c r="AW535" s="291">
        <f>tabItens[[#This Row],[QTDE ATUAL]] + tabItens[[#This Row],[RC QTDE]] + tabItens[[#This Row],[AF SALDO]] + tabItens[[#This Row],[Recentes]]</f>
        <v>495</v>
      </c>
      <c r="AX535" s="319">
        <v>20</v>
      </c>
      <c r="AY535" s="319">
        <v>4</v>
      </c>
      <c r="AZ535" s="319">
        <f>IF(ISBLANK(tabItens[[#This Row],[CÓDIGO]]),"",tabItens[[#This Row],[PontoMês]] * (AZ$2+tabItens[[#This Row],[PontoQtM]]))</f>
        <v>80</v>
      </c>
      <c r="BA535" s="318">
        <f>tabItens[[#This Row],[PontoPed]] - tabItens[[#This Row],[Saldo]] + (1/10)</f>
        <v>-414.9</v>
      </c>
      <c r="BB535" s="318">
        <f xml:space="preserve"> tabItens[[#This Row],[PontoMês]] * BB$2 - tabItens[[#This Row],[QTDE ATUAL]] - (1/10)</f>
        <v>-75.099999999999994</v>
      </c>
      <c r="BC535" s="320">
        <f>IF( tabItens[[#This Row],[PontoPed]]&gt;0, IF(tabItens[[#This Row],[PontoPed]]&lt;1, 1, IF( tabItens[[#This Row],[Saldo]]&gt;tabItens[[#This Row],[PontoPed]], 0, (tabItens[[#This Row],[PontoPed]]-tabItens[[#This Row],[Saldo]])/tabItens[[#This Row],[PontoPed]] ) ), 0 )</f>
        <v>0</v>
      </c>
      <c r="BD535" s="321">
        <f>ROUNDDOWN(IF( OR( AND(tabItens[[#This Row],[PontoPed]]&lt;tabItens[[#This Row],[Saldo]],tabItens[[#This Row],[Saldo]]&gt;0), tabItens[[#This Row],[PontoPed]]=0), 99, IF(AND(tabItens[[#This Row],[Saldo]]=0,tabItens[[#This Row],[PontoPed]]&gt;0), 0, (1-tabItens[[#This Row],[PctAb]])*10 ) ),0)</f>
        <v>99</v>
      </c>
      <c r="BE535" s="322">
        <f>MAX(ROUNDDOWN( IF(tabItens[[#This Row],[Abaixo]] &gt; 0,   tabItens[[#This Row],[Abaixo]] + (tabItens[[#This Row],[PontoMês]] * IF( OR( ISBLANK(tabItens[[#This Row],[ATA Nº/ANO]]), tabItens[[#This Row],[ATA Nº/ANO]] = ""),BE$2,BE$1)),0),0),0)</f>
        <v>0</v>
      </c>
      <c r="BF5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23">
        <f>SUMIF(Consumo!$C$3:$C$869,tabItens[[#This Row],[CÓDIGO]],Consumo!$E$3:$E$869)</f>
        <v>3</v>
      </c>
      <c r="BH535" s="324">
        <f>IF(AND(tabItens[[#This Row],[Pend]] &gt; 0,tabItens[[#This Row],[Consumo]] &lt;&gt; 0), tabItens[[#This Row],[Pend]] / tabItens[[#This Row],[Consumo]], 0 )</f>
        <v>5.8708414872798431E-3</v>
      </c>
      <c r="BI535" s="323"/>
      <c r="BJ535" s="323"/>
      <c r="BK535" s="325" t="s">
        <v>2064</v>
      </c>
    </row>
    <row r="536" spans="1:63" hidden="1" x14ac:dyDescent="0.3">
      <c r="A536" s="286">
        <v>140033</v>
      </c>
      <c r="B536" s="287" t="s">
        <v>1984</v>
      </c>
      <c r="C536" s="288" t="s">
        <v>281</v>
      </c>
      <c r="D536" s="289">
        <v>264.43</v>
      </c>
      <c r="E536" s="290"/>
      <c r="F536" s="290"/>
      <c r="G536" s="290" t="s">
        <v>883</v>
      </c>
      <c r="H536" s="291">
        <v>314</v>
      </c>
      <c r="I536" s="292">
        <v>103003</v>
      </c>
      <c r="J536" s="293">
        <v>264.43</v>
      </c>
      <c r="K536" s="294">
        <v>156</v>
      </c>
      <c r="L536" s="295">
        <f>IF(tabItens[[#This Row],[Média]] &gt; 0, tabItens[[#This Row],[QTDE ATUAL]] / tabItens[[#This Row],[Média]],999.9)</f>
        <v>16.454148471615721</v>
      </c>
      <c r="M536" s="296">
        <v>0</v>
      </c>
      <c r="N536" s="297">
        <f>tabItens[[#This Row],[VALOR UNIT.]] * tabItens[[#This Row],[LC]]</f>
        <v>0</v>
      </c>
      <c r="O536" s="298" t="s">
        <v>2184</v>
      </c>
      <c r="P536" s="299"/>
      <c r="Q536" s="300"/>
      <c r="R536" s="297"/>
      <c r="S536" s="301"/>
      <c r="T536" s="302">
        <f>ROUNDDOWN(IFERROR(tabItens[[#This Row],[ATA DT.VALID.]] - $D$1,0) / 30,0)</f>
        <v>-1504</v>
      </c>
      <c r="U536" s="287" t="s">
        <v>1666</v>
      </c>
      <c r="V536" s="303">
        <v>1</v>
      </c>
      <c r="W536" s="304" t="s">
        <v>2055</v>
      </c>
      <c r="X536" s="305">
        <v>55</v>
      </c>
      <c r="Y536" s="306">
        <v>19</v>
      </c>
      <c r="Z536" s="307"/>
      <c r="AA536" s="308"/>
      <c r="AB536" s="309"/>
      <c r="AC536" s="309"/>
      <c r="AD536" s="308"/>
      <c r="AE536" s="309"/>
      <c r="AF536" s="302"/>
      <c r="AG536" s="310" t="s">
        <v>2050</v>
      </c>
      <c r="AH536" s="311"/>
      <c r="AI536" s="302">
        <v>78</v>
      </c>
      <c r="AJ536" s="311">
        <v>44670</v>
      </c>
      <c r="AK536" s="311">
        <v>44096</v>
      </c>
      <c r="AL536" s="311">
        <v>45033</v>
      </c>
      <c r="AM536" s="301"/>
      <c r="AN536" s="290"/>
      <c r="AO536" s="312" t="str">
        <f>_xlfn.IFNA(IF(VLOOKUP(tabItens[[#This Row],[CÓDIGO]],tabExcluirDoEstoque[#Data],1,FALSE),"sim",""),"")</f>
        <v/>
      </c>
      <c r="AP536" s="313" t="str">
        <f ca="1">IF(OR(ISBLANK(tabItens[[#This Row],[ATA DT.VALID.]]),tabItens[[#This Row],[ATA DT.VALID.]]="",tabItens[[#This Row],[ATA DT.VALID.]]=" "),"",IF(TYPE(tabItens[[#This Row],[ATA DT.VALID.]])=1,ROUNDUP((tabItens[[#This Row],[ATA DT.VALID.]]-TODAY())/7,0),""))</f>
        <v/>
      </c>
      <c r="AQ536" s="314">
        <v>0</v>
      </c>
      <c r="AR536" s="315" t="str">
        <f>IF(ISBLANK(tabItens[[#This Row],[CÓDIGO]]),"",IFERROR(VLOOKUP(tabItens[[#This Row],[CÓDIGO]],Consumo!$C$2:$AC$869,26,FALSE),0))</f>
        <v>07.2023</v>
      </c>
      <c r="AS536" s="316">
        <f>SUMIF(Consumo!$C$3:$C$869,tabItens[[#This Row],[CÓDIGO]],Consumo!$N$3:$N$869) + SUMIF(Consumo!$C$3:$C$869,tabItens[[#This Row],[CÓDIGO]],Consumo!$O$3:$O$869) + SUMIF(Consumo!$C$3:$C$869,tabItens[[#This Row],[CÓDIGO]],Consumo!$P$3:$P$869) + SUMIF(Consumo!$C$3:$C$869,tabItens[[#This Row],[CÓDIGO]],Consumo!$Q$3:$Q$869)</f>
        <v>110</v>
      </c>
      <c r="AT536" s="316">
        <f>SUMIF(Consumo!$C$3:$C$869,tabItens[[#This Row],[CÓDIGO]],Consumo!$Z$3:$Z$869)</f>
        <v>232</v>
      </c>
      <c r="AU536" s="317">
        <f>SUMIF(Consumo!$C$3:$C$869,tabItens[[#This Row],[CÓDIGO]],Consumo!$AA$3:$AA$869)</f>
        <v>40</v>
      </c>
      <c r="AV536" s="318">
        <f>SUMIF(Consumo!$C$3:$C$869,tabItens[[#This Row],[CÓDIGO]],Consumo!$Y$3:$Y$869)</f>
        <v>19.083333333333332</v>
      </c>
      <c r="AW536" s="291">
        <f>tabItens[[#This Row],[QTDE ATUAL]] + tabItens[[#This Row],[RC QTDE]] + tabItens[[#This Row],[AF SALDO]] + tabItens[[#This Row],[Recentes]]</f>
        <v>314</v>
      </c>
      <c r="AX536" s="319">
        <v>40</v>
      </c>
      <c r="AY536" s="319">
        <v>4</v>
      </c>
      <c r="AZ536" s="319">
        <f>IF(ISBLANK(tabItens[[#This Row],[CÓDIGO]]),"",tabItens[[#This Row],[PontoMês]] * (AZ$2+tabItens[[#This Row],[PontoQtM]]))</f>
        <v>160</v>
      </c>
      <c r="BA536" s="318">
        <f>tabItens[[#This Row],[PontoPed]] - tabItens[[#This Row],[Saldo]] + (1/10)</f>
        <v>-153.9</v>
      </c>
      <c r="BB536" s="318">
        <f xml:space="preserve"> tabItens[[#This Row],[PontoMês]] * BB$2 - tabItens[[#This Row],[QTDE ATUAL]] - (1/10)</f>
        <v>-274.10000000000002</v>
      </c>
      <c r="BC536" s="320">
        <f>IF( tabItens[[#This Row],[PontoPed]]&gt;0, IF(tabItens[[#This Row],[PontoPed]]&lt;1, 1, IF( tabItens[[#This Row],[Saldo]]&gt;tabItens[[#This Row],[PontoPed]], 0, (tabItens[[#This Row],[PontoPed]]-tabItens[[#This Row],[Saldo]])/tabItens[[#This Row],[PontoPed]] ) ), 0 )</f>
        <v>0</v>
      </c>
      <c r="BD536" s="321">
        <f>ROUNDDOWN(IF( OR( AND(tabItens[[#This Row],[PontoPed]]&lt;tabItens[[#This Row],[Saldo]],tabItens[[#This Row],[Saldo]]&gt;0), tabItens[[#This Row],[PontoPed]]=0), 99, IF(AND(tabItens[[#This Row],[Saldo]]=0,tabItens[[#This Row],[PontoPed]]&gt;0), 0, (1-tabItens[[#This Row],[PctAb]])*10 ) ),0)</f>
        <v>99</v>
      </c>
      <c r="BE536" s="322">
        <f>MAX(ROUNDDOWN( IF(tabItens[[#This Row],[Abaixo]] &gt; 0,   tabItens[[#This Row],[Abaixo]] + (tabItens[[#This Row],[PontoMês]] * IF( OR( ISBLANK(tabItens[[#This Row],[ATA Nº/ANO]]), tabItens[[#This Row],[ATA Nº/ANO]] = ""),BE$2,BE$1)),0),0),0)</f>
        <v>0</v>
      </c>
      <c r="BF53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23">
        <f>SUMIF(Consumo!$C$3:$C$869,tabItens[[#This Row],[CÓDIGO]],Consumo!$E$3:$E$869)</f>
        <v>0</v>
      </c>
      <c r="BH536" s="324">
        <f>IF(AND(tabItens[[#This Row],[Pend]] &gt; 0,tabItens[[#This Row],[Consumo]] &lt;&gt; 0), tabItens[[#This Row],[Pend]] / tabItens[[#This Row],[Consumo]], 0 )</f>
        <v>0</v>
      </c>
      <c r="BI536" s="323"/>
      <c r="BJ536" s="323"/>
      <c r="BK536" s="325" t="s">
        <v>2064</v>
      </c>
    </row>
    <row r="537" spans="1:63" x14ac:dyDescent="0.3">
      <c r="A537" s="396">
        <v>140036</v>
      </c>
      <c r="B537" s="397" t="s">
        <v>1986</v>
      </c>
      <c r="C537" s="398" t="s">
        <v>281</v>
      </c>
      <c r="D537" s="399">
        <v>324.66000000000003</v>
      </c>
      <c r="E537" s="290"/>
      <c r="F537" s="400"/>
      <c r="G537" s="400" t="s">
        <v>883</v>
      </c>
      <c r="H537" s="401">
        <v>0</v>
      </c>
      <c r="I537" s="292">
        <v>103003</v>
      </c>
      <c r="J537" s="293">
        <v>324.66000000000003</v>
      </c>
      <c r="K537" s="402">
        <v>81</v>
      </c>
      <c r="L537" s="403">
        <f>IF(tabItens[[#This Row],[Média]] &gt; 0, tabItens[[#This Row],[QTDE ATUAL]] / tabItens[[#This Row],[Média]],999.9)</f>
        <v>0</v>
      </c>
      <c r="M537" s="404">
        <v>0</v>
      </c>
      <c r="N537" s="405">
        <f>tabItens[[#This Row],[VALOR UNIT.]] * tabItens[[#This Row],[LC]]</f>
        <v>0</v>
      </c>
      <c r="O537" s="406" t="s">
        <v>2184</v>
      </c>
      <c r="P537" s="407"/>
      <c r="Q537" s="408"/>
      <c r="R537" s="297"/>
      <c r="S537" s="409"/>
      <c r="T537" s="410">
        <f>ROUNDDOWN(IFERROR(tabItens[[#This Row],[ATA DT.VALID.]] - $D$1,0) / 30,0)</f>
        <v>-1504</v>
      </c>
      <c r="U537" s="287" t="s">
        <v>1666</v>
      </c>
      <c r="V537" s="303">
        <v>1</v>
      </c>
      <c r="W537" s="411" t="s">
        <v>2055</v>
      </c>
      <c r="X537" s="412">
        <v>55</v>
      </c>
      <c r="Y537" s="413">
        <v>19</v>
      </c>
      <c r="Z537" s="414" t="s">
        <v>2062</v>
      </c>
      <c r="AA537" s="415">
        <v>2023</v>
      </c>
      <c r="AB537" s="416">
        <v>169</v>
      </c>
      <c r="AC537" s="416"/>
      <c r="AD537" s="415"/>
      <c r="AE537" s="416"/>
      <c r="AF537" s="302"/>
      <c r="AG537" s="417" t="s">
        <v>2050</v>
      </c>
      <c r="AH537" s="418"/>
      <c r="AI537" s="302">
        <v>34</v>
      </c>
      <c r="AJ537" s="418">
        <v>44874</v>
      </c>
      <c r="AK537" s="311">
        <v>44096</v>
      </c>
      <c r="AL537" s="311">
        <v>44845</v>
      </c>
      <c r="AM537" s="301"/>
      <c r="AN537" s="290"/>
      <c r="AO537" s="312" t="str">
        <f>_xlfn.IFNA(IF(VLOOKUP(tabItens[[#This Row],[CÓDIGO]],tabExcluirDoEstoque[#Data],1,FALSE),"sim",""),"")</f>
        <v/>
      </c>
      <c r="AP537" s="419" t="str">
        <f ca="1">IF(OR(ISBLANK(tabItens[[#This Row],[ATA DT.VALID.]]),tabItens[[#This Row],[ATA DT.VALID.]]="",tabItens[[#This Row],[ATA DT.VALID.]]=" "),"",IF(TYPE(tabItens[[#This Row],[ATA DT.VALID.]])=1,ROUNDUP((tabItens[[#This Row],[ATA DT.VALID.]]-TODAY())/7,0),""))</f>
        <v/>
      </c>
      <c r="AQ537" s="314">
        <v>0</v>
      </c>
      <c r="AR537" s="315" t="str">
        <f>IF(ISBLANK(tabItens[[#This Row],[CÓDIGO]]),"",IFERROR(VLOOKUP(tabItens[[#This Row],[CÓDIGO]],Consumo!$C$2:$AC$869,26,FALSE),0))</f>
        <v>02.2023</v>
      </c>
      <c r="AS537" s="316">
        <f>SUMIF(Consumo!$C$3:$C$869,tabItens[[#This Row],[CÓDIGO]],Consumo!$N$3:$N$869) + SUMIF(Consumo!$C$3:$C$869,tabItens[[#This Row],[CÓDIGO]],Consumo!$O$3:$O$869) + SUMIF(Consumo!$C$3:$C$869,tabItens[[#This Row],[CÓDIGO]],Consumo!$P$3:$P$869) + SUMIF(Consumo!$C$3:$C$869,tabItens[[#This Row],[CÓDIGO]],Consumo!$Q$3:$Q$869)</f>
        <v>0</v>
      </c>
      <c r="AT537" s="316">
        <f>SUMIF(Consumo!$C$3:$C$869,tabItens[[#This Row],[CÓDIGO]],Consumo!$Z$3:$Z$869)</f>
        <v>106</v>
      </c>
      <c r="AU537" s="317">
        <f>SUMIF(Consumo!$C$3:$C$869,tabItens[[#This Row],[CÓDIGO]],Consumo!$AA$3:$AA$869)</f>
        <v>23</v>
      </c>
      <c r="AV537" s="318">
        <f>SUMIF(Consumo!$C$3:$C$869,tabItens[[#This Row],[CÓDIGO]],Consumo!$Y$3:$Y$869)</f>
        <v>8.8333333333333339</v>
      </c>
      <c r="AW537" s="401">
        <f>tabItens[[#This Row],[QTDE ATUAL]] + tabItens[[#This Row],[RC QTDE]] + tabItens[[#This Row],[AF SALDO]] + tabItens[[#This Row],[Recentes]]</f>
        <v>169</v>
      </c>
      <c r="AX537" s="420">
        <v>20</v>
      </c>
      <c r="AY537" s="420">
        <v>4</v>
      </c>
      <c r="AZ537" s="420">
        <f>IF(ISBLANK(tabItens[[#This Row],[CÓDIGO]]),"",tabItens[[#This Row],[PontoMês]] * (AZ$2+tabItens[[#This Row],[PontoQtM]]))</f>
        <v>80</v>
      </c>
      <c r="BA537" s="421">
        <f>tabItens[[#This Row],[PontoPed]] - tabItens[[#This Row],[Saldo]] + (1/10)</f>
        <v>-88.9</v>
      </c>
      <c r="BB537" s="421">
        <f xml:space="preserve"> tabItens[[#This Row],[PontoMês]] * BB$2 - tabItens[[#This Row],[QTDE ATUAL]] - (1/10)</f>
        <v>19.899999999999999</v>
      </c>
      <c r="BC537" s="320">
        <f>IF( tabItens[[#This Row],[PontoPed]]&gt;0, IF(tabItens[[#This Row],[PontoPed]]&lt;1, 1, IF( tabItens[[#This Row],[Saldo]]&gt;tabItens[[#This Row],[PontoPed]], 0, (tabItens[[#This Row],[PontoPed]]-tabItens[[#This Row],[Saldo]])/tabItens[[#This Row],[PontoPed]] ) ), 0 )</f>
        <v>0</v>
      </c>
      <c r="BD537" s="422">
        <f>ROUNDDOWN(IF( OR( AND(tabItens[[#This Row],[PontoPed]]&lt;tabItens[[#This Row],[Saldo]],tabItens[[#This Row],[Saldo]]&gt;0), tabItens[[#This Row],[PontoPed]]=0), 99, IF(AND(tabItens[[#This Row],[Saldo]]=0,tabItens[[#This Row],[PontoPed]]&gt;0), 0, (1-tabItens[[#This Row],[PctAb]])*10 ) ),0)</f>
        <v>99</v>
      </c>
      <c r="BE537" s="423">
        <f>MAX(ROUNDDOWN( IF(tabItens[[#This Row],[Abaixo]] &gt; 0,   tabItens[[#This Row],[Abaixo]] + (tabItens[[#This Row],[PontoMês]] * IF( OR( ISBLANK(tabItens[[#This Row],[ATA Nº/ANO]]), tabItens[[#This Row],[ATA Nº/ANO]] = ""),BE$2,BE$1)),0),0),0)</f>
        <v>0</v>
      </c>
      <c r="BF53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23">
        <f>SUMIF(Consumo!$C$3:$C$869,tabItens[[#This Row],[CÓDIGO]],Consumo!$E$3:$E$869)</f>
        <v>21</v>
      </c>
      <c r="BH537" s="324">
        <f>IF(AND(tabItens[[#This Row],[Pend]] &gt; 0,tabItens[[#This Row],[Consumo]] &lt;&gt; 0), tabItens[[#This Row],[Pend]] / tabItens[[#This Row],[Consumo]], 0 )</f>
        <v>0.19811320754716982</v>
      </c>
      <c r="BI537" s="323"/>
      <c r="BJ537" s="424"/>
      <c r="BK537" s="425" t="s">
        <v>2064</v>
      </c>
    </row>
    <row r="538" spans="1:63" hidden="1" x14ac:dyDescent="0.3">
      <c r="A538" s="286">
        <v>140038</v>
      </c>
      <c r="B538" s="287" t="s">
        <v>1987</v>
      </c>
      <c r="C538" s="288" t="s">
        <v>281</v>
      </c>
      <c r="D538" s="289">
        <v>394.93</v>
      </c>
      <c r="E538" s="290"/>
      <c r="F538" s="290"/>
      <c r="G538" s="290" t="s">
        <v>883</v>
      </c>
      <c r="H538" s="291">
        <v>2</v>
      </c>
      <c r="I538" s="292">
        <v>103003</v>
      </c>
      <c r="J538" s="293">
        <v>394.93</v>
      </c>
      <c r="K538" s="294">
        <v>30</v>
      </c>
      <c r="L538" s="295">
        <f>IF(tabItens[[#This Row],[Média]] &gt; 0, tabItens[[#This Row],[QTDE ATUAL]] / tabItens[[#This Row],[Média]],999.9)</f>
        <v>0.64864864864864857</v>
      </c>
      <c r="M538" s="296">
        <v>0</v>
      </c>
      <c r="N538" s="297">
        <f>tabItens[[#This Row],[VALOR UNIT.]] * tabItens[[#This Row],[LC]]</f>
        <v>0</v>
      </c>
      <c r="O538" s="298" t="s">
        <v>2184</v>
      </c>
      <c r="P538" s="299"/>
      <c r="Q538" s="300"/>
      <c r="R538" s="297"/>
      <c r="S538" s="301"/>
      <c r="T538" s="302">
        <f>ROUNDDOWN(IFERROR(tabItens[[#This Row],[ATA DT.VALID.]] - $D$1,0) / 30,0)</f>
        <v>-1504</v>
      </c>
      <c r="U538" s="287" t="s">
        <v>1666</v>
      </c>
      <c r="V538" s="303">
        <v>1</v>
      </c>
      <c r="W538" s="304" t="s">
        <v>2055</v>
      </c>
      <c r="X538" s="305">
        <v>55</v>
      </c>
      <c r="Y538" s="306">
        <v>19</v>
      </c>
      <c r="Z538" s="307" t="s">
        <v>2062</v>
      </c>
      <c r="AA538" s="308">
        <v>2023</v>
      </c>
      <c r="AB538" s="309">
        <v>79</v>
      </c>
      <c r="AC538" s="309"/>
      <c r="AD538" s="308"/>
      <c r="AE538" s="309"/>
      <c r="AF538" s="302"/>
      <c r="AG538" s="310" t="s">
        <v>2050</v>
      </c>
      <c r="AH538" s="311"/>
      <c r="AI538" s="302">
        <v>14</v>
      </c>
      <c r="AJ538" s="311">
        <v>44313</v>
      </c>
      <c r="AK538" s="311">
        <v>44096</v>
      </c>
      <c r="AL538" s="311">
        <v>44727</v>
      </c>
      <c r="AM538" s="301"/>
      <c r="AN538" s="290"/>
      <c r="AO538" s="312" t="str">
        <f>_xlfn.IFNA(IF(VLOOKUP(tabItens[[#This Row],[CÓDIGO]],tabExcluirDoEstoque[#Data],1,FALSE),"sim",""),"")</f>
        <v/>
      </c>
      <c r="AP538" s="313" t="str">
        <f ca="1">IF(OR(ISBLANK(tabItens[[#This Row],[ATA DT.VALID.]]),tabItens[[#This Row],[ATA DT.VALID.]]="",tabItens[[#This Row],[ATA DT.VALID.]]=" "),"",IF(TYPE(tabItens[[#This Row],[ATA DT.VALID.]])=1,ROUNDUP((tabItens[[#This Row],[ATA DT.VALID.]]-TODAY())/7,0),""))</f>
        <v/>
      </c>
      <c r="AQ538" s="314">
        <v>0</v>
      </c>
      <c r="AR538" s="315" t="str">
        <f>IF(ISBLANK(tabItens[[#This Row],[CÓDIGO]]),"",IFERROR(VLOOKUP(tabItens[[#This Row],[CÓDIGO]],Consumo!$C$2:$AC$869,26,FALSE),0))</f>
        <v>06.2023</v>
      </c>
      <c r="AS538" s="316">
        <f>SUMIF(Consumo!$C$3:$C$869,tabItens[[#This Row],[CÓDIGO]],Consumo!$N$3:$N$869) + SUMIF(Consumo!$C$3:$C$869,tabItens[[#This Row],[CÓDIGO]],Consumo!$O$3:$O$869) + SUMIF(Consumo!$C$3:$C$869,tabItens[[#This Row],[CÓDIGO]],Consumo!$P$3:$P$869) + SUMIF(Consumo!$C$3:$C$869,tabItens[[#This Row],[CÓDIGO]],Consumo!$Q$3:$Q$869)</f>
        <v>7</v>
      </c>
      <c r="AT538" s="316">
        <f>SUMIF(Consumo!$C$3:$C$869,tabItens[[#This Row],[CÓDIGO]],Consumo!$Z$3:$Z$869)</f>
        <v>39</v>
      </c>
      <c r="AU538" s="317">
        <f>SUMIF(Consumo!$C$3:$C$869,tabItens[[#This Row],[CÓDIGO]],Consumo!$AA$3:$AA$869)</f>
        <v>10</v>
      </c>
      <c r="AV538" s="318">
        <f>SUMIF(Consumo!$C$3:$C$869,tabItens[[#This Row],[CÓDIGO]],Consumo!$Y$3:$Y$869)</f>
        <v>3.0833333333333335</v>
      </c>
      <c r="AW538" s="291">
        <f>tabItens[[#This Row],[QTDE ATUAL]] + tabItens[[#This Row],[RC QTDE]] + tabItens[[#This Row],[AF SALDO]] + tabItens[[#This Row],[Recentes]]</f>
        <v>81</v>
      </c>
      <c r="AX538" s="319">
        <v>10</v>
      </c>
      <c r="AY538" s="319">
        <v>4</v>
      </c>
      <c r="AZ538" s="319">
        <f>IF(ISBLANK(tabItens[[#This Row],[CÓDIGO]]),"",tabItens[[#This Row],[PontoMês]] * (AZ$2+tabItens[[#This Row],[PontoQtM]]))</f>
        <v>40</v>
      </c>
      <c r="BA538" s="318">
        <f>tabItens[[#This Row],[PontoPed]] - tabItens[[#This Row],[Saldo]] + (1/10)</f>
        <v>-40.9</v>
      </c>
      <c r="BB538" s="318">
        <f xml:space="preserve"> tabItens[[#This Row],[PontoMês]] * BB$2 - tabItens[[#This Row],[QTDE ATUAL]] - (1/10)</f>
        <v>7.9</v>
      </c>
      <c r="BC538" s="320">
        <f>IF( tabItens[[#This Row],[PontoPed]]&gt;0, IF(tabItens[[#This Row],[PontoPed]]&lt;1, 1, IF( tabItens[[#This Row],[Saldo]]&gt;tabItens[[#This Row],[PontoPed]], 0, (tabItens[[#This Row],[PontoPed]]-tabItens[[#This Row],[Saldo]])/tabItens[[#This Row],[PontoPed]] ) ), 0 )</f>
        <v>0</v>
      </c>
      <c r="BD538" s="321">
        <f>ROUNDDOWN(IF( OR( AND(tabItens[[#This Row],[PontoPed]]&lt;tabItens[[#This Row],[Saldo]],tabItens[[#This Row],[Saldo]]&gt;0), tabItens[[#This Row],[PontoPed]]=0), 99, IF(AND(tabItens[[#This Row],[Saldo]]=0,tabItens[[#This Row],[PontoPed]]&gt;0), 0, (1-tabItens[[#This Row],[PctAb]])*10 ) ),0)</f>
        <v>99</v>
      </c>
      <c r="BE538" s="322">
        <f>MAX(ROUNDDOWN( IF(tabItens[[#This Row],[Abaixo]] &gt; 0,   tabItens[[#This Row],[Abaixo]] + (tabItens[[#This Row],[PontoMês]] * IF( OR( ISBLANK(tabItens[[#This Row],[ATA Nº/ANO]]), tabItens[[#This Row],[ATA Nº/ANO]] = ""),BE$2,BE$1)),0),0),0)</f>
        <v>0</v>
      </c>
      <c r="BF53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23">
        <f>SUMIF(Consumo!$C$3:$C$869,tabItens[[#This Row],[CÓDIGO]],Consumo!$E$3:$E$869)</f>
        <v>0</v>
      </c>
      <c r="BH538" s="324">
        <f>IF(AND(tabItens[[#This Row],[Pend]] &gt; 0,tabItens[[#This Row],[Consumo]] &lt;&gt; 0), tabItens[[#This Row],[Pend]] / tabItens[[#This Row],[Consumo]], 0 )</f>
        <v>0</v>
      </c>
      <c r="BI538" s="323"/>
      <c r="BJ538" s="323"/>
      <c r="BK538" s="325" t="s">
        <v>2064</v>
      </c>
    </row>
    <row r="539" spans="1:63" x14ac:dyDescent="0.3">
      <c r="A539" s="396">
        <v>140042</v>
      </c>
      <c r="B539" s="397" t="s">
        <v>1988</v>
      </c>
      <c r="C539" s="398" t="s">
        <v>331</v>
      </c>
      <c r="D539" s="399">
        <v>9.0500000000000007</v>
      </c>
      <c r="E539" s="290"/>
      <c r="F539" s="400"/>
      <c r="G539" s="400" t="s">
        <v>883</v>
      </c>
      <c r="H539" s="401">
        <v>0</v>
      </c>
      <c r="I539" s="292">
        <v>103003</v>
      </c>
      <c r="J539" s="293">
        <v>9.0500000000000007</v>
      </c>
      <c r="K539" s="402">
        <v>4080</v>
      </c>
      <c r="L539" s="403">
        <f>IF(tabItens[[#This Row],[Média]] &gt; 0, tabItens[[#This Row],[QTDE ATUAL]] / tabItens[[#This Row],[Média]],999.9)</f>
        <v>0</v>
      </c>
      <c r="M539" s="404">
        <v>0</v>
      </c>
      <c r="N539" s="405">
        <f>tabItens[[#This Row],[VALOR UNIT.]] * tabItens[[#This Row],[LC]]</f>
        <v>0</v>
      </c>
      <c r="O539" s="406" t="s">
        <v>2184</v>
      </c>
      <c r="P539" s="407"/>
      <c r="Q539" s="408"/>
      <c r="R539" s="297"/>
      <c r="S539" s="409"/>
      <c r="T539" s="410">
        <f>ROUNDDOWN(IFERROR(tabItens[[#This Row],[ATA DT.VALID.]] - $D$1,0) / 30,0)</f>
        <v>-1504</v>
      </c>
      <c r="U539" s="287" t="s">
        <v>1666</v>
      </c>
      <c r="V539" s="303">
        <v>1</v>
      </c>
      <c r="W539" s="411" t="s">
        <v>2055</v>
      </c>
      <c r="X539" s="412">
        <v>55</v>
      </c>
      <c r="Y539" s="413">
        <v>19</v>
      </c>
      <c r="Z539" s="414">
        <v>2375</v>
      </c>
      <c r="AA539" s="415">
        <v>2023</v>
      </c>
      <c r="AB539" s="416">
        <v>3000</v>
      </c>
      <c r="AC539" s="416"/>
      <c r="AD539" s="415"/>
      <c r="AE539" s="416"/>
      <c r="AF539" s="302"/>
      <c r="AG539" s="417" t="s">
        <v>2050</v>
      </c>
      <c r="AH539" s="418"/>
      <c r="AI539" s="302">
        <v>1400</v>
      </c>
      <c r="AJ539" s="418">
        <v>44237</v>
      </c>
      <c r="AK539" s="311">
        <v>44096</v>
      </c>
      <c r="AL539" s="311">
        <v>44623</v>
      </c>
      <c r="AM539" s="301"/>
      <c r="AN539" s="290"/>
      <c r="AO539" s="312" t="str">
        <f>_xlfn.IFNA(IF(VLOOKUP(tabItens[[#This Row],[CÓDIGO]],tabExcluirDoEstoque[#Data],1,FALSE),"sim",""),"")</f>
        <v/>
      </c>
      <c r="AP539" s="419" t="str">
        <f ca="1">IF(OR(ISBLANK(tabItens[[#This Row],[ATA DT.VALID.]]),tabItens[[#This Row],[ATA DT.VALID.]]="",tabItens[[#This Row],[ATA DT.VALID.]]=" "),"",IF(TYPE(tabItens[[#This Row],[ATA DT.VALID.]])=1,ROUNDUP((tabItens[[#This Row],[ATA DT.VALID.]]-TODAY())/7,0),""))</f>
        <v/>
      </c>
      <c r="AQ539" s="314">
        <v>0</v>
      </c>
      <c r="AR539" s="315" t="str">
        <f>IF(ISBLANK(tabItens[[#This Row],[CÓDIGO]]),"",IFERROR(VLOOKUP(tabItens[[#This Row],[CÓDIGO]],Consumo!$C$2:$AC$869,26,FALSE),0))</f>
        <v>05.2023</v>
      </c>
      <c r="AS539" s="316">
        <f>SUMIF(Consumo!$C$3:$C$869,tabItens[[#This Row],[CÓDIGO]],Consumo!$N$3:$N$869) + SUMIF(Consumo!$C$3:$C$869,tabItens[[#This Row],[CÓDIGO]],Consumo!$O$3:$O$869) + SUMIF(Consumo!$C$3:$C$869,tabItens[[#This Row],[CÓDIGO]],Consumo!$P$3:$P$869) + SUMIF(Consumo!$C$3:$C$869,tabItens[[#This Row],[CÓDIGO]],Consumo!$Q$3:$Q$869)</f>
        <v>852</v>
      </c>
      <c r="AT539" s="316">
        <f>SUMIF(Consumo!$C$3:$C$869,tabItens[[#This Row],[CÓDIGO]],Consumo!$Z$3:$Z$869)</f>
        <v>4254</v>
      </c>
      <c r="AU539" s="317">
        <f>SUMIF(Consumo!$C$3:$C$869,tabItens[[#This Row],[CÓDIGO]],Consumo!$AA$3:$AA$869)</f>
        <v>1600</v>
      </c>
      <c r="AV539" s="318">
        <f>SUMIF(Consumo!$C$3:$C$869,tabItens[[#This Row],[CÓDIGO]],Consumo!$Y$3:$Y$869)</f>
        <v>328.16666666666669</v>
      </c>
      <c r="AW539" s="401">
        <f>tabItens[[#This Row],[QTDE ATUAL]] + tabItens[[#This Row],[RC QTDE]] + tabItens[[#This Row],[AF SALDO]] + tabItens[[#This Row],[Recentes]]</f>
        <v>3000</v>
      </c>
      <c r="AX539" s="420">
        <v>112</v>
      </c>
      <c r="AY539" s="420">
        <v>4</v>
      </c>
      <c r="AZ539" s="420">
        <f>IF(ISBLANK(tabItens[[#This Row],[CÓDIGO]]),"",tabItens[[#This Row],[PontoMês]] * (AZ$2+tabItens[[#This Row],[PontoQtM]]))</f>
        <v>448</v>
      </c>
      <c r="BA539" s="421">
        <f>tabItens[[#This Row],[PontoPed]] - tabItens[[#This Row],[Saldo]] + (1/10)</f>
        <v>-2551.9</v>
      </c>
      <c r="BB539" s="421">
        <f xml:space="preserve"> tabItens[[#This Row],[PontoMês]] * BB$2 - tabItens[[#This Row],[QTDE ATUAL]] - (1/10)</f>
        <v>111.9</v>
      </c>
      <c r="BC539" s="320">
        <f>IF( tabItens[[#This Row],[PontoPed]]&gt;0, IF(tabItens[[#This Row],[PontoPed]]&lt;1, 1, IF( tabItens[[#This Row],[Saldo]]&gt;tabItens[[#This Row],[PontoPed]], 0, (tabItens[[#This Row],[PontoPed]]-tabItens[[#This Row],[Saldo]])/tabItens[[#This Row],[PontoPed]] ) ), 0 )</f>
        <v>0</v>
      </c>
      <c r="BD539" s="422">
        <f>ROUNDDOWN(IF( OR( AND(tabItens[[#This Row],[PontoPed]]&lt;tabItens[[#This Row],[Saldo]],tabItens[[#This Row],[Saldo]]&gt;0), tabItens[[#This Row],[PontoPed]]=0), 99, IF(AND(tabItens[[#This Row],[Saldo]]=0,tabItens[[#This Row],[PontoPed]]&gt;0), 0, (1-tabItens[[#This Row],[PctAb]])*10 ) ),0)</f>
        <v>99</v>
      </c>
      <c r="BE539" s="423">
        <f>MAX(ROUNDDOWN( IF(tabItens[[#This Row],[Abaixo]] &gt; 0,   tabItens[[#This Row],[Abaixo]] + (tabItens[[#This Row],[PontoMês]] * IF( OR( ISBLANK(tabItens[[#This Row],[ATA Nº/ANO]]), tabItens[[#This Row],[ATA Nº/ANO]] = ""),BE$2,BE$1)),0),0),0)</f>
        <v>0</v>
      </c>
      <c r="BF53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23">
        <f>SUMIF(Consumo!$C$3:$C$869,tabItens[[#This Row],[CÓDIGO]],Consumo!$E$3:$E$869)</f>
        <v>54</v>
      </c>
      <c r="BH539" s="324">
        <f>IF(AND(tabItens[[#This Row],[Pend]] &gt; 0,tabItens[[#This Row],[Consumo]] &lt;&gt; 0), tabItens[[#This Row],[Pend]] / tabItens[[#This Row],[Consumo]], 0 )</f>
        <v>1.2693935119887164E-2</v>
      </c>
      <c r="BI539" s="323"/>
      <c r="BJ539" s="424"/>
      <c r="BK539" s="425" t="s">
        <v>2064</v>
      </c>
    </row>
    <row r="540" spans="1:63" x14ac:dyDescent="0.3">
      <c r="A540" s="396">
        <v>140043</v>
      </c>
      <c r="B540" s="397" t="s">
        <v>1989</v>
      </c>
      <c r="C540" s="398" t="s">
        <v>331</v>
      </c>
      <c r="D540" s="399">
        <v>11.37</v>
      </c>
      <c r="E540" s="290"/>
      <c r="F540" s="400"/>
      <c r="G540" s="400" t="s">
        <v>883</v>
      </c>
      <c r="H540" s="401">
        <v>0</v>
      </c>
      <c r="I540" s="292">
        <v>103003</v>
      </c>
      <c r="J540" s="293">
        <v>11.37</v>
      </c>
      <c r="K540" s="402">
        <v>846.7</v>
      </c>
      <c r="L540" s="403">
        <f>IF(tabItens[[#This Row],[Média]] &gt; 0, tabItens[[#This Row],[QTDE ATUAL]] / tabItens[[#This Row],[Média]],999.9)</f>
        <v>0</v>
      </c>
      <c r="M540" s="404">
        <v>0</v>
      </c>
      <c r="N540" s="405">
        <f>tabItens[[#This Row],[VALOR UNIT.]] * tabItens[[#This Row],[LC]]</f>
        <v>0</v>
      </c>
      <c r="O540" s="406" t="s">
        <v>2184</v>
      </c>
      <c r="P540" s="407"/>
      <c r="Q540" s="408"/>
      <c r="R540" s="297"/>
      <c r="S540" s="409"/>
      <c r="T540" s="410">
        <f>ROUNDDOWN(IFERROR(tabItens[[#This Row],[ATA DT.VALID.]] - $D$1,0) / 30,0)</f>
        <v>-1504</v>
      </c>
      <c r="U540" s="287" t="s">
        <v>1666</v>
      </c>
      <c r="V540" s="303">
        <v>1</v>
      </c>
      <c r="W540" s="411" t="s">
        <v>2055</v>
      </c>
      <c r="X540" s="412">
        <v>55</v>
      </c>
      <c r="Y540" s="413">
        <v>19</v>
      </c>
      <c r="Z540" s="414" t="s">
        <v>2062</v>
      </c>
      <c r="AA540" s="415">
        <v>2023</v>
      </c>
      <c r="AB540" s="416">
        <v>1800</v>
      </c>
      <c r="AC540" s="416"/>
      <c r="AD540" s="415"/>
      <c r="AE540" s="416"/>
      <c r="AF540" s="302"/>
      <c r="AG540" s="417" t="s">
        <v>2050</v>
      </c>
      <c r="AH540" s="418"/>
      <c r="AI540" s="302">
        <v>282</v>
      </c>
      <c r="AJ540" s="418">
        <v>44928</v>
      </c>
      <c r="AK540" s="311">
        <v>44096</v>
      </c>
      <c r="AL540" s="311">
        <v>44915</v>
      </c>
      <c r="AM540" s="301"/>
      <c r="AN540" s="290"/>
      <c r="AO540" s="312" t="str">
        <f>_xlfn.IFNA(IF(VLOOKUP(tabItens[[#This Row],[CÓDIGO]],tabExcluirDoEstoque[#Data],1,FALSE),"sim",""),"")</f>
        <v/>
      </c>
      <c r="AP540" s="419" t="str">
        <f ca="1">IF(OR(ISBLANK(tabItens[[#This Row],[ATA DT.VALID.]]),tabItens[[#This Row],[ATA DT.VALID.]]="",tabItens[[#This Row],[ATA DT.VALID.]]=" "),"",IF(TYPE(tabItens[[#This Row],[ATA DT.VALID.]])=1,ROUNDUP((tabItens[[#This Row],[ATA DT.VALID.]]-TODAY())/7,0),""))</f>
        <v/>
      </c>
      <c r="AQ540" s="314">
        <v>0</v>
      </c>
      <c r="AR540" s="315" t="str">
        <f>IF(ISBLANK(tabItens[[#This Row],[CÓDIGO]]),"",IFERROR(VLOOKUP(tabItens[[#This Row],[CÓDIGO]],Consumo!$C$2:$AC$869,26,FALSE),0))</f>
        <v>04.2023</v>
      </c>
      <c r="AS540" s="316">
        <f>SUMIF(Consumo!$C$3:$C$869,tabItens[[#This Row],[CÓDIGO]],Consumo!$N$3:$N$869) + SUMIF(Consumo!$C$3:$C$869,tabItens[[#This Row],[CÓDIGO]],Consumo!$O$3:$O$869) + SUMIF(Consumo!$C$3:$C$869,tabItens[[#This Row],[CÓDIGO]],Consumo!$P$3:$P$869) + SUMIF(Consumo!$C$3:$C$869,tabItens[[#This Row],[CÓDIGO]],Consumo!$Q$3:$Q$869)</f>
        <v>67</v>
      </c>
      <c r="AT540" s="316">
        <f>SUMIF(Consumo!$C$3:$C$869,tabItens[[#This Row],[CÓDIGO]],Consumo!$Z$3:$Z$869)</f>
        <v>1110</v>
      </c>
      <c r="AU540" s="317">
        <f>SUMIF(Consumo!$C$3:$C$869,tabItens[[#This Row],[CÓDIGO]],Consumo!$AA$3:$AA$869)</f>
        <v>510</v>
      </c>
      <c r="AV540" s="318">
        <f>SUMIF(Consumo!$C$3:$C$869,tabItens[[#This Row],[CÓDIGO]],Consumo!$Y$3:$Y$869)</f>
        <v>82.416666666666671</v>
      </c>
      <c r="AW540" s="401">
        <f>tabItens[[#This Row],[QTDE ATUAL]] + tabItens[[#This Row],[RC QTDE]] + tabItens[[#This Row],[AF SALDO]] + tabItens[[#This Row],[Recentes]]</f>
        <v>1800</v>
      </c>
      <c r="AX540" s="420">
        <v>39</v>
      </c>
      <c r="AY540" s="420">
        <v>4</v>
      </c>
      <c r="AZ540" s="420">
        <f>IF(ISBLANK(tabItens[[#This Row],[CÓDIGO]]),"",tabItens[[#This Row],[PontoMês]] * (AZ$2+tabItens[[#This Row],[PontoQtM]]))</f>
        <v>156</v>
      </c>
      <c r="BA540" s="421">
        <f>tabItens[[#This Row],[PontoPed]] - tabItens[[#This Row],[Saldo]] + (1/10)</f>
        <v>-1643.9</v>
      </c>
      <c r="BB540" s="421">
        <f xml:space="preserve"> tabItens[[#This Row],[PontoMês]] * BB$2 - tabItens[[#This Row],[QTDE ATUAL]] - (1/10)</f>
        <v>38.9</v>
      </c>
      <c r="BC540" s="320">
        <f>IF( tabItens[[#This Row],[PontoPed]]&gt;0, IF(tabItens[[#This Row],[PontoPed]]&lt;1, 1, IF( tabItens[[#This Row],[Saldo]]&gt;tabItens[[#This Row],[PontoPed]], 0, (tabItens[[#This Row],[PontoPed]]-tabItens[[#This Row],[Saldo]])/tabItens[[#This Row],[PontoPed]] ) ), 0 )</f>
        <v>0</v>
      </c>
      <c r="BD540" s="422">
        <f>ROUNDDOWN(IF( OR( AND(tabItens[[#This Row],[PontoPed]]&lt;tabItens[[#This Row],[Saldo]],tabItens[[#This Row],[Saldo]]&gt;0), tabItens[[#This Row],[PontoPed]]=0), 99, IF(AND(tabItens[[#This Row],[Saldo]]=0,tabItens[[#This Row],[PontoPed]]&gt;0), 0, (1-tabItens[[#This Row],[PctAb]])*10 ) ),0)</f>
        <v>99</v>
      </c>
      <c r="BE540" s="423">
        <f>MAX(ROUNDDOWN( IF(tabItens[[#This Row],[Abaixo]] &gt; 0,   tabItens[[#This Row],[Abaixo]] + (tabItens[[#This Row],[PontoMês]] * IF( OR( ISBLANK(tabItens[[#This Row],[ATA Nº/ANO]]), tabItens[[#This Row],[ATA Nº/ANO]] = ""),BE$2,BE$1)),0),0),0)</f>
        <v>0</v>
      </c>
      <c r="BF54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23">
        <f>SUMIF(Consumo!$C$3:$C$869,tabItens[[#This Row],[CÓDIGO]],Consumo!$E$3:$E$869)</f>
        <v>263.3</v>
      </c>
      <c r="BH540" s="324">
        <f>IF(AND(tabItens[[#This Row],[Pend]] &gt; 0,tabItens[[#This Row],[Consumo]] &lt;&gt; 0), tabItens[[#This Row],[Pend]] / tabItens[[#This Row],[Consumo]], 0 )</f>
        <v>0.23720720720720723</v>
      </c>
      <c r="BI540" s="323"/>
      <c r="BJ540" s="424"/>
      <c r="BK540" s="425" t="s">
        <v>2064</v>
      </c>
    </row>
    <row r="541" spans="1:63" hidden="1" x14ac:dyDescent="0.3">
      <c r="A541" s="286">
        <v>140047</v>
      </c>
      <c r="B541" s="287" t="s">
        <v>1990</v>
      </c>
      <c r="C541" s="288" t="s">
        <v>331</v>
      </c>
      <c r="D541" s="289">
        <v>70</v>
      </c>
      <c r="E541" s="290"/>
      <c r="F541" s="290"/>
      <c r="G541" s="290" t="s">
        <v>883</v>
      </c>
      <c r="H541" s="291">
        <v>39</v>
      </c>
      <c r="I541" s="292">
        <v>103003</v>
      </c>
      <c r="J541" s="293">
        <v>70</v>
      </c>
      <c r="K541" s="294">
        <v>145</v>
      </c>
      <c r="L541" s="295">
        <f>IF(tabItens[[#This Row],[Média]] &gt; 0, tabItens[[#This Row],[QTDE ATUAL]] / tabItens[[#This Row],[Média]],999.9)</f>
        <v>4.0695652173913039</v>
      </c>
      <c r="M541" s="296">
        <v>0</v>
      </c>
      <c r="N541" s="297">
        <f>tabItens[[#This Row],[VALOR UNIT.]] * tabItens[[#This Row],[LC]]</f>
        <v>0</v>
      </c>
      <c r="O541" s="298" t="s">
        <v>2184</v>
      </c>
      <c r="P541" s="299"/>
      <c r="Q541" s="300"/>
      <c r="R541" s="297"/>
      <c r="S541" s="301"/>
      <c r="T541" s="302">
        <f>ROUNDDOWN(IFERROR(tabItens[[#This Row],[ATA DT.VALID.]] - $D$1,0) / 30,0)</f>
        <v>-1504</v>
      </c>
      <c r="U541" s="287" t="s">
        <v>1666</v>
      </c>
      <c r="V541" s="303">
        <v>1</v>
      </c>
      <c r="W541" s="304" t="s">
        <v>2055</v>
      </c>
      <c r="X541" s="305">
        <v>55</v>
      </c>
      <c r="Y541" s="306">
        <v>19</v>
      </c>
      <c r="Z541" s="307">
        <v>2693</v>
      </c>
      <c r="AA541" s="308">
        <v>2023</v>
      </c>
      <c r="AB541" s="309">
        <v>100</v>
      </c>
      <c r="AC541" s="309"/>
      <c r="AD541" s="308"/>
      <c r="AE541" s="309"/>
      <c r="AF541" s="302"/>
      <c r="AG541" s="310" t="s">
        <v>2050</v>
      </c>
      <c r="AH541" s="311"/>
      <c r="AI541" s="302">
        <v>48</v>
      </c>
      <c r="AJ541" s="311">
        <v>44875</v>
      </c>
      <c r="AK541" s="311">
        <v>44096</v>
      </c>
      <c r="AL541" s="311">
        <v>44845</v>
      </c>
      <c r="AM541" s="301"/>
      <c r="AN541" s="290"/>
      <c r="AO541" s="312" t="str">
        <f>_xlfn.IFNA(IF(VLOOKUP(tabItens[[#This Row],[CÓDIGO]],tabExcluirDoEstoque[#Data],1,FALSE),"sim",""),"")</f>
        <v/>
      </c>
      <c r="AP541" s="313" t="str">
        <f ca="1">IF(OR(ISBLANK(tabItens[[#This Row],[ATA DT.VALID.]]),tabItens[[#This Row],[ATA DT.VALID.]]="",tabItens[[#This Row],[ATA DT.VALID.]]=" "),"",IF(TYPE(tabItens[[#This Row],[ATA DT.VALID.]])=1,ROUNDUP((tabItens[[#This Row],[ATA DT.VALID.]]-TODAY())/7,0),""))</f>
        <v/>
      </c>
      <c r="AQ541" s="314">
        <v>0</v>
      </c>
      <c r="AR541" s="315" t="str">
        <f>IF(ISBLANK(tabItens[[#This Row],[CÓDIGO]]),"",IFERROR(VLOOKUP(tabItens[[#This Row],[CÓDIGO]],Consumo!$C$2:$AC$869,26,FALSE),0))</f>
        <v>07.2023</v>
      </c>
      <c r="AS541" s="316">
        <f>SUMIF(Consumo!$C$3:$C$869,tabItens[[#This Row],[CÓDIGO]],Consumo!$N$3:$N$869) + SUMIF(Consumo!$C$3:$C$869,tabItens[[#This Row],[CÓDIGO]],Consumo!$O$3:$O$869) + SUMIF(Consumo!$C$3:$C$869,tabItens[[#This Row],[CÓDIGO]],Consumo!$P$3:$P$869) + SUMIF(Consumo!$C$3:$C$869,tabItens[[#This Row],[CÓDIGO]],Consumo!$Q$3:$Q$869)</f>
        <v>100</v>
      </c>
      <c r="AT541" s="316">
        <f>SUMIF(Consumo!$C$3:$C$869,tabItens[[#This Row],[CÓDIGO]],Consumo!$Z$3:$Z$869)</f>
        <v>145</v>
      </c>
      <c r="AU541" s="317">
        <f>SUMIF(Consumo!$C$3:$C$869,tabItens[[#This Row],[CÓDIGO]],Consumo!$AA$3:$AA$869)</f>
        <v>100</v>
      </c>
      <c r="AV541" s="318">
        <f>SUMIF(Consumo!$C$3:$C$869,tabItens[[#This Row],[CÓDIGO]],Consumo!$Y$3:$Y$869)</f>
        <v>9.5833333333333339</v>
      </c>
      <c r="AW541" s="291">
        <f>tabItens[[#This Row],[QTDE ATUAL]] + tabItens[[#This Row],[RC QTDE]] + tabItens[[#This Row],[AF SALDO]] + tabItens[[#This Row],[Recentes]]</f>
        <v>139</v>
      </c>
      <c r="AX541" s="319">
        <v>0</v>
      </c>
      <c r="AY541" s="319">
        <v>4</v>
      </c>
      <c r="AZ541" s="319">
        <f>IF(ISBLANK(tabItens[[#This Row],[CÓDIGO]]),"",tabItens[[#This Row],[PontoMês]] * (AZ$2+tabItens[[#This Row],[PontoQtM]]))</f>
        <v>0</v>
      </c>
      <c r="BA541" s="318">
        <f>tabItens[[#This Row],[PontoPed]] - tabItens[[#This Row],[Saldo]] + (1/10)</f>
        <v>-138.9</v>
      </c>
      <c r="BB541" s="318">
        <f xml:space="preserve"> tabItens[[#This Row],[PontoMês]] * BB$2 - tabItens[[#This Row],[QTDE ATUAL]] - (1/10)</f>
        <v>-39.1</v>
      </c>
      <c r="BC541" s="320">
        <f>IF( tabItens[[#This Row],[PontoPed]]&gt;0, IF(tabItens[[#This Row],[PontoPed]]&lt;1, 1, IF( tabItens[[#This Row],[Saldo]]&gt;tabItens[[#This Row],[PontoPed]], 0, (tabItens[[#This Row],[PontoPed]]-tabItens[[#This Row],[Saldo]])/tabItens[[#This Row],[PontoPed]] ) ), 0 )</f>
        <v>0</v>
      </c>
      <c r="BD541" s="321">
        <f>ROUNDDOWN(IF( OR( AND(tabItens[[#This Row],[PontoPed]]&lt;tabItens[[#This Row],[Saldo]],tabItens[[#This Row],[Saldo]]&gt;0), tabItens[[#This Row],[PontoPed]]=0), 99, IF(AND(tabItens[[#This Row],[Saldo]]=0,tabItens[[#This Row],[PontoPed]]&gt;0), 0, (1-tabItens[[#This Row],[PctAb]])*10 ) ),0)</f>
        <v>99</v>
      </c>
      <c r="BE541" s="322">
        <f>MAX(ROUNDDOWN( IF(tabItens[[#This Row],[Abaixo]] &gt; 0,   tabItens[[#This Row],[Abaixo]] + (tabItens[[#This Row],[PontoMês]] * IF( OR( ISBLANK(tabItens[[#This Row],[ATA Nº/ANO]]), tabItens[[#This Row],[ATA Nº/ANO]] = ""),BE$2,BE$1)),0),0),0)</f>
        <v>0</v>
      </c>
      <c r="BF54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23">
        <f>SUMIF(Consumo!$C$3:$C$869,tabItens[[#This Row],[CÓDIGO]],Consumo!$E$3:$E$869)</f>
        <v>0</v>
      </c>
      <c r="BH541" s="324">
        <f>IF(AND(tabItens[[#This Row],[Pend]] &gt; 0,tabItens[[#This Row],[Consumo]] &lt;&gt; 0), tabItens[[#This Row],[Pend]] / tabItens[[#This Row],[Consumo]], 0 )</f>
        <v>0</v>
      </c>
      <c r="BI541" s="323"/>
      <c r="BJ541" s="323"/>
      <c r="BK541" s="325" t="s">
        <v>2064</v>
      </c>
    </row>
    <row r="542" spans="1:63" x14ac:dyDescent="0.3">
      <c r="A542" s="396">
        <v>140048</v>
      </c>
      <c r="B542" s="397" t="s">
        <v>1991</v>
      </c>
      <c r="C542" s="398" t="s">
        <v>331</v>
      </c>
      <c r="D542" s="399">
        <v>5.98</v>
      </c>
      <c r="E542" s="290"/>
      <c r="F542" s="400"/>
      <c r="G542" s="400" t="s">
        <v>883</v>
      </c>
      <c r="H542" s="401">
        <v>0</v>
      </c>
      <c r="I542" s="292">
        <v>103003</v>
      </c>
      <c r="J542" s="293">
        <v>5.98</v>
      </c>
      <c r="K542" s="402">
        <v>2640</v>
      </c>
      <c r="L542" s="403">
        <f>IF(tabItens[[#This Row],[Média]] &gt; 0, tabItens[[#This Row],[QTDE ATUAL]] / tabItens[[#This Row],[Média]],999.9)</f>
        <v>0</v>
      </c>
      <c r="M542" s="404">
        <v>0</v>
      </c>
      <c r="N542" s="405">
        <f>tabItens[[#This Row],[VALOR UNIT.]] * tabItens[[#This Row],[LC]]</f>
        <v>0</v>
      </c>
      <c r="O542" s="406" t="s">
        <v>2184</v>
      </c>
      <c r="P542" s="407"/>
      <c r="Q542" s="408"/>
      <c r="R542" s="297"/>
      <c r="S542" s="409"/>
      <c r="T542" s="410">
        <f>ROUNDDOWN(IFERROR(tabItens[[#This Row],[ATA DT.VALID.]] - $D$1,0) / 30,0)</f>
        <v>-1504</v>
      </c>
      <c r="U542" s="287" t="s">
        <v>1666</v>
      </c>
      <c r="V542" s="303">
        <v>1</v>
      </c>
      <c r="W542" s="411" t="s">
        <v>2055</v>
      </c>
      <c r="X542" s="412">
        <v>55</v>
      </c>
      <c r="Y542" s="413">
        <v>19</v>
      </c>
      <c r="Z542" s="414">
        <v>2694</v>
      </c>
      <c r="AA542" s="415">
        <v>2023</v>
      </c>
      <c r="AB542" s="416">
        <v>2000</v>
      </c>
      <c r="AC542" s="416"/>
      <c r="AD542" s="415"/>
      <c r="AE542" s="416"/>
      <c r="AF542" s="302"/>
      <c r="AG542" s="417" t="s">
        <v>2050</v>
      </c>
      <c r="AH542" s="418"/>
      <c r="AI542" s="302">
        <v>914</v>
      </c>
      <c r="AJ542" s="418">
        <v>44887</v>
      </c>
      <c r="AK542" s="311">
        <v>44096</v>
      </c>
      <c r="AL542" s="311">
        <v>44845</v>
      </c>
      <c r="AM542" s="301"/>
      <c r="AN542" s="290"/>
      <c r="AO542" s="312" t="str">
        <f>_xlfn.IFNA(IF(VLOOKUP(tabItens[[#This Row],[CÓDIGO]],tabExcluirDoEstoque[#Data],1,FALSE),"sim",""),"")</f>
        <v/>
      </c>
      <c r="AP542" s="419" t="str">
        <f ca="1">IF(OR(ISBLANK(tabItens[[#This Row],[ATA DT.VALID.]]),tabItens[[#This Row],[ATA DT.VALID.]]="",tabItens[[#This Row],[ATA DT.VALID.]]=" "),"",IF(TYPE(tabItens[[#This Row],[ATA DT.VALID.]])=1,ROUNDUP((tabItens[[#This Row],[ATA DT.VALID.]]-TODAY())/7,0),""))</f>
        <v/>
      </c>
      <c r="AQ542" s="314">
        <v>0</v>
      </c>
      <c r="AR542" s="315" t="str">
        <f>IF(ISBLANK(tabItens[[#This Row],[CÓDIGO]]),"",IFERROR(VLOOKUP(tabItens[[#This Row],[CÓDIGO]],Consumo!$C$2:$AC$869,26,FALSE),0))</f>
        <v>03.2023</v>
      </c>
      <c r="AS542" s="316">
        <f>SUMIF(Consumo!$C$3:$C$869,tabItens[[#This Row],[CÓDIGO]],Consumo!$N$3:$N$869) + SUMIF(Consumo!$C$3:$C$869,tabItens[[#This Row],[CÓDIGO]],Consumo!$O$3:$O$869) + SUMIF(Consumo!$C$3:$C$869,tabItens[[#This Row],[CÓDIGO]],Consumo!$P$3:$P$869) + SUMIF(Consumo!$C$3:$C$869,tabItens[[#This Row],[CÓDIGO]],Consumo!$Q$3:$Q$869)</f>
        <v>0</v>
      </c>
      <c r="AT542" s="316">
        <f>SUMIF(Consumo!$C$3:$C$869,tabItens[[#This Row],[CÓDIGO]],Consumo!$Z$3:$Z$869)</f>
        <v>2880</v>
      </c>
      <c r="AU542" s="317">
        <f>SUMIF(Consumo!$C$3:$C$869,tabItens[[#This Row],[CÓDIGO]],Consumo!$AA$3:$AA$869)</f>
        <v>680</v>
      </c>
      <c r="AV542" s="318">
        <f>SUMIF(Consumo!$C$3:$C$869,tabItens[[#This Row],[CÓDIGO]],Consumo!$Y$3:$Y$869)</f>
        <v>240</v>
      </c>
      <c r="AW542" s="401">
        <f>tabItens[[#This Row],[QTDE ATUAL]] + tabItens[[#This Row],[RC QTDE]] + tabItens[[#This Row],[AF SALDO]] + tabItens[[#This Row],[Recentes]]</f>
        <v>2000</v>
      </c>
      <c r="AX542" s="420">
        <v>128</v>
      </c>
      <c r="AY542" s="420">
        <v>4</v>
      </c>
      <c r="AZ542" s="420">
        <f>IF(ISBLANK(tabItens[[#This Row],[CÓDIGO]]),"",tabItens[[#This Row],[PontoMês]] * (AZ$2+tabItens[[#This Row],[PontoQtM]]))</f>
        <v>512</v>
      </c>
      <c r="BA542" s="421">
        <f>tabItens[[#This Row],[PontoPed]] - tabItens[[#This Row],[Saldo]] + (1/10)</f>
        <v>-1487.9</v>
      </c>
      <c r="BB542" s="421">
        <f xml:space="preserve"> tabItens[[#This Row],[PontoMês]] * BB$2 - tabItens[[#This Row],[QTDE ATUAL]] - (1/10)</f>
        <v>127.9</v>
      </c>
      <c r="BC542" s="320">
        <f>IF( tabItens[[#This Row],[PontoPed]]&gt;0, IF(tabItens[[#This Row],[PontoPed]]&lt;1, 1, IF( tabItens[[#This Row],[Saldo]]&gt;tabItens[[#This Row],[PontoPed]], 0, (tabItens[[#This Row],[PontoPed]]-tabItens[[#This Row],[Saldo]])/tabItens[[#This Row],[PontoPed]] ) ), 0 )</f>
        <v>0</v>
      </c>
      <c r="BD542" s="422">
        <f>ROUNDDOWN(IF( OR( AND(tabItens[[#This Row],[PontoPed]]&lt;tabItens[[#This Row],[Saldo]],tabItens[[#This Row],[Saldo]]&gt;0), tabItens[[#This Row],[PontoPed]]=0), 99, IF(AND(tabItens[[#This Row],[Saldo]]=0,tabItens[[#This Row],[PontoPed]]&gt;0), 0, (1-tabItens[[#This Row],[PctAb]])*10 ) ),0)</f>
        <v>99</v>
      </c>
      <c r="BE542" s="423">
        <f>MAX(ROUNDDOWN( IF(tabItens[[#This Row],[Abaixo]] &gt; 0,   tabItens[[#This Row],[Abaixo]] + (tabItens[[#This Row],[PontoMês]] * IF( OR( ISBLANK(tabItens[[#This Row],[ATA Nº/ANO]]), tabItens[[#This Row],[ATA Nº/ANO]] = ""),BE$2,BE$1)),0),0),0)</f>
        <v>0</v>
      </c>
      <c r="BF542"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23">
        <f>SUMIF(Consumo!$C$3:$C$869,tabItens[[#This Row],[CÓDIGO]],Consumo!$E$3:$E$869)</f>
        <v>140</v>
      </c>
      <c r="BH542" s="324">
        <f>IF(AND(tabItens[[#This Row],[Pend]] &gt; 0,tabItens[[#This Row],[Consumo]] &lt;&gt; 0), tabItens[[#This Row],[Pend]] / tabItens[[#This Row],[Consumo]], 0 )</f>
        <v>4.8611111111111112E-2</v>
      </c>
      <c r="BI542" s="323"/>
      <c r="BJ542" s="424"/>
      <c r="BK542" s="425" t="s">
        <v>2064</v>
      </c>
    </row>
    <row r="543" spans="1:63" hidden="1" x14ac:dyDescent="0.3">
      <c r="A543" s="286">
        <v>140049</v>
      </c>
      <c r="B543" s="287" t="s">
        <v>1992</v>
      </c>
      <c r="C543" s="288" t="s">
        <v>331</v>
      </c>
      <c r="D543" s="289">
        <v>0</v>
      </c>
      <c r="E543" s="290"/>
      <c r="F543" s="290"/>
      <c r="G543" s="290" t="s">
        <v>883</v>
      </c>
      <c r="H543" s="291">
        <v>496</v>
      </c>
      <c r="I543" s="292">
        <v>103003</v>
      </c>
      <c r="J543" s="293">
        <v>0</v>
      </c>
      <c r="K543" s="294">
        <v>504</v>
      </c>
      <c r="L543" s="295">
        <f>IF(tabItens[[#This Row],[Média]] &gt; 0, tabItens[[#This Row],[QTDE ATUAL]] / tabItens[[#This Row],[Média]],999.9)</f>
        <v>11.856573705179283</v>
      </c>
      <c r="M543" s="296">
        <v>0</v>
      </c>
      <c r="N543" s="297">
        <f>tabItens[[#This Row],[VALOR UNIT.]] * tabItens[[#This Row],[LC]]</f>
        <v>0</v>
      </c>
      <c r="O543" s="298" t="s">
        <v>2184</v>
      </c>
      <c r="P543" s="299"/>
      <c r="Q543" s="300"/>
      <c r="R543" s="297"/>
      <c r="S543" s="301"/>
      <c r="T543" s="302">
        <f>ROUNDDOWN(IFERROR(tabItens[[#This Row],[ATA DT.VALID.]] - $D$1,0) / 30,0)</f>
        <v>-1504</v>
      </c>
      <c r="U543" s="287" t="s">
        <v>1666</v>
      </c>
      <c r="V543" s="303">
        <v>1</v>
      </c>
      <c r="W543" s="304" t="s">
        <v>2055</v>
      </c>
      <c r="X543" s="305">
        <v>55</v>
      </c>
      <c r="Y543" s="306">
        <v>19</v>
      </c>
      <c r="Z543" s="307"/>
      <c r="AA543" s="308"/>
      <c r="AB543" s="309"/>
      <c r="AC543" s="309"/>
      <c r="AD543" s="308"/>
      <c r="AE543" s="309"/>
      <c r="AF543" s="302"/>
      <c r="AG543" s="310" t="s">
        <v>2050</v>
      </c>
      <c r="AH543" s="311"/>
      <c r="AI543" s="302">
        <v>168</v>
      </c>
      <c r="AJ543" s="311" t="s">
        <v>883</v>
      </c>
      <c r="AK543" s="311">
        <v>44096</v>
      </c>
      <c r="AL543" s="311" t="s">
        <v>883</v>
      </c>
      <c r="AM543" s="301"/>
      <c r="AN543" s="290"/>
      <c r="AO543" s="312" t="str">
        <f>_xlfn.IFNA(IF(VLOOKUP(tabItens[[#This Row],[CÓDIGO]],tabExcluirDoEstoque[#Data],1,FALSE),"sim",""),"")</f>
        <v/>
      </c>
      <c r="AP543" s="313" t="str">
        <f ca="1">IF(OR(ISBLANK(tabItens[[#This Row],[ATA DT.VALID.]]),tabItens[[#This Row],[ATA DT.VALID.]]="",tabItens[[#This Row],[ATA DT.VALID.]]=" "),"",IF(TYPE(tabItens[[#This Row],[ATA DT.VALID.]])=1,ROUNDUP((tabItens[[#This Row],[ATA DT.VALID.]]-TODAY())/7,0),""))</f>
        <v/>
      </c>
      <c r="AQ543" s="314">
        <v>0</v>
      </c>
      <c r="AR543" s="315" t="str">
        <f>IF(ISBLANK(tabItens[[#This Row],[CÓDIGO]]),"",IFERROR(VLOOKUP(tabItens[[#This Row],[CÓDIGO]],Consumo!$C$2:$AC$869,26,FALSE),0))</f>
        <v>05.2023</v>
      </c>
      <c r="AS543" s="316">
        <f>SUMIF(Consumo!$C$3:$C$869,tabItens[[#This Row],[CÓDIGO]],Consumo!$N$3:$N$869) + SUMIF(Consumo!$C$3:$C$869,tabItens[[#This Row],[CÓDIGO]],Consumo!$O$3:$O$869) + SUMIF(Consumo!$C$3:$C$869,tabItens[[#This Row],[CÓDIGO]],Consumo!$P$3:$P$869) + SUMIF(Consumo!$C$3:$C$869,tabItens[[#This Row],[CÓDIGO]],Consumo!$Q$3:$Q$869)</f>
        <v>204</v>
      </c>
      <c r="AT543" s="316">
        <f>SUMIF(Consumo!$C$3:$C$869,tabItens[[#This Row],[CÓDIGO]],Consumo!$Z$3:$Z$869)</f>
        <v>504</v>
      </c>
      <c r="AU543" s="317">
        <f>SUMIF(Consumo!$C$3:$C$869,tabItens[[#This Row],[CÓDIGO]],Consumo!$AA$3:$AA$869)</f>
        <v>204</v>
      </c>
      <c r="AV543" s="318">
        <f>SUMIF(Consumo!$C$3:$C$869,tabItens[[#This Row],[CÓDIGO]],Consumo!$Y$3:$Y$869)</f>
        <v>41.833333333333336</v>
      </c>
      <c r="AW543" s="291">
        <f>tabItens[[#This Row],[QTDE ATUAL]] + tabItens[[#This Row],[RC QTDE]] + tabItens[[#This Row],[AF SALDO]] + tabItens[[#This Row],[Recentes]]</f>
        <v>496</v>
      </c>
      <c r="AX543" s="319">
        <v>20</v>
      </c>
      <c r="AY543" s="319">
        <v>4</v>
      </c>
      <c r="AZ543" s="319">
        <f>IF(ISBLANK(tabItens[[#This Row],[CÓDIGO]]),"",tabItens[[#This Row],[PontoMês]] * (AZ$2+tabItens[[#This Row],[PontoQtM]]))</f>
        <v>80</v>
      </c>
      <c r="BA543" s="318">
        <f>tabItens[[#This Row],[PontoPed]] - tabItens[[#This Row],[Saldo]] + (1/10)</f>
        <v>-415.9</v>
      </c>
      <c r="BB543" s="318">
        <f xml:space="preserve"> tabItens[[#This Row],[PontoMês]] * BB$2 - tabItens[[#This Row],[QTDE ATUAL]] - (1/10)</f>
        <v>-476.1</v>
      </c>
      <c r="BC543" s="320">
        <f>IF( tabItens[[#This Row],[PontoPed]]&gt;0, IF(tabItens[[#This Row],[PontoPed]]&lt;1, 1, IF( tabItens[[#This Row],[Saldo]]&gt;tabItens[[#This Row],[PontoPed]], 0, (tabItens[[#This Row],[PontoPed]]-tabItens[[#This Row],[Saldo]])/tabItens[[#This Row],[PontoPed]] ) ), 0 )</f>
        <v>0</v>
      </c>
      <c r="BD543" s="321">
        <f>ROUNDDOWN(IF( OR( AND(tabItens[[#This Row],[PontoPed]]&lt;tabItens[[#This Row],[Saldo]],tabItens[[#This Row],[Saldo]]&gt;0), tabItens[[#This Row],[PontoPed]]=0), 99, IF(AND(tabItens[[#This Row],[Saldo]]=0,tabItens[[#This Row],[PontoPed]]&gt;0), 0, (1-tabItens[[#This Row],[PctAb]])*10 ) ),0)</f>
        <v>99</v>
      </c>
      <c r="BE543" s="322">
        <f>MAX(ROUNDDOWN( IF(tabItens[[#This Row],[Abaixo]] &gt; 0,   tabItens[[#This Row],[Abaixo]] + (tabItens[[#This Row],[PontoMês]] * IF( OR( ISBLANK(tabItens[[#This Row],[ATA Nº/ANO]]), tabItens[[#This Row],[ATA Nº/ANO]] = ""),BE$2,BE$1)),0),0),0)</f>
        <v>0</v>
      </c>
      <c r="BF54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23">
        <f>SUMIF(Consumo!$C$3:$C$869,tabItens[[#This Row],[CÓDIGO]],Consumo!$E$3:$E$869)</f>
        <v>0</v>
      </c>
      <c r="BH543" s="324">
        <f>IF(AND(tabItens[[#This Row],[Pend]] &gt; 0,tabItens[[#This Row],[Consumo]] &lt;&gt; 0), tabItens[[#This Row],[Pend]] / tabItens[[#This Row],[Consumo]], 0 )</f>
        <v>0</v>
      </c>
      <c r="BI543" s="323"/>
      <c r="BJ543" s="323"/>
      <c r="BK543" s="325" t="s">
        <v>2064</v>
      </c>
    </row>
    <row r="544" spans="1:63" hidden="1" x14ac:dyDescent="0.3">
      <c r="A544" s="286">
        <v>140050</v>
      </c>
      <c r="B544" s="287" t="s">
        <v>1993</v>
      </c>
      <c r="C544" s="288" t="s">
        <v>331</v>
      </c>
      <c r="D544" s="289">
        <v>6</v>
      </c>
      <c r="E544" s="290"/>
      <c r="F544" s="290"/>
      <c r="G544" s="290" t="s">
        <v>883</v>
      </c>
      <c r="H544" s="291">
        <v>1001</v>
      </c>
      <c r="I544" s="292">
        <v>103003</v>
      </c>
      <c r="J544" s="293">
        <v>6</v>
      </c>
      <c r="K544" s="294">
        <v>894</v>
      </c>
      <c r="L544" s="295">
        <f>IF(tabItens[[#This Row],[Média]] &gt; 0, tabItens[[#This Row],[QTDE ATUAL]] / tabItens[[#This Row],[Média]],999.9)</f>
        <v>10.979890310786105</v>
      </c>
      <c r="M544" s="296">
        <v>0</v>
      </c>
      <c r="N544" s="297">
        <f>tabItens[[#This Row],[VALOR UNIT.]] * tabItens[[#This Row],[LC]]</f>
        <v>0</v>
      </c>
      <c r="O544" s="298" t="s">
        <v>2184</v>
      </c>
      <c r="P544" s="299"/>
      <c r="Q544" s="300"/>
      <c r="R544" s="297"/>
      <c r="S544" s="301"/>
      <c r="T544" s="302">
        <f>ROUNDDOWN(IFERROR(tabItens[[#This Row],[ATA DT.VALID.]] - $D$1,0) / 30,0)</f>
        <v>-1504</v>
      </c>
      <c r="U544" s="287" t="s">
        <v>1666</v>
      </c>
      <c r="V544" s="303">
        <v>1</v>
      </c>
      <c r="W544" s="304" t="s">
        <v>2055</v>
      </c>
      <c r="X544" s="305">
        <v>55</v>
      </c>
      <c r="Y544" s="306">
        <v>19</v>
      </c>
      <c r="Z544" s="307">
        <v>2957</v>
      </c>
      <c r="AA544" s="308">
        <v>2023</v>
      </c>
      <c r="AB544" s="309">
        <v>500</v>
      </c>
      <c r="AC544" s="309"/>
      <c r="AD544" s="308"/>
      <c r="AE544" s="309"/>
      <c r="AF544" s="302"/>
      <c r="AG544" s="310" t="s">
        <v>2050</v>
      </c>
      <c r="AH544" s="311"/>
      <c r="AI544" s="302">
        <v>364</v>
      </c>
      <c r="AJ544" s="311">
        <v>44887</v>
      </c>
      <c r="AK544" s="311">
        <v>44096</v>
      </c>
      <c r="AL544" s="311">
        <v>44845</v>
      </c>
      <c r="AM544" s="301"/>
      <c r="AN544" s="290"/>
      <c r="AO544" s="312" t="str">
        <f>_xlfn.IFNA(IF(VLOOKUP(tabItens[[#This Row],[CÓDIGO]],tabExcluirDoEstoque[#Data],1,FALSE),"sim",""),"")</f>
        <v/>
      </c>
      <c r="AP544" s="313" t="str">
        <f ca="1">IF(OR(ISBLANK(tabItens[[#This Row],[ATA DT.VALID.]]),tabItens[[#This Row],[ATA DT.VALID.]]="",tabItens[[#This Row],[ATA DT.VALID.]]=" "),"",IF(TYPE(tabItens[[#This Row],[ATA DT.VALID.]])=1,ROUNDUP((tabItens[[#This Row],[ATA DT.VALID.]]-TODAY())/7,0),""))</f>
        <v/>
      </c>
      <c r="AQ544" s="314">
        <v>0</v>
      </c>
      <c r="AR544" s="315" t="str">
        <f>IF(ISBLANK(tabItens[[#This Row],[CÓDIGO]]),"",IFERROR(VLOOKUP(tabItens[[#This Row],[CÓDIGO]],Consumo!$C$2:$AC$869,26,FALSE),0))</f>
        <v>05.2023</v>
      </c>
      <c r="AS544" s="316">
        <f>SUMIF(Consumo!$C$3:$C$869,tabItens[[#This Row],[CÓDIGO]],Consumo!$N$3:$N$869) + SUMIF(Consumo!$C$3:$C$869,tabItens[[#This Row],[CÓDIGO]],Consumo!$O$3:$O$869) + SUMIF(Consumo!$C$3:$C$869,tabItens[[#This Row],[CÓDIGO]],Consumo!$P$3:$P$869) + SUMIF(Consumo!$C$3:$C$869,tabItens[[#This Row],[CÓDIGO]],Consumo!$Q$3:$Q$869)</f>
        <v>214</v>
      </c>
      <c r="AT544" s="316">
        <f>SUMIF(Consumo!$C$3:$C$869,tabItens[[#This Row],[CÓDIGO]],Consumo!$Z$3:$Z$869)</f>
        <v>1094</v>
      </c>
      <c r="AU544" s="317">
        <f>SUMIF(Consumo!$C$3:$C$869,tabItens[[#This Row],[CÓDIGO]],Consumo!$AA$3:$AA$869)</f>
        <v>200</v>
      </c>
      <c r="AV544" s="318">
        <f>SUMIF(Consumo!$C$3:$C$869,tabItens[[#This Row],[CÓDIGO]],Consumo!$Y$3:$Y$869)</f>
        <v>91.166666666666671</v>
      </c>
      <c r="AW544" s="291">
        <f>tabItens[[#This Row],[QTDE ATUAL]] + tabItens[[#This Row],[RC QTDE]] + tabItens[[#This Row],[AF SALDO]] + tabItens[[#This Row],[Recentes]]</f>
        <v>1501</v>
      </c>
      <c r="AX544" s="319">
        <v>29</v>
      </c>
      <c r="AY544" s="319">
        <v>4</v>
      </c>
      <c r="AZ544" s="319">
        <f>IF(ISBLANK(tabItens[[#This Row],[CÓDIGO]]),"",tabItens[[#This Row],[PontoMês]] * (AZ$2+tabItens[[#This Row],[PontoQtM]]))</f>
        <v>116</v>
      </c>
      <c r="BA544" s="318">
        <f>tabItens[[#This Row],[PontoPed]] - tabItens[[#This Row],[Saldo]] + (1/10)</f>
        <v>-1384.9</v>
      </c>
      <c r="BB544" s="318">
        <f xml:space="preserve"> tabItens[[#This Row],[PontoMês]] * BB$2 - tabItens[[#This Row],[QTDE ATUAL]] - (1/10)</f>
        <v>-972.1</v>
      </c>
      <c r="BC544" s="320">
        <f>IF( tabItens[[#This Row],[PontoPed]]&gt;0, IF(tabItens[[#This Row],[PontoPed]]&lt;1, 1, IF( tabItens[[#This Row],[Saldo]]&gt;tabItens[[#This Row],[PontoPed]], 0, (tabItens[[#This Row],[PontoPed]]-tabItens[[#This Row],[Saldo]])/tabItens[[#This Row],[PontoPed]] ) ), 0 )</f>
        <v>0</v>
      </c>
      <c r="BD544" s="321">
        <f>ROUNDDOWN(IF( OR( AND(tabItens[[#This Row],[PontoPed]]&lt;tabItens[[#This Row],[Saldo]],tabItens[[#This Row],[Saldo]]&gt;0), tabItens[[#This Row],[PontoPed]]=0), 99, IF(AND(tabItens[[#This Row],[Saldo]]=0,tabItens[[#This Row],[PontoPed]]&gt;0), 0, (1-tabItens[[#This Row],[PctAb]])*10 ) ),0)</f>
        <v>99</v>
      </c>
      <c r="BE544" s="322">
        <f>MAX(ROUNDDOWN( IF(tabItens[[#This Row],[Abaixo]] &gt; 0,   tabItens[[#This Row],[Abaixo]] + (tabItens[[#This Row],[PontoMês]] * IF( OR( ISBLANK(tabItens[[#This Row],[ATA Nº/ANO]]), tabItens[[#This Row],[ATA Nº/ANO]] = ""),BE$2,BE$1)),0),0),0)</f>
        <v>0</v>
      </c>
      <c r="BF54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23">
        <f>SUMIF(Consumo!$C$3:$C$869,tabItens[[#This Row],[CÓDIGO]],Consumo!$E$3:$E$869)</f>
        <v>0</v>
      </c>
      <c r="BH544" s="324">
        <f>IF(AND(tabItens[[#This Row],[Pend]] &gt; 0,tabItens[[#This Row],[Consumo]] &lt;&gt; 0), tabItens[[#This Row],[Pend]] / tabItens[[#This Row],[Consumo]], 0 )</f>
        <v>0</v>
      </c>
      <c r="BI544" s="323"/>
      <c r="BJ544" s="323"/>
      <c r="BK544" s="325" t="s">
        <v>2064</v>
      </c>
    </row>
    <row r="545" spans="1:63" hidden="1" x14ac:dyDescent="0.3">
      <c r="A545" s="286">
        <v>140051</v>
      </c>
      <c r="B545" s="287" t="s">
        <v>1994</v>
      </c>
      <c r="C545" s="288" t="s">
        <v>331</v>
      </c>
      <c r="D545" s="289">
        <v>9.82</v>
      </c>
      <c r="E545" s="290"/>
      <c r="F545" s="290"/>
      <c r="G545" s="290" t="s">
        <v>883</v>
      </c>
      <c r="H545" s="291">
        <v>1538</v>
      </c>
      <c r="I545" s="292">
        <v>103003</v>
      </c>
      <c r="J545" s="293">
        <v>9.82</v>
      </c>
      <c r="K545" s="294">
        <v>336</v>
      </c>
      <c r="L545" s="295">
        <f>IF(tabItens[[#This Row],[Média]] &gt; 0, tabItens[[#This Row],[QTDE ATUAL]] / tabItens[[#This Row],[Média]],999.9)</f>
        <v>55.257485029940121</v>
      </c>
      <c r="M545" s="296">
        <v>0</v>
      </c>
      <c r="N545" s="297">
        <f>tabItens[[#This Row],[VALOR UNIT.]] * tabItens[[#This Row],[LC]]</f>
        <v>0</v>
      </c>
      <c r="O545" s="298" t="s">
        <v>2184</v>
      </c>
      <c r="P545" s="299"/>
      <c r="Q545" s="300"/>
      <c r="R545" s="297"/>
      <c r="S545" s="301"/>
      <c r="T545" s="302">
        <f>ROUNDDOWN(IFERROR(tabItens[[#This Row],[ATA DT.VALID.]] - $D$1,0) / 30,0)</f>
        <v>-1504</v>
      </c>
      <c r="U545" s="287" t="s">
        <v>1666</v>
      </c>
      <c r="V545" s="303">
        <v>1</v>
      </c>
      <c r="W545" s="304" t="s">
        <v>2055</v>
      </c>
      <c r="X545" s="305">
        <v>55</v>
      </c>
      <c r="Y545" s="306">
        <v>19</v>
      </c>
      <c r="Z545" s="307"/>
      <c r="AA545" s="308"/>
      <c r="AB545" s="309"/>
      <c r="AC545" s="309"/>
      <c r="AD545" s="308"/>
      <c r="AE545" s="309"/>
      <c r="AF545" s="302"/>
      <c r="AG545" s="310" t="s">
        <v>2050</v>
      </c>
      <c r="AH545" s="311"/>
      <c r="AI545" s="302">
        <v>112</v>
      </c>
      <c r="AJ545" s="311">
        <v>44454</v>
      </c>
      <c r="AK545" s="311">
        <v>44096</v>
      </c>
      <c r="AL545" s="311">
        <v>44412</v>
      </c>
      <c r="AM545" s="301"/>
      <c r="AN545" s="290"/>
      <c r="AO545" s="312" t="str">
        <f>_xlfn.IFNA(IF(VLOOKUP(tabItens[[#This Row],[CÓDIGO]],tabExcluirDoEstoque[#Data],1,FALSE),"sim",""),"")</f>
        <v/>
      </c>
      <c r="AP545" s="313" t="str">
        <f ca="1">IF(OR(ISBLANK(tabItens[[#This Row],[ATA DT.VALID.]]),tabItens[[#This Row],[ATA DT.VALID.]]="",tabItens[[#This Row],[ATA DT.VALID.]]=" "),"",IF(TYPE(tabItens[[#This Row],[ATA DT.VALID.]])=1,ROUNDUP((tabItens[[#This Row],[ATA DT.VALID.]]-TODAY())/7,0),""))</f>
        <v/>
      </c>
      <c r="AQ545" s="314">
        <v>0</v>
      </c>
      <c r="AR545" s="315" t="str">
        <f>IF(ISBLANK(tabItens[[#This Row],[CÓDIGO]]),"",IFERROR(VLOOKUP(tabItens[[#This Row],[CÓDIGO]],Consumo!$C$2:$AC$869,26,FALSE),0))</f>
        <v>04.2023</v>
      </c>
      <c r="AS545" s="316">
        <f>SUMIF(Consumo!$C$3:$C$869,tabItens[[#This Row],[CÓDIGO]],Consumo!$N$3:$N$869) + SUMIF(Consumo!$C$3:$C$869,tabItens[[#This Row],[CÓDIGO]],Consumo!$O$3:$O$869) + SUMIF(Consumo!$C$3:$C$869,tabItens[[#This Row],[CÓDIGO]],Consumo!$P$3:$P$869) + SUMIF(Consumo!$C$3:$C$869,tabItens[[#This Row],[CÓDIGO]],Consumo!$Q$3:$Q$869)</f>
        <v>104</v>
      </c>
      <c r="AT545" s="316">
        <f>SUMIF(Consumo!$C$3:$C$869,tabItens[[#This Row],[CÓDIGO]],Consumo!$Z$3:$Z$869)</f>
        <v>336</v>
      </c>
      <c r="AU545" s="317">
        <f>SUMIF(Consumo!$C$3:$C$869,tabItens[[#This Row],[CÓDIGO]],Consumo!$AA$3:$AA$869)</f>
        <v>132</v>
      </c>
      <c r="AV545" s="318">
        <f>SUMIF(Consumo!$C$3:$C$869,tabItens[[#This Row],[CÓDIGO]],Consumo!$Y$3:$Y$869)</f>
        <v>27.833333333333332</v>
      </c>
      <c r="AW545" s="291">
        <f>tabItens[[#This Row],[QTDE ATUAL]] + tabItens[[#This Row],[RC QTDE]] + tabItens[[#This Row],[AF SALDO]] + tabItens[[#This Row],[Recentes]]</f>
        <v>1538</v>
      </c>
      <c r="AX545" s="319">
        <v>22</v>
      </c>
      <c r="AY545" s="319">
        <v>4</v>
      </c>
      <c r="AZ545" s="319">
        <f>IF(ISBLANK(tabItens[[#This Row],[CÓDIGO]]),"",tabItens[[#This Row],[PontoMês]] * (AZ$2+tabItens[[#This Row],[PontoQtM]]))</f>
        <v>88</v>
      </c>
      <c r="BA545" s="318">
        <f>tabItens[[#This Row],[PontoPed]] - tabItens[[#This Row],[Saldo]] + (1/10)</f>
        <v>-1449.9</v>
      </c>
      <c r="BB545" s="318">
        <f xml:space="preserve"> tabItens[[#This Row],[PontoMês]] * BB$2 - tabItens[[#This Row],[QTDE ATUAL]] - (1/10)</f>
        <v>-1516.1</v>
      </c>
      <c r="BC545" s="320">
        <f>IF( tabItens[[#This Row],[PontoPed]]&gt;0, IF(tabItens[[#This Row],[PontoPed]]&lt;1, 1, IF( tabItens[[#This Row],[Saldo]]&gt;tabItens[[#This Row],[PontoPed]], 0, (tabItens[[#This Row],[PontoPed]]-tabItens[[#This Row],[Saldo]])/tabItens[[#This Row],[PontoPed]] ) ), 0 )</f>
        <v>0</v>
      </c>
      <c r="BD545" s="321">
        <f>ROUNDDOWN(IF( OR( AND(tabItens[[#This Row],[PontoPed]]&lt;tabItens[[#This Row],[Saldo]],tabItens[[#This Row],[Saldo]]&gt;0), tabItens[[#This Row],[PontoPed]]=0), 99, IF(AND(tabItens[[#This Row],[Saldo]]=0,tabItens[[#This Row],[PontoPed]]&gt;0), 0, (1-tabItens[[#This Row],[PctAb]])*10 ) ),0)</f>
        <v>99</v>
      </c>
      <c r="BE545" s="322">
        <f>MAX(ROUNDDOWN( IF(tabItens[[#This Row],[Abaixo]] &gt; 0,   tabItens[[#This Row],[Abaixo]] + (tabItens[[#This Row],[PontoMês]] * IF( OR( ISBLANK(tabItens[[#This Row],[ATA Nº/ANO]]), tabItens[[#This Row],[ATA Nº/ANO]] = ""),BE$2,BE$1)),0),0),0)</f>
        <v>0</v>
      </c>
      <c r="BF54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23">
        <f>SUMIF(Consumo!$C$3:$C$869,tabItens[[#This Row],[CÓDIGO]],Consumo!$E$3:$E$869)</f>
        <v>0</v>
      </c>
      <c r="BH545" s="324">
        <f>IF(AND(tabItens[[#This Row],[Pend]] &gt; 0,tabItens[[#This Row],[Consumo]] &lt;&gt; 0), tabItens[[#This Row],[Pend]] / tabItens[[#This Row],[Consumo]], 0 )</f>
        <v>0</v>
      </c>
      <c r="BI545" s="323"/>
      <c r="BJ545" s="323"/>
      <c r="BK545" s="325" t="s">
        <v>2064</v>
      </c>
    </row>
    <row r="546" spans="1:63" x14ac:dyDescent="0.3">
      <c r="A546" s="396">
        <v>140052</v>
      </c>
      <c r="B546" s="397" t="s">
        <v>1995</v>
      </c>
      <c r="C546" s="398" t="s">
        <v>331</v>
      </c>
      <c r="D546" s="399">
        <v>13.2</v>
      </c>
      <c r="E546" s="290"/>
      <c r="F546" s="400"/>
      <c r="G546" s="400" t="s">
        <v>883</v>
      </c>
      <c r="H546" s="401">
        <v>0</v>
      </c>
      <c r="I546" s="292">
        <v>103003</v>
      </c>
      <c r="J546" s="293">
        <v>13.2</v>
      </c>
      <c r="K546" s="402">
        <v>2079</v>
      </c>
      <c r="L546" s="403">
        <f>IF(tabItens[[#This Row],[Média]] &gt; 0, tabItens[[#This Row],[QTDE ATUAL]] / tabItens[[#This Row],[Média]],999.9)</f>
        <v>0</v>
      </c>
      <c r="M546" s="404">
        <v>0</v>
      </c>
      <c r="N546" s="405">
        <f>tabItens[[#This Row],[VALOR UNIT.]] * tabItens[[#This Row],[LC]]</f>
        <v>0</v>
      </c>
      <c r="O546" s="406" t="s">
        <v>2184</v>
      </c>
      <c r="P546" s="407"/>
      <c r="Q546" s="408"/>
      <c r="R546" s="297"/>
      <c r="S546" s="409"/>
      <c r="T546" s="410">
        <f>ROUNDDOWN(IFERROR(tabItens[[#This Row],[ATA DT.VALID.]] - $D$1,0) / 30,0)</f>
        <v>-1504</v>
      </c>
      <c r="U546" s="287" t="s">
        <v>1666</v>
      </c>
      <c r="V546" s="303">
        <v>1</v>
      </c>
      <c r="W546" s="411" t="s">
        <v>2055</v>
      </c>
      <c r="X546" s="412">
        <v>55</v>
      </c>
      <c r="Y546" s="413">
        <v>19</v>
      </c>
      <c r="Z546" s="414">
        <v>2694</v>
      </c>
      <c r="AA546" s="415">
        <v>2023</v>
      </c>
      <c r="AB546" s="416">
        <v>1000</v>
      </c>
      <c r="AC546" s="416"/>
      <c r="AD546" s="415"/>
      <c r="AE546" s="416"/>
      <c r="AF546" s="302"/>
      <c r="AG546" s="417" t="s">
        <v>2050</v>
      </c>
      <c r="AH546" s="418"/>
      <c r="AI546" s="302">
        <v>694</v>
      </c>
      <c r="AJ546" s="418" t="s">
        <v>883</v>
      </c>
      <c r="AK546" s="311">
        <v>44096</v>
      </c>
      <c r="AL546" s="311">
        <v>44845</v>
      </c>
      <c r="AM546" s="301"/>
      <c r="AN546" s="290"/>
      <c r="AO546" s="312" t="str">
        <f>_xlfn.IFNA(IF(VLOOKUP(tabItens[[#This Row],[CÓDIGO]],tabExcluirDoEstoque[#Data],1,FALSE),"sim",""),"")</f>
        <v/>
      </c>
      <c r="AP546" s="419" t="str">
        <f ca="1">IF(OR(ISBLANK(tabItens[[#This Row],[ATA DT.VALID.]]),tabItens[[#This Row],[ATA DT.VALID.]]="",tabItens[[#This Row],[ATA DT.VALID.]]=" "),"",IF(TYPE(tabItens[[#This Row],[ATA DT.VALID.]])=1,ROUNDUP((tabItens[[#This Row],[ATA DT.VALID.]]-TODAY())/7,0),""))</f>
        <v/>
      </c>
      <c r="AQ546" s="314">
        <v>0</v>
      </c>
      <c r="AR546" s="315" t="str">
        <f>IF(ISBLANK(tabItens[[#This Row],[CÓDIGO]]),"",IFERROR(VLOOKUP(tabItens[[#This Row],[CÓDIGO]],Consumo!$C$2:$AC$869,26,FALSE),0))</f>
        <v>05.2023</v>
      </c>
      <c r="AS546" s="316">
        <f>SUMIF(Consumo!$C$3:$C$869,tabItens[[#This Row],[CÓDIGO]],Consumo!$N$3:$N$869) + SUMIF(Consumo!$C$3:$C$869,tabItens[[#This Row],[CÓDIGO]],Consumo!$O$3:$O$869) + SUMIF(Consumo!$C$3:$C$869,tabItens[[#This Row],[CÓDIGO]],Consumo!$P$3:$P$869) + SUMIF(Consumo!$C$3:$C$869,tabItens[[#This Row],[CÓDIGO]],Consumo!$Q$3:$Q$869)</f>
        <v>879</v>
      </c>
      <c r="AT546" s="316">
        <f>SUMIF(Consumo!$C$3:$C$869,tabItens[[#This Row],[CÓDIGO]],Consumo!$Z$3:$Z$869)</f>
        <v>2079</v>
      </c>
      <c r="AU546" s="317">
        <f>SUMIF(Consumo!$C$3:$C$869,tabItens[[#This Row],[CÓDIGO]],Consumo!$AA$3:$AA$869)</f>
        <v>879</v>
      </c>
      <c r="AV546" s="318">
        <f>SUMIF(Consumo!$C$3:$C$869,tabItens[[#This Row],[CÓDIGO]],Consumo!$Y$3:$Y$869)</f>
        <v>160</v>
      </c>
      <c r="AW546" s="401">
        <f>tabItens[[#This Row],[QTDE ATUAL]] + tabItens[[#This Row],[RC QTDE]] + tabItens[[#This Row],[AF SALDO]] + tabItens[[#This Row],[Recentes]]</f>
        <v>1000</v>
      </c>
      <c r="AX546" s="420">
        <v>99</v>
      </c>
      <c r="AY546" s="420">
        <v>4</v>
      </c>
      <c r="AZ546" s="420">
        <f>IF(ISBLANK(tabItens[[#This Row],[CÓDIGO]]),"",tabItens[[#This Row],[PontoMês]] * (AZ$2+tabItens[[#This Row],[PontoQtM]]))</f>
        <v>396</v>
      </c>
      <c r="BA546" s="421">
        <f>tabItens[[#This Row],[PontoPed]] - tabItens[[#This Row],[Saldo]] + (1/10)</f>
        <v>-603.9</v>
      </c>
      <c r="BB546" s="421">
        <f xml:space="preserve"> tabItens[[#This Row],[PontoMês]] * BB$2 - tabItens[[#This Row],[QTDE ATUAL]] - (1/10)</f>
        <v>98.9</v>
      </c>
      <c r="BC546" s="320">
        <f>IF( tabItens[[#This Row],[PontoPed]]&gt;0, IF(tabItens[[#This Row],[PontoPed]]&lt;1, 1, IF( tabItens[[#This Row],[Saldo]]&gt;tabItens[[#This Row],[PontoPed]], 0, (tabItens[[#This Row],[PontoPed]]-tabItens[[#This Row],[Saldo]])/tabItens[[#This Row],[PontoPed]] ) ), 0 )</f>
        <v>0</v>
      </c>
      <c r="BD546" s="422">
        <f>ROUNDDOWN(IF( OR( AND(tabItens[[#This Row],[PontoPed]]&lt;tabItens[[#This Row],[Saldo]],tabItens[[#This Row],[Saldo]]&gt;0), tabItens[[#This Row],[PontoPed]]=0), 99, IF(AND(tabItens[[#This Row],[Saldo]]=0,tabItens[[#This Row],[PontoPed]]&gt;0), 0, (1-tabItens[[#This Row],[PctAb]])*10 ) ),0)</f>
        <v>99</v>
      </c>
      <c r="BE546" s="423">
        <f>MAX(ROUNDDOWN( IF(tabItens[[#This Row],[Abaixo]] &gt; 0,   tabItens[[#This Row],[Abaixo]] + (tabItens[[#This Row],[PontoMês]] * IF( OR( ISBLANK(tabItens[[#This Row],[ATA Nº/ANO]]), tabItens[[#This Row],[ATA Nº/ANO]] = ""),BE$2,BE$1)),0),0),0)</f>
        <v>0</v>
      </c>
      <c r="BF54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23">
        <f>SUMIF(Consumo!$C$3:$C$869,tabItens[[#This Row],[CÓDIGO]],Consumo!$E$3:$E$869)</f>
        <v>0</v>
      </c>
      <c r="BH546" s="324">
        <f>IF(AND(tabItens[[#This Row],[Pend]] &gt; 0,tabItens[[#This Row],[Consumo]] &lt;&gt; 0), tabItens[[#This Row],[Pend]] / tabItens[[#This Row],[Consumo]], 0 )</f>
        <v>0</v>
      </c>
      <c r="BI546" s="323"/>
      <c r="BJ546" s="424"/>
      <c r="BK546" s="425" t="s">
        <v>2064</v>
      </c>
    </row>
    <row r="547" spans="1:63" x14ac:dyDescent="0.3">
      <c r="A547" s="396">
        <v>140053</v>
      </c>
      <c r="B547" s="397" t="s">
        <v>1996</v>
      </c>
      <c r="C547" s="398" t="s">
        <v>331</v>
      </c>
      <c r="D547" s="399">
        <v>17.87</v>
      </c>
      <c r="E547" s="290"/>
      <c r="F547" s="400"/>
      <c r="G547" s="400" t="s">
        <v>883</v>
      </c>
      <c r="H547" s="401">
        <v>0</v>
      </c>
      <c r="I547" s="292">
        <v>103003</v>
      </c>
      <c r="J547" s="293">
        <v>17.87</v>
      </c>
      <c r="K547" s="402">
        <v>827</v>
      </c>
      <c r="L547" s="403">
        <f>IF(tabItens[[#This Row],[Média]] &gt; 0, tabItens[[#This Row],[QTDE ATUAL]] / tabItens[[#This Row],[Média]],999.9)</f>
        <v>0</v>
      </c>
      <c r="M547" s="404">
        <v>0</v>
      </c>
      <c r="N547" s="405">
        <f>tabItens[[#This Row],[VALOR UNIT.]] * tabItens[[#This Row],[LC]]</f>
        <v>0</v>
      </c>
      <c r="O547" s="406" t="s">
        <v>2184</v>
      </c>
      <c r="P547" s="407"/>
      <c r="Q547" s="408"/>
      <c r="R547" s="297"/>
      <c r="S547" s="409"/>
      <c r="T547" s="410">
        <f>ROUNDDOWN(IFERROR(tabItens[[#This Row],[ATA DT.VALID.]] - $D$1,0) / 30,0)</f>
        <v>-1504</v>
      </c>
      <c r="U547" s="287" t="s">
        <v>1666</v>
      </c>
      <c r="V547" s="303">
        <v>1</v>
      </c>
      <c r="W547" s="411" t="s">
        <v>2055</v>
      </c>
      <c r="X547" s="412">
        <v>55</v>
      </c>
      <c r="Y547" s="413">
        <v>19</v>
      </c>
      <c r="Z547" s="414" t="s">
        <v>2062</v>
      </c>
      <c r="AA547" s="415">
        <v>2023</v>
      </c>
      <c r="AB547" s="416">
        <v>1200</v>
      </c>
      <c r="AC547" s="416"/>
      <c r="AD547" s="415"/>
      <c r="AE547" s="416"/>
      <c r="AF547" s="302"/>
      <c r="AG547" s="417" t="s">
        <v>2050</v>
      </c>
      <c r="AH547" s="418"/>
      <c r="AI547" s="302">
        <v>276</v>
      </c>
      <c r="AJ547" s="418">
        <v>45030</v>
      </c>
      <c r="AK547" s="311">
        <v>44096</v>
      </c>
      <c r="AL547" s="311">
        <v>44995</v>
      </c>
      <c r="AM547" s="301"/>
      <c r="AN547" s="290"/>
      <c r="AO547" s="312" t="str">
        <f>_xlfn.IFNA(IF(VLOOKUP(tabItens[[#This Row],[CÓDIGO]],tabExcluirDoEstoque[#Data],1,FALSE),"sim",""),"")</f>
        <v/>
      </c>
      <c r="AP547" s="419" t="str">
        <f ca="1">IF(OR(ISBLANK(tabItens[[#This Row],[ATA DT.VALID.]]),tabItens[[#This Row],[ATA DT.VALID.]]="",tabItens[[#This Row],[ATA DT.VALID.]]=" "),"",IF(TYPE(tabItens[[#This Row],[ATA DT.VALID.]])=1,ROUNDUP((tabItens[[#This Row],[ATA DT.VALID.]]-TODAY())/7,0),""))</f>
        <v/>
      </c>
      <c r="AQ547" s="314">
        <v>0</v>
      </c>
      <c r="AR547" s="315" t="str">
        <f>IF(ISBLANK(tabItens[[#This Row],[CÓDIGO]]),"",IFERROR(VLOOKUP(tabItens[[#This Row],[CÓDIGO]],Consumo!$C$2:$AC$869,26,FALSE),0))</f>
        <v>05.2023</v>
      </c>
      <c r="AS547" s="316">
        <f>SUMIF(Consumo!$C$3:$C$869,tabItens[[#This Row],[CÓDIGO]],Consumo!$N$3:$N$869) + SUMIF(Consumo!$C$3:$C$869,tabItens[[#This Row],[CÓDIGO]],Consumo!$O$3:$O$869) + SUMIF(Consumo!$C$3:$C$869,tabItens[[#This Row],[CÓDIGO]],Consumo!$P$3:$P$869) + SUMIF(Consumo!$C$3:$C$869,tabItens[[#This Row],[CÓDIGO]],Consumo!$Q$3:$Q$869)</f>
        <v>236</v>
      </c>
      <c r="AT547" s="316">
        <f>SUMIF(Consumo!$C$3:$C$869,tabItens[[#This Row],[CÓDIGO]],Consumo!$Z$3:$Z$869)</f>
        <v>891</v>
      </c>
      <c r="AU547" s="317">
        <f>SUMIF(Consumo!$C$3:$C$869,tabItens[[#This Row],[CÓDIGO]],Consumo!$AA$3:$AA$869)</f>
        <v>356</v>
      </c>
      <c r="AV547" s="318">
        <f>SUMIF(Consumo!$C$3:$C$869,tabItens[[#This Row],[CÓDIGO]],Consumo!$Y$3:$Y$869)</f>
        <v>69.583333333333329</v>
      </c>
      <c r="AW547" s="401">
        <f>tabItens[[#This Row],[QTDE ATUAL]] + tabItens[[#This Row],[RC QTDE]] + tabItens[[#This Row],[AF SALDO]] + tabItens[[#This Row],[Recentes]]</f>
        <v>1200</v>
      </c>
      <c r="AX547" s="420">
        <v>2</v>
      </c>
      <c r="AY547" s="420">
        <v>4</v>
      </c>
      <c r="AZ547" s="420">
        <f>IF(ISBLANK(tabItens[[#This Row],[CÓDIGO]]),"",tabItens[[#This Row],[PontoMês]] * (AZ$2+tabItens[[#This Row],[PontoQtM]]))</f>
        <v>8</v>
      </c>
      <c r="BA547" s="421">
        <f>tabItens[[#This Row],[PontoPed]] - tabItens[[#This Row],[Saldo]] + (1/10)</f>
        <v>-1191.9000000000001</v>
      </c>
      <c r="BB547" s="421">
        <f xml:space="preserve"> tabItens[[#This Row],[PontoMês]] * BB$2 - tabItens[[#This Row],[QTDE ATUAL]] - (1/10)</f>
        <v>1.9</v>
      </c>
      <c r="BC547" s="320">
        <f>IF( tabItens[[#This Row],[PontoPed]]&gt;0, IF(tabItens[[#This Row],[PontoPed]]&lt;1, 1, IF( tabItens[[#This Row],[Saldo]]&gt;tabItens[[#This Row],[PontoPed]], 0, (tabItens[[#This Row],[PontoPed]]-tabItens[[#This Row],[Saldo]])/tabItens[[#This Row],[PontoPed]] ) ), 0 )</f>
        <v>0</v>
      </c>
      <c r="BD547" s="422">
        <f>ROUNDDOWN(IF( OR( AND(tabItens[[#This Row],[PontoPed]]&lt;tabItens[[#This Row],[Saldo]],tabItens[[#This Row],[Saldo]]&gt;0), tabItens[[#This Row],[PontoPed]]=0), 99, IF(AND(tabItens[[#This Row],[Saldo]]=0,tabItens[[#This Row],[PontoPed]]&gt;0), 0, (1-tabItens[[#This Row],[PctAb]])*10 ) ),0)</f>
        <v>99</v>
      </c>
      <c r="BE547" s="423">
        <f>MAX(ROUNDDOWN( IF(tabItens[[#This Row],[Abaixo]] &gt; 0,   tabItens[[#This Row],[Abaixo]] + (tabItens[[#This Row],[PontoMês]] * IF( OR( ISBLANK(tabItens[[#This Row],[ATA Nº/ANO]]), tabItens[[#This Row],[ATA Nº/ANO]] = ""),BE$2,BE$1)),0),0),0)</f>
        <v>0</v>
      </c>
      <c r="BF54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23">
        <f>SUMIF(Consumo!$C$3:$C$869,tabItens[[#This Row],[CÓDIGO]],Consumo!$E$3:$E$869)</f>
        <v>64</v>
      </c>
      <c r="BH547" s="324">
        <f>IF(AND(tabItens[[#This Row],[Pend]] &gt; 0,tabItens[[#This Row],[Consumo]] &lt;&gt; 0), tabItens[[#This Row],[Pend]] / tabItens[[#This Row],[Consumo]], 0 )</f>
        <v>7.1829405162738502E-2</v>
      </c>
      <c r="BI547" s="323"/>
      <c r="BJ547" s="424"/>
      <c r="BK547" s="425" t="s">
        <v>2064</v>
      </c>
    </row>
    <row r="548" spans="1:63" hidden="1" x14ac:dyDescent="0.3">
      <c r="A548" s="286">
        <v>140054</v>
      </c>
      <c r="B548" s="287" t="s">
        <v>1997</v>
      </c>
      <c r="C548" s="288" t="s">
        <v>331</v>
      </c>
      <c r="D548" s="289">
        <v>19.7</v>
      </c>
      <c r="E548" s="290"/>
      <c r="F548" s="290"/>
      <c r="G548" s="290" t="s">
        <v>883</v>
      </c>
      <c r="H548" s="291">
        <v>947</v>
      </c>
      <c r="I548" s="292">
        <v>103003</v>
      </c>
      <c r="J548" s="293">
        <v>19.7</v>
      </c>
      <c r="K548" s="294">
        <v>400</v>
      </c>
      <c r="L548" s="295">
        <f>IF(tabItens[[#This Row],[Média]] &gt; 0, tabItens[[#This Row],[QTDE ATUAL]] / tabItens[[#This Row],[Média]],999.9)</f>
        <v>37.754152823920265</v>
      </c>
      <c r="M548" s="296">
        <v>0</v>
      </c>
      <c r="N548" s="297">
        <f>tabItens[[#This Row],[VALOR UNIT.]] * tabItens[[#This Row],[LC]]</f>
        <v>0</v>
      </c>
      <c r="O548" s="298" t="s">
        <v>2184</v>
      </c>
      <c r="P548" s="299"/>
      <c r="Q548" s="300"/>
      <c r="R548" s="297"/>
      <c r="S548" s="301"/>
      <c r="T548" s="302">
        <f>ROUNDDOWN(IFERROR(tabItens[[#This Row],[ATA DT.VALID.]] - $D$1,0) / 30,0)</f>
        <v>-1504</v>
      </c>
      <c r="U548" s="287" t="s">
        <v>1666</v>
      </c>
      <c r="V548" s="303">
        <v>1</v>
      </c>
      <c r="W548" s="304" t="s">
        <v>2055</v>
      </c>
      <c r="X548" s="305">
        <v>55</v>
      </c>
      <c r="Y548" s="306">
        <v>19</v>
      </c>
      <c r="Z548" s="307"/>
      <c r="AA548" s="308"/>
      <c r="AB548" s="309"/>
      <c r="AC548" s="309"/>
      <c r="AD548" s="308"/>
      <c r="AE548" s="309"/>
      <c r="AF548" s="302"/>
      <c r="AG548" s="310" t="s">
        <v>2050</v>
      </c>
      <c r="AH548" s="311"/>
      <c r="AI548" s="302">
        <v>134</v>
      </c>
      <c r="AJ548" s="311">
        <v>44875</v>
      </c>
      <c r="AK548" s="311">
        <v>44096</v>
      </c>
      <c r="AL548" s="311">
        <v>44845</v>
      </c>
      <c r="AM548" s="301"/>
      <c r="AN548" s="290"/>
      <c r="AO548" s="312" t="str">
        <f>_xlfn.IFNA(IF(VLOOKUP(tabItens[[#This Row],[CÓDIGO]],tabExcluirDoEstoque[#Data],1,FALSE),"sim",""),"")</f>
        <v/>
      </c>
      <c r="AP548" s="313" t="str">
        <f ca="1">IF(OR(ISBLANK(tabItens[[#This Row],[ATA DT.VALID.]]),tabItens[[#This Row],[ATA DT.VALID.]]="",tabItens[[#This Row],[ATA DT.VALID.]]=" "),"",IF(TYPE(tabItens[[#This Row],[ATA DT.VALID.]])=1,ROUNDUP((tabItens[[#This Row],[ATA DT.VALID.]]-TODAY())/7,0),""))</f>
        <v/>
      </c>
      <c r="AQ548" s="314">
        <v>0</v>
      </c>
      <c r="AR548" s="315" t="str">
        <f>IF(ISBLANK(tabItens[[#This Row],[CÓDIGO]]),"",IFERROR(VLOOKUP(tabItens[[#This Row],[CÓDIGO]],Consumo!$C$2:$AC$869,26,FALSE),0))</f>
        <v>06.2023</v>
      </c>
      <c r="AS548" s="316">
        <f>SUMIF(Consumo!$C$3:$C$869,tabItens[[#This Row],[CÓDIGO]],Consumo!$N$3:$N$869) + SUMIF(Consumo!$C$3:$C$869,tabItens[[#This Row],[CÓDIGO]],Consumo!$O$3:$O$869) + SUMIF(Consumo!$C$3:$C$869,tabItens[[#This Row],[CÓDIGO]],Consumo!$P$3:$P$869) + SUMIF(Consumo!$C$3:$C$869,tabItens[[#This Row],[CÓDIGO]],Consumo!$Q$3:$Q$869)</f>
        <v>360</v>
      </c>
      <c r="AT548" s="316">
        <f>SUMIF(Consumo!$C$3:$C$869,tabItens[[#This Row],[CÓDIGO]],Consumo!$Z$3:$Z$869)</f>
        <v>400</v>
      </c>
      <c r="AU548" s="317">
        <f>SUMIF(Consumo!$C$3:$C$869,tabItens[[#This Row],[CÓDIGO]],Consumo!$AA$3:$AA$869)</f>
        <v>307</v>
      </c>
      <c r="AV548" s="318">
        <f>SUMIF(Consumo!$C$3:$C$869,tabItens[[#This Row],[CÓDIGO]],Consumo!$Y$3:$Y$869)</f>
        <v>25.083333333333332</v>
      </c>
      <c r="AW548" s="291">
        <f>tabItens[[#This Row],[QTDE ATUAL]] + tabItens[[#This Row],[RC QTDE]] + tabItens[[#This Row],[AF SALDO]] + tabItens[[#This Row],[Recentes]]</f>
        <v>947</v>
      </c>
      <c r="AX548" s="319">
        <v>29</v>
      </c>
      <c r="AY548" s="319">
        <v>4</v>
      </c>
      <c r="AZ548" s="319">
        <f>IF(ISBLANK(tabItens[[#This Row],[CÓDIGO]]),"",tabItens[[#This Row],[PontoMês]] * (AZ$2+tabItens[[#This Row],[PontoQtM]]))</f>
        <v>116</v>
      </c>
      <c r="BA548" s="318">
        <f>tabItens[[#This Row],[PontoPed]] - tabItens[[#This Row],[Saldo]] + (1/10)</f>
        <v>-830.9</v>
      </c>
      <c r="BB548" s="318">
        <f xml:space="preserve"> tabItens[[#This Row],[PontoMês]] * BB$2 - tabItens[[#This Row],[QTDE ATUAL]] - (1/10)</f>
        <v>-918.1</v>
      </c>
      <c r="BC548" s="320">
        <f>IF( tabItens[[#This Row],[PontoPed]]&gt;0, IF(tabItens[[#This Row],[PontoPed]]&lt;1, 1, IF( tabItens[[#This Row],[Saldo]]&gt;tabItens[[#This Row],[PontoPed]], 0, (tabItens[[#This Row],[PontoPed]]-tabItens[[#This Row],[Saldo]])/tabItens[[#This Row],[PontoPed]] ) ), 0 )</f>
        <v>0</v>
      </c>
      <c r="BD548" s="321">
        <f>ROUNDDOWN(IF( OR( AND(tabItens[[#This Row],[PontoPed]]&lt;tabItens[[#This Row],[Saldo]],tabItens[[#This Row],[Saldo]]&gt;0), tabItens[[#This Row],[PontoPed]]=0), 99, IF(AND(tabItens[[#This Row],[Saldo]]=0,tabItens[[#This Row],[PontoPed]]&gt;0), 0, (1-tabItens[[#This Row],[PctAb]])*10 ) ),0)</f>
        <v>99</v>
      </c>
      <c r="BE548" s="322">
        <f>MAX(ROUNDDOWN( IF(tabItens[[#This Row],[Abaixo]] &gt; 0,   tabItens[[#This Row],[Abaixo]] + (tabItens[[#This Row],[PontoMês]] * IF( OR( ISBLANK(tabItens[[#This Row],[ATA Nº/ANO]]), tabItens[[#This Row],[ATA Nº/ANO]] = ""),BE$2,BE$1)),0),0),0)</f>
        <v>0</v>
      </c>
      <c r="BF54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23">
        <f>SUMIF(Consumo!$C$3:$C$869,tabItens[[#This Row],[CÓDIGO]],Consumo!$E$3:$E$869)</f>
        <v>0</v>
      </c>
      <c r="BH548" s="324">
        <f>IF(AND(tabItens[[#This Row],[Pend]] &gt; 0,tabItens[[#This Row],[Consumo]] &lt;&gt; 0), tabItens[[#This Row],[Pend]] / tabItens[[#This Row],[Consumo]], 0 )</f>
        <v>0</v>
      </c>
      <c r="BI548" s="323"/>
      <c r="BJ548" s="323"/>
      <c r="BK548" s="325" t="s">
        <v>2064</v>
      </c>
    </row>
    <row r="549" spans="1:63" hidden="1" x14ac:dyDescent="0.3">
      <c r="A549" s="286">
        <v>140055</v>
      </c>
      <c r="B549" s="287" t="s">
        <v>1998</v>
      </c>
      <c r="C549" s="288" t="s">
        <v>331</v>
      </c>
      <c r="D549" s="289">
        <v>19.8</v>
      </c>
      <c r="E549" s="290"/>
      <c r="F549" s="290"/>
      <c r="G549" s="290" t="s">
        <v>883</v>
      </c>
      <c r="H549" s="291">
        <v>5880</v>
      </c>
      <c r="I549" s="292">
        <v>103003</v>
      </c>
      <c r="J549" s="293">
        <v>19.8</v>
      </c>
      <c r="K549" s="294">
        <v>169</v>
      </c>
      <c r="L549" s="295">
        <f>IF(tabItens[[#This Row],[Média]] &gt; 0, tabItens[[#This Row],[QTDE ATUAL]] / tabItens[[#This Row],[Média]],999.9)</f>
        <v>592.94117647058829</v>
      </c>
      <c r="M549" s="296">
        <v>0</v>
      </c>
      <c r="N549" s="297">
        <f>tabItens[[#This Row],[VALOR UNIT.]] * tabItens[[#This Row],[LC]]</f>
        <v>0</v>
      </c>
      <c r="O549" s="298" t="s">
        <v>2184</v>
      </c>
      <c r="P549" s="299"/>
      <c r="Q549" s="300"/>
      <c r="R549" s="297"/>
      <c r="S549" s="301"/>
      <c r="T549" s="302">
        <f>ROUNDDOWN(IFERROR(tabItens[[#This Row],[ATA DT.VALID.]] - $D$1,0) / 30,0)</f>
        <v>-1504</v>
      </c>
      <c r="U549" s="287" t="s">
        <v>1666</v>
      </c>
      <c r="V549" s="303">
        <v>1</v>
      </c>
      <c r="W549" s="304" t="s">
        <v>2055</v>
      </c>
      <c r="X549" s="305">
        <v>55</v>
      </c>
      <c r="Y549" s="306">
        <v>19</v>
      </c>
      <c r="Z549" s="307"/>
      <c r="AA549" s="308"/>
      <c r="AB549" s="309"/>
      <c r="AC549" s="309"/>
      <c r="AD549" s="308"/>
      <c r="AE549" s="309"/>
      <c r="AF549" s="302"/>
      <c r="AG549" s="310" t="s">
        <v>2050</v>
      </c>
      <c r="AH549" s="311"/>
      <c r="AI549" s="302">
        <v>56</v>
      </c>
      <c r="AJ549" s="311" t="s">
        <v>883</v>
      </c>
      <c r="AK549" s="311">
        <v>44096</v>
      </c>
      <c r="AL549" s="311">
        <v>44845</v>
      </c>
      <c r="AM549" s="301"/>
      <c r="AN549" s="290"/>
      <c r="AO549" s="312" t="str">
        <f>_xlfn.IFNA(IF(VLOOKUP(tabItens[[#This Row],[CÓDIGO]],tabExcluirDoEstoque[#Data],1,FALSE),"sim",""),"")</f>
        <v/>
      </c>
      <c r="AP549" s="313" t="str">
        <f ca="1">IF(OR(ISBLANK(tabItens[[#This Row],[ATA DT.VALID.]]),tabItens[[#This Row],[ATA DT.VALID.]]="",tabItens[[#This Row],[ATA DT.VALID.]]=" "),"",IF(TYPE(tabItens[[#This Row],[ATA DT.VALID.]])=1,ROUNDUP((tabItens[[#This Row],[ATA DT.VALID.]]-TODAY())/7,0),""))</f>
        <v/>
      </c>
      <c r="AQ549" s="314">
        <v>0</v>
      </c>
      <c r="AR549" s="315" t="str">
        <f>IF(ISBLANK(tabItens[[#This Row],[CÓDIGO]]),"",IFERROR(VLOOKUP(tabItens[[#This Row],[CÓDIGO]],Consumo!$C$2:$AC$869,26,FALSE),0))</f>
        <v>01.2023</v>
      </c>
      <c r="AS549" s="316">
        <f>SUMIF(Consumo!$C$3:$C$869,tabItens[[#This Row],[CÓDIGO]],Consumo!$N$3:$N$869) + SUMIF(Consumo!$C$3:$C$869,tabItens[[#This Row],[CÓDIGO]],Consumo!$O$3:$O$869) + SUMIF(Consumo!$C$3:$C$869,tabItens[[#This Row],[CÓDIGO]],Consumo!$P$3:$P$869) + SUMIF(Consumo!$C$3:$C$869,tabItens[[#This Row],[CÓDIGO]],Consumo!$Q$3:$Q$869)</f>
        <v>0</v>
      </c>
      <c r="AT549" s="316">
        <f>SUMIF(Consumo!$C$3:$C$869,tabItens[[#This Row],[CÓDIGO]],Consumo!$Z$3:$Z$869)</f>
        <v>169</v>
      </c>
      <c r="AU549" s="317">
        <f>SUMIF(Consumo!$C$3:$C$869,tabItens[[#This Row],[CÓDIGO]],Consumo!$AA$3:$AA$869)</f>
        <v>150</v>
      </c>
      <c r="AV549" s="318">
        <f>SUMIF(Consumo!$C$3:$C$869,tabItens[[#This Row],[CÓDIGO]],Consumo!$Y$3:$Y$869)</f>
        <v>9.9166666666666661</v>
      </c>
      <c r="AW549" s="291">
        <f>tabItens[[#This Row],[QTDE ATUAL]] + tabItens[[#This Row],[RC QTDE]] + tabItens[[#This Row],[AF SALDO]] + tabItens[[#This Row],[Recentes]]</f>
        <v>5880</v>
      </c>
      <c r="AX549" s="319">
        <v>42</v>
      </c>
      <c r="AY549" s="319">
        <v>4</v>
      </c>
      <c r="AZ549" s="319">
        <f>IF(ISBLANK(tabItens[[#This Row],[CÓDIGO]]),"",tabItens[[#This Row],[PontoMês]] * (AZ$2+tabItens[[#This Row],[PontoQtM]]))</f>
        <v>168</v>
      </c>
      <c r="BA549" s="318">
        <f>tabItens[[#This Row],[PontoPed]] - tabItens[[#This Row],[Saldo]] + (1/10)</f>
        <v>-5711.9</v>
      </c>
      <c r="BB549" s="318">
        <f xml:space="preserve"> tabItens[[#This Row],[PontoMês]] * BB$2 - tabItens[[#This Row],[QTDE ATUAL]] - (1/10)</f>
        <v>-5838.1</v>
      </c>
      <c r="BC549" s="320">
        <f>IF( tabItens[[#This Row],[PontoPed]]&gt;0, IF(tabItens[[#This Row],[PontoPed]]&lt;1, 1, IF( tabItens[[#This Row],[Saldo]]&gt;tabItens[[#This Row],[PontoPed]], 0, (tabItens[[#This Row],[PontoPed]]-tabItens[[#This Row],[Saldo]])/tabItens[[#This Row],[PontoPed]] ) ), 0 )</f>
        <v>0</v>
      </c>
      <c r="BD549" s="321">
        <f>ROUNDDOWN(IF( OR( AND(tabItens[[#This Row],[PontoPed]]&lt;tabItens[[#This Row],[Saldo]],tabItens[[#This Row],[Saldo]]&gt;0), tabItens[[#This Row],[PontoPed]]=0), 99, IF(AND(tabItens[[#This Row],[Saldo]]=0,tabItens[[#This Row],[PontoPed]]&gt;0), 0, (1-tabItens[[#This Row],[PctAb]])*10 ) ),0)</f>
        <v>99</v>
      </c>
      <c r="BE549" s="322">
        <f>MAX(ROUNDDOWN( IF(tabItens[[#This Row],[Abaixo]] &gt; 0,   tabItens[[#This Row],[Abaixo]] + (tabItens[[#This Row],[PontoMês]] * IF( OR( ISBLANK(tabItens[[#This Row],[ATA Nº/ANO]]), tabItens[[#This Row],[ATA Nº/ANO]] = ""),BE$2,BE$1)),0),0),0)</f>
        <v>0</v>
      </c>
      <c r="BF54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23">
        <f>SUMIF(Consumo!$C$3:$C$869,tabItens[[#This Row],[CÓDIGO]],Consumo!$E$3:$E$869)</f>
        <v>0</v>
      </c>
      <c r="BH549" s="324">
        <f>IF(AND(tabItens[[#This Row],[Pend]] &gt; 0,tabItens[[#This Row],[Consumo]] &lt;&gt; 0), tabItens[[#This Row],[Pend]] / tabItens[[#This Row],[Consumo]], 0 )</f>
        <v>0</v>
      </c>
      <c r="BI549" s="323"/>
      <c r="BJ549" s="323"/>
      <c r="BK549" s="325" t="s">
        <v>2064</v>
      </c>
    </row>
    <row r="550" spans="1:63" hidden="1" x14ac:dyDescent="0.3">
      <c r="A550" s="286">
        <v>140056</v>
      </c>
      <c r="B550" s="287" t="s">
        <v>1999</v>
      </c>
      <c r="C550" s="288" t="s">
        <v>331</v>
      </c>
      <c r="D550" s="289">
        <v>19.7</v>
      </c>
      <c r="E550" s="290"/>
      <c r="F550" s="290"/>
      <c r="G550" s="290" t="s">
        <v>883</v>
      </c>
      <c r="H550" s="291">
        <v>1675</v>
      </c>
      <c r="I550" s="292">
        <v>103003</v>
      </c>
      <c r="J550" s="293">
        <v>19.7</v>
      </c>
      <c r="K550" s="294">
        <v>35</v>
      </c>
      <c r="L550" s="295">
        <f>IF(tabItens[[#This Row],[Média]] &gt; 0, tabItens[[#This Row],[QTDE ATUAL]] / tabItens[[#This Row],[Média]],999.9)</f>
        <v>803.99999999999989</v>
      </c>
      <c r="M550" s="296">
        <v>0</v>
      </c>
      <c r="N550" s="297">
        <f>tabItens[[#This Row],[VALOR UNIT.]] * tabItens[[#This Row],[LC]]</f>
        <v>0</v>
      </c>
      <c r="O550" s="298" t="s">
        <v>2184</v>
      </c>
      <c r="P550" s="299"/>
      <c r="Q550" s="300"/>
      <c r="R550" s="297"/>
      <c r="S550" s="301"/>
      <c r="T550" s="302">
        <f>ROUNDDOWN(IFERROR(tabItens[[#This Row],[ATA DT.VALID.]] - $D$1,0) / 30,0)</f>
        <v>-1504</v>
      </c>
      <c r="U550" s="287" t="s">
        <v>1666</v>
      </c>
      <c r="V550" s="303">
        <v>1</v>
      </c>
      <c r="W550" s="304" t="s">
        <v>2055</v>
      </c>
      <c r="X550" s="305">
        <v>55</v>
      </c>
      <c r="Y550" s="306">
        <v>19</v>
      </c>
      <c r="Z550" s="307"/>
      <c r="AA550" s="308"/>
      <c r="AB550" s="309"/>
      <c r="AC550" s="309"/>
      <c r="AD550" s="308"/>
      <c r="AE550" s="309"/>
      <c r="AF550" s="302"/>
      <c r="AG550" s="310" t="s">
        <v>2050</v>
      </c>
      <c r="AH550" s="311"/>
      <c r="AI550" s="302">
        <v>12</v>
      </c>
      <c r="AJ550" s="311">
        <v>44876</v>
      </c>
      <c r="AK550" s="311">
        <v>44096</v>
      </c>
      <c r="AL550" s="311">
        <v>44845</v>
      </c>
      <c r="AM550" s="301"/>
      <c r="AN550" s="290"/>
      <c r="AO550" s="312" t="str">
        <f>_xlfn.IFNA(IF(VLOOKUP(tabItens[[#This Row],[CÓDIGO]],tabExcluirDoEstoque[#Data],1,FALSE),"sim",""),"")</f>
        <v/>
      </c>
      <c r="AP550" s="313" t="str">
        <f ca="1">IF(OR(ISBLANK(tabItens[[#This Row],[ATA DT.VALID.]]),tabItens[[#This Row],[ATA DT.VALID.]]="",tabItens[[#This Row],[ATA DT.VALID.]]=" "),"",IF(TYPE(tabItens[[#This Row],[ATA DT.VALID.]])=1,ROUNDUP((tabItens[[#This Row],[ATA DT.VALID.]]-TODAY())/7,0),""))</f>
        <v/>
      </c>
      <c r="AQ550" s="314">
        <v>0</v>
      </c>
      <c r="AR550" s="315" t="str">
        <f>IF(ISBLANK(tabItens[[#This Row],[CÓDIGO]]),"",IFERROR(VLOOKUP(tabItens[[#This Row],[CÓDIGO]],Consumo!$C$2:$AC$869,26,FALSE),0))</f>
        <v>06.2023</v>
      </c>
      <c r="AS550" s="316">
        <f>SUMIF(Consumo!$C$3:$C$869,tabItens[[#This Row],[CÓDIGO]],Consumo!$N$3:$N$869) + SUMIF(Consumo!$C$3:$C$869,tabItens[[#This Row],[CÓDIGO]],Consumo!$O$3:$O$869) + SUMIF(Consumo!$C$3:$C$869,tabItens[[#This Row],[CÓDIGO]],Consumo!$P$3:$P$869) + SUMIF(Consumo!$C$3:$C$869,tabItens[[#This Row],[CÓDIGO]],Consumo!$Q$3:$Q$869)</f>
        <v>5</v>
      </c>
      <c r="AT550" s="316">
        <f>SUMIF(Consumo!$C$3:$C$869,tabItens[[#This Row],[CÓDIGO]],Consumo!$Z$3:$Z$869)</f>
        <v>35</v>
      </c>
      <c r="AU550" s="317">
        <f>SUMIF(Consumo!$C$3:$C$869,tabItens[[#This Row],[CÓDIGO]],Consumo!$AA$3:$AA$869)</f>
        <v>30</v>
      </c>
      <c r="AV550" s="318">
        <f>SUMIF(Consumo!$C$3:$C$869,tabItens[[#This Row],[CÓDIGO]],Consumo!$Y$3:$Y$869)</f>
        <v>2.0833333333333335</v>
      </c>
      <c r="AW550" s="291">
        <f>tabItens[[#This Row],[QTDE ATUAL]] + tabItens[[#This Row],[RC QTDE]] + tabItens[[#This Row],[AF SALDO]] + tabItens[[#This Row],[Recentes]]</f>
        <v>1675</v>
      </c>
      <c r="AX550" s="319">
        <v>22</v>
      </c>
      <c r="AY550" s="319">
        <v>4</v>
      </c>
      <c r="AZ550" s="319">
        <f>IF(ISBLANK(tabItens[[#This Row],[CÓDIGO]]),"",tabItens[[#This Row],[PontoMês]] * (AZ$2+tabItens[[#This Row],[PontoQtM]]))</f>
        <v>88</v>
      </c>
      <c r="BA550" s="318">
        <f>tabItens[[#This Row],[PontoPed]] - tabItens[[#This Row],[Saldo]] + (1/10)</f>
        <v>-1586.9</v>
      </c>
      <c r="BB550" s="318">
        <f xml:space="preserve"> tabItens[[#This Row],[PontoMês]] * BB$2 - tabItens[[#This Row],[QTDE ATUAL]] - (1/10)</f>
        <v>-1653.1</v>
      </c>
      <c r="BC550" s="320">
        <f>IF( tabItens[[#This Row],[PontoPed]]&gt;0, IF(tabItens[[#This Row],[PontoPed]]&lt;1, 1, IF( tabItens[[#This Row],[Saldo]]&gt;tabItens[[#This Row],[PontoPed]], 0, (tabItens[[#This Row],[PontoPed]]-tabItens[[#This Row],[Saldo]])/tabItens[[#This Row],[PontoPed]] ) ), 0 )</f>
        <v>0</v>
      </c>
      <c r="BD550" s="321">
        <f>ROUNDDOWN(IF( OR( AND(tabItens[[#This Row],[PontoPed]]&lt;tabItens[[#This Row],[Saldo]],tabItens[[#This Row],[Saldo]]&gt;0), tabItens[[#This Row],[PontoPed]]=0), 99, IF(AND(tabItens[[#This Row],[Saldo]]=0,tabItens[[#This Row],[PontoPed]]&gt;0), 0, (1-tabItens[[#This Row],[PctAb]])*10 ) ),0)</f>
        <v>99</v>
      </c>
      <c r="BE550" s="322">
        <f>MAX(ROUNDDOWN( IF(tabItens[[#This Row],[Abaixo]] &gt; 0,   tabItens[[#This Row],[Abaixo]] + (tabItens[[#This Row],[PontoMês]] * IF( OR( ISBLANK(tabItens[[#This Row],[ATA Nº/ANO]]), tabItens[[#This Row],[ATA Nº/ANO]] = ""),BE$2,BE$1)),0),0),0)</f>
        <v>0</v>
      </c>
      <c r="BF55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23">
        <f>SUMIF(Consumo!$C$3:$C$869,tabItens[[#This Row],[CÓDIGO]],Consumo!$E$3:$E$869)</f>
        <v>0</v>
      </c>
      <c r="BH550" s="324">
        <f>IF(AND(tabItens[[#This Row],[Pend]] &gt; 0,tabItens[[#This Row],[Consumo]] &lt;&gt; 0), tabItens[[#This Row],[Pend]] / tabItens[[#This Row],[Consumo]], 0 )</f>
        <v>0</v>
      </c>
      <c r="BI550" s="323"/>
      <c r="BJ550" s="323"/>
      <c r="BK550" s="325" t="s">
        <v>2064</v>
      </c>
    </row>
    <row r="551" spans="1:63" hidden="1" x14ac:dyDescent="0.3">
      <c r="A551" s="286">
        <v>140057</v>
      </c>
      <c r="B551" s="287" t="s">
        <v>2000</v>
      </c>
      <c r="C551" s="288" t="s">
        <v>331</v>
      </c>
      <c r="D551" s="289">
        <v>24.4</v>
      </c>
      <c r="E551" s="290"/>
      <c r="F551" s="290"/>
      <c r="G551" s="290" t="s">
        <v>883</v>
      </c>
      <c r="H551" s="291">
        <v>974</v>
      </c>
      <c r="I551" s="292">
        <v>103003</v>
      </c>
      <c r="J551" s="293">
        <v>24.4</v>
      </c>
      <c r="K551" s="294">
        <v>1760</v>
      </c>
      <c r="L551" s="295">
        <f>IF(tabItens[[#This Row],[Média]] &gt; 0, tabItens[[#This Row],[QTDE ATUAL]] / tabItens[[#This Row],[Média]],999.9)</f>
        <v>7.7301587301587302</v>
      </c>
      <c r="M551" s="296">
        <v>0</v>
      </c>
      <c r="N551" s="297">
        <f>tabItens[[#This Row],[VALOR UNIT.]] * tabItens[[#This Row],[LC]]</f>
        <v>0</v>
      </c>
      <c r="O551" s="298" t="s">
        <v>2184</v>
      </c>
      <c r="P551" s="299"/>
      <c r="Q551" s="300"/>
      <c r="R551" s="297"/>
      <c r="S551" s="301"/>
      <c r="T551" s="302">
        <f>ROUNDDOWN(IFERROR(tabItens[[#This Row],[ATA DT.VALID.]] - $D$1,0) / 30,0)</f>
        <v>-1504</v>
      </c>
      <c r="U551" s="287" t="s">
        <v>1666</v>
      </c>
      <c r="V551" s="303">
        <v>1</v>
      </c>
      <c r="W551" s="304" t="s">
        <v>2055</v>
      </c>
      <c r="X551" s="305">
        <v>55</v>
      </c>
      <c r="Y551" s="306">
        <v>19</v>
      </c>
      <c r="Z551" s="307"/>
      <c r="AA551" s="308"/>
      <c r="AB551" s="309"/>
      <c r="AC551" s="309"/>
      <c r="AD551" s="308"/>
      <c r="AE551" s="309"/>
      <c r="AF551" s="302"/>
      <c r="AG551" s="310" t="s">
        <v>2050</v>
      </c>
      <c r="AH551" s="311"/>
      <c r="AI551" s="302">
        <v>586</v>
      </c>
      <c r="AJ551" s="311">
        <v>44876</v>
      </c>
      <c r="AK551" s="311">
        <v>44096</v>
      </c>
      <c r="AL551" s="311">
        <v>44845</v>
      </c>
      <c r="AM551" s="301"/>
      <c r="AN551" s="290"/>
      <c r="AO551" s="312" t="str">
        <f>_xlfn.IFNA(IF(VLOOKUP(tabItens[[#This Row],[CÓDIGO]],tabExcluirDoEstoque[#Data],1,FALSE),"sim",""),"")</f>
        <v/>
      </c>
      <c r="AP551" s="313" t="str">
        <f ca="1">IF(OR(ISBLANK(tabItens[[#This Row],[ATA DT.VALID.]]),tabItens[[#This Row],[ATA DT.VALID.]]="",tabItens[[#This Row],[ATA DT.VALID.]]=" "),"",IF(TYPE(tabItens[[#This Row],[ATA DT.VALID.]])=1,ROUNDUP((tabItens[[#This Row],[ATA DT.VALID.]]-TODAY())/7,0),""))</f>
        <v/>
      </c>
      <c r="AQ551" s="314">
        <v>0</v>
      </c>
      <c r="AR551" s="315" t="str">
        <f>IF(ISBLANK(tabItens[[#This Row],[CÓDIGO]]),"",IFERROR(VLOOKUP(tabItens[[#This Row],[CÓDIGO]],Consumo!$C$2:$AC$869,26,FALSE),0))</f>
        <v>06.2023</v>
      </c>
      <c r="AS551" s="316">
        <f>SUMIF(Consumo!$C$3:$C$869,tabItens[[#This Row],[CÓDIGO]],Consumo!$N$3:$N$869) + SUMIF(Consumo!$C$3:$C$869,tabItens[[#This Row],[CÓDIGO]],Consumo!$O$3:$O$869) + SUMIF(Consumo!$C$3:$C$869,tabItens[[#This Row],[CÓDIGO]],Consumo!$P$3:$P$869) + SUMIF(Consumo!$C$3:$C$869,tabItens[[#This Row],[CÓDIGO]],Consumo!$Q$3:$Q$869)</f>
        <v>1120</v>
      </c>
      <c r="AT551" s="316">
        <f>SUMIF(Consumo!$C$3:$C$869,tabItens[[#This Row],[CÓDIGO]],Consumo!$Z$3:$Z$869)</f>
        <v>1760</v>
      </c>
      <c r="AU551" s="317">
        <f>SUMIF(Consumo!$C$3:$C$869,tabItens[[#This Row],[CÓDIGO]],Consumo!$AA$3:$AA$869)</f>
        <v>1000</v>
      </c>
      <c r="AV551" s="318">
        <f>SUMIF(Consumo!$C$3:$C$869,tabItens[[#This Row],[CÓDIGO]],Consumo!$Y$3:$Y$869)</f>
        <v>126</v>
      </c>
      <c r="AW551" s="291">
        <f>tabItens[[#This Row],[QTDE ATUAL]] + tabItens[[#This Row],[RC QTDE]] + tabItens[[#This Row],[AF SALDO]] + tabItens[[#This Row],[Recentes]]</f>
        <v>974</v>
      </c>
      <c r="AX551" s="319">
        <v>2</v>
      </c>
      <c r="AY551" s="319">
        <v>4</v>
      </c>
      <c r="AZ551" s="319">
        <f>IF(ISBLANK(tabItens[[#This Row],[CÓDIGO]]),"",tabItens[[#This Row],[PontoMês]] * (AZ$2+tabItens[[#This Row],[PontoQtM]]))</f>
        <v>8</v>
      </c>
      <c r="BA551" s="318">
        <f>tabItens[[#This Row],[PontoPed]] - tabItens[[#This Row],[Saldo]] + (1/10)</f>
        <v>-965.9</v>
      </c>
      <c r="BB551" s="318">
        <f xml:space="preserve"> tabItens[[#This Row],[PontoMês]] * BB$2 - tabItens[[#This Row],[QTDE ATUAL]] - (1/10)</f>
        <v>-972.1</v>
      </c>
      <c r="BC551" s="320">
        <f>IF( tabItens[[#This Row],[PontoPed]]&gt;0, IF(tabItens[[#This Row],[PontoPed]]&lt;1, 1, IF( tabItens[[#This Row],[Saldo]]&gt;tabItens[[#This Row],[PontoPed]], 0, (tabItens[[#This Row],[PontoPed]]-tabItens[[#This Row],[Saldo]])/tabItens[[#This Row],[PontoPed]] ) ), 0 )</f>
        <v>0</v>
      </c>
      <c r="BD551" s="321">
        <f>ROUNDDOWN(IF( OR( AND(tabItens[[#This Row],[PontoPed]]&lt;tabItens[[#This Row],[Saldo]],tabItens[[#This Row],[Saldo]]&gt;0), tabItens[[#This Row],[PontoPed]]=0), 99, IF(AND(tabItens[[#This Row],[Saldo]]=0,tabItens[[#This Row],[PontoPed]]&gt;0), 0, (1-tabItens[[#This Row],[PctAb]])*10 ) ),0)</f>
        <v>99</v>
      </c>
      <c r="BE551" s="322">
        <f>MAX(ROUNDDOWN( IF(tabItens[[#This Row],[Abaixo]] &gt; 0,   tabItens[[#This Row],[Abaixo]] + (tabItens[[#This Row],[PontoMês]] * IF( OR( ISBLANK(tabItens[[#This Row],[ATA Nº/ANO]]), tabItens[[#This Row],[ATA Nº/ANO]] = ""),BE$2,BE$1)),0),0),0)</f>
        <v>0</v>
      </c>
      <c r="BF55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23">
        <f>SUMIF(Consumo!$C$3:$C$869,tabItens[[#This Row],[CÓDIGO]],Consumo!$E$3:$E$869)</f>
        <v>0</v>
      </c>
      <c r="BH551" s="324">
        <f>IF(AND(tabItens[[#This Row],[Pend]] &gt; 0,tabItens[[#This Row],[Consumo]] &lt;&gt; 0), tabItens[[#This Row],[Pend]] / tabItens[[#This Row],[Consumo]], 0 )</f>
        <v>0</v>
      </c>
      <c r="BI551" s="323"/>
      <c r="BJ551" s="323"/>
      <c r="BK551" s="325" t="s">
        <v>2064</v>
      </c>
    </row>
    <row r="552" spans="1:63" hidden="1" x14ac:dyDescent="0.3">
      <c r="A552" s="286">
        <v>140058</v>
      </c>
      <c r="B552" s="287" t="s">
        <v>2001</v>
      </c>
      <c r="C552" s="288" t="s">
        <v>331</v>
      </c>
      <c r="D552" s="289">
        <v>0</v>
      </c>
      <c r="E552" s="290"/>
      <c r="F552" s="290"/>
      <c r="G552" s="290" t="s">
        <v>883</v>
      </c>
      <c r="H552" s="291">
        <v>272</v>
      </c>
      <c r="I552" s="292">
        <v>103003</v>
      </c>
      <c r="J552" s="293">
        <v>0</v>
      </c>
      <c r="K552" s="294">
        <v>118</v>
      </c>
      <c r="L552" s="295">
        <f>IF(tabItens[[#This Row],[Média]] &gt; 0, tabItens[[#This Row],[QTDE ATUAL]] / tabItens[[#This Row],[Média]],999.9)</f>
        <v>32.969696969696969</v>
      </c>
      <c r="M552" s="296">
        <v>0</v>
      </c>
      <c r="N552" s="297">
        <f>tabItens[[#This Row],[VALOR UNIT.]] * tabItens[[#This Row],[LC]]</f>
        <v>0</v>
      </c>
      <c r="O552" s="298" t="s">
        <v>2184</v>
      </c>
      <c r="P552" s="299"/>
      <c r="Q552" s="300"/>
      <c r="R552" s="297"/>
      <c r="S552" s="301"/>
      <c r="T552" s="302">
        <f>ROUNDDOWN(IFERROR(tabItens[[#This Row],[ATA DT.VALID.]] - $D$1,0) / 30,0)</f>
        <v>-1504</v>
      </c>
      <c r="U552" s="287" t="s">
        <v>1666</v>
      </c>
      <c r="V552" s="303">
        <v>1</v>
      </c>
      <c r="W552" s="304" t="s">
        <v>2055</v>
      </c>
      <c r="X552" s="305">
        <v>55</v>
      </c>
      <c r="Y552" s="306">
        <v>19</v>
      </c>
      <c r="Z552" s="307"/>
      <c r="AA552" s="308"/>
      <c r="AB552" s="309"/>
      <c r="AC552" s="309"/>
      <c r="AD552" s="308"/>
      <c r="AE552" s="309"/>
      <c r="AF552" s="302"/>
      <c r="AG552" s="310" t="s">
        <v>2050</v>
      </c>
      <c r="AH552" s="311"/>
      <c r="AI552" s="302">
        <v>40</v>
      </c>
      <c r="AJ552" s="311" t="s">
        <v>883</v>
      </c>
      <c r="AK552" s="311">
        <v>44096</v>
      </c>
      <c r="AL552" s="311" t="s">
        <v>883</v>
      </c>
      <c r="AM552" s="301"/>
      <c r="AN552" s="290"/>
      <c r="AO552" s="312" t="str">
        <f>_xlfn.IFNA(IF(VLOOKUP(tabItens[[#This Row],[CÓDIGO]],tabExcluirDoEstoque[#Data],1,FALSE),"sim",""),"")</f>
        <v/>
      </c>
      <c r="AP552" s="313" t="str">
        <f ca="1">IF(OR(ISBLANK(tabItens[[#This Row],[ATA DT.VALID.]]),tabItens[[#This Row],[ATA DT.VALID.]]="",tabItens[[#This Row],[ATA DT.VALID.]]=" "),"",IF(TYPE(tabItens[[#This Row],[ATA DT.VALID.]])=1,ROUNDUP((tabItens[[#This Row],[ATA DT.VALID.]]-TODAY())/7,0),""))</f>
        <v/>
      </c>
      <c r="AQ552" s="314">
        <v>0</v>
      </c>
      <c r="AR552" s="315" t="str">
        <f>IF(ISBLANK(tabItens[[#This Row],[CÓDIGO]]),"",IFERROR(VLOOKUP(tabItens[[#This Row],[CÓDIGO]],Consumo!$C$2:$AC$869,26,FALSE),0))</f>
        <v>06.2023</v>
      </c>
      <c r="AS552" s="316">
        <f>SUMIF(Consumo!$C$3:$C$869,tabItens[[#This Row],[CÓDIGO]],Consumo!$N$3:$N$869) + SUMIF(Consumo!$C$3:$C$869,tabItens[[#This Row],[CÓDIGO]],Consumo!$O$3:$O$869) + SUMIF(Consumo!$C$3:$C$869,tabItens[[#This Row],[CÓDIGO]],Consumo!$P$3:$P$869) + SUMIF(Consumo!$C$3:$C$869,tabItens[[#This Row],[CÓDIGO]],Consumo!$Q$3:$Q$869)</f>
        <v>3</v>
      </c>
      <c r="AT552" s="316">
        <f>SUMIF(Consumo!$C$3:$C$869,tabItens[[#This Row],[CÓDIGO]],Consumo!$Z$3:$Z$869)</f>
        <v>118</v>
      </c>
      <c r="AU552" s="317">
        <f>SUMIF(Consumo!$C$3:$C$869,tabItens[[#This Row],[CÓDIGO]],Consumo!$AA$3:$AA$869)</f>
        <v>75</v>
      </c>
      <c r="AV552" s="318">
        <f>SUMIF(Consumo!$C$3:$C$869,tabItens[[#This Row],[CÓDIGO]],Consumo!$Y$3:$Y$869)</f>
        <v>8.25</v>
      </c>
      <c r="AW552" s="291">
        <f>tabItens[[#This Row],[QTDE ATUAL]] + tabItens[[#This Row],[RC QTDE]] + tabItens[[#This Row],[AF SALDO]] + tabItens[[#This Row],[Recentes]]</f>
        <v>272</v>
      </c>
      <c r="AX552" s="319">
        <v>11</v>
      </c>
      <c r="AY552" s="319">
        <v>4</v>
      </c>
      <c r="AZ552" s="319">
        <f>IF(ISBLANK(tabItens[[#This Row],[CÓDIGO]]),"",tabItens[[#This Row],[PontoMês]] * (AZ$2+tabItens[[#This Row],[PontoQtM]]))</f>
        <v>44</v>
      </c>
      <c r="BA552" s="318">
        <f>tabItens[[#This Row],[PontoPed]] - tabItens[[#This Row],[Saldo]] + (1/10)</f>
        <v>-227.9</v>
      </c>
      <c r="BB552" s="318">
        <f xml:space="preserve"> tabItens[[#This Row],[PontoMês]] * BB$2 - tabItens[[#This Row],[QTDE ATUAL]] - (1/10)</f>
        <v>-261.10000000000002</v>
      </c>
      <c r="BC552" s="320">
        <f>IF( tabItens[[#This Row],[PontoPed]]&gt;0, IF(tabItens[[#This Row],[PontoPed]]&lt;1, 1, IF( tabItens[[#This Row],[Saldo]]&gt;tabItens[[#This Row],[PontoPed]], 0, (tabItens[[#This Row],[PontoPed]]-tabItens[[#This Row],[Saldo]])/tabItens[[#This Row],[PontoPed]] ) ), 0 )</f>
        <v>0</v>
      </c>
      <c r="BD552" s="321">
        <f>ROUNDDOWN(IF( OR( AND(tabItens[[#This Row],[PontoPed]]&lt;tabItens[[#This Row],[Saldo]],tabItens[[#This Row],[Saldo]]&gt;0), tabItens[[#This Row],[PontoPed]]=0), 99, IF(AND(tabItens[[#This Row],[Saldo]]=0,tabItens[[#This Row],[PontoPed]]&gt;0), 0, (1-tabItens[[#This Row],[PctAb]])*10 ) ),0)</f>
        <v>99</v>
      </c>
      <c r="BE552" s="322">
        <f>MAX(ROUNDDOWN( IF(tabItens[[#This Row],[Abaixo]] &gt; 0,   tabItens[[#This Row],[Abaixo]] + (tabItens[[#This Row],[PontoMês]] * IF( OR( ISBLANK(tabItens[[#This Row],[ATA Nº/ANO]]), tabItens[[#This Row],[ATA Nº/ANO]] = ""),BE$2,BE$1)),0),0),0)</f>
        <v>0</v>
      </c>
      <c r="BF55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23">
        <f>SUMIF(Consumo!$C$3:$C$869,tabItens[[#This Row],[CÓDIGO]],Consumo!$E$3:$E$869)</f>
        <v>0</v>
      </c>
      <c r="BH552" s="324">
        <f>IF(AND(tabItens[[#This Row],[Pend]] &gt; 0,tabItens[[#This Row],[Consumo]] &lt;&gt; 0), tabItens[[#This Row],[Pend]] / tabItens[[#This Row],[Consumo]], 0 )</f>
        <v>0</v>
      </c>
      <c r="BI552" s="323"/>
      <c r="BJ552" s="323"/>
      <c r="BK552" s="325" t="s">
        <v>2064</v>
      </c>
    </row>
    <row r="553" spans="1:63" hidden="1" x14ac:dyDescent="0.3">
      <c r="A553" s="286">
        <v>140059</v>
      </c>
      <c r="B553" s="287" t="s">
        <v>2002</v>
      </c>
      <c r="C553" s="288" t="s">
        <v>331</v>
      </c>
      <c r="D553" s="289">
        <v>36.909999999999997</v>
      </c>
      <c r="E553" s="290"/>
      <c r="F553" s="290"/>
      <c r="G553" s="290" t="s">
        <v>883</v>
      </c>
      <c r="H553" s="291">
        <v>569</v>
      </c>
      <c r="I553" s="292">
        <v>103003</v>
      </c>
      <c r="J553" s="293">
        <v>36.909999999999997</v>
      </c>
      <c r="K553" s="294">
        <v>435</v>
      </c>
      <c r="L553" s="295">
        <f>IF(tabItens[[#This Row],[Média]] &gt; 0, tabItens[[#This Row],[QTDE ATUAL]] / tabItens[[#This Row],[Média]],999.9)</f>
        <v>19.677233429394811</v>
      </c>
      <c r="M553" s="296">
        <v>0</v>
      </c>
      <c r="N553" s="297">
        <f>tabItens[[#This Row],[VALOR UNIT.]] * tabItens[[#This Row],[LC]]</f>
        <v>0</v>
      </c>
      <c r="O553" s="298" t="s">
        <v>2184</v>
      </c>
      <c r="P553" s="299"/>
      <c r="Q553" s="300"/>
      <c r="R553" s="297"/>
      <c r="S553" s="301"/>
      <c r="T553" s="302">
        <f>ROUNDDOWN(IFERROR(tabItens[[#This Row],[ATA DT.VALID.]] - $D$1,0) / 30,0)</f>
        <v>-1504</v>
      </c>
      <c r="U553" s="287" t="s">
        <v>1666</v>
      </c>
      <c r="V553" s="303">
        <v>1</v>
      </c>
      <c r="W553" s="304" t="s">
        <v>2055</v>
      </c>
      <c r="X553" s="305">
        <v>55</v>
      </c>
      <c r="Y553" s="306">
        <v>19</v>
      </c>
      <c r="Z553" s="307" t="s">
        <v>2062</v>
      </c>
      <c r="AA553" s="308">
        <v>2023</v>
      </c>
      <c r="AB553" s="309">
        <v>1500</v>
      </c>
      <c r="AC553" s="309"/>
      <c r="AD553" s="308"/>
      <c r="AE553" s="309"/>
      <c r="AF553" s="302"/>
      <c r="AG553" s="310" t="s">
        <v>2050</v>
      </c>
      <c r="AH553" s="311"/>
      <c r="AI553" s="302">
        <v>146</v>
      </c>
      <c r="AJ553" s="311">
        <v>44876</v>
      </c>
      <c r="AK553" s="311">
        <v>44096</v>
      </c>
      <c r="AL553" s="311">
        <v>44845</v>
      </c>
      <c r="AM553" s="301"/>
      <c r="AN553" s="290"/>
      <c r="AO553" s="312" t="str">
        <f>_xlfn.IFNA(IF(VLOOKUP(tabItens[[#This Row],[CÓDIGO]],tabExcluirDoEstoque[#Data],1,FALSE),"sim",""),"")</f>
        <v/>
      </c>
      <c r="AP553" s="313" t="str">
        <f ca="1">IF(OR(ISBLANK(tabItens[[#This Row],[ATA DT.VALID.]]),tabItens[[#This Row],[ATA DT.VALID.]]="",tabItens[[#This Row],[ATA DT.VALID.]]=" "),"",IF(TYPE(tabItens[[#This Row],[ATA DT.VALID.]])=1,ROUNDUP((tabItens[[#This Row],[ATA DT.VALID.]]-TODAY())/7,0),""))</f>
        <v/>
      </c>
      <c r="AQ553" s="314">
        <v>0</v>
      </c>
      <c r="AR553" s="315" t="str">
        <f>IF(ISBLANK(tabItens[[#This Row],[CÓDIGO]]),"",IFERROR(VLOOKUP(tabItens[[#This Row],[CÓDIGO]],Consumo!$C$2:$AC$869,26,FALSE),0))</f>
        <v>07.2023</v>
      </c>
      <c r="AS553" s="316">
        <f>SUMIF(Consumo!$C$3:$C$869,tabItens[[#This Row],[CÓDIGO]],Consumo!$N$3:$N$869) + SUMIF(Consumo!$C$3:$C$869,tabItens[[#This Row],[CÓDIGO]],Consumo!$O$3:$O$869) + SUMIF(Consumo!$C$3:$C$869,tabItens[[#This Row],[CÓDIGO]],Consumo!$P$3:$P$869) + SUMIF(Consumo!$C$3:$C$869,tabItens[[#This Row],[CÓDIGO]],Consumo!$Q$3:$Q$869)</f>
        <v>30</v>
      </c>
      <c r="AT553" s="316">
        <f>SUMIF(Consumo!$C$3:$C$869,tabItens[[#This Row],[CÓDIGO]],Consumo!$Z$3:$Z$869)</f>
        <v>435</v>
      </c>
      <c r="AU553" s="317">
        <f>SUMIF(Consumo!$C$3:$C$869,tabItens[[#This Row],[CÓDIGO]],Consumo!$AA$3:$AA$869)</f>
        <v>300</v>
      </c>
      <c r="AV553" s="318">
        <f>SUMIF(Consumo!$C$3:$C$869,tabItens[[#This Row],[CÓDIGO]],Consumo!$Y$3:$Y$869)</f>
        <v>28.916666666666668</v>
      </c>
      <c r="AW553" s="291">
        <f>tabItens[[#This Row],[QTDE ATUAL]] + tabItens[[#This Row],[RC QTDE]] + tabItens[[#This Row],[AF SALDO]] + tabItens[[#This Row],[Recentes]]</f>
        <v>2069</v>
      </c>
      <c r="AX553" s="319">
        <v>68</v>
      </c>
      <c r="AY553" s="319">
        <v>4</v>
      </c>
      <c r="AZ553" s="319">
        <f>IF(ISBLANK(tabItens[[#This Row],[CÓDIGO]]),"",tabItens[[#This Row],[PontoMês]] * (AZ$2+tabItens[[#This Row],[PontoQtM]]))</f>
        <v>272</v>
      </c>
      <c r="BA553" s="318">
        <f>tabItens[[#This Row],[PontoPed]] - tabItens[[#This Row],[Saldo]] + (1/10)</f>
        <v>-1796.9</v>
      </c>
      <c r="BB553" s="318">
        <f xml:space="preserve"> tabItens[[#This Row],[PontoMês]] * BB$2 - tabItens[[#This Row],[QTDE ATUAL]] - (1/10)</f>
        <v>-501.1</v>
      </c>
      <c r="BC553" s="320">
        <f>IF( tabItens[[#This Row],[PontoPed]]&gt;0, IF(tabItens[[#This Row],[PontoPed]]&lt;1, 1, IF( tabItens[[#This Row],[Saldo]]&gt;tabItens[[#This Row],[PontoPed]], 0, (tabItens[[#This Row],[PontoPed]]-tabItens[[#This Row],[Saldo]])/tabItens[[#This Row],[PontoPed]] ) ), 0 )</f>
        <v>0</v>
      </c>
      <c r="BD553" s="321">
        <f>ROUNDDOWN(IF( OR( AND(tabItens[[#This Row],[PontoPed]]&lt;tabItens[[#This Row],[Saldo]],tabItens[[#This Row],[Saldo]]&gt;0), tabItens[[#This Row],[PontoPed]]=0), 99, IF(AND(tabItens[[#This Row],[Saldo]]=0,tabItens[[#This Row],[PontoPed]]&gt;0), 0, (1-tabItens[[#This Row],[PctAb]])*10 ) ),0)</f>
        <v>99</v>
      </c>
      <c r="BE553" s="322">
        <f>MAX(ROUNDDOWN( IF(tabItens[[#This Row],[Abaixo]] &gt; 0,   tabItens[[#This Row],[Abaixo]] + (tabItens[[#This Row],[PontoMês]] * IF( OR( ISBLANK(tabItens[[#This Row],[ATA Nº/ANO]]), tabItens[[#This Row],[ATA Nº/ANO]] = ""),BE$2,BE$1)),0),0),0)</f>
        <v>0</v>
      </c>
      <c r="BF55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23">
        <f>SUMIF(Consumo!$C$3:$C$869,tabItens[[#This Row],[CÓDIGO]],Consumo!$E$3:$E$869)</f>
        <v>0</v>
      </c>
      <c r="BH553" s="324">
        <f>IF(AND(tabItens[[#This Row],[Pend]] &gt; 0,tabItens[[#This Row],[Consumo]] &lt;&gt; 0), tabItens[[#This Row],[Pend]] / tabItens[[#This Row],[Consumo]], 0 )</f>
        <v>0</v>
      </c>
      <c r="BI553" s="323"/>
      <c r="BJ553" s="323"/>
      <c r="BK553" s="325" t="s">
        <v>2064</v>
      </c>
    </row>
    <row r="554" spans="1:63" hidden="1" x14ac:dyDescent="0.3">
      <c r="A554" s="286">
        <v>140060</v>
      </c>
      <c r="B554" s="287" t="s">
        <v>2003</v>
      </c>
      <c r="C554" s="288" t="s">
        <v>331</v>
      </c>
      <c r="D554" s="289">
        <v>61.23</v>
      </c>
      <c r="E554" s="290"/>
      <c r="F554" s="290"/>
      <c r="G554" s="290" t="s">
        <v>883</v>
      </c>
      <c r="H554" s="291">
        <v>557</v>
      </c>
      <c r="I554" s="292">
        <v>103003</v>
      </c>
      <c r="J554" s="293">
        <v>61.23</v>
      </c>
      <c r="K554" s="294">
        <v>502</v>
      </c>
      <c r="L554" s="295">
        <f>IF(tabItens[[#This Row],[Média]] &gt; 0, tabItens[[#This Row],[QTDE ATUAL]] / tabItens[[#This Row],[Média]],999.9)</f>
        <v>17.824000000000002</v>
      </c>
      <c r="M554" s="296">
        <v>0</v>
      </c>
      <c r="N554" s="297">
        <f>tabItens[[#This Row],[VALOR UNIT.]] * tabItens[[#This Row],[LC]]</f>
        <v>0</v>
      </c>
      <c r="O554" s="298" t="s">
        <v>2184</v>
      </c>
      <c r="P554" s="299"/>
      <c r="Q554" s="300"/>
      <c r="R554" s="297"/>
      <c r="S554" s="301"/>
      <c r="T554" s="302">
        <f>ROUNDDOWN(IFERROR(tabItens[[#This Row],[ATA DT.VALID.]] - $D$1,0) / 30,0)</f>
        <v>-1504</v>
      </c>
      <c r="U554" s="287" t="s">
        <v>1666</v>
      </c>
      <c r="V554" s="303">
        <v>1</v>
      </c>
      <c r="W554" s="304" t="s">
        <v>2055</v>
      </c>
      <c r="X554" s="305">
        <v>55</v>
      </c>
      <c r="Y554" s="306">
        <v>19</v>
      </c>
      <c r="Z554" s="307"/>
      <c r="AA554" s="308"/>
      <c r="AB554" s="309"/>
      <c r="AC554" s="309"/>
      <c r="AD554" s="308"/>
      <c r="AE554" s="309"/>
      <c r="AF554" s="302"/>
      <c r="AG554" s="310" t="s">
        <v>2050</v>
      </c>
      <c r="AH554" s="311"/>
      <c r="AI554" s="302">
        <v>168</v>
      </c>
      <c r="AJ554" s="311" t="s">
        <v>883</v>
      </c>
      <c r="AK554" s="311">
        <v>44096</v>
      </c>
      <c r="AL554" s="311">
        <v>44923</v>
      </c>
      <c r="AM554" s="301"/>
      <c r="AN554" s="290"/>
      <c r="AO554" s="312" t="str">
        <f>_xlfn.IFNA(IF(VLOOKUP(tabItens[[#This Row],[CÓDIGO]],tabExcluirDoEstoque[#Data],1,FALSE),"sim",""),"")</f>
        <v/>
      </c>
      <c r="AP554" s="313" t="str">
        <f ca="1">IF(OR(ISBLANK(tabItens[[#This Row],[ATA DT.VALID.]]),tabItens[[#This Row],[ATA DT.VALID.]]="",tabItens[[#This Row],[ATA DT.VALID.]]=" "),"",IF(TYPE(tabItens[[#This Row],[ATA DT.VALID.]])=1,ROUNDUP((tabItens[[#This Row],[ATA DT.VALID.]]-TODAY())/7,0),""))</f>
        <v/>
      </c>
      <c r="AQ554" s="314">
        <v>0</v>
      </c>
      <c r="AR554" s="315" t="str">
        <f>IF(ISBLANK(tabItens[[#This Row],[CÓDIGO]]),"",IFERROR(VLOOKUP(tabItens[[#This Row],[CÓDIGO]],Consumo!$C$2:$AC$869,26,FALSE),0))</f>
        <v>06.2023</v>
      </c>
      <c r="AS554" s="316">
        <f>SUMIF(Consumo!$C$3:$C$869,tabItens[[#This Row],[CÓDIGO]],Consumo!$N$3:$N$869) + SUMIF(Consumo!$C$3:$C$869,tabItens[[#This Row],[CÓDIGO]],Consumo!$O$3:$O$869) + SUMIF(Consumo!$C$3:$C$869,tabItens[[#This Row],[CÓDIGO]],Consumo!$P$3:$P$869) + SUMIF(Consumo!$C$3:$C$869,tabItens[[#This Row],[CÓDIGO]],Consumo!$Q$3:$Q$869)</f>
        <v>412</v>
      </c>
      <c r="AT554" s="316">
        <f>SUMIF(Consumo!$C$3:$C$869,tabItens[[#This Row],[CÓDIGO]],Consumo!$Z$3:$Z$869)</f>
        <v>502</v>
      </c>
      <c r="AU554" s="317">
        <f>SUMIF(Consumo!$C$3:$C$869,tabItens[[#This Row],[CÓDIGO]],Consumo!$AA$3:$AA$869)</f>
        <v>400</v>
      </c>
      <c r="AV554" s="318">
        <f>SUMIF(Consumo!$C$3:$C$869,tabItens[[#This Row],[CÓDIGO]],Consumo!$Y$3:$Y$869)</f>
        <v>31.25</v>
      </c>
      <c r="AW554" s="291">
        <f>tabItens[[#This Row],[QTDE ATUAL]] + tabItens[[#This Row],[RC QTDE]] + tabItens[[#This Row],[AF SALDO]] + tabItens[[#This Row],[Recentes]]</f>
        <v>557</v>
      </c>
      <c r="AX554" s="319">
        <v>2</v>
      </c>
      <c r="AY554" s="319">
        <v>4</v>
      </c>
      <c r="AZ554" s="319">
        <f>IF(ISBLANK(tabItens[[#This Row],[CÓDIGO]]),"",tabItens[[#This Row],[PontoMês]] * (AZ$2+tabItens[[#This Row],[PontoQtM]]))</f>
        <v>8</v>
      </c>
      <c r="BA554" s="318">
        <f>tabItens[[#This Row],[PontoPed]] - tabItens[[#This Row],[Saldo]] + (1/10)</f>
        <v>-548.9</v>
      </c>
      <c r="BB554" s="318">
        <f xml:space="preserve"> tabItens[[#This Row],[PontoMês]] * BB$2 - tabItens[[#This Row],[QTDE ATUAL]] - (1/10)</f>
        <v>-555.1</v>
      </c>
      <c r="BC554" s="320">
        <f>IF( tabItens[[#This Row],[PontoPed]]&gt;0, IF(tabItens[[#This Row],[PontoPed]]&lt;1, 1, IF( tabItens[[#This Row],[Saldo]]&gt;tabItens[[#This Row],[PontoPed]], 0, (tabItens[[#This Row],[PontoPed]]-tabItens[[#This Row],[Saldo]])/tabItens[[#This Row],[PontoPed]] ) ), 0 )</f>
        <v>0</v>
      </c>
      <c r="BD554" s="321">
        <f>ROUNDDOWN(IF( OR( AND(tabItens[[#This Row],[PontoPed]]&lt;tabItens[[#This Row],[Saldo]],tabItens[[#This Row],[Saldo]]&gt;0), tabItens[[#This Row],[PontoPed]]=0), 99, IF(AND(tabItens[[#This Row],[Saldo]]=0,tabItens[[#This Row],[PontoPed]]&gt;0), 0, (1-tabItens[[#This Row],[PctAb]])*10 ) ),0)</f>
        <v>99</v>
      </c>
      <c r="BE554" s="322">
        <f>MAX(ROUNDDOWN( IF(tabItens[[#This Row],[Abaixo]] &gt; 0,   tabItens[[#This Row],[Abaixo]] + (tabItens[[#This Row],[PontoMês]] * IF( OR( ISBLANK(tabItens[[#This Row],[ATA Nº/ANO]]), tabItens[[#This Row],[ATA Nº/ANO]] = ""),BE$2,BE$1)),0),0),0)</f>
        <v>0</v>
      </c>
      <c r="BF55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23">
        <f>SUMIF(Consumo!$C$3:$C$869,tabItens[[#This Row],[CÓDIGO]],Consumo!$E$3:$E$869)</f>
        <v>0</v>
      </c>
      <c r="BH554" s="324">
        <f>IF(AND(tabItens[[#This Row],[Pend]] &gt; 0,tabItens[[#This Row],[Consumo]] &lt;&gt; 0), tabItens[[#This Row],[Pend]] / tabItens[[#This Row],[Consumo]], 0 )</f>
        <v>0</v>
      </c>
      <c r="BI554" s="323"/>
      <c r="BJ554" s="323"/>
      <c r="BK554" s="325" t="s">
        <v>2064</v>
      </c>
    </row>
    <row r="555" spans="1:63" hidden="1" x14ac:dyDescent="0.3">
      <c r="A555" s="286">
        <v>140061</v>
      </c>
      <c r="B555" s="287" t="s">
        <v>2004</v>
      </c>
      <c r="C555" s="288" t="s">
        <v>331</v>
      </c>
      <c r="D555" s="289">
        <v>81.72</v>
      </c>
      <c r="E555" s="290"/>
      <c r="F555" s="290"/>
      <c r="G555" s="290" t="s">
        <v>883</v>
      </c>
      <c r="H555" s="291">
        <v>176</v>
      </c>
      <c r="I555" s="292">
        <v>103003</v>
      </c>
      <c r="J555" s="293">
        <v>81.72</v>
      </c>
      <c r="K555" s="294">
        <v>300</v>
      </c>
      <c r="L555" s="295">
        <f>IF(tabItens[[#This Row],[Média]] &gt; 0, tabItens[[#This Row],[QTDE ATUAL]] / tabItens[[#This Row],[Média]],999.9)</f>
        <v>7.56989247311828</v>
      </c>
      <c r="M555" s="296">
        <v>0</v>
      </c>
      <c r="N555" s="297">
        <f>tabItens[[#This Row],[VALOR UNIT.]] * tabItens[[#This Row],[LC]]</f>
        <v>0</v>
      </c>
      <c r="O555" s="298" t="s">
        <v>2184</v>
      </c>
      <c r="P555" s="299"/>
      <c r="Q555" s="300"/>
      <c r="R555" s="297"/>
      <c r="S555" s="301"/>
      <c r="T555" s="302">
        <f>ROUNDDOWN(IFERROR(tabItens[[#This Row],[ATA DT.VALID.]] - $D$1,0) / 30,0)</f>
        <v>-1504</v>
      </c>
      <c r="U555" s="287" t="s">
        <v>1666</v>
      </c>
      <c r="V555" s="303">
        <v>1</v>
      </c>
      <c r="W555" s="304" t="s">
        <v>2055</v>
      </c>
      <c r="X555" s="305">
        <v>55</v>
      </c>
      <c r="Y555" s="306">
        <v>19</v>
      </c>
      <c r="Z555" s="307">
        <v>2696</v>
      </c>
      <c r="AA555" s="308">
        <v>2023</v>
      </c>
      <c r="AB555" s="309">
        <v>100</v>
      </c>
      <c r="AC555" s="309"/>
      <c r="AD555" s="308"/>
      <c r="AE555" s="309"/>
      <c r="AF555" s="302"/>
      <c r="AG555" s="310" t="s">
        <v>2050</v>
      </c>
      <c r="AH555" s="311"/>
      <c r="AI555" s="302">
        <v>100</v>
      </c>
      <c r="AJ555" s="311" t="s">
        <v>883</v>
      </c>
      <c r="AK555" s="311">
        <v>44096</v>
      </c>
      <c r="AL555" s="311">
        <v>44740</v>
      </c>
      <c r="AM555" s="301"/>
      <c r="AN555" s="290"/>
      <c r="AO555" s="312" t="str">
        <f>_xlfn.IFNA(IF(VLOOKUP(tabItens[[#This Row],[CÓDIGO]],tabExcluirDoEstoque[#Data],1,FALSE),"sim",""),"")</f>
        <v/>
      </c>
      <c r="AP555" s="313" t="str">
        <f ca="1">IF(OR(ISBLANK(tabItens[[#This Row],[ATA DT.VALID.]]),tabItens[[#This Row],[ATA DT.VALID.]]="",tabItens[[#This Row],[ATA DT.VALID.]]=" "),"",IF(TYPE(tabItens[[#This Row],[ATA DT.VALID.]])=1,ROUNDUP((tabItens[[#This Row],[ATA DT.VALID.]]-TODAY())/7,0),""))</f>
        <v/>
      </c>
      <c r="AQ555" s="314">
        <v>0</v>
      </c>
      <c r="AR555" s="315" t="str">
        <f>IF(ISBLANK(tabItens[[#This Row],[CÓDIGO]]),"",IFERROR(VLOOKUP(tabItens[[#This Row],[CÓDIGO]],Consumo!$C$2:$AC$869,26,FALSE),0))</f>
        <v>06.2023</v>
      </c>
      <c r="AS555" s="316">
        <f>SUMIF(Consumo!$C$3:$C$869,tabItens[[#This Row],[CÓDIGO]],Consumo!$N$3:$N$869) + SUMIF(Consumo!$C$3:$C$869,tabItens[[#This Row],[CÓDIGO]],Consumo!$O$3:$O$869) + SUMIF(Consumo!$C$3:$C$869,tabItens[[#This Row],[CÓDIGO]],Consumo!$P$3:$P$869) + SUMIF(Consumo!$C$3:$C$869,tabItens[[#This Row],[CÓDIGO]],Consumo!$Q$3:$Q$869)</f>
        <v>120</v>
      </c>
      <c r="AT555" s="316">
        <f>SUMIF(Consumo!$C$3:$C$869,tabItens[[#This Row],[CÓDIGO]],Consumo!$Z$3:$Z$869)</f>
        <v>300</v>
      </c>
      <c r="AU555" s="317">
        <f>SUMIF(Consumo!$C$3:$C$869,tabItens[[#This Row],[CÓDIGO]],Consumo!$AA$3:$AA$869)</f>
        <v>150</v>
      </c>
      <c r="AV555" s="318">
        <f>SUMIF(Consumo!$C$3:$C$869,tabItens[[#This Row],[CÓDIGO]],Consumo!$Y$3:$Y$869)</f>
        <v>23.25</v>
      </c>
      <c r="AW555" s="291">
        <f>tabItens[[#This Row],[QTDE ATUAL]] + tabItens[[#This Row],[RC QTDE]] + tabItens[[#This Row],[AF SALDO]] + tabItens[[#This Row],[Recentes]]</f>
        <v>276</v>
      </c>
      <c r="AX555" s="319">
        <v>0</v>
      </c>
      <c r="AY555" s="319">
        <v>4</v>
      </c>
      <c r="AZ555" s="319">
        <f>IF(ISBLANK(tabItens[[#This Row],[CÓDIGO]]),"",tabItens[[#This Row],[PontoMês]] * (AZ$2+tabItens[[#This Row],[PontoQtM]]))</f>
        <v>0</v>
      </c>
      <c r="BA555" s="318">
        <f>tabItens[[#This Row],[PontoPed]] - tabItens[[#This Row],[Saldo]] + (1/10)</f>
        <v>-275.89999999999998</v>
      </c>
      <c r="BB555" s="318">
        <f xml:space="preserve"> tabItens[[#This Row],[PontoMês]] * BB$2 - tabItens[[#This Row],[QTDE ATUAL]] - (1/10)</f>
        <v>-176.1</v>
      </c>
      <c r="BC555" s="320">
        <f>IF( tabItens[[#This Row],[PontoPed]]&gt;0, IF(tabItens[[#This Row],[PontoPed]]&lt;1, 1, IF( tabItens[[#This Row],[Saldo]]&gt;tabItens[[#This Row],[PontoPed]], 0, (tabItens[[#This Row],[PontoPed]]-tabItens[[#This Row],[Saldo]])/tabItens[[#This Row],[PontoPed]] ) ), 0 )</f>
        <v>0</v>
      </c>
      <c r="BD555" s="321">
        <f>ROUNDDOWN(IF( OR( AND(tabItens[[#This Row],[PontoPed]]&lt;tabItens[[#This Row],[Saldo]],tabItens[[#This Row],[Saldo]]&gt;0), tabItens[[#This Row],[PontoPed]]=0), 99, IF(AND(tabItens[[#This Row],[Saldo]]=0,tabItens[[#This Row],[PontoPed]]&gt;0), 0, (1-tabItens[[#This Row],[PctAb]])*10 ) ),0)</f>
        <v>99</v>
      </c>
      <c r="BE555" s="322">
        <f>MAX(ROUNDDOWN( IF(tabItens[[#This Row],[Abaixo]] &gt; 0,   tabItens[[#This Row],[Abaixo]] + (tabItens[[#This Row],[PontoMês]] * IF( OR( ISBLANK(tabItens[[#This Row],[ATA Nº/ANO]]), tabItens[[#This Row],[ATA Nº/ANO]] = ""),BE$2,BE$1)),0),0),0)</f>
        <v>0</v>
      </c>
      <c r="BF55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23">
        <f>SUMIF(Consumo!$C$3:$C$869,tabItens[[#This Row],[CÓDIGO]],Consumo!$E$3:$E$869)</f>
        <v>0</v>
      </c>
      <c r="BH555" s="324">
        <f>IF(AND(tabItens[[#This Row],[Pend]] &gt; 0,tabItens[[#This Row],[Consumo]] &lt;&gt; 0), tabItens[[#This Row],[Pend]] / tabItens[[#This Row],[Consumo]], 0 )</f>
        <v>0</v>
      </c>
      <c r="BI555" s="323"/>
      <c r="BJ555" s="323"/>
      <c r="BK555" s="325" t="s">
        <v>2064</v>
      </c>
    </row>
    <row r="556" spans="1:63" x14ac:dyDescent="0.3">
      <c r="A556" s="396">
        <v>140063</v>
      </c>
      <c r="B556" s="397" t="s">
        <v>2005</v>
      </c>
      <c r="C556" s="398" t="s">
        <v>331</v>
      </c>
      <c r="D556" s="399">
        <v>6.11</v>
      </c>
      <c r="E556" s="290"/>
      <c r="F556" s="400"/>
      <c r="G556" s="400" t="s">
        <v>883</v>
      </c>
      <c r="H556" s="401">
        <v>0</v>
      </c>
      <c r="I556" s="292">
        <v>103003</v>
      </c>
      <c r="J556" s="293">
        <v>6.11</v>
      </c>
      <c r="K556" s="402">
        <v>5416</v>
      </c>
      <c r="L556" s="403">
        <f>IF(tabItens[[#This Row],[Média]] &gt; 0, tabItens[[#This Row],[QTDE ATUAL]] / tabItens[[#This Row],[Média]],999.9)</f>
        <v>0</v>
      </c>
      <c r="M556" s="404"/>
      <c r="N556" s="405">
        <f>tabItens[[#This Row],[VALOR UNIT.]] * tabItens[[#This Row],[LC]]</f>
        <v>0</v>
      </c>
      <c r="O556" s="406" t="s">
        <v>2184</v>
      </c>
      <c r="P556" s="407"/>
      <c r="Q556" s="408"/>
      <c r="R556" s="297"/>
      <c r="S556" s="409"/>
      <c r="T556" s="410">
        <f>ROUNDDOWN(IFERROR(tabItens[[#This Row],[ATA DT.VALID.]] - $D$1,0) / 30,0)</f>
        <v>-1504</v>
      </c>
      <c r="U556" s="287" t="s">
        <v>1666</v>
      </c>
      <c r="V556" s="303">
        <v>1</v>
      </c>
      <c r="W556" s="411" t="s">
        <v>2055</v>
      </c>
      <c r="X556" s="412">
        <v>55</v>
      </c>
      <c r="Y556" s="413">
        <v>19</v>
      </c>
      <c r="Z556" s="414">
        <v>2375</v>
      </c>
      <c r="AA556" s="415">
        <v>2023</v>
      </c>
      <c r="AB556" s="416">
        <v>4000</v>
      </c>
      <c r="AC556" s="416"/>
      <c r="AD556" s="415"/>
      <c r="AE556" s="416"/>
      <c r="AF556" s="302"/>
      <c r="AG556" s="417" t="s">
        <v>2050</v>
      </c>
      <c r="AH556" s="418"/>
      <c r="AI556" s="302">
        <v>2588</v>
      </c>
      <c r="AJ556" s="418">
        <v>44893</v>
      </c>
      <c r="AK556" s="311">
        <v>44096</v>
      </c>
      <c r="AL556" s="311">
        <v>44845</v>
      </c>
      <c r="AM556" s="301"/>
      <c r="AN556" s="290"/>
      <c r="AO556" s="312" t="str">
        <f>_xlfn.IFNA(IF(VLOOKUP(tabItens[[#This Row],[CÓDIGO]],tabExcluirDoEstoque[#Data],1,FALSE),"sim",""),"")</f>
        <v/>
      </c>
      <c r="AP556" s="419" t="str">
        <f ca="1">IF(OR(ISBLANK(tabItens[[#This Row],[ATA DT.VALID.]]),tabItens[[#This Row],[ATA DT.VALID.]]="",tabItens[[#This Row],[ATA DT.VALID.]]=" "),"",IF(TYPE(tabItens[[#This Row],[ATA DT.VALID.]])=1,ROUNDUP((tabItens[[#This Row],[ATA DT.VALID.]]-TODAY())/7,0),""))</f>
        <v/>
      </c>
      <c r="AQ556" s="314">
        <v>0</v>
      </c>
      <c r="AR556" s="315" t="str">
        <f>IF(ISBLANK(tabItens[[#This Row],[CÓDIGO]]),"",IFERROR(VLOOKUP(tabItens[[#This Row],[CÓDIGO]],Consumo!$C$2:$AC$869,26,FALSE),0))</f>
        <v>06.2023</v>
      </c>
      <c r="AS556" s="316">
        <f>SUMIF(Consumo!$C$3:$C$869,tabItens[[#This Row],[CÓDIGO]],Consumo!$N$3:$N$869) + SUMIF(Consumo!$C$3:$C$869,tabItens[[#This Row],[CÓDIGO]],Consumo!$O$3:$O$869) + SUMIF(Consumo!$C$3:$C$869,tabItens[[#This Row],[CÓDIGO]],Consumo!$P$3:$P$869) + SUMIF(Consumo!$C$3:$C$869,tabItens[[#This Row],[CÓDIGO]],Consumo!$Q$3:$Q$869)</f>
        <v>1740</v>
      </c>
      <c r="AT556" s="316">
        <f>SUMIF(Consumo!$C$3:$C$869,tabItens[[#This Row],[CÓDIGO]],Consumo!$Z$3:$Z$869)</f>
        <v>7924</v>
      </c>
      <c r="AU556" s="317">
        <f>SUMIF(Consumo!$C$3:$C$869,tabItens[[#This Row],[CÓDIGO]],Consumo!$AA$3:$AA$869)</f>
        <v>1300</v>
      </c>
      <c r="AV556" s="318">
        <f>SUMIF(Consumo!$C$3:$C$869,tabItens[[#This Row],[CÓDIGO]],Consumo!$Y$3:$Y$869)</f>
        <v>660.33333333333337</v>
      </c>
      <c r="AW556" s="401">
        <f>tabItens[[#This Row],[QTDE ATUAL]] + tabItens[[#This Row],[RC QTDE]] + tabItens[[#This Row],[AF SALDO]] + tabItens[[#This Row],[Recentes]]</f>
        <v>4000</v>
      </c>
      <c r="AX556" s="420">
        <v>209</v>
      </c>
      <c r="AY556" s="420">
        <v>4</v>
      </c>
      <c r="AZ556" s="420">
        <f>IF(ISBLANK(tabItens[[#This Row],[CÓDIGO]]),"",tabItens[[#This Row],[PontoMês]] * (AZ$2+tabItens[[#This Row],[PontoQtM]]))</f>
        <v>836</v>
      </c>
      <c r="BA556" s="421">
        <f>tabItens[[#This Row],[PontoPed]] - tabItens[[#This Row],[Saldo]] + (1/10)</f>
        <v>-3163.9</v>
      </c>
      <c r="BB556" s="421">
        <f xml:space="preserve"> tabItens[[#This Row],[PontoMês]] * BB$2 - tabItens[[#This Row],[QTDE ATUAL]] - (1/10)</f>
        <v>208.9</v>
      </c>
      <c r="BC556" s="320">
        <f>IF( tabItens[[#This Row],[PontoPed]]&gt;0, IF(tabItens[[#This Row],[PontoPed]]&lt;1, 1, IF( tabItens[[#This Row],[Saldo]]&gt;tabItens[[#This Row],[PontoPed]], 0, (tabItens[[#This Row],[PontoPed]]-tabItens[[#This Row],[Saldo]])/tabItens[[#This Row],[PontoPed]] ) ), 0 )</f>
        <v>0</v>
      </c>
      <c r="BD556" s="422">
        <f>ROUNDDOWN(IF( OR( AND(tabItens[[#This Row],[PontoPed]]&lt;tabItens[[#This Row],[Saldo]],tabItens[[#This Row],[Saldo]]&gt;0), tabItens[[#This Row],[PontoPed]]=0), 99, IF(AND(tabItens[[#This Row],[Saldo]]=0,tabItens[[#This Row],[PontoPed]]&gt;0), 0, (1-tabItens[[#This Row],[PctAb]])*10 ) ),0)</f>
        <v>99</v>
      </c>
      <c r="BE556" s="423">
        <f>MAX(ROUNDDOWN( IF(tabItens[[#This Row],[Abaixo]] &gt; 0,   tabItens[[#This Row],[Abaixo]] + (tabItens[[#This Row],[PontoMês]] * IF( OR( ISBLANK(tabItens[[#This Row],[ATA Nº/ANO]]), tabItens[[#This Row],[ATA Nº/ANO]] = ""),BE$2,BE$1)),0),0),0)</f>
        <v>0</v>
      </c>
      <c r="BF55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23">
        <f>SUMIF(Consumo!$C$3:$C$869,tabItens[[#This Row],[CÓDIGO]],Consumo!$E$3:$E$869)</f>
        <v>579</v>
      </c>
      <c r="BH556" s="324">
        <f>IF(AND(tabItens[[#This Row],[Pend]] &gt; 0,tabItens[[#This Row],[Consumo]] &lt;&gt; 0), tabItens[[#This Row],[Pend]] / tabItens[[#This Row],[Consumo]], 0 )</f>
        <v>7.3069156991418471E-2</v>
      </c>
      <c r="BI556" s="323"/>
      <c r="BJ556" s="424"/>
      <c r="BK556" s="425" t="s">
        <v>2064</v>
      </c>
    </row>
    <row r="557" spans="1:63" hidden="1" x14ac:dyDescent="0.3">
      <c r="A557" s="286">
        <v>140241</v>
      </c>
      <c r="B557" s="287" t="s">
        <v>2008</v>
      </c>
      <c r="C557" s="288" t="s">
        <v>331</v>
      </c>
      <c r="D557" s="289">
        <v>3.32</v>
      </c>
      <c r="E557" s="290"/>
      <c r="F557" s="290"/>
      <c r="G557" s="290" t="s">
        <v>883</v>
      </c>
      <c r="H557" s="291">
        <v>6</v>
      </c>
      <c r="I557" s="292">
        <v>103003</v>
      </c>
      <c r="J557" s="293">
        <v>3.32</v>
      </c>
      <c r="K557" s="294">
        <v>1632</v>
      </c>
      <c r="L557" s="295">
        <f>IF(tabItens[[#This Row],[Média]] &gt; 0, tabItens[[#This Row],[QTDE ATUAL]] / tabItens[[#This Row],[Média]],999.9)</f>
        <v>4.0404040404040407E-2</v>
      </c>
      <c r="M557" s="296">
        <v>0</v>
      </c>
      <c r="N557" s="297">
        <f>tabItens[[#This Row],[VALOR UNIT.]] * tabItens[[#This Row],[LC]]</f>
        <v>0</v>
      </c>
      <c r="O557" s="298" t="s">
        <v>2184</v>
      </c>
      <c r="P557" s="299"/>
      <c r="Q557" s="300"/>
      <c r="R557" s="297"/>
      <c r="S557" s="301"/>
      <c r="T557" s="302">
        <f>ROUNDDOWN(IFERROR(tabItens[[#This Row],[ATA DT.VALID.]] - $D$1,0) / 30,0)</f>
        <v>-1504</v>
      </c>
      <c r="U557" s="287" t="s">
        <v>1666</v>
      </c>
      <c r="V557" s="303">
        <v>1</v>
      </c>
      <c r="W557" s="304" t="s">
        <v>2055</v>
      </c>
      <c r="X557" s="305">
        <v>55</v>
      </c>
      <c r="Y557" s="306">
        <v>19</v>
      </c>
      <c r="Z557" s="307">
        <v>2448</v>
      </c>
      <c r="AA557" s="308">
        <v>2023</v>
      </c>
      <c r="AB557" s="309">
        <v>500</v>
      </c>
      <c r="AC557" s="309"/>
      <c r="AD557" s="308"/>
      <c r="AE557" s="309"/>
      <c r="AF557" s="302"/>
      <c r="AG557" s="310" t="s">
        <v>2050</v>
      </c>
      <c r="AH557" s="311"/>
      <c r="AI557" s="302">
        <v>594</v>
      </c>
      <c r="AJ557" s="311" t="s">
        <v>883</v>
      </c>
      <c r="AK557" s="311">
        <v>44132</v>
      </c>
      <c r="AL557" s="311">
        <v>44623</v>
      </c>
      <c r="AM557" s="301"/>
      <c r="AN557" s="290"/>
      <c r="AO557" s="312" t="str">
        <f>_xlfn.IFNA(IF(VLOOKUP(tabItens[[#This Row],[CÓDIGO]],tabExcluirDoEstoque[#Data],1,FALSE),"sim",""),"")</f>
        <v/>
      </c>
      <c r="AP557" s="313" t="str">
        <f ca="1">IF(OR(ISBLANK(tabItens[[#This Row],[ATA DT.VALID.]]),tabItens[[#This Row],[ATA DT.VALID.]]="",tabItens[[#This Row],[ATA DT.VALID.]]=" "),"",IF(TYPE(tabItens[[#This Row],[ATA DT.VALID.]])=1,ROUNDUP((tabItens[[#This Row],[ATA DT.VALID.]]-TODAY())/7,0),""))</f>
        <v/>
      </c>
      <c r="AQ557" s="314">
        <v>0</v>
      </c>
      <c r="AR557" s="315" t="str">
        <f>IF(ISBLANK(tabItens[[#This Row],[CÓDIGO]]),"",IFERROR(VLOOKUP(tabItens[[#This Row],[CÓDIGO]],Consumo!$C$2:$AC$869,26,FALSE),0))</f>
        <v>06.2023</v>
      </c>
      <c r="AS557" s="316">
        <f>SUMIF(Consumo!$C$3:$C$869,tabItens[[#This Row],[CÓDIGO]],Consumo!$N$3:$N$869) + SUMIF(Consumo!$C$3:$C$869,tabItens[[#This Row],[CÓDIGO]],Consumo!$O$3:$O$869) + SUMIF(Consumo!$C$3:$C$869,tabItens[[#This Row],[CÓDIGO]],Consumo!$P$3:$P$869) + SUMIF(Consumo!$C$3:$C$869,tabItens[[#This Row],[CÓDIGO]],Consumo!$Q$3:$Q$869)</f>
        <v>1124</v>
      </c>
      <c r="AT557" s="316">
        <f>SUMIF(Consumo!$C$3:$C$869,tabItens[[#This Row],[CÓDIGO]],Consumo!$Z$3:$Z$869)</f>
        <v>1782</v>
      </c>
      <c r="AU557" s="317">
        <f>SUMIF(Consumo!$C$3:$C$869,tabItens[[#This Row],[CÓDIGO]],Consumo!$AA$3:$AA$869)</f>
        <v>420</v>
      </c>
      <c r="AV557" s="318">
        <f>SUMIF(Consumo!$C$3:$C$869,tabItens[[#This Row],[CÓDIGO]],Consumo!$Y$3:$Y$869)</f>
        <v>148.5</v>
      </c>
      <c r="AW557" s="291">
        <f>tabItens[[#This Row],[QTDE ATUAL]] + tabItens[[#This Row],[RC QTDE]] + tabItens[[#This Row],[AF SALDO]] + tabItens[[#This Row],[Recentes]]</f>
        <v>506</v>
      </c>
      <c r="AX557" s="319">
        <v>78</v>
      </c>
      <c r="AY557" s="319">
        <v>4</v>
      </c>
      <c r="AZ557" s="319">
        <f>IF(ISBLANK(tabItens[[#This Row],[CÓDIGO]]),"",tabItens[[#This Row],[PontoMês]] * (AZ$2+tabItens[[#This Row],[PontoQtM]]))</f>
        <v>312</v>
      </c>
      <c r="BA557" s="318">
        <f>tabItens[[#This Row],[PontoPed]] - tabItens[[#This Row],[Saldo]] + (1/10)</f>
        <v>-193.9</v>
      </c>
      <c r="BB557" s="318">
        <f xml:space="preserve"> tabItens[[#This Row],[PontoMês]] * BB$2 - tabItens[[#This Row],[QTDE ATUAL]] - (1/10)</f>
        <v>71.900000000000006</v>
      </c>
      <c r="BC557" s="320">
        <f>IF( tabItens[[#This Row],[PontoPed]]&gt;0, IF(tabItens[[#This Row],[PontoPed]]&lt;1, 1, IF( tabItens[[#This Row],[Saldo]]&gt;tabItens[[#This Row],[PontoPed]], 0, (tabItens[[#This Row],[PontoPed]]-tabItens[[#This Row],[Saldo]])/tabItens[[#This Row],[PontoPed]] ) ), 0 )</f>
        <v>0</v>
      </c>
      <c r="BD557" s="321">
        <f>ROUNDDOWN(IF( OR( AND(tabItens[[#This Row],[PontoPed]]&lt;tabItens[[#This Row],[Saldo]],tabItens[[#This Row],[Saldo]]&gt;0), tabItens[[#This Row],[PontoPed]]=0), 99, IF(AND(tabItens[[#This Row],[Saldo]]=0,tabItens[[#This Row],[PontoPed]]&gt;0), 0, (1-tabItens[[#This Row],[PctAb]])*10 ) ),0)</f>
        <v>99</v>
      </c>
      <c r="BE557" s="322">
        <f>MAX(ROUNDDOWN( IF(tabItens[[#This Row],[Abaixo]] &gt; 0,   tabItens[[#This Row],[Abaixo]] + (tabItens[[#This Row],[PontoMês]] * IF( OR( ISBLANK(tabItens[[#This Row],[ATA Nº/ANO]]), tabItens[[#This Row],[ATA Nº/ANO]] = ""),BE$2,BE$1)),0),0),0)</f>
        <v>0</v>
      </c>
      <c r="BF55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23">
        <f>SUMIF(Consumo!$C$3:$C$869,tabItens[[#This Row],[CÓDIGO]],Consumo!$E$3:$E$869)</f>
        <v>0</v>
      </c>
      <c r="BH557" s="324">
        <f>IF(AND(tabItens[[#This Row],[Pend]] &gt; 0,tabItens[[#This Row],[Consumo]] &lt;&gt; 0), tabItens[[#This Row],[Pend]] / tabItens[[#This Row],[Consumo]], 0 )</f>
        <v>0</v>
      </c>
      <c r="BI557" s="323"/>
      <c r="BJ557" s="323"/>
      <c r="BK557" s="325" t="s">
        <v>2064</v>
      </c>
    </row>
    <row r="558" spans="1:63" hidden="1" x14ac:dyDescent="0.3">
      <c r="A558" s="286">
        <v>140242</v>
      </c>
      <c r="B558" s="287" t="s">
        <v>2009</v>
      </c>
      <c r="C558" s="288" t="s">
        <v>331</v>
      </c>
      <c r="D558" s="289">
        <v>15.5</v>
      </c>
      <c r="E558" s="290"/>
      <c r="F558" s="290"/>
      <c r="G558" s="290" t="s">
        <v>883</v>
      </c>
      <c r="H558" s="291">
        <v>933</v>
      </c>
      <c r="I558" s="292">
        <v>103003</v>
      </c>
      <c r="J558" s="293">
        <v>15.5</v>
      </c>
      <c r="K558" s="294">
        <v>985</v>
      </c>
      <c r="L558" s="295">
        <f>IF(tabItens[[#This Row],[Média]] &gt; 0, tabItens[[#This Row],[QTDE ATUAL]] / tabItens[[#This Row],[Média]],999.9)</f>
        <v>12.810068649885585</v>
      </c>
      <c r="M558" s="296">
        <v>0</v>
      </c>
      <c r="N558" s="297">
        <f>tabItens[[#This Row],[VALOR UNIT.]] * tabItens[[#This Row],[LC]]</f>
        <v>0</v>
      </c>
      <c r="O558" s="298" t="s">
        <v>2184</v>
      </c>
      <c r="P558" s="299"/>
      <c r="Q558" s="300"/>
      <c r="R558" s="297"/>
      <c r="S558" s="301"/>
      <c r="T558" s="302">
        <f>ROUNDDOWN(IFERROR(tabItens[[#This Row],[ATA DT.VALID.]] - $D$1,0) / 30,0)</f>
        <v>-1504</v>
      </c>
      <c r="U558" s="287" t="s">
        <v>1666</v>
      </c>
      <c r="V558" s="303">
        <v>1</v>
      </c>
      <c r="W558" s="304" t="s">
        <v>2055</v>
      </c>
      <c r="X558" s="305">
        <v>55</v>
      </c>
      <c r="Y558" s="306">
        <v>19</v>
      </c>
      <c r="Z558" s="307"/>
      <c r="AA558" s="308"/>
      <c r="AB558" s="309"/>
      <c r="AC558" s="309"/>
      <c r="AD558" s="308"/>
      <c r="AE558" s="309"/>
      <c r="AF558" s="302"/>
      <c r="AG558" s="310" t="s">
        <v>2050</v>
      </c>
      <c r="AH558" s="311"/>
      <c r="AI558" s="302">
        <v>328</v>
      </c>
      <c r="AJ558" s="311">
        <v>44876</v>
      </c>
      <c r="AK558" s="311">
        <v>44132</v>
      </c>
      <c r="AL558" s="311">
        <v>44845</v>
      </c>
      <c r="AM558" s="301"/>
      <c r="AN558" s="290"/>
      <c r="AO558" s="312" t="str">
        <f>_xlfn.IFNA(IF(VLOOKUP(tabItens[[#This Row],[CÓDIGO]],tabExcluirDoEstoque[#Data],1,FALSE),"sim",""),"")</f>
        <v/>
      </c>
      <c r="AP558" s="313" t="str">
        <f ca="1">IF(OR(ISBLANK(tabItens[[#This Row],[ATA DT.VALID.]]),tabItens[[#This Row],[ATA DT.VALID.]]="",tabItens[[#This Row],[ATA DT.VALID.]]=" "),"",IF(TYPE(tabItens[[#This Row],[ATA DT.VALID.]])=1,ROUNDUP((tabItens[[#This Row],[ATA DT.VALID.]]-TODAY())/7,0),""))</f>
        <v/>
      </c>
      <c r="AQ558" s="314">
        <v>0</v>
      </c>
      <c r="AR558" s="315" t="str">
        <f>IF(ISBLANK(tabItens[[#This Row],[CÓDIGO]]),"",IFERROR(VLOOKUP(tabItens[[#This Row],[CÓDIGO]],Consumo!$C$2:$AC$869,26,FALSE),0))</f>
        <v>05.2023</v>
      </c>
      <c r="AS558" s="316">
        <f>SUMIF(Consumo!$C$3:$C$869,tabItens[[#This Row],[CÓDIGO]],Consumo!$N$3:$N$869) + SUMIF(Consumo!$C$3:$C$869,tabItens[[#This Row],[CÓDIGO]],Consumo!$O$3:$O$869) + SUMIF(Consumo!$C$3:$C$869,tabItens[[#This Row],[CÓDIGO]],Consumo!$P$3:$P$869) + SUMIF(Consumo!$C$3:$C$869,tabItens[[#This Row],[CÓDIGO]],Consumo!$Q$3:$Q$869)</f>
        <v>500</v>
      </c>
      <c r="AT558" s="316">
        <f>SUMIF(Consumo!$C$3:$C$869,tabItens[[#This Row],[CÓDIGO]],Consumo!$Z$3:$Z$869)</f>
        <v>985</v>
      </c>
      <c r="AU558" s="317">
        <f>SUMIF(Consumo!$C$3:$C$869,tabItens[[#This Row],[CÓDIGO]],Consumo!$AA$3:$AA$869)</f>
        <v>500</v>
      </c>
      <c r="AV558" s="318">
        <f>SUMIF(Consumo!$C$3:$C$869,tabItens[[#This Row],[CÓDIGO]],Consumo!$Y$3:$Y$869)</f>
        <v>72.833333333333329</v>
      </c>
      <c r="AW558" s="291">
        <f>tabItens[[#This Row],[QTDE ATUAL]] + tabItens[[#This Row],[RC QTDE]] + tabItens[[#This Row],[AF SALDO]] + tabItens[[#This Row],[Recentes]]</f>
        <v>933</v>
      </c>
      <c r="AX558" s="319">
        <v>0</v>
      </c>
      <c r="AY558" s="319">
        <v>4</v>
      </c>
      <c r="AZ558" s="319">
        <f>IF(ISBLANK(tabItens[[#This Row],[CÓDIGO]]),"",tabItens[[#This Row],[PontoMês]] * (AZ$2+tabItens[[#This Row],[PontoQtM]]))</f>
        <v>0</v>
      </c>
      <c r="BA558" s="318">
        <f>tabItens[[#This Row],[PontoPed]] - tabItens[[#This Row],[Saldo]] + (1/10)</f>
        <v>-932.9</v>
      </c>
      <c r="BB558" s="318">
        <f xml:space="preserve"> tabItens[[#This Row],[PontoMês]] * BB$2 - tabItens[[#This Row],[QTDE ATUAL]] - (1/10)</f>
        <v>-933.1</v>
      </c>
      <c r="BC558" s="320">
        <f>IF( tabItens[[#This Row],[PontoPed]]&gt;0, IF(tabItens[[#This Row],[PontoPed]]&lt;1, 1, IF( tabItens[[#This Row],[Saldo]]&gt;tabItens[[#This Row],[PontoPed]], 0, (tabItens[[#This Row],[PontoPed]]-tabItens[[#This Row],[Saldo]])/tabItens[[#This Row],[PontoPed]] ) ), 0 )</f>
        <v>0</v>
      </c>
      <c r="BD558" s="321">
        <f>ROUNDDOWN(IF( OR( AND(tabItens[[#This Row],[PontoPed]]&lt;tabItens[[#This Row],[Saldo]],tabItens[[#This Row],[Saldo]]&gt;0), tabItens[[#This Row],[PontoPed]]=0), 99, IF(AND(tabItens[[#This Row],[Saldo]]=0,tabItens[[#This Row],[PontoPed]]&gt;0), 0, (1-tabItens[[#This Row],[PctAb]])*10 ) ),0)</f>
        <v>99</v>
      </c>
      <c r="BE558" s="322">
        <f>MAX(ROUNDDOWN( IF(tabItens[[#This Row],[Abaixo]] &gt; 0,   tabItens[[#This Row],[Abaixo]] + (tabItens[[#This Row],[PontoMês]] * IF( OR( ISBLANK(tabItens[[#This Row],[ATA Nº/ANO]]), tabItens[[#This Row],[ATA Nº/ANO]] = ""),BE$2,BE$1)),0),0),0)</f>
        <v>0</v>
      </c>
      <c r="BF55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23">
        <f>SUMIF(Consumo!$C$3:$C$869,tabItens[[#This Row],[CÓDIGO]],Consumo!$E$3:$E$869)</f>
        <v>0</v>
      </c>
      <c r="BH558" s="324">
        <f>IF(AND(tabItens[[#This Row],[Pend]] &gt; 0,tabItens[[#This Row],[Consumo]] &lt;&gt; 0), tabItens[[#This Row],[Pend]] / tabItens[[#This Row],[Consumo]], 0 )</f>
        <v>0</v>
      </c>
      <c r="BI558" s="323"/>
      <c r="BJ558" s="323"/>
      <c r="BK558" s="325" t="s">
        <v>2064</v>
      </c>
    </row>
    <row r="559" spans="1:63" hidden="1" x14ac:dyDescent="0.3">
      <c r="A559" s="286">
        <v>77819</v>
      </c>
      <c r="B559" s="287" t="s">
        <v>1427</v>
      </c>
      <c r="C559" s="288" t="s">
        <v>616</v>
      </c>
      <c r="D559" s="289">
        <v>27.65</v>
      </c>
      <c r="E559" s="290"/>
      <c r="F559" s="290"/>
      <c r="G559" s="290" t="s">
        <v>883</v>
      </c>
      <c r="H559" s="291">
        <v>3686</v>
      </c>
      <c r="I559" s="292">
        <v>103003</v>
      </c>
      <c r="J559" s="293">
        <v>27.65</v>
      </c>
      <c r="K559" s="294">
        <v>1752</v>
      </c>
      <c r="L559" s="295">
        <f>IF(tabItens[[#This Row],[Média]] &gt; 0, tabItens[[#This Row],[QTDE ATUAL]] / tabItens[[#This Row],[Média]],999.9)</f>
        <v>15.294605809128631</v>
      </c>
      <c r="M559" s="296">
        <v>0</v>
      </c>
      <c r="N559" s="297">
        <f>tabItens[[#This Row],[VALOR UNIT.]] * tabItens[[#This Row],[LC]]</f>
        <v>0</v>
      </c>
      <c r="O559" s="298" t="s">
        <v>2138</v>
      </c>
      <c r="P559" s="299"/>
      <c r="Q559" s="300"/>
      <c r="R559" s="297"/>
      <c r="S559" s="301"/>
      <c r="T559" s="302">
        <f>ROUNDDOWN(IFERROR(tabItens[[#This Row],[ATA DT.VALID.]] - $D$1,0) / 30,0)</f>
        <v>-1504</v>
      </c>
      <c r="U559" s="287" t="s">
        <v>1428</v>
      </c>
      <c r="V559" s="303">
        <v>1</v>
      </c>
      <c r="W559" s="304" t="s">
        <v>2051</v>
      </c>
      <c r="X559" s="305">
        <v>52</v>
      </c>
      <c r="Y559" s="306">
        <v>15</v>
      </c>
      <c r="Z559" s="307">
        <v>2998</v>
      </c>
      <c r="AA559" s="308">
        <v>2023</v>
      </c>
      <c r="AB559" s="309">
        <v>500</v>
      </c>
      <c r="AC559" s="309"/>
      <c r="AD559" s="308"/>
      <c r="AE559" s="309"/>
      <c r="AF559" s="302"/>
      <c r="AG559" s="310" t="s">
        <v>2050</v>
      </c>
      <c r="AH559" s="311"/>
      <c r="AI559" s="302">
        <v>1290</v>
      </c>
      <c r="AJ559" s="311">
        <v>44942</v>
      </c>
      <c r="AK559" s="311">
        <v>38065</v>
      </c>
      <c r="AL559" s="311">
        <v>44895</v>
      </c>
      <c r="AM559" s="301"/>
      <c r="AN559" s="290"/>
      <c r="AO559" s="312" t="str">
        <f>_xlfn.IFNA(IF(VLOOKUP(tabItens[[#This Row],[CÓDIGO]],tabExcluirDoEstoque[#Data],1,FALSE),"sim",""),"")</f>
        <v/>
      </c>
      <c r="AP559" s="313" t="str">
        <f ca="1">IF(OR(ISBLANK(tabItens[[#This Row],[ATA DT.VALID.]]),tabItens[[#This Row],[ATA DT.VALID.]]="",tabItens[[#This Row],[ATA DT.VALID.]]=" "),"",IF(TYPE(tabItens[[#This Row],[ATA DT.VALID.]])=1,ROUNDUP((tabItens[[#This Row],[ATA DT.VALID.]]-TODAY())/7,0),""))</f>
        <v/>
      </c>
      <c r="AQ559" s="314">
        <v>0</v>
      </c>
      <c r="AR559" s="315" t="str">
        <f>IF(ISBLANK(tabItens[[#This Row],[CÓDIGO]]),"",IFERROR(VLOOKUP(tabItens[[#This Row],[CÓDIGO]],Consumo!$C$2:$AC$869,26,FALSE),0))</f>
        <v>07.2023</v>
      </c>
      <c r="AS559" s="316">
        <f>SUMIF(Consumo!$C$3:$C$869,tabItens[[#This Row],[CÓDIGO]],Consumo!$N$3:$N$869) + SUMIF(Consumo!$C$3:$C$869,tabItens[[#This Row],[CÓDIGO]],Consumo!$O$3:$O$869) + SUMIF(Consumo!$C$3:$C$869,tabItens[[#This Row],[CÓDIGO]],Consumo!$P$3:$P$869) + SUMIF(Consumo!$C$3:$C$869,tabItens[[#This Row],[CÓDIGO]],Consumo!$Q$3:$Q$869)</f>
        <v>963</v>
      </c>
      <c r="AT559" s="316">
        <f>SUMIF(Consumo!$C$3:$C$869,tabItens[[#This Row],[CÓDIGO]],Consumo!$Z$3:$Z$869)</f>
        <v>2892</v>
      </c>
      <c r="AU559" s="317">
        <f>SUMIF(Consumo!$C$3:$C$869,tabItens[[#This Row],[CÓDIGO]],Consumo!$AA$3:$AA$869)</f>
        <v>380</v>
      </c>
      <c r="AV559" s="318">
        <f>SUMIF(Consumo!$C$3:$C$869,tabItens[[#This Row],[CÓDIGO]],Consumo!$Y$3:$Y$869)</f>
        <v>241</v>
      </c>
      <c r="AW559" s="291">
        <f>tabItens[[#This Row],[QTDE ATUAL]] + tabItens[[#This Row],[RC QTDE]] + tabItens[[#This Row],[AF SALDO]] + tabItens[[#This Row],[Recentes]]</f>
        <v>4186</v>
      </c>
      <c r="AX559" s="319">
        <v>123</v>
      </c>
      <c r="AY559" s="319">
        <v>4</v>
      </c>
      <c r="AZ559" s="319">
        <f>IF(ISBLANK(tabItens[[#This Row],[CÓDIGO]]),"",tabItens[[#This Row],[PontoMês]] * (AZ$2+tabItens[[#This Row],[PontoQtM]]))</f>
        <v>492</v>
      </c>
      <c r="BA559" s="318">
        <f>tabItens[[#This Row],[PontoPed]] - tabItens[[#This Row],[Saldo]] + (1/10)</f>
        <v>-3693.9</v>
      </c>
      <c r="BB559" s="318">
        <f xml:space="preserve"> tabItens[[#This Row],[PontoMês]] * BB$2 - tabItens[[#This Row],[QTDE ATUAL]] - (1/10)</f>
        <v>-3563.1</v>
      </c>
      <c r="BC559" s="320">
        <f>IF( tabItens[[#This Row],[PontoPed]]&gt;0, IF(tabItens[[#This Row],[PontoPed]]&lt;1, 1, IF( tabItens[[#This Row],[Saldo]]&gt;tabItens[[#This Row],[PontoPed]], 0, (tabItens[[#This Row],[PontoPed]]-tabItens[[#This Row],[Saldo]])/tabItens[[#This Row],[PontoPed]] ) ), 0 )</f>
        <v>0</v>
      </c>
      <c r="BD559" s="321">
        <f>ROUNDDOWN(IF( OR( AND(tabItens[[#This Row],[PontoPed]]&lt;tabItens[[#This Row],[Saldo]],tabItens[[#This Row],[Saldo]]&gt;0), tabItens[[#This Row],[PontoPed]]=0), 99, IF(AND(tabItens[[#This Row],[Saldo]]=0,tabItens[[#This Row],[PontoPed]]&gt;0), 0, (1-tabItens[[#This Row],[PctAb]])*10 ) ),0)</f>
        <v>99</v>
      </c>
      <c r="BE559" s="322">
        <f>MAX(ROUNDDOWN( IF(tabItens[[#This Row],[Abaixo]] &gt; 0,   tabItens[[#This Row],[Abaixo]] + (tabItens[[#This Row],[PontoMês]] * IF( OR( ISBLANK(tabItens[[#This Row],[ATA Nº/ANO]]), tabItens[[#This Row],[ATA Nº/ANO]] = ""),BE$2,BE$1)),0),0),0)</f>
        <v>0</v>
      </c>
      <c r="BF55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23">
        <f>SUMIF(Consumo!$C$3:$C$869,tabItens[[#This Row],[CÓDIGO]],Consumo!$E$3:$E$869)</f>
        <v>0</v>
      </c>
      <c r="BH559" s="324">
        <f>IF(AND(tabItens[[#This Row],[Pend]] &gt; 0,tabItens[[#This Row],[Consumo]] &lt;&gt; 0), tabItens[[#This Row],[Pend]] / tabItens[[#This Row],[Consumo]], 0 )</f>
        <v>0</v>
      </c>
      <c r="BI559" s="323"/>
      <c r="BJ559" s="323"/>
      <c r="BK559" s="325" t="s">
        <v>2064</v>
      </c>
    </row>
    <row r="560" spans="1:63" hidden="1" x14ac:dyDescent="0.3">
      <c r="A560" s="286">
        <v>115282</v>
      </c>
      <c r="B560" s="287" t="s">
        <v>1705</v>
      </c>
      <c r="C560" s="288" t="s">
        <v>616</v>
      </c>
      <c r="D560" s="289">
        <v>39.9</v>
      </c>
      <c r="E560" s="290"/>
      <c r="F560" s="290"/>
      <c r="G560" s="290" t="s">
        <v>883</v>
      </c>
      <c r="H560" s="291">
        <v>1137</v>
      </c>
      <c r="I560" s="292">
        <v>103003</v>
      </c>
      <c r="J560" s="293">
        <v>39.9</v>
      </c>
      <c r="K560" s="294">
        <v>616</v>
      </c>
      <c r="L560" s="295">
        <f>IF(tabItens[[#This Row],[Média]] &gt; 0, tabItens[[#This Row],[QTDE ATUAL]] / tabItens[[#This Row],[Média]],999.9)</f>
        <v>19.831395348837209</v>
      </c>
      <c r="M560" s="296">
        <v>0</v>
      </c>
      <c r="N560" s="297">
        <f>tabItens[[#This Row],[VALOR UNIT.]] * tabItens[[#This Row],[LC]]</f>
        <v>0</v>
      </c>
      <c r="O560" s="298" t="s">
        <v>2161</v>
      </c>
      <c r="P560" s="299"/>
      <c r="Q560" s="300"/>
      <c r="R560" s="297"/>
      <c r="S560" s="301"/>
      <c r="T560" s="302">
        <f>ROUNDDOWN(IFERROR(tabItens[[#This Row],[ATA DT.VALID.]] - $D$1,0) / 30,0)</f>
        <v>-1504</v>
      </c>
      <c r="U560" s="287" t="s">
        <v>1706</v>
      </c>
      <c r="V560" s="303">
        <v>1</v>
      </c>
      <c r="W560" s="304" t="s">
        <v>2051</v>
      </c>
      <c r="X560" s="305">
        <v>73</v>
      </c>
      <c r="Y560" s="306">
        <v>10</v>
      </c>
      <c r="Z560" s="307">
        <v>2924</v>
      </c>
      <c r="AA560" s="308">
        <v>2023</v>
      </c>
      <c r="AB560" s="309">
        <v>1000</v>
      </c>
      <c r="AC560" s="309"/>
      <c r="AD560" s="308"/>
      <c r="AE560" s="309"/>
      <c r="AF560" s="302"/>
      <c r="AG560" s="310" t="s">
        <v>2050</v>
      </c>
      <c r="AH560" s="311"/>
      <c r="AI560" s="302">
        <v>242</v>
      </c>
      <c r="AJ560" s="311">
        <v>44914</v>
      </c>
      <c r="AK560" s="311">
        <v>40312</v>
      </c>
      <c r="AL560" s="311">
        <v>45076</v>
      </c>
      <c r="AM560" s="301"/>
      <c r="AN560" s="290"/>
      <c r="AO560" s="312" t="str">
        <f>_xlfn.IFNA(IF(VLOOKUP(tabItens[[#This Row],[CÓDIGO]],tabExcluirDoEstoque[#Data],1,FALSE),"sim",""),"")</f>
        <v/>
      </c>
      <c r="AP560" s="313" t="str">
        <f ca="1">IF(OR(ISBLANK(tabItens[[#This Row],[ATA DT.VALID.]]),tabItens[[#This Row],[ATA DT.VALID.]]="",tabItens[[#This Row],[ATA DT.VALID.]]=" "),"",IF(TYPE(tabItens[[#This Row],[ATA DT.VALID.]])=1,ROUNDUP((tabItens[[#This Row],[ATA DT.VALID.]]-TODAY())/7,0),""))</f>
        <v/>
      </c>
      <c r="AQ560" s="314">
        <v>0</v>
      </c>
      <c r="AR560" s="315" t="str">
        <f>IF(ISBLANK(tabItens[[#This Row],[CÓDIGO]]),"",IFERROR(VLOOKUP(tabItens[[#This Row],[CÓDIGO]],Consumo!$C$2:$AC$869,26,FALSE),0))</f>
        <v>07.2023</v>
      </c>
      <c r="AS560" s="316">
        <f>SUMIF(Consumo!$C$3:$C$869,tabItens[[#This Row],[CÓDIGO]],Consumo!$N$3:$N$869) + SUMIF(Consumo!$C$3:$C$869,tabItens[[#This Row],[CÓDIGO]],Consumo!$O$3:$O$869) + SUMIF(Consumo!$C$3:$C$869,tabItens[[#This Row],[CÓDIGO]],Consumo!$P$3:$P$869) + SUMIF(Consumo!$C$3:$C$869,tabItens[[#This Row],[CÓDIGO]],Consumo!$Q$3:$Q$869)</f>
        <v>118</v>
      </c>
      <c r="AT560" s="316">
        <f>SUMIF(Consumo!$C$3:$C$869,tabItens[[#This Row],[CÓDIGO]],Consumo!$Z$3:$Z$869)</f>
        <v>730</v>
      </c>
      <c r="AU560" s="317">
        <f>SUMIF(Consumo!$C$3:$C$869,tabItens[[#This Row],[CÓDIGO]],Consumo!$AA$3:$AA$869)</f>
        <v>250</v>
      </c>
      <c r="AV560" s="318">
        <f>SUMIF(Consumo!$C$3:$C$869,tabItens[[#This Row],[CÓDIGO]],Consumo!$Y$3:$Y$869)</f>
        <v>57.333333333333336</v>
      </c>
      <c r="AW560" s="291">
        <f>tabItens[[#This Row],[QTDE ATUAL]] + tabItens[[#This Row],[RC QTDE]] + tabItens[[#This Row],[AF SALDO]] + tabItens[[#This Row],[Recentes]]</f>
        <v>2137</v>
      </c>
      <c r="AX560" s="319">
        <v>37</v>
      </c>
      <c r="AY560" s="319">
        <v>4</v>
      </c>
      <c r="AZ560" s="319">
        <f>IF(ISBLANK(tabItens[[#This Row],[CÓDIGO]]),"",tabItens[[#This Row],[PontoMês]] * (AZ$2+tabItens[[#This Row],[PontoQtM]]))</f>
        <v>148</v>
      </c>
      <c r="BA560" s="318">
        <f>tabItens[[#This Row],[PontoPed]] - tabItens[[#This Row],[Saldo]] + (1/10)</f>
        <v>-1988.9</v>
      </c>
      <c r="BB560" s="318">
        <f xml:space="preserve"> tabItens[[#This Row],[PontoMês]] * BB$2 - tabItens[[#This Row],[QTDE ATUAL]] - (1/10)</f>
        <v>-1100.0999999999999</v>
      </c>
      <c r="BC560" s="320">
        <f>IF( tabItens[[#This Row],[PontoPed]]&gt;0, IF(tabItens[[#This Row],[PontoPed]]&lt;1, 1, IF( tabItens[[#This Row],[Saldo]]&gt;tabItens[[#This Row],[PontoPed]], 0, (tabItens[[#This Row],[PontoPed]]-tabItens[[#This Row],[Saldo]])/tabItens[[#This Row],[PontoPed]] ) ), 0 )</f>
        <v>0</v>
      </c>
      <c r="BD560" s="321">
        <f>ROUNDDOWN(IF( OR( AND(tabItens[[#This Row],[PontoPed]]&lt;tabItens[[#This Row],[Saldo]],tabItens[[#This Row],[Saldo]]&gt;0), tabItens[[#This Row],[PontoPed]]=0), 99, IF(AND(tabItens[[#This Row],[Saldo]]=0,tabItens[[#This Row],[PontoPed]]&gt;0), 0, (1-tabItens[[#This Row],[PctAb]])*10 ) ),0)</f>
        <v>99</v>
      </c>
      <c r="BE560" s="322">
        <f>MAX(ROUNDDOWN( IF(tabItens[[#This Row],[Abaixo]] &gt; 0,   tabItens[[#This Row],[Abaixo]] + (tabItens[[#This Row],[PontoMês]] * IF( OR( ISBLANK(tabItens[[#This Row],[ATA Nº/ANO]]), tabItens[[#This Row],[ATA Nº/ANO]] = ""),BE$2,BE$1)),0),0),0)</f>
        <v>0</v>
      </c>
      <c r="BF56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23">
        <f>SUMIF(Consumo!$C$3:$C$869,tabItens[[#This Row],[CÓDIGO]],Consumo!$E$3:$E$869)</f>
        <v>3</v>
      </c>
      <c r="BH560" s="324">
        <f>IF(AND(tabItens[[#This Row],[Pend]] &gt; 0,tabItens[[#This Row],[Consumo]] &lt;&gt; 0), tabItens[[#This Row],[Pend]] / tabItens[[#This Row],[Consumo]], 0 )</f>
        <v>4.10958904109589E-3</v>
      </c>
      <c r="BI560" s="323"/>
      <c r="BJ560" s="323"/>
      <c r="BK560" s="325" t="s">
        <v>2064</v>
      </c>
    </row>
    <row r="561" spans="1:63" hidden="1" x14ac:dyDescent="0.3">
      <c r="A561" s="286">
        <v>14921</v>
      </c>
      <c r="B561" s="287" t="s">
        <v>1076</v>
      </c>
      <c r="C561" s="288" t="s">
        <v>281</v>
      </c>
      <c r="D561" s="289">
        <v>4.3499999999999996</v>
      </c>
      <c r="E561" s="290"/>
      <c r="F561" s="290"/>
      <c r="G561" s="290" t="s">
        <v>883</v>
      </c>
      <c r="H561" s="291">
        <v>616</v>
      </c>
      <c r="I561" s="292">
        <v>103003</v>
      </c>
      <c r="J561" s="293">
        <v>4.3499999999999996</v>
      </c>
      <c r="K561" s="294">
        <v>764</v>
      </c>
      <c r="L561" s="295">
        <f>IF(tabItens[[#This Row],[Média]] &gt; 0, tabItens[[#This Row],[QTDE ATUAL]] / tabItens[[#This Row],[Média]],999.9)</f>
        <v>5.80675569520817</v>
      </c>
      <c r="M561" s="296">
        <v>0</v>
      </c>
      <c r="N561" s="297">
        <f>tabItens[[#This Row],[VALOR UNIT.]] * tabItens[[#This Row],[LC]]</f>
        <v>0</v>
      </c>
      <c r="O561" s="298" t="s">
        <v>2098</v>
      </c>
      <c r="P561" s="299"/>
      <c r="Q561" s="300"/>
      <c r="R561" s="297"/>
      <c r="S561" s="301"/>
      <c r="T561" s="302">
        <f>ROUNDDOWN(IFERROR(tabItens[[#This Row],[ATA DT.VALID.]] - $D$1,0) / 30,0)</f>
        <v>-1504</v>
      </c>
      <c r="U561" s="287" t="s">
        <v>1070</v>
      </c>
      <c r="V561" s="303">
        <v>1</v>
      </c>
      <c r="W561" s="304" t="s">
        <v>2055</v>
      </c>
      <c r="X561" s="305">
        <v>55</v>
      </c>
      <c r="Y561" s="306">
        <v>40</v>
      </c>
      <c r="Z561" s="307">
        <v>2698</v>
      </c>
      <c r="AA561" s="308">
        <v>2023</v>
      </c>
      <c r="AB561" s="309">
        <v>800</v>
      </c>
      <c r="AC561" s="309"/>
      <c r="AD561" s="308"/>
      <c r="AE561" s="309"/>
      <c r="AF561" s="302"/>
      <c r="AG561" s="310" t="s">
        <v>2050</v>
      </c>
      <c r="AH561" s="311"/>
      <c r="AI561" s="302">
        <v>424</v>
      </c>
      <c r="AJ561" s="311">
        <v>44545</v>
      </c>
      <c r="AK561" s="311" t="s">
        <v>883</v>
      </c>
      <c r="AL561" s="311">
        <v>44917</v>
      </c>
      <c r="AM561" s="301"/>
      <c r="AN561" s="290"/>
      <c r="AO561" s="312" t="str">
        <f>_xlfn.IFNA(IF(VLOOKUP(tabItens[[#This Row],[CÓDIGO]],tabExcluirDoEstoque[#Data],1,FALSE),"sim",""),"")</f>
        <v/>
      </c>
      <c r="AP561" s="313" t="str">
        <f ca="1">IF(OR(ISBLANK(tabItens[[#This Row],[ATA DT.VALID.]]),tabItens[[#This Row],[ATA DT.VALID.]]="",tabItens[[#This Row],[ATA DT.VALID.]]=" "),"",IF(TYPE(tabItens[[#This Row],[ATA DT.VALID.]])=1,ROUNDUP((tabItens[[#This Row],[ATA DT.VALID.]]-TODAY())/7,0),""))</f>
        <v/>
      </c>
      <c r="AQ561" s="314">
        <v>0</v>
      </c>
      <c r="AR561" s="315" t="str">
        <f>IF(ISBLANK(tabItens[[#This Row],[CÓDIGO]]),"",IFERROR(VLOOKUP(tabItens[[#This Row],[CÓDIGO]],Consumo!$C$2:$AC$869,26,FALSE),0))</f>
        <v>07.2023</v>
      </c>
      <c r="AS561" s="316">
        <f>SUMIF(Consumo!$C$3:$C$869,tabItens[[#This Row],[CÓDIGO]],Consumo!$N$3:$N$869) + SUMIF(Consumo!$C$3:$C$869,tabItens[[#This Row],[CÓDIGO]],Consumo!$O$3:$O$869) + SUMIF(Consumo!$C$3:$C$869,tabItens[[#This Row],[CÓDIGO]],Consumo!$P$3:$P$869) + SUMIF(Consumo!$C$3:$C$869,tabItens[[#This Row],[CÓDIGO]],Consumo!$Q$3:$Q$869)</f>
        <v>423</v>
      </c>
      <c r="AT561" s="316">
        <f>SUMIF(Consumo!$C$3:$C$869,tabItens[[#This Row],[CÓDIGO]],Consumo!$Z$3:$Z$869)</f>
        <v>1273</v>
      </c>
      <c r="AU561" s="317">
        <f>SUMIF(Consumo!$C$3:$C$869,tabItens[[#This Row],[CÓDIGO]],Consumo!$AA$3:$AA$869)</f>
        <v>155</v>
      </c>
      <c r="AV561" s="318">
        <f>SUMIF(Consumo!$C$3:$C$869,tabItens[[#This Row],[CÓDIGO]],Consumo!$Y$3:$Y$869)</f>
        <v>106.08333333333333</v>
      </c>
      <c r="AW561" s="291">
        <f>tabItens[[#This Row],[QTDE ATUAL]] + tabItens[[#This Row],[RC QTDE]] + tabItens[[#This Row],[AF SALDO]] + tabItens[[#This Row],[Recentes]]</f>
        <v>1416</v>
      </c>
      <c r="AX561" s="319">
        <v>102</v>
      </c>
      <c r="AY561" s="319">
        <v>4</v>
      </c>
      <c r="AZ561" s="319">
        <f>IF(ISBLANK(tabItens[[#This Row],[CÓDIGO]]),"",tabItens[[#This Row],[PontoMês]] * (AZ$2+tabItens[[#This Row],[PontoQtM]]))</f>
        <v>408</v>
      </c>
      <c r="BA561" s="318">
        <f>tabItens[[#This Row],[PontoPed]] - tabItens[[#This Row],[Saldo]] + (1/10)</f>
        <v>-1007.9</v>
      </c>
      <c r="BB561" s="318">
        <f xml:space="preserve"> tabItens[[#This Row],[PontoMês]] * BB$2 - tabItens[[#This Row],[QTDE ATUAL]] - (1/10)</f>
        <v>-514.1</v>
      </c>
      <c r="BC561" s="320">
        <f>IF( tabItens[[#This Row],[PontoPed]]&gt;0, IF(tabItens[[#This Row],[PontoPed]]&lt;1, 1, IF( tabItens[[#This Row],[Saldo]]&gt;tabItens[[#This Row],[PontoPed]], 0, (tabItens[[#This Row],[PontoPed]]-tabItens[[#This Row],[Saldo]])/tabItens[[#This Row],[PontoPed]] ) ), 0 )</f>
        <v>0</v>
      </c>
      <c r="BD561" s="321">
        <f>ROUNDDOWN(IF( OR( AND(tabItens[[#This Row],[PontoPed]]&lt;tabItens[[#This Row],[Saldo]],tabItens[[#This Row],[Saldo]]&gt;0), tabItens[[#This Row],[PontoPed]]=0), 99, IF(AND(tabItens[[#This Row],[Saldo]]=0,tabItens[[#This Row],[PontoPed]]&gt;0), 0, (1-tabItens[[#This Row],[PctAb]])*10 ) ),0)</f>
        <v>99</v>
      </c>
      <c r="BE561" s="322">
        <f>MAX(ROUNDDOWN( IF(tabItens[[#This Row],[Abaixo]] &gt; 0,   tabItens[[#This Row],[Abaixo]] + (tabItens[[#This Row],[PontoMês]] * IF( OR( ISBLANK(tabItens[[#This Row],[ATA Nº/ANO]]), tabItens[[#This Row],[ATA Nº/ANO]] = ""),BE$2,BE$1)),0),0),0)</f>
        <v>0</v>
      </c>
      <c r="BF56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23">
        <f>SUMIF(Consumo!$C$3:$C$869,tabItens[[#This Row],[CÓDIGO]],Consumo!$E$3:$E$869)</f>
        <v>0</v>
      </c>
      <c r="BH561" s="324">
        <f>IF(AND(tabItens[[#This Row],[Pend]] &gt; 0,tabItens[[#This Row],[Consumo]] &lt;&gt; 0), tabItens[[#This Row],[Pend]] / tabItens[[#This Row],[Consumo]], 0 )</f>
        <v>0</v>
      </c>
      <c r="BI561" s="323"/>
      <c r="BJ561" s="323"/>
      <c r="BK561" s="325" t="s">
        <v>2064</v>
      </c>
    </row>
    <row r="562" spans="1:63" hidden="1" x14ac:dyDescent="0.3">
      <c r="A562" s="286">
        <v>52129</v>
      </c>
      <c r="B562" s="287" t="s">
        <v>1300</v>
      </c>
      <c r="C562" s="288" t="s">
        <v>256</v>
      </c>
      <c r="D562" s="289">
        <v>7.79</v>
      </c>
      <c r="E562" s="290"/>
      <c r="F562" s="290"/>
      <c r="G562" s="290" t="s">
        <v>883</v>
      </c>
      <c r="H562" s="291">
        <v>455</v>
      </c>
      <c r="I562" s="292">
        <v>103003</v>
      </c>
      <c r="J562" s="293">
        <v>7.79</v>
      </c>
      <c r="K562" s="294">
        <v>215</v>
      </c>
      <c r="L562" s="295">
        <f>IF(tabItens[[#This Row],[Média]] &gt; 0, tabItens[[#This Row],[QTDE ATUAL]] / tabItens[[#This Row],[Média]],999.9)</f>
        <v>28.290155440414509</v>
      </c>
      <c r="M562" s="296">
        <v>0</v>
      </c>
      <c r="N562" s="297">
        <f>tabItens[[#This Row],[VALOR UNIT.]] * tabItens[[#This Row],[LC]]</f>
        <v>0</v>
      </c>
      <c r="O562" s="298" t="s">
        <v>2109</v>
      </c>
      <c r="P562" s="299"/>
      <c r="Q562" s="300"/>
      <c r="R562" s="297"/>
      <c r="S562" s="301"/>
      <c r="T562" s="302">
        <f>ROUNDDOWN(IFERROR(tabItens[[#This Row],[ATA DT.VALID.]] - $D$1,0) / 30,0)</f>
        <v>-1504</v>
      </c>
      <c r="U562" s="287" t="s">
        <v>1301</v>
      </c>
      <c r="V562" s="303">
        <v>1</v>
      </c>
      <c r="W562" s="304" t="s">
        <v>2056</v>
      </c>
      <c r="X562" s="305">
        <v>70</v>
      </c>
      <c r="Y562" s="306">
        <v>30</v>
      </c>
      <c r="Z562" s="307"/>
      <c r="AA562" s="308"/>
      <c r="AB562" s="309"/>
      <c r="AC562" s="309"/>
      <c r="AD562" s="308"/>
      <c r="AE562" s="309"/>
      <c r="AF562" s="302"/>
      <c r="AG562" s="310" t="s">
        <v>2050</v>
      </c>
      <c r="AH562" s="311"/>
      <c r="AI562" s="302">
        <v>72</v>
      </c>
      <c r="AJ562" s="311">
        <v>44550</v>
      </c>
      <c r="AK562" s="311" t="s">
        <v>883</v>
      </c>
      <c r="AL562" s="311">
        <v>44536</v>
      </c>
      <c r="AM562" s="301"/>
      <c r="AN562" s="290"/>
      <c r="AO562" s="312" t="str">
        <f>_xlfn.IFNA(IF(VLOOKUP(tabItens[[#This Row],[CÓDIGO]],tabExcluirDoEstoque[#Data],1,FALSE),"sim",""),"")</f>
        <v/>
      </c>
      <c r="AP562" s="313" t="str">
        <f ca="1">IF(OR(ISBLANK(tabItens[[#This Row],[ATA DT.VALID.]]),tabItens[[#This Row],[ATA DT.VALID.]]="",tabItens[[#This Row],[ATA DT.VALID.]]=" "),"",IF(TYPE(tabItens[[#This Row],[ATA DT.VALID.]])=1,ROUNDUP((tabItens[[#This Row],[ATA DT.VALID.]]-TODAY())/7,0),""))</f>
        <v/>
      </c>
      <c r="AQ562" s="314">
        <v>0</v>
      </c>
      <c r="AR562" s="315" t="str">
        <f>IF(ISBLANK(tabItens[[#This Row],[CÓDIGO]]),"",IFERROR(VLOOKUP(tabItens[[#This Row],[CÓDIGO]],Consumo!$C$2:$AC$869,26,FALSE),0))</f>
        <v>05.2023</v>
      </c>
      <c r="AS562" s="316">
        <f>SUMIF(Consumo!$C$3:$C$869,tabItens[[#This Row],[CÓDIGO]],Consumo!$N$3:$N$869) + SUMIF(Consumo!$C$3:$C$869,tabItens[[#This Row],[CÓDIGO]],Consumo!$O$3:$O$869) + SUMIF(Consumo!$C$3:$C$869,tabItens[[#This Row],[CÓDIGO]],Consumo!$P$3:$P$869) + SUMIF(Consumo!$C$3:$C$869,tabItens[[#This Row],[CÓDIGO]],Consumo!$Q$3:$Q$869)</f>
        <v>20</v>
      </c>
      <c r="AT562" s="316">
        <f>SUMIF(Consumo!$C$3:$C$869,tabItens[[#This Row],[CÓDIGO]],Consumo!$Z$3:$Z$869)</f>
        <v>215</v>
      </c>
      <c r="AU562" s="317">
        <f>SUMIF(Consumo!$C$3:$C$869,tabItens[[#This Row],[CÓDIGO]],Consumo!$AA$3:$AA$869)</f>
        <v>100</v>
      </c>
      <c r="AV562" s="318">
        <f>SUMIF(Consumo!$C$3:$C$869,tabItens[[#This Row],[CÓDIGO]],Consumo!$Y$3:$Y$869)</f>
        <v>16.083333333333332</v>
      </c>
      <c r="AW562" s="291">
        <f>tabItens[[#This Row],[QTDE ATUAL]] + tabItens[[#This Row],[RC QTDE]] + tabItens[[#This Row],[AF SALDO]] + tabItens[[#This Row],[Recentes]]</f>
        <v>455</v>
      </c>
      <c r="AX562" s="319">
        <v>37</v>
      </c>
      <c r="AY562" s="319">
        <v>4</v>
      </c>
      <c r="AZ562" s="319">
        <f>IF(ISBLANK(tabItens[[#This Row],[CÓDIGO]]),"",tabItens[[#This Row],[PontoMês]] * (AZ$2+tabItens[[#This Row],[PontoQtM]]))</f>
        <v>148</v>
      </c>
      <c r="BA562" s="318">
        <f>tabItens[[#This Row],[PontoPed]] - tabItens[[#This Row],[Saldo]] + (1/10)</f>
        <v>-306.89999999999998</v>
      </c>
      <c r="BB562" s="318">
        <f xml:space="preserve"> tabItens[[#This Row],[PontoMês]] * BB$2 - tabItens[[#This Row],[QTDE ATUAL]] - (1/10)</f>
        <v>-418.1</v>
      </c>
      <c r="BC562" s="320">
        <f>IF( tabItens[[#This Row],[PontoPed]]&gt;0, IF(tabItens[[#This Row],[PontoPed]]&lt;1, 1, IF( tabItens[[#This Row],[Saldo]]&gt;tabItens[[#This Row],[PontoPed]], 0, (tabItens[[#This Row],[PontoPed]]-tabItens[[#This Row],[Saldo]])/tabItens[[#This Row],[PontoPed]] ) ), 0 )</f>
        <v>0</v>
      </c>
      <c r="BD562" s="321">
        <f>ROUNDDOWN(IF( OR( AND(tabItens[[#This Row],[PontoPed]]&lt;tabItens[[#This Row],[Saldo]],tabItens[[#This Row],[Saldo]]&gt;0), tabItens[[#This Row],[PontoPed]]=0), 99, IF(AND(tabItens[[#This Row],[Saldo]]=0,tabItens[[#This Row],[PontoPed]]&gt;0), 0, (1-tabItens[[#This Row],[PctAb]])*10 ) ),0)</f>
        <v>99</v>
      </c>
      <c r="BE562" s="322">
        <f>MAX(ROUNDDOWN( IF(tabItens[[#This Row],[Abaixo]] &gt; 0,   tabItens[[#This Row],[Abaixo]] + (tabItens[[#This Row],[PontoMês]] * IF( OR( ISBLANK(tabItens[[#This Row],[ATA Nº/ANO]]), tabItens[[#This Row],[ATA Nº/ANO]] = ""),BE$2,BE$1)),0),0),0)</f>
        <v>0</v>
      </c>
      <c r="BF56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23">
        <f>SUMIF(Consumo!$C$3:$C$869,tabItens[[#This Row],[CÓDIGO]],Consumo!$E$3:$E$869)</f>
        <v>0</v>
      </c>
      <c r="BH562" s="324">
        <f>IF(AND(tabItens[[#This Row],[Pend]] &gt; 0,tabItens[[#This Row],[Consumo]] &lt;&gt; 0), tabItens[[#This Row],[Pend]] / tabItens[[#This Row],[Consumo]], 0 )</f>
        <v>0</v>
      </c>
      <c r="BI562" s="323"/>
      <c r="BJ562" s="323"/>
      <c r="BK562" s="325" t="s">
        <v>2064</v>
      </c>
    </row>
    <row r="563" spans="1:63" x14ac:dyDescent="0.3">
      <c r="A563" s="396">
        <v>134560</v>
      </c>
      <c r="B563" s="397" t="s">
        <v>1881</v>
      </c>
      <c r="C563" s="398" t="s">
        <v>256</v>
      </c>
      <c r="D563" s="399">
        <v>7.08</v>
      </c>
      <c r="E563" s="290"/>
      <c r="F563" s="400"/>
      <c r="G563" s="400" t="s">
        <v>883</v>
      </c>
      <c r="H563" s="401">
        <v>0</v>
      </c>
      <c r="I563" s="292">
        <v>103003</v>
      </c>
      <c r="J563" s="293">
        <v>7.08</v>
      </c>
      <c r="K563" s="402">
        <v>470</v>
      </c>
      <c r="L563" s="403">
        <f>IF(tabItens[[#This Row],[Média]] &gt; 0, tabItens[[#This Row],[QTDE ATUAL]] / tabItens[[#This Row],[Média]],999.9)</f>
        <v>0</v>
      </c>
      <c r="M563" s="404"/>
      <c r="N563" s="405">
        <f>tabItens[[#This Row],[VALOR UNIT.]] * tabItens[[#This Row],[LC]]</f>
        <v>0</v>
      </c>
      <c r="O563" s="406" t="s">
        <v>2109</v>
      </c>
      <c r="P563" s="407"/>
      <c r="Q563" s="408"/>
      <c r="R563" s="297"/>
      <c r="S563" s="409"/>
      <c r="T563" s="410">
        <f>ROUNDDOWN(IFERROR(tabItens[[#This Row],[ATA DT.VALID.]] - $D$1,0) / 30,0)</f>
        <v>-1504</v>
      </c>
      <c r="U563" s="287" t="s">
        <v>1301</v>
      </c>
      <c r="V563" s="303">
        <v>1</v>
      </c>
      <c r="W563" s="411" t="s">
        <v>2056</v>
      </c>
      <c r="X563" s="412">
        <v>70</v>
      </c>
      <c r="Y563" s="413">
        <v>30</v>
      </c>
      <c r="Z563" s="414">
        <v>2699</v>
      </c>
      <c r="AA563" s="415">
        <v>2023</v>
      </c>
      <c r="AB563" s="416">
        <v>200</v>
      </c>
      <c r="AC563" s="416"/>
      <c r="AD563" s="415"/>
      <c r="AE563" s="416"/>
      <c r="AF563" s="302"/>
      <c r="AG563" s="417" t="s">
        <v>2050</v>
      </c>
      <c r="AH563" s="418"/>
      <c r="AI563" s="302">
        <v>190</v>
      </c>
      <c r="AJ563" s="418">
        <v>44944</v>
      </c>
      <c r="AK563" s="311">
        <v>43174</v>
      </c>
      <c r="AL563" s="311">
        <v>44915</v>
      </c>
      <c r="AM563" s="301"/>
      <c r="AN563" s="290"/>
      <c r="AO563" s="312" t="str">
        <f>_xlfn.IFNA(IF(VLOOKUP(tabItens[[#This Row],[CÓDIGO]],tabExcluirDoEstoque[#Data],1,FALSE),"sim",""),"")</f>
        <v/>
      </c>
      <c r="AP563" s="419" t="str">
        <f ca="1">IF(OR(ISBLANK(tabItens[[#This Row],[ATA DT.VALID.]]),tabItens[[#This Row],[ATA DT.VALID.]]="",tabItens[[#This Row],[ATA DT.VALID.]]=" "),"",IF(TYPE(tabItens[[#This Row],[ATA DT.VALID.]])=1,ROUNDUP((tabItens[[#This Row],[ATA DT.VALID.]]-TODAY())/7,0),""))</f>
        <v/>
      </c>
      <c r="AQ563" s="314">
        <v>0</v>
      </c>
      <c r="AR563" s="315" t="str">
        <f>IF(ISBLANK(tabItens[[#This Row],[CÓDIGO]]),"",IFERROR(VLOOKUP(tabItens[[#This Row],[CÓDIGO]],Consumo!$C$2:$AC$869,26,FALSE),0))</f>
        <v>07.2023</v>
      </c>
      <c r="AS563" s="316">
        <f>SUMIF(Consumo!$C$3:$C$869,tabItens[[#This Row],[CÓDIGO]],Consumo!$N$3:$N$869) + SUMIF(Consumo!$C$3:$C$869,tabItens[[#This Row],[CÓDIGO]],Consumo!$O$3:$O$869) + SUMIF(Consumo!$C$3:$C$869,tabItens[[#This Row],[CÓDIGO]],Consumo!$P$3:$P$869) + SUMIF(Consumo!$C$3:$C$869,tabItens[[#This Row],[CÓDIGO]],Consumo!$Q$3:$Q$869)</f>
        <v>315</v>
      </c>
      <c r="AT563" s="316">
        <f>SUMIF(Consumo!$C$3:$C$869,tabItens[[#This Row],[CÓDIGO]],Consumo!$Z$3:$Z$869)</f>
        <v>572</v>
      </c>
      <c r="AU563" s="317">
        <f>SUMIF(Consumo!$C$3:$C$869,tabItens[[#This Row],[CÓDIGO]],Consumo!$AA$3:$AA$869)</f>
        <v>200</v>
      </c>
      <c r="AV563" s="318">
        <f>SUMIF(Consumo!$C$3:$C$869,tabItens[[#This Row],[CÓDIGO]],Consumo!$Y$3:$Y$869)</f>
        <v>43.666666666666664</v>
      </c>
      <c r="AW563" s="401">
        <f>tabItens[[#This Row],[QTDE ATUAL]] + tabItens[[#This Row],[RC QTDE]] + tabItens[[#This Row],[AF SALDO]] + tabItens[[#This Row],[Recentes]]</f>
        <v>200</v>
      </c>
      <c r="AX563" s="420">
        <v>36</v>
      </c>
      <c r="AY563" s="420">
        <v>4</v>
      </c>
      <c r="AZ563" s="420">
        <f>IF(ISBLANK(tabItens[[#This Row],[CÓDIGO]]),"",tabItens[[#This Row],[PontoMês]] * (AZ$2+tabItens[[#This Row],[PontoQtM]]))</f>
        <v>144</v>
      </c>
      <c r="BA563" s="421">
        <f>tabItens[[#This Row],[PontoPed]] - tabItens[[#This Row],[Saldo]] + (1/10)</f>
        <v>-55.9</v>
      </c>
      <c r="BB563" s="421">
        <f xml:space="preserve"> tabItens[[#This Row],[PontoMês]] * BB$2 - tabItens[[#This Row],[QTDE ATUAL]] - (1/10)</f>
        <v>35.9</v>
      </c>
      <c r="BC563" s="320">
        <f>IF( tabItens[[#This Row],[PontoPed]]&gt;0, IF(tabItens[[#This Row],[PontoPed]]&lt;1, 1, IF( tabItens[[#This Row],[Saldo]]&gt;tabItens[[#This Row],[PontoPed]], 0, (tabItens[[#This Row],[PontoPed]]-tabItens[[#This Row],[Saldo]])/tabItens[[#This Row],[PontoPed]] ) ), 0 )</f>
        <v>0</v>
      </c>
      <c r="BD563" s="422">
        <f>ROUNDDOWN(IF( OR( AND(tabItens[[#This Row],[PontoPed]]&lt;tabItens[[#This Row],[Saldo]],tabItens[[#This Row],[Saldo]]&gt;0), tabItens[[#This Row],[PontoPed]]=0), 99, IF(AND(tabItens[[#This Row],[Saldo]]=0,tabItens[[#This Row],[PontoPed]]&gt;0), 0, (1-tabItens[[#This Row],[PctAb]])*10 ) ),0)</f>
        <v>99</v>
      </c>
      <c r="BE563" s="423">
        <f>MAX(ROUNDDOWN( IF(tabItens[[#This Row],[Abaixo]] &gt; 0,   tabItens[[#This Row],[Abaixo]] + (tabItens[[#This Row],[PontoMês]] * IF( OR( ISBLANK(tabItens[[#This Row],[ATA Nº/ANO]]), tabItens[[#This Row],[ATA Nº/ANO]] = ""),BE$2,BE$1)),0),0),0)</f>
        <v>0</v>
      </c>
      <c r="BF563"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23">
        <f>SUMIF(Consumo!$C$3:$C$869,tabItens[[#This Row],[CÓDIGO]],Consumo!$E$3:$E$869)</f>
        <v>0</v>
      </c>
      <c r="BH563" s="324">
        <f>IF(AND(tabItens[[#This Row],[Pend]] &gt; 0,tabItens[[#This Row],[Consumo]] &lt;&gt; 0), tabItens[[#This Row],[Pend]] / tabItens[[#This Row],[Consumo]], 0 )</f>
        <v>0</v>
      </c>
      <c r="BI563" s="323"/>
      <c r="BJ563" s="424"/>
      <c r="BK563" s="425" t="s">
        <v>2064</v>
      </c>
    </row>
    <row r="564" spans="1:63" hidden="1" x14ac:dyDescent="0.3">
      <c r="A564" s="286">
        <v>19871</v>
      </c>
      <c r="B564" s="287" t="s">
        <v>1150</v>
      </c>
      <c r="C564" s="288" t="s">
        <v>256</v>
      </c>
      <c r="D564" s="289">
        <v>4.17</v>
      </c>
      <c r="E564" s="290"/>
      <c r="F564" s="290"/>
      <c r="G564" s="290" t="s">
        <v>883</v>
      </c>
      <c r="H564" s="291">
        <v>96</v>
      </c>
      <c r="I564" s="292">
        <v>103003</v>
      </c>
      <c r="J564" s="293">
        <v>4.17</v>
      </c>
      <c r="K564" s="294">
        <v>40</v>
      </c>
      <c r="L564" s="295">
        <f>IF(tabItens[[#This Row],[Média]] &gt; 0, tabItens[[#This Row],[QTDE ATUAL]] / tabItens[[#This Row],[Média]],999.9)</f>
        <v>33.882352941176471</v>
      </c>
      <c r="M564" s="296">
        <v>0</v>
      </c>
      <c r="N564" s="297">
        <f>tabItens[[#This Row],[VALOR UNIT.]] * tabItens[[#This Row],[LC]]</f>
        <v>0</v>
      </c>
      <c r="O564" s="298" t="s">
        <v>2109</v>
      </c>
      <c r="P564" s="299"/>
      <c r="Q564" s="300"/>
      <c r="R564" s="297"/>
      <c r="S564" s="301"/>
      <c r="T564" s="302">
        <f>ROUNDDOWN(IFERROR(tabItens[[#This Row],[ATA DT.VALID.]] - $D$1,0) / 30,0)</f>
        <v>-1504</v>
      </c>
      <c r="U564" s="287" t="s">
        <v>1151</v>
      </c>
      <c r="V564" s="303">
        <v>1</v>
      </c>
      <c r="W564" s="304" t="s">
        <v>2056</v>
      </c>
      <c r="X564" s="305">
        <v>70</v>
      </c>
      <c r="Y564" s="306">
        <v>31</v>
      </c>
      <c r="Z564" s="307"/>
      <c r="AA564" s="308"/>
      <c r="AB564" s="309"/>
      <c r="AC564" s="309"/>
      <c r="AD564" s="308"/>
      <c r="AE564" s="309"/>
      <c r="AF564" s="302"/>
      <c r="AG564" s="310" t="s">
        <v>2050</v>
      </c>
      <c r="AH564" s="311"/>
      <c r="AI564" s="302">
        <v>14</v>
      </c>
      <c r="AJ564" s="311">
        <v>44375</v>
      </c>
      <c r="AK564" s="311" t="s">
        <v>883</v>
      </c>
      <c r="AL564" s="311">
        <v>44890</v>
      </c>
      <c r="AM564" s="301"/>
      <c r="AN564" s="290"/>
      <c r="AO564" s="312" t="str">
        <f>_xlfn.IFNA(IF(VLOOKUP(tabItens[[#This Row],[CÓDIGO]],tabExcluirDoEstoque[#Data],1,FALSE),"sim",""),"")</f>
        <v/>
      </c>
      <c r="AP564" s="313" t="str">
        <f ca="1">IF(OR(ISBLANK(tabItens[[#This Row],[ATA DT.VALID.]]),tabItens[[#This Row],[ATA DT.VALID.]]="",tabItens[[#This Row],[ATA DT.VALID.]]=" "),"",IF(TYPE(tabItens[[#This Row],[ATA DT.VALID.]])=1,ROUNDUP((tabItens[[#This Row],[ATA DT.VALID.]]-TODAY())/7,0),""))</f>
        <v/>
      </c>
      <c r="AQ564" s="314">
        <v>0</v>
      </c>
      <c r="AR564" s="315" t="str">
        <f>IF(ISBLANK(tabItens[[#This Row],[CÓDIGO]]),"",IFERROR(VLOOKUP(tabItens[[#This Row],[CÓDIGO]],Consumo!$C$2:$AC$869,26,FALSE),0))</f>
        <v>04.2023</v>
      </c>
      <c r="AS564" s="316">
        <f>SUMIF(Consumo!$C$3:$C$869,tabItens[[#This Row],[CÓDIGO]],Consumo!$N$3:$N$869) + SUMIF(Consumo!$C$3:$C$869,tabItens[[#This Row],[CÓDIGO]],Consumo!$O$3:$O$869) + SUMIF(Consumo!$C$3:$C$869,tabItens[[#This Row],[CÓDIGO]],Consumo!$P$3:$P$869) + SUMIF(Consumo!$C$3:$C$869,tabItens[[#This Row],[CÓDIGO]],Consumo!$Q$3:$Q$869)</f>
        <v>22</v>
      </c>
      <c r="AT564" s="316">
        <f>SUMIF(Consumo!$C$3:$C$869,tabItens[[#This Row],[CÓDIGO]],Consumo!$Z$3:$Z$869)</f>
        <v>40</v>
      </c>
      <c r="AU564" s="317">
        <f>SUMIF(Consumo!$C$3:$C$869,tabItens[[#This Row],[CÓDIGO]],Consumo!$AA$3:$AA$869)</f>
        <v>22</v>
      </c>
      <c r="AV564" s="318">
        <f>SUMIF(Consumo!$C$3:$C$869,tabItens[[#This Row],[CÓDIGO]],Consumo!$Y$3:$Y$869)</f>
        <v>2.8333333333333335</v>
      </c>
      <c r="AW564" s="291">
        <f>tabItens[[#This Row],[QTDE ATUAL]] + tabItens[[#This Row],[RC QTDE]] + tabItens[[#This Row],[AF SALDO]] + tabItens[[#This Row],[Recentes]]</f>
        <v>96</v>
      </c>
      <c r="AX564" s="319">
        <v>9</v>
      </c>
      <c r="AY564" s="319">
        <v>4</v>
      </c>
      <c r="AZ564" s="319">
        <f>IF(ISBLANK(tabItens[[#This Row],[CÓDIGO]]),"",tabItens[[#This Row],[PontoMês]] * (AZ$2+tabItens[[#This Row],[PontoQtM]]))</f>
        <v>36</v>
      </c>
      <c r="BA564" s="318">
        <f>tabItens[[#This Row],[PontoPed]] - tabItens[[#This Row],[Saldo]] + (1/10)</f>
        <v>-59.9</v>
      </c>
      <c r="BB564" s="318">
        <f xml:space="preserve"> tabItens[[#This Row],[PontoMês]] * BB$2 - tabItens[[#This Row],[QTDE ATUAL]] - (1/10)</f>
        <v>-87.1</v>
      </c>
      <c r="BC564" s="320">
        <f>IF( tabItens[[#This Row],[PontoPed]]&gt;0, IF(tabItens[[#This Row],[PontoPed]]&lt;1, 1, IF( tabItens[[#This Row],[Saldo]]&gt;tabItens[[#This Row],[PontoPed]], 0, (tabItens[[#This Row],[PontoPed]]-tabItens[[#This Row],[Saldo]])/tabItens[[#This Row],[PontoPed]] ) ), 0 )</f>
        <v>0</v>
      </c>
      <c r="BD564" s="321">
        <f>ROUNDDOWN(IF( OR( AND(tabItens[[#This Row],[PontoPed]]&lt;tabItens[[#This Row],[Saldo]],tabItens[[#This Row],[Saldo]]&gt;0), tabItens[[#This Row],[PontoPed]]=0), 99, IF(AND(tabItens[[#This Row],[Saldo]]=0,tabItens[[#This Row],[PontoPed]]&gt;0), 0, (1-tabItens[[#This Row],[PctAb]])*10 ) ),0)</f>
        <v>99</v>
      </c>
      <c r="BE564" s="322">
        <f>MAX(ROUNDDOWN( IF(tabItens[[#This Row],[Abaixo]] &gt; 0,   tabItens[[#This Row],[Abaixo]] + (tabItens[[#This Row],[PontoMês]] * IF( OR( ISBLANK(tabItens[[#This Row],[ATA Nº/ANO]]), tabItens[[#This Row],[ATA Nº/ANO]] = ""),BE$2,BE$1)),0),0),0)</f>
        <v>0</v>
      </c>
      <c r="BF56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23">
        <f>SUMIF(Consumo!$C$3:$C$869,tabItens[[#This Row],[CÓDIGO]],Consumo!$E$3:$E$869)</f>
        <v>0</v>
      </c>
      <c r="BH564" s="324">
        <f>IF(AND(tabItens[[#This Row],[Pend]] &gt; 0,tabItens[[#This Row],[Consumo]] &lt;&gt; 0), tabItens[[#This Row],[Pend]] / tabItens[[#This Row],[Consumo]], 0 )</f>
        <v>0</v>
      </c>
      <c r="BI564" s="323"/>
      <c r="BJ564" s="323"/>
      <c r="BK564" s="325" t="s">
        <v>2064</v>
      </c>
    </row>
    <row r="565" spans="1:63" x14ac:dyDescent="0.3">
      <c r="A565" s="396">
        <v>19998</v>
      </c>
      <c r="B565" s="397" t="s">
        <v>1154</v>
      </c>
      <c r="C565" s="398" t="s">
        <v>256</v>
      </c>
      <c r="D565" s="399">
        <v>10.45</v>
      </c>
      <c r="E565" s="290"/>
      <c r="F565" s="400"/>
      <c r="G565" s="400" t="s">
        <v>883</v>
      </c>
      <c r="H565" s="401">
        <v>0</v>
      </c>
      <c r="I565" s="292">
        <v>103003</v>
      </c>
      <c r="J565" s="293">
        <v>10.45</v>
      </c>
      <c r="K565" s="402">
        <v>24</v>
      </c>
      <c r="L565" s="403">
        <f>IF(tabItens[[#This Row],[Média]] &gt; 0, tabItens[[#This Row],[QTDE ATUAL]] / tabItens[[#This Row],[Média]],999.9)</f>
        <v>0</v>
      </c>
      <c r="M565" s="404">
        <v>0</v>
      </c>
      <c r="N565" s="405">
        <f>tabItens[[#This Row],[VALOR UNIT.]] * tabItens[[#This Row],[LC]]</f>
        <v>0</v>
      </c>
      <c r="O565" s="406" t="s">
        <v>2109</v>
      </c>
      <c r="P565" s="407"/>
      <c r="Q565" s="408"/>
      <c r="R565" s="297"/>
      <c r="S565" s="409"/>
      <c r="T565" s="410">
        <f>ROUNDDOWN(IFERROR(tabItens[[#This Row],[ATA DT.VALID.]] - $D$1,0) / 30,0)</f>
        <v>-1504</v>
      </c>
      <c r="U565" s="287" t="s">
        <v>1151</v>
      </c>
      <c r="V565" s="303">
        <v>1</v>
      </c>
      <c r="W565" s="411" t="s">
        <v>2056</v>
      </c>
      <c r="X565" s="412">
        <v>70</v>
      </c>
      <c r="Y565" s="413">
        <v>31</v>
      </c>
      <c r="Z565" s="414">
        <v>2237</v>
      </c>
      <c r="AA565" s="415">
        <v>2023</v>
      </c>
      <c r="AB565" s="416">
        <v>150</v>
      </c>
      <c r="AC565" s="416"/>
      <c r="AD565" s="415"/>
      <c r="AE565" s="416"/>
      <c r="AF565" s="302"/>
      <c r="AG565" s="417" t="s">
        <v>2050</v>
      </c>
      <c r="AH565" s="418"/>
      <c r="AI565" s="302">
        <v>8</v>
      </c>
      <c r="AJ565" s="418">
        <v>43553</v>
      </c>
      <c r="AK565" s="311" t="s">
        <v>883</v>
      </c>
      <c r="AL565" s="311">
        <v>43658</v>
      </c>
      <c r="AM565" s="301"/>
      <c r="AN565" s="290"/>
      <c r="AO565" s="312" t="str">
        <f>_xlfn.IFNA(IF(VLOOKUP(tabItens[[#This Row],[CÓDIGO]],tabExcluirDoEstoque[#Data],1,FALSE),"sim",""),"")</f>
        <v/>
      </c>
      <c r="AP565" s="419" t="str">
        <f ca="1">IF(OR(ISBLANK(tabItens[[#This Row],[ATA DT.VALID.]]),tabItens[[#This Row],[ATA DT.VALID.]]="",tabItens[[#This Row],[ATA DT.VALID.]]=" "),"",IF(TYPE(tabItens[[#This Row],[ATA DT.VALID.]])=1,ROUNDUP((tabItens[[#This Row],[ATA DT.VALID.]]-TODAY())/7,0),""))</f>
        <v/>
      </c>
      <c r="AQ565" s="314">
        <v>0</v>
      </c>
      <c r="AR565" s="315" t="str">
        <f>IF(ISBLANK(tabItens[[#This Row],[CÓDIGO]]),"",IFERROR(VLOOKUP(tabItens[[#This Row],[CÓDIGO]],Consumo!$C$2:$AC$869,26,FALSE),0))</f>
        <v>11.2022</v>
      </c>
      <c r="AS565" s="316">
        <f>SUMIF(Consumo!$C$3:$C$869,tabItens[[#This Row],[CÓDIGO]],Consumo!$N$3:$N$869) + SUMIF(Consumo!$C$3:$C$869,tabItens[[#This Row],[CÓDIGO]],Consumo!$O$3:$O$869) + SUMIF(Consumo!$C$3:$C$869,tabItens[[#This Row],[CÓDIGO]],Consumo!$P$3:$P$869) + SUMIF(Consumo!$C$3:$C$869,tabItens[[#This Row],[CÓDIGO]],Consumo!$Q$3:$Q$869)</f>
        <v>0</v>
      </c>
      <c r="AT565" s="316">
        <f>SUMIF(Consumo!$C$3:$C$869,tabItens[[#This Row],[CÓDIGO]],Consumo!$Z$3:$Z$869)</f>
        <v>73</v>
      </c>
      <c r="AU565" s="317">
        <f>SUMIF(Consumo!$C$3:$C$869,tabItens[[#This Row],[CÓDIGO]],Consumo!$AA$3:$AA$869)</f>
        <v>11</v>
      </c>
      <c r="AV565" s="318">
        <f>SUMIF(Consumo!$C$3:$C$869,tabItens[[#This Row],[CÓDIGO]],Consumo!$Y$3:$Y$869)</f>
        <v>6.083333333333333</v>
      </c>
      <c r="AW565" s="401">
        <f>tabItens[[#This Row],[QTDE ATUAL]] + tabItens[[#This Row],[RC QTDE]] + tabItens[[#This Row],[AF SALDO]] + tabItens[[#This Row],[Recentes]]</f>
        <v>150</v>
      </c>
      <c r="AX565" s="420">
        <v>9</v>
      </c>
      <c r="AY565" s="420">
        <v>4</v>
      </c>
      <c r="AZ565" s="420">
        <f>IF(ISBLANK(tabItens[[#This Row],[CÓDIGO]]),"",tabItens[[#This Row],[PontoMês]] * (AZ$2+tabItens[[#This Row],[PontoQtM]]))</f>
        <v>36</v>
      </c>
      <c r="BA565" s="421">
        <f>tabItens[[#This Row],[PontoPed]] - tabItens[[#This Row],[Saldo]] + (1/10)</f>
        <v>-113.9</v>
      </c>
      <c r="BB565" s="421">
        <f xml:space="preserve"> tabItens[[#This Row],[PontoMês]] * BB$2 - tabItens[[#This Row],[QTDE ATUAL]] - (1/10)</f>
        <v>8.9</v>
      </c>
      <c r="BC565" s="320">
        <f>IF( tabItens[[#This Row],[PontoPed]]&gt;0, IF(tabItens[[#This Row],[PontoPed]]&lt;1, 1, IF( tabItens[[#This Row],[Saldo]]&gt;tabItens[[#This Row],[PontoPed]], 0, (tabItens[[#This Row],[PontoPed]]-tabItens[[#This Row],[Saldo]])/tabItens[[#This Row],[PontoPed]] ) ), 0 )</f>
        <v>0</v>
      </c>
      <c r="BD565" s="422">
        <f>ROUNDDOWN(IF( OR( AND(tabItens[[#This Row],[PontoPed]]&lt;tabItens[[#This Row],[Saldo]],tabItens[[#This Row],[Saldo]]&gt;0), tabItens[[#This Row],[PontoPed]]=0), 99, IF(AND(tabItens[[#This Row],[Saldo]]=0,tabItens[[#This Row],[PontoPed]]&gt;0), 0, (1-tabItens[[#This Row],[PctAb]])*10 ) ),0)</f>
        <v>99</v>
      </c>
      <c r="BE565" s="423">
        <f>MAX(ROUNDDOWN( IF(tabItens[[#This Row],[Abaixo]] &gt; 0,   tabItens[[#This Row],[Abaixo]] + (tabItens[[#This Row],[PontoMês]] * IF( OR( ISBLANK(tabItens[[#This Row],[ATA Nº/ANO]]), tabItens[[#This Row],[ATA Nº/ANO]] = ""),BE$2,BE$1)),0),0),0)</f>
        <v>0</v>
      </c>
      <c r="BF565"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23">
        <f>SUMIF(Consumo!$C$3:$C$869,tabItens[[#This Row],[CÓDIGO]],Consumo!$E$3:$E$869)</f>
        <v>49</v>
      </c>
      <c r="BH565" s="324">
        <f>IF(AND(tabItens[[#This Row],[Pend]] &gt; 0,tabItens[[#This Row],[Consumo]] &lt;&gt; 0), tabItens[[#This Row],[Pend]] / tabItens[[#This Row],[Consumo]], 0 )</f>
        <v>0.67123287671232879</v>
      </c>
      <c r="BI565" s="323"/>
      <c r="BJ565" s="424"/>
      <c r="BK565" s="425" t="s">
        <v>2064</v>
      </c>
    </row>
    <row r="566" spans="1:63" x14ac:dyDescent="0.3">
      <c r="A566" s="396">
        <v>20001</v>
      </c>
      <c r="B566" s="397" t="s">
        <v>1155</v>
      </c>
      <c r="C566" s="398" t="s">
        <v>256</v>
      </c>
      <c r="D566" s="399">
        <v>1.02</v>
      </c>
      <c r="E566" s="290"/>
      <c r="F566" s="400"/>
      <c r="G566" s="400" t="s">
        <v>883</v>
      </c>
      <c r="H566" s="401">
        <v>0</v>
      </c>
      <c r="I566" s="292">
        <v>103003</v>
      </c>
      <c r="J566" s="293">
        <v>1.02</v>
      </c>
      <c r="K566" s="402">
        <v>48</v>
      </c>
      <c r="L566" s="403">
        <f>IF(tabItens[[#This Row],[Média]] &gt; 0, tabItens[[#This Row],[QTDE ATUAL]] / tabItens[[#This Row],[Média]],999.9)</f>
        <v>0</v>
      </c>
      <c r="M566" s="404">
        <v>0</v>
      </c>
      <c r="N566" s="405">
        <f>tabItens[[#This Row],[VALOR UNIT.]] * tabItens[[#This Row],[LC]]</f>
        <v>0</v>
      </c>
      <c r="O566" s="406" t="s">
        <v>2109</v>
      </c>
      <c r="P566" s="407"/>
      <c r="Q566" s="408"/>
      <c r="R566" s="297"/>
      <c r="S566" s="409"/>
      <c r="T566" s="410">
        <f>ROUNDDOWN(IFERROR(tabItens[[#This Row],[ATA DT.VALID.]] - $D$1,0) / 30,0)</f>
        <v>-1504</v>
      </c>
      <c r="U566" s="287" t="s">
        <v>1151</v>
      </c>
      <c r="V566" s="303">
        <v>1</v>
      </c>
      <c r="W566" s="411" t="s">
        <v>2056</v>
      </c>
      <c r="X566" s="412">
        <v>70</v>
      </c>
      <c r="Y566" s="413">
        <v>31</v>
      </c>
      <c r="Z566" s="414">
        <v>2237</v>
      </c>
      <c r="AA566" s="415">
        <v>2023</v>
      </c>
      <c r="AB566" s="416">
        <v>700</v>
      </c>
      <c r="AC566" s="416"/>
      <c r="AD566" s="415"/>
      <c r="AE566" s="416"/>
      <c r="AF566" s="302"/>
      <c r="AG566" s="417" t="s">
        <v>2050</v>
      </c>
      <c r="AH566" s="418"/>
      <c r="AI566" s="302">
        <v>18</v>
      </c>
      <c r="AJ566" s="418">
        <v>43818</v>
      </c>
      <c r="AK566" s="311" t="s">
        <v>883</v>
      </c>
      <c r="AL566" s="311">
        <v>43812</v>
      </c>
      <c r="AM566" s="301"/>
      <c r="AN566" s="290"/>
      <c r="AO566" s="312" t="str">
        <f>_xlfn.IFNA(IF(VLOOKUP(tabItens[[#This Row],[CÓDIGO]],tabExcluirDoEstoque[#Data],1,FALSE),"sim",""),"")</f>
        <v/>
      </c>
      <c r="AP566" s="419" t="str">
        <f ca="1">IF(OR(ISBLANK(tabItens[[#This Row],[ATA DT.VALID.]]),tabItens[[#This Row],[ATA DT.VALID.]]="",tabItens[[#This Row],[ATA DT.VALID.]]=" "),"",IF(TYPE(tabItens[[#This Row],[ATA DT.VALID.]])=1,ROUNDUP((tabItens[[#This Row],[ATA DT.VALID.]]-TODAY())/7,0),""))</f>
        <v/>
      </c>
      <c r="AQ566" s="314">
        <v>0</v>
      </c>
      <c r="AR566" s="315" t="str">
        <f>IF(ISBLANK(tabItens[[#This Row],[CÓDIGO]]),"",IFERROR(VLOOKUP(tabItens[[#This Row],[CÓDIGO]],Consumo!$C$2:$AC$869,26,FALSE),0))</f>
        <v>09.2022</v>
      </c>
      <c r="AS566" s="316">
        <f>SUMIF(Consumo!$C$3:$C$869,tabItens[[#This Row],[CÓDIGO]],Consumo!$N$3:$N$869) + SUMIF(Consumo!$C$3:$C$869,tabItens[[#This Row],[CÓDIGO]],Consumo!$O$3:$O$869) + SUMIF(Consumo!$C$3:$C$869,tabItens[[#This Row],[CÓDIGO]],Consumo!$P$3:$P$869) + SUMIF(Consumo!$C$3:$C$869,tabItens[[#This Row],[CÓDIGO]],Consumo!$Q$3:$Q$869)</f>
        <v>0</v>
      </c>
      <c r="AT566" s="316">
        <f>SUMIF(Consumo!$C$3:$C$869,tabItens[[#This Row],[CÓDIGO]],Consumo!$Z$3:$Z$869)</f>
        <v>156</v>
      </c>
      <c r="AU566" s="317">
        <f>SUMIF(Consumo!$C$3:$C$869,tabItens[[#This Row],[CÓDIGO]],Consumo!$AA$3:$AA$869)</f>
        <v>29</v>
      </c>
      <c r="AV566" s="318">
        <f>SUMIF(Consumo!$C$3:$C$869,tabItens[[#This Row],[CÓDIGO]],Consumo!$Y$3:$Y$869)</f>
        <v>13</v>
      </c>
      <c r="AW566" s="401">
        <f>tabItens[[#This Row],[QTDE ATUAL]] + tabItens[[#This Row],[RC QTDE]] + tabItens[[#This Row],[AF SALDO]] + tabItens[[#This Row],[Recentes]]</f>
        <v>700</v>
      </c>
      <c r="AX566" s="420">
        <v>42</v>
      </c>
      <c r="AY566" s="420">
        <v>4</v>
      </c>
      <c r="AZ566" s="420">
        <f>IF(ISBLANK(tabItens[[#This Row],[CÓDIGO]]),"",tabItens[[#This Row],[PontoMês]] * (AZ$2+tabItens[[#This Row],[PontoQtM]]))</f>
        <v>168</v>
      </c>
      <c r="BA566" s="421">
        <f>tabItens[[#This Row],[PontoPed]] - tabItens[[#This Row],[Saldo]] + (1/10)</f>
        <v>-531.9</v>
      </c>
      <c r="BB566" s="421">
        <f xml:space="preserve"> tabItens[[#This Row],[PontoMês]] * BB$2 - tabItens[[#This Row],[QTDE ATUAL]] - (1/10)</f>
        <v>41.9</v>
      </c>
      <c r="BC566" s="320">
        <f>IF( tabItens[[#This Row],[PontoPed]]&gt;0, IF(tabItens[[#This Row],[PontoPed]]&lt;1, 1, IF( tabItens[[#This Row],[Saldo]]&gt;tabItens[[#This Row],[PontoPed]], 0, (tabItens[[#This Row],[PontoPed]]-tabItens[[#This Row],[Saldo]])/tabItens[[#This Row],[PontoPed]] ) ), 0 )</f>
        <v>0</v>
      </c>
      <c r="BD566" s="422">
        <f>ROUNDDOWN(IF( OR( AND(tabItens[[#This Row],[PontoPed]]&lt;tabItens[[#This Row],[Saldo]],tabItens[[#This Row],[Saldo]]&gt;0), tabItens[[#This Row],[PontoPed]]=0), 99, IF(AND(tabItens[[#This Row],[Saldo]]=0,tabItens[[#This Row],[PontoPed]]&gt;0), 0, (1-tabItens[[#This Row],[PctAb]])*10 ) ),0)</f>
        <v>99</v>
      </c>
      <c r="BE566" s="423">
        <f>MAX(ROUNDDOWN( IF(tabItens[[#This Row],[Abaixo]] &gt; 0,   tabItens[[#This Row],[Abaixo]] + (tabItens[[#This Row],[PontoMês]] * IF( OR( ISBLANK(tabItens[[#This Row],[ATA Nº/ANO]]), tabItens[[#This Row],[ATA Nº/ANO]] = ""),BE$2,BE$1)),0),0),0)</f>
        <v>0</v>
      </c>
      <c r="BF566"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23">
        <f>SUMIF(Consumo!$C$3:$C$869,tabItens[[#This Row],[CÓDIGO]],Consumo!$E$3:$E$869)</f>
        <v>108</v>
      </c>
      <c r="BH566" s="324">
        <f>IF(AND(tabItens[[#This Row],[Pend]] &gt; 0,tabItens[[#This Row],[Consumo]] &lt;&gt; 0), tabItens[[#This Row],[Pend]] / tabItens[[#This Row],[Consumo]], 0 )</f>
        <v>0.69230769230769229</v>
      </c>
      <c r="BI566" s="323"/>
      <c r="BJ566" s="424"/>
      <c r="BK566" s="425" t="s">
        <v>2064</v>
      </c>
    </row>
    <row r="567" spans="1:63" hidden="1" x14ac:dyDescent="0.3">
      <c r="A567" s="286">
        <v>20034</v>
      </c>
      <c r="B567" s="287" t="s">
        <v>1156</v>
      </c>
      <c r="C567" s="288" t="s">
        <v>256</v>
      </c>
      <c r="D567" s="289">
        <v>2.44</v>
      </c>
      <c r="E567" s="290"/>
      <c r="F567" s="290"/>
      <c r="G567" s="290" t="s">
        <v>883</v>
      </c>
      <c r="H567" s="291">
        <v>342</v>
      </c>
      <c r="I567" s="292">
        <v>103003</v>
      </c>
      <c r="J567" s="293">
        <v>2.44</v>
      </c>
      <c r="K567" s="294">
        <v>498</v>
      </c>
      <c r="L567" s="295">
        <f>IF(tabItens[[#This Row],[Média]] &gt; 0, tabItens[[#This Row],[QTDE ATUAL]] / tabItens[[#This Row],[Média]],999.9)</f>
        <v>6.4124999999999996</v>
      </c>
      <c r="M567" s="296">
        <v>0</v>
      </c>
      <c r="N567" s="297">
        <f>tabItens[[#This Row],[VALOR UNIT.]] * tabItens[[#This Row],[LC]]</f>
        <v>0</v>
      </c>
      <c r="O567" s="298" t="s">
        <v>2109</v>
      </c>
      <c r="P567" s="299"/>
      <c r="Q567" s="300"/>
      <c r="R567" s="297"/>
      <c r="S567" s="301"/>
      <c r="T567" s="302">
        <f>ROUNDDOWN(IFERROR(tabItens[[#This Row],[ATA DT.VALID.]] - $D$1,0) / 30,0)</f>
        <v>-1504</v>
      </c>
      <c r="U567" s="287" t="s">
        <v>1151</v>
      </c>
      <c r="V567" s="303">
        <v>1</v>
      </c>
      <c r="W567" s="304" t="s">
        <v>2056</v>
      </c>
      <c r="X567" s="305">
        <v>70</v>
      </c>
      <c r="Y567" s="306">
        <v>31</v>
      </c>
      <c r="Z567" s="307">
        <v>2699</v>
      </c>
      <c r="AA567" s="308">
        <v>2023</v>
      </c>
      <c r="AB567" s="309">
        <v>500</v>
      </c>
      <c r="AC567" s="309"/>
      <c r="AD567" s="308"/>
      <c r="AE567" s="309"/>
      <c r="AF567" s="302"/>
      <c r="AG567" s="310" t="s">
        <v>2050</v>
      </c>
      <c r="AH567" s="311"/>
      <c r="AI567" s="302">
        <v>212</v>
      </c>
      <c r="AJ567" s="311">
        <v>44607</v>
      </c>
      <c r="AK567" s="311" t="s">
        <v>883</v>
      </c>
      <c r="AL567" s="311">
        <v>44592</v>
      </c>
      <c r="AM567" s="301"/>
      <c r="AN567" s="290"/>
      <c r="AO567" s="312" t="str">
        <f>_xlfn.IFNA(IF(VLOOKUP(tabItens[[#This Row],[CÓDIGO]],tabExcluirDoEstoque[#Data],1,FALSE),"sim",""),"")</f>
        <v/>
      </c>
      <c r="AP567" s="313" t="str">
        <f ca="1">IF(OR(ISBLANK(tabItens[[#This Row],[ATA DT.VALID.]]),tabItens[[#This Row],[ATA DT.VALID.]]="",tabItens[[#This Row],[ATA DT.VALID.]]=" "),"",IF(TYPE(tabItens[[#This Row],[ATA DT.VALID.]])=1,ROUNDUP((tabItens[[#This Row],[ATA DT.VALID.]]-TODAY())/7,0),""))</f>
        <v/>
      </c>
      <c r="AQ567" s="314">
        <v>0</v>
      </c>
      <c r="AR567" s="315" t="str">
        <f>IF(ISBLANK(tabItens[[#This Row],[CÓDIGO]]),"",IFERROR(VLOOKUP(tabItens[[#This Row],[CÓDIGO]],Consumo!$C$2:$AC$869,26,FALSE),0))</f>
        <v>05.2023</v>
      </c>
      <c r="AS567" s="316">
        <f>SUMIF(Consumo!$C$3:$C$869,tabItens[[#This Row],[CÓDIGO]],Consumo!$N$3:$N$869) + SUMIF(Consumo!$C$3:$C$869,tabItens[[#This Row],[CÓDIGO]],Consumo!$O$3:$O$869) + SUMIF(Consumo!$C$3:$C$869,tabItens[[#This Row],[CÓDIGO]],Consumo!$P$3:$P$869) + SUMIF(Consumo!$C$3:$C$869,tabItens[[#This Row],[CÓDIGO]],Consumo!$Q$3:$Q$869)</f>
        <v>70</v>
      </c>
      <c r="AT567" s="316">
        <f>SUMIF(Consumo!$C$3:$C$869,tabItens[[#This Row],[CÓDIGO]],Consumo!$Z$3:$Z$869)</f>
        <v>640</v>
      </c>
      <c r="AU567" s="317">
        <f>SUMIF(Consumo!$C$3:$C$869,tabItens[[#This Row],[CÓDIGO]],Consumo!$AA$3:$AA$869)</f>
        <v>117</v>
      </c>
      <c r="AV567" s="318">
        <f>SUMIF(Consumo!$C$3:$C$869,tabItens[[#This Row],[CÓDIGO]],Consumo!$Y$3:$Y$869)</f>
        <v>53.333333333333336</v>
      </c>
      <c r="AW567" s="291">
        <f>tabItens[[#This Row],[QTDE ATUAL]] + tabItens[[#This Row],[RC QTDE]] + tabItens[[#This Row],[AF SALDO]] + tabItens[[#This Row],[Recentes]]</f>
        <v>842</v>
      </c>
      <c r="AX567" s="319">
        <v>40</v>
      </c>
      <c r="AY567" s="319">
        <v>4</v>
      </c>
      <c r="AZ567" s="319">
        <f>IF(ISBLANK(tabItens[[#This Row],[CÓDIGO]]),"",tabItens[[#This Row],[PontoMês]] * (AZ$2+tabItens[[#This Row],[PontoQtM]]))</f>
        <v>160</v>
      </c>
      <c r="BA567" s="318">
        <f>tabItens[[#This Row],[PontoPed]] - tabItens[[#This Row],[Saldo]] + (1/10)</f>
        <v>-681.9</v>
      </c>
      <c r="BB567" s="318">
        <f xml:space="preserve"> tabItens[[#This Row],[PontoMês]] * BB$2 - tabItens[[#This Row],[QTDE ATUAL]] - (1/10)</f>
        <v>-302.10000000000002</v>
      </c>
      <c r="BC567" s="320">
        <f>IF( tabItens[[#This Row],[PontoPed]]&gt;0, IF(tabItens[[#This Row],[PontoPed]]&lt;1, 1, IF( tabItens[[#This Row],[Saldo]]&gt;tabItens[[#This Row],[PontoPed]], 0, (tabItens[[#This Row],[PontoPed]]-tabItens[[#This Row],[Saldo]])/tabItens[[#This Row],[PontoPed]] ) ), 0 )</f>
        <v>0</v>
      </c>
      <c r="BD567" s="321">
        <f>ROUNDDOWN(IF( OR( AND(tabItens[[#This Row],[PontoPed]]&lt;tabItens[[#This Row],[Saldo]],tabItens[[#This Row],[Saldo]]&gt;0), tabItens[[#This Row],[PontoPed]]=0), 99, IF(AND(tabItens[[#This Row],[Saldo]]=0,tabItens[[#This Row],[PontoPed]]&gt;0), 0, (1-tabItens[[#This Row],[PctAb]])*10 ) ),0)</f>
        <v>99</v>
      </c>
      <c r="BE567" s="322">
        <f>MAX(ROUNDDOWN( IF(tabItens[[#This Row],[Abaixo]] &gt; 0,   tabItens[[#This Row],[Abaixo]] + (tabItens[[#This Row],[PontoMês]] * IF( OR( ISBLANK(tabItens[[#This Row],[ATA Nº/ANO]]), tabItens[[#This Row],[ATA Nº/ANO]] = ""),BE$2,BE$1)),0),0),0)</f>
        <v>0</v>
      </c>
      <c r="BF56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23">
        <f>SUMIF(Consumo!$C$3:$C$869,tabItens[[#This Row],[CÓDIGO]],Consumo!$E$3:$E$869)</f>
        <v>5</v>
      </c>
      <c r="BH567" s="324">
        <f>IF(AND(tabItens[[#This Row],[Pend]] &gt; 0,tabItens[[#This Row],[Consumo]] &lt;&gt; 0), tabItens[[#This Row],[Pend]] / tabItens[[#This Row],[Consumo]], 0 )</f>
        <v>7.8125E-3</v>
      </c>
      <c r="BI567" s="323"/>
      <c r="BJ567" s="323"/>
      <c r="BK567" s="325" t="s">
        <v>2064</v>
      </c>
    </row>
    <row r="568" spans="1:63" hidden="1" x14ac:dyDescent="0.3">
      <c r="A568" s="286">
        <v>20035</v>
      </c>
      <c r="B568" s="287" t="s">
        <v>1157</v>
      </c>
      <c r="C568" s="288" t="s">
        <v>256</v>
      </c>
      <c r="D568" s="289">
        <v>1.18</v>
      </c>
      <c r="E568" s="290"/>
      <c r="F568" s="290"/>
      <c r="G568" s="290" t="s">
        <v>883</v>
      </c>
      <c r="H568" s="291">
        <v>899</v>
      </c>
      <c r="I568" s="292">
        <v>103003</v>
      </c>
      <c r="J568" s="293">
        <v>1.18</v>
      </c>
      <c r="K568" s="294">
        <v>119</v>
      </c>
      <c r="L568" s="295">
        <f>IF(tabItens[[#This Row],[Média]] &gt; 0, tabItens[[#This Row],[QTDE ATUAL]] / tabItens[[#This Row],[Média]],999.9)</f>
        <v>77.057142857142864</v>
      </c>
      <c r="M568" s="296">
        <v>0</v>
      </c>
      <c r="N568" s="297">
        <f>tabItens[[#This Row],[VALOR UNIT.]] * tabItens[[#This Row],[LC]]</f>
        <v>0</v>
      </c>
      <c r="O568" s="298" t="s">
        <v>2109</v>
      </c>
      <c r="P568" s="299"/>
      <c r="Q568" s="300"/>
      <c r="R568" s="297"/>
      <c r="S568" s="301"/>
      <c r="T568" s="302">
        <f>ROUNDDOWN(IFERROR(tabItens[[#This Row],[ATA DT.VALID.]] - $D$1,0) / 30,0)</f>
        <v>-1504</v>
      </c>
      <c r="U568" s="287" t="s">
        <v>1151</v>
      </c>
      <c r="V568" s="303">
        <v>1</v>
      </c>
      <c r="W568" s="304" t="s">
        <v>2056</v>
      </c>
      <c r="X568" s="305">
        <v>70</v>
      </c>
      <c r="Y568" s="306">
        <v>31</v>
      </c>
      <c r="Z568" s="307"/>
      <c r="AA568" s="308"/>
      <c r="AB568" s="309"/>
      <c r="AC568" s="309"/>
      <c r="AD568" s="308"/>
      <c r="AE568" s="309"/>
      <c r="AF568" s="302"/>
      <c r="AG568" s="310" t="s">
        <v>2050</v>
      </c>
      <c r="AH568" s="311"/>
      <c r="AI568" s="302">
        <v>48</v>
      </c>
      <c r="AJ568" s="311">
        <v>44607</v>
      </c>
      <c r="AK568" s="311" t="s">
        <v>883</v>
      </c>
      <c r="AL568" s="311">
        <v>44592</v>
      </c>
      <c r="AM568" s="301"/>
      <c r="AN568" s="290"/>
      <c r="AO568" s="312" t="str">
        <f>_xlfn.IFNA(IF(VLOOKUP(tabItens[[#This Row],[CÓDIGO]],tabExcluirDoEstoque[#Data],1,FALSE),"sim",""),"")</f>
        <v/>
      </c>
      <c r="AP568" s="313" t="str">
        <f ca="1">IF(OR(ISBLANK(tabItens[[#This Row],[ATA DT.VALID.]]),tabItens[[#This Row],[ATA DT.VALID.]]="",tabItens[[#This Row],[ATA DT.VALID.]]=" "),"",IF(TYPE(tabItens[[#This Row],[ATA DT.VALID.]])=1,ROUNDUP((tabItens[[#This Row],[ATA DT.VALID.]]-TODAY())/7,0),""))</f>
        <v/>
      </c>
      <c r="AQ568" s="314">
        <v>0</v>
      </c>
      <c r="AR568" s="315" t="str">
        <f>IF(ISBLANK(tabItens[[#This Row],[CÓDIGO]]),"",IFERROR(VLOOKUP(tabItens[[#This Row],[CÓDIGO]],Consumo!$C$2:$AC$869,26,FALSE),0))</f>
        <v>06.2023</v>
      </c>
      <c r="AS568" s="316">
        <f>SUMIF(Consumo!$C$3:$C$869,tabItens[[#This Row],[CÓDIGO]],Consumo!$N$3:$N$869) + SUMIF(Consumo!$C$3:$C$869,tabItens[[#This Row],[CÓDIGO]],Consumo!$O$3:$O$869) + SUMIF(Consumo!$C$3:$C$869,tabItens[[#This Row],[CÓDIGO]],Consumo!$P$3:$P$869) + SUMIF(Consumo!$C$3:$C$869,tabItens[[#This Row],[CÓDIGO]],Consumo!$Q$3:$Q$869)</f>
        <v>78</v>
      </c>
      <c r="AT568" s="316">
        <f>SUMIF(Consumo!$C$3:$C$869,tabItens[[#This Row],[CÓDIGO]],Consumo!$Z$3:$Z$869)</f>
        <v>143</v>
      </c>
      <c r="AU568" s="317">
        <f>SUMIF(Consumo!$C$3:$C$869,tabItens[[#This Row],[CÓDIGO]],Consumo!$AA$3:$AA$869)</f>
        <v>38</v>
      </c>
      <c r="AV568" s="318">
        <f>SUMIF(Consumo!$C$3:$C$869,tabItens[[#This Row],[CÓDIGO]],Consumo!$Y$3:$Y$869)</f>
        <v>11.666666666666666</v>
      </c>
      <c r="AW568" s="291">
        <f>tabItens[[#This Row],[QTDE ATUAL]] + tabItens[[#This Row],[RC QTDE]] + tabItens[[#This Row],[AF SALDO]] + tabItens[[#This Row],[Recentes]]</f>
        <v>899</v>
      </c>
      <c r="AX568" s="319">
        <v>9</v>
      </c>
      <c r="AY568" s="319">
        <v>4</v>
      </c>
      <c r="AZ568" s="319">
        <f>IF(ISBLANK(tabItens[[#This Row],[CÓDIGO]]),"",tabItens[[#This Row],[PontoMês]] * (AZ$2+tabItens[[#This Row],[PontoQtM]]))</f>
        <v>36</v>
      </c>
      <c r="BA568" s="318">
        <f>tabItens[[#This Row],[PontoPed]] - tabItens[[#This Row],[Saldo]] + (1/10)</f>
        <v>-862.9</v>
      </c>
      <c r="BB568" s="318">
        <f xml:space="preserve"> tabItens[[#This Row],[PontoMês]] * BB$2 - tabItens[[#This Row],[QTDE ATUAL]] - (1/10)</f>
        <v>-890.1</v>
      </c>
      <c r="BC568" s="320">
        <f>IF( tabItens[[#This Row],[PontoPed]]&gt;0, IF(tabItens[[#This Row],[PontoPed]]&lt;1, 1, IF( tabItens[[#This Row],[Saldo]]&gt;tabItens[[#This Row],[PontoPed]], 0, (tabItens[[#This Row],[PontoPed]]-tabItens[[#This Row],[Saldo]])/tabItens[[#This Row],[PontoPed]] ) ), 0 )</f>
        <v>0</v>
      </c>
      <c r="BD568" s="321">
        <f>ROUNDDOWN(IF( OR( AND(tabItens[[#This Row],[PontoPed]]&lt;tabItens[[#This Row],[Saldo]],tabItens[[#This Row],[Saldo]]&gt;0), tabItens[[#This Row],[PontoPed]]=0), 99, IF(AND(tabItens[[#This Row],[Saldo]]=0,tabItens[[#This Row],[PontoPed]]&gt;0), 0, (1-tabItens[[#This Row],[PctAb]])*10 ) ),0)</f>
        <v>99</v>
      </c>
      <c r="BE568" s="322">
        <f>MAX(ROUNDDOWN( IF(tabItens[[#This Row],[Abaixo]] &gt; 0,   tabItens[[#This Row],[Abaixo]] + (tabItens[[#This Row],[PontoMês]] * IF( OR( ISBLANK(tabItens[[#This Row],[ATA Nº/ANO]]), tabItens[[#This Row],[ATA Nº/ANO]] = ""),BE$2,BE$1)),0),0),0)</f>
        <v>0</v>
      </c>
      <c r="BF56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23">
        <f>SUMIF(Consumo!$C$3:$C$869,tabItens[[#This Row],[CÓDIGO]],Consumo!$E$3:$E$869)</f>
        <v>0</v>
      </c>
      <c r="BH568" s="324">
        <f>IF(AND(tabItens[[#This Row],[Pend]] &gt; 0,tabItens[[#This Row],[Consumo]] &lt;&gt; 0), tabItens[[#This Row],[Pend]] / tabItens[[#This Row],[Consumo]], 0 )</f>
        <v>0</v>
      </c>
      <c r="BI568" s="323"/>
      <c r="BJ568" s="323"/>
      <c r="BK568" s="325" t="s">
        <v>2064</v>
      </c>
    </row>
    <row r="569" spans="1:63" hidden="1" x14ac:dyDescent="0.3">
      <c r="A569" s="286">
        <v>20104</v>
      </c>
      <c r="B569" s="287" t="s">
        <v>1159</v>
      </c>
      <c r="C569" s="288" t="s">
        <v>256</v>
      </c>
      <c r="D569" s="289">
        <v>5.14</v>
      </c>
      <c r="E569" s="290"/>
      <c r="F569" s="290"/>
      <c r="G569" s="290" t="s">
        <v>883</v>
      </c>
      <c r="H569" s="291">
        <v>384</v>
      </c>
      <c r="I569" s="292">
        <v>103003</v>
      </c>
      <c r="J569" s="293">
        <v>5.14</v>
      </c>
      <c r="K569" s="294">
        <v>146</v>
      </c>
      <c r="L569" s="295">
        <f>IF(tabItens[[#This Row],[Média]] &gt; 0, tabItens[[#This Row],[QTDE ATUAL]] / tabItens[[#This Row],[Média]],999.9)</f>
        <v>30.315789473684212</v>
      </c>
      <c r="M569" s="296">
        <v>0</v>
      </c>
      <c r="N569" s="297">
        <f>tabItens[[#This Row],[VALOR UNIT.]] * tabItens[[#This Row],[LC]]</f>
        <v>0</v>
      </c>
      <c r="O569" s="298" t="s">
        <v>2109</v>
      </c>
      <c r="P569" s="299"/>
      <c r="Q569" s="300"/>
      <c r="R569" s="297"/>
      <c r="S569" s="301"/>
      <c r="T569" s="302">
        <f>ROUNDDOWN(IFERROR(tabItens[[#This Row],[ATA DT.VALID.]] - $D$1,0) / 30,0)</f>
        <v>-1504</v>
      </c>
      <c r="U569" s="287" t="s">
        <v>1151</v>
      </c>
      <c r="V569" s="303">
        <v>1</v>
      </c>
      <c r="W569" s="304" t="s">
        <v>2056</v>
      </c>
      <c r="X569" s="305">
        <v>70</v>
      </c>
      <c r="Y569" s="306">
        <v>31</v>
      </c>
      <c r="Z569" s="307"/>
      <c r="AA569" s="308"/>
      <c r="AB569" s="309"/>
      <c r="AC569" s="309"/>
      <c r="AD569" s="308"/>
      <c r="AE569" s="309"/>
      <c r="AF569" s="302"/>
      <c r="AG569" s="310" t="s">
        <v>2050</v>
      </c>
      <c r="AH569" s="311"/>
      <c r="AI569" s="302">
        <v>54</v>
      </c>
      <c r="AJ569" s="311">
        <v>44571</v>
      </c>
      <c r="AK569" s="311" t="s">
        <v>883</v>
      </c>
      <c r="AL569" s="311">
        <v>44536</v>
      </c>
      <c r="AM569" s="301"/>
      <c r="AN569" s="290"/>
      <c r="AO569" s="312" t="str">
        <f>_xlfn.IFNA(IF(VLOOKUP(tabItens[[#This Row],[CÓDIGO]],tabExcluirDoEstoque[#Data],1,FALSE),"sim",""),"")</f>
        <v/>
      </c>
      <c r="AP569" s="313" t="str">
        <f ca="1">IF(OR(ISBLANK(tabItens[[#This Row],[ATA DT.VALID.]]),tabItens[[#This Row],[ATA DT.VALID.]]="",tabItens[[#This Row],[ATA DT.VALID.]]=" "),"",IF(TYPE(tabItens[[#This Row],[ATA DT.VALID.]])=1,ROUNDUP((tabItens[[#This Row],[ATA DT.VALID.]]-TODAY())/7,0),""))</f>
        <v/>
      </c>
      <c r="AQ569" s="314">
        <v>0</v>
      </c>
      <c r="AR569" s="315" t="str">
        <f>IF(ISBLANK(tabItens[[#This Row],[CÓDIGO]]),"",IFERROR(VLOOKUP(tabItens[[#This Row],[CÓDIGO]],Consumo!$C$2:$AC$869,26,FALSE),0))</f>
        <v>04.2023</v>
      </c>
      <c r="AS569" s="316">
        <f>SUMIF(Consumo!$C$3:$C$869,tabItens[[#This Row],[CÓDIGO]],Consumo!$N$3:$N$869) + SUMIF(Consumo!$C$3:$C$869,tabItens[[#This Row],[CÓDIGO]],Consumo!$O$3:$O$869) + SUMIF(Consumo!$C$3:$C$869,tabItens[[#This Row],[CÓDIGO]],Consumo!$P$3:$P$869) + SUMIF(Consumo!$C$3:$C$869,tabItens[[#This Row],[CÓDIGO]],Consumo!$Q$3:$Q$869)</f>
        <v>20</v>
      </c>
      <c r="AT569" s="316">
        <f>SUMIF(Consumo!$C$3:$C$869,tabItens[[#This Row],[CÓDIGO]],Consumo!$Z$3:$Z$869)</f>
        <v>160</v>
      </c>
      <c r="AU569" s="317">
        <f>SUMIF(Consumo!$C$3:$C$869,tabItens[[#This Row],[CÓDIGO]],Consumo!$AA$3:$AA$869)</f>
        <v>51</v>
      </c>
      <c r="AV569" s="318">
        <f>SUMIF(Consumo!$C$3:$C$869,tabItens[[#This Row],[CÓDIGO]],Consumo!$Y$3:$Y$869)</f>
        <v>12.666666666666666</v>
      </c>
      <c r="AW569" s="291">
        <f>tabItens[[#This Row],[QTDE ATUAL]] + tabItens[[#This Row],[RC QTDE]] + tabItens[[#This Row],[AF SALDO]] + tabItens[[#This Row],[Recentes]]</f>
        <v>384</v>
      </c>
      <c r="AX569" s="319">
        <v>13</v>
      </c>
      <c r="AY569" s="319">
        <v>4</v>
      </c>
      <c r="AZ569" s="319">
        <f>IF(ISBLANK(tabItens[[#This Row],[CÓDIGO]]),"",tabItens[[#This Row],[PontoMês]] * (AZ$2+tabItens[[#This Row],[PontoQtM]]))</f>
        <v>52</v>
      </c>
      <c r="BA569" s="318">
        <f>tabItens[[#This Row],[PontoPed]] - tabItens[[#This Row],[Saldo]] + (1/10)</f>
        <v>-331.9</v>
      </c>
      <c r="BB569" s="318">
        <f xml:space="preserve"> tabItens[[#This Row],[PontoMês]] * BB$2 - tabItens[[#This Row],[QTDE ATUAL]] - (1/10)</f>
        <v>-371.1</v>
      </c>
      <c r="BC569" s="320">
        <f>IF( tabItens[[#This Row],[PontoPed]]&gt;0, IF(tabItens[[#This Row],[PontoPed]]&lt;1, 1, IF( tabItens[[#This Row],[Saldo]]&gt;tabItens[[#This Row],[PontoPed]], 0, (tabItens[[#This Row],[PontoPed]]-tabItens[[#This Row],[Saldo]])/tabItens[[#This Row],[PontoPed]] ) ), 0 )</f>
        <v>0</v>
      </c>
      <c r="BD569" s="321">
        <f>ROUNDDOWN(IF( OR( AND(tabItens[[#This Row],[PontoPed]]&lt;tabItens[[#This Row],[Saldo]],tabItens[[#This Row],[Saldo]]&gt;0), tabItens[[#This Row],[PontoPed]]=0), 99, IF(AND(tabItens[[#This Row],[Saldo]]=0,tabItens[[#This Row],[PontoPed]]&gt;0), 0, (1-tabItens[[#This Row],[PctAb]])*10 ) ),0)</f>
        <v>99</v>
      </c>
      <c r="BE569" s="322">
        <f>MAX(ROUNDDOWN( IF(tabItens[[#This Row],[Abaixo]] &gt; 0,   tabItens[[#This Row],[Abaixo]] + (tabItens[[#This Row],[PontoMês]] * IF( OR( ISBLANK(tabItens[[#This Row],[ATA Nº/ANO]]), tabItens[[#This Row],[ATA Nº/ANO]] = ""),BE$2,BE$1)),0),0),0)</f>
        <v>0</v>
      </c>
      <c r="BF56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23">
        <f>SUMIF(Consumo!$C$3:$C$869,tabItens[[#This Row],[CÓDIGO]],Consumo!$E$3:$E$869)</f>
        <v>0</v>
      </c>
      <c r="BH569" s="324">
        <f>IF(AND(tabItens[[#This Row],[Pend]] &gt; 0,tabItens[[#This Row],[Consumo]] &lt;&gt; 0), tabItens[[#This Row],[Pend]] / tabItens[[#This Row],[Consumo]], 0 )</f>
        <v>0</v>
      </c>
      <c r="BI569" s="323"/>
      <c r="BJ569" s="323"/>
      <c r="BK569" s="325" t="s">
        <v>2064</v>
      </c>
    </row>
    <row r="570" spans="1:63" hidden="1" x14ac:dyDescent="0.3">
      <c r="A570" s="286">
        <v>20106</v>
      </c>
      <c r="B570" s="287" t="s">
        <v>1160</v>
      </c>
      <c r="C570" s="288" t="s">
        <v>256</v>
      </c>
      <c r="D570" s="289">
        <v>1.42</v>
      </c>
      <c r="E570" s="290"/>
      <c r="F570" s="290"/>
      <c r="G570" s="290" t="s">
        <v>883</v>
      </c>
      <c r="H570" s="291">
        <v>569</v>
      </c>
      <c r="I570" s="292">
        <v>103003</v>
      </c>
      <c r="J570" s="293">
        <v>1.42</v>
      </c>
      <c r="K570" s="294">
        <v>317</v>
      </c>
      <c r="L570" s="295">
        <f>IF(tabItens[[#This Row],[Média]] &gt; 0, tabItens[[#This Row],[QTDE ATUAL]] / tabItens[[#This Row],[Média]],999.9)</f>
        <v>17.507692307692309</v>
      </c>
      <c r="M570" s="296">
        <v>0</v>
      </c>
      <c r="N570" s="297">
        <f>tabItens[[#This Row],[VALOR UNIT.]] * tabItens[[#This Row],[LC]]</f>
        <v>0</v>
      </c>
      <c r="O570" s="298" t="s">
        <v>2109</v>
      </c>
      <c r="P570" s="299"/>
      <c r="Q570" s="300"/>
      <c r="R570" s="297"/>
      <c r="S570" s="301"/>
      <c r="T570" s="302">
        <f>ROUNDDOWN(IFERROR(tabItens[[#This Row],[ATA DT.VALID.]] - $D$1,0) / 30,0)</f>
        <v>-1504</v>
      </c>
      <c r="U570" s="287" t="s">
        <v>1151</v>
      </c>
      <c r="V570" s="303">
        <v>1</v>
      </c>
      <c r="W570" s="304" t="s">
        <v>2056</v>
      </c>
      <c r="X570" s="305">
        <v>70</v>
      </c>
      <c r="Y570" s="306">
        <v>31</v>
      </c>
      <c r="Z570" s="307">
        <v>3001</v>
      </c>
      <c r="AA570" s="308">
        <v>2023</v>
      </c>
      <c r="AB570" s="309">
        <v>300</v>
      </c>
      <c r="AC570" s="309"/>
      <c r="AD570" s="308"/>
      <c r="AE570" s="309"/>
      <c r="AF570" s="302"/>
      <c r="AG570" s="310" t="s">
        <v>2050</v>
      </c>
      <c r="AH570" s="311"/>
      <c r="AI570" s="302">
        <v>128</v>
      </c>
      <c r="AJ570" s="311">
        <v>44607</v>
      </c>
      <c r="AK570" s="311" t="s">
        <v>883</v>
      </c>
      <c r="AL570" s="311">
        <v>44592</v>
      </c>
      <c r="AM570" s="301"/>
      <c r="AN570" s="290"/>
      <c r="AO570" s="312" t="str">
        <f>_xlfn.IFNA(IF(VLOOKUP(tabItens[[#This Row],[CÓDIGO]],tabExcluirDoEstoque[#Data],1,FALSE),"sim",""),"")</f>
        <v/>
      </c>
      <c r="AP570" s="313" t="str">
        <f ca="1">IF(OR(ISBLANK(tabItens[[#This Row],[ATA DT.VALID.]]),tabItens[[#This Row],[ATA DT.VALID.]]="",tabItens[[#This Row],[ATA DT.VALID.]]=" "),"",IF(TYPE(tabItens[[#This Row],[ATA DT.VALID.]])=1,ROUNDUP((tabItens[[#This Row],[ATA DT.VALID.]]-TODAY())/7,0),""))</f>
        <v/>
      </c>
      <c r="AQ570" s="314">
        <v>0</v>
      </c>
      <c r="AR570" s="315" t="str">
        <f>IF(ISBLANK(tabItens[[#This Row],[CÓDIGO]]),"",IFERROR(VLOOKUP(tabItens[[#This Row],[CÓDIGO]],Consumo!$C$2:$AC$869,26,FALSE),0))</f>
        <v>05.2023</v>
      </c>
      <c r="AS570" s="316">
        <f>SUMIF(Consumo!$C$3:$C$869,tabItens[[#This Row],[CÓDIGO]],Consumo!$N$3:$N$869) + SUMIF(Consumo!$C$3:$C$869,tabItens[[#This Row],[CÓDIGO]],Consumo!$O$3:$O$869) + SUMIF(Consumo!$C$3:$C$869,tabItens[[#This Row],[CÓDIGO]],Consumo!$P$3:$P$869) + SUMIF(Consumo!$C$3:$C$869,tabItens[[#This Row],[CÓDIGO]],Consumo!$Q$3:$Q$869)</f>
        <v>58</v>
      </c>
      <c r="AT570" s="316">
        <f>SUMIF(Consumo!$C$3:$C$869,tabItens[[#This Row],[CÓDIGO]],Consumo!$Z$3:$Z$869)</f>
        <v>394</v>
      </c>
      <c r="AU570" s="317">
        <f>SUMIF(Consumo!$C$3:$C$869,tabItens[[#This Row],[CÓDIGO]],Consumo!$AA$3:$AA$869)</f>
        <v>88</v>
      </c>
      <c r="AV570" s="318">
        <f>SUMIF(Consumo!$C$3:$C$869,tabItens[[#This Row],[CÓDIGO]],Consumo!$Y$3:$Y$869)</f>
        <v>32.5</v>
      </c>
      <c r="AW570" s="291">
        <f>tabItens[[#This Row],[QTDE ATUAL]] + tabItens[[#This Row],[RC QTDE]] + tabItens[[#This Row],[AF SALDO]] + tabItens[[#This Row],[Recentes]]</f>
        <v>869</v>
      </c>
      <c r="AX570" s="319">
        <v>21</v>
      </c>
      <c r="AY570" s="319">
        <v>4</v>
      </c>
      <c r="AZ570" s="319">
        <f>IF(ISBLANK(tabItens[[#This Row],[CÓDIGO]]),"",tabItens[[#This Row],[PontoMês]] * (AZ$2+tabItens[[#This Row],[PontoQtM]]))</f>
        <v>84</v>
      </c>
      <c r="BA570" s="318">
        <f>tabItens[[#This Row],[PontoPed]] - tabItens[[#This Row],[Saldo]] + (1/10)</f>
        <v>-784.9</v>
      </c>
      <c r="BB570" s="318">
        <f xml:space="preserve"> tabItens[[#This Row],[PontoMês]] * BB$2 - tabItens[[#This Row],[QTDE ATUAL]] - (1/10)</f>
        <v>-548.1</v>
      </c>
      <c r="BC570" s="320">
        <f>IF( tabItens[[#This Row],[PontoPed]]&gt;0, IF(tabItens[[#This Row],[PontoPed]]&lt;1, 1, IF( tabItens[[#This Row],[Saldo]]&gt;tabItens[[#This Row],[PontoPed]], 0, (tabItens[[#This Row],[PontoPed]]-tabItens[[#This Row],[Saldo]])/tabItens[[#This Row],[PontoPed]] ) ), 0 )</f>
        <v>0</v>
      </c>
      <c r="BD570" s="321">
        <f>ROUNDDOWN(IF( OR( AND(tabItens[[#This Row],[PontoPed]]&lt;tabItens[[#This Row],[Saldo]],tabItens[[#This Row],[Saldo]]&gt;0), tabItens[[#This Row],[PontoPed]]=0), 99, IF(AND(tabItens[[#This Row],[Saldo]]=0,tabItens[[#This Row],[PontoPed]]&gt;0), 0, (1-tabItens[[#This Row],[PctAb]])*10 ) ),0)</f>
        <v>99</v>
      </c>
      <c r="BE570" s="322">
        <f>MAX(ROUNDDOWN( IF(tabItens[[#This Row],[Abaixo]] &gt; 0,   tabItens[[#This Row],[Abaixo]] + (tabItens[[#This Row],[PontoMês]] * IF( OR( ISBLANK(tabItens[[#This Row],[ATA Nº/ANO]]), tabItens[[#This Row],[ATA Nº/ANO]] = ""),BE$2,BE$1)),0),0),0)</f>
        <v>0</v>
      </c>
      <c r="BF57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23">
        <f>SUMIF(Consumo!$C$3:$C$869,tabItens[[#This Row],[CÓDIGO]],Consumo!$E$3:$E$869)</f>
        <v>10</v>
      </c>
      <c r="BH570" s="324">
        <f>IF(AND(tabItens[[#This Row],[Pend]] &gt; 0,tabItens[[#This Row],[Consumo]] &lt;&gt; 0), tabItens[[#This Row],[Pend]] / tabItens[[#This Row],[Consumo]], 0 )</f>
        <v>2.5380710659898477E-2</v>
      </c>
      <c r="BI570" s="323"/>
      <c r="BJ570" s="323"/>
      <c r="BK570" s="325" t="s">
        <v>2064</v>
      </c>
    </row>
    <row r="571" spans="1:63" hidden="1" x14ac:dyDescent="0.3">
      <c r="A571" s="286">
        <v>133371</v>
      </c>
      <c r="B571" s="287" t="s">
        <v>1842</v>
      </c>
      <c r="C571" s="288" t="s">
        <v>400</v>
      </c>
      <c r="D571" s="289">
        <v>20.74</v>
      </c>
      <c r="E571" s="290"/>
      <c r="F571" s="290"/>
      <c r="G571" s="290" t="s">
        <v>883</v>
      </c>
      <c r="H571" s="291">
        <v>220</v>
      </c>
      <c r="I571" s="292">
        <v>103003</v>
      </c>
      <c r="J571" s="293">
        <v>20.74</v>
      </c>
      <c r="K571" s="294">
        <v>460</v>
      </c>
      <c r="L571" s="295">
        <f>IF(tabItens[[#This Row],[Média]] &gt; 0, tabItens[[#This Row],[QTDE ATUAL]] / tabItens[[#This Row],[Média]],999.9)</f>
        <v>5.8407079646017701</v>
      </c>
      <c r="M571" s="296">
        <v>0</v>
      </c>
      <c r="N571" s="297">
        <f>tabItens[[#This Row],[VALOR UNIT.]] * tabItens[[#This Row],[LC]]</f>
        <v>0</v>
      </c>
      <c r="O571" s="298" t="s">
        <v>2175</v>
      </c>
      <c r="P571" s="299"/>
      <c r="Q571" s="300"/>
      <c r="R571" s="297"/>
      <c r="S571" s="301"/>
      <c r="T571" s="302">
        <f>ROUNDDOWN(IFERROR(tabItens[[#This Row],[ATA DT.VALID.]] - $D$1,0) / 30,0)</f>
        <v>-1504</v>
      </c>
      <c r="U571" s="287" t="s">
        <v>1843</v>
      </c>
      <c r="V571" s="303">
        <v>1</v>
      </c>
      <c r="W571" s="304" t="s">
        <v>2056</v>
      </c>
      <c r="X571" s="305">
        <v>70</v>
      </c>
      <c r="Y571" s="306">
        <v>33</v>
      </c>
      <c r="Z571" s="307">
        <v>2701</v>
      </c>
      <c r="AA571" s="308">
        <v>2023</v>
      </c>
      <c r="AB571" s="309">
        <v>200</v>
      </c>
      <c r="AC571" s="309"/>
      <c r="AD571" s="308"/>
      <c r="AE571" s="309"/>
      <c r="AF571" s="302"/>
      <c r="AG571" s="310" t="s">
        <v>2050</v>
      </c>
      <c r="AH571" s="311"/>
      <c r="AI571" s="302">
        <v>166</v>
      </c>
      <c r="AJ571" s="311">
        <v>44937</v>
      </c>
      <c r="AK571" s="311">
        <v>42983</v>
      </c>
      <c r="AL571" s="311">
        <v>44917</v>
      </c>
      <c r="AM571" s="301"/>
      <c r="AN571" s="290"/>
      <c r="AO571" s="312" t="str">
        <f>_xlfn.IFNA(IF(VLOOKUP(tabItens[[#This Row],[CÓDIGO]],tabExcluirDoEstoque[#Data],1,FALSE),"sim",""),"")</f>
        <v/>
      </c>
      <c r="AP571" s="313" t="str">
        <f ca="1">IF(OR(ISBLANK(tabItens[[#This Row],[ATA DT.VALID.]]),tabItens[[#This Row],[ATA DT.VALID.]]="",tabItens[[#This Row],[ATA DT.VALID.]]=" "),"",IF(TYPE(tabItens[[#This Row],[ATA DT.VALID.]])=1,ROUNDUP((tabItens[[#This Row],[ATA DT.VALID.]]-TODAY())/7,0),""))</f>
        <v/>
      </c>
      <c r="AQ571" s="314">
        <v>0</v>
      </c>
      <c r="AR571" s="315" t="str">
        <f>IF(ISBLANK(tabItens[[#This Row],[CÓDIGO]]),"",IFERROR(VLOOKUP(tabItens[[#This Row],[CÓDIGO]],Consumo!$C$2:$AC$869,26,FALSE),0))</f>
        <v>05.2023</v>
      </c>
      <c r="AS571" s="316">
        <f>SUMIF(Consumo!$C$3:$C$869,tabItens[[#This Row],[CÓDIGO]],Consumo!$N$3:$N$869) + SUMIF(Consumo!$C$3:$C$869,tabItens[[#This Row],[CÓDIGO]],Consumo!$O$3:$O$869) + SUMIF(Consumo!$C$3:$C$869,tabItens[[#This Row],[CÓDIGO]],Consumo!$P$3:$P$869) + SUMIF(Consumo!$C$3:$C$869,tabItens[[#This Row],[CÓDIGO]],Consumo!$Q$3:$Q$869)</f>
        <v>200</v>
      </c>
      <c r="AT571" s="316">
        <f>SUMIF(Consumo!$C$3:$C$869,tabItens[[#This Row],[CÓDIGO]],Consumo!$Z$3:$Z$869)</f>
        <v>500</v>
      </c>
      <c r="AU571" s="317">
        <f>SUMIF(Consumo!$C$3:$C$869,tabItens[[#This Row],[CÓDIGO]],Consumo!$AA$3:$AA$869)</f>
        <v>200</v>
      </c>
      <c r="AV571" s="318">
        <f>SUMIF(Consumo!$C$3:$C$869,tabItens[[#This Row],[CÓDIGO]],Consumo!$Y$3:$Y$869)</f>
        <v>37.666666666666664</v>
      </c>
      <c r="AW571" s="291">
        <f>tabItens[[#This Row],[QTDE ATUAL]] + tabItens[[#This Row],[RC QTDE]] + tabItens[[#This Row],[AF SALDO]] + tabItens[[#This Row],[Recentes]]</f>
        <v>420</v>
      </c>
      <c r="AX571" s="319">
        <v>60</v>
      </c>
      <c r="AY571" s="319">
        <v>4</v>
      </c>
      <c r="AZ571" s="319">
        <f>IF(ISBLANK(tabItens[[#This Row],[CÓDIGO]]),"",tabItens[[#This Row],[PontoMês]] * (AZ$2+tabItens[[#This Row],[PontoQtM]]))</f>
        <v>240</v>
      </c>
      <c r="BA571" s="318">
        <f>tabItens[[#This Row],[PontoPed]] - tabItens[[#This Row],[Saldo]] + (1/10)</f>
        <v>-179.9</v>
      </c>
      <c r="BB571" s="318">
        <f xml:space="preserve"> tabItens[[#This Row],[PontoMês]] * BB$2 - tabItens[[#This Row],[QTDE ATUAL]] - (1/10)</f>
        <v>-160.1</v>
      </c>
      <c r="BC571" s="320">
        <f>IF( tabItens[[#This Row],[PontoPed]]&gt;0, IF(tabItens[[#This Row],[PontoPed]]&lt;1, 1, IF( tabItens[[#This Row],[Saldo]]&gt;tabItens[[#This Row],[PontoPed]], 0, (tabItens[[#This Row],[PontoPed]]-tabItens[[#This Row],[Saldo]])/tabItens[[#This Row],[PontoPed]] ) ), 0 )</f>
        <v>0</v>
      </c>
      <c r="BD571" s="321">
        <f>ROUNDDOWN(IF( OR( AND(tabItens[[#This Row],[PontoPed]]&lt;tabItens[[#This Row],[Saldo]],tabItens[[#This Row],[Saldo]]&gt;0), tabItens[[#This Row],[PontoPed]]=0), 99, IF(AND(tabItens[[#This Row],[Saldo]]=0,tabItens[[#This Row],[PontoPed]]&gt;0), 0, (1-tabItens[[#This Row],[PctAb]])*10 ) ),0)</f>
        <v>99</v>
      </c>
      <c r="BE571" s="322">
        <f>MAX(ROUNDDOWN( IF(tabItens[[#This Row],[Abaixo]] &gt; 0,   tabItens[[#This Row],[Abaixo]] + (tabItens[[#This Row],[PontoMês]] * IF( OR( ISBLANK(tabItens[[#This Row],[ATA Nº/ANO]]), tabItens[[#This Row],[ATA Nº/ANO]] = ""),BE$2,BE$1)),0),0),0)</f>
        <v>0</v>
      </c>
      <c r="BF57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23">
        <f>SUMIF(Consumo!$C$3:$C$869,tabItens[[#This Row],[CÓDIGO]],Consumo!$E$3:$E$869)</f>
        <v>0</v>
      </c>
      <c r="BH571" s="324">
        <f>IF(AND(tabItens[[#This Row],[Pend]] &gt; 0,tabItens[[#This Row],[Consumo]] &lt;&gt; 0), tabItens[[#This Row],[Pend]] / tabItens[[#This Row],[Consumo]], 0 )</f>
        <v>0</v>
      </c>
      <c r="BI571" s="323"/>
      <c r="BJ571" s="323"/>
      <c r="BK571" s="325" t="s">
        <v>2064</v>
      </c>
    </row>
    <row r="572" spans="1:63" hidden="1" x14ac:dyDescent="0.3">
      <c r="A572" s="286">
        <v>35256</v>
      </c>
      <c r="B572" s="287" t="s">
        <v>1257</v>
      </c>
      <c r="C572" s="288" t="s">
        <v>294</v>
      </c>
      <c r="D572" s="289">
        <v>6</v>
      </c>
      <c r="E572" s="290"/>
      <c r="F572" s="290"/>
      <c r="G572" s="290" t="s">
        <v>883</v>
      </c>
      <c r="H572" s="291">
        <v>157</v>
      </c>
      <c r="I572" s="292">
        <v>103003</v>
      </c>
      <c r="J572" s="293">
        <v>6</v>
      </c>
      <c r="K572" s="294">
        <v>18</v>
      </c>
      <c r="L572" s="295">
        <f>IF(tabItens[[#This Row],[Média]] &gt; 0, tabItens[[#This Row],[QTDE ATUAL]] / tabItens[[#This Row],[Média]],999.9)</f>
        <v>134.57142857142856</v>
      </c>
      <c r="M572" s="296">
        <v>0</v>
      </c>
      <c r="N572" s="297">
        <f>tabItens[[#This Row],[VALOR UNIT.]] * tabItens[[#This Row],[LC]]</f>
        <v>0</v>
      </c>
      <c r="O572" s="298" t="s">
        <v>2088</v>
      </c>
      <c r="P572" s="299"/>
      <c r="Q572" s="300"/>
      <c r="R572" s="297"/>
      <c r="S572" s="301"/>
      <c r="T572" s="302">
        <f>ROUNDDOWN(IFERROR(tabItens[[#This Row],[ATA DT.VALID.]] - $D$1,0) / 30,0)</f>
        <v>-1504</v>
      </c>
      <c r="U572" s="287" t="s">
        <v>1258</v>
      </c>
      <c r="V572" s="303">
        <v>1</v>
      </c>
      <c r="W572" s="304" t="s">
        <v>2056</v>
      </c>
      <c r="X572" s="305">
        <v>69</v>
      </c>
      <c r="Y572" s="306">
        <v>3</v>
      </c>
      <c r="Z572" s="307"/>
      <c r="AA572" s="308"/>
      <c r="AB572" s="309"/>
      <c r="AC572" s="309"/>
      <c r="AD572" s="308"/>
      <c r="AE572" s="309"/>
      <c r="AF572" s="302"/>
      <c r="AG572" s="310" t="s">
        <v>2050</v>
      </c>
      <c r="AH572" s="311"/>
      <c r="AI572" s="302">
        <v>6</v>
      </c>
      <c r="AJ572" s="311">
        <v>43749</v>
      </c>
      <c r="AK572" s="311" t="s">
        <v>883</v>
      </c>
      <c r="AL572" s="311">
        <v>43734</v>
      </c>
      <c r="AM572" s="301"/>
      <c r="AN572" s="290"/>
      <c r="AO572" s="312" t="str">
        <f>_xlfn.IFNA(IF(VLOOKUP(tabItens[[#This Row],[CÓDIGO]],tabExcluirDoEstoque[#Data],1,FALSE),"sim",""),"")</f>
        <v/>
      </c>
      <c r="AP572" s="313" t="str">
        <f ca="1">IF(OR(ISBLANK(tabItens[[#This Row],[ATA DT.VALID.]]),tabItens[[#This Row],[ATA DT.VALID.]]="",tabItens[[#This Row],[ATA DT.VALID.]]=" "),"",IF(TYPE(tabItens[[#This Row],[ATA DT.VALID.]])=1,ROUNDUP((tabItens[[#This Row],[ATA DT.VALID.]]-TODAY())/7,0),""))</f>
        <v/>
      </c>
      <c r="AQ572" s="314">
        <v>0</v>
      </c>
      <c r="AR572" s="315" t="str">
        <f>IF(ISBLANK(tabItens[[#This Row],[CÓDIGO]]),"",IFERROR(VLOOKUP(tabItens[[#This Row],[CÓDIGO]],Consumo!$C$2:$AC$869,26,FALSE),0))</f>
        <v>09.2022</v>
      </c>
      <c r="AS572" s="316">
        <f>SUMIF(Consumo!$C$3:$C$869,tabItens[[#This Row],[CÓDIGO]],Consumo!$N$3:$N$869) + SUMIF(Consumo!$C$3:$C$869,tabItens[[#This Row],[CÓDIGO]],Consumo!$O$3:$O$869) + SUMIF(Consumo!$C$3:$C$869,tabItens[[#This Row],[CÓDIGO]],Consumo!$P$3:$P$869) + SUMIF(Consumo!$C$3:$C$869,tabItens[[#This Row],[CÓDIGO]],Consumo!$Q$3:$Q$869)</f>
        <v>0</v>
      </c>
      <c r="AT572" s="316">
        <f>SUMIF(Consumo!$C$3:$C$869,tabItens[[#This Row],[CÓDIGO]],Consumo!$Z$3:$Z$869)</f>
        <v>18</v>
      </c>
      <c r="AU572" s="317">
        <f>SUMIF(Consumo!$C$3:$C$869,tabItens[[#This Row],[CÓDIGO]],Consumo!$AA$3:$AA$869)</f>
        <v>13</v>
      </c>
      <c r="AV572" s="318">
        <f>SUMIF(Consumo!$C$3:$C$869,tabItens[[#This Row],[CÓDIGO]],Consumo!$Y$3:$Y$869)</f>
        <v>1.1666666666666667</v>
      </c>
      <c r="AW572" s="291">
        <f>tabItens[[#This Row],[QTDE ATUAL]] + tabItens[[#This Row],[RC QTDE]] + tabItens[[#This Row],[AF SALDO]] + tabItens[[#This Row],[Recentes]]</f>
        <v>157</v>
      </c>
      <c r="AX572" s="319">
        <v>21</v>
      </c>
      <c r="AY572" s="319">
        <v>4</v>
      </c>
      <c r="AZ572" s="319">
        <f>IF(ISBLANK(tabItens[[#This Row],[CÓDIGO]]),"",tabItens[[#This Row],[PontoMês]] * (AZ$2+tabItens[[#This Row],[PontoQtM]]))</f>
        <v>84</v>
      </c>
      <c r="BA572" s="318">
        <f>tabItens[[#This Row],[PontoPed]] - tabItens[[#This Row],[Saldo]] + (1/10)</f>
        <v>-72.900000000000006</v>
      </c>
      <c r="BB572" s="318">
        <f xml:space="preserve"> tabItens[[#This Row],[PontoMês]] * BB$2 - tabItens[[#This Row],[QTDE ATUAL]] - (1/10)</f>
        <v>-136.1</v>
      </c>
      <c r="BC572" s="320">
        <f>IF( tabItens[[#This Row],[PontoPed]]&gt;0, IF(tabItens[[#This Row],[PontoPed]]&lt;1, 1, IF( tabItens[[#This Row],[Saldo]]&gt;tabItens[[#This Row],[PontoPed]], 0, (tabItens[[#This Row],[PontoPed]]-tabItens[[#This Row],[Saldo]])/tabItens[[#This Row],[PontoPed]] ) ), 0 )</f>
        <v>0</v>
      </c>
      <c r="BD572" s="321">
        <f>ROUNDDOWN(IF( OR( AND(tabItens[[#This Row],[PontoPed]]&lt;tabItens[[#This Row],[Saldo]],tabItens[[#This Row],[Saldo]]&gt;0), tabItens[[#This Row],[PontoPed]]=0), 99, IF(AND(tabItens[[#This Row],[Saldo]]=0,tabItens[[#This Row],[PontoPed]]&gt;0), 0, (1-tabItens[[#This Row],[PctAb]])*10 ) ),0)</f>
        <v>99</v>
      </c>
      <c r="BE572" s="322">
        <f>MAX(ROUNDDOWN( IF(tabItens[[#This Row],[Abaixo]] &gt; 0,   tabItens[[#This Row],[Abaixo]] + (tabItens[[#This Row],[PontoMês]] * IF( OR( ISBLANK(tabItens[[#This Row],[ATA Nº/ANO]]), tabItens[[#This Row],[ATA Nº/ANO]] = ""),BE$2,BE$1)),0),0),0)</f>
        <v>0</v>
      </c>
      <c r="BF57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23">
        <f>SUMIF(Consumo!$C$3:$C$869,tabItens[[#This Row],[CÓDIGO]],Consumo!$E$3:$E$869)</f>
        <v>0</v>
      </c>
      <c r="BH572" s="324">
        <f>IF(AND(tabItens[[#This Row],[Pend]] &gt; 0,tabItens[[#This Row],[Consumo]] &lt;&gt; 0), tabItens[[#This Row],[Pend]] / tabItens[[#This Row],[Consumo]], 0 )</f>
        <v>0</v>
      </c>
      <c r="BI572" s="323"/>
      <c r="BJ572" s="323"/>
      <c r="BK572" s="325" t="s">
        <v>2064</v>
      </c>
    </row>
    <row r="573" spans="1:63" hidden="1" x14ac:dyDescent="0.3">
      <c r="A573" s="286">
        <v>12830</v>
      </c>
      <c r="B573" s="287" t="s">
        <v>967</v>
      </c>
      <c r="C573" s="288" t="s">
        <v>256</v>
      </c>
      <c r="D573" s="289">
        <v>4.0999999999999996</v>
      </c>
      <c r="E573" s="290"/>
      <c r="F573" s="290"/>
      <c r="G573" s="290" t="s">
        <v>883</v>
      </c>
      <c r="H573" s="291">
        <v>1482</v>
      </c>
      <c r="I573" s="292">
        <v>103003</v>
      </c>
      <c r="J573" s="293">
        <v>4.0999999999999996</v>
      </c>
      <c r="K573" s="294">
        <v>219</v>
      </c>
      <c r="L573" s="295">
        <f>IF(tabItens[[#This Row],[Média]] &gt; 0, tabItens[[#This Row],[QTDE ATUAL]] / tabItens[[#This Row],[Média]],999.9)</f>
        <v>65.623616236162363</v>
      </c>
      <c r="M573" s="296">
        <v>0</v>
      </c>
      <c r="N573" s="297">
        <f>tabItens[[#This Row],[VALOR UNIT.]] * tabItens[[#This Row],[LC]]</f>
        <v>0</v>
      </c>
      <c r="O573" s="298" t="s">
        <v>2075</v>
      </c>
      <c r="P573" s="299"/>
      <c r="Q573" s="300"/>
      <c r="R573" s="297"/>
      <c r="S573" s="301"/>
      <c r="T573" s="302">
        <f>ROUNDDOWN(IFERROR(tabItens[[#This Row],[ATA DT.VALID.]] - $D$1,0) / 30,0)</f>
        <v>-1504</v>
      </c>
      <c r="U573" s="287" t="s">
        <v>964</v>
      </c>
      <c r="V573" s="303">
        <v>1</v>
      </c>
      <c r="W573" s="304" t="s">
        <v>2054</v>
      </c>
      <c r="X573" s="305">
        <v>61</v>
      </c>
      <c r="Y573" s="306">
        <v>8</v>
      </c>
      <c r="Z573" s="307"/>
      <c r="AA573" s="308"/>
      <c r="AB573" s="309"/>
      <c r="AC573" s="309"/>
      <c r="AD573" s="308"/>
      <c r="AE573" s="309"/>
      <c r="AF573" s="302"/>
      <c r="AG573" s="310" t="s">
        <v>2050</v>
      </c>
      <c r="AH573" s="311"/>
      <c r="AI573" s="302">
        <v>96</v>
      </c>
      <c r="AJ573" s="311">
        <v>44533</v>
      </c>
      <c r="AK573" s="311" t="s">
        <v>883</v>
      </c>
      <c r="AL573" s="311">
        <v>44522</v>
      </c>
      <c r="AM573" s="301"/>
      <c r="AN573" s="290"/>
      <c r="AO573" s="312" t="str">
        <f>_xlfn.IFNA(IF(VLOOKUP(tabItens[[#This Row],[CÓDIGO]],tabExcluirDoEstoque[#Data],1,FALSE),"sim",""),"")</f>
        <v/>
      </c>
      <c r="AP573" s="313" t="str">
        <f ca="1">IF(OR(ISBLANK(tabItens[[#This Row],[ATA DT.VALID.]]),tabItens[[#This Row],[ATA DT.VALID.]]="",tabItens[[#This Row],[ATA DT.VALID.]]=" "),"",IF(TYPE(tabItens[[#This Row],[ATA DT.VALID.]])=1,ROUNDUP((tabItens[[#This Row],[ATA DT.VALID.]]-TODAY())/7,0),""))</f>
        <v/>
      </c>
      <c r="AQ573" s="314">
        <v>0</v>
      </c>
      <c r="AR573" s="315" t="str">
        <f>IF(ISBLANK(tabItens[[#This Row],[CÓDIGO]]),"",IFERROR(VLOOKUP(tabItens[[#This Row],[CÓDIGO]],Consumo!$C$2:$AC$869,26,FALSE),0))</f>
        <v>06.2023</v>
      </c>
      <c r="AS573" s="316">
        <f>SUMIF(Consumo!$C$3:$C$869,tabItens[[#This Row],[CÓDIGO]],Consumo!$N$3:$N$869) + SUMIF(Consumo!$C$3:$C$869,tabItens[[#This Row],[CÓDIGO]],Consumo!$O$3:$O$869) + SUMIF(Consumo!$C$3:$C$869,tabItens[[#This Row],[CÓDIGO]],Consumo!$P$3:$P$869) + SUMIF(Consumo!$C$3:$C$869,tabItens[[#This Row],[CÓDIGO]],Consumo!$Q$3:$Q$869)</f>
        <v>135</v>
      </c>
      <c r="AT573" s="316">
        <f>SUMIF(Consumo!$C$3:$C$869,tabItens[[#This Row],[CÓDIGO]],Consumo!$Z$3:$Z$869)</f>
        <v>287</v>
      </c>
      <c r="AU573" s="317">
        <f>SUMIF(Consumo!$C$3:$C$869,tabItens[[#This Row],[CÓDIGO]],Consumo!$AA$3:$AA$869)</f>
        <v>80</v>
      </c>
      <c r="AV573" s="318">
        <f>SUMIF(Consumo!$C$3:$C$869,tabItens[[#This Row],[CÓDIGO]],Consumo!$Y$3:$Y$869)</f>
        <v>22.583333333333332</v>
      </c>
      <c r="AW573" s="291">
        <f>tabItens[[#This Row],[QTDE ATUAL]] + tabItens[[#This Row],[RC QTDE]] + tabItens[[#This Row],[AF SALDO]] + tabItens[[#This Row],[Recentes]]</f>
        <v>1482</v>
      </c>
      <c r="AX573" s="319">
        <v>40</v>
      </c>
      <c r="AY573" s="319">
        <v>4</v>
      </c>
      <c r="AZ573" s="319">
        <f>IF(ISBLANK(tabItens[[#This Row],[CÓDIGO]]),"",tabItens[[#This Row],[PontoMês]] * (AZ$2+tabItens[[#This Row],[PontoQtM]]))</f>
        <v>160</v>
      </c>
      <c r="BA573" s="318">
        <f>tabItens[[#This Row],[PontoPed]] - tabItens[[#This Row],[Saldo]] + (1/10)</f>
        <v>-1321.9</v>
      </c>
      <c r="BB573" s="318">
        <f xml:space="preserve"> tabItens[[#This Row],[PontoMês]] * BB$2 - tabItens[[#This Row],[QTDE ATUAL]] - (1/10)</f>
        <v>-1442.1</v>
      </c>
      <c r="BC573" s="320">
        <f>IF( tabItens[[#This Row],[PontoPed]]&gt;0, IF(tabItens[[#This Row],[PontoPed]]&lt;1, 1, IF( tabItens[[#This Row],[Saldo]]&gt;tabItens[[#This Row],[PontoPed]], 0, (tabItens[[#This Row],[PontoPed]]-tabItens[[#This Row],[Saldo]])/tabItens[[#This Row],[PontoPed]] ) ), 0 )</f>
        <v>0</v>
      </c>
      <c r="BD573" s="321">
        <f>ROUNDDOWN(IF( OR( AND(tabItens[[#This Row],[PontoPed]]&lt;tabItens[[#This Row],[Saldo]],tabItens[[#This Row],[Saldo]]&gt;0), tabItens[[#This Row],[PontoPed]]=0), 99, IF(AND(tabItens[[#This Row],[Saldo]]=0,tabItens[[#This Row],[PontoPed]]&gt;0), 0, (1-tabItens[[#This Row],[PctAb]])*10 ) ),0)</f>
        <v>99</v>
      </c>
      <c r="BE573" s="322">
        <f>MAX(ROUNDDOWN( IF(tabItens[[#This Row],[Abaixo]] &gt; 0,   tabItens[[#This Row],[Abaixo]] + (tabItens[[#This Row],[PontoMês]] * IF( OR( ISBLANK(tabItens[[#This Row],[ATA Nº/ANO]]), tabItens[[#This Row],[ATA Nº/ANO]] = ""),BE$2,BE$1)),0),0),0)</f>
        <v>0</v>
      </c>
      <c r="BF57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23">
        <f>SUMIF(Consumo!$C$3:$C$869,tabItens[[#This Row],[CÓDIGO]],Consumo!$E$3:$E$869)</f>
        <v>0</v>
      </c>
      <c r="BH573" s="324">
        <f>IF(AND(tabItens[[#This Row],[Pend]] &gt; 0,tabItens[[#This Row],[Consumo]] &lt;&gt; 0), tabItens[[#This Row],[Pend]] / tabItens[[#This Row],[Consumo]], 0 )</f>
        <v>0</v>
      </c>
      <c r="BI573" s="323"/>
      <c r="BJ573" s="323"/>
      <c r="BK573" s="325" t="s">
        <v>2064</v>
      </c>
    </row>
    <row r="574" spans="1:63" hidden="1" x14ac:dyDescent="0.3">
      <c r="A574" s="286">
        <v>114976</v>
      </c>
      <c r="B574" s="287" t="s">
        <v>1702</v>
      </c>
      <c r="C574" s="288" t="s">
        <v>331</v>
      </c>
      <c r="D574" s="289">
        <v>90.5</v>
      </c>
      <c r="E574" s="290"/>
      <c r="F574" s="290"/>
      <c r="G574" s="290" t="s">
        <v>883</v>
      </c>
      <c r="H574" s="291">
        <v>634</v>
      </c>
      <c r="I574" s="292">
        <v>103003</v>
      </c>
      <c r="J574" s="293">
        <v>90.5</v>
      </c>
      <c r="K574" s="294">
        <v>71</v>
      </c>
      <c r="L574" s="295">
        <f>IF(tabItens[[#This Row],[Média]] &gt; 0, tabItens[[#This Row],[QTDE ATUAL]] / tabItens[[#This Row],[Média]],999.9)</f>
        <v>135.85714285714286</v>
      </c>
      <c r="M574" s="296">
        <v>0</v>
      </c>
      <c r="N574" s="297">
        <f>tabItens[[#This Row],[VALOR UNIT.]] * tabItens[[#This Row],[LC]]</f>
        <v>0</v>
      </c>
      <c r="O574" s="298" t="s">
        <v>2160</v>
      </c>
      <c r="P574" s="299"/>
      <c r="Q574" s="300"/>
      <c r="R574" s="297"/>
      <c r="S574" s="301"/>
      <c r="T574" s="302">
        <f>ROUNDDOWN(IFERROR(tabItens[[#This Row],[ATA DT.VALID.]] - $D$1,0) / 30,0)</f>
        <v>-1504</v>
      </c>
      <c r="U574" s="287" t="s">
        <v>1666</v>
      </c>
      <c r="V574" s="303">
        <v>1</v>
      </c>
      <c r="W574" s="304" t="s">
        <v>2055</v>
      </c>
      <c r="X574" s="305">
        <v>55</v>
      </c>
      <c r="Y574" s="306">
        <v>19</v>
      </c>
      <c r="Z574" s="307"/>
      <c r="AA574" s="308"/>
      <c r="AB574" s="309"/>
      <c r="AC574" s="309"/>
      <c r="AD574" s="308"/>
      <c r="AE574" s="309"/>
      <c r="AF574" s="302"/>
      <c r="AG574" s="310" t="s">
        <v>2050</v>
      </c>
      <c r="AH574" s="311"/>
      <c r="AI574" s="302">
        <v>24</v>
      </c>
      <c r="AJ574" s="311">
        <v>41884</v>
      </c>
      <c r="AK574" s="311">
        <v>40291</v>
      </c>
      <c r="AL574" s="311">
        <v>43580</v>
      </c>
      <c r="AM574" s="301"/>
      <c r="AN574" s="290"/>
      <c r="AO574" s="312" t="str">
        <f>_xlfn.IFNA(IF(VLOOKUP(tabItens[[#This Row],[CÓDIGO]],tabExcluirDoEstoque[#Data],1,FALSE),"sim",""),"")</f>
        <v/>
      </c>
      <c r="AP574" s="313" t="str">
        <f ca="1">IF(OR(ISBLANK(tabItens[[#This Row],[ATA DT.VALID.]]),tabItens[[#This Row],[ATA DT.VALID.]]="",tabItens[[#This Row],[ATA DT.VALID.]]=" "),"",IF(TYPE(tabItens[[#This Row],[ATA DT.VALID.]])=1,ROUNDUP((tabItens[[#This Row],[ATA DT.VALID.]]-TODAY())/7,0),""))</f>
        <v/>
      </c>
      <c r="AQ574" s="314">
        <v>0</v>
      </c>
      <c r="AR574" s="315" t="str">
        <f>IF(ISBLANK(tabItens[[#This Row],[CÓDIGO]]),"",IFERROR(VLOOKUP(tabItens[[#This Row],[CÓDIGO]],Consumo!$C$2:$AC$869,26,FALSE),0))</f>
        <v>01.2023</v>
      </c>
      <c r="AS574" s="316">
        <f>SUMIF(Consumo!$C$3:$C$869,tabItens[[#This Row],[CÓDIGO]],Consumo!$N$3:$N$869) + SUMIF(Consumo!$C$3:$C$869,tabItens[[#This Row],[CÓDIGO]],Consumo!$O$3:$O$869) + SUMIF(Consumo!$C$3:$C$869,tabItens[[#This Row],[CÓDIGO]],Consumo!$P$3:$P$869) + SUMIF(Consumo!$C$3:$C$869,tabItens[[#This Row],[CÓDIGO]],Consumo!$Q$3:$Q$869)</f>
        <v>0</v>
      </c>
      <c r="AT574" s="316">
        <f>SUMIF(Consumo!$C$3:$C$869,tabItens[[#This Row],[CÓDIGO]],Consumo!$Z$3:$Z$869)</f>
        <v>71</v>
      </c>
      <c r="AU574" s="317">
        <f>SUMIF(Consumo!$C$3:$C$869,tabItens[[#This Row],[CÓDIGO]],Consumo!$AA$3:$AA$869)</f>
        <v>50</v>
      </c>
      <c r="AV574" s="318">
        <f>SUMIF(Consumo!$C$3:$C$869,tabItens[[#This Row],[CÓDIGO]],Consumo!$Y$3:$Y$869)</f>
        <v>4.666666666666667</v>
      </c>
      <c r="AW574" s="291">
        <f>tabItens[[#This Row],[QTDE ATUAL]] + tabItens[[#This Row],[RC QTDE]] + tabItens[[#This Row],[AF SALDO]] + tabItens[[#This Row],[Recentes]]</f>
        <v>634</v>
      </c>
      <c r="AX574" s="319">
        <v>25</v>
      </c>
      <c r="AY574" s="319">
        <v>4</v>
      </c>
      <c r="AZ574" s="319">
        <f>IF(ISBLANK(tabItens[[#This Row],[CÓDIGO]]),"",tabItens[[#This Row],[PontoMês]] * (AZ$2+tabItens[[#This Row],[PontoQtM]]))</f>
        <v>100</v>
      </c>
      <c r="BA574" s="318">
        <f>tabItens[[#This Row],[PontoPed]] - tabItens[[#This Row],[Saldo]] + (1/10)</f>
        <v>-533.9</v>
      </c>
      <c r="BB574" s="318">
        <f xml:space="preserve"> tabItens[[#This Row],[PontoMês]] * BB$2 - tabItens[[#This Row],[QTDE ATUAL]] - (1/10)</f>
        <v>-609.1</v>
      </c>
      <c r="BC574" s="320">
        <f>IF( tabItens[[#This Row],[PontoPed]]&gt;0, IF(tabItens[[#This Row],[PontoPed]]&lt;1, 1, IF( tabItens[[#This Row],[Saldo]]&gt;tabItens[[#This Row],[PontoPed]], 0, (tabItens[[#This Row],[PontoPed]]-tabItens[[#This Row],[Saldo]])/tabItens[[#This Row],[PontoPed]] ) ), 0 )</f>
        <v>0</v>
      </c>
      <c r="BD574" s="321">
        <f>ROUNDDOWN(IF( OR( AND(tabItens[[#This Row],[PontoPed]]&lt;tabItens[[#This Row],[Saldo]],tabItens[[#This Row],[Saldo]]&gt;0), tabItens[[#This Row],[PontoPed]]=0), 99, IF(AND(tabItens[[#This Row],[Saldo]]=0,tabItens[[#This Row],[PontoPed]]&gt;0), 0, (1-tabItens[[#This Row],[PctAb]])*10 ) ),0)</f>
        <v>99</v>
      </c>
      <c r="BE574" s="322">
        <f>MAX(ROUNDDOWN( IF(tabItens[[#This Row],[Abaixo]] &gt; 0,   tabItens[[#This Row],[Abaixo]] + (tabItens[[#This Row],[PontoMês]] * IF( OR( ISBLANK(tabItens[[#This Row],[ATA Nº/ANO]]), tabItens[[#This Row],[ATA Nº/ANO]] = ""),BE$2,BE$1)),0),0),0)</f>
        <v>0</v>
      </c>
      <c r="BF57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23">
        <f>SUMIF(Consumo!$C$3:$C$869,tabItens[[#This Row],[CÓDIGO]],Consumo!$E$3:$E$869)</f>
        <v>0</v>
      </c>
      <c r="BH574" s="324">
        <f>IF(AND(tabItens[[#This Row],[Pend]] &gt; 0,tabItens[[#This Row],[Consumo]] &lt;&gt; 0), tabItens[[#This Row],[Pend]] / tabItens[[#This Row],[Consumo]], 0 )</f>
        <v>0</v>
      </c>
      <c r="BI574" s="323"/>
      <c r="BJ574" s="323"/>
      <c r="BK574" s="325" t="s">
        <v>2064</v>
      </c>
    </row>
    <row r="575" spans="1:63" hidden="1" x14ac:dyDescent="0.3">
      <c r="A575" s="286">
        <v>123372</v>
      </c>
      <c r="B575" s="287" t="s">
        <v>1751</v>
      </c>
      <c r="C575" s="288" t="s">
        <v>331</v>
      </c>
      <c r="D575" s="289">
        <v>33</v>
      </c>
      <c r="E575" s="290"/>
      <c r="F575" s="290"/>
      <c r="G575" s="290" t="s">
        <v>883</v>
      </c>
      <c r="H575" s="291">
        <v>651</v>
      </c>
      <c r="I575" s="292">
        <v>103003</v>
      </c>
      <c r="J575" s="293">
        <v>33</v>
      </c>
      <c r="K575" s="294">
        <v>27</v>
      </c>
      <c r="L575" s="295">
        <f>IF(tabItens[[#This Row],[Média]] &gt; 0, tabItens[[#This Row],[QTDE ATUAL]] / tabItens[[#This Row],[Média]],999.9)</f>
        <v>372</v>
      </c>
      <c r="M575" s="296">
        <v>0</v>
      </c>
      <c r="N575" s="297">
        <f>tabItens[[#This Row],[VALOR UNIT.]] * tabItens[[#This Row],[LC]]</f>
        <v>0</v>
      </c>
      <c r="O575" s="298" t="s">
        <v>2160</v>
      </c>
      <c r="P575" s="299"/>
      <c r="Q575" s="300"/>
      <c r="R575" s="297"/>
      <c r="S575" s="301"/>
      <c r="T575" s="302">
        <f>ROUNDDOWN(IFERROR(tabItens[[#This Row],[ATA DT.VALID.]] - $D$1,0) / 30,0)</f>
        <v>-1504</v>
      </c>
      <c r="U575" s="287" t="s">
        <v>1666</v>
      </c>
      <c r="V575" s="303">
        <v>1</v>
      </c>
      <c r="W575" s="304" t="s">
        <v>2055</v>
      </c>
      <c r="X575" s="305">
        <v>55</v>
      </c>
      <c r="Y575" s="306">
        <v>19</v>
      </c>
      <c r="Z575" s="307"/>
      <c r="AA575" s="308"/>
      <c r="AB575" s="309"/>
      <c r="AC575" s="309"/>
      <c r="AD575" s="308"/>
      <c r="AE575" s="309"/>
      <c r="AF575" s="302"/>
      <c r="AG575" s="310" t="s">
        <v>2050</v>
      </c>
      <c r="AH575" s="311"/>
      <c r="AI575" s="302">
        <v>10</v>
      </c>
      <c r="AJ575" s="311">
        <v>41471</v>
      </c>
      <c r="AK575" s="311">
        <v>41101</v>
      </c>
      <c r="AL575" s="311">
        <v>43584</v>
      </c>
      <c r="AM575" s="301"/>
      <c r="AN575" s="290"/>
      <c r="AO575" s="312" t="str">
        <f>_xlfn.IFNA(IF(VLOOKUP(tabItens[[#This Row],[CÓDIGO]],tabExcluirDoEstoque[#Data],1,FALSE),"sim",""),"")</f>
        <v/>
      </c>
      <c r="AP575" s="313" t="str">
        <f ca="1">IF(OR(ISBLANK(tabItens[[#This Row],[ATA DT.VALID.]]),tabItens[[#This Row],[ATA DT.VALID.]]="",tabItens[[#This Row],[ATA DT.VALID.]]=" "),"",IF(TYPE(tabItens[[#This Row],[ATA DT.VALID.]])=1,ROUNDUP((tabItens[[#This Row],[ATA DT.VALID.]]-TODAY())/7,0),""))</f>
        <v/>
      </c>
      <c r="AQ575" s="314">
        <v>0</v>
      </c>
      <c r="AR575" s="315" t="str">
        <f>IF(ISBLANK(tabItens[[#This Row],[CÓDIGO]]),"",IFERROR(VLOOKUP(tabItens[[#This Row],[CÓDIGO]],Consumo!$C$2:$AC$869,26,FALSE),0))</f>
        <v>06.2023</v>
      </c>
      <c r="AS575" s="316">
        <f>SUMIF(Consumo!$C$3:$C$869,tabItens[[#This Row],[CÓDIGO]],Consumo!$N$3:$N$869) + SUMIF(Consumo!$C$3:$C$869,tabItens[[#This Row],[CÓDIGO]],Consumo!$O$3:$O$869) + SUMIF(Consumo!$C$3:$C$869,tabItens[[#This Row],[CÓDIGO]],Consumo!$P$3:$P$869) + SUMIF(Consumo!$C$3:$C$869,tabItens[[#This Row],[CÓDIGO]],Consumo!$Q$3:$Q$869)</f>
        <v>7</v>
      </c>
      <c r="AT575" s="316">
        <f>SUMIF(Consumo!$C$3:$C$869,tabItens[[#This Row],[CÓDIGO]],Consumo!$Z$3:$Z$869)</f>
        <v>27</v>
      </c>
      <c r="AU575" s="317">
        <f>SUMIF(Consumo!$C$3:$C$869,tabItens[[#This Row],[CÓDIGO]],Consumo!$AA$3:$AA$869)</f>
        <v>20</v>
      </c>
      <c r="AV575" s="318">
        <f>SUMIF(Consumo!$C$3:$C$869,tabItens[[#This Row],[CÓDIGO]],Consumo!$Y$3:$Y$869)</f>
        <v>1.75</v>
      </c>
      <c r="AW575" s="291">
        <f>tabItens[[#This Row],[QTDE ATUAL]] + tabItens[[#This Row],[RC QTDE]] + tabItens[[#This Row],[AF SALDO]] + tabItens[[#This Row],[Recentes]]</f>
        <v>651</v>
      </c>
      <c r="AX575" s="319">
        <v>30</v>
      </c>
      <c r="AY575" s="319">
        <v>4</v>
      </c>
      <c r="AZ575" s="319">
        <f>IF(ISBLANK(tabItens[[#This Row],[CÓDIGO]]),"",tabItens[[#This Row],[PontoMês]] * (AZ$2+tabItens[[#This Row],[PontoQtM]]))</f>
        <v>120</v>
      </c>
      <c r="BA575" s="318">
        <f>tabItens[[#This Row],[PontoPed]] - tabItens[[#This Row],[Saldo]] + (1/10)</f>
        <v>-530.9</v>
      </c>
      <c r="BB575" s="318">
        <f xml:space="preserve"> tabItens[[#This Row],[PontoMês]] * BB$2 - tabItens[[#This Row],[QTDE ATUAL]] - (1/10)</f>
        <v>-621.1</v>
      </c>
      <c r="BC575" s="320">
        <f>IF( tabItens[[#This Row],[PontoPed]]&gt;0, IF(tabItens[[#This Row],[PontoPed]]&lt;1, 1, IF( tabItens[[#This Row],[Saldo]]&gt;tabItens[[#This Row],[PontoPed]], 0, (tabItens[[#This Row],[PontoPed]]-tabItens[[#This Row],[Saldo]])/tabItens[[#This Row],[PontoPed]] ) ), 0 )</f>
        <v>0</v>
      </c>
      <c r="BD575" s="321">
        <f>ROUNDDOWN(IF( OR( AND(tabItens[[#This Row],[PontoPed]]&lt;tabItens[[#This Row],[Saldo]],tabItens[[#This Row],[Saldo]]&gt;0), tabItens[[#This Row],[PontoPed]]=0), 99, IF(AND(tabItens[[#This Row],[Saldo]]=0,tabItens[[#This Row],[PontoPed]]&gt;0), 0, (1-tabItens[[#This Row],[PctAb]])*10 ) ),0)</f>
        <v>99</v>
      </c>
      <c r="BE575" s="322">
        <f>MAX(ROUNDDOWN( IF(tabItens[[#This Row],[Abaixo]] &gt; 0,   tabItens[[#This Row],[Abaixo]] + (tabItens[[#This Row],[PontoMês]] * IF( OR( ISBLANK(tabItens[[#This Row],[ATA Nº/ANO]]), tabItens[[#This Row],[ATA Nº/ANO]] = ""),BE$2,BE$1)),0),0),0)</f>
        <v>0</v>
      </c>
      <c r="BF57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23">
        <f>SUMIF(Consumo!$C$3:$C$869,tabItens[[#This Row],[CÓDIGO]],Consumo!$E$3:$E$869)</f>
        <v>0</v>
      </c>
      <c r="BH575" s="324">
        <f>IF(AND(tabItens[[#This Row],[Pend]] &gt; 0,tabItens[[#This Row],[Consumo]] &lt;&gt; 0), tabItens[[#This Row],[Pend]] / tabItens[[#This Row],[Consumo]], 0 )</f>
        <v>0</v>
      </c>
      <c r="BI575" s="323"/>
      <c r="BJ575" s="323"/>
      <c r="BK575" s="325" t="s">
        <v>2064</v>
      </c>
    </row>
    <row r="576" spans="1:63" hidden="1" x14ac:dyDescent="0.3">
      <c r="A576" s="286">
        <v>129960</v>
      </c>
      <c r="B576" s="287" t="s">
        <v>1787</v>
      </c>
      <c r="C576" s="288" t="s">
        <v>331</v>
      </c>
      <c r="D576" s="289">
        <v>136</v>
      </c>
      <c r="E576" s="290"/>
      <c r="F576" s="290"/>
      <c r="G576" s="290" t="s">
        <v>883</v>
      </c>
      <c r="H576" s="291">
        <v>250</v>
      </c>
      <c r="I576" s="292">
        <v>103003</v>
      </c>
      <c r="J576" s="293">
        <v>136</v>
      </c>
      <c r="K576" s="294">
        <v>25</v>
      </c>
      <c r="L576" s="295">
        <f>IF(tabItens[[#This Row],[Média]] &gt; 0, tabItens[[#This Row],[QTDE ATUAL]] / tabItens[[#This Row],[Média]],999.9)</f>
        <v>187.5</v>
      </c>
      <c r="M576" s="296">
        <v>0</v>
      </c>
      <c r="N576" s="297">
        <f>tabItens[[#This Row],[VALOR UNIT.]] * tabItens[[#This Row],[LC]]</f>
        <v>0</v>
      </c>
      <c r="O576" s="298" t="s">
        <v>2160</v>
      </c>
      <c r="P576" s="299"/>
      <c r="Q576" s="300"/>
      <c r="R576" s="297"/>
      <c r="S576" s="301"/>
      <c r="T576" s="302">
        <f>ROUNDDOWN(IFERROR(tabItens[[#This Row],[ATA DT.VALID.]] - $D$1,0) / 30,0)</f>
        <v>-1504</v>
      </c>
      <c r="U576" s="287" t="s">
        <v>1666</v>
      </c>
      <c r="V576" s="303">
        <v>1</v>
      </c>
      <c r="W576" s="304" t="s">
        <v>2055</v>
      </c>
      <c r="X576" s="305">
        <v>55</v>
      </c>
      <c r="Y576" s="306">
        <v>19</v>
      </c>
      <c r="Z576" s="307"/>
      <c r="AA576" s="308"/>
      <c r="AB576" s="309"/>
      <c r="AC576" s="309"/>
      <c r="AD576" s="308"/>
      <c r="AE576" s="309"/>
      <c r="AF576" s="302"/>
      <c r="AG576" s="310" t="s">
        <v>2050</v>
      </c>
      <c r="AH576" s="311"/>
      <c r="AI576" s="302">
        <v>8</v>
      </c>
      <c r="AJ576" s="311">
        <v>44960</v>
      </c>
      <c r="AK576" s="311">
        <v>42046</v>
      </c>
      <c r="AL576" s="311">
        <v>44845</v>
      </c>
      <c r="AM576" s="301"/>
      <c r="AN576" s="290"/>
      <c r="AO576" s="312" t="str">
        <f>_xlfn.IFNA(IF(VLOOKUP(tabItens[[#This Row],[CÓDIGO]],tabExcluirDoEstoque[#Data],1,FALSE),"sim",""),"")</f>
        <v/>
      </c>
      <c r="AP576" s="313" t="str">
        <f ca="1">IF(OR(ISBLANK(tabItens[[#This Row],[ATA DT.VALID.]]),tabItens[[#This Row],[ATA DT.VALID.]]="",tabItens[[#This Row],[ATA DT.VALID.]]=" "),"",IF(TYPE(tabItens[[#This Row],[ATA DT.VALID.]])=1,ROUNDUP((tabItens[[#This Row],[ATA DT.VALID.]]-TODAY())/7,0),""))</f>
        <v/>
      </c>
      <c r="AQ576" s="314">
        <v>0</v>
      </c>
      <c r="AR576" s="315" t="str">
        <f>IF(ISBLANK(tabItens[[#This Row],[CÓDIGO]]),"",IFERROR(VLOOKUP(tabItens[[#This Row],[CÓDIGO]],Consumo!$C$2:$AC$869,26,FALSE),0))</f>
        <v>09.2022</v>
      </c>
      <c r="AS576" s="316">
        <f>SUMIF(Consumo!$C$3:$C$869,tabItens[[#This Row],[CÓDIGO]],Consumo!$N$3:$N$869) + SUMIF(Consumo!$C$3:$C$869,tabItens[[#This Row],[CÓDIGO]],Consumo!$O$3:$O$869) + SUMIF(Consumo!$C$3:$C$869,tabItens[[#This Row],[CÓDIGO]],Consumo!$P$3:$P$869) + SUMIF(Consumo!$C$3:$C$869,tabItens[[#This Row],[CÓDIGO]],Consumo!$Q$3:$Q$869)</f>
        <v>0</v>
      </c>
      <c r="AT576" s="316">
        <f>SUMIF(Consumo!$C$3:$C$869,tabItens[[#This Row],[CÓDIGO]],Consumo!$Z$3:$Z$869)</f>
        <v>25</v>
      </c>
      <c r="AU576" s="317">
        <f>SUMIF(Consumo!$C$3:$C$869,tabItens[[#This Row],[CÓDIGO]],Consumo!$AA$3:$AA$869)</f>
        <v>25</v>
      </c>
      <c r="AV576" s="318">
        <f>SUMIF(Consumo!$C$3:$C$869,tabItens[[#This Row],[CÓDIGO]],Consumo!$Y$3:$Y$869)</f>
        <v>1.3333333333333333</v>
      </c>
      <c r="AW576" s="291">
        <f>tabItens[[#This Row],[QTDE ATUAL]] + tabItens[[#This Row],[RC QTDE]] + tabItens[[#This Row],[AF SALDO]] + tabItens[[#This Row],[Recentes]]</f>
        <v>250</v>
      </c>
      <c r="AX576" s="319">
        <v>5</v>
      </c>
      <c r="AY576" s="319">
        <v>4</v>
      </c>
      <c r="AZ576" s="319">
        <f>IF(ISBLANK(tabItens[[#This Row],[CÓDIGO]]),"",tabItens[[#This Row],[PontoMês]] * (AZ$2+tabItens[[#This Row],[PontoQtM]]))</f>
        <v>20</v>
      </c>
      <c r="BA576" s="318">
        <f>tabItens[[#This Row],[PontoPed]] - tabItens[[#This Row],[Saldo]] + (1/10)</f>
        <v>-229.9</v>
      </c>
      <c r="BB576" s="318">
        <f xml:space="preserve"> tabItens[[#This Row],[PontoMês]] * BB$2 - tabItens[[#This Row],[QTDE ATUAL]] - (1/10)</f>
        <v>-245.1</v>
      </c>
      <c r="BC576" s="320">
        <f>IF( tabItens[[#This Row],[PontoPed]]&gt;0, IF(tabItens[[#This Row],[PontoPed]]&lt;1, 1, IF( tabItens[[#This Row],[Saldo]]&gt;tabItens[[#This Row],[PontoPed]], 0, (tabItens[[#This Row],[PontoPed]]-tabItens[[#This Row],[Saldo]])/tabItens[[#This Row],[PontoPed]] ) ), 0 )</f>
        <v>0</v>
      </c>
      <c r="BD576" s="321">
        <f>ROUNDDOWN(IF( OR( AND(tabItens[[#This Row],[PontoPed]]&lt;tabItens[[#This Row],[Saldo]],tabItens[[#This Row],[Saldo]]&gt;0), tabItens[[#This Row],[PontoPed]]=0), 99, IF(AND(tabItens[[#This Row],[Saldo]]=0,tabItens[[#This Row],[PontoPed]]&gt;0), 0, (1-tabItens[[#This Row],[PctAb]])*10 ) ),0)</f>
        <v>99</v>
      </c>
      <c r="BE576" s="322">
        <f>MAX(ROUNDDOWN( IF(tabItens[[#This Row],[Abaixo]] &gt; 0,   tabItens[[#This Row],[Abaixo]] + (tabItens[[#This Row],[PontoMês]] * IF( OR( ISBLANK(tabItens[[#This Row],[ATA Nº/ANO]]), tabItens[[#This Row],[ATA Nº/ANO]] = ""),BE$2,BE$1)),0),0),0)</f>
        <v>0</v>
      </c>
      <c r="BF57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23">
        <f>SUMIF(Consumo!$C$3:$C$869,tabItens[[#This Row],[CÓDIGO]],Consumo!$E$3:$E$869)</f>
        <v>0</v>
      </c>
      <c r="BH576" s="324">
        <f>IF(AND(tabItens[[#This Row],[Pend]] &gt; 0,tabItens[[#This Row],[Consumo]] &lt;&gt; 0), tabItens[[#This Row],[Pend]] / tabItens[[#This Row],[Consumo]], 0 )</f>
        <v>0</v>
      </c>
      <c r="BI576" s="323"/>
      <c r="BJ576" s="323"/>
      <c r="BK576" s="325" t="s">
        <v>2064</v>
      </c>
    </row>
    <row r="577" spans="1:63" hidden="1" x14ac:dyDescent="0.3">
      <c r="A577" s="286">
        <v>138552</v>
      </c>
      <c r="B577" s="287" t="s">
        <v>1970</v>
      </c>
      <c r="C577" s="288" t="s">
        <v>31</v>
      </c>
      <c r="D577" s="289">
        <v>438.58</v>
      </c>
      <c r="E577" s="290"/>
      <c r="F577" s="290"/>
      <c r="G577" s="290" t="s">
        <v>883</v>
      </c>
      <c r="H577" s="291">
        <v>529</v>
      </c>
      <c r="I577" s="292">
        <v>103003</v>
      </c>
      <c r="J577" s="293">
        <v>438.58</v>
      </c>
      <c r="K577" s="294">
        <v>80</v>
      </c>
      <c r="L577" s="295">
        <f>IF(tabItens[[#This Row],[Média]] &gt; 0, tabItens[[#This Row],[QTDE ATUAL]] / tabItens[[#This Row],[Média]],999.9)</f>
        <v>82.441558441558442</v>
      </c>
      <c r="M577" s="296">
        <v>0</v>
      </c>
      <c r="N577" s="297">
        <f>tabItens[[#This Row],[VALOR UNIT.]] * tabItens[[#This Row],[LC]]</f>
        <v>0</v>
      </c>
      <c r="O577" s="298" t="s">
        <v>2183</v>
      </c>
      <c r="P577" s="299"/>
      <c r="Q577" s="300"/>
      <c r="R577" s="297"/>
      <c r="S577" s="301"/>
      <c r="T577" s="302">
        <f>ROUNDDOWN(IFERROR(tabItens[[#This Row],[ATA DT.VALID.]] - $D$1,0) / 30,0)</f>
        <v>-1504</v>
      </c>
      <c r="U577" s="287" t="s">
        <v>1083</v>
      </c>
      <c r="V577" s="303">
        <v>1</v>
      </c>
      <c r="W577" s="304" t="s">
        <v>2055</v>
      </c>
      <c r="X577" s="305">
        <v>55</v>
      </c>
      <c r="Y577" s="306">
        <v>49</v>
      </c>
      <c r="Z577" s="307"/>
      <c r="AA577" s="308"/>
      <c r="AB577" s="309"/>
      <c r="AC577" s="309"/>
      <c r="AD577" s="308"/>
      <c r="AE577" s="309"/>
      <c r="AF577" s="302"/>
      <c r="AG577" s="310" t="s">
        <v>2050</v>
      </c>
      <c r="AH577" s="311"/>
      <c r="AI577" s="302">
        <v>28</v>
      </c>
      <c r="AJ577" s="311">
        <v>44532</v>
      </c>
      <c r="AK577" s="311">
        <v>43734</v>
      </c>
      <c r="AL577" s="311">
        <v>44470</v>
      </c>
      <c r="AM577" s="301"/>
      <c r="AN577" s="290"/>
      <c r="AO577" s="312" t="str">
        <f>_xlfn.IFNA(IF(VLOOKUP(tabItens[[#This Row],[CÓDIGO]],tabExcluirDoEstoque[#Data],1,FALSE),"sim",""),"")</f>
        <v/>
      </c>
      <c r="AP577" s="313" t="str">
        <f ca="1">IF(OR(ISBLANK(tabItens[[#This Row],[ATA DT.VALID.]]),tabItens[[#This Row],[ATA DT.VALID.]]="",tabItens[[#This Row],[ATA DT.VALID.]]=" "),"",IF(TYPE(tabItens[[#This Row],[ATA DT.VALID.]])=1,ROUNDUP((tabItens[[#This Row],[ATA DT.VALID.]]-TODAY())/7,0),""))</f>
        <v/>
      </c>
      <c r="AQ577" s="314">
        <v>0</v>
      </c>
      <c r="AR577" s="315" t="str">
        <f>IF(ISBLANK(tabItens[[#This Row],[CÓDIGO]]),"",IFERROR(VLOOKUP(tabItens[[#This Row],[CÓDIGO]],Consumo!$C$2:$AC$869,26,FALSE),0))</f>
        <v>07.2023</v>
      </c>
      <c r="AS577" s="316">
        <f>SUMIF(Consumo!$C$3:$C$869,tabItens[[#This Row],[CÓDIGO]],Consumo!$N$3:$N$869) + SUMIF(Consumo!$C$3:$C$869,tabItens[[#This Row],[CÓDIGO]],Consumo!$O$3:$O$869) + SUMIF(Consumo!$C$3:$C$869,tabItens[[#This Row],[CÓDIGO]],Consumo!$P$3:$P$869) + SUMIF(Consumo!$C$3:$C$869,tabItens[[#This Row],[CÓDIGO]],Consumo!$Q$3:$Q$869)</f>
        <v>66</v>
      </c>
      <c r="AT577" s="316">
        <f>SUMIF(Consumo!$C$3:$C$869,tabItens[[#This Row],[CÓDIGO]],Consumo!$Z$3:$Z$869)</f>
        <v>82</v>
      </c>
      <c r="AU577" s="317">
        <f>SUMIF(Consumo!$C$3:$C$869,tabItens[[#This Row],[CÓDIGO]],Consumo!$AA$3:$AA$869)</f>
        <v>35</v>
      </c>
      <c r="AV577" s="318">
        <f>SUMIF(Consumo!$C$3:$C$869,tabItens[[#This Row],[CÓDIGO]],Consumo!$Y$3:$Y$869)</f>
        <v>6.416666666666667</v>
      </c>
      <c r="AW577" s="291">
        <f>tabItens[[#This Row],[QTDE ATUAL]] + tabItens[[#This Row],[RC QTDE]] + tabItens[[#This Row],[AF SALDO]] + tabItens[[#This Row],[Recentes]]</f>
        <v>529</v>
      </c>
      <c r="AX577" s="319">
        <v>42</v>
      </c>
      <c r="AY577" s="319">
        <v>4</v>
      </c>
      <c r="AZ577" s="319">
        <f>IF(ISBLANK(tabItens[[#This Row],[CÓDIGO]]),"",tabItens[[#This Row],[PontoMês]] * (AZ$2+tabItens[[#This Row],[PontoQtM]]))</f>
        <v>168</v>
      </c>
      <c r="BA577" s="318">
        <f>tabItens[[#This Row],[PontoPed]] - tabItens[[#This Row],[Saldo]] + (1/10)</f>
        <v>-360.9</v>
      </c>
      <c r="BB577" s="318">
        <f xml:space="preserve"> tabItens[[#This Row],[PontoMês]] * BB$2 - tabItens[[#This Row],[QTDE ATUAL]] - (1/10)</f>
        <v>-487.1</v>
      </c>
      <c r="BC577" s="320">
        <f>IF( tabItens[[#This Row],[PontoPed]]&gt;0, IF(tabItens[[#This Row],[PontoPed]]&lt;1, 1, IF( tabItens[[#This Row],[Saldo]]&gt;tabItens[[#This Row],[PontoPed]], 0, (tabItens[[#This Row],[PontoPed]]-tabItens[[#This Row],[Saldo]])/tabItens[[#This Row],[PontoPed]] ) ), 0 )</f>
        <v>0</v>
      </c>
      <c r="BD577" s="321">
        <f>ROUNDDOWN(IF( OR( AND(tabItens[[#This Row],[PontoPed]]&lt;tabItens[[#This Row],[Saldo]],tabItens[[#This Row],[Saldo]]&gt;0), tabItens[[#This Row],[PontoPed]]=0), 99, IF(AND(tabItens[[#This Row],[Saldo]]=0,tabItens[[#This Row],[PontoPed]]&gt;0), 0, (1-tabItens[[#This Row],[PctAb]])*10 ) ),0)</f>
        <v>99</v>
      </c>
      <c r="BE577" s="322">
        <f>MAX(ROUNDDOWN( IF(tabItens[[#This Row],[Abaixo]] &gt; 0,   tabItens[[#This Row],[Abaixo]] + (tabItens[[#This Row],[PontoMês]] * IF( OR( ISBLANK(tabItens[[#This Row],[ATA Nº/ANO]]), tabItens[[#This Row],[ATA Nº/ANO]] = ""),BE$2,BE$1)),0),0),0)</f>
        <v>0</v>
      </c>
      <c r="BF57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23">
        <f>SUMIF(Consumo!$C$3:$C$869,tabItens[[#This Row],[CÓDIGO]],Consumo!$E$3:$E$869)</f>
        <v>0</v>
      </c>
      <c r="BH577" s="324">
        <f>IF(AND(tabItens[[#This Row],[Pend]] &gt; 0,tabItens[[#This Row],[Consumo]] &lt;&gt; 0), tabItens[[#This Row],[Pend]] / tabItens[[#This Row],[Consumo]], 0 )</f>
        <v>0</v>
      </c>
      <c r="BI577" s="323"/>
      <c r="BJ577" s="323"/>
      <c r="BK577" s="325" t="s">
        <v>2064</v>
      </c>
    </row>
    <row r="578" spans="1:63" hidden="1" x14ac:dyDescent="0.3">
      <c r="A578" s="286">
        <v>138553</v>
      </c>
      <c r="B578" s="287" t="s">
        <v>1971</v>
      </c>
      <c r="C578" s="288" t="s">
        <v>31</v>
      </c>
      <c r="D578" s="289">
        <v>566.33000000000004</v>
      </c>
      <c r="E578" s="290"/>
      <c r="F578" s="290"/>
      <c r="G578" s="290" t="s">
        <v>883</v>
      </c>
      <c r="H578" s="291">
        <v>660</v>
      </c>
      <c r="I578" s="292">
        <v>103003</v>
      </c>
      <c r="J578" s="293">
        <v>566.33000000000004</v>
      </c>
      <c r="K578" s="294">
        <v>20</v>
      </c>
      <c r="L578" s="295">
        <f>IF(tabItens[[#This Row],[Média]] &gt; 0, tabItens[[#This Row],[QTDE ATUAL]] / tabItens[[#This Row],[Média]],999.9)</f>
        <v>440</v>
      </c>
      <c r="M578" s="296">
        <v>0</v>
      </c>
      <c r="N578" s="297">
        <f>tabItens[[#This Row],[VALOR UNIT.]] * tabItens[[#This Row],[LC]]</f>
        <v>0</v>
      </c>
      <c r="O578" s="298" t="s">
        <v>2183</v>
      </c>
      <c r="P578" s="299"/>
      <c r="Q578" s="300"/>
      <c r="R578" s="297"/>
      <c r="S578" s="301"/>
      <c r="T578" s="302">
        <f>ROUNDDOWN(IFERROR(tabItens[[#This Row],[ATA DT.VALID.]] - $D$1,0) / 30,0)</f>
        <v>-1504</v>
      </c>
      <c r="U578" s="287" t="s">
        <v>1083</v>
      </c>
      <c r="V578" s="303">
        <v>1</v>
      </c>
      <c r="W578" s="304" t="s">
        <v>2055</v>
      </c>
      <c r="X578" s="305">
        <v>55</v>
      </c>
      <c r="Y578" s="306">
        <v>49</v>
      </c>
      <c r="Z578" s="307"/>
      <c r="AA578" s="308"/>
      <c r="AB578" s="309"/>
      <c r="AC578" s="309"/>
      <c r="AD578" s="308"/>
      <c r="AE578" s="309"/>
      <c r="AF578" s="302"/>
      <c r="AG578" s="310" t="s">
        <v>2050</v>
      </c>
      <c r="AH578" s="311"/>
      <c r="AI578" s="302">
        <v>6</v>
      </c>
      <c r="AJ578" s="311">
        <v>44537</v>
      </c>
      <c r="AK578" s="311">
        <v>43734</v>
      </c>
      <c r="AL578" s="311">
        <v>44470</v>
      </c>
      <c r="AM578" s="301"/>
      <c r="AN578" s="290"/>
      <c r="AO578" s="312" t="str">
        <f>_xlfn.IFNA(IF(VLOOKUP(tabItens[[#This Row],[CÓDIGO]],tabExcluirDoEstoque[#Data],1,FALSE),"sim",""),"")</f>
        <v/>
      </c>
      <c r="AP578" s="313" t="str">
        <f ca="1">IF(OR(ISBLANK(tabItens[[#This Row],[ATA DT.VALID.]]),tabItens[[#This Row],[ATA DT.VALID.]]="",tabItens[[#This Row],[ATA DT.VALID.]]=" "),"",IF(TYPE(tabItens[[#This Row],[ATA DT.VALID.]])=1,ROUNDUP((tabItens[[#This Row],[ATA DT.VALID.]]-TODAY())/7,0),""))</f>
        <v/>
      </c>
      <c r="AQ578" s="314">
        <v>0</v>
      </c>
      <c r="AR578" s="315" t="str">
        <f>IF(ISBLANK(tabItens[[#This Row],[CÓDIGO]]),"",IFERROR(VLOOKUP(tabItens[[#This Row],[CÓDIGO]],Consumo!$C$2:$AC$869,26,FALSE),0))</f>
        <v>05.2023</v>
      </c>
      <c r="AS578" s="316">
        <f>SUMIF(Consumo!$C$3:$C$869,tabItens[[#This Row],[CÓDIGO]],Consumo!$N$3:$N$869) + SUMIF(Consumo!$C$3:$C$869,tabItens[[#This Row],[CÓDIGO]],Consumo!$O$3:$O$869) + SUMIF(Consumo!$C$3:$C$869,tabItens[[#This Row],[CÓDIGO]],Consumo!$P$3:$P$869) + SUMIF(Consumo!$C$3:$C$869,tabItens[[#This Row],[CÓDIGO]],Consumo!$Q$3:$Q$869)</f>
        <v>10</v>
      </c>
      <c r="AT578" s="316">
        <f>SUMIF(Consumo!$C$3:$C$869,tabItens[[#This Row],[CÓDIGO]],Consumo!$Z$3:$Z$869)</f>
        <v>20</v>
      </c>
      <c r="AU578" s="317">
        <f>SUMIF(Consumo!$C$3:$C$869,tabItens[[#This Row],[CÓDIGO]],Consumo!$AA$3:$AA$869)</f>
        <v>10</v>
      </c>
      <c r="AV578" s="318">
        <f>SUMIF(Consumo!$C$3:$C$869,tabItens[[#This Row],[CÓDIGO]],Consumo!$Y$3:$Y$869)</f>
        <v>1.5</v>
      </c>
      <c r="AW578" s="291">
        <f>tabItens[[#This Row],[QTDE ATUAL]] + tabItens[[#This Row],[RC QTDE]] + tabItens[[#This Row],[AF SALDO]] + tabItens[[#This Row],[Recentes]]</f>
        <v>660</v>
      </c>
      <c r="AX578" s="319">
        <v>42</v>
      </c>
      <c r="AY578" s="319">
        <v>4</v>
      </c>
      <c r="AZ578" s="319">
        <f>IF(ISBLANK(tabItens[[#This Row],[CÓDIGO]]),"",tabItens[[#This Row],[PontoMês]] * (AZ$2+tabItens[[#This Row],[PontoQtM]]))</f>
        <v>168</v>
      </c>
      <c r="BA578" s="318">
        <f>tabItens[[#This Row],[PontoPed]] - tabItens[[#This Row],[Saldo]] + (1/10)</f>
        <v>-491.9</v>
      </c>
      <c r="BB578" s="318">
        <f xml:space="preserve"> tabItens[[#This Row],[PontoMês]] * BB$2 - tabItens[[#This Row],[QTDE ATUAL]] - (1/10)</f>
        <v>-618.1</v>
      </c>
      <c r="BC578" s="320">
        <f>IF( tabItens[[#This Row],[PontoPed]]&gt;0, IF(tabItens[[#This Row],[PontoPed]]&lt;1, 1, IF( tabItens[[#This Row],[Saldo]]&gt;tabItens[[#This Row],[PontoPed]], 0, (tabItens[[#This Row],[PontoPed]]-tabItens[[#This Row],[Saldo]])/tabItens[[#This Row],[PontoPed]] ) ), 0 )</f>
        <v>0</v>
      </c>
      <c r="BD578" s="321">
        <f>ROUNDDOWN(IF( OR( AND(tabItens[[#This Row],[PontoPed]]&lt;tabItens[[#This Row],[Saldo]],tabItens[[#This Row],[Saldo]]&gt;0), tabItens[[#This Row],[PontoPed]]=0), 99, IF(AND(tabItens[[#This Row],[Saldo]]=0,tabItens[[#This Row],[PontoPed]]&gt;0), 0, (1-tabItens[[#This Row],[PctAb]])*10 ) ),0)</f>
        <v>99</v>
      </c>
      <c r="BE578" s="322">
        <f>MAX(ROUNDDOWN( IF(tabItens[[#This Row],[Abaixo]] &gt; 0,   tabItens[[#This Row],[Abaixo]] + (tabItens[[#This Row],[PontoMês]] * IF( OR( ISBLANK(tabItens[[#This Row],[ATA Nº/ANO]]), tabItens[[#This Row],[ATA Nº/ANO]] = ""),BE$2,BE$1)),0),0),0)</f>
        <v>0</v>
      </c>
      <c r="BF57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23">
        <f>SUMIF(Consumo!$C$3:$C$869,tabItens[[#This Row],[CÓDIGO]],Consumo!$E$3:$E$869)</f>
        <v>0</v>
      </c>
      <c r="BH578" s="324">
        <f>IF(AND(tabItens[[#This Row],[Pend]] &gt; 0,tabItens[[#This Row],[Consumo]] &lt;&gt; 0), tabItens[[#This Row],[Pend]] / tabItens[[#This Row],[Consumo]], 0 )</f>
        <v>0</v>
      </c>
      <c r="BI578" s="323"/>
      <c r="BJ578" s="323"/>
      <c r="BK578" s="325" t="s">
        <v>2064</v>
      </c>
    </row>
    <row r="579" spans="1:63" hidden="1" x14ac:dyDescent="0.3">
      <c r="A579" s="286">
        <v>138554</v>
      </c>
      <c r="B579" s="287" t="s">
        <v>1972</v>
      </c>
      <c r="C579" s="288" t="s">
        <v>31</v>
      </c>
      <c r="D579" s="289">
        <v>377.85</v>
      </c>
      <c r="E579" s="290"/>
      <c r="F579" s="290"/>
      <c r="G579" s="290" t="s">
        <v>883</v>
      </c>
      <c r="H579" s="291">
        <v>378</v>
      </c>
      <c r="I579" s="292">
        <v>103003</v>
      </c>
      <c r="J579" s="293">
        <v>377.85</v>
      </c>
      <c r="K579" s="294">
        <v>208</v>
      </c>
      <c r="L579" s="295">
        <f>IF(tabItens[[#This Row],[Média]] &gt; 0, tabItens[[#This Row],[QTDE ATUAL]] / tabItens[[#This Row],[Média]],999.9)</f>
        <v>23.142857142857146</v>
      </c>
      <c r="M579" s="296">
        <v>0</v>
      </c>
      <c r="N579" s="297">
        <f>tabItens[[#This Row],[VALOR UNIT.]] * tabItens[[#This Row],[LC]]</f>
        <v>0</v>
      </c>
      <c r="O579" s="298" t="s">
        <v>2183</v>
      </c>
      <c r="P579" s="299"/>
      <c r="Q579" s="300"/>
      <c r="R579" s="297"/>
      <c r="S579" s="301"/>
      <c r="T579" s="302">
        <f>ROUNDDOWN(IFERROR(tabItens[[#This Row],[ATA DT.VALID.]] - $D$1,0) / 30,0)</f>
        <v>-1504</v>
      </c>
      <c r="U579" s="287" t="s">
        <v>1083</v>
      </c>
      <c r="V579" s="303">
        <v>1</v>
      </c>
      <c r="W579" s="304" t="s">
        <v>2055</v>
      </c>
      <c r="X579" s="305">
        <v>55</v>
      </c>
      <c r="Y579" s="306">
        <v>49</v>
      </c>
      <c r="Z579" s="307"/>
      <c r="AA579" s="308"/>
      <c r="AB579" s="309"/>
      <c r="AC579" s="309"/>
      <c r="AD579" s="308"/>
      <c r="AE579" s="309"/>
      <c r="AF579" s="302"/>
      <c r="AG579" s="310" t="s">
        <v>2050</v>
      </c>
      <c r="AH579" s="311"/>
      <c r="AI579" s="302">
        <v>0</v>
      </c>
      <c r="AJ579" s="311">
        <v>44525</v>
      </c>
      <c r="AK579" s="311">
        <v>43734</v>
      </c>
      <c r="AL579" s="311">
        <v>44431</v>
      </c>
      <c r="AM579" s="301"/>
      <c r="AN579" s="290"/>
      <c r="AO579" s="312" t="str">
        <f>_xlfn.IFNA(IF(VLOOKUP(tabItens[[#This Row],[CÓDIGO]],tabExcluirDoEstoque[#Data],1,FALSE),"sim",""),"")</f>
        <v/>
      </c>
      <c r="AP579" s="313" t="str">
        <f ca="1">IF(OR(ISBLANK(tabItens[[#This Row],[ATA DT.VALID.]]),tabItens[[#This Row],[ATA DT.VALID.]]="",tabItens[[#This Row],[ATA DT.VALID.]]=" "),"",IF(TYPE(tabItens[[#This Row],[ATA DT.VALID.]])=1,ROUNDUP((tabItens[[#This Row],[ATA DT.VALID.]]-TODAY())/7,0),""))</f>
        <v/>
      </c>
      <c r="AQ579" s="314">
        <v>0</v>
      </c>
      <c r="AR579" s="315" t="str">
        <f>IF(ISBLANK(tabItens[[#This Row],[CÓDIGO]]),"",IFERROR(VLOOKUP(tabItens[[#This Row],[CÓDIGO]],Consumo!$C$2:$AC$869,26,FALSE),0))</f>
        <v>07.2023</v>
      </c>
      <c r="AS579" s="316">
        <f>SUMIF(Consumo!$C$3:$C$869,tabItens[[#This Row],[CÓDIGO]],Consumo!$N$3:$N$869) + SUMIF(Consumo!$C$3:$C$869,tabItens[[#This Row],[CÓDIGO]],Consumo!$O$3:$O$869) + SUMIF(Consumo!$C$3:$C$869,tabItens[[#This Row],[CÓDIGO]],Consumo!$P$3:$P$869) + SUMIF(Consumo!$C$3:$C$869,tabItens[[#This Row],[CÓDIGO]],Consumo!$Q$3:$Q$869)</f>
        <v>208</v>
      </c>
      <c r="AT579" s="316">
        <f>SUMIF(Consumo!$C$3:$C$869,tabItens[[#This Row],[CÓDIGO]],Consumo!$Z$3:$Z$869)</f>
        <v>208</v>
      </c>
      <c r="AU579" s="317">
        <f>SUMIF(Consumo!$C$3:$C$869,tabItens[[#This Row],[CÓDIGO]],Consumo!$AA$3:$AA$869)</f>
        <v>104</v>
      </c>
      <c r="AV579" s="318">
        <f>SUMIF(Consumo!$C$3:$C$869,tabItens[[#This Row],[CÓDIGO]],Consumo!$Y$3:$Y$869)</f>
        <v>16.333333333333332</v>
      </c>
      <c r="AW579" s="291">
        <f>tabItens[[#This Row],[QTDE ATUAL]] + tabItens[[#This Row],[RC QTDE]] + tabItens[[#This Row],[AF SALDO]] + tabItens[[#This Row],[Recentes]]</f>
        <v>378</v>
      </c>
      <c r="AX579" s="319">
        <v>59</v>
      </c>
      <c r="AY579" s="319">
        <v>4</v>
      </c>
      <c r="AZ579" s="319">
        <f>IF(ISBLANK(tabItens[[#This Row],[CÓDIGO]]),"",tabItens[[#This Row],[PontoMês]] * (AZ$2+tabItens[[#This Row],[PontoQtM]]))</f>
        <v>236</v>
      </c>
      <c r="BA579" s="318">
        <f>tabItens[[#This Row],[PontoPed]] - tabItens[[#This Row],[Saldo]] + (1/10)</f>
        <v>-141.9</v>
      </c>
      <c r="BB579" s="318">
        <f xml:space="preserve"> tabItens[[#This Row],[PontoMês]] * BB$2 - tabItens[[#This Row],[QTDE ATUAL]] - (1/10)</f>
        <v>-319.10000000000002</v>
      </c>
      <c r="BC579" s="320">
        <f>IF( tabItens[[#This Row],[PontoPed]]&gt;0, IF(tabItens[[#This Row],[PontoPed]]&lt;1, 1, IF( tabItens[[#This Row],[Saldo]]&gt;tabItens[[#This Row],[PontoPed]], 0, (tabItens[[#This Row],[PontoPed]]-tabItens[[#This Row],[Saldo]])/tabItens[[#This Row],[PontoPed]] ) ), 0 )</f>
        <v>0</v>
      </c>
      <c r="BD579" s="321">
        <f>ROUNDDOWN(IF( OR( AND(tabItens[[#This Row],[PontoPed]]&lt;tabItens[[#This Row],[Saldo]],tabItens[[#This Row],[Saldo]]&gt;0), tabItens[[#This Row],[PontoPed]]=0), 99, IF(AND(tabItens[[#This Row],[Saldo]]=0,tabItens[[#This Row],[PontoPed]]&gt;0), 0, (1-tabItens[[#This Row],[PctAb]])*10 ) ),0)</f>
        <v>99</v>
      </c>
      <c r="BE579" s="322">
        <f>MAX(ROUNDDOWN( IF(tabItens[[#This Row],[Abaixo]] &gt; 0,   tabItens[[#This Row],[Abaixo]] + (tabItens[[#This Row],[PontoMês]] * IF( OR( ISBLANK(tabItens[[#This Row],[ATA Nº/ANO]]), tabItens[[#This Row],[ATA Nº/ANO]] = ""),BE$2,BE$1)),0),0),0)</f>
        <v>0</v>
      </c>
      <c r="BF57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23">
        <f>SUMIF(Consumo!$C$3:$C$869,tabItens[[#This Row],[CÓDIGO]],Consumo!$E$3:$E$869)</f>
        <v>0</v>
      </c>
      <c r="BH579" s="324">
        <f>IF(AND(tabItens[[#This Row],[Pend]] &gt; 0,tabItens[[#This Row],[Consumo]] &lt;&gt; 0), tabItens[[#This Row],[Pend]] / tabItens[[#This Row],[Consumo]], 0 )</f>
        <v>0</v>
      </c>
      <c r="BI579" s="323"/>
      <c r="BJ579" s="323"/>
      <c r="BK579" s="325" t="s">
        <v>2064</v>
      </c>
    </row>
    <row r="580" spans="1:63" x14ac:dyDescent="0.3">
      <c r="A580" s="396">
        <v>138551</v>
      </c>
      <c r="B580" s="397" t="s">
        <v>1969</v>
      </c>
      <c r="C580" s="398" t="s">
        <v>31</v>
      </c>
      <c r="D580" s="399">
        <v>299.89</v>
      </c>
      <c r="E580" s="290"/>
      <c r="F580" s="400"/>
      <c r="G580" s="400" t="s">
        <v>883</v>
      </c>
      <c r="H580" s="401">
        <v>0</v>
      </c>
      <c r="I580" s="292">
        <v>103003</v>
      </c>
      <c r="J580" s="293">
        <v>299.89</v>
      </c>
      <c r="K580" s="402">
        <v>360</v>
      </c>
      <c r="L580" s="403">
        <f>IF(tabItens[[#This Row],[Média]] &gt; 0, tabItens[[#This Row],[QTDE ATUAL]] / tabItens[[#This Row],[Média]],999.9)</f>
        <v>0</v>
      </c>
      <c r="M580" s="404">
        <v>0</v>
      </c>
      <c r="N580" s="405">
        <f>tabItens[[#This Row],[VALOR UNIT.]] * tabItens[[#This Row],[LC]]</f>
        <v>0</v>
      </c>
      <c r="O580" s="406" t="s">
        <v>2183</v>
      </c>
      <c r="P580" s="407"/>
      <c r="Q580" s="408"/>
      <c r="R580" s="297"/>
      <c r="S580" s="409"/>
      <c r="T580" s="410">
        <f>ROUNDDOWN(IFERROR(tabItens[[#This Row],[ATA DT.VALID.]] - $D$1,0) / 30,0)</f>
        <v>-1504</v>
      </c>
      <c r="U580" s="287" t="s">
        <v>1870</v>
      </c>
      <c r="V580" s="303">
        <v>1</v>
      </c>
      <c r="W580" s="411" t="s">
        <v>2055</v>
      </c>
      <c r="X580" s="412">
        <v>55</v>
      </c>
      <c r="Y580" s="413">
        <v>66</v>
      </c>
      <c r="Z580" s="414">
        <v>2376</v>
      </c>
      <c r="AA580" s="415">
        <v>2023</v>
      </c>
      <c r="AB580" s="416">
        <v>500</v>
      </c>
      <c r="AC580" s="416"/>
      <c r="AD580" s="415"/>
      <c r="AE580" s="416"/>
      <c r="AF580" s="302"/>
      <c r="AG580" s="417" t="s">
        <v>2050</v>
      </c>
      <c r="AH580" s="418"/>
      <c r="AI580" s="302">
        <v>134</v>
      </c>
      <c r="AJ580" s="418">
        <v>44495</v>
      </c>
      <c r="AK580" s="311">
        <v>43734</v>
      </c>
      <c r="AL580" s="311">
        <v>44431</v>
      </c>
      <c r="AM580" s="301"/>
      <c r="AN580" s="290"/>
      <c r="AO580" s="312" t="str">
        <f>_xlfn.IFNA(IF(VLOOKUP(tabItens[[#This Row],[CÓDIGO]],tabExcluirDoEstoque[#Data],1,FALSE),"sim",""),"")</f>
        <v/>
      </c>
      <c r="AP580" s="419" t="str">
        <f ca="1">IF(OR(ISBLANK(tabItens[[#This Row],[ATA DT.VALID.]]),tabItens[[#This Row],[ATA DT.VALID.]]="",tabItens[[#This Row],[ATA DT.VALID.]]=" "),"",IF(TYPE(tabItens[[#This Row],[ATA DT.VALID.]])=1,ROUNDUP((tabItens[[#This Row],[ATA DT.VALID.]]-TODAY())/7,0),""))</f>
        <v/>
      </c>
      <c r="AQ580" s="314">
        <v>0</v>
      </c>
      <c r="AR580" s="315" t="str">
        <f>IF(ISBLANK(tabItens[[#This Row],[CÓDIGO]]),"",IFERROR(VLOOKUP(tabItens[[#This Row],[CÓDIGO]],Consumo!$C$2:$AC$869,26,FALSE),0))</f>
        <v>06.2023</v>
      </c>
      <c r="AS580" s="316">
        <f>SUMIF(Consumo!$C$3:$C$869,tabItens[[#This Row],[CÓDIGO]],Consumo!$N$3:$N$869) + SUMIF(Consumo!$C$3:$C$869,tabItens[[#This Row],[CÓDIGO]],Consumo!$O$3:$O$869) + SUMIF(Consumo!$C$3:$C$869,tabItens[[#This Row],[CÓDIGO]],Consumo!$P$3:$P$869) + SUMIF(Consumo!$C$3:$C$869,tabItens[[#This Row],[CÓDIGO]],Consumo!$Q$3:$Q$869)</f>
        <v>231</v>
      </c>
      <c r="AT580" s="316">
        <f>SUMIF(Consumo!$C$3:$C$869,tabItens[[#This Row],[CÓDIGO]],Consumo!$Z$3:$Z$869)</f>
        <v>454</v>
      </c>
      <c r="AU580" s="317">
        <f>SUMIF(Consumo!$C$3:$C$869,tabItens[[#This Row],[CÓDIGO]],Consumo!$AA$3:$AA$869)</f>
        <v>120</v>
      </c>
      <c r="AV580" s="318">
        <f>SUMIF(Consumo!$C$3:$C$869,tabItens[[#This Row],[CÓDIGO]],Consumo!$Y$3:$Y$869)</f>
        <v>37.5</v>
      </c>
      <c r="AW580" s="401">
        <f>tabItens[[#This Row],[QTDE ATUAL]] + tabItens[[#This Row],[RC QTDE]] + tabItens[[#This Row],[AF SALDO]] + tabItens[[#This Row],[Recentes]]</f>
        <v>500</v>
      </c>
      <c r="AX580" s="420">
        <v>100</v>
      </c>
      <c r="AY580" s="420">
        <v>4</v>
      </c>
      <c r="AZ580" s="420">
        <f>IF(ISBLANK(tabItens[[#This Row],[CÓDIGO]]),"",tabItens[[#This Row],[PontoMês]] * (AZ$2+tabItens[[#This Row],[PontoQtM]]))</f>
        <v>400</v>
      </c>
      <c r="BA580" s="421">
        <f>tabItens[[#This Row],[PontoPed]] - tabItens[[#This Row],[Saldo]] + (1/10)</f>
        <v>-99.9</v>
      </c>
      <c r="BB580" s="421">
        <f xml:space="preserve"> tabItens[[#This Row],[PontoMês]] * BB$2 - tabItens[[#This Row],[QTDE ATUAL]] - (1/10)</f>
        <v>99.9</v>
      </c>
      <c r="BC580" s="320">
        <f>IF( tabItens[[#This Row],[PontoPed]]&gt;0, IF(tabItens[[#This Row],[PontoPed]]&lt;1, 1, IF( tabItens[[#This Row],[Saldo]]&gt;tabItens[[#This Row],[PontoPed]], 0, (tabItens[[#This Row],[PontoPed]]-tabItens[[#This Row],[Saldo]])/tabItens[[#This Row],[PontoPed]] ) ), 0 )</f>
        <v>0</v>
      </c>
      <c r="BD580" s="422">
        <f>ROUNDDOWN(IF( OR( AND(tabItens[[#This Row],[PontoPed]]&lt;tabItens[[#This Row],[Saldo]],tabItens[[#This Row],[Saldo]]&gt;0), tabItens[[#This Row],[PontoPed]]=0), 99, IF(AND(tabItens[[#This Row],[Saldo]]=0,tabItens[[#This Row],[PontoPed]]&gt;0), 0, (1-tabItens[[#This Row],[PctAb]])*10 ) ),0)</f>
        <v>99</v>
      </c>
      <c r="BE580" s="423">
        <f>MAX(ROUNDDOWN( IF(tabItens[[#This Row],[Abaixo]] &gt; 0,   tabItens[[#This Row],[Abaixo]] + (tabItens[[#This Row],[PontoMês]] * IF( OR( ISBLANK(tabItens[[#This Row],[ATA Nº/ANO]]), tabItens[[#This Row],[ATA Nº/ANO]] = ""),BE$2,BE$1)),0),0),0)</f>
        <v>0</v>
      </c>
      <c r="BF58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23">
        <f>SUMIF(Consumo!$C$3:$C$869,tabItens[[#This Row],[CÓDIGO]],Consumo!$E$3:$E$869)</f>
        <v>52</v>
      </c>
      <c r="BH580" s="324">
        <f>IF(AND(tabItens[[#This Row],[Pend]] &gt; 0,tabItens[[#This Row],[Consumo]] &lt;&gt; 0), tabItens[[#This Row],[Pend]] / tabItens[[#This Row],[Consumo]], 0 )</f>
        <v>0.11453744493392071</v>
      </c>
      <c r="BI580" s="323"/>
      <c r="BJ580" s="424"/>
      <c r="BK580" s="425" t="s">
        <v>2064</v>
      </c>
    </row>
    <row r="581" spans="1:63" hidden="1" x14ac:dyDescent="0.3">
      <c r="A581" s="286">
        <v>4680</v>
      </c>
      <c r="B581" s="287" t="s">
        <v>885</v>
      </c>
      <c r="C581" s="288" t="s">
        <v>281</v>
      </c>
      <c r="D581" s="289">
        <v>8.14</v>
      </c>
      <c r="E581" s="290"/>
      <c r="F581" s="290"/>
      <c r="G581" s="290" t="s">
        <v>883</v>
      </c>
      <c r="H581" s="291">
        <v>27050</v>
      </c>
      <c r="I581" s="292">
        <v>103003</v>
      </c>
      <c r="J581" s="293">
        <v>8.14</v>
      </c>
      <c r="K581" s="294">
        <v>12122</v>
      </c>
      <c r="L581" s="295">
        <f>IF(tabItens[[#This Row],[Média]] &gt; 0, tabItens[[#This Row],[QTDE ATUAL]] / tabItens[[#This Row],[Média]],999.9)</f>
        <v>16.064535286548551</v>
      </c>
      <c r="M581" s="296">
        <v>0</v>
      </c>
      <c r="N581" s="297">
        <f>tabItens[[#This Row],[VALOR UNIT.]] * tabItens[[#This Row],[LC]]</f>
        <v>0</v>
      </c>
      <c r="O581" s="298" t="s">
        <v>2065</v>
      </c>
      <c r="P581" s="299"/>
      <c r="Q581" s="300"/>
      <c r="R581" s="297"/>
      <c r="S581" s="301"/>
      <c r="T581" s="302">
        <f>ROUNDDOWN(IFERROR(tabItens[[#This Row],[ATA DT.VALID.]] - $D$1,0) / 30,0)</f>
        <v>-1504</v>
      </c>
      <c r="U581" s="287" t="s">
        <v>886</v>
      </c>
      <c r="V581" s="303">
        <v>1</v>
      </c>
      <c r="W581" s="304" t="s">
        <v>2051</v>
      </c>
      <c r="X581" s="305">
        <v>20</v>
      </c>
      <c r="Y581" s="306">
        <v>3</v>
      </c>
      <c r="Z581" s="307"/>
      <c r="AA581" s="308"/>
      <c r="AB581" s="309"/>
      <c r="AC581" s="309"/>
      <c r="AD581" s="308"/>
      <c r="AE581" s="309"/>
      <c r="AF581" s="302"/>
      <c r="AG581" s="310" t="s">
        <v>2050</v>
      </c>
      <c r="AH581" s="311"/>
      <c r="AI581" s="302">
        <v>6720</v>
      </c>
      <c r="AJ581" s="311">
        <v>45069</v>
      </c>
      <c r="AK581" s="311" t="s">
        <v>883</v>
      </c>
      <c r="AL581" s="311">
        <v>45055</v>
      </c>
      <c r="AM581" s="301"/>
      <c r="AN581" s="290"/>
      <c r="AO581" s="312" t="str">
        <f>_xlfn.IFNA(IF(VLOOKUP(tabItens[[#This Row],[CÓDIGO]],tabExcluirDoEstoque[#Data],1,FALSE),"sim",""),"")</f>
        <v/>
      </c>
      <c r="AP581" s="313" t="str">
        <f ca="1">IF(OR(ISBLANK(tabItens[[#This Row],[ATA DT.VALID.]]),tabItens[[#This Row],[ATA DT.VALID.]]="",tabItens[[#This Row],[ATA DT.VALID.]]=" "),"",IF(TYPE(tabItens[[#This Row],[ATA DT.VALID.]])=1,ROUNDUP((tabItens[[#This Row],[ATA DT.VALID.]]-TODAY())/7,0),""))</f>
        <v/>
      </c>
      <c r="AQ581" s="314">
        <v>0</v>
      </c>
      <c r="AR581" s="315" t="str">
        <f>IF(ISBLANK(tabItens[[#This Row],[CÓDIGO]]),"",IFERROR(VLOOKUP(tabItens[[#This Row],[CÓDIGO]],Consumo!$C$2:$AC$869,26,FALSE),0))</f>
        <v>07.2023</v>
      </c>
      <c r="AS581" s="316">
        <f>SUMIF(Consumo!$C$3:$C$869,tabItens[[#This Row],[CÓDIGO]],Consumo!$N$3:$N$869) + SUMIF(Consumo!$C$3:$C$869,tabItens[[#This Row],[CÓDIGO]],Consumo!$O$3:$O$869) + SUMIF(Consumo!$C$3:$C$869,tabItens[[#This Row],[CÓDIGO]],Consumo!$P$3:$P$869) + SUMIF(Consumo!$C$3:$C$869,tabItens[[#This Row],[CÓDIGO]],Consumo!$Q$3:$Q$869)</f>
        <v>7486</v>
      </c>
      <c r="AT581" s="316">
        <f>SUMIF(Consumo!$C$3:$C$869,tabItens[[#This Row],[CÓDIGO]],Consumo!$Z$3:$Z$869)</f>
        <v>20206</v>
      </c>
      <c r="AU581" s="317">
        <f>SUMIF(Consumo!$C$3:$C$869,tabItens[[#This Row],[CÓDIGO]],Consumo!$AA$3:$AA$869)</f>
        <v>2517</v>
      </c>
      <c r="AV581" s="318">
        <f>SUMIF(Consumo!$C$3:$C$869,tabItens[[#This Row],[CÓDIGO]],Consumo!$Y$3:$Y$869)</f>
        <v>1683.8333333333333</v>
      </c>
      <c r="AW581" s="291">
        <f>tabItens[[#This Row],[QTDE ATUAL]] + tabItens[[#This Row],[RC QTDE]] + tabItens[[#This Row],[AF SALDO]] + tabItens[[#This Row],[Recentes]]</f>
        <v>27050</v>
      </c>
      <c r="AX581" s="319">
        <v>805</v>
      </c>
      <c r="AY581" s="319">
        <v>4</v>
      </c>
      <c r="AZ581" s="319">
        <f>IF(ISBLANK(tabItens[[#This Row],[CÓDIGO]]),"",tabItens[[#This Row],[PontoMês]] * (AZ$2+tabItens[[#This Row],[PontoQtM]]))</f>
        <v>3220</v>
      </c>
      <c r="BA581" s="318">
        <f>tabItens[[#This Row],[PontoPed]] - tabItens[[#This Row],[Saldo]] + (1/10)</f>
        <v>-23829.9</v>
      </c>
      <c r="BB581" s="318">
        <f xml:space="preserve"> tabItens[[#This Row],[PontoMês]] * BB$2 - tabItens[[#This Row],[QTDE ATUAL]] - (1/10)</f>
        <v>-26245.1</v>
      </c>
      <c r="BC581" s="320">
        <f>IF( tabItens[[#This Row],[PontoPed]]&gt;0, IF(tabItens[[#This Row],[PontoPed]]&lt;1, 1, IF( tabItens[[#This Row],[Saldo]]&gt;tabItens[[#This Row],[PontoPed]], 0, (tabItens[[#This Row],[PontoPed]]-tabItens[[#This Row],[Saldo]])/tabItens[[#This Row],[PontoPed]] ) ), 0 )</f>
        <v>0</v>
      </c>
      <c r="BD581" s="321">
        <f>ROUNDDOWN(IF( OR( AND(tabItens[[#This Row],[PontoPed]]&lt;tabItens[[#This Row],[Saldo]],tabItens[[#This Row],[Saldo]]&gt;0), tabItens[[#This Row],[PontoPed]]=0), 99, IF(AND(tabItens[[#This Row],[Saldo]]=0,tabItens[[#This Row],[PontoPed]]&gt;0), 0, (1-tabItens[[#This Row],[PctAb]])*10 ) ),0)</f>
        <v>99</v>
      </c>
      <c r="BE581" s="322">
        <f>MAX(ROUNDDOWN( IF(tabItens[[#This Row],[Abaixo]] &gt; 0,   tabItens[[#This Row],[Abaixo]] + (tabItens[[#This Row],[PontoMês]] * IF( OR( ISBLANK(tabItens[[#This Row],[ATA Nº/ANO]]), tabItens[[#This Row],[ATA Nº/ANO]] = ""),BE$2,BE$1)),0),0),0)</f>
        <v>0</v>
      </c>
      <c r="BF58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23">
        <f>SUMIF(Consumo!$C$3:$C$869,tabItens[[#This Row],[CÓDIGO]],Consumo!$E$3:$E$869)</f>
        <v>44</v>
      </c>
      <c r="BH581" s="324">
        <f>IF(AND(tabItens[[#This Row],[Pend]] &gt; 0,tabItens[[#This Row],[Consumo]] &lt;&gt; 0), tabItens[[#This Row],[Pend]] / tabItens[[#This Row],[Consumo]], 0 )</f>
        <v>2.1775710185093534E-3</v>
      </c>
      <c r="BI581" s="323"/>
      <c r="BJ581" s="323"/>
      <c r="BK581" s="325" t="s">
        <v>2064</v>
      </c>
    </row>
    <row r="582" spans="1:63" hidden="1" x14ac:dyDescent="0.3">
      <c r="A582" s="286">
        <v>98359</v>
      </c>
      <c r="B582" s="287" t="s">
        <v>1551</v>
      </c>
      <c r="C582" s="288" t="s">
        <v>281</v>
      </c>
      <c r="D582" s="289">
        <v>137</v>
      </c>
      <c r="E582" s="290"/>
      <c r="F582" s="290"/>
      <c r="G582" s="290" t="s">
        <v>883</v>
      </c>
      <c r="H582" s="291">
        <v>66</v>
      </c>
      <c r="I582" s="292">
        <v>103003</v>
      </c>
      <c r="J582" s="293">
        <v>137</v>
      </c>
      <c r="K582" s="294">
        <v>30</v>
      </c>
      <c r="L582" s="295">
        <f>IF(tabItens[[#This Row],[Média]] &gt; 0, tabItens[[#This Row],[QTDE ATUAL]] / tabItens[[#This Row],[Média]],999.9)</f>
        <v>27.31034482758621</v>
      </c>
      <c r="M582" s="296">
        <v>0</v>
      </c>
      <c r="N582" s="297">
        <f>tabItens[[#This Row],[VALOR UNIT.]] * tabItens[[#This Row],[LC]]</f>
        <v>0</v>
      </c>
      <c r="O582" s="298" t="s">
        <v>2147</v>
      </c>
      <c r="P582" s="299"/>
      <c r="Q582" s="300"/>
      <c r="R582" s="297"/>
      <c r="S582" s="301"/>
      <c r="T582" s="302">
        <f>ROUNDDOWN(IFERROR(tabItens[[#This Row],[ATA DT.VALID.]] - $D$1,0) / 30,0)</f>
        <v>-1504</v>
      </c>
      <c r="U582" s="287" t="s">
        <v>1073</v>
      </c>
      <c r="V582" s="303">
        <v>1</v>
      </c>
      <c r="W582" s="304" t="s">
        <v>2057</v>
      </c>
      <c r="X582" s="305">
        <v>78</v>
      </c>
      <c r="Y582" s="306">
        <v>2</v>
      </c>
      <c r="Z582" s="307"/>
      <c r="AA582" s="308"/>
      <c r="AB582" s="309"/>
      <c r="AC582" s="309"/>
      <c r="AD582" s="308"/>
      <c r="AE582" s="309"/>
      <c r="AF582" s="302"/>
      <c r="AG582" s="310" t="s">
        <v>2050</v>
      </c>
      <c r="AH582" s="311"/>
      <c r="AI582" s="302">
        <v>10</v>
      </c>
      <c r="AJ582" s="311">
        <v>44165</v>
      </c>
      <c r="AK582" s="311">
        <v>39168</v>
      </c>
      <c r="AL582" s="311">
        <v>44789</v>
      </c>
      <c r="AM582" s="301"/>
      <c r="AN582" s="290"/>
      <c r="AO582" s="312" t="str">
        <f>_xlfn.IFNA(IF(VLOOKUP(tabItens[[#This Row],[CÓDIGO]],tabExcluirDoEstoque[#Data],1,FALSE),"sim",""),"")</f>
        <v/>
      </c>
      <c r="AP582" s="313" t="str">
        <f ca="1">IF(OR(ISBLANK(tabItens[[#This Row],[ATA DT.VALID.]]),tabItens[[#This Row],[ATA DT.VALID.]]="",tabItens[[#This Row],[ATA DT.VALID.]]=" "),"",IF(TYPE(tabItens[[#This Row],[ATA DT.VALID.]])=1,ROUNDUP((tabItens[[#This Row],[ATA DT.VALID.]]-TODAY())/7,0),""))</f>
        <v/>
      </c>
      <c r="AQ582" s="314">
        <v>0</v>
      </c>
      <c r="AR582" s="315" t="str">
        <f>IF(ISBLANK(tabItens[[#This Row],[CÓDIGO]]),"",IFERROR(VLOOKUP(tabItens[[#This Row],[CÓDIGO]],Consumo!$C$2:$AC$869,26,FALSE),0))</f>
        <v>07.2023</v>
      </c>
      <c r="AS582" s="316">
        <f>SUMIF(Consumo!$C$3:$C$869,tabItens[[#This Row],[CÓDIGO]],Consumo!$N$3:$N$869) + SUMIF(Consumo!$C$3:$C$869,tabItens[[#This Row],[CÓDIGO]],Consumo!$O$3:$O$869) + SUMIF(Consumo!$C$3:$C$869,tabItens[[#This Row],[CÓDIGO]],Consumo!$P$3:$P$869) + SUMIF(Consumo!$C$3:$C$869,tabItens[[#This Row],[CÓDIGO]],Consumo!$Q$3:$Q$869)</f>
        <v>10</v>
      </c>
      <c r="AT582" s="316">
        <f>SUMIF(Consumo!$C$3:$C$869,tabItens[[#This Row],[CÓDIGO]],Consumo!$Z$3:$Z$869)</f>
        <v>30</v>
      </c>
      <c r="AU582" s="317">
        <f>SUMIF(Consumo!$C$3:$C$869,tabItens[[#This Row],[CÓDIGO]],Consumo!$AA$3:$AA$869)</f>
        <v>10</v>
      </c>
      <c r="AV582" s="318">
        <f>SUMIF(Consumo!$C$3:$C$869,tabItens[[#This Row],[CÓDIGO]],Consumo!$Y$3:$Y$869)</f>
        <v>2.4166666666666665</v>
      </c>
      <c r="AW582" s="291">
        <f>tabItens[[#This Row],[QTDE ATUAL]] + tabItens[[#This Row],[RC QTDE]] + tabItens[[#This Row],[AF SALDO]] + tabItens[[#This Row],[Recentes]]</f>
        <v>66</v>
      </c>
      <c r="AX582" s="319">
        <v>10</v>
      </c>
      <c r="AY582" s="319">
        <v>4</v>
      </c>
      <c r="AZ582" s="319">
        <f>IF(ISBLANK(tabItens[[#This Row],[CÓDIGO]]),"",tabItens[[#This Row],[PontoMês]] * (AZ$2+tabItens[[#This Row],[PontoQtM]]))</f>
        <v>40</v>
      </c>
      <c r="BA582" s="318">
        <f>tabItens[[#This Row],[PontoPed]] - tabItens[[#This Row],[Saldo]] + (1/10)</f>
        <v>-25.9</v>
      </c>
      <c r="BB582" s="318">
        <f xml:space="preserve"> tabItens[[#This Row],[PontoMês]] * BB$2 - tabItens[[#This Row],[QTDE ATUAL]] - (1/10)</f>
        <v>-56.1</v>
      </c>
      <c r="BC582" s="320">
        <f>IF( tabItens[[#This Row],[PontoPed]]&gt;0, IF(tabItens[[#This Row],[PontoPed]]&lt;1, 1, IF( tabItens[[#This Row],[Saldo]]&gt;tabItens[[#This Row],[PontoPed]], 0, (tabItens[[#This Row],[PontoPed]]-tabItens[[#This Row],[Saldo]])/tabItens[[#This Row],[PontoPed]] ) ), 0 )</f>
        <v>0</v>
      </c>
      <c r="BD582" s="321">
        <f>ROUNDDOWN(IF( OR( AND(tabItens[[#This Row],[PontoPed]]&lt;tabItens[[#This Row],[Saldo]],tabItens[[#This Row],[Saldo]]&gt;0), tabItens[[#This Row],[PontoPed]]=0), 99, IF(AND(tabItens[[#This Row],[Saldo]]=0,tabItens[[#This Row],[PontoPed]]&gt;0), 0, (1-tabItens[[#This Row],[PctAb]])*10 ) ),0)</f>
        <v>99</v>
      </c>
      <c r="BE582" s="322">
        <f>MAX(ROUNDDOWN( IF(tabItens[[#This Row],[Abaixo]] &gt; 0,   tabItens[[#This Row],[Abaixo]] + (tabItens[[#This Row],[PontoMês]] * IF( OR( ISBLANK(tabItens[[#This Row],[ATA Nº/ANO]]), tabItens[[#This Row],[ATA Nº/ANO]] = ""),BE$2,BE$1)),0),0),0)</f>
        <v>0</v>
      </c>
      <c r="BF58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23">
        <f>SUMIF(Consumo!$C$3:$C$869,tabItens[[#This Row],[CÓDIGO]],Consumo!$E$3:$E$869)</f>
        <v>0</v>
      </c>
      <c r="BH582" s="324">
        <f>IF(AND(tabItens[[#This Row],[Pend]] &gt; 0,tabItens[[#This Row],[Consumo]] &lt;&gt; 0), tabItens[[#This Row],[Pend]] / tabItens[[#This Row],[Consumo]], 0 )</f>
        <v>0</v>
      </c>
      <c r="BI582" s="323"/>
      <c r="BJ582" s="323"/>
      <c r="BK582" s="325" t="s">
        <v>2064</v>
      </c>
    </row>
    <row r="583" spans="1:63" hidden="1" x14ac:dyDescent="0.3">
      <c r="A583" s="286">
        <v>74908</v>
      </c>
      <c r="B583" s="287" t="s">
        <v>1404</v>
      </c>
      <c r="C583" s="288" t="s">
        <v>256</v>
      </c>
      <c r="D583" s="289">
        <v>70.2</v>
      </c>
      <c r="E583" s="290"/>
      <c r="F583" s="290"/>
      <c r="G583" s="290" t="s">
        <v>883</v>
      </c>
      <c r="H583" s="291">
        <v>350</v>
      </c>
      <c r="I583" s="292">
        <v>103003</v>
      </c>
      <c r="J583" s="293">
        <v>70.2</v>
      </c>
      <c r="K583" s="294">
        <v>60</v>
      </c>
      <c r="L583" s="295">
        <f>IF(tabItens[[#This Row],[Média]] &gt; 0, tabItens[[#This Row],[QTDE ATUAL]] / tabItens[[#This Row],[Média]],999.9)</f>
        <v>84</v>
      </c>
      <c r="M583" s="296">
        <v>0</v>
      </c>
      <c r="N583" s="297">
        <f>tabItens[[#This Row],[VALOR UNIT.]] * tabItens[[#This Row],[LC]]</f>
        <v>0</v>
      </c>
      <c r="O583" s="298" t="s">
        <v>2134</v>
      </c>
      <c r="P583" s="299"/>
      <c r="Q583" s="300"/>
      <c r="R583" s="297"/>
      <c r="S583" s="301"/>
      <c r="T583" s="302">
        <f>ROUNDDOWN(IFERROR(tabItens[[#This Row],[ATA DT.VALID.]] - $D$1,0) / 30,0)</f>
        <v>-1504</v>
      </c>
      <c r="U583" s="287" t="s">
        <v>1334</v>
      </c>
      <c r="V583" s="303">
        <v>1</v>
      </c>
      <c r="W583" s="304" t="s">
        <v>2049</v>
      </c>
      <c r="X583" s="305">
        <v>74</v>
      </c>
      <c r="Y583" s="306">
        <v>3</v>
      </c>
      <c r="Z583" s="307"/>
      <c r="AA583" s="308"/>
      <c r="AB583" s="309"/>
      <c r="AC583" s="309"/>
      <c r="AD583" s="308"/>
      <c r="AE583" s="309"/>
      <c r="AF583" s="302"/>
      <c r="AG583" s="310" t="s">
        <v>2050</v>
      </c>
      <c r="AH583" s="311"/>
      <c r="AI583" s="302">
        <v>20</v>
      </c>
      <c r="AJ583" s="311">
        <v>44158</v>
      </c>
      <c r="AK583" s="311">
        <v>37845</v>
      </c>
      <c r="AL583" s="311">
        <v>44133</v>
      </c>
      <c r="AM583" s="301"/>
      <c r="AN583" s="290"/>
      <c r="AO583" s="312" t="str">
        <f>_xlfn.IFNA(IF(VLOOKUP(tabItens[[#This Row],[CÓDIGO]],tabExcluirDoEstoque[#Data],1,FALSE),"sim",""),"")</f>
        <v/>
      </c>
      <c r="AP583" s="313" t="str">
        <f ca="1">IF(OR(ISBLANK(tabItens[[#This Row],[ATA DT.VALID.]]),tabItens[[#This Row],[ATA DT.VALID.]]="",tabItens[[#This Row],[ATA DT.VALID.]]=" "),"",IF(TYPE(tabItens[[#This Row],[ATA DT.VALID.]])=1,ROUNDUP((tabItens[[#This Row],[ATA DT.VALID.]]-TODAY())/7,0),""))</f>
        <v/>
      </c>
      <c r="AQ583" s="314">
        <v>0</v>
      </c>
      <c r="AR583" s="315" t="str">
        <f>IF(ISBLANK(tabItens[[#This Row],[CÓDIGO]]),"",IFERROR(VLOOKUP(tabItens[[#This Row],[CÓDIGO]],Consumo!$C$2:$AC$869,26,FALSE),0))</f>
        <v>06.2023</v>
      </c>
      <c r="AS583" s="316">
        <f>SUMIF(Consumo!$C$3:$C$869,tabItens[[#This Row],[CÓDIGO]],Consumo!$N$3:$N$869) + SUMIF(Consumo!$C$3:$C$869,tabItens[[#This Row],[CÓDIGO]],Consumo!$O$3:$O$869) + SUMIF(Consumo!$C$3:$C$869,tabItens[[#This Row],[CÓDIGO]],Consumo!$P$3:$P$869) + SUMIF(Consumo!$C$3:$C$869,tabItens[[#This Row],[CÓDIGO]],Consumo!$Q$3:$Q$869)</f>
        <v>40</v>
      </c>
      <c r="AT583" s="316">
        <f>SUMIF(Consumo!$C$3:$C$869,tabItens[[#This Row],[CÓDIGO]],Consumo!$Z$3:$Z$869)</f>
        <v>60</v>
      </c>
      <c r="AU583" s="317">
        <f>SUMIF(Consumo!$C$3:$C$869,tabItens[[#This Row],[CÓDIGO]],Consumo!$AA$3:$AA$869)</f>
        <v>34</v>
      </c>
      <c r="AV583" s="318">
        <f>SUMIF(Consumo!$C$3:$C$869,tabItens[[#This Row],[CÓDIGO]],Consumo!$Y$3:$Y$869)</f>
        <v>4.166666666666667</v>
      </c>
      <c r="AW583" s="291">
        <f>tabItens[[#This Row],[QTDE ATUAL]] + tabItens[[#This Row],[RC QTDE]] + tabItens[[#This Row],[AF SALDO]] + tabItens[[#This Row],[Recentes]]</f>
        <v>350</v>
      </c>
      <c r="AX583" s="319">
        <v>12</v>
      </c>
      <c r="AY583" s="319">
        <v>4</v>
      </c>
      <c r="AZ583" s="319">
        <f>IF(ISBLANK(tabItens[[#This Row],[CÓDIGO]]),"",tabItens[[#This Row],[PontoMês]] * (AZ$2+tabItens[[#This Row],[PontoQtM]]))</f>
        <v>48</v>
      </c>
      <c r="BA583" s="318">
        <f>tabItens[[#This Row],[PontoPed]] - tabItens[[#This Row],[Saldo]] + (1/10)</f>
        <v>-301.89999999999998</v>
      </c>
      <c r="BB583" s="318">
        <f xml:space="preserve"> tabItens[[#This Row],[PontoMês]] * BB$2 - tabItens[[#This Row],[QTDE ATUAL]] - (1/10)</f>
        <v>-338.1</v>
      </c>
      <c r="BC583" s="320">
        <f>IF( tabItens[[#This Row],[PontoPed]]&gt;0, IF(tabItens[[#This Row],[PontoPed]]&lt;1, 1, IF( tabItens[[#This Row],[Saldo]]&gt;tabItens[[#This Row],[PontoPed]], 0, (tabItens[[#This Row],[PontoPed]]-tabItens[[#This Row],[Saldo]])/tabItens[[#This Row],[PontoPed]] ) ), 0 )</f>
        <v>0</v>
      </c>
      <c r="BD583" s="321">
        <f>ROUNDDOWN(IF( OR( AND(tabItens[[#This Row],[PontoPed]]&lt;tabItens[[#This Row],[Saldo]],tabItens[[#This Row],[Saldo]]&gt;0), tabItens[[#This Row],[PontoPed]]=0), 99, IF(AND(tabItens[[#This Row],[Saldo]]=0,tabItens[[#This Row],[PontoPed]]&gt;0), 0, (1-tabItens[[#This Row],[PctAb]])*10 ) ),0)</f>
        <v>99</v>
      </c>
      <c r="BE583" s="322">
        <f>MAX(ROUNDDOWN( IF(tabItens[[#This Row],[Abaixo]] &gt; 0,   tabItens[[#This Row],[Abaixo]] + (tabItens[[#This Row],[PontoMês]] * IF( OR( ISBLANK(tabItens[[#This Row],[ATA Nº/ANO]]), tabItens[[#This Row],[ATA Nº/ANO]] = ""),BE$2,BE$1)),0),0),0)</f>
        <v>0</v>
      </c>
      <c r="BF58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23">
        <f>SUMIF(Consumo!$C$3:$C$869,tabItens[[#This Row],[CÓDIGO]],Consumo!$E$3:$E$869)</f>
        <v>0</v>
      </c>
      <c r="BH583" s="324">
        <f>IF(AND(tabItens[[#This Row],[Pend]] &gt; 0,tabItens[[#This Row],[Consumo]] &lt;&gt; 0), tabItens[[#This Row],[Pend]] / tabItens[[#This Row],[Consumo]], 0 )</f>
        <v>0</v>
      </c>
      <c r="BI583" s="323"/>
      <c r="BJ583" s="323"/>
      <c r="BK583" s="325" t="s">
        <v>2064</v>
      </c>
    </row>
    <row r="584" spans="1:63" hidden="1" x14ac:dyDescent="0.3">
      <c r="A584" s="286">
        <v>108711</v>
      </c>
      <c r="B584" s="287" t="s">
        <v>1651</v>
      </c>
      <c r="C584" s="288" t="s">
        <v>31</v>
      </c>
      <c r="D584" s="289">
        <v>36.5</v>
      </c>
      <c r="E584" s="290"/>
      <c r="F584" s="290"/>
      <c r="G584" s="290" t="s">
        <v>883</v>
      </c>
      <c r="H584" s="291">
        <v>108</v>
      </c>
      <c r="I584" s="292">
        <v>103003</v>
      </c>
      <c r="J584" s="293">
        <v>36.5</v>
      </c>
      <c r="K584" s="294">
        <v>7</v>
      </c>
      <c r="L584" s="295">
        <f>IF(tabItens[[#This Row],[Média]] &gt; 0, tabItens[[#This Row],[QTDE ATUAL]] / tabItens[[#This Row],[Média]],999.9)</f>
        <v>259.2</v>
      </c>
      <c r="M584" s="296">
        <v>0</v>
      </c>
      <c r="N584" s="297">
        <f>tabItens[[#This Row],[VALOR UNIT.]] * tabItens[[#This Row],[LC]]</f>
        <v>0</v>
      </c>
      <c r="O584" s="298" t="s">
        <v>2155</v>
      </c>
      <c r="P584" s="299"/>
      <c r="Q584" s="300"/>
      <c r="R584" s="297"/>
      <c r="S584" s="301"/>
      <c r="T584" s="302">
        <f>ROUNDDOWN(IFERROR(tabItens[[#This Row],[ATA DT.VALID.]] - $D$1,0) / 30,0)</f>
        <v>-1504</v>
      </c>
      <c r="U584" s="287" t="s">
        <v>1652</v>
      </c>
      <c r="V584" s="303">
        <v>1</v>
      </c>
      <c r="W584" s="304" t="s">
        <v>2054</v>
      </c>
      <c r="X584" s="305">
        <v>61</v>
      </c>
      <c r="Y584" s="306">
        <v>10</v>
      </c>
      <c r="Z584" s="307"/>
      <c r="AA584" s="308"/>
      <c r="AB584" s="309"/>
      <c r="AC584" s="309"/>
      <c r="AD584" s="308"/>
      <c r="AE584" s="309"/>
      <c r="AF584" s="302"/>
      <c r="AG584" s="310" t="s">
        <v>2050</v>
      </c>
      <c r="AH584" s="311"/>
      <c r="AI584" s="302">
        <v>2</v>
      </c>
      <c r="AJ584" s="311">
        <v>43739</v>
      </c>
      <c r="AK584" s="311">
        <v>39762</v>
      </c>
      <c r="AL584" s="311">
        <v>44462</v>
      </c>
      <c r="AM584" s="301"/>
      <c r="AN584" s="290"/>
      <c r="AO584" s="312" t="str">
        <f>_xlfn.IFNA(IF(VLOOKUP(tabItens[[#This Row],[CÓDIGO]],tabExcluirDoEstoque[#Data],1,FALSE),"sim",""),"")</f>
        <v/>
      </c>
      <c r="AP584" s="313" t="str">
        <f ca="1">IF(OR(ISBLANK(tabItens[[#This Row],[ATA DT.VALID.]]),tabItens[[#This Row],[ATA DT.VALID.]]="",tabItens[[#This Row],[ATA DT.VALID.]]=" "),"",IF(TYPE(tabItens[[#This Row],[ATA DT.VALID.]])=1,ROUNDUP((tabItens[[#This Row],[ATA DT.VALID.]]-TODAY())/7,0),""))</f>
        <v/>
      </c>
      <c r="AQ584" s="314">
        <v>0</v>
      </c>
      <c r="AR584" s="315" t="str">
        <f>IF(ISBLANK(tabItens[[#This Row],[CÓDIGO]]),"",IFERROR(VLOOKUP(tabItens[[#This Row],[CÓDIGO]],Consumo!$C$2:$AC$869,26,FALSE),0))</f>
        <v>11.2022</v>
      </c>
      <c r="AS584" s="316">
        <f>SUMIF(Consumo!$C$3:$C$869,tabItens[[#This Row],[CÓDIGO]],Consumo!$N$3:$N$869) + SUMIF(Consumo!$C$3:$C$869,tabItens[[#This Row],[CÓDIGO]],Consumo!$O$3:$O$869) + SUMIF(Consumo!$C$3:$C$869,tabItens[[#This Row],[CÓDIGO]],Consumo!$P$3:$P$869) + SUMIF(Consumo!$C$3:$C$869,tabItens[[#This Row],[CÓDIGO]],Consumo!$Q$3:$Q$869)</f>
        <v>0</v>
      </c>
      <c r="AT584" s="316">
        <f>SUMIF(Consumo!$C$3:$C$869,tabItens[[#This Row],[CÓDIGO]],Consumo!$Z$3:$Z$869)</f>
        <v>7</v>
      </c>
      <c r="AU584" s="317">
        <f>SUMIF(Consumo!$C$3:$C$869,tabItens[[#This Row],[CÓDIGO]],Consumo!$AA$3:$AA$869)</f>
        <v>6</v>
      </c>
      <c r="AV584" s="318">
        <f>SUMIF(Consumo!$C$3:$C$869,tabItens[[#This Row],[CÓDIGO]],Consumo!$Y$3:$Y$869)</f>
        <v>0.41666666666666669</v>
      </c>
      <c r="AW584" s="291">
        <f>tabItens[[#This Row],[QTDE ATUAL]] + tabItens[[#This Row],[RC QTDE]] + tabItens[[#This Row],[AF SALDO]] + tabItens[[#This Row],[Recentes]]</f>
        <v>108</v>
      </c>
      <c r="AX584" s="319">
        <v>25</v>
      </c>
      <c r="AY584" s="319">
        <v>4</v>
      </c>
      <c r="AZ584" s="319">
        <f>IF(ISBLANK(tabItens[[#This Row],[CÓDIGO]]),"",tabItens[[#This Row],[PontoMês]] * (AZ$2+tabItens[[#This Row],[PontoQtM]]))</f>
        <v>100</v>
      </c>
      <c r="BA584" s="318">
        <f>tabItens[[#This Row],[PontoPed]] - tabItens[[#This Row],[Saldo]] + (1/10)</f>
        <v>-7.9</v>
      </c>
      <c r="BB584" s="318">
        <f xml:space="preserve"> tabItens[[#This Row],[PontoMês]] * BB$2 - tabItens[[#This Row],[QTDE ATUAL]] - (1/10)</f>
        <v>-83.1</v>
      </c>
      <c r="BC584" s="320">
        <f>IF( tabItens[[#This Row],[PontoPed]]&gt;0, IF(tabItens[[#This Row],[PontoPed]]&lt;1, 1, IF( tabItens[[#This Row],[Saldo]]&gt;tabItens[[#This Row],[PontoPed]], 0, (tabItens[[#This Row],[PontoPed]]-tabItens[[#This Row],[Saldo]])/tabItens[[#This Row],[PontoPed]] ) ), 0 )</f>
        <v>0</v>
      </c>
      <c r="BD584" s="321">
        <f>ROUNDDOWN(IF( OR( AND(tabItens[[#This Row],[PontoPed]]&lt;tabItens[[#This Row],[Saldo]],tabItens[[#This Row],[Saldo]]&gt;0), tabItens[[#This Row],[PontoPed]]=0), 99, IF(AND(tabItens[[#This Row],[Saldo]]=0,tabItens[[#This Row],[PontoPed]]&gt;0), 0, (1-tabItens[[#This Row],[PctAb]])*10 ) ),0)</f>
        <v>99</v>
      </c>
      <c r="BE584" s="322">
        <f>MAX(ROUNDDOWN( IF(tabItens[[#This Row],[Abaixo]] &gt; 0,   tabItens[[#This Row],[Abaixo]] + (tabItens[[#This Row],[PontoMês]] * IF( OR( ISBLANK(tabItens[[#This Row],[ATA Nº/ANO]]), tabItens[[#This Row],[ATA Nº/ANO]] = ""),BE$2,BE$1)),0),0),0)</f>
        <v>0</v>
      </c>
      <c r="BF58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23">
        <f>SUMIF(Consumo!$C$3:$C$869,tabItens[[#This Row],[CÓDIGO]],Consumo!$E$3:$E$869)</f>
        <v>0</v>
      </c>
      <c r="BH584" s="324">
        <f>IF(AND(tabItens[[#This Row],[Pend]] &gt; 0,tabItens[[#This Row],[Consumo]] &lt;&gt; 0), tabItens[[#This Row],[Pend]] / tabItens[[#This Row],[Consumo]], 0 )</f>
        <v>0</v>
      </c>
      <c r="BI584" s="323"/>
      <c r="BJ584" s="323"/>
      <c r="BK584" s="325" t="s">
        <v>2064</v>
      </c>
    </row>
    <row r="585" spans="1:63" hidden="1" x14ac:dyDescent="0.3">
      <c r="A585" s="286">
        <v>42854</v>
      </c>
      <c r="B585" s="287" t="s">
        <v>1279</v>
      </c>
      <c r="C585" s="288" t="s">
        <v>256</v>
      </c>
      <c r="D585" s="289">
        <v>109.5</v>
      </c>
      <c r="E585" s="290"/>
      <c r="F585" s="290"/>
      <c r="G585" s="290" t="s">
        <v>883</v>
      </c>
      <c r="H585" s="291">
        <v>675</v>
      </c>
      <c r="I585" s="292">
        <v>103003</v>
      </c>
      <c r="J585" s="293">
        <v>109.5</v>
      </c>
      <c r="K585" s="294">
        <v>680</v>
      </c>
      <c r="L585" s="295">
        <f>IF(tabItens[[#This Row],[Média]] &gt; 0, tabItens[[#This Row],[QTDE ATUAL]] / tabItens[[#This Row],[Média]],999.9)</f>
        <v>7.584269662921348</v>
      </c>
      <c r="M585" s="296">
        <v>0</v>
      </c>
      <c r="N585" s="297">
        <f>tabItens[[#This Row],[VALOR UNIT.]] * tabItens[[#This Row],[LC]]</f>
        <v>0</v>
      </c>
      <c r="O585" s="298" t="s">
        <v>2074</v>
      </c>
      <c r="P585" s="299"/>
      <c r="Q585" s="300"/>
      <c r="R585" s="297"/>
      <c r="S585" s="301"/>
      <c r="T585" s="302">
        <f>ROUNDDOWN(IFERROR(tabItens[[#This Row],[ATA DT.VALID.]] - $D$1,0) / 30,0)</f>
        <v>-1504</v>
      </c>
      <c r="U585" s="287" t="s">
        <v>1280</v>
      </c>
      <c r="V585" s="303">
        <v>1</v>
      </c>
      <c r="W585" s="304" t="s">
        <v>2051</v>
      </c>
      <c r="X585" s="305">
        <v>49</v>
      </c>
      <c r="Y585" s="306">
        <v>8</v>
      </c>
      <c r="Z585" s="307">
        <v>3004</v>
      </c>
      <c r="AA585" s="308">
        <v>2023</v>
      </c>
      <c r="AB585" s="309">
        <v>500</v>
      </c>
      <c r="AC585" s="309"/>
      <c r="AD585" s="308"/>
      <c r="AE585" s="309"/>
      <c r="AF585" s="302"/>
      <c r="AG585" s="310" t="s">
        <v>2050</v>
      </c>
      <c r="AH585" s="311"/>
      <c r="AI585" s="302">
        <v>356</v>
      </c>
      <c r="AJ585" s="311">
        <v>44991</v>
      </c>
      <c r="AK585" s="311" t="s">
        <v>883</v>
      </c>
      <c r="AL585" s="311">
        <v>44939</v>
      </c>
      <c r="AM585" s="301"/>
      <c r="AN585" s="290"/>
      <c r="AO585" s="312" t="str">
        <f>_xlfn.IFNA(IF(VLOOKUP(tabItens[[#This Row],[CÓDIGO]],tabExcluirDoEstoque[#Data],1,FALSE),"sim",""),"")</f>
        <v/>
      </c>
      <c r="AP585" s="313" t="str">
        <f ca="1">IF(OR(ISBLANK(tabItens[[#This Row],[ATA DT.VALID.]]),tabItens[[#This Row],[ATA DT.VALID.]]="",tabItens[[#This Row],[ATA DT.VALID.]]=" "),"",IF(TYPE(tabItens[[#This Row],[ATA DT.VALID.]])=1,ROUNDUP((tabItens[[#This Row],[ATA DT.VALID.]]-TODAY())/7,0),""))</f>
        <v/>
      </c>
      <c r="AQ585" s="314">
        <v>0</v>
      </c>
      <c r="AR585" s="315" t="str">
        <f>IF(ISBLANK(tabItens[[#This Row],[CÓDIGO]]),"",IFERROR(VLOOKUP(tabItens[[#This Row],[CÓDIGO]],Consumo!$C$2:$AC$869,26,FALSE),0))</f>
        <v>06.2023</v>
      </c>
      <c r="AS585" s="316">
        <f>SUMIF(Consumo!$C$3:$C$869,tabItens[[#This Row],[CÓDIGO]],Consumo!$N$3:$N$869) + SUMIF(Consumo!$C$3:$C$869,tabItens[[#This Row],[CÓDIGO]],Consumo!$O$3:$O$869) + SUMIF(Consumo!$C$3:$C$869,tabItens[[#This Row],[CÓDIGO]],Consumo!$P$3:$P$869) + SUMIF(Consumo!$C$3:$C$869,tabItens[[#This Row],[CÓDIGO]],Consumo!$Q$3:$Q$869)</f>
        <v>287</v>
      </c>
      <c r="AT585" s="316">
        <f>SUMIF(Consumo!$C$3:$C$869,tabItens[[#This Row],[CÓDIGO]],Consumo!$Z$3:$Z$869)</f>
        <v>1068</v>
      </c>
      <c r="AU585" s="317">
        <f>SUMIF(Consumo!$C$3:$C$869,tabItens[[#This Row],[CÓDIGO]],Consumo!$AA$3:$AA$869)</f>
        <v>142</v>
      </c>
      <c r="AV585" s="318">
        <f>SUMIF(Consumo!$C$3:$C$869,tabItens[[#This Row],[CÓDIGO]],Consumo!$Y$3:$Y$869)</f>
        <v>89</v>
      </c>
      <c r="AW585" s="291">
        <f>tabItens[[#This Row],[QTDE ATUAL]] + tabItens[[#This Row],[RC QTDE]] + tabItens[[#This Row],[AF SALDO]] + tabItens[[#This Row],[Recentes]]</f>
        <v>1175</v>
      </c>
      <c r="AX585" s="319">
        <v>128</v>
      </c>
      <c r="AY585" s="319">
        <v>4</v>
      </c>
      <c r="AZ585" s="319">
        <f>IF(ISBLANK(tabItens[[#This Row],[CÓDIGO]]),"",tabItens[[#This Row],[PontoMês]] * (AZ$2+tabItens[[#This Row],[PontoQtM]]))</f>
        <v>512</v>
      </c>
      <c r="BA585" s="318">
        <f>tabItens[[#This Row],[PontoPed]] - tabItens[[#This Row],[Saldo]] + (1/10)</f>
        <v>-662.9</v>
      </c>
      <c r="BB585" s="318">
        <f xml:space="preserve"> tabItens[[#This Row],[PontoMês]] * BB$2 - tabItens[[#This Row],[QTDE ATUAL]] - (1/10)</f>
        <v>-547.1</v>
      </c>
      <c r="BC585" s="320">
        <f>IF( tabItens[[#This Row],[PontoPed]]&gt;0, IF(tabItens[[#This Row],[PontoPed]]&lt;1, 1, IF( tabItens[[#This Row],[Saldo]]&gt;tabItens[[#This Row],[PontoPed]], 0, (tabItens[[#This Row],[PontoPed]]-tabItens[[#This Row],[Saldo]])/tabItens[[#This Row],[PontoPed]] ) ), 0 )</f>
        <v>0</v>
      </c>
      <c r="BD585" s="321">
        <f>ROUNDDOWN(IF( OR( AND(tabItens[[#This Row],[PontoPed]]&lt;tabItens[[#This Row],[Saldo]],tabItens[[#This Row],[Saldo]]&gt;0), tabItens[[#This Row],[PontoPed]]=0), 99, IF(AND(tabItens[[#This Row],[Saldo]]=0,tabItens[[#This Row],[PontoPed]]&gt;0), 0, (1-tabItens[[#This Row],[PctAb]])*10 ) ),0)</f>
        <v>99</v>
      </c>
      <c r="BE585" s="322">
        <f>MAX(ROUNDDOWN( IF(tabItens[[#This Row],[Abaixo]] &gt; 0,   tabItens[[#This Row],[Abaixo]] + (tabItens[[#This Row],[PontoMês]] * IF( OR( ISBLANK(tabItens[[#This Row],[ATA Nº/ANO]]), tabItens[[#This Row],[ATA Nº/ANO]] = ""),BE$2,BE$1)),0),0),0)</f>
        <v>0</v>
      </c>
      <c r="BF58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23">
        <f>SUMIF(Consumo!$C$3:$C$869,tabItens[[#This Row],[CÓDIGO]],Consumo!$E$3:$E$869)</f>
        <v>0</v>
      </c>
      <c r="BH585" s="324">
        <f>IF(AND(tabItens[[#This Row],[Pend]] &gt; 0,tabItens[[#This Row],[Consumo]] &lt;&gt; 0), tabItens[[#This Row],[Pend]] / tabItens[[#This Row],[Consumo]], 0 )</f>
        <v>0</v>
      </c>
      <c r="BI585" s="323"/>
      <c r="BJ585" s="323"/>
      <c r="BK585" s="325" t="s">
        <v>2064</v>
      </c>
    </row>
    <row r="586" spans="1:63" hidden="1" x14ac:dyDescent="0.3">
      <c r="A586" s="286">
        <v>53446</v>
      </c>
      <c r="B586" s="287" t="s">
        <v>1304</v>
      </c>
      <c r="C586" s="288" t="s">
        <v>411</v>
      </c>
      <c r="D586" s="289">
        <v>3</v>
      </c>
      <c r="E586" s="290"/>
      <c r="F586" s="290"/>
      <c r="G586" s="290" t="s">
        <v>883</v>
      </c>
      <c r="H586" s="291">
        <v>2023</v>
      </c>
      <c r="I586" s="292">
        <v>103003</v>
      </c>
      <c r="J586" s="293">
        <v>3</v>
      </c>
      <c r="K586" s="294">
        <v>1299</v>
      </c>
      <c r="L586" s="295">
        <f>IF(tabItens[[#This Row],[Média]] &gt; 0, tabItens[[#This Row],[QTDE ATUAL]] / tabItens[[#This Row],[Média]],999.9)</f>
        <v>17.29059829059829</v>
      </c>
      <c r="M586" s="296">
        <v>0</v>
      </c>
      <c r="N586" s="297">
        <f>tabItens[[#This Row],[VALOR UNIT.]] * tabItens[[#This Row],[LC]]</f>
        <v>0</v>
      </c>
      <c r="O586" s="298" t="s">
        <v>2074</v>
      </c>
      <c r="P586" s="299"/>
      <c r="Q586" s="300"/>
      <c r="R586" s="297"/>
      <c r="S586" s="301"/>
      <c r="T586" s="302">
        <f>ROUNDDOWN(IFERROR(tabItens[[#This Row],[ATA DT.VALID.]] - $D$1,0) / 30,0)</f>
        <v>-1504</v>
      </c>
      <c r="U586" s="287" t="s">
        <v>1305</v>
      </c>
      <c r="V586" s="303">
        <v>1</v>
      </c>
      <c r="W586" s="304" t="s">
        <v>2049</v>
      </c>
      <c r="X586" s="305">
        <v>51</v>
      </c>
      <c r="Y586" s="306">
        <v>19</v>
      </c>
      <c r="Z586" s="307">
        <v>2702</v>
      </c>
      <c r="AA586" s="308">
        <v>2023</v>
      </c>
      <c r="AB586" s="309">
        <v>300</v>
      </c>
      <c r="AC586" s="309"/>
      <c r="AD586" s="308"/>
      <c r="AE586" s="309"/>
      <c r="AF586" s="302"/>
      <c r="AG586" s="310" t="s">
        <v>2050</v>
      </c>
      <c r="AH586" s="311"/>
      <c r="AI586" s="302">
        <v>492</v>
      </c>
      <c r="AJ586" s="311">
        <v>44539</v>
      </c>
      <c r="AK586" s="311" t="s">
        <v>883</v>
      </c>
      <c r="AL586" s="311">
        <v>44971</v>
      </c>
      <c r="AM586" s="301"/>
      <c r="AN586" s="290"/>
      <c r="AO586" s="312" t="str">
        <f>_xlfn.IFNA(IF(VLOOKUP(tabItens[[#This Row],[CÓDIGO]],tabExcluirDoEstoque[#Data],1,FALSE),"sim",""),"")</f>
        <v/>
      </c>
      <c r="AP586" s="313" t="str">
        <f ca="1">IF(OR(ISBLANK(tabItens[[#This Row],[ATA DT.VALID.]]),tabItens[[#This Row],[ATA DT.VALID.]]="",tabItens[[#This Row],[ATA DT.VALID.]]=" "),"",IF(TYPE(tabItens[[#This Row],[ATA DT.VALID.]])=1,ROUNDUP((tabItens[[#This Row],[ATA DT.VALID.]]-TODAY())/7,0),""))</f>
        <v/>
      </c>
      <c r="AQ586" s="314">
        <v>0</v>
      </c>
      <c r="AR586" s="315" t="str">
        <f>IF(ISBLANK(tabItens[[#This Row],[CÓDIGO]]),"",IFERROR(VLOOKUP(tabItens[[#This Row],[CÓDIGO]],Consumo!$C$2:$AC$869,26,FALSE),0))</f>
        <v>07.2023</v>
      </c>
      <c r="AS586" s="316">
        <f>SUMIF(Consumo!$C$3:$C$869,tabItens[[#This Row],[CÓDIGO]],Consumo!$N$3:$N$869) + SUMIF(Consumo!$C$3:$C$869,tabItens[[#This Row],[CÓDIGO]],Consumo!$O$3:$O$869) + SUMIF(Consumo!$C$3:$C$869,tabItens[[#This Row],[CÓDIGO]],Consumo!$P$3:$P$869) + SUMIF(Consumo!$C$3:$C$869,tabItens[[#This Row],[CÓDIGO]],Consumo!$Q$3:$Q$869)</f>
        <v>83</v>
      </c>
      <c r="AT586" s="316">
        <f>SUMIF(Consumo!$C$3:$C$869,tabItens[[#This Row],[CÓDIGO]],Consumo!$Z$3:$Z$869)</f>
        <v>1476</v>
      </c>
      <c r="AU586" s="317">
        <f>SUMIF(Consumo!$C$3:$C$869,tabItens[[#This Row],[CÓDIGO]],Consumo!$AA$3:$AA$869)</f>
        <v>482</v>
      </c>
      <c r="AV586" s="318">
        <f>SUMIF(Consumo!$C$3:$C$869,tabItens[[#This Row],[CÓDIGO]],Consumo!$Y$3:$Y$869)</f>
        <v>117</v>
      </c>
      <c r="AW586" s="291">
        <f>tabItens[[#This Row],[QTDE ATUAL]] + tabItens[[#This Row],[RC QTDE]] + tabItens[[#This Row],[AF SALDO]] + tabItens[[#This Row],[Recentes]]</f>
        <v>2323</v>
      </c>
      <c r="AX586" s="319">
        <v>94</v>
      </c>
      <c r="AY586" s="319">
        <v>4</v>
      </c>
      <c r="AZ586" s="319">
        <f>IF(ISBLANK(tabItens[[#This Row],[CÓDIGO]]),"",tabItens[[#This Row],[PontoMês]] * (AZ$2+tabItens[[#This Row],[PontoQtM]]))</f>
        <v>376</v>
      </c>
      <c r="BA586" s="318">
        <f>tabItens[[#This Row],[PontoPed]] - tabItens[[#This Row],[Saldo]] + (1/10)</f>
        <v>-1946.9</v>
      </c>
      <c r="BB586" s="318">
        <f xml:space="preserve"> tabItens[[#This Row],[PontoMês]] * BB$2 - tabItens[[#This Row],[QTDE ATUAL]] - (1/10)</f>
        <v>-1929.1</v>
      </c>
      <c r="BC586" s="320">
        <f>IF( tabItens[[#This Row],[PontoPed]]&gt;0, IF(tabItens[[#This Row],[PontoPed]]&lt;1, 1, IF( tabItens[[#This Row],[Saldo]]&gt;tabItens[[#This Row],[PontoPed]], 0, (tabItens[[#This Row],[PontoPed]]-tabItens[[#This Row],[Saldo]])/tabItens[[#This Row],[PontoPed]] ) ), 0 )</f>
        <v>0</v>
      </c>
      <c r="BD586" s="321">
        <f>ROUNDDOWN(IF( OR( AND(tabItens[[#This Row],[PontoPed]]&lt;tabItens[[#This Row],[Saldo]],tabItens[[#This Row],[Saldo]]&gt;0), tabItens[[#This Row],[PontoPed]]=0), 99, IF(AND(tabItens[[#This Row],[Saldo]]=0,tabItens[[#This Row],[PontoPed]]&gt;0), 0, (1-tabItens[[#This Row],[PctAb]])*10 ) ),0)</f>
        <v>99</v>
      </c>
      <c r="BE586" s="322">
        <f>MAX(ROUNDDOWN( IF(tabItens[[#This Row],[Abaixo]] &gt; 0,   tabItens[[#This Row],[Abaixo]] + (tabItens[[#This Row],[PontoMês]] * IF( OR( ISBLANK(tabItens[[#This Row],[ATA Nº/ANO]]), tabItens[[#This Row],[ATA Nº/ANO]] = ""),BE$2,BE$1)),0),0),0)</f>
        <v>0</v>
      </c>
      <c r="BF58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23">
        <f>SUMIF(Consumo!$C$3:$C$869,tabItens[[#This Row],[CÓDIGO]],Consumo!$E$3:$E$869)</f>
        <v>0</v>
      </c>
      <c r="BH586" s="324">
        <f>IF(AND(tabItens[[#This Row],[Pend]] &gt; 0,tabItens[[#This Row],[Consumo]] &lt;&gt; 0), tabItens[[#This Row],[Pend]] / tabItens[[#This Row],[Consumo]], 0 )</f>
        <v>0</v>
      </c>
      <c r="BI586" s="323"/>
      <c r="BJ586" s="323"/>
      <c r="BK586" s="325" t="s">
        <v>2064</v>
      </c>
    </row>
    <row r="587" spans="1:63" hidden="1" x14ac:dyDescent="0.3">
      <c r="A587" s="286">
        <v>57598</v>
      </c>
      <c r="B587" s="287" t="s">
        <v>1328</v>
      </c>
      <c r="C587" s="288" t="s">
        <v>411</v>
      </c>
      <c r="D587" s="289">
        <v>5.75</v>
      </c>
      <c r="E587" s="290"/>
      <c r="F587" s="290"/>
      <c r="G587" s="290" t="s">
        <v>883</v>
      </c>
      <c r="H587" s="291">
        <v>260</v>
      </c>
      <c r="I587" s="292">
        <v>103003</v>
      </c>
      <c r="J587" s="293">
        <v>5.75</v>
      </c>
      <c r="K587" s="294">
        <v>1039</v>
      </c>
      <c r="L587" s="295">
        <f>IF(tabItens[[#This Row],[Média]] &gt; 0, tabItens[[#This Row],[QTDE ATUAL]] / tabItens[[#This Row],[Média]],999.9)</f>
        <v>2.5742574257425743</v>
      </c>
      <c r="M587" s="296">
        <v>0</v>
      </c>
      <c r="N587" s="297">
        <f>tabItens[[#This Row],[VALOR UNIT.]] * tabItens[[#This Row],[LC]]</f>
        <v>0</v>
      </c>
      <c r="O587" s="298" t="s">
        <v>2074</v>
      </c>
      <c r="P587" s="299"/>
      <c r="Q587" s="300"/>
      <c r="R587" s="297"/>
      <c r="S587" s="301"/>
      <c r="T587" s="302">
        <f>ROUNDDOWN(IFERROR(tabItens[[#This Row],[ATA DT.VALID.]] - $D$1,0) / 30,0)</f>
        <v>-1504</v>
      </c>
      <c r="U587" s="287" t="s">
        <v>1305</v>
      </c>
      <c r="V587" s="303">
        <v>1</v>
      </c>
      <c r="W587" s="304" t="s">
        <v>2049</v>
      </c>
      <c r="X587" s="305">
        <v>51</v>
      </c>
      <c r="Y587" s="306">
        <v>19</v>
      </c>
      <c r="Z587" s="307">
        <v>2437</v>
      </c>
      <c r="AA587" s="308">
        <v>2023</v>
      </c>
      <c r="AB587" s="309">
        <v>1000</v>
      </c>
      <c r="AC587" s="309"/>
      <c r="AD587" s="308"/>
      <c r="AE587" s="309"/>
      <c r="AF587" s="302"/>
      <c r="AG587" s="310" t="s">
        <v>2050</v>
      </c>
      <c r="AH587" s="311"/>
      <c r="AI587" s="302">
        <v>404</v>
      </c>
      <c r="AJ587" s="311">
        <v>44539</v>
      </c>
      <c r="AK587" s="311" t="s">
        <v>883</v>
      </c>
      <c r="AL587" s="311">
        <v>45117</v>
      </c>
      <c r="AM587" s="301"/>
      <c r="AN587" s="290"/>
      <c r="AO587" s="312" t="str">
        <f>_xlfn.IFNA(IF(VLOOKUP(tabItens[[#This Row],[CÓDIGO]],tabExcluirDoEstoque[#Data],1,FALSE),"sim",""),"")</f>
        <v/>
      </c>
      <c r="AP587" s="313" t="str">
        <f ca="1">IF(OR(ISBLANK(tabItens[[#This Row],[ATA DT.VALID.]]),tabItens[[#This Row],[ATA DT.VALID.]]="",tabItens[[#This Row],[ATA DT.VALID.]]=" "),"",IF(TYPE(tabItens[[#This Row],[ATA DT.VALID.]])=1,ROUNDUP((tabItens[[#This Row],[ATA DT.VALID.]]-TODAY())/7,0),""))</f>
        <v/>
      </c>
      <c r="AQ587" s="314">
        <v>0</v>
      </c>
      <c r="AR587" s="315" t="str">
        <f>IF(ISBLANK(tabItens[[#This Row],[CÓDIGO]]),"",IFERROR(VLOOKUP(tabItens[[#This Row],[CÓDIGO]],Consumo!$C$2:$AC$869,26,FALSE),0))</f>
        <v>07.2023</v>
      </c>
      <c r="AS587" s="316">
        <f>SUMIF(Consumo!$C$3:$C$869,tabItens[[#This Row],[CÓDIGO]],Consumo!$N$3:$N$869) + SUMIF(Consumo!$C$3:$C$869,tabItens[[#This Row],[CÓDIGO]],Consumo!$O$3:$O$869) + SUMIF(Consumo!$C$3:$C$869,tabItens[[#This Row],[CÓDIGO]],Consumo!$P$3:$P$869) + SUMIF(Consumo!$C$3:$C$869,tabItens[[#This Row],[CÓDIGO]],Consumo!$Q$3:$Q$869)</f>
        <v>90</v>
      </c>
      <c r="AT587" s="316">
        <f>SUMIF(Consumo!$C$3:$C$869,tabItens[[#This Row],[CÓDIGO]],Consumo!$Z$3:$Z$869)</f>
        <v>1212</v>
      </c>
      <c r="AU587" s="317">
        <f>SUMIF(Consumo!$C$3:$C$869,tabItens[[#This Row],[CÓDIGO]],Consumo!$AA$3:$AA$869)</f>
        <v>278</v>
      </c>
      <c r="AV587" s="318">
        <f>SUMIF(Consumo!$C$3:$C$869,tabItens[[#This Row],[CÓDIGO]],Consumo!$Y$3:$Y$869)</f>
        <v>101</v>
      </c>
      <c r="AW587" s="291">
        <f>tabItens[[#This Row],[QTDE ATUAL]] + tabItens[[#This Row],[RC QTDE]] + tabItens[[#This Row],[AF SALDO]] + tabItens[[#This Row],[Recentes]]</f>
        <v>1260</v>
      </c>
      <c r="AX587" s="319">
        <v>105</v>
      </c>
      <c r="AY587" s="319">
        <v>4</v>
      </c>
      <c r="AZ587" s="319">
        <f>IF(ISBLANK(tabItens[[#This Row],[CÓDIGO]]),"",tabItens[[#This Row],[PontoMês]] * (AZ$2+tabItens[[#This Row],[PontoQtM]]))</f>
        <v>420</v>
      </c>
      <c r="BA587" s="318">
        <f>tabItens[[#This Row],[PontoPed]] - tabItens[[#This Row],[Saldo]] + (1/10)</f>
        <v>-839.9</v>
      </c>
      <c r="BB587" s="318">
        <f xml:space="preserve"> tabItens[[#This Row],[PontoMês]] * BB$2 - tabItens[[#This Row],[QTDE ATUAL]] - (1/10)</f>
        <v>-155.1</v>
      </c>
      <c r="BC587" s="320">
        <f>IF( tabItens[[#This Row],[PontoPed]]&gt;0, IF(tabItens[[#This Row],[PontoPed]]&lt;1, 1, IF( tabItens[[#This Row],[Saldo]]&gt;tabItens[[#This Row],[PontoPed]], 0, (tabItens[[#This Row],[PontoPed]]-tabItens[[#This Row],[Saldo]])/tabItens[[#This Row],[PontoPed]] ) ), 0 )</f>
        <v>0</v>
      </c>
      <c r="BD587" s="321">
        <f>ROUNDDOWN(IF( OR( AND(tabItens[[#This Row],[PontoPed]]&lt;tabItens[[#This Row],[Saldo]],tabItens[[#This Row],[Saldo]]&gt;0), tabItens[[#This Row],[PontoPed]]=0), 99, IF(AND(tabItens[[#This Row],[Saldo]]=0,tabItens[[#This Row],[PontoPed]]&gt;0), 0, (1-tabItens[[#This Row],[PctAb]])*10 ) ),0)</f>
        <v>99</v>
      </c>
      <c r="BE587" s="322">
        <f>MAX(ROUNDDOWN( IF(tabItens[[#This Row],[Abaixo]] &gt; 0,   tabItens[[#This Row],[Abaixo]] + (tabItens[[#This Row],[PontoMês]] * IF( OR( ISBLANK(tabItens[[#This Row],[ATA Nº/ANO]]), tabItens[[#This Row],[ATA Nº/ANO]] = ""),BE$2,BE$1)),0),0),0)</f>
        <v>0</v>
      </c>
      <c r="BF58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23">
        <f>SUMIF(Consumo!$C$3:$C$869,tabItens[[#This Row],[CÓDIGO]],Consumo!$E$3:$E$869)</f>
        <v>0</v>
      </c>
      <c r="BH587" s="324">
        <f>IF(AND(tabItens[[#This Row],[Pend]] &gt; 0,tabItens[[#This Row],[Consumo]] &lt;&gt; 0), tabItens[[#This Row],[Pend]] / tabItens[[#This Row],[Consumo]], 0 )</f>
        <v>0</v>
      </c>
      <c r="BI587" s="323"/>
      <c r="BJ587" s="323"/>
      <c r="BK587" s="325" t="s">
        <v>2064</v>
      </c>
    </row>
    <row r="588" spans="1:63" hidden="1" x14ac:dyDescent="0.3">
      <c r="A588" s="286">
        <v>113846</v>
      </c>
      <c r="B588" s="287" t="s">
        <v>1690</v>
      </c>
      <c r="C588" s="288" t="s">
        <v>411</v>
      </c>
      <c r="D588" s="289">
        <v>2</v>
      </c>
      <c r="E588" s="290"/>
      <c r="F588" s="290"/>
      <c r="G588" s="290" t="s">
        <v>883</v>
      </c>
      <c r="H588" s="291">
        <v>1255</v>
      </c>
      <c r="I588" s="292">
        <v>103003</v>
      </c>
      <c r="J588" s="293">
        <v>2.0726200000000001</v>
      </c>
      <c r="K588" s="294">
        <v>729</v>
      </c>
      <c r="L588" s="295">
        <f>IF(tabItens[[#This Row],[Média]] &gt; 0, tabItens[[#This Row],[QTDE ATUAL]] / tabItens[[#This Row],[Média]],999.9)</f>
        <v>19.184713375796179</v>
      </c>
      <c r="M588" s="296">
        <v>0</v>
      </c>
      <c r="N588" s="297">
        <f>tabItens[[#This Row],[VALOR UNIT.]] * tabItens[[#This Row],[LC]]</f>
        <v>0</v>
      </c>
      <c r="O588" s="298" t="s">
        <v>2074</v>
      </c>
      <c r="P588" s="299"/>
      <c r="Q588" s="300"/>
      <c r="R588" s="297"/>
      <c r="S588" s="301"/>
      <c r="T588" s="302">
        <f>ROUNDDOWN(IFERROR(tabItens[[#This Row],[ATA DT.VALID.]] - $D$1,0) / 30,0)</f>
        <v>-1504</v>
      </c>
      <c r="U588" s="287" t="s">
        <v>1305</v>
      </c>
      <c r="V588" s="303">
        <v>1</v>
      </c>
      <c r="W588" s="304" t="s">
        <v>2049</v>
      </c>
      <c r="X588" s="305">
        <v>51</v>
      </c>
      <c r="Y588" s="306">
        <v>19</v>
      </c>
      <c r="Z588" s="307">
        <v>8972</v>
      </c>
      <c r="AA588" s="308">
        <v>2023</v>
      </c>
      <c r="AB588" s="309">
        <v>1500</v>
      </c>
      <c r="AC588" s="309"/>
      <c r="AD588" s="308"/>
      <c r="AE588" s="309"/>
      <c r="AF588" s="302"/>
      <c r="AG588" s="310" t="s">
        <v>2050</v>
      </c>
      <c r="AH588" s="311"/>
      <c r="AI588" s="302">
        <v>286</v>
      </c>
      <c r="AJ588" s="311">
        <v>44532</v>
      </c>
      <c r="AK588" s="311">
        <v>40198</v>
      </c>
      <c r="AL588" s="311">
        <v>44508</v>
      </c>
      <c r="AM588" s="301"/>
      <c r="AN588" s="290"/>
      <c r="AO588" s="312" t="str">
        <f>_xlfn.IFNA(IF(VLOOKUP(tabItens[[#This Row],[CÓDIGO]],tabExcluirDoEstoque[#Data],1,FALSE),"sim",""),"")</f>
        <v/>
      </c>
      <c r="AP588" s="313" t="str">
        <f ca="1">IF(OR(ISBLANK(tabItens[[#This Row],[ATA DT.VALID.]]),tabItens[[#This Row],[ATA DT.VALID.]]="",tabItens[[#This Row],[ATA DT.VALID.]]=" "),"",IF(TYPE(tabItens[[#This Row],[ATA DT.VALID.]])=1,ROUNDUP((tabItens[[#This Row],[ATA DT.VALID.]]-TODAY())/7,0),""))</f>
        <v/>
      </c>
      <c r="AQ588" s="314">
        <v>0</v>
      </c>
      <c r="AR588" s="315" t="str">
        <f>IF(ISBLANK(tabItens[[#This Row],[CÓDIGO]]),"",IFERROR(VLOOKUP(tabItens[[#This Row],[CÓDIGO]],Consumo!$C$2:$AC$869,26,FALSE),0))</f>
        <v>07.2023</v>
      </c>
      <c r="AS588" s="316">
        <f>SUMIF(Consumo!$C$3:$C$869,tabItens[[#This Row],[CÓDIGO]],Consumo!$N$3:$N$869) + SUMIF(Consumo!$C$3:$C$869,tabItens[[#This Row],[CÓDIGO]],Consumo!$O$3:$O$869) + SUMIF(Consumo!$C$3:$C$869,tabItens[[#This Row],[CÓDIGO]],Consumo!$P$3:$P$869) + SUMIF(Consumo!$C$3:$C$869,tabItens[[#This Row],[CÓDIGO]],Consumo!$Q$3:$Q$869)</f>
        <v>50</v>
      </c>
      <c r="AT588" s="316">
        <f>SUMIF(Consumo!$C$3:$C$869,tabItens[[#This Row],[CÓDIGO]],Consumo!$Z$3:$Z$869)</f>
        <v>793</v>
      </c>
      <c r="AU588" s="317">
        <f>SUMIF(Consumo!$C$3:$C$869,tabItens[[#This Row],[CÓDIGO]],Consumo!$AA$3:$AA$869)</f>
        <v>225</v>
      </c>
      <c r="AV588" s="318">
        <f>SUMIF(Consumo!$C$3:$C$869,tabItens[[#This Row],[CÓDIGO]],Consumo!$Y$3:$Y$869)</f>
        <v>65.416666666666671</v>
      </c>
      <c r="AW588" s="291">
        <f>tabItens[[#This Row],[QTDE ATUAL]] + tabItens[[#This Row],[RC QTDE]] + tabItens[[#This Row],[AF SALDO]] + tabItens[[#This Row],[Recentes]]</f>
        <v>2755</v>
      </c>
      <c r="AX588" s="319">
        <v>92</v>
      </c>
      <c r="AY588" s="319">
        <v>4</v>
      </c>
      <c r="AZ588" s="319">
        <f>IF(ISBLANK(tabItens[[#This Row],[CÓDIGO]]),"",tabItens[[#This Row],[PontoMês]] * (AZ$2+tabItens[[#This Row],[PontoQtM]]))</f>
        <v>368</v>
      </c>
      <c r="BA588" s="318">
        <f>tabItens[[#This Row],[PontoPed]] - tabItens[[#This Row],[Saldo]] + (1/10)</f>
        <v>-2386.9</v>
      </c>
      <c r="BB588" s="318">
        <f xml:space="preserve"> tabItens[[#This Row],[PontoMês]] * BB$2 - tabItens[[#This Row],[QTDE ATUAL]] - (1/10)</f>
        <v>-1163.0999999999999</v>
      </c>
      <c r="BC588" s="320">
        <f>IF( tabItens[[#This Row],[PontoPed]]&gt;0, IF(tabItens[[#This Row],[PontoPed]]&lt;1, 1, IF( tabItens[[#This Row],[Saldo]]&gt;tabItens[[#This Row],[PontoPed]], 0, (tabItens[[#This Row],[PontoPed]]-tabItens[[#This Row],[Saldo]])/tabItens[[#This Row],[PontoPed]] ) ), 0 )</f>
        <v>0</v>
      </c>
      <c r="BD588" s="321">
        <f>ROUNDDOWN(IF( OR( AND(tabItens[[#This Row],[PontoPed]]&lt;tabItens[[#This Row],[Saldo]],tabItens[[#This Row],[Saldo]]&gt;0), tabItens[[#This Row],[PontoPed]]=0), 99, IF(AND(tabItens[[#This Row],[Saldo]]=0,tabItens[[#This Row],[PontoPed]]&gt;0), 0, (1-tabItens[[#This Row],[PctAb]])*10 ) ),0)</f>
        <v>99</v>
      </c>
      <c r="BE588" s="322">
        <f>MAX(ROUNDDOWN( IF(tabItens[[#This Row],[Abaixo]] &gt; 0,   tabItens[[#This Row],[Abaixo]] + (tabItens[[#This Row],[PontoMês]] * IF( OR( ISBLANK(tabItens[[#This Row],[ATA Nº/ANO]]), tabItens[[#This Row],[ATA Nº/ANO]] = ""),BE$2,BE$1)),0),0),0)</f>
        <v>0</v>
      </c>
      <c r="BF58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23">
        <f>SUMIF(Consumo!$C$3:$C$869,tabItens[[#This Row],[CÓDIGO]],Consumo!$E$3:$E$869)</f>
        <v>0</v>
      </c>
      <c r="BH588" s="324">
        <f>IF(AND(tabItens[[#This Row],[Pend]] &gt; 0,tabItens[[#This Row],[Consumo]] &lt;&gt; 0), tabItens[[#This Row],[Pend]] / tabItens[[#This Row],[Consumo]], 0 )</f>
        <v>0</v>
      </c>
      <c r="BI588" s="323"/>
      <c r="BJ588" s="323"/>
      <c r="BK588" s="325" t="s">
        <v>2064</v>
      </c>
    </row>
    <row r="589" spans="1:63" hidden="1" x14ac:dyDescent="0.3">
      <c r="A589" s="286">
        <v>102832</v>
      </c>
      <c r="B589" s="287" t="s">
        <v>1585</v>
      </c>
      <c r="C589" s="288" t="s">
        <v>256</v>
      </c>
      <c r="D589" s="289">
        <v>0</v>
      </c>
      <c r="E589" s="290"/>
      <c r="F589" s="290"/>
      <c r="G589" s="290" t="s">
        <v>883</v>
      </c>
      <c r="H589" s="291">
        <v>75</v>
      </c>
      <c r="I589" s="292">
        <v>103003</v>
      </c>
      <c r="J589" s="293">
        <v>0</v>
      </c>
      <c r="K589" s="294">
        <v>90</v>
      </c>
      <c r="L589" s="295">
        <f>IF(tabItens[[#This Row],[Média]] &gt; 0, tabItens[[#This Row],[QTDE ATUAL]] / tabItens[[#This Row],[Média]],999.9)</f>
        <v>11.842105263157896</v>
      </c>
      <c r="M589" s="296">
        <v>0</v>
      </c>
      <c r="N589" s="297">
        <f>tabItens[[#This Row],[VALOR UNIT.]] * tabItens[[#This Row],[LC]]</f>
        <v>0</v>
      </c>
      <c r="O589" s="298" t="s">
        <v>2074</v>
      </c>
      <c r="P589" s="299"/>
      <c r="Q589" s="300"/>
      <c r="R589" s="297"/>
      <c r="S589" s="301"/>
      <c r="T589" s="302">
        <f>ROUNDDOWN(IFERROR(tabItens[[#This Row],[ATA DT.VALID.]] - $D$1,0) / 30,0)</f>
        <v>-1504</v>
      </c>
      <c r="U589" s="287" t="s">
        <v>1586</v>
      </c>
      <c r="V589" s="303">
        <v>1</v>
      </c>
      <c r="W589" s="304" t="s">
        <v>2049</v>
      </c>
      <c r="X589" s="305">
        <v>51</v>
      </c>
      <c r="Y589" s="306">
        <v>42</v>
      </c>
      <c r="Z589" s="307"/>
      <c r="AA589" s="308"/>
      <c r="AB589" s="309"/>
      <c r="AC589" s="309"/>
      <c r="AD589" s="308"/>
      <c r="AE589" s="309"/>
      <c r="AF589" s="302"/>
      <c r="AG589" s="310" t="s">
        <v>2050</v>
      </c>
      <c r="AH589" s="311"/>
      <c r="AI589" s="302">
        <v>30</v>
      </c>
      <c r="AJ589" s="311" t="s">
        <v>883</v>
      </c>
      <c r="AK589" s="311">
        <v>39377</v>
      </c>
      <c r="AL589" s="311" t="s">
        <v>883</v>
      </c>
      <c r="AM589" s="301"/>
      <c r="AN589" s="290"/>
      <c r="AO589" s="312" t="str">
        <f>_xlfn.IFNA(IF(VLOOKUP(tabItens[[#This Row],[CÓDIGO]],tabExcluirDoEstoque[#Data],1,FALSE),"sim",""),"")</f>
        <v/>
      </c>
      <c r="AP589" s="313" t="str">
        <f ca="1">IF(OR(ISBLANK(tabItens[[#This Row],[ATA DT.VALID.]]),tabItens[[#This Row],[ATA DT.VALID.]]="",tabItens[[#This Row],[ATA DT.VALID.]]=" "),"",IF(TYPE(tabItens[[#This Row],[ATA DT.VALID.]])=1,ROUNDUP((tabItens[[#This Row],[ATA DT.VALID.]]-TODAY())/7,0),""))</f>
        <v/>
      </c>
      <c r="AQ589" s="314">
        <v>0</v>
      </c>
      <c r="AR589" s="315" t="str">
        <f>IF(ISBLANK(tabItens[[#This Row],[CÓDIGO]]),"",IFERROR(VLOOKUP(tabItens[[#This Row],[CÓDIGO]],Consumo!$C$2:$AC$869,26,FALSE),0))</f>
        <v>05.2023</v>
      </c>
      <c r="AS589" s="316">
        <f>SUMIF(Consumo!$C$3:$C$869,tabItens[[#This Row],[CÓDIGO]],Consumo!$N$3:$N$869) + SUMIF(Consumo!$C$3:$C$869,tabItens[[#This Row],[CÓDIGO]],Consumo!$O$3:$O$869) + SUMIF(Consumo!$C$3:$C$869,tabItens[[#This Row],[CÓDIGO]],Consumo!$P$3:$P$869) + SUMIF(Consumo!$C$3:$C$869,tabItens[[#This Row],[CÓDIGO]],Consumo!$Q$3:$Q$869)</f>
        <v>50</v>
      </c>
      <c r="AT589" s="316">
        <f>SUMIF(Consumo!$C$3:$C$869,tabItens[[#This Row],[CÓDIGO]],Consumo!$Z$3:$Z$869)</f>
        <v>90</v>
      </c>
      <c r="AU589" s="317">
        <f>SUMIF(Consumo!$C$3:$C$869,tabItens[[#This Row],[CÓDIGO]],Consumo!$AA$3:$AA$869)</f>
        <v>50</v>
      </c>
      <c r="AV589" s="318">
        <f>SUMIF(Consumo!$C$3:$C$869,tabItens[[#This Row],[CÓDIGO]],Consumo!$Y$3:$Y$869)</f>
        <v>6.333333333333333</v>
      </c>
      <c r="AW589" s="291">
        <f>tabItens[[#This Row],[QTDE ATUAL]] + tabItens[[#This Row],[RC QTDE]] + tabItens[[#This Row],[AF SALDO]] + tabItens[[#This Row],[Recentes]]</f>
        <v>75</v>
      </c>
      <c r="AX589" s="319">
        <v>9</v>
      </c>
      <c r="AY589" s="319">
        <v>4</v>
      </c>
      <c r="AZ589" s="319">
        <f>IF(ISBLANK(tabItens[[#This Row],[CÓDIGO]]),"",tabItens[[#This Row],[PontoMês]] * (AZ$2+tabItens[[#This Row],[PontoQtM]]))</f>
        <v>36</v>
      </c>
      <c r="BA589" s="318">
        <f>tabItens[[#This Row],[PontoPed]] - tabItens[[#This Row],[Saldo]] + (1/10)</f>
        <v>-38.9</v>
      </c>
      <c r="BB589" s="318">
        <f xml:space="preserve"> tabItens[[#This Row],[PontoMês]] * BB$2 - tabItens[[#This Row],[QTDE ATUAL]] - (1/10)</f>
        <v>-66.099999999999994</v>
      </c>
      <c r="BC589" s="320">
        <f>IF( tabItens[[#This Row],[PontoPed]]&gt;0, IF(tabItens[[#This Row],[PontoPed]]&lt;1, 1, IF( tabItens[[#This Row],[Saldo]]&gt;tabItens[[#This Row],[PontoPed]], 0, (tabItens[[#This Row],[PontoPed]]-tabItens[[#This Row],[Saldo]])/tabItens[[#This Row],[PontoPed]] ) ), 0 )</f>
        <v>0</v>
      </c>
      <c r="BD589" s="321">
        <f>ROUNDDOWN(IF( OR( AND(tabItens[[#This Row],[PontoPed]]&lt;tabItens[[#This Row],[Saldo]],tabItens[[#This Row],[Saldo]]&gt;0), tabItens[[#This Row],[PontoPed]]=0), 99, IF(AND(tabItens[[#This Row],[Saldo]]=0,tabItens[[#This Row],[PontoPed]]&gt;0), 0, (1-tabItens[[#This Row],[PctAb]])*10 ) ),0)</f>
        <v>99</v>
      </c>
      <c r="BE589" s="322">
        <f>MAX(ROUNDDOWN( IF(tabItens[[#This Row],[Abaixo]] &gt; 0,   tabItens[[#This Row],[Abaixo]] + (tabItens[[#This Row],[PontoMês]] * IF( OR( ISBLANK(tabItens[[#This Row],[ATA Nº/ANO]]), tabItens[[#This Row],[ATA Nº/ANO]] = ""),BE$2,BE$1)),0),0),0)</f>
        <v>0</v>
      </c>
      <c r="BF58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23">
        <f>SUMIF(Consumo!$C$3:$C$869,tabItens[[#This Row],[CÓDIGO]],Consumo!$E$3:$E$869)</f>
        <v>0</v>
      </c>
      <c r="BH589" s="324">
        <f>IF(AND(tabItens[[#This Row],[Pend]] &gt; 0,tabItens[[#This Row],[Consumo]] &lt;&gt; 0), tabItens[[#This Row],[Pend]] / tabItens[[#This Row],[Consumo]], 0 )</f>
        <v>0</v>
      </c>
      <c r="BI589" s="323"/>
      <c r="BJ589" s="323"/>
      <c r="BK589" s="325" t="s">
        <v>2064</v>
      </c>
    </row>
    <row r="590" spans="1:63" hidden="1" x14ac:dyDescent="0.3">
      <c r="A590" s="286">
        <v>54586</v>
      </c>
      <c r="B590" s="287" t="s">
        <v>1319</v>
      </c>
      <c r="C590" s="288" t="s">
        <v>256</v>
      </c>
      <c r="D590" s="289">
        <v>19.989999999999998</v>
      </c>
      <c r="E590" s="290"/>
      <c r="F590" s="290"/>
      <c r="G590" s="290" t="s">
        <v>883</v>
      </c>
      <c r="H590" s="291">
        <v>11</v>
      </c>
      <c r="I590" s="292">
        <v>103003</v>
      </c>
      <c r="J590" s="293">
        <v>19.989999999999998</v>
      </c>
      <c r="K590" s="294">
        <v>58</v>
      </c>
      <c r="L590" s="295">
        <f>IF(tabItens[[#This Row],[Média]] &gt; 0, tabItens[[#This Row],[QTDE ATUAL]] / tabItens[[#This Row],[Média]],999.9)</f>
        <v>2.2372881355932202</v>
      </c>
      <c r="M590" s="296">
        <v>0</v>
      </c>
      <c r="N590" s="297">
        <f>tabItens[[#This Row],[VALOR UNIT.]] * tabItens[[#This Row],[LC]]</f>
        <v>0</v>
      </c>
      <c r="O590" s="298" t="s">
        <v>2074</v>
      </c>
      <c r="P590" s="299"/>
      <c r="Q590" s="300"/>
      <c r="R590" s="297"/>
      <c r="S590" s="301"/>
      <c r="T590" s="302">
        <f>ROUNDDOWN(IFERROR(tabItens[[#This Row],[ATA DT.VALID.]] - $D$1,0) / 30,0)</f>
        <v>-1504</v>
      </c>
      <c r="U590" s="287" t="s">
        <v>1039</v>
      </c>
      <c r="V590" s="303">
        <v>1</v>
      </c>
      <c r="W590" s="304" t="s">
        <v>2054</v>
      </c>
      <c r="X590" s="305">
        <v>61</v>
      </c>
      <c r="Y590" s="306">
        <v>2</v>
      </c>
      <c r="Z590" s="307">
        <v>2453</v>
      </c>
      <c r="AA590" s="308">
        <v>2023</v>
      </c>
      <c r="AB590" s="309">
        <v>10</v>
      </c>
      <c r="AC590" s="309"/>
      <c r="AD590" s="308"/>
      <c r="AE590" s="309"/>
      <c r="AF590" s="302"/>
      <c r="AG590" s="310" t="s">
        <v>2050</v>
      </c>
      <c r="AH590" s="311"/>
      <c r="AI590" s="302">
        <v>22</v>
      </c>
      <c r="AJ590" s="311">
        <v>44077</v>
      </c>
      <c r="AK590" s="311" t="s">
        <v>883</v>
      </c>
      <c r="AL590" s="311">
        <v>44029</v>
      </c>
      <c r="AM590" s="301"/>
      <c r="AN590" s="290"/>
      <c r="AO590" s="312" t="str">
        <f>_xlfn.IFNA(IF(VLOOKUP(tabItens[[#This Row],[CÓDIGO]],tabExcluirDoEstoque[#Data],1,FALSE),"sim",""),"")</f>
        <v/>
      </c>
      <c r="AP590" s="313" t="str">
        <f ca="1">IF(OR(ISBLANK(tabItens[[#This Row],[ATA DT.VALID.]]),tabItens[[#This Row],[ATA DT.VALID.]]="",tabItens[[#This Row],[ATA DT.VALID.]]=" "),"",IF(TYPE(tabItens[[#This Row],[ATA DT.VALID.]])=1,ROUNDUP((tabItens[[#This Row],[ATA DT.VALID.]]-TODAY())/7,0),""))</f>
        <v/>
      </c>
      <c r="AQ590" s="314">
        <v>0</v>
      </c>
      <c r="AR590" s="315" t="str">
        <f>IF(ISBLANK(tabItens[[#This Row],[CÓDIGO]]),"",IFERROR(VLOOKUP(tabItens[[#This Row],[CÓDIGO]],Consumo!$C$2:$AC$869,26,FALSE),0))</f>
        <v>04.2023</v>
      </c>
      <c r="AS590" s="316">
        <f>SUMIF(Consumo!$C$3:$C$869,tabItens[[#This Row],[CÓDIGO]],Consumo!$N$3:$N$869) + SUMIF(Consumo!$C$3:$C$869,tabItens[[#This Row],[CÓDIGO]],Consumo!$O$3:$O$869) + SUMIF(Consumo!$C$3:$C$869,tabItens[[#This Row],[CÓDIGO]],Consumo!$P$3:$P$869) + SUMIF(Consumo!$C$3:$C$869,tabItens[[#This Row],[CÓDIGO]],Consumo!$Q$3:$Q$869)</f>
        <v>6</v>
      </c>
      <c r="AT590" s="316">
        <f>SUMIF(Consumo!$C$3:$C$869,tabItens[[#This Row],[CÓDIGO]],Consumo!$Z$3:$Z$869)</f>
        <v>65</v>
      </c>
      <c r="AU590" s="317">
        <f>SUMIF(Consumo!$C$3:$C$869,tabItens[[#This Row],[CÓDIGO]],Consumo!$AA$3:$AA$869)</f>
        <v>25</v>
      </c>
      <c r="AV590" s="318">
        <f>SUMIF(Consumo!$C$3:$C$869,tabItens[[#This Row],[CÓDIGO]],Consumo!$Y$3:$Y$869)</f>
        <v>4.916666666666667</v>
      </c>
      <c r="AW590" s="291">
        <f>tabItens[[#This Row],[QTDE ATUAL]] + tabItens[[#This Row],[RC QTDE]] + tabItens[[#This Row],[AF SALDO]] + tabItens[[#This Row],[Recentes]]</f>
        <v>21</v>
      </c>
      <c r="AX590" s="319">
        <v>3</v>
      </c>
      <c r="AY590" s="319">
        <v>4</v>
      </c>
      <c r="AZ590" s="319">
        <f>IF(ISBLANK(tabItens[[#This Row],[CÓDIGO]]),"",tabItens[[#This Row],[PontoMês]] * (AZ$2+tabItens[[#This Row],[PontoQtM]]))</f>
        <v>12</v>
      </c>
      <c r="BA590" s="318">
        <f>tabItens[[#This Row],[PontoPed]] - tabItens[[#This Row],[Saldo]] + (1/10)</f>
        <v>-8.9</v>
      </c>
      <c r="BB590" s="318">
        <f xml:space="preserve"> tabItens[[#This Row],[PontoMês]] * BB$2 - tabItens[[#This Row],[QTDE ATUAL]] - (1/10)</f>
        <v>-8.1</v>
      </c>
      <c r="BC590" s="320">
        <f>IF( tabItens[[#This Row],[PontoPed]]&gt;0, IF(tabItens[[#This Row],[PontoPed]]&lt;1, 1, IF( tabItens[[#This Row],[Saldo]]&gt;tabItens[[#This Row],[PontoPed]], 0, (tabItens[[#This Row],[PontoPed]]-tabItens[[#This Row],[Saldo]])/tabItens[[#This Row],[PontoPed]] ) ), 0 )</f>
        <v>0</v>
      </c>
      <c r="BD590" s="321">
        <f>ROUNDDOWN(IF( OR( AND(tabItens[[#This Row],[PontoPed]]&lt;tabItens[[#This Row],[Saldo]],tabItens[[#This Row],[Saldo]]&gt;0), tabItens[[#This Row],[PontoPed]]=0), 99, IF(AND(tabItens[[#This Row],[Saldo]]=0,tabItens[[#This Row],[PontoPed]]&gt;0), 0, (1-tabItens[[#This Row],[PctAb]])*10 ) ),0)</f>
        <v>99</v>
      </c>
      <c r="BE590" s="322">
        <f>MAX(ROUNDDOWN( IF(tabItens[[#This Row],[Abaixo]] &gt; 0,   tabItens[[#This Row],[Abaixo]] + (tabItens[[#This Row],[PontoMês]] * IF( OR( ISBLANK(tabItens[[#This Row],[ATA Nº/ANO]]), tabItens[[#This Row],[ATA Nº/ANO]] = ""),BE$2,BE$1)),0),0),0)</f>
        <v>0</v>
      </c>
      <c r="BF59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23">
        <f>SUMIF(Consumo!$C$3:$C$869,tabItens[[#This Row],[CÓDIGO]],Consumo!$E$3:$E$869)</f>
        <v>0</v>
      </c>
      <c r="BH590" s="324">
        <f>IF(AND(tabItens[[#This Row],[Pend]] &gt; 0,tabItens[[#This Row],[Consumo]] &lt;&gt; 0), tabItens[[#This Row],[Pend]] / tabItens[[#This Row],[Consumo]], 0 )</f>
        <v>0</v>
      </c>
      <c r="BI590" s="323"/>
      <c r="BJ590" s="323"/>
      <c r="BK590" s="325" t="s">
        <v>2064</v>
      </c>
    </row>
    <row r="591" spans="1:63" hidden="1" x14ac:dyDescent="0.3">
      <c r="A591" s="286">
        <v>54587</v>
      </c>
      <c r="B591" s="287" t="s">
        <v>1320</v>
      </c>
      <c r="C591" s="288" t="s">
        <v>256</v>
      </c>
      <c r="D591" s="289">
        <v>17.989999999999998</v>
      </c>
      <c r="E591" s="290"/>
      <c r="F591" s="290"/>
      <c r="G591" s="290" t="s">
        <v>883</v>
      </c>
      <c r="H591" s="291">
        <v>7</v>
      </c>
      <c r="I591" s="292">
        <v>103003</v>
      </c>
      <c r="J591" s="293">
        <v>17.989999999999998</v>
      </c>
      <c r="K591" s="294">
        <v>74</v>
      </c>
      <c r="L591" s="295">
        <f>IF(tabItens[[#This Row],[Média]] &gt; 0, tabItens[[#This Row],[QTDE ATUAL]] / tabItens[[#This Row],[Média]],999.9)</f>
        <v>1.2727272727272727</v>
      </c>
      <c r="M591" s="296">
        <v>0</v>
      </c>
      <c r="N591" s="297">
        <f>tabItens[[#This Row],[VALOR UNIT.]] * tabItens[[#This Row],[LC]]</f>
        <v>0</v>
      </c>
      <c r="O591" s="298" t="s">
        <v>2074</v>
      </c>
      <c r="P591" s="299"/>
      <c r="Q591" s="300"/>
      <c r="R591" s="297"/>
      <c r="S591" s="301"/>
      <c r="T591" s="302">
        <f>ROUNDDOWN(IFERROR(tabItens[[#This Row],[ATA DT.VALID.]] - $D$1,0) / 30,0)</f>
        <v>-1504</v>
      </c>
      <c r="U591" s="287" t="s">
        <v>1039</v>
      </c>
      <c r="V591" s="303">
        <v>1</v>
      </c>
      <c r="W591" s="304" t="s">
        <v>2054</v>
      </c>
      <c r="X591" s="305">
        <v>61</v>
      </c>
      <c r="Y591" s="306">
        <v>2</v>
      </c>
      <c r="Z591" s="307">
        <v>2453</v>
      </c>
      <c r="AA591" s="308">
        <v>2023</v>
      </c>
      <c r="AB591" s="309">
        <v>20</v>
      </c>
      <c r="AC591" s="309"/>
      <c r="AD591" s="308"/>
      <c r="AE591" s="309"/>
      <c r="AF591" s="302"/>
      <c r="AG591" s="310" t="s">
        <v>2050</v>
      </c>
      <c r="AH591" s="311"/>
      <c r="AI591" s="302">
        <v>26</v>
      </c>
      <c r="AJ591" s="311">
        <v>44069</v>
      </c>
      <c r="AK591" s="311" t="s">
        <v>883</v>
      </c>
      <c r="AL591" s="311">
        <v>44029</v>
      </c>
      <c r="AM591" s="301"/>
      <c r="AN591" s="290"/>
      <c r="AO591" s="312" t="str">
        <f>_xlfn.IFNA(IF(VLOOKUP(tabItens[[#This Row],[CÓDIGO]],tabExcluirDoEstoque[#Data],1,FALSE),"sim",""),"")</f>
        <v/>
      </c>
      <c r="AP591" s="313" t="str">
        <f ca="1">IF(OR(ISBLANK(tabItens[[#This Row],[ATA DT.VALID.]]),tabItens[[#This Row],[ATA DT.VALID.]]="",tabItens[[#This Row],[ATA DT.VALID.]]=" "),"",IF(TYPE(tabItens[[#This Row],[ATA DT.VALID.]])=1,ROUNDUP((tabItens[[#This Row],[ATA DT.VALID.]]-TODAY())/7,0),""))</f>
        <v/>
      </c>
      <c r="AQ591" s="314">
        <v>0</v>
      </c>
      <c r="AR591" s="315" t="str">
        <f>IF(ISBLANK(tabItens[[#This Row],[CÓDIGO]]),"",IFERROR(VLOOKUP(tabItens[[#This Row],[CÓDIGO]],Consumo!$C$2:$AC$869,26,FALSE),0))</f>
        <v>05.2023</v>
      </c>
      <c r="AS591" s="316">
        <f>SUMIF(Consumo!$C$3:$C$869,tabItens[[#This Row],[CÓDIGO]],Consumo!$N$3:$N$869) + SUMIF(Consumo!$C$3:$C$869,tabItens[[#This Row],[CÓDIGO]],Consumo!$O$3:$O$869) + SUMIF(Consumo!$C$3:$C$869,tabItens[[#This Row],[CÓDIGO]],Consumo!$P$3:$P$869) + SUMIF(Consumo!$C$3:$C$869,tabItens[[#This Row],[CÓDIGO]],Consumo!$Q$3:$Q$869)</f>
        <v>10</v>
      </c>
      <c r="AT591" s="316">
        <f>SUMIF(Consumo!$C$3:$C$869,tabItens[[#This Row],[CÓDIGO]],Consumo!$Z$3:$Z$869)</f>
        <v>76</v>
      </c>
      <c r="AU591" s="317">
        <f>SUMIF(Consumo!$C$3:$C$869,tabItens[[#This Row],[CÓDIGO]],Consumo!$AA$3:$AA$869)</f>
        <v>36</v>
      </c>
      <c r="AV591" s="318">
        <f>SUMIF(Consumo!$C$3:$C$869,tabItens[[#This Row],[CÓDIGO]],Consumo!$Y$3:$Y$869)</f>
        <v>5.5</v>
      </c>
      <c r="AW591" s="291">
        <f>tabItens[[#This Row],[QTDE ATUAL]] + tabItens[[#This Row],[RC QTDE]] + tabItens[[#This Row],[AF SALDO]] + tabItens[[#This Row],[Recentes]]</f>
        <v>27</v>
      </c>
      <c r="AX591" s="319">
        <v>5</v>
      </c>
      <c r="AY591" s="319">
        <v>4</v>
      </c>
      <c r="AZ591" s="319">
        <f>IF(ISBLANK(tabItens[[#This Row],[CÓDIGO]]),"",tabItens[[#This Row],[PontoMês]] * (AZ$2+tabItens[[#This Row],[PontoQtM]]))</f>
        <v>20</v>
      </c>
      <c r="BA591" s="318">
        <f>tabItens[[#This Row],[PontoPed]] - tabItens[[#This Row],[Saldo]] + (1/10)</f>
        <v>-6.9</v>
      </c>
      <c r="BB591" s="318">
        <f xml:space="preserve"> tabItens[[#This Row],[PontoMês]] * BB$2 - tabItens[[#This Row],[QTDE ATUAL]] - (1/10)</f>
        <v>-2.1</v>
      </c>
      <c r="BC591" s="320">
        <f>IF( tabItens[[#This Row],[PontoPed]]&gt;0, IF(tabItens[[#This Row],[PontoPed]]&lt;1, 1, IF( tabItens[[#This Row],[Saldo]]&gt;tabItens[[#This Row],[PontoPed]], 0, (tabItens[[#This Row],[PontoPed]]-tabItens[[#This Row],[Saldo]])/tabItens[[#This Row],[PontoPed]] ) ), 0 )</f>
        <v>0</v>
      </c>
      <c r="BD591" s="321">
        <f>ROUNDDOWN(IF( OR( AND(tabItens[[#This Row],[PontoPed]]&lt;tabItens[[#This Row],[Saldo]],tabItens[[#This Row],[Saldo]]&gt;0), tabItens[[#This Row],[PontoPed]]=0), 99, IF(AND(tabItens[[#This Row],[Saldo]]=0,tabItens[[#This Row],[PontoPed]]&gt;0), 0, (1-tabItens[[#This Row],[PctAb]])*10 ) ),0)</f>
        <v>99</v>
      </c>
      <c r="BE591" s="322">
        <f>MAX(ROUNDDOWN( IF(tabItens[[#This Row],[Abaixo]] &gt; 0,   tabItens[[#This Row],[Abaixo]] + (tabItens[[#This Row],[PontoMês]] * IF( OR( ISBLANK(tabItens[[#This Row],[ATA Nº/ANO]]), tabItens[[#This Row],[ATA Nº/ANO]] = ""),BE$2,BE$1)),0),0),0)</f>
        <v>0</v>
      </c>
      <c r="BF59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23">
        <f>SUMIF(Consumo!$C$3:$C$869,tabItens[[#This Row],[CÓDIGO]],Consumo!$E$3:$E$869)</f>
        <v>0</v>
      </c>
      <c r="BH591" s="324">
        <f>IF(AND(tabItens[[#This Row],[Pend]] &gt; 0,tabItens[[#This Row],[Consumo]] &lt;&gt; 0), tabItens[[#This Row],[Pend]] / tabItens[[#This Row],[Consumo]], 0 )</f>
        <v>0</v>
      </c>
      <c r="BI591" s="323"/>
      <c r="BJ591" s="323"/>
      <c r="BK591" s="325" t="s">
        <v>2064</v>
      </c>
    </row>
    <row r="592" spans="1:63" hidden="1" x14ac:dyDescent="0.3">
      <c r="A592" s="286">
        <v>60116</v>
      </c>
      <c r="B592" s="287" t="s">
        <v>1344</v>
      </c>
      <c r="C592" s="288" t="s">
        <v>256</v>
      </c>
      <c r="D592" s="289">
        <v>10.19</v>
      </c>
      <c r="E592" s="290"/>
      <c r="F592" s="290"/>
      <c r="G592" s="290" t="s">
        <v>883</v>
      </c>
      <c r="H592" s="291">
        <v>121</v>
      </c>
      <c r="I592" s="292">
        <v>103003</v>
      </c>
      <c r="J592" s="293">
        <v>10.19</v>
      </c>
      <c r="K592" s="294">
        <v>67</v>
      </c>
      <c r="L592" s="295">
        <f>IF(tabItens[[#This Row],[Média]] &gt; 0, tabItens[[#This Row],[QTDE ATUAL]] / tabItens[[#This Row],[Média]],999.9)</f>
        <v>17.285714285714285</v>
      </c>
      <c r="M592" s="296">
        <v>0</v>
      </c>
      <c r="N592" s="297">
        <f>tabItens[[#This Row],[VALOR UNIT.]] * tabItens[[#This Row],[LC]]</f>
        <v>0</v>
      </c>
      <c r="O592" s="298" t="s">
        <v>2074</v>
      </c>
      <c r="P592" s="299"/>
      <c r="Q592" s="300"/>
      <c r="R592" s="297"/>
      <c r="S592" s="301"/>
      <c r="T592" s="302">
        <f>ROUNDDOWN(IFERROR(tabItens[[#This Row],[ATA DT.VALID.]] - $D$1,0) / 30,0)</f>
        <v>-1504</v>
      </c>
      <c r="U592" s="287" t="s">
        <v>1345</v>
      </c>
      <c r="V592" s="303">
        <v>1</v>
      </c>
      <c r="W592" s="304" t="s">
        <v>2055</v>
      </c>
      <c r="X592" s="305">
        <v>61</v>
      </c>
      <c r="Y592" s="306">
        <v>3</v>
      </c>
      <c r="Z592" s="307">
        <v>2702</v>
      </c>
      <c r="AA592" s="308">
        <v>2023</v>
      </c>
      <c r="AB592" s="309">
        <v>50</v>
      </c>
      <c r="AC592" s="309"/>
      <c r="AD592" s="308"/>
      <c r="AE592" s="309"/>
      <c r="AF592" s="302"/>
      <c r="AG592" s="310" t="s">
        <v>2050</v>
      </c>
      <c r="AH592" s="311"/>
      <c r="AI592" s="302">
        <v>28</v>
      </c>
      <c r="AJ592" s="311">
        <v>44560</v>
      </c>
      <c r="AK592" s="311" t="s">
        <v>883</v>
      </c>
      <c r="AL592" s="311">
        <v>44522</v>
      </c>
      <c r="AM592" s="301"/>
      <c r="AN592" s="290"/>
      <c r="AO592" s="312" t="str">
        <f>_xlfn.IFNA(IF(VLOOKUP(tabItens[[#This Row],[CÓDIGO]],tabExcluirDoEstoque[#Data],1,FALSE),"sim",""),"")</f>
        <v/>
      </c>
      <c r="AP592" s="313" t="str">
        <f ca="1">IF(OR(ISBLANK(tabItens[[#This Row],[ATA DT.VALID.]]),tabItens[[#This Row],[ATA DT.VALID.]]="",tabItens[[#This Row],[ATA DT.VALID.]]=" "),"",IF(TYPE(tabItens[[#This Row],[ATA DT.VALID.]])=1,ROUNDUP((tabItens[[#This Row],[ATA DT.VALID.]]-TODAY())/7,0),""))</f>
        <v/>
      </c>
      <c r="AQ592" s="314">
        <v>0</v>
      </c>
      <c r="AR592" s="315" t="str">
        <f>IF(ISBLANK(tabItens[[#This Row],[CÓDIGO]]),"",IFERROR(VLOOKUP(tabItens[[#This Row],[CÓDIGO]],Consumo!$C$2:$AC$869,26,FALSE),0))</f>
        <v>07.2023</v>
      </c>
      <c r="AS592" s="316">
        <f>SUMIF(Consumo!$C$3:$C$869,tabItens[[#This Row],[CÓDIGO]],Consumo!$N$3:$N$869) + SUMIF(Consumo!$C$3:$C$869,tabItens[[#This Row],[CÓDIGO]],Consumo!$O$3:$O$869) + SUMIF(Consumo!$C$3:$C$869,tabItens[[#This Row],[CÓDIGO]],Consumo!$P$3:$P$869) + SUMIF(Consumo!$C$3:$C$869,tabItens[[#This Row],[CÓDIGO]],Consumo!$Q$3:$Q$869)</f>
        <v>32</v>
      </c>
      <c r="AT592" s="316">
        <f>SUMIF(Consumo!$C$3:$C$869,tabItens[[#This Row],[CÓDIGO]],Consumo!$Z$3:$Z$869)</f>
        <v>84</v>
      </c>
      <c r="AU592" s="317">
        <f>SUMIF(Consumo!$C$3:$C$869,tabItens[[#This Row],[CÓDIGO]],Consumo!$AA$3:$AA$869)</f>
        <v>14</v>
      </c>
      <c r="AV592" s="318">
        <f>SUMIF(Consumo!$C$3:$C$869,tabItens[[#This Row],[CÓDIGO]],Consumo!$Y$3:$Y$869)</f>
        <v>7</v>
      </c>
      <c r="AW592" s="291">
        <f>tabItens[[#This Row],[QTDE ATUAL]] + tabItens[[#This Row],[RC QTDE]] + tabItens[[#This Row],[AF SALDO]] + tabItens[[#This Row],[Recentes]]</f>
        <v>171</v>
      </c>
      <c r="AX592" s="319">
        <v>13</v>
      </c>
      <c r="AY592" s="319">
        <v>4</v>
      </c>
      <c r="AZ592" s="319">
        <f>IF(ISBLANK(tabItens[[#This Row],[CÓDIGO]]),"",tabItens[[#This Row],[PontoMês]] * (AZ$2+tabItens[[#This Row],[PontoQtM]]))</f>
        <v>52</v>
      </c>
      <c r="BA592" s="318">
        <f>tabItens[[#This Row],[PontoPed]] - tabItens[[#This Row],[Saldo]] + (1/10)</f>
        <v>-118.9</v>
      </c>
      <c r="BB592" s="318">
        <f xml:space="preserve"> tabItens[[#This Row],[PontoMês]] * BB$2 - tabItens[[#This Row],[QTDE ATUAL]] - (1/10)</f>
        <v>-108.1</v>
      </c>
      <c r="BC592" s="320">
        <f>IF( tabItens[[#This Row],[PontoPed]]&gt;0, IF(tabItens[[#This Row],[PontoPed]]&lt;1, 1, IF( tabItens[[#This Row],[Saldo]]&gt;tabItens[[#This Row],[PontoPed]], 0, (tabItens[[#This Row],[PontoPed]]-tabItens[[#This Row],[Saldo]])/tabItens[[#This Row],[PontoPed]] ) ), 0 )</f>
        <v>0</v>
      </c>
      <c r="BD592" s="321">
        <f>ROUNDDOWN(IF( OR( AND(tabItens[[#This Row],[PontoPed]]&lt;tabItens[[#This Row],[Saldo]],tabItens[[#This Row],[Saldo]]&gt;0), tabItens[[#This Row],[PontoPed]]=0), 99, IF(AND(tabItens[[#This Row],[Saldo]]=0,tabItens[[#This Row],[PontoPed]]&gt;0), 0, (1-tabItens[[#This Row],[PctAb]])*10 ) ),0)</f>
        <v>99</v>
      </c>
      <c r="BE592" s="322">
        <f>MAX(ROUNDDOWN( IF(tabItens[[#This Row],[Abaixo]] &gt; 0,   tabItens[[#This Row],[Abaixo]] + (tabItens[[#This Row],[PontoMês]] * IF( OR( ISBLANK(tabItens[[#This Row],[ATA Nº/ANO]]), tabItens[[#This Row],[ATA Nº/ANO]] = ""),BE$2,BE$1)),0),0),0)</f>
        <v>0</v>
      </c>
      <c r="BF59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23">
        <f>SUMIF(Consumo!$C$3:$C$869,tabItens[[#This Row],[CÓDIGO]],Consumo!$E$3:$E$869)</f>
        <v>0</v>
      </c>
      <c r="BH592" s="324">
        <f>IF(AND(tabItens[[#This Row],[Pend]] &gt; 0,tabItens[[#This Row],[Consumo]] &lt;&gt; 0), tabItens[[#This Row],[Pend]] / tabItens[[#This Row],[Consumo]], 0 )</f>
        <v>0</v>
      </c>
      <c r="BI592" s="323"/>
      <c r="BJ592" s="323"/>
      <c r="BK592" s="325" t="s">
        <v>2064</v>
      </c>
    </row>
    <row r="593" spans="1:63" hidden="1" x14ac:dyDescent="0.3">
      <c r="A593" s="286">
        <v>12813</v>
      </c>
      <c r="B593" s="287" t="s">
        <v>963</v>
      </c>
      <c r="C593" s="288" t="s">
        <v>256</v>
      </c>
      <c r="D593" s="289">
        <v>11.08</v>
      </c>
      <c r="E593" s="290"/>
      <c r="F593" s="290"/>
      <c r="G593" s="290" t="s">
        <v>883</v>
      </c>
      <c r="H593" s="291">
        <v>61</v>
      </c>
      <c r="I593" s="292">
        <v>103003</v>
      </c>
      <c r="J593" s="293">
        <v>11.08</v>
      </c>
      <c r="K593" s="294">
        <v>27</v>
      </c>
      <c r="L593" s="295">
        <f>IF(tabItens[[#This Row],[Média]] &gt; 0, tabItens[[#This Row],[QTDE ATUAL]] / tabItens[[#This Row],[Média]],999.9)</f>
        <v>29.279999999999998</v>
      </c>
      <c r="M593" s="296">
        <v>0</v>
      </c>
      <c r="N593" s="297">
        <f>tabItens[[#This Row],[VALOR UNIT.]] * tabItens[[#This Row],[LC]]</f>
        <v>0</v>
      </c>
      <c r="O593" s="298" t="s">
        <v>2074</v>
      </c>
      <c r="P593" s="299"/>
      <c r="Q593" s="300"/>
      <c r="R593" s="297"/>
      <c r="S593" s="301"/>
      <c r="T593" s="302">
        <f>ROUNDDOWN(IFERROR(tabItens[[#This Row],[ATA DT.VALID.]] - $D$1,0) / 30,0)</f>
        <v>-1504</v>
      </c>
      <c r="U593" s="287" t="s">
        <v>964</v>
      </c>
      <c r="V593" s="303">
        <v>1</v>
      </c>
      <c r="W593" s="304" t="s">
        <v>2054</v>
      </c>
      <c r="X593" s="305">
        <v>61</v>
      </c>
      <c r="Y593" s="306">
        <v>8</v>
      </c>
      <c r="Z593" s="307"/>
      <c r="AA593" s="308"/>
      <c r="AB593" s="309"/>
      <c r="AC593" s="309"/>
      <c r="AD593" s="308"/>
      <c r="AE593" s="309"/>
      <c r="AF593" s="302"/>
      <c r="AG593" s="310" t="s">
        <v>2050</v>
      </c>
      <c r="AH593" s="311"/>
      <c r="AI593" s="302">
        <v>10</v>
      </c>
      <c r="AJ593" s="311">
        <v>44298</v>
      </c>
      <c r="AK593" s="311" t="s">
        <v>883</v>
      </c>
      <c r="AL593" s="311">
        <v>44257</v>
      </c>
      <c r="AM593" s="301"/>
      <c r="AN593" s="290"/>
      <c r="AO593" s="312" t="str">
        <f>_xlfn.IFNA(IF(VLOOKUP(tabItens[[#This Row],[CÓDIGO]],tabExcluirDoEstoque[#Data],1,FALSE),"sim",""),"")</f>
        <v/>
      </c>
      <c r="AP593" s="313" t="str">
        <f ca="1">IF(OR(ISBLANK(tabItens[[#This Row],[ATA DT.VALID.]]),tabItens[[#This Row],[ATA DT.VALID.]]="",tabItens[[#This Row],[ATA DT.VALID.]]=" "),"",IF(TYPE(tabItens[[#This Row],[ATA DT.VALID.]])=1,ROUNDUP((tabItens[[#This Row],[ATA DT.VALID.]]-TODAY())/7,0),""))</f>
        <v/>
      </c>
      <c r="AQ593" s="314">
        <v>0</v>
      </c>
      <c r="AR593" s="315" t="str">
        <f>IF(ISBLANK(tabItens[[#This Row],[CÓDIGO]]),"",IFERROR(VLOOKUP(tabItens[[#This Row],[CÓDIGO]],Consumo!$C$2:$AC$869,26,FALSE),0))</f>
        <v>04.2023</v>
      </c>
      <c r="AS593" s="316">
        <f>SUMIF(Consumo!$C$3:$C$869,tabItens[[#This Row],[CÓDIGO]],Consumo!$N$3:$N$869) + SUMIF(Consumo!$C$3:$C$869,tabItens[[#This Row],[CÓDIGO]],Consumo!$O$3:$O$869) + SUMIF(Consumo!$C$3:$C$869,tabItens[[#This Row],[CÓDIGO]],Consumo!$P$3:$P$869) + SUMIF(Consumo!$C$3:$C$869,tabItens[[#This Row],[CÓDIGO]],Consumo!$Q$3:$Q$869)</f>
        <v>5</v>
      </c>
      <c r="AT593" s="316">
        <f>SUMIF(Consumo!$C$3:$C$869,tabItens[[#This Row],[CÓDIGO]],Consumo!$Z$3:$Z$869)</f>
        <v>27</v>
      </c>
      <c r="AU593" s="317">
        <f>SUMIF(Consumo!$C$3:$C$869,tabItens[[#This Row],[CÓDIGO]],Consumo!$AA$3:$AA$869)</f>
        <v>10</v>
      </c>
      <c r="AV593" s="318">
        <f>SUMIF(Consumo!$C$3:$C$869,tabItens[[#This Row],[CÓDIGO]],Consumo!$Y$3:$Y$869)</f>
        <v>2.0833333333333335</v>
      </c>
      <c r="AW593" s="291">
        <f>tabItens[[#This Row],[QTDE ATUAL]] + tabItens[[#This Row],[RC QTDE]] + tabItens[[#This Row],[AF SALDO]] + tabItens[[#This Row],[Recentes]]</f>
        <v>61</v>
      </c>
      <c r="AX593" s="319">
        <v>7</v>
      </c>
      <c r="AY593" s="319">
        <v>4</v>
      </c>
      <c r="AZ593" s="319">
        <f>IF(ISBLANK(tabItens[[#This Row],[CÓDIGO]]),"",tabItens[[#This Row],[PontoMês]] * (AZ$2+tabItens[[#This Row],[PontoQtM]]))</f>
        <v>28</v>
      </c>
      <c r="BA593" s="318">
        <f>tabItens[[#This Row],[PontoPed]] - tabItens[[#This Row],[Saldo]] + (1/10)</f>
        <v>-32.9</v>
      </c>
      <c r="BB593" s="318">
        <f xml:space="preserve"> tabItens[[#This Row],[PontoMês]] * BB$2 - tabItens[[#This Row],[QTDE ATUAL]] - (1/10)</f>
        <v>-54.1</v>
      </c>
      <c r="BC593" s="320">
        <f>IF( tabItens[[#This Row],[PontoPed]]&gt;0, IF(tabItens[[#This Row],[PontoPed]]&lt;1, 1, IF( tabItens[[#This Row],[Saldo]]&gt;tabItens[[#This Row],[PontoPed]], 0, (tabItens[[#This Row],[PontoPed]]-tabItens[[#This Row],[Saldo]])/tabItens[[#This Row],[PontoPed]] ) ), 0 )</f>
        <v>0</v>
      </c>
      <c r="BD593" s="321">
        <f>ROUNDDOWN(IF( OR( AND(tabItens[[#This Row],[PontoPed]]&lt;tabItens[[#This Row],[Saldo]],tabItens[[#This Row],[Saldo]]&gt;0), tabItens[[#This Row],[PontoPed]]=0), 99, IF(AND(tabItens[[#This Row],[Saldo]]=0,tabItens[[#This Row],[PontoPed]]&gt;0), 0, (1-tabItens[[#This Row],[PctAb]])*10 ) ),0)</f>
        <v>99</v>
      </c>
      <c r="BE593" s="322">
        <f>MAX(ROUNDDOWN( IF(tabItens[[#This Row],[Abaixo]] &gt; 0,   tabItens[[#This Row],[Abaixo]] + (tabItens[[#This Row],[PontoMês]] * IF( OR( ISBLANK(tabItens[[#This Row],[ATA Nº/ANO]]), tabItens[[#This Row],[ATA Nº/ANO]] = ""),BE$2,BE$1)),0),0),0)</f>
        <v>0</v>
      </c>
      <c r="BF59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23">
        <f>SUMIF(Consumo!$C$3:$C$869,tabItens[[#This Row],[CÓDIGO]],Consumo!$E$3:$E$869)</f>
        <v>0</v>
      </c>
      <c r="BH593" s="324">
        <f>IF(AND(tabItens[[#This Row],[Pend]] &gt; 0,tabItens[[#This Row],[Consumo]] &lt;&gt; 0), tabItens[[#This Row],[Pend]] / tabItens[[#This Row],[Consumo]], 0 )</f>
        <v>0</v>
      </c>
      <c r="BI593" s="323"/>
      <c r="BJ593" s="323"/>
      <c r="BK593" s="325" t="s">
        <v>2064</v>
      </c>
    </row>
    <row r="594" spans="1:63" hidden="1" x14ac:dyDescent="0.3">
      <c r="A594" s="286">
        <v>12821</v>
      </c>
      <c r="B594" s="287" t="s">
        <v>965</v>
      </c>
      <c r="C594" s="288" t="s">
        <v>256</v>
      </c>
      <c r="D594" s="289">
        <v>25.42</v>
      </c>
      <c r="E594" s="290"/>
      <c r="F594" s="290"/>
      <c r="G594" s="290" t="s">
        <v>883</v>
      </c>
      <c r="H594" s="291">
        <v>137</v>
      </c>
      <c r="I594" s="292">
        <v>103003</v>
      </c>
      <c r="J594" s="293">
        <v>25.42</v>
      </c>
      <c r="K594" s="294">
        <v>13</v>
      </c>
      <c r="L594" s="295">
        <f>IF(tabItens[[#This Row],[Média]] &gt; 0, tabItens[[#This Row],[QTDE ATUAL]] / tabItens[[#This Row],[Média]],999.9)</f>
        <v>149.45454545454547</v>
      </c>
      <c r="M594" s="296">
        <v>0</v>
      </c>
      <c r="N594" s="297">
        <f>tabItens[[#This Row],[VALOR UNIT.]] * tabItens[[#This Row],[LC]]</f>
        <v>0</v>
      </c>
      <c r="O594" s="298" t="s">
        <v>2074</v>
      </c>
      <c r="P594" s="299"/>
      <c r="Q594" s="300"/>
      <c r="R594" s="297"/>
      <c r="S594" s="301"/>
      <c r="T594" s="302">
        <f>ROUNDDOWN(IFERROR(tabItens[[#This Row],[ATA DT.VALID.]] - $D$1,0) / 30,0)</f>
        <v>-1504</v>
      </c>
      <c r="U594" s="287" t="s">
        <v>964</v>
      </c>
      <c r="V594" s="303">
        <v>1</v>
      </c>
      <c r="W594" s="304" t="s">
        <v>2054</v>
      </c>
      <c r="X594" s="305">
        <v>61</v>
      </c>
      <c r="Y594" s="306">
        <v>8</v>
      </c>
      <c r="Z594" s="307"/>
      <c r="AA594" s="308"/>
      <c r="AB594" s="309"/>
      <c r="AC594" s="309"/>
      <c r="AD594" s="308"/>
      <c r="AE594" s="309"/>
      <c r="AF594" s="302"/>
      <c r="AG594" s="310" t="s">
        <v>2050</v>
      </c>
      <c r="AH594" s="311"/>
      <c r="AI594" s="302">
        <v>4</v>
      </c>
      <c r="AJ594" s="311">
        <v>44806</v>
      </c>
      <c r="AK594" s="311" t="s">
        <v>883</v>
      </c>
      <c r="AL594" s="311">
        <v>44776</v>
      </c>
      <c r="AM594" s="301"/>
      <c r="AN594" s="290"/>
      <c r="AO594" s="312" t="str">
        <f>_xlfn.IFNA(IF(VLOOKUP(tabItens[[#This Row],[CÓDIGO]],tabExcluirDoEstoque[#Data],1,FALSE),"sim",""),"")</f>
        <v/>
      </c>
      <c r="AP594" s="313" t="str">
        <f ca="1">IF(OR(ISBLANK(tabItens[[#This Row],[ATA DT.VALID.]]),tabItens[[#This Row],[ATA DT.VALID.]]="",tabItens[[#This Row],[ATA DT.VALID.]]=" "),"",IF(TYPE(tabItens[[#This Row],[ATA DT.VALID.]])=1,ROUNDUP((tabItens[[#This Row],[ATA DT.VALID.]]-TODAY())/7,0),""))</f>
        <v/>
      </c>
      <c r="AQ594" s="314">
        <v>50</v>
      </c>
      <c r="AR594" s="315" t="str">
        <f>IF(ISBLANK(tabItens[[#This Row],[CÓDIGO]]),"",IFERROR(VLOOKUP(tabItens[[#This Row],[CÓDIGO]],Consumo!$C$2:$AC$869,26,FALSE),0))</f>
        <v>04.2023</v>
      </c>
      <c r="AS594" s="316">
        <f>SUMIF(Consumo!$C$3:$C$869,tabItens[[#This Row],[CÓDIGO]],Consumo!$N$3:$N$869) + SUMIF(Consumo!$C$3:$C$869,tabItens[[#This Row],[CÓDIGO]],Consumo!$O$3:$O$869) + SUMIF(Consumo!$C$3:$C$869,tabItens[[#This Row],[CÓDIGO]],Consumo!$P$3:$P$869) + SUMIF(Consumo!$C$3:$C$869,tabItens[[#This Row],[CÓDIGO]],Consumo!$Q$3:$Q$869)</f>
        <v>7</v>
      </c>
      <c r="AT594" s="316">
        <f>SUMIF(Consumo!$C$3:$C$869,tabItens[[#This Row],[CÓDIGO]],Consumo!$Z$3:$Z$869)</f>
        <v>13</v>
      </c>
      <c r="AU594" s="317">
        <f>SUMIF(Consumo!$C$3:$C$869,tabItens[[#This Row],[CÓDIGO]],Consumo!$AA$3:$AA$869)</f>
        <v>7</v>
      </c>
      <c r="AV594" s="318">
        <f>SUMIF(Consumo!$C$3:$C$869,tabItens[[#This Row],[CÓDIGO]],Consumo!$Y$3:$Y$869)</f>
        <v>0.91666666666666663</v>
      </c>
      <c r="AW594" s="291">
        <f>tabItens[[#This Row],[QTDE ATUAL]] + tabItens[[#This Row],[RC QTDE]] + tabItens[[#This Row],[AF SALDO]] + tabItens[[#This Row],[Recentes]]</f>
        <v>187</v>
      </c>
      <c r="AX594" s="319">
        <v>5</v>
      </c>
      <c r="AY594" s="319">
        <v>4</v>
      </c>
      <c r="AZ594" s="319">
        <f>IF(ISBLANK(tabItens[[#This Row],[CÓDIGO]]),"",tabItens[[#This Row],[PontoMês]] * (AZ$2+tabItens[[#This Row],[PontoQtM]]))</f>
        <v>20</v>
      </c>
      <c r="BA594" s="318">
        <f>tabItens[[#This Row],[PontoPed]] - tabItens[[#This Row],[Saldo]] + (1/10)</f>
        <v>-166.9</v>
      </c>
      <c r="BB594" s="318">
        <f xml:space="preserve"> tabItens[[#This Row],[PontoMês]] * BB$2 - tabItens[[#This Row],[QTDE ATUAL]] - (1/10)</f>
        <v>-132.1</v>
      </c>
      <c r="BC594" s="320">
        <f>IF( tabItens[[#This Row],[PontoPed]]&gt;0, IF(tabItens[[#This Row],[PontoPed]]&lt;1, 1, IF( tabItens[[#This Row],[Saldo]]&gt;tabItens[[#This Row],[PontoPed]], 0, (tabItens[[#This Row],[PontoPed]]-tabItens[[#This Row],[Saldo]])/tabItens[[#This Row],[PontoPed]] ) ), 0 )</f>
        <v>0</v>
      </c>
      <c r="BD594" s="321">
        <f>ROUNDDOWN(IF( OR( AND(tabItens[[#This Row],[PontoPed]]&lt;tabItens[[#This Row],[Saldo]],tabItens[[#This Row],[Saldo]]&gt;0), tabItens[[#This Row],[PontoPed]]=0), 99, IF(AND(tabItens[[#This Row],[Saldo]]=0,tabItens[[#This Row],[PontoPed]]&gt;0), 0, (1-tabItens[[#This Row],[PctAb]])*10 ) ),0)</f>
        <v>99</v>
      </c>
      <c r="BE594" s="322">
        <f>MAX(ROUNDDOWN( IF(tabItens[[#This Row],[Abaixo]] &gt; 0,   tabItens[[#This Row],[Abaixo]] + (tabItens[[#This Row],[PontoMês]] * IF( OR( ISBLANK(tabItens[[#This Row],[ATA Nº/ANO]]), tabItens[[#This Row],[ATA Nº/ANO]] = ""),BE$2,BE$1)),0),0),0)</f>
        <v>0</v>
      </c>
      <c r="BF59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23">
        <f>SUMIF(Consumo!$C$3:$C$869,tabItens[[#This Row],[CÓDIGO]],Consumo!$E$3:$E$869)</f>
        <v>0</v>
      </c>
      <c r="BH594" s="324">
        <f>IF(AND(tabItens[[#This Row],[Pend]] &gt; 0,tabItens[[#This Row],[Consumo]] &lt;&gt; 0), tabItens[[#This Row],[Pend]] / tabItens[[#This Row],[Consumo]], 0 )</f>
        <v>0</v>
      </c>
      <c r="BI594" s="323"/>
      <c r="BJ594" s="323"/>
      <c r="BK594" s="325" t="s">
        <v>2064</v>
      </c>
    </row>
    <row r="595" spans="1:63" hidden="1" x14ac:dyDescent="0.3">
      <c r="A595" s="286">
        <v>12824</v>
      </c>
      <c r="B595" s="287" t="s">
        <v>966</v>
      </c>
      <c r="C595" s="288" t="s">
        <v>256</v>
      </c>
      <c r="D595" s="289">
        <v>10.71</v>
      </c>
      <c r="E595" s="290"/>
      <c r="F595" s="290"/>
      <c r="G595" s="290" t="s">
        <v>883</v>
      </c>
      <c r="H595" s="291">
        <v>92</v>
      </c>
      <c r="I595" s="292">
        <v>103003</v>
      </c>
      <c r="J595" s="293">
        <v>10.71</v>
      </c>
      <c r="K595" s="294">
        <v>22</v>
      </c>
      <c r="L595" s="295">
        <f>IF(tabItens[[#This Row],[Média]] &gt; 0, tabItens[[#This Row],[QTDE ATUAL]] / tabItens[[#This Row],[Média]],999.9)</f>
        <v>50.181818181818187</v>
      </c>
      <c r="M595" s="296">
        <v>0</v>
      </c>
      <c r="N595" s="297">
        <f>tabItens[[#This Row],[VALOR UNIT.]] * tabItens[[#This Row],[LC]]</f>
        <v>0</v>
      </c>
      <c r="O595" s="298" t="s">
        <v>2074</v>
      </c>
      <c r="P595" s="299"/>
      <c r="Q595" s="300"/>
      <c r="R595" s="297"/>
      <c r="S595" s="301"/>
      <c r="T595" s="302">
        <f>ROUNDDOWN(IFERROR(tabItens[[#This Row],[ATA DT.VALID.]] - $D$1,0) / 30,0)</f>
        <v>-1504</v>
      </c>
      <c r="U595" s="287" t="s">
        <v>964</v>
      </c>
      <c r="V595" s="303">
        <v>1</v>
      </c>
      <c r="W595" s="304" t="s">
        <v>2054</v>
      </c>
      <c r="X595" s="305">
        <v>61</v>
      </c>
      <c r="Y595" s="306">
        <v>8</v>
      </c>
      <c r="Z595" s="307"/>
      <c r="AA595" s="308"/>
      <c r="AB595" s="309"/>
      <c r="AC595" s="309"/>
      <c r="AD595" s="308"/>
      <c r="AE595" s="309"/>
      <c r="AF595" s="302"/>
      <c r="AG595" s="310" t="s">
        <v>2050</v>
      </c>
      <c r="AH595" s="311"/>
      <c r="AI595" s="302">
        <v>14</v>
      </c>
      <c r="AJ595" s="311">
        <v>44188</v>
      </c>
      <c r="AK595" s="311" t="s">
        <v>883</v>
      </c>
      <c r="AL595" s="311">
        <v>44637</v>
      </c>
      <c r="AM595" s="301"/>
      <c r="AN595" s="290"/>
      <c r="AO595" s="312" t="str">
        <f>_xlfn.IFNA(IF(VLOOKUP(tabItens[[#This Row],[CÓDIGO]],tabExcluirDoEstoque[#Data],1,FALSE),"sim",""),"")</f>
        <v/>
      </c>
      <c r="AP595" s="313" t="str">
        <f ca="1">IF(OR(ISBLANK(tabItens[[#This Row],[ATA DT.VALID.]]),tabItens[[#This Row],[ATA DT.VALID.]]="",tabItens[[#This Row],[ATA DT.VALID.]]=" "),"",IF(TYPE(tabItens[[#This Row],[ATA DT.VALID.]])=1,ROUNDUP((tabItens[[#This Row],[ATA DT.VALID.]]-TODAY())/7,0),""))</f>
        <v/>
      </c>
      <c r="AQ595" s="314">
        <v>0</v>
      </c>
      <c r="AR595" s="315" t="str">
        <f>IF(ISBLANK(tabItens[[#This Row],[CÓDIGO]]),"",IFERROR(VLOOKUP(tabItens[[#This Row],[CÓDIGO]],Consumo!$C$2:$AC$869,26,FALSE),0))</f>
        <v>04.2023</v>
      </c>
      <c r="AS595" s="316">
        <f>SUMIF(Consumo!$C$3:$C$869,tabItens[[#This Row],[CÓDIGO]],Consumo!$N$3:$N$869) + SUMIF(Consumo!$C$3:$C$869,tabItens[[#This Row],[CÓDIGO]],Consumo!$O$3:$O$869) + SUMIF(Consumo!$C$3:$C$869,tabItens[[#This Row],[CÓDIGO]],Consumo!$P$3:$P$869) + SUMIF(Consumo!$C$3:$C$869,tabItens[[#This Row],[CÓDIGO]],Consumo!$Q$3:$Q$869)</f>
        <v>5</v>
      </c>
      <c r="AT595" s="316">
        <f>SUMIF(Consumo!$C$3:$C$869,tabItens[[#This Row],[CÓDIGO]],Consumo!$Z$3:$Z$869)</f>
        <v>22</v>
      </c>
      <c r="AU595" s="317">
        <f>SUMIF(Consumo!$C$3:$C$869,tabItens[[#This Row],[CÓDIGO]],Consumo!$AA$3:$AA$869)</f>
        <v>5</v>
      </c>
      <c r="AV595" s="318">
        <f>SUMIF(Consumo!$C$3:$C$869,tabItens[[#This Row],[CÓDIGO]],Consumo!$Y$3:$Y$869)</f>
        <v>1.8333333333333333</v>
      </c>
      <c r="AW595" s="291">
        <f>tabItens[[#This Row],[QTDE ATUAL]] + tabItens[[#This Row],[RC QTDE]] + tabItens[[#This Row],[AF SALDO]] + tabItens[[#This Row],[Recentes]]</f>
        <v>92</v>
      </c>
      <c r="AX595" s="319">
        <v>6</v>
      </c>
      <c r="AY595" s="319">
        <v>4</v>
      </c>
      <c r="AZ595" s="319">
        <f>IF(ISBLANK(tabItens[[#This Row],[CÓDIGO]]),"",tabItens[[#This Row],[PontoMês]] * (AZ$2+tabItens[[#This Row],[PontoQtM]]))</f>
        <v>24</v>
      </c>
      <c r="BA595" s="318">
        <f>tabItens[[#This Row],[PontoPed]] - tabItens[[#This Row],[Saldo]] + (1/10)</f>
        <v>-67.900000000000006</v>
      </c>
      <c r="BB595" s="318">
        <f xml:space="preserve"> tabItens[[#This Row],[PontoMês]] * BB$2 - tabItens[[#This Row],[QTDE ATUAL]] - (1/10)</f>
        <v>-86.1</v>
      </c>
      <c r="BC595" s="320">
        <f>IF( tabItens[[#This Row],[PontoPed]]&gt;0, IF(tabItens[[#This Row],[PontoPed]]&lt;1, 1, IF( tabItens[[#This Row],[Saldo]]&gt;tabItens[[#This Row],[PontoPed]], 0, (tabItens[[#This Row],[PontoPed]]-tabItens[[#This Row],[Saldo]])/tabItens[[#This Row],[PontoPed]] ) ), 0 )</f>
        <v>0</v>
      </c>
      <c r="BD595" s="321">
        <f>ROUNDDOWN(IF( OR( AND(tabItens[[#This Row],[PontoPed]]&lt;tabItens[[#This Row],[Saldo]],tabItens[[#This Row],[Saldo]]&gt;0), tabItens[[#This Row],[PontoPed]]=0), 99, IF(AND(tabItens[[#This Row],[Saldo]]=0,tabItens[[#This Row],[PontoPed]]&gt;0), 0, (1-tabItens[[#This Row],[PctAb]])*10 ) ),0)</f>
        <v>99</v>
      </c>
      <c r="BE595" s="322">
        <f>MAX(ROUNDDOWN( IF(tabItens[[#This Row],[Abaixo]] &gt; 0,   tabItens[[#This Row],[Abaixo]] + (tabItens[[#This Row],[PontoMês]] * IF( OR( ISBLANK(tabItens[[#This Row],[ATA Nº/ANO]]), tabItens[[#This Row],[ATA Nº/ANO]] = ""),BE$2,BE$1)),0),0),0)</f>
        <v>0</v>
      </c>
      <c r="BF59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23">
        <f>SUMIF(Consumo!$C$3:$C$869,tabItens[[#This Row],[CÓDIGO]],Consumo!$E$3:$E$869)</f>
        <v>0</v>
      </c>
      <c r="BH595" s="324">
        <f>IF(AND(tabItens[[#This Row],[Pend]] &gt; 0,tabItens[[#This Row],[Consumo]] &lt;&gt; 0), tabItens[[#This Row],[Pend]] / tabItens[[#This Row],[Consumo]], 0 )</f>
        <v>0</v>
      </c>
      <c r="BI595" s="323"/>
      <c r="BJ595" s="323"/>
      <c r="BK595" s="325" t="s">
        <v>2064</v>
      </c>
    </row>
    <row r="596" spans="1:63" hidden="1" x14ac:dyDescent="0.3">
      <c r="A596" s="286">
        <v>12891</v>
      </c>
      <c r="B596" s="287" t="s">
        <v>976</v>
      </c>
      <c r="C596" s="288" t="s">
        <v>256</v>
      </c>
      <c r="D596" s="289">
        <v>1.7</v>
      </c>
      <c r="E596" s="290"/>
      <c r="F596" s="290"/>
      <c r="G596" s="290" t="s">
        <v>883</v>
      </c>
      <c r="H596" s="291">
        <v>104</v>
      </c>
      <c r="I596" s="292">
        <v>103003</v>
      </c>
      <c r="J596" s="293">
        <v>1.7</v>
      </c>
      <c r="K596" s="294">
        <v>62</v>
      </c>
      <c r="L596" s="295">
        <f>IF(tabItens[[#This Row],[Média]] &gt; 0, tabItens[[#This Row],[QTDE ATUAL]] / tabItens[[#This Row],[Média]],999.9)</f>
        <v>18.626865671641792</v>
      </c>
      <c r="M596" s="296">
        <v>0</v>
      </c>
      <c r="N596" s="297">
        <f>tabItens[[#This Row],[VALOR UNIT.]] * tabItens[[#This Row],[LC]]</f>
        <v>0</v>
      </c>
      <c r="O596" s="298" t="s">
        <v>2074</v>
      </c>
      <c r="P596" s="299"/>
      <c r="Q596" s="300"/>
      <c r="R596" s="297"/>
      <c r="S596" s="301"/>
      <c r="T596" s="302">
        <f>ROUNDDOWN(IFERROR(tabItens[[#This Row],[ATA DT.VALID.]] - $D$1,0) / 30,0)</f>
        <v>-1504</v>
      </c>
      <c r="U596" s="287" t="s">
        <v>964</v>
      </c>
      <c r="V596" s="303">
        <v>1</v>
      </c>
      <c r="W596" s="304" t="s">
        <v>2054</v>
      </c>
      <c r="X596" s="305">
        <v>61</v>
      </c>
      <c r="Y596" s="306">
        <v>8</v>
      </c>
      <c r="Z596" s="307">
        <v>2960</v>
      </c>
      <c r="AA596" s="308">
        <v>2023</v>
      </c>
      <c r="AB596" s="309">
        <v>50</v>
      </c>
      <c r="AC596" s="309"/>
      <c r="AD596" s="308"/>
      <c r="AE596" s="309"/>
      <c r="AF596" s="302"/>
      <c r="AG596" s="310" t="s">
        <v>2050</v>
      </c>
      <c r="AH596" s="311"/>
      <c r="AI596" s="302">
        <v>24</v>
      </c>
      <c r="AJ596" s="311">
        <v>44823</v>
      </c>
      <c r="AK596" s="311" t="s">
        <v>883</v>
      </c>
      <c r="AL596" s="311">
        <v>44776</v>
      </c>
      <c r="AM596" s="301"/>
      <c r="AN596" s="290"/>
      <c r="AO596" s="312" t="str">
        <f>_xlfn.IFNA(IF(VLOOKUP(tabItens[[#This Row],[CÓDIGO]],tabExcluirDoEstoque[#Data],1,FALSE),"sim",""),"")</f>
        <v/>
      </c>
      <c r="AP596" s="313" t="str">
        <f ca="1">IF(OR(ISBLANK(tabItens[[#This Row],[ATA DT.VALID.]]),tabItens[[#This Row],[ATA DT.VALID.]]="",tabItens[[#This Row],[ATA DT.VALID.]]=" "),"",IF(TYPE(tabItens[[#This Row],[ATA DT.VALID.]])=1,ROUNDUP((tabItens[[#This Row],[ATA DT.VALID.]]-TODAY())/7,0),""))</f>
        <v/>
      </c>
      <c r="AQ596" s="314">
        <v>100</v>
      </c>
      <c r="AR596" s="315" t="str">
        <f>IF(ISBLANK(tabItens[[#This Row],[CÓDIGO]]),"",IFERROR(VLOOKUP(tabItens[[#This Row],[CÓDIGO]],Consumo!$C$2:$AC$869,26,FALSE),0))</f>
        <v>05.2023</v>
      </c>
      <c r="AS596" s="316">
        <f>SUMIF(Consumo!$C$3:$C$869,tabItens[[#This Row],[CÓDIGO]],Consumo!$N$3:$N$869) + SUMIF(Consumo!$C$3:$C$869,tabItens[[#This Row],[CÓDIGO]],Consumo!$O$3:$O$869) + SUMIF(Consumo!$C$3:$C$869,tabItens[[#This Row],[CÓDIGO]],Consumo!$P$3:$P$869) + SUMIF(Consumo!$C$3:$C$869,tabItens[[#This Row],[CÓDIGO]],Consumo!$Q$3:$Q$869)</f>
        <v>25</v>
      </c>
      <c r="AT596" s="316">
        <f>SUMIF(Consumo!$C$3:$C$869,tabItens[[#This Row],[CÓDIGO]],Consumo!$Z$3:$Z$869)</f>
        <v>67</v>
      </c>
      <c r="AU596" s="317">
        <f>SUMIF(Consumo!$C$3:$C$869,tabItens[[#This Row],[CÓDIGO]],Consumo!$AA$3:$AA$869)</f>
        <v>15</v>
      </c>
      <c r="AV596" s="318">
        <f>SUMIF(Consumo!$C$3:$C$869,tabItens[[#This Row],[CÓDIGO]],Consumo!$Y$3:$Y$869)</f>
        <v>5.583333333333333</v>
      </c>
      <c r="AW596" s="291">
        <f>tabItens[[#This Row],[QTDE ATUAL]] + tabItens[[#This Row],[RC QTDE]] + tabItens[[#This Row],[AF SALDO]] + tabItens[[#This Row],[Recentes]]</f>
        <v>254</v>
      </c>
      <c r="AX596" s="319">
        <v>17</v>
      </c>
      <c r="AY596" s="319">
        <v>4</v>
      </c>
      <c r="AZ596" s="319">
        <f>IF(ISBLANK(tabItens[[#This Row],[CÓDIGO]]),"",tabItens[[#This Row],[PontoMês]] * (AZ$2+tabItens[[#This Row],[PontoQtM]]))</f>
        <v>68</v>
      </c>
      <c r="BA596" s="318">
        <f>tabItens[[#This Row],[PontoPed]] - tabItens[[#This Row],[Saldo]] + (1/10)</f>
        <v>-185.9</v>
      </c>
      <c r="BB596" s="318">
        <f xml:space="preserve"> tabItens[[#This Row],[PontoMês]] * BB$2 - tabItens[[#This Row],[QTDE ATUAL]] - (1/10)</f>
        <v>-87.1</v>
      </c>
      <c r="BC596" s="320">
        <f>IF( tabItens[[#This Row],[PontoPed]]&gt;0, IF(tabItens[[#This Row],[PontoPed]]&lt;1, 1, IF( tabItens[[#This Row],[Saldo]]&gt;tabItens[[#This Row],[PontoPed]], 0, (tabItens[[#This Row],[PontoPed]]-tabItens[[#This Row],[Saldo]])/tabItens[[#This Row],[PontoPed]] ) ), 0 )</f>
        <v>0</v>
      </c>
      <c r="BD596" s="321">
        <f>ROUNDDOWN(IF( OR( AND(tabItens[[#This Row],[PontoPed]]&lt;tabItens[[#This Row],[Saldo]],tabItens[[#This Row],[Saldo]]&gt;0), tabItens[[#This Row],[PontoPed]]=0), 99, IF(AND(tabItens[[#This Row],[Saldo]]=0,tabItens[[#This Row],[PontoPed]]&gt;0), 0, (1-tabItens[[#This Row],[PctAb]])*10 ) ),0)</f>
        <v>99</v>
      </c>
      <c r="BE596" s="322">
        <f>MAX(ROUNDDOWN( IF(tabItens[[#This Row],[Abaixo]] &gt; 0,   tabItens[[#This Row],[Abaixo]] + (tabItens[[#This Row],[PontoMês]] * IF( OR( ISBLANK(tabItens[[#This Row],[ATA Nº/ANO]]), tabItens[[#This Row],[ATA Nº/ANO]] = ""),BE$2,BE$1)),0),0),0)</f>
        <v>0</v>
      </c>
      <c r="BF59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23">
        <f>SUMIF(Consumo!$C$3:$C$869,tabItens[[#This Row],[CÓDIGO]],Consumo!$E$3:$E$869)</f>
        <v>0</v>
      </c>
      <c r="BH596" s="324">
        <f>IF(AND(tabItens[[#This Row],[Pend]] &gt; 0,tabItens[[#This Row],[Consumo]] &lt;&gt; 0), tabItens[[#This Row],[Pend]] / tabItens[[#This Row],[Consumo]], 0 )</f>
        <v>0</v>
      </c>
      <c r="BI596" s="323"/>
      <c r="BJ596" s="323"/>
      <c r="BK596" s="325" t="s">
        <v>2064</v>
      </c>
    </row>
    <row r="597" spans="1:63" hidden="1" x14ac:dyDescent="0.3">
      <c r="A597" s="286">
        <v>25523</v>
      </c>
      <c r="B597" s="287" t="s">
        <v>1204</v>
      </c>
      <c r="C597" s="288" t="s">
        <v>256</v>
      </c>
      <c r="D597" s="289">
        <v>5.57</v>
      </c>
      <c r="E597" s="290"/>
      <c r="F597" s="290"/>
      <c r="G597" s="290" t="s">
        <v>883</v>
      </c>
      <c r="H597" s="291">
        <v>742</v>
      </c>
      <c r="I597" s="292">
        <v>103003</v>
      </c>
      <c r="J597" s="293">
        <v>5.57</v>
      </c>
      <c r="K597" s="294">
        <v>211</v>
      </c>
      <c r="L597" s="295">
        <f>IF(tabItens[[#This Row],[Média]] &gt; 0, tabItens[[#This Row],[QTDE ATUAL]] / tabItens[[#This Row],[Média]],999.9)</f>
        <v>36.946058091286311</v>
      </c>
      <c r="M597" s="296">
        <v>0</v>
      </c>
      <c r="N597" s="297">
        <f>tabItens[[#This Row],[VALOR UNIT.]] * tabItens[[#This Row],[LC]]</f>
        <v>0</v>
      </c>
      <c r="O597" s="298" t="s">
        <v>2074</v>
      </c>
      <c r="P597" s="299"/>
      <c r="Q597" s="300"/>
      <c r="R597" s="297"/>
      <c r="S597" s="301"/>
      <c r="T597" s="302">
        <f>ROUNDDOWN(IFERROR(tabItens[[#This Row],[ATA DT.VALID.]] - $D$1,0) / 30,0)</f>
        <v>-1504</v>
      </c>
      <c r="U597" s="287" t="s">
        <v>964</v>
      </c>
      <c r="V597" s="303">
        <v>1</v>
      </c>
      <c r="W597" s="304" t="s">
        <v>2054</v>
      </c>
      <c r="X597" s="305">
        <v>61</v>
      </c>
      <c r="Y597" s="306">
        <v>8</v>
      </c>
      <c r="Z597" s="307"/>
      <c r="AA597" s="308"/>
      <c r="AB597" s="309"/>
      <c r="AC597" s="309"/>
      <c r="AD597" s="308"/>
      <c r="AE597" s="309"/>
      <c r="AF597" s="302"/>
      <c r="AG597" s="310" t="s">
        <v>2050</v>
      </c>
      <c r="AH597" s="311"/>
      <c r="AI597" s="302">
        <v>84</v>
      </c>
      <c r="AJ597" s="311">
        <v>43903</v>
      </c>
      <c r="AK597" s="311" t="s">
        <v>883</v>
      </c>
      <c r="AL597" s="311">
        <v>44533</v>
      </c>
      <c r="AM597" s="301"/>
      <c r="AN597" s="290"/>
      <c r="AO597" s="312" t="str">
        <f>_xlfn.IFNA(IF(VLOOKUP(tabItens[[#This Row],[CÓDIGO]],tabExcluirDoEstoque[#Data],1,FALSE),"sim",""),"")</f>
        <v/>
      </c>
      <c r="AP597" s="313" t="str">
        <f ca="1">IF(OR(ISBLANK(tabItens[[#This Row],[ATA DT.VALID.]]),tabItens[[#This Row],[ATA DT.VALID.]]="",tabItens[[#This Row],[ATA DT.VALID.]]=" "),"",IF(TYPE(tabItens[[#This Row],[ATA DT.VALID.]])=1,ROUNDUP((tabItens[[#This Row],[ATA DT.VALID.]]-TODAY())/7,0),""))</f>
        <v/>
      </c>
      <c r="AQ597" s="314">
        <v>0</v>
      </c>
      <c r="AR597" s="315" t="str">
        <f>IF(ISBLANK(tabItens[[#This Row],[CÓDIGO]]),"",IFERROR(VLOOKUP(tabItens[[#This Row],[CÓDIGO]],Consumo!$C$2:$AC$869,26,FALSE),0))</f>
        <v>04.2023</v>
      </c>
      <c r="AS597" s="316">
        <f>SUMIF(Consumo!$C$3:$C$869,tabItens[[#This Row],[CÓDIGO]],Consumo!$N$3:$N$869) + SUMIF(Consumo!$C$3:$C$869,tabItens[[#This Row],[CÓDIGO]],Consumo!$O$3:$O$869) + SUMIF(Consumo!$C$3:$C$869,tabItens[[#This Row],[CÓDIGO]],Consumo!$P$3:$P$869) + SUMIF(Consumo!$C$3:$C$869,tabItens[[#This Row],[CÓDIGO]],Consumo!$Q$3:$Q$869)</f>
        <v>30</v>
      </c>
      <c r="AT597" s="316">
        <f>SUMIF(Consumo!$C$3:$C$869,tabItens[[#This Row],[CÓDIGO]],Consumo!$Z$3:$Z$869)</f>
        <v>252</v>
      </c>
      <c r="AU597" s="317">
        <f>SUMIF(Consumo!$C$3:$C$869,tabItens[[#This Row],[CÓDIGO]],Consumo!$AA$3:$AA$869)</f>
        <v>71</v>
      </c>
      <c r="AV597" s="318">
        <f>SUMIF(Consumo!$C$3:$C$869,tabItens[[#This Row],[CÓDIGO]],Consumo!$Y$3:$Y$869)</f>
        <v>20.083333333333332</v>
      </c>
      <c r="AW597" s="291">
        <f>tabItens[[#This Row],[QTDE ATUAL]] + tabItens[[#This Row],[RC QTDE]] + tabItens[[#This Row],[AF SALDO]] + tabItens[[#This Row],[Recentes]]</f>
        <v>742</v>
      </c>
      <c r="AX597" s="319">
        <v>17</v>
      </c>
      <c r="AY597" s="319">
        <v>4</v>
      </c>
      <c r="AZ597" s="319">
        <f>IF(ISBLANK(tabItens[[#This Row],[CÓDIGO]]),"",tabItens[[#This Row],[PontoMês]] * (AZ$2+tabItens[[#This Row],[PontoQtM]]))</f>
        <v>68</v>
      </c>
      <c r="BA597" s="318">
        <f>tabItens[[#This Row],[PontoPed]] - tabItens[[#This Row],[Saldo]] + (1/10)</f>
        <v>-673.9</v>
      </c>
      <c r="BB597" s="318">
        <f xml:space="preserve"> tabItens[[#This Row],[PontoMês]] * BB$2 - tabItens[[#This Row],[QTDE ATUAL]] - (1/10)</f>
        <v>-725.1</v>
      </c>
      <c r="BC597" s="320">
        <f>IF( tabItens[[#This Row],[PontoPed]]&gt;0, IF(tabItens[[#This Row],[PontoPed]]&lt;1, 1, IF( tabItens[[#This Row],[Saldo]]&gt;tabItens[[#This Row],[PontoPed]], 0, (tabItens[[#This Row],[PontoPed]]-tabItens[[#This Row],[Saldo]])/tabItens[[#This Row],[PontoPed]] ) ), 0 )</f>
        <v>0</v>
      </c>
      <c r="BD597" s="321">
        <f>ROUNDDOWN(IF( OR( AND(tabItens[[#This Row],[PontoPed]]&lt;tabItens[[#This Row],[Saldo]],tabItens[[#This Row],[Saldo]]&gt;0), tabItens[[#This Row],[PontoPed]]=0), 99, IF(AND(tabItens[[#This Row],[Saldo]]=0,tabItens[[#This Row],[PontoPed]]&gt;0), 0, (1-tabItens[[#This Row],[PctAb]])*10 ) ),0)</f>
        <v>99</v>
      </c>
      <c r="BE597" s="322">
        <f>MAX(ROUNDDOWN( IF(tabItens[[#This Row],[Abaixo]] &gt; 0,   tabItens[[#This Row],[Abaixo]] + (tabItens[[#This Row],[PontoMês]] * IF( OR( ISBLANK(tabItens[[#This Row],[ATA Nº/ANO]]), tabItens[[#This Row],[ATA Nº/ANO]] = ""),BE$2,BE$1)),0),0),0)</f>
        <v>0</v>
      </c>
      <c r="BF59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23">
        <f>SUMIF(Consumo!$C$3:$C$869,tabItens[[#This Row],[CÓDIGO]],Consumo!$E$3:$E$869)</f>
        <v>0</v>
      </c>
      <c r="BH597" s="324">
        <f>IF(AND(tabItens[[#This Row],[Pend]] &gt; 0,tabItens[[#This Row],[Consumo]] &lt;&gt; 0), tabItens[[#This Row],[Pend]] / tabItens[[#This Row],[Consumo]], 0 )</f>
        <v>0</v>
      </c>
      <c r="BI597" s="323"/>
      <c r="BJ597" s="323"/>
      <c r="BK597" s="325" t="s">
        <v>2064</v>
      </c>
    </row>
    <row r="598" spans="1:63" hidden="1" x14ac:dyDescent="0.3">
      <c r="A598" s="286">
        <v>28184</v>
      </c>
      <c r="B598" s="287" t="s">
        <v>1231</v>
      </c>
      <c r="C598" s="288" t="s">
        <v>256</v>
      </c>
      <c r="D598" s="289">
        <v>1.95</v>
      </c>
      <c r="E598" s="290"/>
      <c r="F598" s="290"/>
      <c r="G598" s="290" t="s">
        <v>883</v>
      </c>
      <c r="H598" s="291">
        <v>410</v>
      </c>
      <c r="I598" s="292">
        <v>103003</v>
      </c>
      <c r="J598" s="293">
        <v>1.95</v>
      </c>
      <c r="K598" s="294">
        <v>111</v>
      </c>
      <c r="L598" s="295">
        <f>IF(tabItens[[#This Row],[Média]] &gt; 0, tabItens[[#This Row],[QTDE ATUAL]] / tabItens[[#This Row],[Média]],999.9)</f>
        <v>40.327868852459019</v>
      </c>
      <c r="M598" s="296">
        <v>0</v>
      </c>
      <c r="N598" s="297">
        <f>tabItens[[#This Row],[VALOR UNIT.]] * tabItens[[#This Row],[LC]]</f>
        <v>0</v>
      </c>
      <c r="O598" s="298" t="s">
        <v>2074</v>
      </c>
      <c r="P598" s="299"/>
      <c r="Q598" s="300"/>
      <c r="R598" s="297"/>
      <c r="S598" s="301"/>
      <c r="T598" s="302">
        <f>ROUNDDOWN(IFERROR(tabItens[[#This Row],[ATA DT.VALID.]] - $D$1,0) / 30,0)</f>
        <v>-1504</v>
      </c>
      <c r="U598" s="287" t="s">
        <v>964</v>
      </c>
      <c r="V598" s="303">
        <v>1</v>
      </c>
      <c r="W598" s="304" t="s">
        <v>2054</v>
      </c>
      <c r="X598" s="305">
        <v>61</v>
      </c>
      <c r="Y598" s="306">
        <v>8</v>
      </c>
      <c r="Z598" s="307"/>
      <c r="AA598" s="308"/>
      <c r="AB598" s="309"/>
      <c r="AC598" s="309"/>
      <c r="AD598" s="308"/>
      <c r="AE598" s="309"/>
      <c r="AF598" s="302"/>
      <c r="AG598" s="310" t="s">
        <v>2050</v>
      </c>
      <c r="AH598" s="311"/>
      <c r="AI598" s="302">
        <v>56</v>
      </c>
      <c r="AJ598" s="311">
        <v>44823</v>
      </c>
      <c r="AK598" s="311" t="s">
        <v>883</v>
      </c>
      <c r="AL598" s="311">
        <v>44776</v>
      </c>
      <c r="AM598" s="301"/>
      <c r="AN598" s="290"/>
      <c r="AO598" s="312" t="str">
        <f>_xlfn.IFNA(IF(VLOOKUP(tabItens[[#This Row],[CÓDIGO]],tabExcluirDoEstoque[#Data],1,FALSE),"sim",""),"")</f>
        <v/>
      </c>
      <c r="AP598" s="313" t="str">
        <f ca="1">IF(OR(ISBLANK(tabItens[[#This Row],[ATA DT.VALID.]]),tabItens[[#This Row],[ATA DT.VALID.]]="",tabItens[[#This Row],[ATA DT.VALID.]]=" "),"",IF(TYPE(tabItens[[#This Row],[ATA DT.VALID.]])=1,ROUNDUP((tabItens[[#This Row],[ATA DT.VALID.]]-TODAY())/7,0),""))</f>
        <v/>
      </c>
      <c r="AQ598" s="314">
        <v>460</v>
      </c>
      <c r="AR598" s="315" t="str">
        <f>IF(ISBLANK(tabItens[[#This Row],[CÓDIGO]]),"",IFERROR(VLOOKUP(tabItens[[#This Row],[CÓDIGO]],Consumo!$C$2:$AC$869,26,FALSE),0))</f>
        <v>04.2023</v>
      </c>
      <c r="AS598" s="316">
        <f>SUMIF(Consumo!$C$3:$C$869,tabItens[[#This Row],[CÓDIGO]],Consumo!$N$3:$N$869) + SUMIF(Consumo!$C$3:$C$869,tabItens[[#This Row],[CÓDIGO]],Consumo!$O$3:$O$869) + SUMIF(Consumo!$C$3:$C$869,tabItens[[#This Row],[CÓDIGO]],Consumo!$P$3:$P$869) + SUMIF(Consumo!$C$3:$C$869,tabItens[[#This Row],[CÓDIGO]],Consumo!$Q$3:$Q$869)</f>
        <v>24</v>
      </c>
      <c r="AT598" s="316">
        <f>SUMIF(Consumo!$C$3:$C$869,tabItens[[#This Row],[CÓDIGO]],Consumo!$Z$3:$Z$869)</f>
        <v>127</v>
      </c>
      <c r="AU598" s="317">
        <f>SUMIF(Consumo!$C$3:$C$869,tabItens[[#This Row],[CÓDIGO]],Consumo!$AA$3:$AA$869)</f>
        <v>38</v>
      </c>
      <c r="AV598" s="318">
        <f>SUMIF(Consumo!$C$3:$C$869,tabItens[[#This Row],[CÓDIGO]],Consumo!$Y$3:$Y$869)</f>
        <v>10.166666666666666</v>
      </c>
      <c r="AW598" s="291">
        <f>tabItens[[#This Row],[QTDE ATUAL]] + tabItens[[#This Row],[RC QTDE]] + tabItens[[#This Row],[AF SALDO]] + tabItens[[#This Row],[Recentes]]</f>
        <v>870</v>
      </c>
      <c r="AX598" s="319">
        <v>13</v>
      </c>
      <c r="AY598" s="319">
        <v>4</v>
      </c>
      <c r="AZ598" s="319">
        <f>IF(ISBLANK(tabItens[[#This Row],[CÓDIGO]]),"",tabItens[[#This Row],[PontoMês]] * (AZ$2+tabItens[[#This Row],[PontoQtM]]))</f>
        <v>52</v>
      </c>
      <c r="BA598" s="318">
        <f>tabItens[[#This Row],[PontoPed]] - tabItens[[#This Row],[Saldo]] + (1/10)</f>
        <v>-817.9</v>
      </c>
      <c r="BB598" s="318">
        <f xml:space="preserve"> tabItens[[#This Row],[PontoMês]] * BB$2 - tabItens[[#This Row],[QTDE ATUAL]] - (1/10)</f>
        <v>-397.1</v>
      </c>
      <c r="BC598" s="320">
        <f>IF( tabItens[[#This Row],[PontoPed]]&gt;0, IF(tabItens[[#This Row],[PontoPed]]&lt;1, 1, IF( tabItens[[#This Row],[Saldo]]&gt;tabItens[[#This Row],[PontoPed]], 0, (tabItens[[#This Row],[PontoPed]]-tabItens[[#This Row],[Saldo]])/tabItens[[#This Row],[PontoPed]] ) ), 0 )</f>
        <v>0</v>
      </c>
      <c r="BD598" s="321">
        <f>ROUNDDOWN(IF( OR( AND(tabItens[[#This Row],[PontoPed]]&lt;tabItens[[#This Row],[Saldo]],tabItens[[#This Row],[Saldo]]&gt;0), tabItens[[#This Row],[PontoPed]]=0), 99, IF(AND(tabItens[[#This Row],[Saldo]]=0,tabItens[[#This Row],[PontoPed]]&gt;0), 0, (1-tabItens[[#This Row],[PctAb]])*10 ) ),0)</f>
        <v>99</v>
      </c>
      <c r="BE598" s="322">
        <f>MAX(ROUNDDOWN( IF(tabItens[[#This Row],[Abaixo]] &gt; 0,   tabItens[[#This Row],[Abaixo]] + (tabItens[[#This Row],[PontoMês]] * IF( OR( ISBLANK(tabItens[[#This Row],[ATA Nº/ANO]]), tabItens[[#This Row],[ATA Nº/ANO]] = ""),BE$2,BE$1)),0),0),0)</f>
        <v>0</v>
      </c>
      <c r="BF59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23">
        <f>SUMIF(Consumo!$C$3:$C$869,tabItens[[#This Row],[CÓDIGO]],Consumo!$E$3:$E$869)</f>
        <v>0</v>
      </c>
      <c r="BH598" s="324">
        <f>IF(AND(tabItens[[#This Row],[Pend]] &gt; 0,tabItens[[#This Row],[Consumo]] &lt;&gt; 0), tabItens[[#This Row],[Pend]] / tabItens[[#This Row],[Consumo]], 0 )</f>
        <v>0</v>
      </c>
      <c r="BI598" s="323"/>
      <c r="BJ598" s="323"/>
      <c r="BK598" s="325" t="s">
        <v>2064</v>
      </c>
    </row>
    <row r="599" spans="1:63" x14ac:dyDescent="0.3">
      <c r="A599" s="396">
        <v>59097</v>
      </c>
      <c r="B599" s="397" t="s">
        <v>1339</v>
      </c>
      <c r="C599" s="398" t="s">
        <v>294</v>
      </c>
      <c r="D599" s="399">
        <v>184.5</v>
      </c>
      <c r="E599" s="290"/>
      <c r="F599" s="400"/>
      <c r="G599" s="400" t="s">
        <v>883</v>
      </c>
      <c r="H599" s="401">
        <v>0</v>
      </c>
      <c r="I599" s="292">
        <v>103003</v>
      </c>
      <c r="J599" s="293">
        <v>155</v>
      </c>
      <c r="K599" s="402">
        <v>66</v>
      </c>
      <c r="L599" s="403">
        <f>IF(tabItens[[#This Row],[Média]] &gt; 0, tabItens[[#This Row],[QTDE ATUAL]] / tabItens[[#This Row],[Média]],999.9)</f>
        <v>0</v>
      </c>
      <c r="M599" s="404">
        <v>0</v>
      </c>
      <c r="N599" s="405">
        <f>tabItens[[#This Row],[VALOR UNIT.]] * tabItens[[#This Row],[LC]]</f>
        <v>0</v>
      </c>
      <c r="O599" s="406" t="s">
        <v>2074</v>
      </c>
      <c r="P599" s="407"/>
      <c r="Q599" s="408"/>
      <c r="R599" s="297"/>
      <c r="S599" s="409"/>
      <c r="T599" s="410">
        <f>ROUNDDOWN(IFERROR(tabItens[[#This Row],[ATA DT.VALID.]] - $D$1,0) / 30,0)</f>
        <v>-1504</v>
      </c>
      <c r="U599" s="287" t="s">
        <v>964</v>
      </c>
      <c r="V599" s="303">
        <v>1</v>
      </c>
      <c r="W599" s="411" t="s">
        <v>2054</v>
      </c>
      <c r="X599" s="412">
        <v>61</v>
      </c>
      <c r="Y599" s="413">
        <v>8</v>
      </c>
      <c r="Z599" s="414">
        <v>2704</v>
      </c>
      <c r="AA599" s="415">
        <v>2023</v>
      </c>
      <c r="AB599" s="416">
        <v>100</v>
      </c>
      <c r="AC599" s="416"/>
      <c r="AD599" s="415"/>
      <c r="AE599" s="416"/>
      <c r="AF599" s="302"/>
      <c r="AG599" s="417" t="s">
        <v>2050</v>
      </c>
      <c r="AH599" s="418"/>
      <c r="AI599" s="302">
        <v>24</v>
      </c>
      <c r="AJ599" s="418">
        <v>44950</v>
      </c>
      <c r="AK599" s="311" t="s">
        <v>883</v>
      </c>
      <c r="AL599" s="311">
        <v>44939</v>
      </c>
      <c r="AM599" s="301"/>
      <c r="AN599" s="290"/>
      <c r="AO599" s="312" t="str">
        <f>_xlfn.IFNA(IF(VLOOKUP(tabItens[[#This Row],[CÓDIGO]],tabExcluirDoEstoque[#Data],1,FALSE),"sim",""),"")</f>
        <v/>
      </c>
      <c r="AP599" s="419" t="str">
        <f ca="1">IF(OR(ISBLANK(tabItens[[#This Row],[ATA DT.VALID.]]),tabItens[[#This Row],[ATA DT.VALID.]]="",tabItens[[#This Row],[ATA DT.VALID.]]=" "),"",IF(TYPE(tabItens[[#This Row],[ATA DT.VALID.]])=1,ROUNDUP((tabItens[[#This Row],[ATA DT.VALID.]]-TODAY())/7,0),""))</f>
        <v/>
      </c>
      <c r="AQ599" s="314">
        <v>0</v>
      </c>
      <c r="AR599" s="315" t="str">
        <f>IF(ISBLANK(tabItens[[#This Row],[CÓDIGO]]),"",IFERROR(VLOOKUP(tabItens[[#This Row],[CÓDIGO]],Consumo!$C$2:$AC$869,26,FALSE),0))</f>
        <v>05.2023</v>
      </c>
      <c r="AS599" s="316">
        <f>SUMIF(Consumo!$C$3:$C$869,tabItens[[#This Row],[CÓDIGO]],Consumo!$N$3:$N$869) + SUMIF(Consumo!$C$3:$C$869,tabItens[[#This Row],[CÓDIGO]],Consumo!$O$3:$O$869) + SUMIF(Consumo!$C$3:$C$869,tabItens[[#This Row],[CÓDIGO]],Consumo!$P$3:$P$869) + SUMIF(Consumo!$C$3:$C$869,tabItens[[#This Row],[CÓDIGO]],Consumo!$Q$3:$Q$869)</f>
        <v>2</v>
      </c>
      <c r="AT599" s="316">
        <f>SUMIF(Consumo!$C$3:$C$869,tabItens[[#This Row],[CÓDIGO]],Consumo!$Z$3:$Z$869)</f>
        <v>75</v>
      </c>
      <c r="AU599" s="317">
        <f>SUMIF(Consumo!$C$3:$C$869,tabItens[[#This Row],[CÓDIGO]],Consumo!$AA$3:$AA$869)</f>
        <v>24</v>
      </c>
      <c r="AV599" s="318">
        <f>SUMIF(Consumo!$C$3:$C$869,tabItens[[#This Row],[CÓDIGO]],Consumo!$Y$3:$Y$869)</f>
        <v>5.916666666666667</v>
      </c>
      <c r="AW599" s="401">
        <f>tabItens[[#This Row],[QTDE ATUAL]] + tabItens[[#This Row],[RC QTDE]] + tabItens[[#This Row],[AF SALDO]] + tabItens[[#This Row],[Recentes]]</f>
        <v>100</v>
      </c>
      <c r="AX599" s="420">
        <v>9</v>
      </c>
      <c r="AY599" s="420">
        <v>4</v>
      </c>
      <c r="AZ599" s="420">
        <f>IF(ISBLANK(tabItens[[#This Row],[CÓDIGO]]),"",tabItens[[#This Row],[PontoMês]] * (AZ$2+tabItens[[#This Row],[PontoQtM]]))</f>
        <v>36</v>
      </c>
      <c r="BA599" s="421">
        <f>tabItens[[#This Row],[PontoPed]] - tabItens[[#This Row],[Saldo]] + (1/10)</f>
        <v>-63.9</v>
      </c>
      <c r="BB599" s="421">
        <f xml:space="preserve"> tabItens[[#This Row],[PontoMês]] * BB$2 - tabItens[[#This Row],[QTDE ATUAL]] - (1/10)</f>
        <v>8.9</v>
      </c>
      <c r="BC599" s="320">
        <f>IF( tabItens[[#This Row],[PontoPed]]&gt;0, IF(tabItens[[#This Row],[PontoPed]]&lt;1, 1, IF( tabItens[[#This Row],[Saldo]]&gt;tabItens[[#This Row],[PontoPed]], 0, (tabItens[[#This Row],[PontoPed]]-tabItens[[#This Row],[Saldo]])/tabItens[[#This Row],[PontoPed]] ) ), 0 )</f>
        <v>0</v>
      </c>
      <c r="BD599" s="422">
        <f>ROUNDDOWN(IF( OR( AND(tabItens[[#This Row],[PontoPed]]&lt;tabItens[[#This Row],[Saldo]],tabItens[[#This Row],[Saldo]]&gt;0), tabItens[[#This Row],[PontoPed]]=0), 99, IF(AND(tabItens[[#This Row],[Saldo]]=0,tabItens[[#This Row],[PontoPed]]&gt;0), 0, (1-tabItens[[#This Row],[PctAb]])*10 ) ),0)</f>
        <v>99</v>
      </c>
      <c r="BE599" s="423">
        <f>MAX(ROUNDDOWN( IF(tabItens[[#This Row],[Abaixo]] &gt; 0,   tabItens[[#This Row],[Abaixo]] + (tabItens[[#This Row],[PontoMês]] * IF( OR( ISBLANK(tabItens[[#This Row],[ATA Nº/ANO]]), tabItens[[#This Row],[ATA Nº/ANO]] = ""),BE$2,BE$1)),0),0),0)</f>
        <v>0</v>
      </c>
      <c r="BF59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23">
        <f>SUMIF(Consumo!$C$3:$C$869,tabItens[[#This Row],[CÓDIGO]],Consumo!$E$3:$E$869)</f>
        <v>5</v>
      </c>
      <c r="BH599" s="324">
        <f>IF(AND(tabItens[[#This Row],[Pend]] &gt; 0,tabItens[[#This Row],[Consumo]] &lt;&gt; 0), tabItens[[#This Row],[Pend]] / tabItens[[#This Row],[Consumo]], 0 )</f>
        <v>6.6666666666666666E-2</v>
      </c>
      <c r="BI599" s="323"/>
      <c r="BJ599" s="424"/>
      <c r="BK599" s="425" t="s">
        <v>2064</v>
      </c>
    </row>
    <row r="600" spans="1:63" hidden="1" x14ac:dyDescent="0.3">
      <c r="A600" s="286">
        <v>64636</v>
      </c>
      <c r="B600" s="287" t="s">
        <v>1381</v>
      </c>
      <c r="C600" s="288" t="s">
        <v>256</v>
      </c>
      <c r="D600" s="289">
        <v>2.93</v>
      </c>
      <c r="E600" s="290"/>
      <c r="F600" s="290"/>
      <c r="G600" s="290" t="s">
        <v>883</v>
      </c>
      <c r="H600" s="291">
        <v>31</v>
      </c>
      <c r="I600" s="292">
        <v>103003</v>
      </c>
      <c r="J600" s="293">
        <v>2.93</v>
      </c>
      <c r="K600" s="294">
        <v>68</v>
      </c>
      <c r="L600" s="295">
        <f>IF(tabItens[[#This Row],[Média]] &gt; 0, tabItens[[#This Row],[QTDE ATUAL]] / tabItens[[#This Row],[Média]],999.9)</f>
        <v>4.8311688311688306</v>
      </c>
      <c r="M600" s="296">
        <v>0</v>
      </c>
      <c r="N600" s="297">
        <f>tabItens[[#This Row],[VALOR UNIT.]] * tabItens[[#This Row],[LC]]</f>
        <v>0</v>
      </c>
      <c r="O600" s="298" t="s">
        <v>2074</v>
      </c>
      <c r="P600" s="299"/>
      <c r="Q600" s="300"/>
      <c r="R600" s="297"/>
      <c r="S600" s="301"/>
      <c r="T600" s="302">
        <f>ROUNDDOWN(IFERROR(tabItens[[#This Row],[ATA DT.VALID.]] - $D$1,0) / 30,0)</f>
        <v>-1504</v>
      </c>
      <c r="U600" s="287" t="s">
        <v>964</v>
      </c>
      <c r="V600" s="303">
        <v>1</v>
      </c>
      <c r="W600" s="304" t="s">
        <v>2054</v>
      </c>
      <c r="X600" s="305">
        <v>61</v>
      </c>
      <c r="Y600" s="306">
        <v>8</v>
      </c>
      <c r="Z600" s="307">
        <v>2453</v>
      </c>
      <c r="AA600" s="308">
        <v>2023</v>
      </c>
      <c r="AB600" s="309">
        <v>10</v>
      </c>
      <c r="AC600" s="309"/>
      <c r="AD600" s="308"/>
      <c r="AE600" s="309"/>
      <c r="AF600" s="302"/>
      <c r="AG600" s="310" t="s">
        <v>2050</v>
      </c>
      <c r="AH600" s="311"/>
      <c r="AI600" s="302">
        <v>26</v>
      </c>
      <c r="AJ600" s="311">
        <v>44187</v>
      </c>
      <c r="AK600" s="311" t="s">
        <v>883</v>
      </c>
      <c r="AL600" s="311">
        <v>44133</v>
      </c>
      <c r="AM600" s="301"/>
      <c r="AN600" s="290"/>
      <c r="AO600" s="312" t="str">
        <f>_xlfn.IFNA(IF(VLOOKUP(tabItens[[#This Row],[CÓDIGO]],tabExcluirDoEstoque[#Data],1,FALSE),"sim",""),"")</f>
        <v/>
      </c>
      <c r="AP600" s="313" t="str">
        <f ca="1">IF(OR(ISBLANK(tabItens[[#This Row],[ATA DT.VALID.]]),tabItens[[#This Row],[ATA DT.VALID.]]="",tabItens[[#This Row],[ATA DT.VALID.]]=" "),"",IF(TYPE(tabItens[[#This Row],[ATA DT.VALID.]])=1,ROUNDUP((tabItens[[#This Row],[ATA DT.VALID.]]-TODAY())/7,0),""))</f>
        <v/>
      </c>
      <c r="AQ600" s="314">
        <v>0</v>
      </c>
      <c r="AR600" s="315" t="str">
        <f>IF(ISBLANK(tabItens[[#This Row],[CÓDIGO]]),"",IFERROR(VLOOKUP(tabItens[[#This Row],[CÓDIGO]],Consumo!$C$2:$AC$869,26,FALSE),0))</f>
        <v>04.2023</v>
      </c>
      <c r="AS600" s="316">
        <f>SUMIF(Consumo!$C$3:$C$869,tabItens[[#This Row],[CÓDIGO]],Consumo!$N$3:$N$869) + SUMIF(Consumo!$C$3:$C$869,tabItens[[#This Row],[CÓDIGO]],Consumo!$O$3:$O$869) + SUMIF(Consumo!$C$3:$C$869,tabItens[[#This Row],[CÓDIGO]],Consumo!$P$3:$P$869) + SUMIF(Consumo!$C$3:$C$869,tabItens[[#This Row],[CÓDIGO]],Consumo!$Q$3:$Q$869)</f>
        <v>20</v>
      </c>
      <c r="AT600" s="316">
        <f>SUMIF(Consumo!$C$3:$C$869,tabItens[[#This Row],[CÓDIGO]],Consumo!$Z$3:$Z$869)</f>
        <v>78</v>
      </c>
      <c r="AU600" s="317">
        <f>SUMIF(Consumo!$C$3:$C$869,tabItens[[#This Row],[CÓDIGO]],Consumo!$AA$3:$AA$869)</f>
        <v>20</v>
      </c>
      <c r="AV600" s="318">
        <f>SUMIF(Consumo!$C$3:$C$869,tabItens[[#This Row],[CÓDIGO]],Consumo!$Y$3:$Y$869)</f>
        <v>6.416666666666667</v>
      </c>
      <c r="AW600" s="291">
        <f>tabItens[[#This Row],[QTDE ATUAL]] + tabItens[[#This Row],[RC QTDE]] + tabItens[[#This Row],[AF SALDO]] + tabItens[[#This Row],[Recentes]]</f>
        <v>41</v>
      </c>
      <c r="AX600" s="319">
        <v>9</v>
      </c>
      <c r="AY600" s="319">
        <v>4</v>
      </c>
      <c r="AZ600" s="319">
        <f>IF(ISBLANK(tabItens[[#This Row],[CÓDIGO]]),"",tabItens[[#This Row],[PontoMês]] * (AZ$2+tabItens[[#This Row],[PontoQtM]]))</f>
        <v>36</v>
      </c>
      <c r="BA600" s="318">
        <f>tabItens[[#This Row],[PontoPed]] - tabItens[[#This Row],[Saldo]] + (1/10)</f>
        <v>-4.9000000000000004</v>
      </c>
      <c r="BB600" s="318">
        <f xml:space="preserve"> tabItens[[#This Row],[PontoMês]] * BB$2 - tabItens[[#This Row],[QTDE ATUAL]] - (1/10)</f>
        <v>-22.1</v>
      </c>
      <c r="BC600" s="320">
        <f>IF( tabItens[[#This Row],[PontoPed]]&gt;0, IF(tabItens[[#This Row],[PontoPed]]&lt;1, 1, IF( tabItens[[#This Row],[Saldo]]&gt;tabItens[[#This Row],[PontoPed]], 0, (tabItens[[#This Row],[PontoPed]]-tabItens[[#This Row],[Saldo]])/tabItens[[#This Row],[PontoPed]] ) ), 0 )</f>
        <v>0</v>
      </c>
      <c r="BD600" s="321">
        <f>ROUNDDOWN(IF( OR( AND(tabItens[[#This Row],[PontoPed]]&lt;tabItens[[#This Row],[Saldo]],tabItens[[#This Row],[Saldo]]&gt;0), tabItens[[#This Row],[PontoPed]]=0), 99, IF(AND(tabItens[[#This Row],[Saldo]]=0,tabItens[[#This Row],[PontoPed]]&gt;0), 0, (1-tabItens[[#This Row],[PctAb]])*10 ) ),0)</f>
        <v>99</v>
      </c>
      <c r="BE600" s="322">
        <f>MAX(ROUNDDOWN( IF(tabItens[[#This Row],[Abaixo]] &gt; 0,   tabItens[[#This Row],[Abaixo]] + (tabItens[[#This Row],[PontoMês]] * IF( OR( ISBLANK(tabItens[[#This Row],[ATA Nº/ANO]]), tabItens[[#This Row],[ATA Nº/ANO]] = ""),BE$2,BE$1)),0),0),0)</f>
        <v>0</v>
      </c>
      <c r="BF60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23">
        <f>SUMIF(Consumo!$C$3:$C$869,tabItens[[#This Row],[CÓDIGO]],Consumo!$E$3:$E$869)</f>
        <v>0</v>
      </c>
      <c r="BH600" s="324">
        <f>IF(AND(tabItens[[#This Row],[Pend]] &gt; 0,tabItens[[#This Row],[Consumo]] &lt;&gt; 0), tabItens[[#This Row],[Pend]] / tabItens[[#This Row],[Consumo]], 0 )</f>
        <v>0</v>
      </c>
      <c r="BI600" s="323"/>
      <c r="BJ600" s="323"/>
      <c r="BK600" s="325" t="s">
        <v>2064</v>
      </c>
    </row>
    <row r="601" spans="1:63" hidden="1" x14ac:dyDescent="0.3">
      <c r="A601" s="286">
        <v>64647</v>
      </c>
      <c r="B601" s="287" t="s">
        <v>1383</v>
      </c>
      <c r="C601" s="288" t="s">
        <v>256</v>
      </c>
      <c r="D601" s="289">
        <v>20.8</v>
      </c>
      <c r="E601" s="290"/>
      <c r="F601" s="290"/>
      <c r="G601" s="290" t="s">
        <v>883</v>
      </c>
      <c r="H601" s="291">
        <v>18</v>
      </c>
      <c r="I601" s="292">
        <v>103003</v>
      </c>
      <c r="J601" s="293">
        <v>20.8</v>
      </c>
      <c r="K601" s="294"/>
      <c r="L601" s="295">
        <f>IF(tabItens[[#This Row],[Média]] &gt; 0, tabItens[[#This Row],[QTDE ATUAL]] / tabItens[[#This Row],[Média]],999.9)</f>
        <v>999.9</v>
      </c>
      <c r="M601" s="296">
        <v>0</v>
      </c>
      <c r="N601" s="297">
        <f>tabItens[[#This Row],[VALOR UNIT.]] * tabItens[[#This Row],[LC]]</f>
        <v>0</v>
      </c>
      <c r="O601" s="298" t="s">
        <v>2074</v>
      </c>
      <c r="P601" s="299"/>
      <c r="Q601" s="300"/>
      <c r="R601" s="297"/>
      <c r="S601" s="301"/>
      <c r="T601" s="302">
        <f>ROUNDDOWN(IFERROR(tabItens[[#This Row],[ATA DT.VALID.]] - $D$1,0) / 30,0)</f>
        <v>-1504</v>
      </c>
      <c r="U601" s="287" t="s">
        <v>964</v>
      </c>
      <c r="V601" s="303">
        <v>1</v>
      </c>
      <c r="W601" s="304" t="s">
        <v>2054</v>
      </c>
      <c r="X601" s="305">
        <v>61</v>
      </c>
      <c r="Y601" s="306">
        <v>8</v>
      </c>
      <c r="Z601" s="307"/>
      <c r="AA601" s="308"/>
      <c r="AB601" s="309"/>
      <c r="AC601" s="309"/>
      <c r="AD601" s="308"/>
      <c r="AE601" s="309"/>
      <c r="AF601" s="302"/>
      <c r="AG601" s="310" t="s">
        <v>2050</v>
      </c>
      <c r="AH601" s="311"/>
      <c r="AI601" s="302">
        <v>0</v>
      </c>
      <c r="AJ601" s="311">
        <v>40688</v>
      </c>
      <c r="AK601" s="311" t="s">
        <v>883</v>
      </c>
      <c r="AL601" s="311">
        <v>43725</v>
      </c>
      <c r="AM601" s="301"/>
      <c r="AN601" s="290"/>
      <c r="AO601" s="312" t="str">
        <f>_xlfn.IFNA(IF(VLOOKUP(tabItens[[#This Row],[CÓDIGO]],tabExcluirDoEstoque[#Data],1,FALSE),"sim",""),"")</f>
        <v/>
      </c>
      <c r="AP601" s="313" t="str">
        <f ca="1">IF(OR(ISBLANK(tabItens[[#This Row],[ATA DT.VALID.]]),tabItens[[#This Row],[ATA DT.VALID.]]="",tabItens[[#This Row],[ATA DT.VALID.]]=" "),"",IF(TYPE(tabItens[[#This Row],[ATA DT.VALID.]])=1,ROUNDUP((tabItens[[#This Row],[ATA DT.VALID.]]-TODAY())/7,0),""))</f>
        <v/>
      </c>
      <c r="AQ601" s="314">
        <v>0</v>
      </c>
      <c r="AR601" s="315">
        <f>IF(ISBLANK(tabItens[[#This Row],[CÓDIGO]]),"",IFERROR(VLOOKUP(tabItens[[#This Row],[CÓDIGO]],Consumo!$C$2:$AC$869,26,FALSE),0))</f>
        <v>0</v>
      </c>
      <c r="AS601" s="316">
        <f>SUMIF(Consumo!$C$3:$C$869,tabItens[[#This Row],[CÓDIGO]],Consumo!$N$3:$N$869) + SUMIF(Consumo!$C$3:$C$869,tabItens[[#This Row],[CÓDIGO]],Consumo!$O$3:$O$869) + SUMIF(Consumo!$C$3:$C$869,tabItens[[#This Row],[CÓDIGO]],Consumo!$P$3:$P$869) + SUMIF(Consumo!$C$3:$C$869,tabItens[[#This Row],[CÓDIGO]],Consumo!$Q$3:$Q$869)</f>
        <v>0</v>
      </c>
      <c r="AT601" s="316">
        <f>SUMIF(Consumo!$C$3:$C$869,tabItens[[#This Row],[CÓDIGO]],Consumo!$Z$3:$Z$869)</f>
        <v>0</v>
      </c>
      <c r="AU601" s="317">
        <f>SUMIF(Consumo!$C$3:$C$869,tabItens[[#This Row],[CÓDIGO]],Consumo!$AA$3:$AA$869)</f>
        <v>0</v>
      </c>
      <c r="AV601" s="318">
        <f>SUMIF(Consumo!$C$3:$C$869,tabItens[[#This Row],[CÓDIGO]],Consumo!$Y$3:$Y$869)</f>
        <v>0</v>
      </c>
      <c r="AW601" s="291">
        <f>tabItens[[#This Row],[QTDE ATUAL]] + tabItens[[#This Row],[RC QTDE]] + tabItens[[#This Row],[AF SALDO]] + tabItens[[#This Row],[Recentes]]</f>
        <v>18</v>
      </c>
      <c r="AX601" s="319">
        <v>4</v>
      </c>
      <c r="AY601" s="319">
        <v>4</v>
      </c>
      <c r="AZ601" s="319">
        <f>IF(ISBLANK(tabItens[[#This Row],[CÓDIGO]]),"",tabItens[[#This Row],[PontoMês]] * (AZ$2+tabItens[[#This Row],[PontoQtM]]))</f>
        <v>16</v>
      </c>
      <c r="BA601" s="318">
        <f>tabItens[[#This Row],[PontoPed]] - tabItens[[#This Row],[Saldo]] + (1/10)</f>
        <v>-1.9</v>
      </c>
      <c r="BB601" s="318">
        <f xml:space="preserve"> tabItens[[#This Row],[PontoMês]] * BB$2 - tabItens[[#This Row],[QTDE ATUAL]] - (1/10)</f>
        <v>-14.1</v>
      </c>
      <c r="BC601" s="320">
        <f>IF( tabItens[[#This Row],[PontoPed]]&gt;0, IF(tabItens[[#This Row],[PontoPed]]&lt;1, 1, IF( tabItens[[#This Row],[Saldo]]&gt;tabItens[[#This Row],[PontoPed]], 0, (tabItens[[#This Row],[PontoPed]]-tabItens[[#This Row],[Saldo]])/tabItens[[#This Row],[PontoPed]] ) ), 0 )</f>
        <v>0</v>
      </c>
      <c r="BD601" s="321">
        <f>ROUNDDOWN(IF( OR( AND(tabItens[[#This Row],[PontoPed]]&lt;tabItens[[#This Row],[Saldo]],tabItens[[#This Row],[Saldo]]&gt;0), tabItens[[#This Row],[PontoPed]]=0), 99, IF(AND(tabItens[[#This Row],[Saldo]]=0,tabItens[[#This Row],[PontoPed]]&gt;0), 0, (1-tabItens[[#This Row],[PctAb]])*10 ) ),0)</f>
        <v>99</v>
      </c>
      <c r="BE601" s="322">
        <f>MAX(ROUNDDOWN( IF(tabItens[[#This Row],[Abaixo]] &gt; 0,   tabItens[[#This Row],[Abaixo]] + (tabItens[[#This Row],[PontoMês]] * IF( OR( ISBLANK(tabItens[[#This Row],[ATA Nº/ANO]]), tabItens[[#This Row],[ATA Nº/ANO]] = ""),BE$2,BE$1)),0),0),0)</f>
        <v>0</v>
      </c>
      <c r="BF60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23">
        <f>SUMIF(Consumo!$C$3:$C$869,tabItens[[#This Row],[CÓDIGO]],Consumo!$E$3:$E$869)</f>
        <v>0</v>
      </c>
      <c r="BH601" s="324">
        <f>IF(AND(tabItens[[#This Row],[Pend]] &gt; 0,tabItens[[#This Row],[Consumo]] &lt;&gt; 0), tabItens[[#This Row],[Pend]] / tabItens[[#This Row],[Consumo]], 0 )</f>
        <v>0</v>
      </c>
      <c r="BI601" s="323"/>
      <c r="BJ601" s="323"/>
      <c r="BK601" s="325" t="s">
        <v>2064</v>
      </c>
    </row>
    <row r="602" spans="1:63" hidden="1" x14ac:dyDescent="0.3">
      <c r="A602" s="286">
        <v>74979</v>
      </c>
      <c r="B602" s="287" t="s">
        <v>1408</v>
      </c>
      <c r="C602" s="288" t="s">
        <v>256</v>
      </c>
      <c r="D602" s="289">
        <v>28.49</v>
      </c>
      <c r="E602" s="290"/>
      <c r="F602" s="290"/>
      <c r="G602" s="290" t="s">
        <v>883</v>
      </c>
      <c r="H602" s="291">
        <v>179</v>
      </c>
      <c r="I602" s="292">
        <v>103003</v>
      </c>
      <c r="J602" s="293">
        <v>28.49</v>
      </c>
      <c r="K602" s="294">
        <v>48</v>
      </c>
      <c r="L602" s="295">
        <f>IF(tabItens[[#This Row],[Média]] &gt; 0, tabItens[[#This Row],[QTDE ATUAL]] / tabItens[[#This Row],[Média]],999.9)</f>
        <v>45.702127659574472</v>
      </c>
      <c r="M602" s="296">
        <v>0</v>
      </c>
      <c r="N602" s="297">
        <f>tabItens[[#This Row],[VALOR UNIT.]] * tabItens[[#This Row],[LC]]</f>
        <v>0</v>
      </c>
      <c r="O602" s="298" t="s">
        <v>2074</v>
      </c>
      <c r="P602" s="299"/>
      <c r="Q602" s="300"/>
      <c r="R602" s="297"/>
      <c r="S602" s="301"/>
      <c r="T602" s="302">
        <f>ROUNDDOWN(IFERROR(tabItens[[#This Row],[ATA DT.VALID.]] - $D$1,0) / 30,0)</f>
        <v>-1504</v>
      </c>
      <c r="U602" s="287" t="s">
        <v>964</v>
      </c>
      <c r="V602" s="303">
        <v>1</v>
      </c>
      <c r="W602" s="304" t="s">
        <v>2054</v>
      </c>
      <c r="X602" s="305">
        <v>61</v>
      </c>
      <c r="Y602" s="306">
        <v>8</v>
      </c>
      <c r="Z602" s="307"/>
      <c r="AA602" s="308"/>
      <c r="AB602" s="309"/>
      <c r="AC602" s="309"/>
      <c r="AD602" s="308"/>
      <c r="AE602" s="309"/>
      <c r="AF602" s="302"/>
      <c r="AG602" s="310" t="s">
        <v>2050</v>
      </c>
      <c r="AH602" s="311"/>
      <c r="AI602" s="302">
        <v>18</v>
      </c>
      <c r="AJ602" s="311">
        <v>44573</v>
      </c>
      <c r="AK602" s="311">
        <v>37847</v>
      </c>
      <c r="AL602" s="311">
        <v>44522</v>
      </c>
      <c r="AM602" s="301"/>
      <c r="AN602" s="290"/>
      <c r="AO602" s="312" t="str">
        <f>_xlfn.IFNA(IF(VLOOKUP(tabItens[[#This Row],[CÓDIGO]],tabExcluirDoEstoque[#Data],1,FALSE),"sim",""),"")</f>
        <v/>
      </c>
      <c r="AP602" s="313" t="str">
        <f ca="1">IF(OR(ISBLANK(tabItens[[#This Row],[ATA DT.VALID.]]),tabItens[[#This Row],[ATA DT.VALID.]]="",tabItens[[#This Row],[ATA DT.VALID.]]=" "),"",IF(TYPE(tabItens[[#This Row],[ATA DT.VALID.]])=1,ROUNDUP((tabItens[[#This Row],[ATA DT.VALID.]]-TODAY())/7,0),""))</f>
        <v/>
      </c>
      <c r="AQ602" s="314">
        <v>0</v>
      </c>
      <c r="AR602" s="315" t="str">
        <f>IF(ISBLANK(tabItens[[#This Row],[CÓDIGO]]),"",IFERROR(VLOOKUP(tabItens[[#This Row],[CÓDIGO]],Consumo!$C$2:$AC$869,26,FALSE),0))</f>
        <v>06.2023</v>
      </c>
      <c r="AS602" s="316">
        <f>SUMIF(Consumo!$C$3:$C$869,tabItens[[#This Row],[CÓDIGO]],Consumo!$N$3:$N$869) + SUMIF(Consumo!$C$3:$C$869,tabItens[[#This Row],[CÓDIGO]],Consumo!$O$3:$O$869) + SUMIF(Consumo!$C$3:$C$869,tabItens[[#This Row],[CÓDIGO]],Consumo!$P$3:$P$869) + SUMIF(Consumo!$C$3:$C$869,tabItens[[#This Row],[CÓDIGO]],Consumo!$Q$3:$Q$869)</f>
        <v>30</v>
      </c>
      <c r="AT602" s="316">
        <f>SUMIF(Consumo!$C$3:$C$869,tabItens[[#This Row],[CÓDIGO]],Consumo!$Z$3:$Z$869)</f>
        <v>51</v>
      </c>
      <c r="AU602" s="317">
        <f>SUMIF(Consumo!$C$3:$C$869,tabItens[[#This Row],[CÓDIGO]],Consumo!$AA$3:$AA$869)</f>
        <v>20</v>
      </c>
      <c r="AV602" s="318">
        <f>SUMIF(Consumo!$C$3:$C$869,tabItens[[#This Row],[CÓDIGO]],Consumo!$Y$3:$Y$869)</f>
        <v>3.9166666666666665</v>
      </c>
      <c r="AW602" s="291">
        <f>tabItens[[#This Row],[QTDE ATUAL]] + tabItens[[#This Row],[RC QTDE]] + tabItens[[#This Row],[AF SALDO]] + tabItens[[#This Row],[Recentes]]</f>
        <v>179</v>
      </c>
      <c r="AX602" s="319">
        <v>13</v>
      </c>
      <c r="AY602" s="319">
        <v>4</v>
      </c>
      <c r="AZ602" s="319">
        <f>IF(ISBLANK(tabItens[[#This Row],[CÓDIGO]]),"",tabItens[[#This Row],[PontoMês]] * (AZ$2+tabItens[[#This Row],[PontoQtM]]))</f>
        <v>52</v>
      </c>
      <c r="BA602" s="318">
        <f>tabItens[[#This Row],[PontoPed]] - tabItens[[#This Row],[Saldo]] + (1/10)</f>
        <v>-126.9</v>
      </c>
      <c r="BB602" s="318">
        <f xml:space="preserve"> tabItens[[#This Row],[PontoMês]] * BB$2 - tabItens[[#This Row],[QTDE ATUAL]] - (1/10)</f>
        <v>-166.1</v>
      </c>
      <c r="BC602" s="320">
        <f>IF( tabItens[[#This Row],[PontoPed]]&gt;0, IF(tabItens[[#This Row],[PontoPed]]&lt;1, 1, IF( tabItens[[#This Row],[Saldo]]&gt;tabItens[[#This Row],[PontoPed]], 0, (tabItens[[#This Row],[PontoPed]]-tabItens[[#This Row],[Saldo]])/tabItens[[#This Row],[PontoPed]] ) ), 0 )</f>
        <v>0</v>
      </c>
      <c r="BD602" s="321">
        <f>ROUNDDOWN(IF( OR( AND(tabItens[[#This Row],[PontoPed]]&lt;tabItens[[#This Row],[Saldo]],tabItens[[#This Row],[Saldo]]&gt;0), tabItens[[#This Row],[PontoPed]]=0), 99, IF(AND(tabItens[[#This Row],[Saldo]]=0,tabItens[[#This Row],[PontoPed]]&gt;0), 0, (1-tabItens[[#This Row],[PctAb]])*10 ) ),0)</f>
        <v>99</v>
      </c>
      <c r="BE602" s="322">
        <f>MAX(ROUNDDOWN( IF(tabItens[[#This Row],[Abaixo]] &gt; 0,   tabItens[[#This Row],[Abaixo]] + (tabItens[[#This Row],[PontoMês]] * IF( OR( ISBLANK(tabItens[[#This Row],[ATA Nº/ANO]]), tabItens[[#This Row],[ATA Nº/ANO]] = ""),BE$2,BE$1)),0),0),0)</f>
        <v>0</v>
      </c>
      <c r="BF60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23">
        <f>SUMIF(Consumo!$C$3:$C$869,tabItens[[#This Row],[CÓDIGO]],Consumo!$E$3:$E$869)</f>
        <v>0</v>
      </c>
      <c r="BH602" s="324">
        <f>IF(AND(tabItens[[#This Row],[Pend]] &gt; 0,tabItens[[#This Row],[Consumo]] &lt;&gt; 0), tabItens[[#This Row],[Pend]] / tabItens[[#This Row],[Consumo]], 0 )</f>
        <v>0</v>
      </c>
      <c r="BI602" s="323"/>
      <c r="BJ602" s="323"/>
      <c r="BK602" s="325" t="s">
        <v>2064</v>
      </c>
    </row>
    <row r="603" spans="1:63" hidden="1" x14ac:dyDescent="0.3">
      <c r="A603" s="286">
        <v>125173</v>
      </c>
      <c r="B603" s="287" t="s">
        <v>1757</v>
      </c>
      <c r="C603" s="288" t="s">
        <v>31</v>
      </c>
      <c r="D603" s="289">
        <v>2.37</v>
      </c>
      <c r="E603" s="290"/>
      <c r="F603" s="290"/>
      <c r="G603" s="290" t="s">
        <v>883</v>
      </c>
      <c r="H603" s="291">
        <v>200</v>
      </c>
      <c r="I603" s="292">
        <v>103003</v>
      </c>
      <c r="J603" s="293">
        <v>2.37</v>
      </c>
      <c r="K603" s="294">
        <v>34</v>
      </c>
      <c r="L603" s="295">
        <f>IF(tabItens[[#This Row],[Média]] &gt; 0, tabItens[[#This Row],[QTDE ATUAL]] / tabItens[[#This Row],[Média]],999.9)</f>
        <v>80</v>
      </c>
      <c r="M603" s="296">
        <v>0</v>
      </c>
      <c r="N603" s="297">
        <f>tabItens[[#This Row],[VALOR UNIT.]] * tabItens[[#This Row],[LC]]</f>
        <v>0</v>
      </c>
      <c r="O603" s="298" t="s">
        <v>2074</v>
      </c>
      <c r="P603" s="299"/>
      <c r="Q603" s="300"/>
      <c r="R603" s="297"/>
      <c r="S603" s="301"/>
      <c r="T603" s="302">
        <f>ROUNDDOWN(IFERROR(tabItens[[#This Row],[ATA DT.VALID.]] - $D$1,0) / 30,0)</f>
        <v>-1504</v>
      </c>
      <c r="U603" s="287" t="s">
        <v>964</v>
      </c>
      <c r="V603" s="303">
        <v>1</v>
      </c>
      <c r="W603" s="304" t="s">
        <v>2054</v>
      </c>
      <c r="X603" s="305">
        <v>61</v>
      </c>
      <c r="Y603" s="306">
        <v>8</v>
      </c>
      <c r="Z603" s="307"/>
      <c r="AA603" s="308"/>
      <c r="AB603" s="309"/>
      <c r="AC603" s="309"/>
      <c r="AD603" s="308"/>
      <c r="AE603" s="309"/>
      <c r="AF603" s="302"/>
      <c r="AG603" s="310" t="s">
        <v>2050</v>
      </c>
      <c r="AH603" s="311"/>
      <c r="AI603" s="302">
        <v>12</v>
      </c>
      <c r="AJ603" s="311">
        <v>44526</v>
      </c>
      <c r="AK603" s="311">
        <v>41345</v>
      </c>
      <c r="AL603" s="311">
        <v>45096</v>
      </c>
      <c r="AM603" s="301"/>
      <c r="AN603" s="290"/>
      <c r="AO603" s="312" t="str">
        <f>_xlfn.IFNA(IF(VLOOKUP(tabItens[[#This Row],[CÓDIGO]],tabExcluirDoEstoque[#Data],1,FALSE),"sim",""),"")</f>
        <v/>
      </c>
      <c r="AP603" s="313" t="str">
        <f ca="1">IF(OR(ISBLANK(tabItens[[#This Row],[ATA DT.VALID.]]),tabItens[[#This Row],[ATA DT.VALID.]]="",tabItens[[#This Row],[ATA DT.VALID.]]=" "),"",IF(TYPE(tabItens[[#This Row],[ATA DT.VALID.]])=1,ROUNDUP((tabItens[[#This Row],[ATA DT.VALID.]]-TODAY())/7,0),""))</f>
        <v/>
      </c>
      <c r="AQ603" s="314">
        <v>0</v>
      </c>
      <c r="AR603" s="315" t="str">
        <f>IF(ISBLANK(tabItens[[#This Row],[CÓDIGO]]),"",IFERROR(VLOOKUP(tabItens[[#This Row],[CÓDIGO]],Consumo!$C$2:$AC$869,26,FALSE),0))</f>
        <v>04.2023</v>
      </c>
      <c r="AS603" s="316">
        <f>SUMIF(Consumo!$C$3:$C$869,tabItens[[#This Row],[CÓDIGO]],Consumo!$N$3:$N$869) + SUMIF(Consumo!$C$3:$C$869,tabItens[[#This Row],[CÓDIGO]],Consumo!$O$3:$O$869) + SUMIF(Consumo!$C$3:$C$869,tabItens[[#This Row],[CÓDIGO]],Consumo!$P$3:$P$869) + SUMIF(Consumo!$C$3:$C$869,tabItens[[#This Row],[CÓDIGO]],Consumo!$Q$3:$Q$869)</f>
        <v>17</v>
      </c>
      <c r="AT603" s="316">
        <f>SUMIF(Consumo!$C$3:$C$869,tabItens[[#This Row],[CÓDIGO]],Consumo!$Z$3:$Z$869)</f>
        <v>35</v>
      </c>
      <c r="AU603" s="317">
        <f>SUMIF(Consumo!$C$3:$C$869,tabItens[[#This Row],[CÓDIGO]],Consumo!$AA$3:$AA$869)</f>
        <v>17</v>
      </c>
      <c r="AV603" s="318">
        <f>SUMIF(Consumo!$C$3:$C$869,tabItens[[#This Row],[CÓDIGO]],Consumo!$Y$3:$Y$869)</f>
        <v>2.5</v>
      </c>
      <c r="AW603" s="291">
        <f>tabItens[[#This Row],[QTDE ATUAL]] + tabItens[[#This Row],[RC QTDE]] + tabItens[[#This Row],[AF SALDO]] + tabItens[[#This Row],[Recentes]]</f>
        <v>200</v>
      </c>
      <c r="AX603" s="319">
        <v>9</v>
      </c>
      <c r="AY603" s="319">
        <v>4</v>
      </c>
      <c r="AZ603" s="319">
        <f>IF(ISBLANK(tabItens[[#This Row],[CÓDIGO]]),"",tabItens[[#This Row],[PontoMês]] * (AZ$2+tabItens[[#This Row],[PontoQtM]]))</f>
        <v>36</v>
      </c>
      <c r="BA603" s="318">
        <f>tabItens[[#This Row],[PontoPed]] - tabItens[[#This Row],[Saldo]] + (1/10)</f>
        <v>-163.9</v>
      </c>
      <c r="BB603" s="318">
        <f xml:space="preserve"> tabItens[[#This Row],[PontoMês]] * BB$2 - tabItens[[#This Row],[QTDE ATUAL]] - (1/10)</f>
        <v>-191.1</v>
      </c>
      <c r="BC603" s="320">
        <f>IF( tabItens[[#This Row],[PontoPed]]&gt;0, IF(tabItens[[#This Row],[PontoPed]]&lt;1, 1, IF( tabItens[[#This Row],[Saldo]]&gt;tabItens[[#This Row],[PontoPed]], 0, (tabItens[[#This Row],[PontoPed]]-tabItens[[#This Row],[Saldo]])/tabItens[[#This Row],[PontoPed]] ) ), 0 )</f>
        <v>0</v>
      </c>
      <c r="BD603" s="321">
        <f>ROUNDDOWN(IF( OR( AND(tabItens[[#This Row],[PontoPed]]&lt;tabItens[[#This Row],[Saldo]],tabItens[[#This Row],[Saldo]]&gt;0), tabItens[[#This Row],[PontoPed]]=0), 99, IF(AND(tabItens[[#This Row],[Saldo]]=0,tabItens[[#This Row],[PontoPed]]&gt;0), 0, (1-tabItens[[#This Row],[PctAb]])*10 ) ),0)</f>
        <v>99</v>
      </c>
      <c r="BE603" s="322">
        <f>MAX(ROUNDDOWN( IF(tabItens[[#This Row],[Abaixo]] &gt; 0,   tabItens[[#This Row],[Abaixo]] + (tabItens[[#This Row],[PontoMês]] * IF( OR( ISBLANK(tabItens[[#This Row],[ATA Nº/ANO]]), tabItens[[#This Row],[ATA Nº/ANO]] = ""),BE$2,BE$1)),0),0),0)</f>
        <v>0</v>
      </c>
      <c r="BF60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23">
        <f>SUMIF(Consumo!$C$3:$C$869,tabItens[[#This Row],[CÓDIGO]],Consumo!$E$3:$E$869)</f>
        <v>0</v>
      </c>
      <c r="BH603" s="324">
        <f>IF(AND(tabItens[[#This Row],[Pend]] &gt; 0,tabItens[[#This Row],[Consumo]] &lt;&gt; 0), tabItens[[#This Row],[Pend]] / tabItens[[#This Row],[Consumo]], 0 )</f>
        <v>0</v>
      </c>
      <c r="BI603" s="323"/>
      <c r="BJ603" s="323"/>
      <c r="BK603" s="325" t="s">
        <v>2064</v>
      </c>
    </row>
    <row r="604" spans="1:63" hidden="1" x14ac:dyDescent="0.3">
      <c r="A604" s="286">
        <v>135300</v>
      </c>
      <c r="B604" s="287" t="s">
        <v>1900</v>
      </c>
      <c r="C604" s="288" t="s">
        <v>256</v>
      </c>
      <c r="D604" s="289">
        <v>5.15</v>
      </c>
      <c r="E604" s="290"/>
      <c r="F604" s="290"/>
      <c r="G604" s="290" t="s">
        <v>883</v>
      </c>
      <c r="H604" s="291">
        <v>283</v>
      </c>
      <c r="I604" s="292">
        <v>103003</v>
      </c>
      <c r="J604" s="293">
        <v>5.15</v>
      </c>
      <c r="K604" s="294">
        <v>123</v>
      </c>
      <c r="L604" s="295">
        <f>IF(tabItens[[#This Row],[Média]] &gt; 0, tabItens[[#This Row],[QTDE ATUAL]] / tabItens[[#This Row],[Média]],999.9)</f>
        <v>24.608695652173914</v>
      </c>
      <c r="M604" s="296">
        <v>0</v>
      </c>
      <c r="N604" s="297">
        <f>tabItens[[#This Row],[VALOR UNIT.]] * tabItens[[#This Row],[LC]]</f>
        <v>0</v>
      </c>
      <c r="O604" s="298" t="s">
        <v>2074</v>
      </c>
      <c r="P604" s="299"/>
      <c r="Q604" s="300"/>
      <c r="R604" s="297"/>
      <c r="S604" s="301"/>
      <c r="T604" s="302">
        <f>ROUNDDOWN(IFERROR(tabItens[[#This Row],[ATA DT.VALID.]] - $D$1,0) / 30,0)</f>
        <v>-1504</v>
      </c>
      <c r="U604" s="287" t="s">
        <v>964</v>
      </c>
      <c r="V604" s="303">
        <v>1</v>
      </c>
      <c r="W604" s="304" t="s">
        <v>2054</v>
      </c>
      <c r="X604" s="305">
        <v>61</v>
      </c>
      <c r="Y604" s="306">
        <v>8</v>
      </c>
      <c r="Z604" s="307">
        <v>2454</v>
      </c>
      <c r="AA604" s="308">
        <v>2023</v>
      </c>
      <c r="AB604" s="309">
        <v>50</v>
      </c>
      <c r="AC604" s="309"/>
      <c r="AD604" s="308"/>
      <c r="AE604" s="309"/>
      <c r="AF604" s="302"/>
      <c r="AG604" s="310" t="s">
        <v>2050</v>
      </c>
      <c r="AH604" s="311"/>
      <c r="AI604" s="302">
        <v>50</v>
      </c>
      <c r="AJ604" s="311">
        <v>44915</v>
      </c>
      <c r="AK604" s="311">
        <v>43277</v>
      </c>
      <c r="AL604" s="311">
        <v>44860</v>
      </c>
      <c r="AM604" s="301"/>
      <c r="AN604" s="290"/>
      <c r="AO604" s="312" t="str">
        <f>_xlfn.IFNA(IF(VLOOKUP(tabItens[[#This Row],[CÓDIGO]],tabExcluirDoEstoque[#Data],1,FALSE),"sim",""),"")</f>
        <v/>
      </c>
      <c r="AP604" s="313" t="str">
        <f ca="1">IF(OR(ISBLANK(tabItens[[#This Row],[ATA DT.VALID.]]),tabItens[[#This Row],[ATA DT.VALID.]]="",tabItens[[#This Row],[ATA DT.VALID.]]=" "),"",IF(TYPE(tabItens[[#This Row],[ATA DT.VALID.]])=1,ROUNDUP((tabItens[[#This Row],[ATA DT.VALID.]]-TODAY())/7,0),""))</f>
        <v/>
      </c>
      <c r="AQ604" s="314">
        <v>0</v>
      </c>
      <c r="AR604" s="315" t="str">
        <f>IF(ISBLANK(tabItens[[#This Row],[CÓDIGO]]),"",IFERROR(VLOOKUP(tabItens[[#This Row],[CÓDIGO]],Consumo!$C$2:$AC$869,26,FALSE),0))</f>
        <v>04.2023</v>
      </c>
      <c r="AS604" s="316">
        <f>SUMIF(Consumo!$C$3:$C$869,tabItens[[#This Row],[CÓDIGO]],Consumo!$N$3:$N$869) + SUMIF(Consumo!$C$3:$C$869,tabItens[[#This Row],[CÓDIGO]],Consumo!$O$3:$O$869) + SUMIF(Consumo!$C$3:$C$869,tabItens[[#This Row],[CÓDIGO]],Consumo!$P$3:$P$869) + SUMIF(Consumo!$C$3:$C$869,tabItens[[#This Row],[CÓDIGO]],Consumo!$Q$3:$Q$869)</f>
        <v>15</v>
      </c>
      <c r="AT604" s="316">
        <f>SUMIF(Consumo!$C$3:$C$869,tabItens[[#This Row],[CÓDIGO]],Consumo!$Z$3:$Z$869)</f>
        <v>147</v>
      </c>
      <c r="AU604" s="317">
        <f>SUMIF(Consumo!$C$3:$C$869,tabItens[[#This Row],[CÓDIGO]],Consumo!$AA$3:$AA$869)</f>
        <v>46</v>
      </c>
      <c r="AV604" s="318">
        <f>SUMIF(Consumo!$C$3:$C$869,tabItens[[#This Row],[CÓDIGO]],Consumo!$Y$3:$Y$869)</f>
        <v>11.5</v>
      </c>
      <c r="AW604" s="291">
        <f>tabItens[[#This Row],[QTDE ATUAL]] + tabItens[[#This Row],[RC QTDE]] + tabItens[[#This Row],[AF SALDO]] + tabItens[[#This Row],[Recentes]]</f>
        <v>333</v>
      </c>
      <c r="AX604" s="319">
        <v>7</v>
      </c>
      <c r="AY604" s="319">
        <v>4</v>
      </c>
      <c r="AZ604" s="319">
        <f>IF(ISBLANK(tabItens[[#This Row],[CÓDIGO]]),"",tabItens[[#This Row],[PontoMês]] * (AZ$2+tabItens[[#This Row],[PontoQtM]]))</f>
        <v>28</v>
      </c>
      <c r="BA604" s="318">
        <f>tabItens[[#This Row],[PontoPed]] - tabItens[[#This Row],[Saldo]] + (1/10)</f>
        <v>-304.89999999999998</v>
      </c>
      <c r="BB604" s="318">
        <f xml:space="preserve"> tabItens[[#This Row],[PontoMês]] * BB$2 - tabItens[[#This Row],[QTDE ATUAL]] - (1/10)</f>
        <v>-276.10000000000002</v>
      </c>
      <c r="BC604" s="320">
        <f>IF( tabItens[[#This Row],[PontoPed]]&gt;0, IF(tabItens[[#This Row],[PontoPed]]&lt;1, 1, IF( tabItens[[#This Row],[Saldo]]&gt;tabItens[[#This Row],[PontoPed]], 0, (tabItens[[#This Row],[PontoPed]]-tabItens[[#This Row],[Saldo]])/tabItens[[#This Row],[PontoPed]] ) ), 0 )</f>
        <v>0</v>
      </c>
      <c r="BD604" s="321">
        <f>ROUNDDOWN(IF( OR( AND(tabItens[[#This Row],[PontoPed]]&lt;tabItens[[#This Row],[Saldo]],tabItens[[#This Row],[Saldo]]&gt;0), tabItens[[#This Row],[PontoPed]]=0), 99, IF(AND(tabItens[[#This Row],[Saldo]]=0,tabItens[[#This Row],[PontoPed]]&gt;0), 0, (1-tabItens[[#This Row],[PctAb]])*10 ) ),0)</f>
        <v>99</v>
      </c>
      <c r="BE604" s="322">
        <f>MAX(ROUNDDOWN( IF(tabItens[[#This Row],[Abaixo]] &gt; 0,   tabItens[[#This Row],[Abaixo]] + (tabItens[[#This Row],[PontoMês]] * IF( OR( ISBLANK(tabItens[[#This Row],[ATA Nº/ANO]]), tabItens[[#This Row],[ATA Nº/ANO]] = ""),BE$2,BE$1)),0),0),0)</f>
        <v>0</v>
      </c>
      <c r="BF60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23">
        <f>SUMIF(Consumo!$C$3:$C$869,tabItens[[#This Row],[CÓDIGO]],Consumo!$E$3:$E$869)</f>
        <v>0</v>
      </c>
      <c r="BH604" s="324">
        <f>IF(AND(tabItens[[#This Row],[Pend]] &gt; 0,tabItens[[#This Row],[Consumo]] &lt;&gt; 0), tabItens[[#This Row],[Pend]] / tabItens[[#This Row],[Consumo]], 0 )</f>
        <v>0</v>
      </c>
      <c r="BI604" s="323"/>
      <c r="BJ604" s="323"/>
      <c r="BK604" s="325" t="s">
        <v>2064</v>
      </c>
    </row>
    <row r="605" spans="1:63" hidden="1" x14ac:dyDescent="0.3">
      <c r="A605" s="286">
        <v>135301</v>
      </c>
      <c r="B605" s="287" t="s">
        <v>1901</v>
      </c>
      <c r="C605" s="288" t="s">
        <v>256</v>
      </c>
      <c r="D605" s="289">
        <v>5.25</v>
      </c>
      <c r="E605" s="290"/>
      <c r="F605" s="290"/>
      <c r="G605" s="290" t="s">
        <v>883</v>
      </c>
      <c r="H605" s="291">
        <v>265</v>
      </c>
      <c r="I605" s="292">
        <v>103003</v>
      </c>
      <c r="J605" s="293">
        <v>5.25</v>
      </c>
      <c r="K605" s="294">
        <v>149</v>
      </c>
      <c r="L605" s="295">
        <f>IF(tabItens[[#This Row],[Média]] &gt; 0, tabItens[[#This Row],[QTDE ATUAL]] / tabItens[[#This Row],[Média]],999.9)</f>
        <v>17.472527472527474</v>
      </c>
      <c r="M605" s="296">
        <v>0</v>
      </c>
      <c r="N605" s="297">
        <f>tabItens[[#This Row],[VALOR UNIT.]] * tabItens[[#This Row],[LC]]</f>
        <v>0</v>
      </c>
      <c r="O605" s="298" t="s">
        <v>2074</v>
      </c>
      <c r="P605" s="299"/>
      <c r="Q605" s="300"/>
      <c r="R605" s="297"/>
      <c r="S605" s="301"/>
      <c r="T605" s="302">
        <f>ROUNDDOWN(IFERROR(tabItens[[#This Row],[ATA DT.VALID.]] - $D$1,0) / 30,0)</f>
        <v>-1504</v>
      </c>
      <c r="U605" s="287" t="s">
        <v>964</v>
      </c>
      <c r="V605" s="303">
        <v>1</v>
      </c>
      <c r="W605" s="304" t="s">
        <v>2054</v>
      </c>
      <c r="X605" s="305">
        <v>61</v>
      </c>
      <c r="Y605" s="306">
        <v>8</v>
      </c>
      <c r="Z605" s="307">
        <v>2702</v>
      </c>
      <c r="AA605" s="308">
        <v>2023</v>
      </c>
      <c r="AB605" s="309">
        <v>100</v>
      </c>
      <c r="AC605" s="309"/>
      <c r="AD605" s="308"/>
      <c r="AE605" s="309"/>
      <c r="AF605" s="302"/>
      <c r="AG605" s="310" t="s">
        <v>2050</v>
      </c>
      <c r="AH605" s="311"/>
      <c r="AI605" s="302">
        <v>62</v>
      </c>
      <c r="AJ605" s="311">
        <v>44804</v>
      </c>
      <c r="AK605" s="311">
        <v>43277</v>
      </c>
      <c r="AL605" s="311">
        <v>45082</v>
      </c>
      <c r="AM605" s="301"/>
      <c r="AN605" s="290"/>
      <c r="AO605" s="312" t="str">
        <f>_xlfn.IFNA(IF(VLOOKUP(tabItens[[#This Row],[CÓDIGO]],tabExcluirDoEstoque[#Data],1,FALSE),"sim",""),"")</f>
        <v/>
      </c>
      <c r="AP605" s="313" t="str">
        <f ca="1">IF(OR(ISBLANK(tabItens[[#This Row],[ATA DT.VALID.]]),tabItens[[#This Row],[ATA DT.VALID.]]="",tabItens[[#This Row],[ATA DT.VALID.]]=" "),"",IF(TYPE(tabItens[[#This Row],[ATA DT.VALID.]])=1,ROUNDUP((tabItens[[#This Row],[ATA DT.VALID.]]-TODAY())/7,0),""))</f>
        <v/>
      </c>
      <c r="AQ605" s="314">
        <v>0</v>
      </c>
      <c r="AR605" s="315" t="str">
        <f>IF(ISBLANK(tabItens[[#This Row],[CÓDIGO]]),"",IFERROR(VLOOKUP(tabItens[[#This Row],[CÓDIGO]],Consumo!$C$2:$AC$869,26,FALSE),0))</f>
        <v>05.2023</v>
      </c>
      <c r="AS605" s="316">
        <f>SUMIF(Consumo!$C$3:$C$869,tabItens[[#This Row],[CÓDIGO]],Consumo!$N$3:$N$869) + SUMIF(Consumo!$C$3:$C$869,tabItens[[#This Row],[CÓDIGO]],Consumo!$O$3:$O$869) + SUMIF(Consumo!$C$3:$C$869,tabItens[[#This Row],[CÓDIGO]],Consumo!$P$3:$P$869) + SUMIF(Consumo!$C$3:$C$869,tabItens[[#This Row],[CÓDIGO]],Consumo!$Q$3:$Q$869)</f>
        <v>50</v>
      </c>
      <c r="AT605" s="316">
        <f>SUMIF(Consumo!$C$3:$C$869,tabItens[[#This Row],[CÓDIGO]],Consumo!$Z$3:$Z$869)</f>
        <v>183</v>
      </c>
      <c r="AU605" s="317">
        <f>SUMIF(Consumo!$C$3:$C$869,tabItens[[#This Row],[CÓDIGO]],Consumo!$AA$3:$AA$869)</f>
        <v>40</v>
      </c>
      <c r="AV605" s="318">
        <f>SUMIF(Consumo!$C$3:$C$869,tabItens[[#This Row],[CÓDIGO]],Consumo!$Y$3:$Y$869)</f>
        <v>15.166666666666666</v>
      </c>
      <c r="AW605" s="291">
        <f>tabItens[[#This Row],[QTDE ATUAL]] + tabItens[[#This Row],[RC QTDE]] + tabItens[[#This Row],[AF SALDO]] + tabItens[[#This Row],[Recentes]]</f>
        <v>365</v>
      </c>
      <c r="AX605" s="319">
        <v>34</v>
      </c>
      <c r="AY605" s="319">
        <v>4</v>
      </c>
      <c r="AZ605" s="319">
        <f>IF(ISBLANK(tabItens[[#This Row],[CÓDIGO]]),"",tabItens[[#This Row],[PontoMês]] * (AZ$2+tabItens[[#This Row],[PontoQtM]]))</f>
        <v>136</v>
      </c>
      <c r="BA605" s="318">
        <f>tabItens[[#This Row],[PontoPed]] - tabItens[[#This Row],[Saldo]] + (1/10)</f>
        <v>-228.9</v>
      </c>
      <c r="BB605" s="318">
        <f xml:space="preserve"> tabItens[[#This Row],[PontoMês]] * BB$2 - tabItens[[#This Row],[QTDE ATUAL]] - (1/10)</f>
        <v>-231.1</v>
      </c>
      <c r="BC605" s="320">
        <f>IF( tabItens[[#This Row],[PontoPed]]&gt;0, IF(tabItens[[#This Row],[PontoPed]]&lt;1, 1, IF( tabItens[[#This Row],[Saldo]]&gt;tabItens[[#This Row],[PontoPed]], 0, (tabItens[[#This Row],[PontoPed]]-tabItens[[#This Row],[Saldo]])/tabItens[[#This Row],[PontoPed]] ) ), 0 )</f>
        <v>0</v>
      </c>
      <c r="BD605" s="321">
        <f>ROUNDDOWN(IF( OR( AND(tabItens[[#This Row],[PontoPed]]&lt;tabItens[[#This Row],[Saldo]],tabItens[[#This Row],[Saldo]]&gt;0), tabItens[[#This Row],[PontoPed]]=0), 99, IF(AND(tabItens[[#This Row],[Saldo]]=0,tabItens[[#This Row],[PontoPed]]&gt;0), 0, (1-tabItens[[#This Row],[PctAb]])*10 ) ),0)</f>
        <v>99</v>
      </c>
      <c r="BE605" s="322">
        <f>MAX(ROUNDDOWN( IF(tabItens[[#This Row],[Abaixo]] &gt; 0,   tabItens[[#This Row],[Abaixo]] + (tabItens[[#This Row],[PontoMês]] * IF( OR( ISBLANK(tabItens[[#This Row],[ATA Nº/ANO]]), tabItens[[#This Row],[ATA Nº/ANO]] = ""),BE$2,BE$1)),0),0),0)</f>
        <v>0</v>
      </c>
      <c r="BF60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23">
        <f>SUMIF(Consumo!$C$3:$C$869,tabItens[[#This Row],[CÓDIGO]],Consumo!$E$3:$E$869)</f>
        <v>0</v>
      </c>
      <c r="BH605" s="324">
        <f>IF(AND(tabItens[[#This Row],[Pend]] &gt; 0,tabItens[[#This Row],[Consumo]] &lt;&gt; 0), tabItens[[#This Row],[Pend]] / tabItens[[#This Row],[Consumo]], 0 )</f>
        <v>0</v>
      </c>
      <c r="BI605" s="323"/>
      <c r="BJ605" s="323"/>
      <c r="BK605" s="325" t="s">
        <v>2064</v>
      </c>
    </row>
    <row r="606" spans="1:63" hidden="1" x14ac:dyDescent="0.3">
      <c r="A606" s="286">
        <v>135302</v>
      </c>
      <c r="B606" s="287" t="s">
        <v>1902</v>
      </c>
      <c r="C606" s="288" t="s">
        <v>256</v>
      </c>
      <c r="D606" s="289">
        <v>3.58</v>
      </c>
      <c r="E606" s="290"/>
      <c r="F606" s="290"/>
      <c r="G606" s="290" t="s">
        <v>883</v>
      </c>
      <c r="H606" s="291">
        <v>613</v>
      </c>
      <c r="I606" s="292">
        <v>103003</v>
      </c>
      <c r="J606" s="293">
        <v>3.58</v>
      </c>
      <c r="K606" s="294">
        <v>203</v>
      </c>
      <c r="L606" s="295">
        <f>IF(tabItens[[#This Row],[Média]] &gt; 0, tabItens[[#This Row],[QTDE ATUAL]] / tabItens[[#This Row],[Média]],999.9)</f>
        <v>35.028571428571432</v>
      </c>
      <c r="M606" s="296">
        <v>0</v>
      </c>
      <c r="N606" s="297">
        <f>tabItens[[#This Row],[VALOR UNIT.]] * tabItens[[#This Row],[LC]]</f>
        <v>0</v>
      </c>
      <c r="O606" s="298" t="s">
        <v>2074</v>
      </c>
      <c r="P606" s="299"/>
      <c r="Q606" s="300"/>
      <c r="R606" s="297"/>
      <c r="S606" s="301"/>
      <c r="T606" s="302">
        <f>ROUNDDOWN(IFERROR(tabItens[[#This Row],[ATA DT.VALID.]] - $D$1,0) / 30,0)</f>
        <v>-1504</v>
      </c>
      <c r="U606" s="287" t="s">
        <v>964</v>
      </c>
      <c r="V606" s="303">
        <v>1</v>
      </c>
      <c r="W606" s="304" t="s">
        <v>2054</v>
      </c>
      <c r="X606" s="305">
        <v>61</v>
      </c>
      <c r="Y606" s="306">
        <v>8</v>
      </c>
      <c r="Z606" s="307"/>
      <c r="AA606" s="308"/>
      <c r="AB606" s="309"/>
      <c r="AC606" s="309"/>
      <c r="AD606" s="308"/>
      <c r="AE606" s="309"/>
      <c r="AF606" s="302"/>
      <c r="AG606" s="310" t="s">
        <v>2050</v>
      </c>
      <c r="AH606" s="311"/>
      <c r="AI606" s="302">
        <v>76</v>
      </c>
      <c r="AJ606" s="311">
        <v>44188</v>
      </c>
      <c r="AK606" s="311">
        <v>43277</v>
      </c>
      <c r="AL606" s="311">
        <v>44133</v>
      </c>
      <c r="AM606" s="301"/>
      <c r="AN606" s="290"/>
      <c r="AO606" s="312" t="str">
        <f>_xlfn.IFNA(IF(VLOOKUP(tabItens[[#This Row],[CÓDIGO]],tabExcluirDoEstoque[#Data],1,FALSE),"sim",""),"")</f>
        <v/>
      </c>
      <c r="AP606" s="313" t="str">
        <f ca="1">IF(OR(ISBLANK(tabItens[[#This Row],[ATA DT.VALID.]]),tabItens[[#This Row],[ATA DT.VALID.]]="",tabItens[[#This Row],[ATA DT.VALID.]]=" "),"",IF(TYPE(tabItens[[#This Row],[ATA DT.VALID.]])=1,ROUNDUP((tabItens[[#This Row],[ATA DT.VALID.]]-TODAY())/7,0),""))</f>
        <v/>
      </c>
      <c r="AQ606" s="314">
        <v>0</v>
      </c>
      <c r="AR606" s="315" t="str">
        <f>IF(ISBLANK(tabItens[[#This Row],[CÓDIGO]]),"",IFERROR(VLOOKUP(tabItens[[#This Row],[CÓDIGO]],Consumo!$C$2:$AC$869,26,FALSE),0))</f>
        <v>05.2023</v>
      </c>
      <c r="AS606" s="316">
        <f>SUMIF(Consumo!$C$3:$C$869,tabItens[[#This Row],[CÓDIGO]],Consumo!$N$3:$N$869) + SUMIF(Consumo!$C$3:$C$869,tabItens[[#This Row],[CÓDIGO]],Consumo!$O$3:$O$869) + SUMIF(Consumo!$C$3:$C$869,tabItens[[#This Row],[CÓDIGO]],Consumo!$P$3:$P$869) + SUMIF(Consumo!$C$3:$C$869,tabItens[[#This Row],[CÓDIGO]],Consumo!$Q$3:$Q$869)</f>
        <v>82</v>
      </c>
      <c r="AT606" s="316">
        <f>SUMIF(Consumo!$C$3:$C$869,tabItens[[#This Row],[CÓDIGO]],Consumo!$Z$3:$Z$869)</f>
        <v>224</v>
      </c>
      <c r="AU606" s="317">
        <f>SUMIF(Consumo!$C$3:$C$869,tabItens[[#This Row],[CÓDIGO]],Consumo!$AA$3:$AA$869)</f>
        <v>80</v>
      </c>
      <c r="AV606" s="318">
        <f>SUMIF(Consumo!$C$3:$C$869,tabItens[[#This Row],[CÓDIGO]],Consumo!$Y$3:$Y$869)</f>
        <v>17.5</v>
      </c>
      <c r="AW606" s="291">
        <f>tabItens[[#This Row],[QTDE ATUAL]] + tabItens[[#This Row],[RC QTDE]] + tabItens[[#This Row],[AF SALDO]] + tabItens[[#This Row],[Recentes]]</f>
        <v>613</v>
      </c>
      <c r="AX606" s="319">
        <v>19</v>
      </c>
      <c r="AY606" s="319">
        <v>4</v>
      </c>
      <c r="AZ606" s="319">
        <f>IF(ISBLANK(tabItens[[#This Row],[CÓDIGO]]),"",tabItens[[#This Row],[PontoMês]] * (AZ$2+tabItens[[#This Row],[PontoQtM]]))</f>
        <v>76</v>
      </c>
      <c r="BA606" s="318">
        <f>tabItens[[#This Row],[PontoPed]] - tabItens[[#This Row],[Saldo]] + (1/10)</f>
        <v>-536.9</v>
      </c>
      <c r="BB606" s="318">
        <f xml:space="preserve"> tabItens[[#This Row],[PontoMês]] * BB$2 - tabItens[[#This Row],[QTDE ATUAL]] - (1/10)</f>
        <v>-594.1</v>
      </c>
      <c r="BC606" s="320">
        <f>IF( tabItens[[#This Row],[PontoPed]]&gt;0, IF(tabItens[[#This Row],[PontoPed]]&lt;1, 1, IF( tabItens[[#This Row],[Saldo]]&gt;tabItens[[#This Row],[PontoPed]], 0, (tabItens[[#This Row],[PontoPed]]-tabItens[[#This Row],[Saldo]])/tabItens[[#This Row],[PontoPed]] ) ), 0 )</f>
        <v>0</v>
      </c>
      <c r="BD606" s="321">
        <f>ROUNDDOWN(IF( OR( AND(tabItens[[#This Row],[PontoPed]]&lt;tabItens[[#This Row],[Saldo]],tabItens[[#This Row],[Saldo]]&gt;0), tabItens[[#This Row],[PontoPed]]=0), 99, IF(AND(tabItens[[#This Row],[Saldo]]=0,tabItens[[#This Row],[PontoPed]]&gt;0), 0, (1-tabItens[[#This Row],[PctAb]])*10 ) ),0)</f>
        <v>99</v>
      </c>
      <c r="BE606" s="322">
        <f>MAX(ROUNDDOWN( IF(tabItens[[#This Row],[Abaixo]] &gt; 0,   tabItens[[#This Row],[Abaixo]] + (tabItens[[#This Row],[PontoMês]] * IF( OR( ISBLANK(tabItens[[#This Row],[ATA Nº/ANO]]), tabItens[[#This Row],[ATA Nº/ANO]] = ""),BE$2,BE$1)),0),0),0)</f>
        <v>0</v>
      </c>
      <c r="BF6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23">
        <f>SUMIF(Consumo!$C$3:$C$869,tabItens[[#This Row],[CÓDIGO]],Consumo!$E$3:$E$869)</f>
        <v>0</v>
      </c>
      <c r="BH606" s="324">
        <f>IF(AND(tabItens[[#This Row],[Pend]] &gt; 0,tabItens[[#This Row],[Consumo]] &lt;&gt; 0), tabItens[[#This Row],[Pend]] / tabItens[[#This Row],[Consumo]], 0 )</f>
        <v>0</v>
      </c>
      <c r="BI606" s="323"/>
      <c r="BJ606" s="323"/>
      <c r="BK606" s="325" t="s">
        <v>2064</v>
      </c>
    </row>
    <row r="607" spans="1:63" hidden="1" x14ac:dyDescent="0.3">
      <c r="A607" s="286">
        <v>13092</v>
      </c>
      <c r="B607" s="287" t="s">
        <v>1000</v>
      </c>
      <c r="C607" s="288" t="s">
        <v>256</v>
      </c>
      <c r="D607" s="289">
        <v>13.5</v>
      </c>
      <c r="E607" s="290"/>
      <c r="F607" s="290"/>
      <c r="G607" s="290" t="s">
        <v>883</v>
      </c>
      <c r="H607" s="291">
        <v>200</v>
      </c>
      <c r="I607" s="292">
        <v>103003</v>
      </c>
      <c r="J607" s="293">
        <v>13.5</v>
      </c>
      <c r="K607" s="294">
        <v>35</v>
      </c>
      <c r="L607" s="295">
        <f>IF(tabItens[[#This Row],[Média]] &gt; 0, tabItens[[#This Row],[QTDE ATUAL]] / tabItens[[#This Row],[Média]],999.9)</f>
        <v>64.864864864864856</v>
      </c>
      <c r="M607" s="296">
        <v>0</v>
      </c>
      <c r="N607" s="297">
        <f>tabItens[[#This Row],[VALOR UNIT.]] * tabItens[[#This Row],[LC]]</f>
        <v>0</v>
      </c>
      <c r="O607" s="298" t="s">
        <v>2074</v>
      </c>
      <c r="P607" s="299"/>
      <c r="Q607" s="300"/>
      <c r="R607" s="297"/>
      <c r="S607" s="301"/>
      <c r="T607" s="302">
        <f>ROUNDDOWN(IFERROR(tabItens[[#This Row],[ATA DT.VALID.]] - $D$1,0) / 30,0)</f>
        <v>-1504</v>
      </c>
      <c r="U607" s="287" t="s">
        <v>1001</v>
      </c>
      <c r="V607" s="303">
        <v>1</v>
      </c>
      <c r="W607" s="304" t="s">
        <v>2054</v>
      </c>
      <c r="X607" s="305">
        <v>61</v>
      </c>
      <c r="Y607" s="306">
        <v>11</v>
      </c>
      <c r="Z607" s="307"/>
      <c r="AA607" s="308"/>
      <c r="AB607" s="309"/>
      <c r="AC607" s="309"/>
      <c r="AD607" s="308"/>
      <c r="AE607" s="309"/>
      <c r="AF607" s="302"/>
      <c r="AG607" s="310" t="s">
        <v>2050</v>
      </c>
      <c r="AH607" s="311"/>
      <c r="AI607" s="302">
        <v>12</v>
      </c>
      <c r="AJ607" s="311">
        <v>44533</v>
      </c>
      <c r="AK607" s="311" t="s">
        <v>883</v>
      </c>
      <c r="AL607" s="311">
        <v>44522</v>
      </c>
      <c r="AM607" s="301"/>
      <c r="AN607" s="290"/>
      <c r="AO607" s="312" t="str">
        <f>_xlfn.IFNA(IF(VLOOKUP(tabItens[[#This Row],[CÓDIGO]],tabExcluirDoEstoque[#Data],1,FALSE),"sim",""),"")</f>
        <v/>
      </c>
      <c r="AP607" s="313" t="str">
        <f ca="1">IF(OR(ISBLANK(tabItens[[#This Row],[ATA DT.VALID.]]),tabItens[[#This Row],[ATA DT.VALID.]]="",tabItens[[#This Row],[ATA DT.VALID.]]=" "),"",IF(TYPE(tabItens[[#This Row],[ATA DT.VALID.]])=1,ROUNDUP((tabItens[[#This Row],[ATA DT.VALID.]]-TODAY())/7,0),""))</f>
        <v/>
      </c>
      <c r="AQ607" s="314">
        <v>0</v>
      </c>
      <c r="AR607" s="315" t="str">
        <f>IF(ISBLANK(tabItens[[#This Row],[CÓDIGO]]),"",IFERROR(VLOOKUP(tabItens[[#This Row],[CÓDIGO]],Consumo!$C$2:$AC$869,26,FALSE),0))</f>
        <v>07.2023</v>
      </c>
      <c r="AS607" s="316">
        <f>SUMIF(Consumo!$C$3:$C$869,tabItens[[#This Row],[CÓDIGO]],Consumo!$N$3:$N$869) + SUMIF(Consumo!$C$3:$C$869,tabItens[[#This Row],[CÓDIGO]],Consumo!$O$3:$O$869) + SUMIF(Consumo!$C$3:$C$869,tabItens[[#This Row],[CÓDIGO]],Consumo!$P$3:$P$869) + SUMIF(Consumo!$C$3:$C$869,tabItens[[#This Row],[CÓDIGO]],Consumo!$Q$3:$Q$869)</f>
        <v>10</v>
      </c>
      <c r="AT607" s="316">
        <f>SUMIF(Consumo!$C$3:$C$869,tabItens[[#This Row],[CÓDIGO]],Consumo!$Z$3:$Z$869)</f>
        <v>37</v>
      </c>
      <c r="AU607" s="317">
        <f>SUMIF(Consumo!$C$3:$C$869,tabItens[[#This Row],[CÓDIGO]],Consumo!$AA$3:$AA$869)</f>
        <v>10</v>
      </c>
      <c r="AV607" s="318">
        <f>SUMIF(Consumo!$C$3:$C$869,tabItens[[#This Row],[CÓDIGO]],Consumo!$Y$3:$Y$869)</f>
        <v>3.0833333333333335</v>
      </c>
      <c r="AW607" s="291">
        <f>tabItens[[#This Row],[QTDE ATUAL]] + tabItens[[#This Row],[RC QTDE]] + tabItens[[#This Row],[AF SALDO]] + tabItens[[#This Row],[Recentes]]</f>
        <v>200</v>
      </c>
      <c r="AX607" s="319">
        <v>9</v>
      </c>
      <c r="AY607" s="319">
        <v>4</v>
      </c>
      <c r="AZ607" s="319">
        <f>IF(ISBLANK(tabItens[[#This Row],[CÓDIGO]]),"",tabItens[[#This Row],[PontoMês]] * (AZ$2+tabItens[[#This Row],[PontoQtM]]))</f>
        <v>36</v>
      </c>
      <c r="BA607" s="318">
        <f>tabItens[[#This Row],[PontoPed]] - tabItens[[#This Row],[Saldo]] + (1/10)</f>
        <v>-163.9</v>
      </c>
      <c r="BB607" s="318">
        <f xml:space="preserve"> tabItens[[#This Row],[PontoMês]] * BB$2 - tabItens[[#This Row],[QTDE ATUAL]] - (1/10)</f>
        <v>-191.1</v>
      </c>
      <c r="BC607" s="320">
        <f>IF( tabItens[[#This Row],[PontoPed]]&gt;0, IF(tabItens[[#This Row],[PontoPed]]&lt;1, 1, IF( tabItens[[#This Row],[Saldo]]&gt;tabItens[[#This Row],[PontoPed]], 0, (tabItens[[#This Row],[PontoPed]]-tabItens[[#This Row],[Saldo]])/tabItens[[#This Row],[PontoPed]] ) ), 0 )</f>
        <v>0</v>
      </c>
      <c r="BD607" s="321">
        <f>ROUNDDOWN(IF( OR( AND(tabItens[[#This Row],[PontoPed]]&lt;tabItens[[#This Row],[Saldo]],tabItens[[#This Row],[Saldo]]&gt;0), tabItens[[#This Row],[PontoPed]]=0), 99, IF(AND(tabItens[[#This Row],[Saldo]]=0,tabItens[[#This Row],[PontoPed]]&gt;0), 0, (1-tabItens[[#This Row],[PctAb]])*10 ) ),0)</f>
        <v>99</v>
      </c>
      <c r="BE607" s="322">
        <f>MAX(ROUNDDOWN( IF(tabItens[[#This Row],[Abaixo]] &gt; 0,   tabItens[[#This Row],[Abaixo]] + (tabItens[[#This Row],[PontoMês]] * IF( OR( ISBLANK(tabItens[[#This Row],[ATA Nº/ANO]]), tabItens[[#This Row],[ATA Nº/ANO]] = ""),BE$2,BE$1)),0),0),0)</f>
        <v>0</v>
      </c>
      <c r="BF60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323">
        <f>SUMIF(Consumo!$C$3:$C$869,tabItens[[#This Row],[CÓDIGO]],Consumo!$E$3:$E$869)</f>
        <v>0</v>
      </c>
      <c r="BH607" s="324">
        <f>IF(AND(tabItens[[#This Row],[Pend]] &gt; 0,tabItens[[#This Row],[Consumo]] &lt;&gt; 0), tabItens[[#This Row],[Pend]] / tabItens[[#This Row],[Consumo]], 0 )</f>
        <v>0</v>
      </c>
      <c r="BI607" s="323"/>
      <c r="BJ607" s="323"/>
      <c r="BK607" s="325" t="s">
        <v>2064</v>
      </c>
    </row>
    <row r="608" spans="1:63" hidden="1" x14ac:dyDescent="0.3">
      <c r="A608" s="286">
        <v>138055</v>
      </c>
      <c r="B608" s="287" t="s">
        <v>1948</v>
      </c>
      <c r="C608" s="288" t="s">
        <v>256</v>
      </c>
      <c r="D608" s="289">
        <v>3.78</v>
      </c>
      <c r="E608" s="290"/>
      <c r="F608" s="290"/>
      <c r="G608" s="290" t="s">
        <v>883</v>
      </c>
      <c r="H608" s="291">
        <v>446</v>
      </c>
      <c r="I608" s="292">
        <v>103003</v>
      </c>
      <c r="J608" s="293">
        <v>3.78</v>
      </c>
      <c r="K608" s="294">
        <v>490</v>
      </c>
      <c r="L608" s="295">
        <f>IF(tabItens[[#This Row],[Média]] &gt; 0, tabItens[[#This Row],[QTDE ATUAL]] / tabItens[[#This Row],[Média]],999.9)</f>
        <v>9.3730297723292466</v>
      </c>
      <c r="M608" s="296">
        <v>0</v>
      </c>
      <c r="N608" s="297">
        <f>tabItens[[#This Row],[VALOR UNIT.]] * tabItens[[#This Row],[LC]]</f>
        <v>0</v>
      </c>
      <c r="O608" s="298" t="s">
        <v>2074</v>
      </c>
      <c r="P608" s="299"/>
      <c r="Q608" s="300"/>
      <c r="R608" s="297"/>
      <c r="S608" s="301"/>
      <c r="T608" s="302">
        <f>ROUNDDOWN(IFERROR(tabItens[[#This Row],[ATA DT.VALID.]] - $D$1,0) / 30,0)</f>
        <v>-1504</v>
      </c>
      <c r="U608" s="287" t="s">
        <v>1001</v>
      </c>
      <c r="V608" s="303">
        <v>1</v>
      </c>
      <c r="W608" s="304" t="s">
        <v>2054</v>
      </c>
      <c r="X608" s="305">
        <v>61</v>
      </c>
      <c r="Y608" s="306">
        <v>11</v>
      </c>
      <c r="Z608" s="307">
        <v>2454</v>
      </c>
      <c r="AA608" s="308">
        <v>2023</v>
      </c>
      <c r="AB608" s="309">
        <v>100</v>
      </c>
      <c r="AC608" s="309"/>
      <c r="AD608" s="308"/>
      <c r="AE608" s="309"/>
      <c r="AF608" s="302"/>
      <c r="AG608" s="310" t="s">
        <v>2050</v>
      </c>
      <c r="AH608" s="311"/>
      <c r="AI608" s="302">
        <v>208</v>
      </c>
      <c r="AJ608" s="311">
        <v>44792</v>
      </c>
      <c r="AK608" s="311">
        <v>43656</v>
      </c>
      <c r="AL608" s="311">
        <v>44813</v>
      </c>
      <c r="AM608" s="301"/>
      <c r="AN608" s="290"/>
      <c r="AO608" s="312" t="str">
        <f>_xlfn.IFNA(IF(VLOOKUP(tabItens[[#This Row],[CÓDIGO]],tabExcluirDoEstoque[#Data],1,FALSE),"sim",""),"")</f>
        <v/>
      </c>
      <c r="AP608" s="313" t="str">
        <f ca="1">IF(OR(ISBLANK(tabItens[[#This Row],[ATA DT.VALID.]]),tabItens[[#This Row],[ATA DT.VALID.]]="",tabItens[[#This Row],[ATA DT.VALID.]]=" "),"",IF(TYPE(tabItens[[#This Row],[ATA DT.VALID.]])=1,ROUNDUP((tabItens[[#This Row],[ATA DT.VALID.]]-TODAY())/7,0),""))</f>
        <v/>
      </c>
      <c r="AQ608" s="314">
        <v>0</v>
      </c>
      <c r="AR608" s="315" t="str">
        <f>IF(ISBLANK(tabItens[[#This Row],[CÓDIGO]]),"",IFERROR(VLOOKUP(tabItens[[#This Row],[CÓDIGO]],Consumo!$C$2:$AC$869,26,FALSE),0))</f>
        <v>05.2023</v>
      </c>
      <c r="AS608" s="316">
        <f>SUMIF(Consumo!$C$3:$C$869,tabItens[[#This Row],[CÓDIGO]],Consumo!$N$3:$N$869) + SUMIF(Consumo!$C$3:$C$869,tabItens[[#This Row],[CÓDIGO]],Consumo!$O$3:$O$869) + SUMIF(Consumo!$C$3:$C$869,tabItens[[#This Row],[CÓDIGO]],Consumo!$P$3:$P$869) + SUMIF(Consumo!$C$3:$C$869,tabItens[[#This Row],[CÓDIGO]],Consumo!$Q$3:$Q$869)</f>
        <v>238</v>
      </c>
      <c r="AT608" s="316">
        <f>SUMIF(Consumo!$C$3:$C$869,tabItens[[#This Row],[CÓDIGO]],Consumo!$Z$3:$Z$869)</f>
        <v>589</v>
      </c>
      <c r="AU608" s="317">
        <f>SUMIF(Consumo!$C$3:$C$869,tabItens[[#This Row],[CÓDIGO]],Consumo!$AA$3:$AA$869)</f>
        <v>156</v>
      </c>
      <c r="AV608" s="318">
        <f>SUMIF(Consumo!$C$3:$C$869,tabItens[[#This Row],[CÓDIGO]],Consumo!$Y$3:$Y$869)</f>
        <v>47.583333333333336</v>
      </c>
      <c r="AW608" s="291">
        <f>tabItens[[#This Row],[QTDE ATUAL]] + tabItens[[#This Row],[RC QTDE]] + tabItens[[#This Row],[AF SALDO]] + tabItens[[#This Row],[Recentes]]</f>
        <v>546</v>
      </c>
      <c r="AX608" s="319">
        <v>50</v>
      </c>
      <c r="AY608" s="319">
        <v>4</v>
      </c>
      <c r="AZ608" s="319">
        <f>IF(ISBLANK(tabItens[[#This Row],[CÓDIGO]]),"",tabItens[[#This Row],[PontoMês]] * (AZ$2+tabItens[[#This Row],[PontoQtM]]))</f>
        <v>200</v>
      </c>
      <c r="BA608" s="318">
        <f>tabItens[[#This Row],[PontoPed]] - tabItens[[#This Row],[Saldo]] + (1/10)</f>
        <v>-345.9</v>
      </c>
      <c r="BB608" s="318">
        <f xml:space="preserve"> tabItens[[#This Row],[PontoMês]] * BB$2 - tabItens[[#This Row],[QTDE ATUAL]] - (1/10)</f>
        <v>-396.1</v>
      </c>
      <c r="BC608" s="320">
        <f>IF( tabItens[[#This Row],[PontoPed]]&gt;0, IF(tabItens[[#This Row],[PontoPed]]&lt;1, 1, IF( tabItens[[#This Row],[Saldo]]&gt;tabItens[[#This Row],[PontoPed]], 0, (tabItens[[#This Row],[PontoPed]]-tabItens[[#This Row],[Saldo]])/tabItens[[#This Row],[PontoPed]] ) ), 0 )</f>
        <v>0</v>
      </c>
      <c r="BD608" s="321">
        <f>ROUNDDOWN(IF( OR( AND(tabItens[[#This Row],[PontoPed]]&lt;tabItens[[#This Row],[Saldo]],tabItens[[#This Row],[Saldo]]&gt;0), tabItens[[#This Row],[PontoPed]]=0), 99, IF(AND(tabItens[[#This Row],[Saldo]]=0,tabItens[[#This Row],[PontoPed]]&gt;0), 0, (1-tabItens[[#This Row],[PctAb]])*10 ) ),0)</f>
        <v>99</v>
      </c>
      <c r="BE608" s="322">
        <f>MAX(ROUNDDOWN( IF(tabItens[[#This Row],[Abaixo]] &gt; 0,   tabItens[[#This Row],[Abaixo]] + (tabItens[[#This Row],[PontoMês]] * IF( OR( ISBLANK(tabItens[[#This Row],[ATA Nº/ANO]]), tabItens[[#This Row],[ATA Nº/ANO]] = ""),BE$2,BE$1)),0),0),0)</f>
        <v>0</v>
      </c>
      <c r="BF6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323">
        <f>SUMIF(Consumo!$C$3:$C$869,tabItens[[#This Row],[CÓDIGO]],Consumo!$E$3:$E$869)</f>
        <v>0</v>
      </c>
      <c r="BH608" s="324">
        <f>IF(AND(tabItens[[#This Row],[Pend]] &gt; 0,tabItens[[#This Row],[Consumo]] &lt;&gt; 0), tabItens[[#This Row],[Pend]] / tabItens[[#This Row],[Consumo]], 0 )</f>
        <v>0</v>
      </c>
      <c r="BI608" s="323"/>
      <c r="BJ608" s="323"/>
      <c r="BK608" s="325" t="s">
        <v>2064</v>
      </c>
    </row>
    <row r="609" spans="1:63" hidden="1" x14ac:dyDescent="0.3">
      <c r="A609" s="286">
        <v>24500</v>
      </c>
      <c r="B609" s="287" t="s">
        <v>1200</v>
      </c>
      <c r="C609" s="288" t="s">
        <v>256</v>
      </c>
      <c r="D609" s="289">
        <v>25.5</v>
      </c>
      <c r="E609" s="290"/>
      <c r="F609" s="290"/>
      <c r="G609" s="290" t="s">
        <v>883</v>
      </c>
      <c r="H609" s="291">
        <v>206</v>
      </c>
      <c r="I609" s="292">
        <v>103003</v>
      </c>
      <c r="J609" s="293">
        <v>25.5</v>
      </c>
      <c r="K609" s="294">
        <v>536</v>
      </c>
      <c r="L609" s="295">
        <f>IF(tabItens[[#This Row],[Média]] &gt; 0, tabItens[[#This Row],[QTDE ATUAL]] / tabItens[[#This Row],[Média]],999.9)</f>
        <v>4.4221824686940963</v>
      </c>
      <c r="M609" s="296">
        <v>0</v>
      </c>
      <c r="N609" s="297">
        <f>tabItens[[#This Row],[VALOR UNIT.]] * tabItens[[#This Row],[LC]]</f>
        <v>0</v>
      </c>
      <c r="O609" s="298" t="s">
        <v>2074</v>
      </c>
      <c r="P609" s="299"/>
      <c r="Q609" s="300"/>
      <c r="R609" s="297"/>
      <c r="S609" s="301"/>
      <c r="T609" s="302">
        <f>ROUNDDOWN(IFERROR(tabItens[[#This Row],[ATA DT.VALID.]] - $D$1,0) / 30,0)</f>
        <v>-1504</v>
      </c>
      <c r="U609" s="287" t="s">
        <v>1013</v>
      </c>
      <c r="V609" s="303">
        <v>1</v>
      </c>
      <c r="W609" s="304" t="s">
        <v>2054</v>
      </c>
      <c r="X609" s="305">
        <v>61</v>
      </c>
      <c r="Y609" s="306">
        <v>14</v>
      </c>
      <c r="Z609" s="307">
        <v>2238</v>
      </c>
      <c r="AA609" s="308">
        <v>2023</v>
      </c>
      <c r="AB609" s="309">
        <v>600</v>
      </c>
      <c r="AC609" s="309"/>
      <c r="AD609" s="308"/>
      <c r="AE609" s="309"/>
      <c r="AF609" s="302"/>
      <c r="AG609" s="310" t="s">
        <v>2050</v>
      </c>
      <c r="AH609" s="311"/>
      <c r="AI609" s="302">
        <v>194</v>
      </c>
      <c r="AJ609" s="311">
        <v>44957</v>
      </c>
      <c r="AK609" s="311" t="s">
        <v>883</v>
      </c>
      <c r="AL609" s="311">
        <v>44942</v>
      </c>
      <c r="AM609" s="301"/>
      <c r="AN609" s="290"/>
      <c r="AO609" s="312" t="str">
        <f>_xlfn.IFNA(IF(VLOOKUP(tabItens[[#This Row],[CÓDIGO]],tabExcluirDoEstoque[#Data],1,FALSE),"sim",""),"")</f>
        <v/>
      </c>
      <c r="AP609" s="313" t="str">
        <f ca="1">IF(OR(ISBLANK(tabItens[[#This Row],[ATA DT.VALID.]]),tabItens[[#This Row],[ATA DT.VALID.]]="",tabItens[[#This Row],[ATA DT.VALID.]]=" "),"",IF(TYPE(tabItens[[#This Row],[ATA DT.VALID.]])=1,ROUNDUP((tabItens[[#This Row],[ATA DT.VALID.]]-TODAY())/7,0),""))</f>
        <v/>
      </c>
      <c r="AQ609" s="314">
        <v>0</v>
      </c>
      <c r="AR609" s="315" t="str">
        <f>IF(ISBLANK(tabItens[[#This Row],[CÓDIGO]]),"",IFERROR(VLOOKUP(tabItens[[#This Row],[CÓDIGO]],Consumo!$C$2:$AC$869,26,FALSE),0))</f>
        <v>07.2023</v>
      </c>
      <c r="AS609" s="316">
        <f>SUMIF(Consumo!$C$3:$C$869,tabItens[[#This Row],[CÓDIGO]],Consumo!$N$3:$N$869) + SUMIF(Consumo!$C$3:$C$869,tabItens[[#This Row],[CÓDIGO]],Consumo!$O$3:$O$869) + SUMIF(Consumo!$C$3:$C$869,tabItens[[#This Row],[CÓDIGO]],Consumo!$P$3:$P$869) + SUMIF(Consumo!$C$3:$C$869,tabItens[[#This Row],[CÓDIGO]],Consumo!$Q$3:$Q$869)</f>
        <v>179</v>
      </c>
      <c r="AT609" s="316">
        <f>SUMIF(Consumo!$C$3:$C$869,tabItens[[#This Row],[CÓDIGO]],Consumo!$Z$3:$Z$869)</f>
        <v>621</v>
      </c>
      <c r="AU609" s="317">
        <f>SUMIF(Consumo!$C$3:$C$869,tabItens[[#This Row],[CÓDIGO]],Consumo!$AA$3:$AA$869)</f>
        <v>243</v>
      </c>
      <c r="AV609" s="318">
        <f>SUMIF(Consumo!$C$3:$C$869,tabItens[[#This Row],[CÓDIGO]],Consumo!$Y$3:$Y$869)</f>
        <v>46.583333333333336</v>
      </c>
      <c r="AW609" s="291">
        <f>tabItens[[#This Row],[QTDE ATUAL]] + tabItens[[#This Row],[RC QTDE]] + tabItens[[#This Row],[AF SALDO]] + tabItens[[#This Row],[Recentes]]</f>
        <v>806</v>
      </c>
      <c r="AX609" s="319">
        <v>17</v>
      </c>
      <c r="AY609" s="319">
        <v>4</v>
      </c>
      <c r="AZ609" s="319">
        <f>IF(ISBLANK(tabItens[[#This Row],[CÓDIGO]]),"",tabItens[[#This Row],[PontoMês]] * (AZ$2+tabItens[[#This Row],[PontoQtM]]))</f>
        <v>68</v>
      </c>
      <c r="BA609" s="318">
        <f>tabItens[[#This Row],[PontoPed]] - tabItens[[#This Row],[Saldo]] + (1/10)</f>
        <v>-737.9</v>
      </c>
      <c r="BB609" s="318">
        <f xml:space="preserve"> tabItens[[#This Row],[PontoMês]] * BB$2 - tabItens[[#This Row],[QTDE ATUAL]] - (1/10)</f>
        <v>-189.1</v>
      </c>
      <c r="BC609" s="320">
        <f>IF( tabItens[[#This Row],[PontoPed]]&gt;0, IF(tabItens[[#This Row],[PontoPed]]&lt;1, 1, IF( tabItens[[#This Row],[Saldo]]&gt;tabItens[[#This Row],[PontoPed]], 0, (tabItens[[#This Row],[PontoPed]]-tabItens[[#This Row],[Saldo]])/tabItens[[#This Row],[PontoPed]] ) ), 0 )</f>
        <v>0</v>
      </c>
      <c r="BD609" s="321">
        <f>ROUNDDOWN(IF( OR( AND(tabItens[[#This Row],[PontoPed]]&lt;tabItens[[#This Row],[Saldo]],tabItens[[#This Row],[Saldo]]&gt;0), tabItens[[#This Row],[PontoPed]]=0), 99, IF(AND(tabItens[[#This Row],[Saldo]]=0,tabItens[[#This Row],[PontoPed]]&gt;0), 0, (1-tabItens[[#This Row],[PctAb]])*10 ) ),0)</f>
        <v>99</v>
      </c>
      <c r="BE609" s="322">
        <f>MAX(ROUNDDOWN( IF(tabItens[[#This Row],[Abaixo]] &gt; 0,   tabItens[[#This Row],[Abaixo]] + (tabItens[[#This Row],[PontoMês]] * IF( OR( ISBLANK(tabItens[[#This Row],[ATA Nº/ANO]]), tabItens[[#This Row],[ATA Nº/ANO]] = ""),BE$2,BE$1)),0),0),0)</f>
        <v>0</v>
      </c>
      <c r="BF6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323">
        <f>SUMIF(Consumo!$C$3:$C$869,tabItens[[#This Row],[CÓDIGO]],Consumo!$E$3:$E$869)</f>
        <v>39</v>
      </c>
      <c r="BH609" s="324">
        <f>IF(AND(tabItens[[#This Row],[Pend]] &gt; 0,tabItens[[#This Row],[Consumo]] &lt;&gt; 0), tabItens[[#This Row],[Pend]] / tabItens[[#This Row],[Consumo]], 0 )</f>
        <v>6.280193236714976E-2</v>
      </c>
      <c r="BI609" s="323"/>
      <c r="BJ609" s="323"/>
      <c r="BK609" s="325" t="s">
        <v>2064</v>
      </c>
    </row>
    <row r="610" spans="1:63" hidden="1" x14ac:dyDescent="0.3">
      <c r="A610" s="286">
        <v>13117</v>
      </c>
      <c r="B610" s="287" t="s">
        <v>1010</v>
      </c>
      <c r="C610" s="288" t="s">
        <v>256</v>
      </c>
      <c r="D610" s="289">
        <v>30</v>
      </c>
      <c r="E610" s="290"/>
      <c r="F610" s="290"/>
      <c r="G610" s="290" t="s">
        <v>883</v>
      </c>
      <c r="H610" s="291">
        <v>104</v>
      </c>
      <c r="I610" s="292">
        <v>103003</v>
      </c>
      <c r="J610" s="293">
        <v>30</v>
      </c>
      <c r="K610" s="294">
        <v>37</v>
      </c>
      <c r="L610" s="295">
        <f>IF(tabItens[[#This Row],[Média]] &gt; 0, tabItens[[#This Row],[QTDE ATUAL]] / tabItens[[#This Row],[Média]],999.9)</f>
        <v>34.666666666666664</v>
      </c>
      <c r="M610" s="296">
        <v>0</v>
      </c>
      <c r="N610" s="297">
        <f>tabItens[[#This Row],[VALOR UNIT.]] * tabItens[[#This Row],[LC]]</f>
        <v>0</v>
      </c>
      <c r="O610" s="298" t="s">
        <v>2074</v>
      </c>
      <c r="P610" s="299"/>
      <c r="Q610" s="300"/>
      <c r="R610" s="297"/>
      <c r="S610" s="301"/>
      <c r="T610" s="302">
        <f>ROUNDDOWN(IFERROR(tabItens[[#This Row],[ATA DT.VALID.]] - $D$1,0) / 30,0)</f>
        <v>-1504</v>
      </c>
      <c r="U610" s="287" t="s">
        <v>1009</v>
      </c>
      <c r="V610" s="303">
        <v>1</v>
      </c>
      <c r="W610" s="304" t="s">
        <v>2054</v>
      </c>
      <c r="X610" s="305">
        <v>61</v>
      </c>
      <c r="Y610" s="306">
        <v>15</v>
      </c>
      <c r="Z610" s="307"/>
      <c r="AA610" s="308"/>
      <c r="AB610" s="309"/>
      <c r="AC610" s="309"/>
      <c r="AD610" s="308"/>
      <c r="AE610" s="309"/>
      <c r="AF610" s="302"/>
      <c r="AG610" s="310" t="s">
        <v>2050</v>
      </c>
      <c r="AH610" s="311"/>
      <c r="AI610" s="302">
        <v>14</v>
      </c>
      <c r="AJ610" s="311">
        <v>44144</v>
      </c>
      <c r="AK610" s="311" t="s">
        <v>883</v>
      </c>
      <c r="AL610" s="311">
        <v>44946</v>
      </c>
      <c r="AM610" s="301"/>
      <c r="AN610" s="290"/>
      <c r="AO610" s="312" t="str">
        <f>_xlfn.IFNA(IF(VLOOKUP(tabItens[[#This Row],[CÓDIGO]],tabExcluirDoEstoque[#Data],1,FALSE),"sim",""),"")</f>
        <v/>
      </c>
      <c r="AP610" s="313" t="str">
        <f ca="1">IF(OR(ISBLANK(tabItens[[#This Row],[ATA DT.VALID.]]),tabItens[[#This Row],[ATA DT.VALID.]]="",tabItens[[#This Row],[ATA DT.VALID.]]=" "),"",IF(TYPE(tabItens[[#This Row],[ATA DT.VALID.]])=1,ROUNDUP((tabItens[[#This Row],[ATA DT.VALID.]]-TODAY())/7,0),""))</f>
        <v/>
      </c>
      <c r="AQ610" s="314">
        <v>0</v>
      </c>
      <c r="AR610" s="315" t="str">
        <f>IF(ISBLANK(tabItens[[#This Row],[CÓDIGO]]),"",IFERROR(VLOOKUP(tabItens[[#This Row],[CÓDIGO]],Consumo!$C$2:$AC$869,26,FALSE),0))</f>
        <v>05.2023</v>
      </c>
      <c r="AS610" s="316">
        <f>SUMIF(Consumo!$C$3:$C$869,tabItens[[#This Row],[CÓDIGO]],Consumo!$N$3:$N$869) + SUMIF(Consumo!$C$3:$C$869,tabItens[[#This Row],[CÓDIGO]],Consumo!$O$3:$O$869) + SUMIF(Consumo!$C$3:$C$869,tabItens[[#This Row],[CÓDIGO]],Consumo!$P$3:$P$869) + SUMIF(Consumo!$C$3:$C$869,tabItens[[#This Row],[CÓDIGO]],Consumo!$Q$3:$Q$869)</f>
        <v>18</v>
      </c>
      <c r="AT610" s="316">
        <f>SUMIF(Consumo!$C$3:$C$869,tabItens[[#This Row],[CÓDIGO]],Consumo!$Z$3:$Z$869)</f>
        <v>38</v>
      </c>
      <c r="AU610" s="317">
        <f>SUMIF(Consumo!$C$3:$C$869,tabItens[[#This Row],[CÓDIGO]],Consumo!$AA$3:$AA$869)</f>
        <v>17</v>
      </c>
      <c r="AV610" s="318">
        <f>SUMIF(Consumo!$C$3:$C$869,tabItens[[#This Row],[CÓDIGO]],Consumo!$Y$3:$Y$869)</f>
        <v>3</v>
      </c>
      <c r="AW610" s="291">
        <f>tabItens[[#This Row],[QTDE ATUAL]] + tabItens[[#This Row],[RC QTDE]] + tabItens[[#This Row],[AF SALDO]] + tabItens[[#This Row],[Recentes]]</f>
        <v>104</v>
      </c>
      <c r="AX610" s="319">
        <v>9</v>
      </c>
      <c r="AY610" s="319">
        <v>4</v>
      </c>
      <c r="AZ610" s="319">
        <f>IF(ISBLANK(tabItens[[#This Row],[CÓDIGO]]),"",tabItens[[#This Row],[PontoMês]] * (AZ$2+tabItens[[#This Row],[PontoQtM]]))</f>
        <v>36</v>
      </c>
      <c r="BA610" s="318">
        <f>tabItens[[#This Row],[PontoPed]] - tabItens[[#This Row],[Saldo]] + (1/10)</f>
        <v>-67.900000000000006</v>
      </c>
      <c r="BB610" s="318">
        <f xml:space="preserve"> tabItens[[#This Row],[PontoMês]] * BB$2 - tabItens[[#This Row],[QTDE ATUAL]] - (1/10)</f>
        <v>-95.1</v>
      </c>
      <c r="BC610" s="320">
        <f>IF( tabItens[[#This Row],[PontoPed]]&gt;0, IF(tabItens[[#This Row],[PontoPed]]&lt;1, 1, IF( tabItens[[#This Row],[Saldo]]&gt;tabItens[[#This Row],[PontoPed]], 0, (tabItens[[#This Row],[PontoPed]]-tabItens[[#This Row],[Saldo]])/tabItens[[#This Row],[PontoPed]] ) ), 0 )</f>
        <v>0</v>
      </c>
      <c r="BD610" s="321">
        <f>ROUNDDOWN(IF( OR( AND(tabItens[[#This Row],[PontoPed]]&lt;tabItens[[#This Row],[Saldo]],tabItens[[#This Row],[Saldo]]&gt;0), tabItens[[#This Row],[PontoPed]]=0), 99, IF(AND(tabItens[[#This Row],[Saldo]]=0,tabItens[[#This Row],[PontoPed]]&gt;0), 0, (1-tabItens[[#This Row],[PctAb]])*10 ) ),0)</f>
        <v>99</v>
      </c>
      <c r="BE610" s="322">
        <f>MAX(ROUNDDOWN( IF(tabItens[[#This Row],[Abaixo]] &gt; 0,   tabItens[[#This Row],[Abaixo]] + (tabItens[[#This Row],[PontoMês]] * IF( OR( ISBLANK(tabItens[[#This Row],[ATA Nº/ANO]]), tabItens[[#This Row],[ATA Nº/ANO]] = ""),BE$2,BE$1)),0),0),0)</f>
        <v>0</v>
      </c>
      <c r="BF6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323">
        <f>SUMIF(Consumo!$C$3:$C$869,tabItens[[#This Row],[CÓDIGO]],Consumo!$E$3:$E$869)</f>
        <v>0</v>
      </c>
      <c r="BH610" s="324">
        <f>IF(AND(tabItens[[#This Row],[Pend]] &gt; 0,tabItens[[#This Row],[Consumo]] &lt;&gt; 0), tabItens[[#This Row],[Pend]] / tabItens[[#This Row],[Consumo]], 0 )</f>
        <v>0</v>
      </c>
      <c r="BI610" s="323"/>
      <c r="BJ610" s="323"/>
      <c r="BK610" s="325" t="s">
        <v>2064</v>
      </c>
    </row>
    <row r="611" spans="1:63" hidden="1" x14ac:dyDescent="0.3">
      <c r="A611" s="286">
        <v>15066</v>
      </c>
      <c r="B611" s="287" t="s">
        <v>1080</v>
      </c>
      <c r="C611" s="288" t="s">
        <v>256</v>
      </c>
      <c r="D611" s="289">
        <v>39</v>
      </c>
      <c r="E611" s="290"/>
      <c r="F611" s="290"/>
      <c r="G611" s="290" t="s">
        <v>883</v>
      </c>
      <c r="H611" s="291">
        <v>179</v>
      </c>
      <c r="I611" s="292">
        <v>103003</v>
      </c>
      <c r="J611" s="293">
        <v>39</v>
      </c>
      <c r="K611" s="294">
        <v>143</v>
      </c>
      <c r="L611" s="295">
        <f>IF(tabItens[[#This Row],[Média]] &gt; 0, tabItens[[#This Row],[QTDE ATUAL]] / tabItens[[#This Row],[Média]],999.9)</f>
        <v>15.020979020979022</v>
      </c>
      <c r="M611" s="296">
        <v>0</v>
      </c>
      <c r="N611" s="297">
        <f>tabItens[[#This Row],[VALOR UNIT.]] * tabItens[[#This Row],[LC]]</f>
        <v>0</v>
      </c>
      <c r="O611" s="298" t="s">
        <v>2074</v>
      </c>
      <c r="P611" s="299"/>
      <c r="Q611" s="300"/>
      <c r="R611" s="297"/>
      <c r="S611" s="301"/>
      <c r="T611" s="302">
        <f>ROUNDDOWN(IFERROR(tabItens[[#This Row],[ATA DT.VALID.]] - $D$1,0) / 30,0)</f>
        <v>-1504</v>
      </c>
      <c r="U611" s="287" t="s">
        <v>1009</v>
      </c>
      <c r="V611" s="303">
        <v>1</v>
      </c>
      <c r="W611" s="304" t="s">
        <v>2054</v>
      </c>
      <c r="X611" s="305">
        <v>61</v>
      </c>
      <c r="Y611" s="306">
        <v>15</v>
      </c>
      <c r="Z611" s="307"/>
      <c r="AA611" s="308"/>
      <c r="AB611" s="309"/>
      <c r="AC611" s="309"/>
      <c r="AD611" s="308"/>
      <c r="AE611" s="309"/>
      <c r="AF611" s="302"/>
      <c r="AG611" s="310" t="s">
        <v>2050</v>
      </c>
      <c r="AH611" s="311"/>
      <c r="AI611" s="302">
        <v>48</v>
      </c>
      <c r="AJ611" s="311">
        <v>44613</v>
      </c>
      <c r="AK611" s="311" t="s">
        <v>883</v>
      </c>
      <c r="AL611" s="311">
        <v>44607</v>
      </c>
      <c r="AM611" s="301"/>
      <c r="AN611" s="290"/>
      <c r="AO611" s="312" t="str">
        <f>_xlfn.IFNA(IF(VLOOKUP(tabItens[[#This Row],[CÓDIGO]],tabExcluirDoEstoque[#Data],1,FALSE),"sim",""),"")</f>
        <v/>
      </c>
      <c r="AP611" s="313" t="str">
        <f ca="1">IF(OR(ISBLANK(tabItens[[#This Row],[ATA DT.VALID.]]),tabItens[[#This Row],[ATA DT.VALID.]]="",tabItens[[#This Row],[ATA DT.VALID.]]=" "),"",IF(TYPE(tabItens[[#This Row],[ATA DT.VALID.]])=1,ROUNDUP((tabItens[[#This Row],[ATA DT.VALID.]]-TODAY())/7,0),""))</f>
        <v/>
      </c>
      <c r="AQ611" s="314">
        <v>0</v>
      </c>
      <c r="AR611" s="315" t="str">
        <f>IF(ISBLANK(tabItens[[#This Row],[CÓDIGO]]),"",IFERROR(VLOOKUP(tabItens[[#This Row],[CÓDIGO]],Consumo!$C$2:$AC$869,26,FALSE),0))</f>
        <v>05.2023</v>
      </c>
      <c r="AS611" s="316">
        <f>SUMIF(Consumo!$C$3:$C$869,tabItens[[#This Row],[CÓDIGO]],Consumo!$N$3:$N$869) + SUMIF(Consumo!$C$3:$C$869,tabItens[[#This Row],[CÓDIGO]],Consumo!$O$3:$O$869) + SUMIF(Consumo!$C$3:$C$869,tabItens[[#This Row],[CÓDIGO]],Consumo!$P$3:$P$869) + SUMIF(Consumo!$C$3:$C$869,tabItens[[#This Row],[CÓDIGO]],Consumo!$Q$3:$Q$869)</f>
        <v>45</v>
      </c>
      <c r="AT611" s="316">
        <f>SUMIF(Consumo!$C$3:$C$869,tabItens[[#This Row],[CÓDIGO]],Consumo!$Z$3:$Z$869)</f>
        <v>143</v>
      </c>
      <c r="AU611" s="317">
        <f>SUMIF(Consumo!$C$3:$C$869,tabItens[[#This Row],[CÓDIGO]],Consumo!$AA$3:$AA$869)</f>
        <v>35</v>
      </c>
      <c r="AV611" s="318">
        <f>SUMIF(Consumo!$C$3:$C$869,tabItens[[#This Row],[CÓDIGO]],Consumo!$Y$3:$Y$869)</f>
        <v>11.916666666666666</v>
      </c>
      <c r="AW611" s="291">
        <f>tabItens[[#This Row],[QTDE ATUAL]] + tabItens[[#This Row],[RC QTDE]] + tabItens[[#This Row],[AF SALDO]] + tabItens[[#This Row],[Recentes]]</f>
        <v>179</v>
      </c>
      <c r="AX611" s="319">
        <v>17</v>
      </c>
      <c r="AY611" s="319">
        <v>4</v>
      </c>
      <c r="AZ611" s="319">
        <f>IF(ISBLANK(tabItens[[#This Row],[CÓDIGO]]),"",tabItens[[#This Row],[PontoMês]] * (AZ$2+tabItens[[#This Row],[PontoQtM]]))</f>
        <v>68</v>
      </c>
      <c r="BA611" s="318">
        <f>tabItens[[#This Row],[PontoPed]] - tabItens[[#This Row],[Saldo]] + (1/10)</f>
        <v>-110.9</v>
      </c>
      <c r="BB611" s="318">
        <f xml:space="preserve"> tabItens[[#This Row],[PontoMês]] * BB$2 - tabItens[[#This Row],[QTDE ATUAL]] - (1/10)</f>
        <v>-162.1</v>
      </c>
      <c r="BC611" s="320">
        <f>IF( tabItens[[#This Row],[PontoPed]]&gt;0, IF(tabItens[[#This Row],[PontoPed]]&lt;1, 1, IF( tabItens[[#This Row],[Saldo]]&gt;tabItens[[#This Row],[PontoPed]], 0, (tabItens[[#This Row],[PontoPed]]-tabItens[[#This Row],[Saldo]])/tabItens[[#This Row],[PontoPed]] ) ), 0 )</f>
        <v>0</v>
      </c>
      <c r="BD611" s="321">
        <f>ROUNDDOWN(IF( OR( AND(tabItens[[#This Row],[PontoPed]]&lt;tabItens[[#This Row],[Saldo]],tabItens[[#This Row],[Saldo]]&gt;0), tabItens[[#This Row],[PontoPed]]=0), 99, IF(AND(tabItens[[#This Row],[Saldo]]=0,tabItens[[#This Row],[PontoPed]]&gt;0), 0, (1-tabItens[[#This Row],[PctAb]])*10 ) ),0)</f>
        <v>99</v>
      </c>
      <c r="BE611" s="322">
        <f>MAX(ROUNDDOWN( IF(tabItens[[#This Row],[Abaixo]] &gt; 0,   tabItens[[#This Row],[Abaixo]] + (tabItens[[#This Row],[PontoMês]] * IF( OR( ISBLANK(tabItens[[#This Row],[ATA Nº/ANO]]), tabItens[[#This Row],[ATA Nº/ANO]] = ""),BE$2,BE$1)),0),0),0)</f>
        <v>0</v>
      </c>
      <c r="BF61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323">
        <f>SUMIF(Consumo!$C$3:$C$869,tabItens[[#This Row],[CÓDIGO]],Consumo!$E$3:$E$869)</f>
        <v>0</v>
      </c>
      <c r="BH611" s="324">
        <f>IF(AND(tabItens[[#This Row],[Pend]] &gt; 0,tabItens[[#This Row],[Consumo]] &lt;&gt; 0), tabItens[[#This Row],[Pend]] / tabItens[[#This Row],[Consumo]], 0 )</f>
        <v>0</v>
      </c>
      <c r="BI611" s="323"/>
      <c r="BJ611" s="323"/>
      <c r="BK611" s="325" t="s">
        <v>2064</v>
      </c>
    </row>
    <row r="612" spans="1:63" hidden="1" x14ac:dyDescent="0.3">
      <c r="A612" s="286">
        <v>25630</v>
      </c>
      <c r="B612" s="287" t="s">
        <v>1206</v>
      </c>
      <c r="C612" s="288" t="s">
        <v>256</v>
      </c>
      <c r="D612" s="289">
        <v>62.87</v>
      </c>
      <c r="E612" s="290"/>
      <c r="F612" s="290"/>
      <c r="G612" s="290" t="s">
        <v>883</v>
      </c>
      <c r="H612" s="291">
        <v>164</v>
      </c>
      <c r="I612" s="292">
        <v>103003</v>
      </c>
      <c r="J612" s="293">
        <v>62.87</v>
      </c>
      <c r="K612" s="294">
        <v>54</v>
      </c>
      <c r="L612" s="295">
        <f>IF(tabItens[[#This Row],[Média]] &gt; 0, tabItens[[#This Row],[QTDE ATUAL]] / tabItens[[#This Row],[Média]],999.9)</f>
        <v>30.276923076923076</v>
      </c>
      <c r="M612" s="296">
        <v>0</v>
      </c>
      <c r="N612" s="297">
        <f>tabItens[[#This Row],[VALOR UNIT.]] * tabItens[[#This Row],[LC]]</f>
        <v>0</v>
      </c>
      <c r="O612" s="298" t="s">
        <v>2074</v>
      </c>
      <c r="P612" s="299"/>
      <c r="Q612" s="300"/>
      <c r="R612" s="297"/>
      <c r="S612" s="301"/>
      <c r="T612" s="302">
        <f>ROUNDDOWN(IFERROR(tabItens[[#This Row],[ATA DT.VALID.]] - $D$1,0) / 30,0)</f>
        <v>-1504</v>
      </c>
      <c r="U612" s="287" t="s">
        <v>1009</v>
      </c>
      <c r="V612" s="303">
        <v>1</v>
      </c>
      <c r="W612" s="304" t="s">
        <v>2054</v>
      </c>
      <c r="X612" s="305">
        <v>61</v>
      </c>
      <c r="Y612" s="306">
        <v>15</v>
      </c>
      <c r="Z612" s="307"/>
      <c r="AA612" s="308"/>
      <c r="AB612" s="309"/>
      <c r="AC612" s="309"/>
      <c r="AD612" s="308"/>
      <c r="AE612" s="309"/>
      <c r="AF612" s="302"/>
      <c r="AG612" s="310" t="s">
        <v>2050</v>
      </c>
      <c r="AH612" s="311"/>
      <c r="AI612" s="302">
        <v>22</v>
      </c>
      <c r="AJ612" s="311">
        <v>44526</v>
      </c>
      <c r="AK612" s="311" t="s">
        <v>883</v>
      </c>
      <c r="AL612" s="311">
        <v>45096</v>
      </c>
      <c r="AM612" s="301"/>
      <c r="AN612" s="290"/>
      <c r="AO612" s="312" t="str">
        <f>_xlfn.IFNA(IF(VLOOKUP(tabItens[[#This Row],[CÓDIGO]],tabExcluirDoEstoque[#Data],1,FALSE),"sim",""),"")</f>
        <v/>
      </c>
      <c r="AP612" s="313" t="str">
        <f ca="1">IF(OR(ISBLANK(tabItens[[#This Row],[ATA DT.VALID.]]),tabItens[[#This Row],[ATA DT.VALID.]]="",tabItens[[#This Row],[ATA DT.VALID.]]=" "),"",IF(TYPE(tabItens[[#This Row],[ATA DT.VALID.]])=1,ROUNDUP((tabItens[[#This Row],[ATA DT.VALID.]]-TODAY())/7,0),""))</f>
        <v/>
      </c>
      <c r="AQ612" s="314">
        <v>0</v>
      </c>
      <c r="AR612" s="315" t="str">
        <f>IF(ISBLANK(tabItens[[#This Row],[CÓDIGO]]),"",IFERROR(VLOOKUP(tabItens[[#This Row],[CÓDIGO]],Consumo!$C$2:$AC$869,26,FALSE),0))</f>
        <v>05.2023</v>
      </c>
      <c r="AS612" s="316">
        <f>SUMIF(Consumo!$C$3:$C$869,tabItens[[#This Row],[CÓDIGO]],Consumo!$N$3:$N$869) + SUMIF(Consumo!$C$3:$C$869,tabItens[[#This Row],[CÓDIGO]],Consumo!$O$3:$O$869) + SUMIF(Consumo!$C$3:$C$869,tabItens[[#This Row],[CÓDIGO]],Consumo!$P$3:$P$869) + SUMIF(Consumo!$C$3:$C$869,tabItens[[#This Row],[CÓDIGO]],Consumo!$Q$3:$Q$869)</f>
        <v>28</v>
      </c>
      <c r="AT612" s="316">
        <f>SUMIF(Consumo!$C$3:$C$869,tabItens[[#This Row],[CÓDIGO]],Consumo!$Z$3:$Z$869)</f>
        <v>68</v>
      </c>
      <c r="AU612" s="317">
        <f>SUMIF(Consumo!$C$3:$C$869,tabItens[[#This Row],[CÓDIGO]],Consumo!$AA$3:$AA$869)</f>
        <v>18</v>
      </c>
      <c r="AV612" s="318">
        <f>SUMIF(Consumo!$C$3:$C$869,tabItens[[#This Row],[CÓDIGO]],Consumo!$Y$3:$Y$869)</f>
        <v>5.416666666666667</v>
      </c>
      <c r="AW612" s="291">
        <f>tabItens[[#This Row],[QTDE ATUAL]] + tabItens[[#This Row],[RC QTDE]] + tabItens[[#This Row],[AF SALDO]] + tabItens[[#This Row],[Recentes]]</f>
        <v>164</v>
      </c>
      <c r="AX612" s="319">
        <v>6</v>
      </c>
      <c r="AY612" s="319">
        <v>4</v>
      </c>
      <c r="AZ612" s="319">
        <f>IF(ISBLANK(tabItens[[#This Row],[CÓDIGO]]),"",tabItens[[#This Row],[PontoMês]] * (AZ$2+tabItens[[#This Row],[PontoQtM]]))</f>
        <v>24</v>
      </c>
      <c r="BA612" s="318">
        <f>tabItens[[#This Row],[PontoPed]] - tabItens[[#This Row],[Saldo]] + (1/10)</f>
        <v>-139.9</v>
      </c>
      <c r="BB612" s="318">
        <f xml:space="preserve"> tabItens[[#This Row],[PontoMês]] * BB$2 - tabItens[[#This Row],[QTDE ATUAL]] - (1/10)</f>
        <v>-158.1</v>
      </c>
      <c r="BC612" s="320">
        <f>IF( tabItens[[#This Row],[PontoPed]]&gt;0, IF(tabItens[[#This Row],[PontoPed]]&lt;1, 1, IF( tabItens[[#This Row],[Saldo]]&gt;tabItens[[#This Row],[PontoPed]], 0, (tabItens[[#This Row],[PontoPed]]-tabItens[[#This Row],[Saldo]])/tabItens[[#This Row],[PontoPed]] ) ), 0 )</f>
        <v>0</v>
      </c>
      <c r="BD612" s="321">
        <f>ROUNDDOWN(IF( OR( AND(tabItens[[#This Row],[PontoPed]]&lt;tabItens[[#This Row],[Saldo]],tabItens[[#This Row],[Saldo]]&gt;0), tabItens[[#This Row],[PontoPed]]=0), 99, IF(AND(tabItens[[#This Row],[Saldo]]=0,tabItens[[#This Row],[PontoPed]]&gt;0), 0, (1-tabItens[[#This Row],[PctAb]])*10 ) ),0)</f>
        <v>99</v>
      </c>
      <c r="BE612" s="322">
        <f>MAX(ROUNDDOWN( IF(tabItens[[#This Row],[Abaixo]] &gt; 0,   tabItens[[#This Row],[Abaixo]] + (tabItens[[#This Row],[PontoMês]] * IF( OR( ISBLANK(tabItens[[#This Row],[ATA Nº/ANO]]), tabItens[[#This Row],[ATA Nº/ANO]] = ""),BE$2,BE$1)),0),0),0)</f>
        <v>0</v>
      </c>
      <c r="BF6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323">
        <f>SUMIF(Consumo!$C$3:$C$869,tabItens[[#This Row],[CÓDIGO]],Consumo!$E$3:$E$869)</f>
        <v>0</v>
      </c>
      <c r="BH612" s="324">
        <f>IF(AND(tabItens[[#This Row],[Pend]] &gt; 0,tabItens[[#This Row],[Consumo]] &lt;&gt; 0), tabItens[[#This Row],[Pend]] / tabItens[[#This Row],[Consumo]], 0 )</f>
        <v>0</v>
      </c>
      <c r="BI612" s="323"/>
      <c r="BJ612" s="323"/>
      <c r="BK612" s="325" t="s">
        <v>2064</v>
      </c>
    </row>
    <row r="613" spans="1:63" hidden="1" x14ac:dyDescent="0.3">
      <c r="A613" s="286">
        <v>80385</v>
      </c>
      <c r="B613" s="287" t="s">
        <v>1454</v>
      </c>
      <c r="C613" s="288" t="s">
        <v>395</v>
      </c>
      <c r="D613" s="289">
        <v>29.12</v>
      </c>
      <c r="E613" s="290"/>
      <c r="F613" s="290"/>
      <c r="G613" s="290" t="s">
        <v>883</v>
      </c>
      <c r="H613" s="291">
        <v>50</v>
      </c>
      <c r="I613" s="292">
        <v>103003</v>
      </c>
      <c r="J613" s="293">
        <v>29.12</v>
      </c>
      <c r="K613" s="294">
        <v>30</v>
      </c>
      <c r="L613" s="295">
        <f>IF(tabItens[[#This Row],[Média]] &gt; 0, tabItens[[#This Row],[QTDE ATUAL]] / tabItens[[#This Row],[Média]],999.9)</f>
        <v>22.222222222222221</v>
      </c>
      <c r="M613" s="296">
        <v>0</v>
      </c>
      <c r="N613" s="297">
        <f>tabItens[[#This Row],[VALOR UNIT.]] * tabItens[[#This Row],[LC]]</f>
        <v>0</v>
      </c>
      <c r="O613" s="298" t="s">
        <v>2074</v>
      </c>
      <c r="P613" s="299"/>
      <c r="Q613" s="300"/>
      <c r="R613" s="297"/>
      <c r="S613" s="301"/>
      <c r="T613" s="302">
        <f>ROUNDDOWN(IFERROR(tabItens[[#This Row],[ATA DT.VALID.]] - $D$1,0) / 30,0)</f>
        <v>-1504</v>
      </c>
      <c r="U613" s="287" t="s">
        <v>1009</v>
      </c>
      <c r="V613" s="303">
        <v>1</v>
      </c>
      <c r="W613" s="304" t="s">
        <v>2054</v>
      </c>
      <c r="X613" s="305">
        <v>61</v>
      </c>
      <c r="Y613" s="306">
        <v>15</v>
      </c>
      <c r="Z613" s="307"/>
      <c r="AA613" s="308"/>
      <c r="AB613" s="309"/>
      <c r="AC613" s="309"/>
      <c r="AD613" s="308"/>
      <c r="AE613" s="309"/>
      <c r="AF613" s="302"/>
      <c r="AG613" s="310" t="s">
        <v>2050</v>
      </c>
      <c r="AH613" s="311"/>
      <c r="AI613" s="302">
        <v>10</v>
      </c>
      <c r="AJ613" s="311">
        <v>44798</v>
      </c>
      <c r="AK613" s="311">
        <v>38169</v>
      </c>
      <c r="AL613" s="311">
        <v>44776</v>
      </c>
      <c r="AM613" s="301"/>
      <c r="AN613" s="290"/>
      <c r="AO613" s="312" t="str">
        <f>_xlfn.IFNA(IF(VLOOKUP(tabItens[[#This Row],[CÓDIGO]],tabExcluirDoEstoque[#Data],1,FALSE),"sim",""),"")</f>
        <v/>
      </c>
      <c r="AP613" s="313" t="str">
        <f ca="1">IF(OR(ISBLANK(tabItens[[#This Row],[ATA DT.VALID.]]),tabItens[[#This Row],[ATA DT.VALID.]]="",tabItens[[#This Row],[ATA DT.VALID.]]=" "),"",IF(TYPE(tabItens[[#This Row],[ATA DT.VALID.]])=1,ROUNDUP((tabItens[[#This Row],[ATA DT.VALID.]]-TODAY())/7,0),""))</f>
        <v/>
      </c>
      <c r="AQ613" s="314">
        <v>50</v>
      </c>
      <c r="AR613" s="315" t="str">
        <f>IF(ISBLANK(tabItens[[#This Row],[CÓDIGO]]),"",IFERROR(VLOOKUP(tabItens[[#This Row],[CÓDIGO]],Consumo!$C$2:$AC$869,26,FALSE),0))</f>
        <v>05.2023</v>
      </c>
      <c r="AS613" s="316">
        <f>SUMIF(Consumo!$C$3:$C$869,tabItens[[#This Row],[CÓDIGO]],Consumo!$N$3:$N$869) + SUMIF(Consumo!$C$3:$C$869,tabItens[[#This Row],[CÓDIGO]],Consumo!$O$3:$O$869) + SUMIF(Consumo!$C$3:$C$869,tabItens[[#This Row],[CÓDIGO]],Consumo!$P$3:$P$869) + SUMIF(Consumo!$C$3:$C$869,tabItens[[#This Row],[CÓDIGO]],Consumo!$Q$3:$Q$869)</f>
        <v>10</v>
      </c>
      <c r="AT613" s="316">
        <f>SUMIF(Consumo!$C$3:$C$869,tabItens[[#This Row],[CÓDIGO]],Consumo!$Z$3:$Z$869)</f>
        <v>30</v>
      </c>
      <c r="AU613" s="317">
        <f>SUMIF(Consumo!$C$3:$C$869,tabItens[[#This Row],[CÓDIGO]],Consumo!$AA$3:$AA$869)</f>
        <v>15</v>
      </c>
      <c r="AV613" s="318">
        <f>SUMIF(Consumo!$C$3:$C$869,tabItens[[#This Row],[CÓDIGO]],Consumo!$Y$3:$Y$869)</f>
        <v>2.25</v>
      </c>
      <c r="AW613" s="291">
        <f>tabItens[[#This Row],[QTDE ATUAL]] + tabItens[[#This Row],[RC QTDE]] + tabItens[[#This Row],[AF SALDO]] + tabItens[[#This Row],[Recentes]]</f>
        <v>100</v>
      </c>
      <c r="AX613" s="319">
        <v>3</v>
      </c>
      <c r="AY613" s="319">
        <v>4</v>
      </c>
      <c r="AZ613" s="319">
        <f>IF(ISBLANK(tabItens[[#This Row],[CÓDIGO]]),"",tabItens[[#This Row],[PontoMês]] * (AZ$2+tabItens[[#This Row],[PontoQtM]]))</f>
        <v>12</v>
      </c>
      <c r="BA613" s="318">
        <f>tabItens[[#This Row],[PontoPed]] - tabItens[[#This Row],[Saldo]] + (1/10)</f>
        <v>-87.9</v>
      </c>
      <c r="BB613" s="318">
        <f xml:space="preserve"> tabItens[[#This Row],[PontoMês]] * BB$2 - tabItens[[#This Row],[QTDE ATUAL]] - (1/10)</f>
        <v>-47.1</v>
      </c>
      <c r="BC613" s="320">
        <f>IF( tabItens[[#This Row],[PontoPed]]&gt;0, IF(tabItens[[#This Row],[PontoPed]]&lt;1, 1, IF( tabItens[[#This Row],[Saldo]]&gt;tabItens[[#This Row],[PontoPed]], 0, (tabItens[[#This Row],[PontoPed]]-tabItens[[#This Row],[Saldo]])/tabItens[[#This Row],[PontoPed]] ) ), 0 )</f>
        <v>0</v>
      </c>
      <c r="BD613" s="321">
        <f>ROUNDDOWN(IF( OR( AND(tabItens[[#This Row],[PontoPed]]&lt;tabItens[[#This Row],[Saldo]],tabItens[[#This Row],[Saldo]]&gt;0), tabItens[[#This Row],[PontoPed]]=0), 99, IF(AND(tabItens[[#This Row],[Saldo]]=0,tabItens[[#This Row],[PontoPed]]&gt;0), 0, (1-tabItens[[#This Row],[PctAb]])*10 ) ),0)</f>
        <v>99</v>
      </c>
      <c r="BE613" s="322">
        <f>MAX(ROUNDDOWN( IF(tabItens[[#This Row],[Abaixo]] &gt; 0,   tabItens[[#This Row],[Abaixo]] + (tabItens[[#This Row],[PontoMês]] * IF( OR( ISBLANK(tabItens[[#This Row],[ATA Nº/ANO]]), tabItens[[#This Row],[ATA Nº/ANO]] = ""),BE$2,BE$1)),0),0),0)</f>
        <v>0</v>
      </c>
      <c r="BF61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323">
        <f>SUMIF(Consumo!$C$3:$C$869,tabItens[[#This Row],[CÓDIGO]],Consumo!$E$3:$E$869)</f>
        <v>0</v>
      </c>
      <c r="BH613" s="324">
        <f>IF(AND(tabItens[[#This Row],[Pend]] &gt; 0,tabItens[[#This Row],[Consumo]] &lt;&gt; 0), tabItens[[#This Row],[Pend]] / tabItens[[#This Row],[Consumo]], 0 )</f>
        <v>0</v>
      </c>
      <c r="BI613" s="323"/>
      <c r="BJ613" s="323"/>
      <c r="BK613" s="325" t="s">
        <v>2064</v>
      </c>
    </row>
    <row r="614" spans="1:63" hidden="1" x14ac:dyDescent="0.3">
      <c r="A614" s="286">
        <v>80390</v>
      </c>
      <c r="B614" s="287" t="s">
        <v>1456</v>
      </c>
      <c r="C614" s="288" t="s">
        <v>256</v>
      </c>
      <c r="D614" s="289">
        <v>16.5</v>
      </c>
      <c r="E614" s="290"/>
      <c r="F614" s="290"/>
      <c r="G614" s="290" t="s">
        <v>883</v>
      </c>
      <c r="H614" s="291">
        <v>75</v>
      </c>
      <c r="I614" s="292">
        <v>103003</v>
      </c>
      <c r="J614" s="293">
        <v>16.5</v>
      </c>
      <c r="K614" s="294">
        <v>109</v>
      </c>
      <c r="L614" s="295">
        <f>IF(tabItens[[#This Row],[Média]] &gt; 0, tabItens[[#This Row],[QTDE ATUAL]] / tabItens[[#This Row],[Média]],999.9)</f>
        <v>8.5714285714285712</v>
      </c>
      <c r="M614" s="296">
        <v>0</v>
      </c>
      <c r="N614" s="297">
        <f>tabItens[[#This Row],[VALOR UNIT.]] * tabItens[[#This Row],[LC]]</f>
        <v>0</v>
      </c>
      <c r="O614" s="298" t="s">
        <v>2074</v>
      </c>
      <c r="P614" s="299"/>
      <c r="Q614" s="300"/>
      <c r="R614" s="297"/>
      <c r="S614" s="301"/>
      <c r="T614" s="302">
        <f>ROUNDDOWN(IFERROR(tabItens[[#This Row],[ATA DT.VALID.]] - $D$1,0) / 30,0)</f>
        <v>-1504</v>
      </c>
      <c r="U614" s="287" t="s">
        <v>1009</v>
      </c>
      <c r="V614" s="303">
        <v>1</v>
      </c>
      <c r="W614" s="304" t="s">
        <v>2054</v>
      </c>
      <c r="X614" s="305">
        <v>61</v>
      </c>
      <c r="Y614" s="306">
        <v>15</v>
      </c>
      <c r="Z614" s="307"/>
      <c r="AA614" s="308"/>
      <c r="AB614" s="309"/>
      <c r="AC614" s="309"/>
      <c r="AD614" s="308"/>
      <c r="AE614" s="309"/>
      <c r="AF614" s="302"/>
      <c r="AG614" s="310" t="s">
        <v>2050</v>
      </c>
      <c r="AH614" s="311"/>
      <c r="AI614" s="302">
        <v>40</v>
      </c>
      <c r="AJ614" s="311">
        <v>44830</v>
      </c>
      <c r="AK614" s="311">
        <v>38169</v>
      </c>
      <c r="AL614" s="311">
        <v>44748</v>
      </c>
      <c r="AM614" s="301"/>
      <c r="AN614" s="290"/>
      <c r="AO614" s="312" t="str">
        <f>_xlfn.IFNA(IF(VLOOKUP(tabItens[[#This Row],[CÓDIGO]],tabExcluirDoEstoque[#Data],1,FALSE),"sim",""),"")</f>
        <v/>
      </c>
      <c r="AP614" s="313" t="str">
        <f ca="1">IF(OR(ISBLANK(tabItens[[#This Row],[ATA DT.VALID.]]),tabItens[[#This Row],[ATA DT.VALID.]]="",tabItens[[#This Row],[ATA DT.VALID.]]=" "),"",IF(TYPE(tabItens[[#This Row],[ATA DT.VALID.]])=1,ROUNDUP((tabItens[[#This Row],[ATA DT.VALID.]]-TODAY())/7,0),""))</f>
        <v/>
      </c>
      <c r="AQ614" s="314">
        <v>0</v>
      </c>
      <c r="AR614" s="315" t="str">
        <f>IF(ISBLANK(tabItens[[#This Row],[CÓDIGO]]),"",IFERROR(VLOOKUP(tabItens[[#This Row],[CÓDIGO]],Consumo!$C$2:$AC$869,26,FALSE),0))</f>
        <v>05.2023</v>
      </c>
      <c r="AS614" s="316">
        <f>SUMIF(Consumo!$C$3:$C$869,tabItens[[#This Row],[CÓDIGO]],Consumo!$N$3:$N$869) + SUMIF(Consumo!$C$3:$C$869,tabItens[[#This Row],[CÓDIGO]],Consumo!$O$3:$O$869) + SUMIF(Consumo!$C$3:$C$869,tabItens[[#This Row],[CÓDIGO]],Consumo!$P$3:$P$869) + SUMIF(Consumo!$C$3:$C$869,tabItens[[#This Row],[CÓDIGO]],Consumo!$Q$3:$Q$869)</f>
        <v>61</v>
      </c>
      <c r="AT614" s="316">
        <f>SUMIF(Consumo!$C$3:$C$869,tabItens[[#This Row],[CÓDIGO]],Consumo!$Z$3:$Z$869)</f>
        <v>117</v>
      </c>
      <c r="AU614" s="317">
        <f>SUMIF(Consumo!$C$3:$C$869,tabItens[[#This Row],[CÓDIGO]],Consumo!$AA$3:$AA$869)</f>
        <v>50</v>
      </c>
      <c r="AV614" s="318">
        <f>SUMIF(Consumo!$C$3:$C$869,tabItens[[#This Row],[CÓDIGO]],Consumo!$Y$3:$Y$869)</f>
        <v>8.75</v>
      </c>
      <c r="AW614" s="291">
        <f>tabItens[[#This Row],[QTDE ATUAL]] + tabItens[[#This Row],[RC QTDE]] + tabItens[[#This Row],[AF SALDO]] + tabItens[[#This Row],[Recentes]]</f>
        <v>75</v>
      </c>
      <c r="AX614" s="319">
        <v>9</v>
      </c>
      <c r="AY614" s="319">
        <v>4</v>
      </c>
      <c r="AZ614" s="319">
        <f>IF(ISBLANK(tabItens[[#This Row],[CÓDIGO]]),"",tabItens[[#This Row],[PontoMês]] * (AZ$2+tabItens[[#This Row],[PontoQtM]]))</f>
        <v>36</v>
      </c>
      <c r="BA614" s="318">
        <f>tabItens[[#This Row],[PontoPed]] - tabItens[[#This Row],[Saldo]] + (1/10)</f>
        <v>-38.9</v>
      </c>
      <c r="BB614" s="318">
        <f xml:space="preserve"> tabItens[[#This Row],[PontoMês]] * BB$2 - tabItens[[#This Row],[QTDE ATUAL]] - (1/10)</f>
        <v>-66.099999999999994</v>
      </c>
      <c r="BC614" s="320">
        <f>IF( tabItens[[#This Row],[PontoPed]]&gt;0, IF(tabItens[[#This Row],[PontoPed]]&lt;1, 1, IF( tabItens[[#This Row],[Saldo]]&gt;tabItens[[#This Row],[PontoPed]], 0, (tabItens[[#This Row],[PontoPed]]-tabItens[[#This Row],[Saldo]])/tabItens[[#This Row],[PontoPed]] ) ), 0 )</f>
        <v>0</v>
      </c>
      <c r="BD614" s="321">
        <f>ROUNDDOWN(IF( OR( AND(tabItens[[#This Row],[PontoPed]]&lt;tabItens[[#This Row],[Saldo]],tabItens[[#This Row],[Saldo]]&gt;0), tabItens[[#This Row],[PontoPed]]=0), 99, IF(AND(tabItens[[#This Row],[Saldo]]=0,tabItens[[#This Row],[PontoPed]]&gt;0), 0, (1-tabItens[[#This Row],[PctAb]])*10 ) ),0)</f>
        <v>99</v>
      </c>
      <c r="BE614" s="322">
        <f>MAX(ROUNDDOWN( IF(tabItens[[#This Row],[Abaixo]] &gt; 0,   tabItens[[#This Row],[Abaixo]] + (tabItens[[#This Row],[PontoMês]] * IF( OR( ISBLANK(tabItens[[#This Row],[ATA Nº/ANO]]), tabItens[[#This Row],[ATA Nº/ANO]] = ""),BE$2,BE$1)),0),0),0)</f>
        <v>0</v>
      </c>
      <c r="BF6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323">
        <f>SUMIF(Consumo!$C$3:$C$869,tabItens[[#This Row],[CÓDIGO]],Consumo!$E$3:$E$869)</f>
        <v>0</v>
      </c>
      <c r="BH614" s="324">
        <f>IF(AND(tabItens[[#This Row],[Pend]] &gt; 0,tabItens[[#This Row],[Consumo]] &lt;&gt; 0), tabItens[[#This Row],[Pend]] / tabItens[[#This Row],[Consumo]], 0 )</f>
        <v>0</v>
      </c>
      <c r="BI614" s="323"/>
      <c r="BJ614" s="323"/>
      <c r="BK614" s="325" t="s">
        <v>2064</v>
      </c>
    </row>
    <row r="615" spans="1:63" hidden="1" x14ac:dyDescent="0.3">
      <c r="A615" s="286">
        <v>81807</v>
      </c>
      <c r="B615" s="287" t="s">
        <v>1473</v>
      </c>
      <c r="C615" s="288" t="s">
        <v>256</v>
      </c>
      <c r="D615" s="289">
        <v>35.700000000000003</v>
      </c>
      <c r="E615" s="290"/>
      <c r="F615" s="290"/>
      <c r="G615" s="290" t="s">
        <v>883</v>
      </c>
      <c r="H615" s="291">
        <v>21</v>
      </c>
      <c r="I615" s="292">
        <v>103003</v>
      </c>
      <c r="J615" s="293">
        <v>35.700000000000003</v>
      </c>
      <c r="K615" s="294">
        <v>11</v>
      </c>
      <c r="L615" s="295">
        <f>IF(tabItens[[#This Row],[Média]] &gt; 0, tabItens[[#This Row],[QTDE ATUAL]] / tabItens[[#This Row],[Média]],999.9)</f>
        <v>25.2</v>
      </c>
      <c r="M615" s="296">
        <v>0</v>
      </c>
      <c r="N615" s="297">
        <f>tabItens[[#This Row],[VALOR UNIT.]] * tabItens[[#This Row],[LC]]</f>
        <v>0</v>
      </c>
      <c r="O615" s="298" t="s">
        <v>2074</v>
      </c>
      <c r="P615" s="299"/>
      <c r="Q615" s="300"/>
      <c r="R615" s="297"/>
      <c r="S615" s="301"/>
      <c r="T615" s="302">
        <f>ROUNDDOWN(IFERROR(tabItens[[#This Row],[ATA DT.VALID.]] - $D$1,0) / 30,0)</f>
        <v>-1504</v>
      </c>
      <c r="U615" s="287" t="s">
        <v>1009</v>
      </c>
      <c r="V615" s="303">
        <v>1</v>
      </c>
      <c r="W615" s="304" t="s">
        <v>2054</v>
      </c>
      <c r="X615" s="305">
        <v>61</v>
      </c>
      <c r="Y615" s="306">
        <v>15</v>
      </c>
      <c r="Z615" s="307">
        <v>2453</v>
      </c>
      <c r="AA615" s="308">
        <v>2023</v>
      </c>
      <c r="AB615" s="309">
        <v>10</v>
      </c>
      <c r="AC615" s="309"/>
      <c r="AD615" s="308"/>
      <c r="AE615" s="309"/>
      <c r="AF615" s="302"/>
      <c r="AG615" s="310" t="s">
        <v>2050</v>
      </c>
      <c r="AH615" s="311"/>
      <c r="AI615" s="302">
        <v>4</v>
      </c>
      <c r="AJ615" s="311">
        <v>44733</v>
      </c>
      <c r="AK615" s="311">
        <v>38246</v>
      </c>
      <c r="AL615" s="311">
        <v>44705</v>
      </c>
      <c r="AM615" s="301"/>
      <c r="AN615" s="290"/>
      <c r="AO615" s="312" t="str">
        <f>_xlfn.IFNA(IF(VLOOKUP(tabItens[[#This Row],[CÓDIGO]],tabExcluirDoEstoque[#Data],1,FALSE),"sim",""),"")</f>
        <v/>
      </c>
      <c r="AP615" s="313" t="str">
        <f ca="1">IF(OR(ISBLANK(tabItens[[#This Row],[ATA DT.VALID.]]),tabItens[[#This Row],[ATA DT.VALID.]]="",tabItens[[#This Row],[ATA DT.VALID.]]=" "),"",IF(TYPE(tabItens[[#This Row],[ATA DT.VALID.]])=1,ROUNDUP((tabItens[[#This Row],[ATA DT.VALID.]]-TODAY())/7,0),""))</f>
        <v/>
      </c>
      <c r="AQ615" s="314">
        <v>0</v>
      </c>
      <c r="AR615" s="315" t="str">
        <f>IF(ISBLANK(tabItens[[#This Row],[CÓDIGO]]),"",IFERROR(VLOOKUP(tabItens[[#This Row],[CÓDIGO]],Consumo!$C$2:$AC$869,26,FALSE),0))</f>
        <v>03.2023</v>
      </c>
      <c r="AS615" s="316">
        <f>SUMIF(Consumo!$C$3:$C$869,tabItens[[#This Row],[CÓDIGO]],Consumo!$N$3:$N$869) + SUMIF(Consumo!$C$3:$C$869,tabItens[[#This Row],[CÓDIGO]],Consumo!$O$3:$O$869) + SUMIF(Consumo!$C$3:$C$869,tabItens[[#This Row],[CÓDIGO]],Consumo!$P$3:$P$869) + SUMIF(Consumo!$C$3:$C$869,tabItens[[#This Row],[CÓDIGO]],Consumo!$Q$3:$Q$869)</f>
        <v>0</v>
      </c>
      <c r="AT615" s="316">
        <f>SUMIF(Consumo!$C$3:$C$869,tabItens[[#This Row],[CÓDIGO]],Consumo!$Z$3:$Z$869)</f>
        <v>11</v>
      </c>
      <c r="AU615" s="317">
        <f>SUMIF(Consumo!$C$3:$C$869,tabItens[[#This Row],[CÓDIGO]],Consumo!$AA$3:$AA$869)</f>
        <v>6</v>
      </c>
      <c r="AV615" s="318">
        <f>SUMIF(Consumo!$C$3:$C$869,tabItens[[#This Row],[CÓDIGO]],Consumo!$Y$3:$Y$869)</f>
        <v>0.83333333333333337</v>
      </c>
      <c r="AW615" s="291">
        <f>tabItens[[#This Row],[QTDE ATUAL]] + tabItens[[#This Row],[RC QTDE]] + tabItens[[#This Row],[AF SALDO]] + tabItens[[#This Row],[Recentes]]</f>
        <v>31</v>
      </c>
      <c r="AX615" s="319">
        <v>3</v>
      </c>
      <c r="AY615" s="319">
        <v>4</v>
      </c>
      <c r="AZ615" s="319">
        <f>IF(ISBLANK(tabItens[[#This Row],[CÓDIGO]]),"",tabItens[[#This Row],[PontoMês]] * (AZ$2+tabItens[[#This Row],[PontoQtM]]))</f>
        <v>12</v>
      </c>
      <c r="BA615" s="318">
        <f>tabItens[[#This Row],[PontoPed]] - tabItens[[#This Row],[Saldo]] + (1/10)</f>
        <v>-18.899999999999999</v>
      </c>
      <c r="BB615" s="318">
        <f xml:space="preserve"> tabItens[[#This Row],[PontoMês]] * BB$2 - tabItens[[#This Row],[QTDE ATUAL]] - (1/10)</f>
        <v>-18.100000000000001</v>
      </c>
      <c r="BC615" s="320">
        <f>IF( tabItens[[#This Row],[PontoPed]]&gt;0, IF(tabItens[[#This Row],[PontoPed]]&lt;1, 1, IF( tabItens[[#This Row],[Saldo]]&gt;tabItens[[#This Row],[PontoPed]], 0, (tabItens[[#This Row],[PontoPed]]-tabItens[[#This Row],[Saldo]])/tabItens[[#This Row],[PontoPed]] ) ), 0 )</f>
        <v>0</v>
      </c>
      <c r="BD615" s="321">
        <f>ROUNDDOWN(IF( OR( AND(tabItens[[#This Row],[PontoPed]]&lt;tabItens[[#This Row],[Saldo]],tabItens[[#This Row],[Saldo]]&gt;0), tabItens[[#This Row],[PontoPed]]=0), 99, IF(AND(tabItens[[#This Row],[Saldo]]=0,tabItens[[#This Row],[PontoPed]]&gt;0), 0, (1-tabItens[[#This Row],[PctAb]])*10 ) ),0)</f>
        <v>99</v>
      </c>
      <c r="BE615" s="322">
        <f>MAX(ROUNDDOWN( IF(tabItens[[#This Row],[Abaixo]] &gt; 0,   tabItens[[#This Row],[Abaixo]] + (tabItens[[#This Row],[PontoMês]] * IF( OR( ISBLANK(tabItens[[#This Row],[ATA Nº/ANO]]), tabItens[[#This Row],[ATA Nº/ANO]] = ""),BE$2,BE$1)),0),0),0)</f>
        <v>0</v>
      </c>
      <c r="BF6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323">
        <f>SUMIF(Consumo!$C$3:$C$869,tabItens[[#This Row],[CÓDIGO]],Consumo!$E$3:$E$869)</f>
        <v>0</v>
      </c>
      <c r="BH615" s="324">
        <f>IF(AND(tabItens[[#This Row],[Pend]] &gt; 0,tabItens[[#This Row],[Consumo]] &lt;&gt; 0), tabItens[[#This Row],[Pend]] / tabItens[[#This Row],[Consumo]], 0 )</f>
        <v>0</v>
      </c>
      <c r="BI615" s="323"/>
      <c r="BJ615" s="323"/>
      <c r="BK615" s="325" t="s">
        <v>2064</v>
      </c>
    </row>
    <row r="616" spans="1:63" hidden="1" x14ac:dyDescent="0.3">
      <c r="A616" s="286">
        <v>81808</v>
      </c>
      <c r="B616" s="287" t="s">
        <v>1474</v>
      </c>
      <c r="C616" s="288" t="s">
        <v>256</v>
      </c>
      <c r="D616" s="289">
        <v>61.4</v>
      </c>
      <c r="E616" s="290"/>
      <c r="F616" s="290"/>
      <c r="G616" s="290" t="s">
        <v>883</v>
      </c>
      <c r="H616" s="291">
        <v>26</v>
      </c>
      <c r="I616" s="292">
        <v>103003</v>
      </c>
      <c r="J616" s="293">
        <v>61.4</v>
      </c>
      <c r="K616" s="294"/>
      <c r="L616" s="295">
        <f>IF(tabItens[[#This Row],[Média]] &gt; 0, tabItens[[#This Row],[QTDE ATUAL]] / tabItens[[#This Row],[Média]],999.9)</f>
        <v>999.9</v>
      </c>
      <c r="M616" s="296">
        <v>0</v>
      </c>
      <c r="N616" s="297">
        <f>tabItens[[#This Row],[VALOR UNIT.]] * tabItens[[#This Row],[LC]]</f>
        <v>0</v>
      </c>
      <c r="O616" s="298" t="s">
        <v>2074</v>
      </c>
      <c r="P616" s="299"/>
      <c r="Q616" s="300"/>
      <c r="R616" s="297"/>
      <c r="S616" s="301"/>
      <c r="T616" s="302">
        <f>ROUNDDOWN(IFERROR(tabItens[[#This Row],[ATA DT.VALID.]] - $D$1,0) / 30,0)</f>
        <v>-1504</v>
      </c>
      <c r="U616" s="287" t="s">
        <v>1009</v>
      </c>
      <c r="V616" s="303">
        <v>1</v>
      </c>
      <c r="W616" s="304" t="s">
        <v>2054</v>
      </c>
      <c r="X616" s="305">
        <v>61</v>
      </c>
      <c r="Y616" s="306">
        <v>15</v>
      </c>
      <c r="Z616" s="307">
        <v>2960</v>
      </c>
      <c r="AA616" s="308">
        <v>2023</v>
      </c>
      <c r="AB616" s="309">
        <v>10</v>
      </c>
      <c r="AC616" s="309"/>
      <c r="AD616" s="308"/>
      <c r="AE616" s="309"/>
      <c r="AF616" s="302"/>
      <c r="AG616" s="310" t="s">
        <v>2050</v>
      </c>
      <c r="AH616" s="311"/>
      <c r="AI616" s="302">
        <v>0</v>
      </c>
      <c r="AJ616" s="311">
        <v>43880</v>
      </c>
      <c r="AK616" s="311">
        <v>38246</v>
      </c>
      <c r="AL616" s="311">
        <v>44783</v>
      </c>
      <c r="AM616" s="301"/>
      <c r="AN616" s="290"/>
      <c r="AO616" s="312" t="str">
        <f>_xlfn.IFNA(IF(VLOOKUP(tabItens[[#This Row],[CÓDIGO]],tabExcluirDoEstoque[#Data],1,FALSE),"sim",""),"")</f>
        <v/>
      </c>
      <c r="AP616" s="313" t="str">
        <f ca="1">IF(OR(ISBLANK(tabItens[[#This Row],[ATA DT.VALID.]]),tabItens[[#This Row],[ATA DT.VALID.]]="",tabItens[[#This Row],[ATA DT.VALID.]]=" "),"",IF(TYPE(tabItens[[#This Row],[ATA DT.VALID.]])=1,ROUNDUP((tabItens[[#This Row],[ATA DT.VALID.]]-TODAY())/7,0),""))</f>
        <v/>
      </c>
      <c r="AQ616" s="314">
        <v>0</v>
      </c>
      <c r="AR616" s="315">
        <f>IF(ISBLANK(tabItens[[#This Row],[CÓDIGO]]),"",IFERROR(VLOOKUP(tabItens[[#This Row],[CÓDIGO]],Consumo!$C$2:$AC$869,26,FALSE),0))</f>
        <v>0</v>
      </c>
      <c r="AS616" s="316">
        <f>SUMIF(Consumo!$C$3:$C$869,tabItens[[#This Row],[CÓDIGO]],Consumo!$N$3:$N$869) + SUMIF(Consumo!$C$3:$C$869,tabItens[[#This Row],[CÓDIGO]],Consumo!$O$3:$O$869) + SUMIF(Consumo!$C$3:$C$869,tabItens[[#This Row],[CÓDIGO]],Consumo!$P$3:$P$869) + SUMIF(Consumo!$C$3:$C$869,tabItens[[#This Row],[CÓDIGO]],Consumo!$Q$3:$Q$869)</f>
        <v>0</v>
      </c>
      <c r="AT616" s="316">
        <f>SUMIF(Consumo!$C$3:$C$869,tabItens[[#This Row],[CÓDIGO]],Consumo!$Z$3:$Z$869)</f>
        <v>0</v>
      </c>
      <c r="AU616" s="317">
        <f>SUMIF(Consumo!$C$3:$C$869,tabItens[[#This Row],[CÓDIGO]],Consumo!$AA$3:$AA$869)</f>
        <v>0</v>
      </c>
      <c r="AV616" s="318">
        <f>SUMIF(Consumo!$C$3:$C$869,tabItens[[#This Row],[CÓDIGO]],Consumo!$Y$3:$Y$869)</f>
        <v>0</v>
      </c>
      <c r="AW616" s="291">
        <f>tabItens[[#This Row],[QTDE ATUAL]] + tabItens[[#This Row],[RC QTDE]] + tabItens[[#This Row],[AF SALDO]] + tabItens[[#This Row],[Recentes]]</f>
        <v>36</v>
      </c>
      <c r="AX616" s="319">
        <v>3</v>
      </c>
      <c r="AY616" s="319">
        <v>4</v>
      </c>
      <c r="AZ616" s="319">
        <f>IF(ISBLANK(tabItens[[#This Row],[CÓDIGO]]),"",tabItens[[#This Row],[PontoMês]] * (AZ$2+tabItens[[#This Row],[PontoQtM]]))</f>
        <v>12</v>
      </c>
      <c r="BA616" s="318">
        <f>tabItens[[#This Row],[PontoPed]] - tabItens[[#This Row],[Saldo]] + (1/10)</f>
        <v>-23.9</v>
      </c>
      <c r="BB616" s="318">
        <f xml:space="preserve"> tabItens[[#This Row],[PontoMês]] * BB$2 - tabItens[[#This Row],[QTDE ATUAL]] - (1/10)</f>
        <v>-23.1</v>
      </c>
      <c r="BC616" s="320">
        <f>IF( tabItens[[#This Row],[PontoPed]]&gt;0, IF(tabItens[[#This Row],[PontoPed]]&lt;1, 1, IF( tabItens[[#This Row],[Saldo]]&gt;tabItens[[#This Row],[PontoPed]], 0, (tabItens[[#This Row],[PontoPed]]-tabItens[[#This Row],[Saldo]])/tabItens[[#This Row],[PontoPed]] ) ), 0 )</f>
        <v>0</v>
      </c>
      <c r="BD616" s="321">
        <f>ROUNDDOWN(IF( OR( AND(tabItens[[#This Row],[PontoPed]]&lt;tabItens[[#This Row],[Saldo]],tabItens[[#This Row],[Saldo]]&gt;0), tabItens[[#This Row],[PontoPed]]=0), 99, IF(AND(tabItens[[#This Row],[Saldo]]=0,tabItens[[#This Row],[PontoPed]]&gt;0), 0, (1-tabItens[[#This Row],[PctAb]])*10 ) ),0)</f>
        <v>99</v>
      </c>
      <c r="BE616" s="322">
        <f>MAX(ROUNDDOWN( IF(tabItens[[#This Row],[Abaixo]] &gt; 0,   tabItens[[#This Row],[Abaixo]] + (tabItens[[#This Row],[PontoMês]] * IF( OR( ISBLANK(tabItens[[#This Row],[ATA Nº/ANO]]), tabItens[[#This Row],[ATA Nº/ANO]] = ""),BE$2,BE$1)),0),0),0)</f>
        <v>0</v>
      </c>
      <c r="BF6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323">
        <f>SUMIF(Consumo!$C$3:$C$869,tabItens[[#This Row],[CÓDIGO]],Consumo!$E$3:$E$869)</f>
        <v>0</v>
      </c>
      <c r="BH616" s="324">
        <f>IF(AND(tabItens[[#This Row],[Pend]] &gt; 0,tabItens[[#This Row],[Consumo]] &lt;&gt; 0), tabItens[[#This Row],[Pend]] / tabItens[[#This Row],[Consumo]], 0 )</f>
        <v>0</v>
      </c>
      <c r="BI616" s="323"/>
      <c r="BJ616" s="323"/>
      <c r="BK616" s="325" t="s">
        <v>2064</v>
      </c>
    </row>
    <row r="617" spans="1:63" hidden="1" x14ac:dyDescent="0.3">
      <c r="A617" s="286">
        <v>95209</v>
      </c>
      <c r="B617" s="287" t="s">
        <v>1543</v>
      </c>
      <c r="C617" s="288" t="s">
        <v>256</v>
      </c>
      <c r="D617" s="289">
        <v>6.8</v>
      </c>
      <c r="E617" s="290"/>
      <c r="F617" s="290"/>
      <c r="G617" s="290" t="s">
        <v>883</v>
      </c>
      <c r="H617" s="291">
        <v>13</v>
      </c>
      <c r="I617" s="292">
        <v>103003</v>
      </c>
      <c r="J617" s="293">
        <v>6.8</v>
      </c>
      <c r="K617" s="294">
        <v>245</v>
      </c>
      <c r="L617" s="295">
        <f>IF(tabItens[[#This Row],[Média]] &gt; 0, tabItens[[#This Row],[QTDE ATUAL]] / tabItens[[#This Row],[Média]],999.9)</f>
        <v>0.47416413373860178</v>
      </c>
      <c r="M617" s="296">
        <v>0</v>
      </c>
      <c r="N617" s="297">
        <f>tabItens[[#This Row],[VALOR UNIT.]] * tabItens[[#This Row],[LC]]</f>
        <v>0</v>
      </c>
      <c r="O617" s="298" t="s">
        <v>2074</v>
      </c>
      <c r="P617" s="299"/>
      <c r="Q617" s="300"/>
      <c r="R617" s="297"/>
      <c r="S617" s="301"/>
      <c r="T617" s="302">
        <f>ROUNDDOWN(IFERROR(tabItens[[#This Row],[ATA DT.VALID.]] - $D$1,0) / 30,0)</f>
        <v>-1504</v>
      </c>
      <c r="U617" s="287" t="s">
        <v>1009</v>
      </c>
      <c r="V617" s="303">
        <v>1</v>
      </c>
      <c r="W617" s="304" t="s">
        <v>2054</v>
      </c>
      <c r="X617" s="305">
        <v>61</v>
      </c>
      <c r="Y617" s="306">
        <v>15</v>
      </c>
      <c r="Z617" s="307">
        <v>2702</v>
      </c>
      <c r="AA617" s="308">
        <v>2023</v>
      </c>
      <c r="AB617" s="309">
        <v>100</v>
      </c>
      <c r="AC617" s="309"/>
      <c r="AD617" s="308"/>
      <c r="AE617" s="309"/>
      <c r="AF617" s="302"/>
      <c r="AG617" s="310" t="s">
        <v>2050</v>
      </c>
      <c r="AH617" s="311"/>
      <c r="AI617" s="302">
        <v>98</v>
      </c>
      <c r="AJ617" s="311">
        <v>44806</v>
      </c>
      <c r="AK617" s="311">
        <v>39007</v>
      </c>
      <c r="AL617" s="311">
        <v>44776</v>
      </c>
      <c r="AM617" s="301"/>
      <c r="AN617" s="290"/>
      <c r="AO617" s="312" t="str">
        <f>_xlfn.IFNA(IF(VLOOKUP(tabItens[[#This Row],[CÓDIGO]],tabExcluirDoEstoque[#Data],1,FALSE),"sim",""),"")</f>
        <v/>
      </c>
      <c r="AP617" s="313" t="str">
        <f ca="1">IF(OR(ISBLANK(tabItens[[#This Row],[ATA DT.VALID.]]),tabItens[[#This Row],[ATA DT.VALID.]]="",tabItens[[#This Row],[ATA DT.VALID.]]=" "),"",IF(TYPE(tabItens[[#This Row],[ATA DT.VALID.]])=1,ROUNDUP((tabItens[[#This Row],[ATA DT.VALID.]]-TODAY())/7,0),""))</f>
        <v/>
      </c>
      <c r="AQ617" s="314">
        <v>100</v>
      </c>
      <c r="AR617" s="315" t="str">
        <f>IF(ISBLANK(tabItens[[#This Row],[CÓDIGO]]),"",IFERROR(VLOOKUP(tabItens[[#This Row],[CÓDIGO]],Consumo!$C$2:$AC$869,26,FALSE),0))</f>
        <v>05.2023</v>
      </c>
      <c r="AS617" s="316">
        <f>SUMIF(Consumo!$C$3:$C$869,tabItens[[#This Row],[CÓDIGO]],Consumo!$N$3:$N$869) + SUMIF(Consumo!$C$3:$C$869,tabItens[[#This Row],[CÓDIGO]],Consumo!$O$3:$O$869) + SUMIF(Consumo!$C$3:$C$869,tabItens[[#This Row],[CÓDIGO]],Consumo!$P$3:$P$869) + SUMIF(Consumo!$C$3:$C$869,tabItens[[#This Row],[CÓDIGO]],Consumo!$Q$3:$Q$869)</f>
        <v>82</v>
      </c>
      <c r="AT617" s="316">
        <f>SUMIF(Consumo!$C$3:$C$869,tabItens[[#This Row],[CÓDIGO]],Consumo!$Z$3:$Z$869)</f>
        <v>332</v>
      </c>
      <c r="AU617" s="317">
        <f>SUMIF(Consumo!$C$3:$C$869,tabItens[[#This Row],[CÓDIGO]],Consumo!$AA$3:$AA$869)</f>
        <v>73</v>
      </c>
      <c r="AV617" s="318">
        <f>SUMIF(Consumo!$C$3:$C$869,tabItens[[#This Row],[CÓDIGO]],Consumo!$Y$3:$Y$869)</f>
        <v>27.416666666666668</v>
      </c>
      <c r="AW617" s="291">
        <f>tabItens[[#This Row],[QTDE ATUAL]] + tabItens[[#This Row],[RC QTDE]] + tabItens[[#This Row],[AF SALDO]] + tabItens[[#This Row],[Recentes]]</f>
        <v>213</v>
      </c>
      <c r="AX617" s="319">
        <v>16</v>
      </c>
      <c r="AY617" s="319">
        <v>4</v>
      </c>
      <c r="AZ617" s="319">
        <f>IF(ISBLANK(tabItens[[#This Row],[CÓDIGO]]),"",tabItens[[#This Row],[PontoMês]] * (AZ$2+tabItens[[#This Row],[PontoQtM]]))</f>
        <v>64</v>
      </c>
      <c r="BA617" s="318">
        <f>tabItens[[#This Row],[PontoPed]] - tabItens[[#This Row],[Saldo]] + (1/10)</f>
        <v>-148.9</v>
      </c>
      <c r="BB617" s="318">
        <f xml:space="preserve"> tabItens[[#This Row],[PontoMês]] * BB$2 - tabItens[[#This Row],[QTDE ATUAL]] - (1/10)</f>
        <v>2.9</v>
      </c>
      <c r="BC617" s="320">
        <f>IF( tabItens[[#This Row],[PontoPed]]&gt;0, IF(tabItens[[#This Row],[PontoPed]]&lt;1, 1, IF( tabItens[[#This Row],[Saldo]]&gt;tabItens[[#This Row],[PontoPed]], 0, (tabItens[[#This Row],[PontoPed]]-tabItens[[#This Row],[Saldo]])/tabItens[[#This Row],[PontoPed]] ) ), 0 )</f>
        <v>0</v>
      </c>
      <c r="BD617" s="321">
        <f>ROUNDDOWN(IF( OR( AND(tabItens[[#This Row],[PontoPed]]&lt;tabItens[[#This Row],[Saldo]],tabItens[[#This Row],[Saldo]]&gt;0), tabItens[[#This Row],[PontoPed]]=0), 99, IF(AND(tabItens[[#This Row],[Saldo]]=0,tabItens[[#This Row],[PontoPed]]&gt;0), 0, (1-tabItens[[#This Row],[PctAb]])*10 ) ),0)</f>
        <v>99</v>
      </c>
      <c r="BE617" s="322">
        <f>MAX(ROUNDDOWN( IF(tabItens[[#This Row],[Abaixo]] &gt; 0,   tabItens[[#This Row],[Abaixo]] + (tabItens[[#This Row],[PontoMês]] * IF( OR( ISBLANK(tabItens[[#This Row],[ATA Nº/ANO]]), tabItens[[#This Row],[ATA Nº/ANO]] = ""),BE$2,BE$1)),0),0),0)</f>
        <v>0</v>
      </c>
      <c r="BF61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323">
        <f>SUMIF(Consumo!$C$3:$C$869,tabItens[[#This Row],[CÓDIGO]],Consumo!$E$3:$E$869)</f>
        <v>41</v>
      </c>
      <c r="BH617" s="324">
        <f>IF(AND(tabItens[[#This Row],[Pend]] &gt; 0,tabItens[[#This Row],[Consumo]] &lt;&gt; 0), tabItens[[#This Row],[Pend]] / tabItens[[#This Row],[Consumo]], 0 )</f>
        <v>0.12349397590361445</v>
      </c>
      <c r="BI617" s="323"/>
      <c r="BJ617" s="323"/>
      <c r="BK617" s="325" t="s">
        <v>2064</v>
      </c>
    </row>
    <row r="618" spans="1:63" hidden="1" x14ac:dyDescent="0.3">
      <c r="A618" s="286">
        <v>59069</v>
      </c>
      <c r="B618" s="287" t="s">
        <v>1336</v>
      </c>
      <c r="C618" s="288" t="s">
        <v>256</v>
      </c>
      <c r="D618" s="289">
        <v>6.49</v>
      </c>
      <c r="E618" s="290"/>
      <c r="F618" s="290"/>
      <c r="G618" s="290" t="s">
        <v>883</v>
      </c>
      <c r="H618" s="291">
        <v>117</v>
      </c>
      <c r="I618" s="292">
        <v>103003</v>
      </c>
      <c r="J618" s="293">
        <v>6.49</v>
      </c>
      <c r="K618" s="294">
        <v>65</v>
      </c>
      <c r="L618" s="295">
        <f>IF(tabItens[[#This Row],[Média]] &gt; 0, tabItens[[#This Row],[QTDE ATUAL]] / tabItens[[#This Row],[Média]],999.9)</f>
        <v>20.647058823529409</v>
      </c>
      <c r="M618" s="296">
        <v>0</v>
      </c>
      <c r="N618" s="297">
        <f>tabItens[[#This Row],[VALOR UNIT.]] * tabItens[[#This Row],[LC]]</f>
        <v>0</v>
      </c>
      <c r="O618" s="298" t="s">
        <v>2128</v>
      </c>
      <c r="P618" s="299"/>
      <c r="Q618" s="300"/>
      <c r="R618" s="297"/>
      <c r="S618" s="301"/>
      <c r="T618" s="302">
        <f>ROUNDDOWN(IFERROR(tabItens[[#This Row],[ATA DT.VALID.]] - $D$1,0) / 30,0)</f>
        <v>-1504</v>
      </c>
      <c r="U618" s="287" t="s">
        <v>964</v>
      </c>
      <c r="V618" s="303">
        <v>1</v>
      </c>
      <c r="W618" s="304" t="s">
        <v>2054</v>
      </c>
      <c r="X618" s="305">
        <v>61</v>
      </c>
      <c r="Y618" s="306">
        <v>8</v>
      </c>
      <c r="Z618" s="307"/>
      <c r="AA618" s="308"/>
      <c r="AB618" s="309"/>
      <c r="AC618" s="309"/>
      <c r="AD618" s="308"/>
      <c r="AE618" s="309"/>
      <c r="AF618" s="302"/>
      <c r="AG618" s="310" t="s">
        <v>2050</v>
      </c>
      <c r="AH618" s="311"/>
      <c r="AI618" s="302">
        <v>24</v>
      </c>
      <c r="AJ618" s="311">
        <v>44560</v>
      </c>
      <c r="AK618" s="311" t="s">
        <v>883</v>
      </c>
      <c r="AL618" s="311">
        <v>44522</v>
      </c>
      <c r="AM618" s="301"/>
      <c r="AN618" s="290"/>
      <c r="AO618" s="312" t="str">
        <f>_xlfn.IFNA(IF(VLOOKUP(tabItens[[#This Row],[CÓDIGO]],tabExcluirDoEstoque[#Data],1,FALSE),"sim",""),"")</f>
        <v/>
      </c>
      <c r="AP618" s="313" t="str">
        <f ca="1">IF(OR(ISBLANK(tabItens[[#This Row],[ATA DT.VALID.]]),tabItens[[#This Row],[ATA DT.VALID.]]="",tabItens[[#This Row],[ATA DT.VALID.]]=" "),"",IF(TYPE(tabItens[[#This Row],[ATA DT.VALID.]])=1,ROUNDUP((tabItens[[#This Row],[ATA DT.VALID.]]-TODAY())/7,0),""))</f>
        <v/>
      </c>
      <c r="AQ618" s="314">
        <v>0</v>
      </c>
      <c r="AR618" s="315" t="str">
        <f>IF(ISBLANK(tabItens[[#This Row],[CÓDIGO]]),"",IFERROR(VLOOKUP(tabItens[[#This Row],[CÓDIGO]],Consumo!$C$2:$AC$869,26,FALSE),0))</f>
        <v>04.2023</v>
      </c>
      <c r="AS618" s="316">
        <f>SUMIF(Consumo!$C$3:$C$869,tabItens[[#This Row],[CÓDIGO]],Consumo!$N$3:$N$869) + SUMIF(Consumo!$C$3:$C$869,tabItens[[#This Row],[CÓDIGO]],Consumo!$O$3:$O$869) + SUMIF(Consumo!$C$3:$C$869,tabItens[[#This Row],[CÓDIGO]],Consumo!$P$3:$P$869) + SUMIF(Consumo!$C$3:$C$869,tabItens[[#This Row],[CÓDIGO]],Consumo!$Q$3:$Q$869)</f>
        <v>15</v>
      </c>
      <c r="AT618" s="316">
        <f>SUMIF(Consumo!$C$3:$C$869,tabItens[[#This Row],[CÓDIGO]],Consumo!$Z$3:$Z$869)</f>
        <v>68</v>
      </c>
      <c r="AU618" s="317">
        <f>SUMIF(Consumo!$C$3:$C$869,tabItens[[#This Row],[CÓDIGO]],Consumo!$AA$3:$AA$869)</f>
        <v>19</v>
      </c>
      <c r="AV618" s="318">
        <f>SUMIF(Consumo!$C$3:$C$869,tabItens[[#This Row],[CÓDIGO]],Consumo!$Y$3:$Y$869)</f>
        <v>5.666666666666667</v>
      </c>
      <c r="AW618" s="291">
        <f>tabItens[[#This Row],[QTDE ATUAL]] + tabItens[[#This Row],[RC QTDE]] + tabItens[[#This Row],[AF SALDO]] + tabItens[[#This Row],[Recentes]]</f>
        <v>117</v>
      </c>
      <c r="AX618" s="319">
        <v>8</v>
      </c>
      <c r="AY618" s="319">
        <v>4</v>
      </c>
      <c r="AZ618" s="319">
        <f>IF(ISBLANK(tabItens[[#This Row],[CÓDIGO]]),"",tabItens[[#This Row],[PontoMês]] * (AZ$2+tabItens[[#This Row],[PontoQtM]]))</f>
        <v>32</v>
      </c>
      <c r="BA618" s="318">
        <f>tabItens[[#This Row],[PontoPed]] - tabItens[[#This Row],[Saldo]] + (1/10)</f>
        <v>-84.9</v>
      </c>
      <c r="BB618" s="318">
        <f xml:space="preserve"> tabItens[[#This Row],[PontoMês]] * BB$2 - tabItens[[#This Row],[QTDE ATUAL]] - (1/10)</f>
        <v>-109.1</v>
      </c>
      <c r="BC618" s="320">
        <f>IF( tabItens[[#This Row],[PontoPed]]&gt;0, IF(tabItens[[#This Row],[PontoPed]]&lt;1, 1, IF( tabItens[[#This Row],[Saldo]]&gt;tabItens[[#This Row],[PontoPed]], 0, (tabItens[[#This Row],[PontoPed]]-tabItens[[#This Row],[Saldo]])/tabItens[[#This Row],[PontoPed]] ) ), 0 )</f>
        <v>0</v>
      </c>
      <c r="BD618" s="321">
        <f>ROUNDDOWN(IF( OR( AND(tabItens[[#This Row],[PontoPed]]&lt;tabItens[[#This Row],[Saldo]],tabItens[[#This Row],[Saldo]]&gt;0), tabItens[[#This Row],[PontoPed]]=0), 99, IF(AND(tabItens[[#This Row],[Saldo]]=0,tabItens[[#This Row],[PontoPed]]&gt;0), 0, (1-tabItens[[#This Row],[PctAb]])*10 ) ),0)</f>
        <v>99</v>
      </c>
      <c r="BE618" s="322">
        <f>MAX(ROUNDDOWN( IF(tabItens[[#This Row],[Abaixo]] &gt; 0,   tabItens[[#This Row],[Abaixo]] + (tabItens[[#This Row],[PontoMês]] * IF( OR( ISBLANK(tabItens[[#This Row],[ATA Nº/ANO]]), tabItens[[#This Row],[ATA Nº/ANO]] = ""),BE$2,BE$1)),0),0),0)</f>
        <v>0</v>
      </c>
      <c r="BF61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323">
        <f>SUMIF(Consumo!$C$3:$C$869,tabItens[[#This Row],[CÓDIGO]],Consumo!$E$3:$E$869)</f>
        <v>0</v>
      </c>
      <c r="BH618" s="324">
        <f>IF(AND(tabItens[[#This Row],[Pend]] &gt; 0,tabItens[[#This Row],[Consumo]] &lt;&gt; 0), tabItens[[#This Row],[Pend]] / tabItens[[#This Row],[Consumo]], 0 )</f>
        <v>0</v>
      </c>
      <c r="BI618" s="323"/>
      <c r="BJ618" s="323"/>
      <c r="BK618" s="325" t="s">
        <v>2064</v>
      </c>
    </row>
    <row r="619" spans="1:63" x14ac:dyDescent="0.3">
      <c r="A619" s="396">
        <v>102588</v>
      </c>
      <c r="B619" s="397" t="s">
        <v>1575</v>
      </c>
      <c r="C619" s="398" t="s">
        <v>256</v>
      </c>
      <c r="D619" s="399">
        <v>5.18</v>
      </c>
      <c r="E619" s="290"/>
      <c r="F619" s="400"/>
      <c r="G619" s="400" t="s">
        <v>883</v>
      </c>
      <c r="H619" s="401">
        <v>0</v>
      </c>
      <c r="I619" s="292">
        <v>103003</v>
      </c>
      <c r="J619" s="293">
        <v>5.18</v>
      </c>
      <c r="K619" s="402">
        <v>103</v>
      </c>
      <c r="L619" s="403">
        <f>IF(tabItens[[#This Row],[Média]] &gt; 0, tabItens[[#This Row],[QTDE ATUAL]] / tabItens[[#This Row],[Média]],999.9)</f>
        <v>0</v>
      </c>
      <c r="M619" s="404">
        <v>0</v>
      </c>
      <c r="N619" s="405">
        <f>tabItens[[#This Row],[VALOR UNIT.]] * tabItens[[#This Row],[LC]]</f>
        <v>0</v>
      </c>
      <c r="O619" s="406" t="s">
        <v>2128</v>
      </c>
      <c r="P619" s="407"/>
      <c r="Q619" s="408"/>
      <c r="R619" s="297"/>
      <c r="S619" s="409"/>
      <c r="T619" s="410">
        <f>ROUNDDOWN(IFERROR(tabItens[[#This Row],[ATA DT.VALID.]] - $D$1,0) / 30,0)</f>
        <v>-1504</v>
      </c>
      <c r="U619" s="287" t="s">
        <v>1001</v>
      </c>
      <c r="V619" s="303">
        <v>1</v>
      </c>
      <c r="W619" s="411" t="s">
        <v>2054</v>
      </c>
      <c r="X619" s="412">
        <v>61</v>
      </c>
      <c r="Y619" s="413">
        <v>11</v>
      </c>
      <c r="Z619" s="414">
        <v>2768</v>
      </c>
      <c r="AA619" s="415">
        <v>2023</v>
      </c>
      <c r="AB619" s="416">
        <v>500</v>
      </c>
      <c r="AC619" s="416"/>
      <c r="AD619" s="415"/>
      <c r="AE619" s="416"/>
      <c r="AF619" s="302"/>
      <c r="AG619" s="417" t="s">
        <v>2050</v>
      </c>
      <c r="AH619" s="418"/>
      <c r="AI619" s="302">
        <v>36</v>
      </c>
      <c r="AJ619" s="418">
        <v>44771</v>
      </c>
      <c r="AK619" s="311">
        <v>39365</v>
      </c>
      <c r="AL619" s="311">
        <v>45103</v>
      </c>
      <c r="AM619" s="301"/>
      <c r="AN619" s="290"/>
      <c r="AO619" s="312" t="str">
        <f>_xlfn.IFNA(IF(VLOOKUP(tabItens[[#This Row],[CÓDIGO]],tabExcluirDoEstoque[#Data],1,FALSE),"sim",""),"")</f>
        <v/>
      </c>
      <c r="AP619" s="419" t="str">
        <f ca="1">IF(OR(ISBLANK(tabItens[[#This Row],[ATA DT.VALID.]]),tabItens[[#This Row],[ATA DT.VALID.]]="",tabItens[[#This Row],[ATA DT.VALID.]]=" "),"",IF(TYPE(tabItens[[#This Row],[ATA DT.VALID.]])=1,ROUNDUP((tabItens[[#This Row],[ATA DT.VALID.]]-TODAY())/7,0),""))</f>
        <v/>
      </c>
      <c r="AQ619" s="314">
        <v>0</v>
      </c>
      <c r="AR619" s="315" t="str">
        <f>IF(ISBLANK(tabItens[[#This Row],[CÓDIGO]]),"",IFERROR(VLOOKUP(tabItens[[#This Row],[CÓDIGO]],Consumo!$C$2:$AC$869,26,FALSE),0))</f>
        <v>05.2023</v>
      </c>
      <c r="AS619" s="316">
        <f>SUMIF(Consumo!$C$3:$C$869,tabItens[[#This Row],[CÓDIGO]],Consumo!$N$3:$N$869) + SUMIF(Consumo!$C$3:$C$869,tabItens[[#This Row],[CÓDIGO]],Consumo!$O$3:$O$869) + SUMIF(Consumo!$C$3:$C$869,tabItens[[#This Row],[CÓDIGO]],Consumo!$P$3:$P$869) + SUMIF(Consumo!$C$3:$C$869,tabItens[[#This Row],[CÓDIGO]],Consumo!$Q$3:$Q$869)</f>
        <v>9</v>
      </c>
      <c r="AT619" s="316">
        <f>SUMIF(Consumo!$C$3:$C$869,tabItens[[#This Row],[CÓDIGO]],Consumo!$Z$3:$Z$869)</f>
        <v>172</v>
      </c>
      <c r="AU619" s="317">
        <f>SUMIF(Consumo!$C$3:$C$869,tabItens[[#This Row],[CÓDIGO]],Consumo!$AA$3:$AA$869)</f>
        <v>45</v>
      </c>
      <c r="AV619" s="318">
        <f>SUMIF(Consumo!$C$3:$C$869,tabItens[[#This Row],[CÓDIGO]],Consumo!$Y$3:$Y$869)</f>
        <v>14.333333333333334</v>
      </c>
      <c r="AW619" s="401">
        <f>tabItens[[#This Row],[QTDE ATUAL]] + tabItens[[#This Row],[RC QTDE]] + tabItens[[#This Row],[AF SALDO]] + tabItens[[#This Row],[Recentes]]</f>
        <v>500</v>
      </c>
      <c r="AX619" s="420">
        <v>6</v>
      </c>
      <c r="AY619" s="420">
        <v>4</v>
      </c>
      <c r="AZ619" s="420">
        <f>IF(ISBLANK(tabItens[[#This Row],[CÓDIGO]]),"",tabItens[[#This Row],[PontoMês]] * (AZ$2+tabItens[[#This Row],[PontoQtM]]))</f>
        <v>24</v>
      </c>
      <c r="BA619" s="421">
        <f>tabItens[[#This Row],[PontoPed]] - tabItens[[#This Row],[Saldo]] + (1/10)</f>
        <v>-475.9</v>
      </c>
      <c r="BB619" s="421">
        <f xml:space="preserve"> tabItens[[#This Row],[PontoMês]] * BB$2 - tabItens[[#This Row],[QTDE ATUAL]] - (1/10)</f>
        <v>5.9</v>
      </c>
      <c r="BC619" s="320">
        <f>IF( tabItens[[#This Row],[PontoPed]]&gt;0, IF(tabItens[[#This Row],[PontoPed]]&lt;1, 1, IF( tabItens[[#This Row],[Saldo]]&gt;tabItens[[#This Row],[PontoPed]], 0, (tabItens[[#This Row],[PontoPed]]-tabItens[[#This Row],[Saldo]])/tabItens[[#This Row],[PontoPed]] ) ), 0 )</f>
        <v>0</v>
      </c>
      <c r="BD619" s="422">
        <f>ROUNDDOWN(IF( OR( AND(tabItens[[#This Row],[PontoPed]]&lt;tabItens[[#This Row],[Saldo]],tabItens[[#This Row],[Saldo]]&gt;0), tabItens[[#This Row],[PontoPed]]=0), 99, IF(AND(tabItens[[#This Row],[Saldo]]=0,tabItens[[#This Row],[PontoPed]]&gt;0), 0, (1-tabItens[[#This Row],[PctAb]])*10 ) ),0)</f>
        <v>99</v>
      </c>
      <c r="BE619" s="423">
        <f>MAX(ROUNDDOWN( IF(tabItens[[#This Row],[Abaixo]] &gt; 0,   tabItens[[#This Row],[Abaixo]] + (tabItens[[#This Row],[PontoMês]] * IF( OR( ISBLANK(tabItens[[#This Row],[ATA Nº/ANO]]), tabItens[[#This Row],[ATA Nº/ANO]] = ""),BE$2,BE$1)),0),0),0)</f>
        <v>0</v>
      </c>
      <c r="BF61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323">
        <f>SUMIF(Consumo!$C$3:$C$869,tabItens[[#This Row],[CÓDIGO]],Consumo!$E$3:$E$869)</f>
        <v>65</v>
      </c>
      <c r="BH619" s="324">
        <f>IF(AND(tabItens[[#This Row],[Pend]] &gt; 0,tabItens[[#This Row],[Consumo]] &lt;&gt; 0), tabItens[[#This Row],[Pend]] / tabItens[[#This Row],[Consumo]], 0 )</f>
        <v>0.37790697674418605</v>
      </c>
      <c r="BI619" s="323"/>
      <c r="BJ619" s="424"/>
      <c r="BK619" s="425" t="s">
        <v>2064</v>
      </c>
    </row>
    <row r="620" spans="1:63" x14ac:dyDescent="0.3">
      <c r="A620" s="396">
        <v>13186</v>
      </c>
      <c r="B620" s="397" t="s">
        <v>1021</v>
      </c>
      <c r="C620" s="398" t="s">
        <v>275</v>
      </c>
      <c r="D620" s="399">
        <v>25.63</v>
      </c>
      <c r="E620" s="290"/>
      <c r="F620" s="400"/>
      <c r="G620" s="400" t="s">
        <v>883</v>
      </c>
      <c r="H620" s="401">
        <v>0</v>
      </c>
      <c r="I620" s="292">
        <v>103003</v>
      </c>
      <c r="J620" s="293">
        <v>25.63</v>
      </c>
      <c r="K620" s="402">
        <v>48</v>
      </c>
      <c r="L620" s="403">
        <f>IF(tabItens[[#This Row],[Média]] &gt; 0, tabItens[[#This Row],[QTDE ATUAL]] / tabItens[[#This Row],[Média]],999.9)</f>
        <v>0</v>
      </c>
      <c r="M620" s="404">
        <v>0</v>
      </c>
      <c r="N620" s="405">
        <f>tabItens[[#This Row],[VALOR UNIT.]] * tabItens[[#This Row],[LC]]</f>
        <v>0</v>
      </c>
      <c r="O620" s="406" t="s">
        <v>2078</v>
      </c>
      <c r="P620" s="407"/>
      <c r="Q620" s="408"/>
      <c r="R620" s="297"/>
      <c r="S620" s="409"/>
      <c r="T620" s="410">
        <f>ROUNDDOWN(IFERROR(tabItens[[#This Row],[ATA DT.VALID.]] - $D$1,0) / 30,0)</f>
        <v>-1504</v>
      </c>
      <c r="U620" s="287" t="s">
        <v>1022</v>
      </c>
      <c r="V620" s="303">
        <v>1</v>
      </c>
      <c r="W620" s="411" t="s">
        <v>2057</v>
      </c>
      <c r="X620" s="412">
        <v>74</v>
      </c>
      <c r="Y620" s="413">
        <v>4</v>
      </c>
      <c r="Z620" s="414">
        <v>2217</v>
      </c>
      <c r="AA620" s="415">
        <v>2023</v>
      </c>
      <c r="AB620" s="416">
        <v>90</v>
      </c>
      <c r="AC620" s="416"/>
      <c r="AD620" s="415"/>
      <c r="AE620" s="416"/>
      <c r="AF620" s="302"/>
      <c r="AG620" s="417" t="s">
        <v>2050</v>
      </c>
      <c r="AH620" s="418"/>
      <c r="AI620" s="302">
        <v>24</v>
      </c>
      <c r="AJ620" s="418">
        <v>44055</v>
      </c>
      <c r="AK620" s="311" t="s">
        <v>883</v>
      </c>
      <c r="AL620" s="311">
        <v>45056</v>
      </c>
      <c r="AM620" s="301"/>
      <c r="AN620" s="290"/>
      <c r="AO620" s="312" t="str">
        <f>_xlfn.IFNA(IF(VLOOKUP(tabItens[[#This Row],[CÓDIGO]],tabExcluirDoEstoque[#Data],1,FALSE),"sim",""),"")</f>
        <v/>
      </c>
      <c r="AP620" s="419" t="str">
        <f ca="1">IF(OR(ISBLANK(tabItens[[#This Row],[ATA DT.VALID.]]),tabItens[[#This Row],[ATA DT.VALID.]]="",tabItens[[#This Row],[ATA DT.VALID.]]=" "),"",IF(TYPE(tabItens[[#This Row],[ATA DT.VALID.]])=1,ROUNDUP((tabItens[[#This Row],[ATA DT.VALID.]]-TODAY())/7,0),""))</f>
        <v/>
      </c>
      <c r="AQ620" s="314">
        <v>0</v>
      </c>
      <c r="AR620" s="315" t="str">
        <f>IF(ISBLANK(tabItens[[#This Row],[CÓDIGO]]),"",IFERROR(VLOOKUP(tabItens[[#This Row],[CÓDIGO]],Consumo!$C$2:$AC$869,26,FALSE),0))</f>
        <v>01.2023</v>
      </c>
      <c r="AS620" s="316">
        <f>SUMIF(Consumo!$C$3:$C$869,tabItens[[#This Row],[CÓDIGO]],Consumo!$N$3:$N$869) + SUMIF(Consumo!$C$3:$C$869,tabItens[[#This Row],[CÓDIGO]],Consumo!$O$3:$O$869) + SUMIF(Consumo!$C$3:$C$869,tabItens[[#This Row],[CÓDIGO]],Consumo!$P$3:$P$869) + SUMIF(Consumo!$C$3:$C$869,tabItens[[#This Row],[CÓDIGO]],Consumo!$Q$3:$Q$869)</f>
        <v>0</v>
      </c>
      <c r="AT620" s="316">
        <f>SUMIF(Consumo!$C$3:$C$869,tabItens[[#This Row],[CÓDIGO]],Consumo!$Z$3:$Z$869)</f>
        <v>67</v>
      </c>
      <c r="AU620" s="317">
        <f>SUMIF(Consumo!$C$3:$C$869,tabItens[[#This Row],[CÓDIGO]],Consumo!$AA$3:$AA$869)</f>
        <v>22</v>
      </c>
      <c r="AV620" s="318">
        <f>SUMIF(Consumo!$C$3:$C$869,tabItens[[#This Row],[CÓDIGO]],Consumo!$Y$3:$Y$869)</f>
        <v>5.5</v>
      </c>
      <c r="AW620" s="401">
        <f>tabItens[[#This Row],[QTDE ATUAL]] + tabItens[[#This Row],[RC QTDE]] + tabItens[[#This Row],[AF SALDO]] + tabItens[[#This Row],[Recentes]]</f>
        <v>90</v>
      </c>
      <c r="AX620" s="420">
        <v>7</v>
      </c>
      <c r="AY620" s="420">
        <v>4</v>
      </c>
      <c r="AZ620" s="420">
        <f>IF(ISBLANK(tabItens[[#This Row],[CÓDIGO]]),"",tabItens[[#This Row],[PontoMês]] * (AZ$2+tabItens[[#This Row],[PontoQtM]]))</f>
        <v>28</v>
      </c>
      <c r="BA620" s="421">
        <f>tabItens[[#This Row],[PontoPed]] - tabItens[[#This Row],[Saldo]] + (1/10)</f>
        <v>-61.9</v>
      </c>
      <c r="BB620" s="421">
        <f xml:space="preserve"> tabItens[[#This Row],[PontoMês]] * BB$2 - tabItens[[#This Row],[QTDE ATUAL]] - (1/10)</f>
        <v>6.9</v>
      </c>
      <c r="BC620" s="320">
        <f>IF( tabItens[[#This Row],[PontoPed]]&gt;0, IF(tabItens[[#This Row],[PontoPed]]&lt;1, 1, IF( tabItens[[#This Row],[Saldo]]&gt;tabItens[[#This Row],[PontoPed]], 0, (tabItens[[#This Row],[PontoPed]]-tabItens[[#This Row],[Saldo]])/tabItens[[#This Row],[PontoPed]] ) ), 0 )</f>
        <v>0</v>
      </c>
      <c r="BD620" s="422">
        <f>ROUNDDOWN(IF( OR( AND(tabItens[[#This Row],[PontoPed]]&lt;tabItens[[#This Row],[Saldo]],tabItens[[#This Row],[Saldo]]&gt;0), tabItens[[#This Row],[PontoPed]]=0), 99, IF(AND(tabItens[[#This Row],[Saldo]]=0,tabItens[[#This Row],[PontoPed]]&gt;0), 0, (1-tabItens[[#This Row],[PctAb]])*10 ) ),0)</f>
        <v>99</v>
      </c>
      <c r="BE620" s="423">
        <f>MAX(ROUNDDOWN( IF(tabItens[[#This Row],[Abaixo]] &gt; 0,   tabItens[[#This Row],[Abaixo]] + (tabItens[[#This Row],[PontoMês]] * IF( OR( ISBLANK(tabItens[[#This Row],[ATA Nº/ANO]]), tabItens[[#This Row],[ATA Nº/ANO]] = ""),BE$2,BE$1)),0),0),0)</f>
        <v>0</v>
      </c>
      <c r="BF620"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323">
        <f>SUMIF(Consumo!$C$3:$C$869,tabItens[[#This Row],[CÓDIGO]],Consumo!$E$3:$E$869)</f>
        <v>19</v>
      </c>
      <c r="BH620" s="324">
        <f>IF(AND(tabItens[[#This Row],[Pend]] &gt; 0,tabItens[[#This Row],[Consumo]] &lt;&gt; 0), tabItens[[#This Row],[Pend]] / tabItens[[#This Row],[Consumo]], 0 )</f>
        <v>0.28358208955223879</v>
      </c>
      <c r="BI620" s="323"/>
      <c r="BJ620" s="424"/>
      <c r="BK620" s="425" t="s">
        <v>2064</v>
      </c>
    </row>
    <row r="621" spans="1:63" hidden="1" x14ac:dyDescent="0.3">
      <c r="A621" s="286">
        <v>12856</v>
      </c>
      <c r="B621" s="287" t="s">
        <v>970</v>
      </c>
      <c r="C621" s="288" t="s">
        <v>256</v>
      </c>
      <c r="D621" s="289">
        <v>3.35</v>
      </c>
      <c r="E621" s="290"/>
      <c r="F621" s="290"/>
      <c r="G621" s="290" t="s">
        <v>883</v>
      </c>
      <c r="H621" s="291">
        <v>5644</v>
      </c>
      <c r="I621" s="292">
        <v>103003</v>
      </c>
      <c r="J621" s="293">
        <v>3.35</v>
      </c>
      <c r="K621" s="294">
        <v>2461</v>
      </c>
      <c r="L621" s="295">
        <f>IF(tabItens[[#This Row],[Média]] &gt; 0, tabItens[[#This Row],[QTDE ATUAL]] / tabItens[[#This Row],[Média]],999.9)</f>
        <v>25.959371406669224</v>
      </c>
      <c r="M621" s="296">
        <v>0</v>
      </c>
      <c r="N621" s="297">
        <f>tabItens[[#This Row],[VALOR UNIT.]] * tabItens[[#This Row],[LC]]</f>
        <v>0</v>
      </c>
      <c r="O621" s="298" t="s">
        <v>2078</v>
      </c>
      <c r="P621" s="299"/>
      <c r="Q621" s="300"/>
      <c r="R621" s="297"/>
      <c r="S621" s="301"/>
      <c r="T621" s="302">
        <f>ROUNDDOWN(IFERROR(tabItens[[#This Row],[ATA DT.VALID.]] - $D$1,0) / 30,0)</f>
        <v>-1504</v>
      </c>
      <c r="U621" s="287" t="s">
        <v>962</v>
      </c>
      <c r="V621" s="303">
        <v>1</v>
      </c>
      <c r="W621" s="304" t="s">
        <v>2053</v>
      </c>
      <c r="X621" s="305">
        <v>76</v>
      </c>
      <c r="Y621" s="306">
        <v>11</v>
      </c>
      <c r="Z621" s="307"/>
      <c r="AA621" s="308"/>
      <c r="AB621" s="309"/>
      <c r="AC621" s="309"/>
      <c r="AD621" s="308"/>
      <c r="AE621" s="309"/>
      <c r="AF621" s="302"/>
      <c r="AG621" s="310" t="s">
        <v>2050</v>
      </c>
      <c r="AH621" s="311"/>
      <c r="AI621" s="302">
        <v>1048</v>
      </c>
      <c r="AJ621" s="311">
        <v>44874</v>
      </c>
      <c r="AK621" s="311" t="s">
        <v>883</v>
      </c>
      <c r="AL621" s="311">
        <v>44865</v>
      </c>
      <c r="AM621" s="301"/>
      <c r="AN621" s="290"/>
      <c r="AO621" s="312" t="str">
        <f>_xlfn.IFNA(IF(VLOOKUP(tabItens[[#This Row],[CÓDIGO]],tabExcluirDoEstoque[#Data],1,FALSE),"sim",""),"")</f>
        <v/>
      </c>
      <c r="AP621" s="313" t="str">
        <f ca="1">IF(OR(ISBLANK(tabItens[[#This Row],[ATA DT.VALID.]]),tabItens[[#This Row],[ATA DT.VALID.]]="",tabItens[[#This Row],[ATA DT.VALID.]]=" "),"",IF(TYPE(tabItens[[#This Row],[ATA DT.VALID.]])=1,ROUNDUP((tabItens[[#This Row],[ATA DT.VALID.]]-TODAY())/7,0),""))</f>
        <v/>
      </c>
      <c r="AQ621" s="314">
        <v>0</v>
      </c>
      <c r="AR621" s="315" t="str">
        <f>IF(ISBLANK(tabItens[[#This Row],[CÓDIGO]]),"",IFERROR(VLOOKUP(tabItens[[#This Row],[CÓDIGO]],Consumo!$C$2:$AC$869,26,FALSE),0))</f>
        <v>07.2023</v>
      </c>
      <c r="AS621" s="316">
        <f>SUMIF(Consumo!$C$3:$C$869,tabItens[[#This Row],[CÓDIGO]],Consumo!$N$3:$N$869) + SUMIF(Consumo!$C$3:$C$869,tabItens[[#This Row],[CÓDIGO]],Consumo!$O$3:$O$869) + SUMIF(Consumo!$C$3:$C$869,tabItens[[#This Row],[CÓDIGO]],Consumo!$P$3:$P$869) + SUMIF(Consumo!$C$3:$C$869,tabItens[[#This Row],[CÓDIGO]],Consumo!$Q$3:$Q$869)</f>
        <v>489</v>
      </c>
      <c r="AT621" s="316">
        <f>SUMIF(Consumo!$C$3:$C$869,tabItens[[#This Row],[CÓDIGO]],Consumo!$Z$3:$Z$869)</f>
        <v>3146</v>
      </c>
      <c r="AU621" s="317">
        <f>SUMIF(Consumo!$C$3:$C$869,tabItens[[#This Row],[CÓDIGO]],Consumo!$AA$3:$AA$869)</f>
        <v>1716</v>
      </c>
      <c r="AV621" s="318">
        <f>SUMIF(Consumo!$C$3:$C$869,tabItens[[#This Row],[CÓDIGO]],Consumo!$Y$3:$Y$869)</f>
        <v>217.41666666666666</v>
      </c>
      <c r="AW621" s="291">
        <f>tabItens[[#This Row],[QTDE ATUAL]] + tabItens[[#This Row],[RC QTDE]] + tabItens[[#This Row],[AF SALDO]] + tabItens[[#This Row],[Recentes]]</f>
        <v>5644</v>
      </c>
      <c r="AX621" s="319">
        <v>280</v>
      </c>
      <c r="AY621" s="319">
        <v>4</v>
      </c>
      <c r="AZ621" s="319">
        <f>IF(ISBLANK(tabItens[[#This Row],[CÓDIGO]]),"",tabItens[[#This Row],[PontoMês]] * (AZ$2+tabItens[[#This Row],[PontoQtM]]))</f>
        <v>1120</v>
      </c>
      <c r="BA621" s="318">
        <f>tabItens[[#This Row],[PontoPed]] - tabItens[[#This Row],[Saldo]] + (1/10)</f>
        <v>-4523.8999999999996</v>
      </c>
      <c r="BB621" s="318">
        <f xml:space="preserve"> tabItens[[#This Row],[PontoMês]] * BB$2 - tabItens[[#This Row],[QTDE ATUAL]] - (1/10)</f>
        <v>-5364.1</v>
      </c>
      <c r="BC621" s="320">
        <f>IF( tabItens[[#This Row],[PontoPed]]&gt;0, IF(tabItens[[#This Row],[PontoPed]]&lt;1, 1, IF( tabItens[[#This Row],[Saldo]]&gt;tabItens[[#This Row],[PontoPed]], 0, (tabItens[[#This Row],[PontoPed]]-tabItens[[#This Row],[Saldo]])/tabItens[[#This Row],[PontoPed]] ) ), 0 )</f>
        <v>0</v>
      </c>
      <c r="BD621" s="321">
        <f>ROUNDDOWN(IF( OR( AND(tabItens[[#This Row],[PontoPed]]&lt;tabItens[[#This Row],[Saldo]],tabItens[[#This Row],[Saldo]]&gt;0), tabItens[[#This Row],[PontoPed]]=0), 99, IF(AND(tabItens[[#This Row],[Saldo]]=0,tabItens[[#This Row],[PontoPed]]&gt;0), 0, (1-tabItens[[#This Row],[PctAb]])*10 ) ),0)</f>
        <v>99</v>
      </c>
      <c r="BE621" s="322">
        <f>MAX(ROUNDDOWN( IF(tabItens[[#This Row],[Abaixo]] &gt; 0,   tabItens[[#This Row],[Abaixo]] + (tabItens[[#This Row],[PontoMês]] * IF( OR( ISBLANK(tabItens[[#This Row],[ATA Nº/ANO]]), tabItens[[#This Row],[ATA Nº/ANO]] = ""),BE$2,BE$1)),0),0),0)</f>
        <v>0</v>
      </c>
      <c r="BF62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323">
        <f>SUMIF(Consumo!$C$3:$C$869,tabItens[[#This Row],[CÓDIGO]],Consumo!$E$3:$E$869)</f>
        <v>0</v>
      </c>
      <c r="BH621" s="324">
        <f>IF(AND(tabItens[[#This Row],[Pend]] &gt; 0,tabItens[[#This Row],[Consumo]] &lt;&gt; 0), tabItens[[#This Row],[Pend]] / tabItens[[#This Row],[Consumo]], 0 )</f>
        <v>0</v>
      </c>
      <c r="BI621" s="323"/>
      <c r="BJ621" s="323"/>
      <c r="BK621" s="325" t="s">
        <v>2064</v>
      </c>
    </row>
    <row r="622" spans="1:63" hidden="1" x14ac:dyDescent="0.3">
      <c r="A622" s="286">
        <v>17562</v>
      </c>
      <c r="B622" s="287" t="s">
        <v>1136</v>
      </c>
      <c r="C622" s="288" t="s">
        <v>256</v>
      </c>
      <c r="D622" s="289">
        <v>6.35</v>
      </c>
      <c r="E622" s="290"/>
      <c r="F622" s="290"/>
      <c r="G622" s="290" t="s">
        <v>883</v>
      </c>
      <c r="H622" s="291">
        <v>443</v>
      </c>
      <c r="I622" s="292">
        <v>103003</v>
      </c>
      <c r="J622" s="293">
        <v>6.35</v>
      </c>
      <c r="K622" s="294">
        <v>40</v>
      </c>
      <c r="L622" s="295">
        <f>IF(tabItens[[#This Row],[Média]] &gt; 0, tabItens[[#This Row],[QTDE ATUAL]] / tabItens[[#This Row],[Média]],999.9)</f>
        <v>171.48387096774192</v>
      </c>
      <c r="M622" s="296">
        <v>0</v>
      </c>
      <c r="N622" s="297">
        <f>tabItens[[#This Row],[VALOR UNIT.]] * tabItens[[#This Row],[LC]]</f>
        <v>0</v>
      </c>
      <c r="O622" s="298" t="s">
        <v>2078</v>
      </c>
      <c r="P622" s="299"/>
      <c r="Q622" s="300"/>
      <c r="R622" s="297"/>
      <c r="S622" s="301"/>
      <c r="T622" s="302">
        <f>ROUNDDOWN(IFERROR(tabItens[[#This Row],[ATA DT.VALID.]] - $D$1,0) / 30,0)</f>
        <v>-1504</v>
      </c>
      <c r="U622" s="287" t="s">
        <v>1137</v>
      </c>
      <c r="V622" s="303">
        <v>1</v>
      </c>
      <c r="W622" s="304" t="s">
        <v>2056</v>
      </c>
      <c r="X622" s="305">
        <v>83</v>
      </c>
      <c r="Y622" s="306">
        <v>8</v>
      </c>
      <c r="Z622" s="307"/>
      <c r="AA622" s="308"/>
      <c r="AB622" s="309"/>
      <c r="AC622" s="309"/>
      <c r="AD622" s="308"/>
      <c r="AE622" s="309"/>
      <c r="AF622" s="302"/>
      <c r="AG622" s="310" t="s">
        <v>2050</v>
      </c>
      <c r="AH622" s="311"/>
      <c r="AI622" s="302">
        <v>14</v>
      </c>
      <c r="AJ622" s="311">
        <v>43280</v>
      </c>
      <c r="AK622" s="311" t="s">
        <v>883</v>
      </c>
      <c r="AL622" s="311">
        <v>44231</v>
      </c>
      <c r="AM622" s="301"/>
      <c r="AN622" s="290"/>
      <c r="AO622" s="312" t="str">
        <f>_xlfn.IFNA(IF(VLOOKUP(tabItens[[#This Row],[CÓDIGO]],tabExcluirDoEstoque[#Data],1,FALSE),"sim",""),"")</f>
        <v/>
      </c>
      <c r="AP622" s="313" t="str">
        <f ca="1">IF(OR(ISBLANK(tabItens[[#This Row],[ATA DT.VALID.]]),tabItens[[#This Row],[ATA DT.VALID.]]="",tabItens[[#This Row],[ATA DT.VALID.]]=" "),"",IF(TYPE(tabItens[[#This Row],[ATA DT.VALID.]])=1,ROUNDUP((tabItens[[#This Row],[ATA DT.VALID.]]-TODAY())/7,0),""))</f>
        <v/>
      </c>
      <c r="AQ622" s="314">
        <v>0</v>
      </c>
      <c r="AR622" s="315" t="str">
        <f>IF(ISBLANK(tabItens[[#This Row],[CÓDIGO]]),"",IFERROR(VLOOKUP(tabItens[[#This Row],[CÓDIGO]],Consumo!$C$2:$AC$869,26,FALSE),0))</f>
        <v>03.2023</v>
      </c>
      <c r="AS622" s="316">
        <f>SUMIF(Consumo!$C$3:$C$869,tabItens[[#This Row],[CÓDIGO]],Consumo!$N$3:$N$869) + SUMIF(Consumo!$C$3:$C$869,tabItens[[#This Row],[CÓDIGO]],Consumo!$O$3:$O$869) + SUMIF(Consumo!$C$3:$C$869,tabItens[[#This Row],[CÓDIGO]],Consumo!$P$3:$P$869) + SUMIF(Consumo!$C$3:$C$869,tabItens[[#This Row],[CÓDIGO]],Consumo!$Q$3:$Q$869)</f>
        <v>0</v>
      </c>
      <c r="AT622" s="316">
        <f>SUMIF(Consumo!$C$3:$C$869,tabItens[[#This Row],[CÓDIGO]],Consumo!$Z$3:$Z$869)</f>
        <v>40</v>
      </c>
      <c r="AU622" s="317">
        <f>SUMIF(Consumo!$C$3:$C$869,tabItens[[#This Row],[CÓDIGO]],Consumo!$AA$3:$AA$869)</f>
        <v>30</v>
      </c>
      <c r="AV622" s="318">
        <f>SUMIF(Consumo!$C$3:$C$869,tabItens[[#This Row],[CÓDIGO]],Consumo!$Y$3:$Y$869)</f>
        <v>2.5833333333333335</v>
      </c>
      <c r="AW622" s="291">
        <f>tabItens[[#This Row],[QTDE ATUAL]] + tabItens[[#This Row],[RC QTDE]] + tabItens[[#This Row],[AF SALDO]] + tabItens[[#This Row],[Recentes]]</f>
        <v>443</v>
      </c>
      <c r="AX622" s="319">
        <v>17</v>
      </c>
      <c r="AY622" s="319">
        <v>4</v>
      </c>
      <c r="AZ622" s="319">
        <f>IF(ISBLANK(tabItens[[#This Row],[CÓDIGO]]),"",tabItens[[#This Row],[PontoMês]] * (AZ$2+tabItens[[#This Row],[PontoQtM]]))</f>
        <v>68</v>
      </c>
      <c r="BA622" s="318">
        <f>tabItens[[#This Row],[PontoPed]] - tabItens[[#This Row],[Saldo]] + (1/10)</f>
        <v>-374.9</v>
      </c>
      <c r="BB622" s="318">
        <f xml:space="preserve"> tabItens[[#This Row],[PontoMês]] * BB$2 - tabItens[[#This Row],[QTDE ATUAL]] - (1/10)</f>
        <v>-426.1</v>
      </c>
      <c r="BC622" s="320">
        <f>IF( tabItens[[#This Row],[PontoPed]]&gt;0, IF(tabItens[[#This Row],[PontoPed]]&lt;1, 1, IF( tabItens[[#This Row],[Saldo]]&gt;tabItens[[#This Row],[PontoPed]], 0, (tabItens[[#This Row],[PontoPed]]-tabItens[[#This Row],[Saldo]])/tabItens[[#This Row],[PontoPed]] ) ), 0 )</f>
        <v>0</v>
      </c>
      <c r="BD622" s="321">
        <f>ROUNDDOWN(IF( OR( AND(tabItens[[#This Row],[PontoPed]]&lt;tabItens[[#This Row],[Saldo]],tabItens[[#This Row],[Saldo]]&gt;0), tabItens[[#This Row],[PontoPed]]=0), 99, IF(AND(tabItens[[#This Row],[Saldo]]=0,tabItens[[#This Row],[PontoPed]]&gt;0), 0, (1-tabItens[[#This Row],[PctAb]])*10 ) ),0)</f>
        <v>99</v>
      </c>
      <c r="BE622" s="322">
        <f>MAX(ROUNDDOWN( IF(tabItens[[#This Row],[Abaixo]] &gt; 0,   tabItens[[#This Row],[Abaixo]] + (tabItens[[#This Row],[PontoMês]] * IF( OR( ISBLANK(tabItens[[#This Row],[ATA Nº/ANO]]), tabItens[[#This Row],[ATA Nº/ANO]] = ""),BE$2,BE$1)),0),0),0)</f>
        <v>0</v>
      </c>
      <c r="BF62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323">
        <f>SUMIF(Consumo!$C$3:$C$869,tabItens[[#This Row],[CÓDIGO]],Consumo!$E$3:$E$869)</f>
        <v>0</v>
      </c>
      <c r="BH622" s="324">
        <f>IF(AND(tabItens[[#This Row],[Pend]] &gt; 0,tabItens[[#This Row],[Consumo]] &lt;&gt; 0), tabItens[[#This Row],[Pend]] / tabItens[[#This Row],[Consumo]], 0 )</f>
        <v>0</v>
      </c>
      <c r="BI622" s="323"/>
      <c r="BJ622" s="323"/>
      <c r="BK622" s="325" t="s">
        <v>2064</v>
      </c>
    </row>
    <row r="623" spans="1:63" hidden="1" x14ac:dyDescent="0.3">
      <c r="A623" s="286">
        <v>54144</v>
      </c>
      <c r="B623" s="287" t="s">
        <v>1316</v>
      </c>
      <c r="C623" s="288" t="s">
        <v>256</v>
      </c>
      <c r="D623" s="289">
        <v>1.29</v>
      </c>
      <c r="E623" s="290"/>
      <c r="F623" s="290"/>
      <c r="G623" s="290" t="s">
        <v>883</v>
      </c>
      <c r="H623" s="291">
        <v>381</v>
      </c>
      <c r="I623" s="292">
        <v>103003</v>
      </c>
      <c r="J623" s="293">
        <v>1.29</v>
      </c>
      <c r="K623" s="294">
        <v>214</v>
      </c>
      <c r="L623" s="295">
        <f>IF(tabItens[[#This Row],[Média]] &gt; 0, tabItens[[#This Row],[QTDE ATUAL]] / tabItens[[#This Row],[Média]],999.9)</f>
        <v>21.771428571428572</v>
      </c>
      <c r="M623" s="296">
        <v>0</v>
      </c>
      <c r="N623" s="297">
        <f>tabItens[[#This Row],[VALOR UNIT.]] * tabItens[[#This Row],[LC]]</f>
        <v>0</v>
      </c>
      <c r="O623" s="298" t="s">
        <v>2087</v>
      </c>
      <c r="P623" s="299"/>
      <c r="Q623" s="300"/>
      <c r="R623" s="297"/>
      <c r="S623" s="301"/>
      <c r="T623" s="302">
        <f>ROUNDDOWN(IFERROR(tabItens[[#This Row],[ATA DT.VALID.]] - $D$1,0) / 30,0)</f>
        <v>-1504</v>
      </c>
      <c r="U623" s="287" t="s">
        <v>988</v>
      </c>
      <c r="V623" s="303">
        <v>1</v>
      </c>
      <c r="W623" s="304" t="s">
        <v>2055</v>
      </c>
      <c r="X623" s="305">
        <v>55</v>
      </c>
      <c r="Y623" s="306">
        <v>32</v>
      </c>
      <c r="Z623" s="307"/>
      <c r="AA623" s="308"/>
      <c r="AB623" s="309"/>
      <c r="AC623" s="309"/>
      <c r="AD623" s="308"/>
      <c r="AE623" s="309"/>
      <c r="AF623" s="302"/>
      <c r="AG623" s="310" t="s">
        <v>2050</v>
      </c>
      <c r="AH623" s="311"/>
      <c r="AI623" s="302">
        <v>90</v>
      </c>
      <c r="AJ623" s="311">
        <v>43893</v>
      </c>
      <c r="AK623" s="311" t="s">
        <v>883</v>
      </c>
      <c r="AL623" s="311">
        <v>44061</v>
      </c>
      <c r="AM623" s="301"/>
      <c r="AN623" s="290"/>
      <c r="AO623" s="312" t="str">
        <f>_xlfn.IFNA(IF(VLOOKUP(tabItens[[#This Row],[CÓDIGO]],tabExcluirDoEstoque[#Data],1,FALSE),"sim",""),"")</f>
        <v/>
      </c>
      <c r="AP623" s="313" t="str">
        <f ca="1">IF(OR(ISBLANK(tabItens[[#This Row],[ATA DT.VALID.]]),tabItens[[#This Row],[ATA DT.VALID.]]="",tabItens[[#This Row],[ATA DT.VALID.]]=" "),"",IF(TYPE(tabItens[[#This Row],[ATA DT.VALID.]])=1,ROUNDUP((tabItens[[#This Row],[ATA DT.VALID.]]-TODAY())/7,0),""))</f>
        <v/>
      </c>
      <c r="AQ623" s="314">
        <v>0</v>
      </c>
      <c r="AR623" s="315" t="str">
        <f>IF(ISBLANK(tabItens[[#This Row],[CÓDIGO]]),"",IFERROR(VLOOKUP(tabItens[[#This Row],[CÓDIGO]],Consumo!$C$2:$AC$869,26,FALSE),0))</f>
        <v>06.2023</v>
      </c>
      <c r="AS623" s="316">
        <f>SUMIF(Consumo!$C$3:$C$869,tabItens[[#This Row],[CÓDIGO]],Consumo!$N$3:$N$869) + SUMIF(Consumo!$C$3:$C$869,tabItens[[#This Row],[CÓDIGO]],Consumo!$O$3:$O$869) + SUMIF(Consumo!$C$3:$C$869,tabItens[[#This Row],[CÓDIGO]],Consumo!$P$3:$P$869) + SUMIF(Consumo!$C$3:$C$869,tabItens[[#This Row],[CÓDIGO]],Consumo!$Q$3:$Q$869)</f>
        <v>16</v>
      </c>
      <c r="AT623" s="316">
        <f>SUMIF(Consumo!$C$3:$C$869,tabItens[[#This Row],[CÓDIGO]],Consumo!$Z$3:$Z$869)</f>
        <v>230</v>
      </c>
      <c r="AU623" s="317">
        <f>SUMIF(Consumo!$C$3:$C$869,tabItens[[#This Row],[CÓDIGO]],Consumo!$AA$3:$AA$869)</f>
        <v>90</v>
      </c>
      <c r="AV623" s="318">
        <f>SUMIF(Consumo!$C$3:$C$869,tabItens[[#This Row],[CÓDIGO]],Consumo!$Y$3:$Y$869)</f>
        <v>17.5</v>
      </c>
      <c r="AW623" s="291">
        <f>tabItens[[#This Row],[QTDE ATUAL]] + tabItens[[#This Row],[RC QTDE]] + tabItens[[#This Row],[AF SALDO]] + tabItens[[#This Row],[Recentes]]</f>
        <v>381</v>
      </c>
      <c r="AX623" s="319">
        <v>42</v>
      </c>
      <c r="AY623" s="319">
        <v>4</v>
      </c>
      <c r="AZ623" s="319">
        <f>IF(ISBLANK(tabItens[[#This Row],[CÓDIGO]]),"",tabItens[[#This Row],[PontoMês]] * (AZ$2+tabItens[[#This Row],[PontoQtM]]))</f>
        <v>168</v>
      </c>
      <c r="BA623" s="318">
        <f>tabItens[[#This Row],[PontoPed]] - tabItens[[#This Row],[Saldo]] + (1/10)</f>
        <v>-212.9</v>
      </c>
      <c r="BB623" s="318">
        <f xml:space="preserve"> tabItens[[#This Row],[PontoMês]] * BB$2 - tabItens[[#This Row],[QTDE ATUAL]] - (1/10)</f>
        <v>-339.1</v>
      </c>
      <c r="BC623" s="320">
        <f>IF( tabItens[[#This Row],[PontoPed]]&gt;0, IF(tabItens[[#This Row],[PontoPed]]&lt;1, 1, IF( tabItens[[#This Row],[Saldo]]&gt;tabItens[[#This Row],[PontoPed]], 0, (tabItens[[#This Row],[PontoPed]]-tabItens[[#This Row],[Saldo]])/tabItens[[#This Row],[PontoPed]] ) ), 0 )</f>
        <v>0</v>
      </c>
      <c r="BD623" s="321">
        <f>ROUNDDOWN(IF( OR( AND(tabItens[[#This Row],[PontoPed]]&lt;tabItens[[#This Row],[Saldo]],tabItens[[#This Row],[Saldo]]&gt;0), tabItens[[#This Row],[PontoPed]]=0), 99, IF(AND(tabItens[[#This Row],[Saldo]]=0,tabItens[[#This Row],[PontoPed]]&gt;0), 0, (1-tabItens[[#This Row],[PctAb]])*10 ) ),0)</f>
        <v>99</v>
      </c>
      <c r="BE623" s="322">
        <f>MAX(ROUNDDOWN( IF(tabItens[[#This Row],[Abaixo]] &gt; 0,   tabItens[[#This Row],[Abaixo]] + (tabItens[[#This Row],[PontoMês]] * IF( OR( ISBLANK(tabItens[[#This Row],[ATA Nº/ANO]]), tabItens[[#This Row],[ATA Nº/ANO]] = ""),BE$2,BE$1)),0),0),0)</f>
        <v>0</v>
      </c>
      <c r="BF62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323">
        <f>SUMIF(Consumo!$C$3:$C$869,tabItens[[#This Row],[CÓDIGO]],Consumo!$E$3:$E$869)</f>
        <v>0</v>
      </c>
      <c r="BH623" s="324">
        <f>IF(AND(tabItens[[#This Row],[Pend]] &gt; 0,tabItens[[#This Row],[Consumo]] &lt;&gt; 0), tabItens[[#This Row],[Pend]] / tabItens[[#This Row],[Consumo]], 0 )</f>
        <v>0</v>
      </c>
      <c r="BI623" s="323"/>
      <c r="BJ623" s="323"/>
      <c r="BK623" s="325" t="s">
        <v>2064</v>
      </c>
    </row>
    <row r="624" spans="1:63" hidden="1" x14ac:dyDescent="0.3">
      <c r="A624" s="286">
        <v>120995</v>
      </c>
      <c r="B624" s="287" t="s">
        <v>1737</v>
      </c>
      <c r="C624" s="288" t="s">
        <v>331</v>
      </c>
      <c r="D624" s="289">
        <v>3.39</v>
      </c>
      <c r="E624" s="290"/>
      <c r="F624" s="290"/>
      <c r="G624" s="290" t="s">
        <v>883</v>
      </c>
      <c r="H624" s="291">
        <v>80</v>
      </c>
      <c r="I624" s="292">
        <v>103003</v>
      </c>
      <c r="J624" s="293">
        <v>3.39</v>
      </c>
      <c r="K624" s="294">
        <v>156</v>
      </c>
      <c r="L624" s="295">
        <f>IF(tabItens[[#This Row],[Média]] &gt; 0, tabItens[[#This Row],[QTDE ATUAL]] / tabItens[[#This Row],[Média]],999.9)</f>
        <v>6.2337662337662332</v>
      </c>
      <c r="M624" s="296">
        <v>0</v>
      </c>
      <c r="N624" s="297">
        <f>tabItens[[#This Row],[VALOR UNIT.]] * tabItens[[#This Row],[LC]]</f>
        <v>0</v>
      </c>
      <c r="O624" s="298" t="s">
        <v>2087</v>
      </c>
      <c r="P624" s="299"/>
      <c r="Q624" s="300"/>
      <c r="R624" s="297"/>
      <c r="S624" s="301"/>
      <c r="T624" s="302">
        <f>ROUNDDOWN(IFERROR(tabItens[[#This Row],[ATA DT.VALID.]] - $D$1,0) / 30,0)</f>
        <v>-1504</v>
      </c>
      <c r="U624" s="287" t="s">
        <v>988</v>
      </c>
      <c r="V624" s="303">
        <v>1</v>
      </c>
      <c r="W624" s="304" t="s">
        <v>2055</v>
      </c>
      <c r="X624" s="305">
        <v>55</v>
      </c>
      <c r="Y624" s="306">
        <v>32</v>
      </c>
      <c r="Z624" s="307">
        <v>2442</v>
      </c>
      <c r="AA624" s="308">
        <v>2023</v>
      </c>
      <c r="AB624" s="309">
        <v>100</v>
      </c>
      <c r="AC624" s="309"/>
      <c r="AD624" s="308"/>
      <c r="AE624" s="309"/>
      <c r="AF624" s="302"/>
      <c r="AG624" s="310" t="s">
        <v>2050</v>
      </c>
      <c r="AH624" s="311"/>
      <c r="AI624" s="302">
        <v>52</v>
      </c>
      <c r="AJ624" s="311">
        <v>44883</v>
      </c>
      <c r="AK624" s="311">
        <v>40794</v>
      </c>
      <c r="AL624" s="311">
        <v>44917</v>
      </c>
      <c r="AM624" s="301"/>
      <c r="AN624" s="290"/>
      <c r="AO624" s="312" t="str">
        <f>_xlfn.IFNA(IF(VLOOKUP(tabItens[[#This Row],[CÓDIGO]],tabExcluirDoEstoque[#Data],1,FALSE),"sim",""),"")</f>
        <v/>
      </c>
      <c r="AP624" s="313" t="str">
        <f ca="1">IF(OR(ISBLANK(tabItens[[#This Row],[ATA DT.VALID.]]),tabItens[[#This Row],[ATA DT.VALID.]]="",tabItens[[#This Row],[ATA DT.VALID.]]=" "),"",IF(TYPE(tabItens[[#This Row],[ATA DT.VALID.]])=1,ROUNDUP((tabItens[[#This Row],[ATA DT.VALID.]]-TODAY())/7,0),""))</f>
        <v/>
      </c>
      <c r="AQ624" s="314">
        <v>0</v>
      </c>
      <c r="AR624" s="315" t="str">
        <f>IF(ISBLANK(tabItens[[#This Row],[CÓDIGO]]),"",IFERROR(VLOOKUP(tabItens[[#This Row],[CÓDIGO]],Consumo!$C$2:$AC$869,26,FALSE),0))</f>
        <v>06.2023</v>
      </c>
      <c r="AS624" s="316">
        <f>SUMIF(Consumo!$C$3:$C$869,tabItens[[#This Row],[CÓDIGO]],Consumo!$N$3:$N$869) + SUMIF(Consumo!$C$3:$C$869,tabItens[[#This Row],[CÓDIGO]],Consumo!$O$3:$O$869) + SUMIF(Consumo!$C$3:$C$869,tabItens[[#This Row],[CÓDIGO]],Consumo!$P$3:$P$869) + SUMIF(Consumo!$C$3:$C$869,tabItens[[#This Row],[CÓDIGO]],Consumo!$Q$3:$Q$869)</f>
        <v>50</v>
      </c>
      <c r="AT624" s="316">
        <f>SUMIF(Consumo!$C$3:$C$869,tabItens[[#This Row],[CÓDIGO]],Consumo!$Z$3:$Z$869)</f>
        <v>156</v>
      </c>
      <c r="AU624" s="317">
        <f>SUMIF(Consumo!$C$3:$C$869,tabItens[[#This Row],[CÓDIGO]],Consumo!$AA$3:$AA$869)</f>
        <v>50</v>
      </c>
      <c r="AV624" s="318">
        <f>SUMIF(Consumo!$C$3:$C$869,tabItens[[#This Row],[CÓDIGO]],Consumo!$Y$3:$Y$869)</f>
        <v>12.833333333333334</v>
      </c>
      <c r="AW624" s="291">
        <f>tabItens[[#This Row],[QTDE ATUAL]] + tabItens[[#This Row],[RC QTDE]] + tabItens[[#This Row],[AF SALDO]] + tabItens[[#This Row],[Recentes]]</f>
        <v>180</v>
      </c>
      <c r="AX624" s="319">
        <v>10</v>
      </c>
      <c r="AY624" s="319">
        <v>4</v>
      </c>
      <c r="AZ624" s="319">
        <f>IF(ISBLANK(tabItens[[#This Row],[CÓDIGO]]),"",tabItens[[#This Row],[PontoMês]] * (AZ$2+tabItens[[#This Row],[PontoQtM]]))</f>
        <v>40</v>
      </c>
      <c r="BA624" s="318">
        <f>tabItens[[#This Row],[PontoPed]] - tabItens[[#This Row],[Saldo]] + (1/10)</f>
        <v>-139.9</v>
      </c>
      <c r="BB624" s="318">
        <f xml:space="preserve"> tabItens[[#This Row],[PontoMês]] * BB$2 - tabItens[[#This Row],[QTDE ATUAL]] - (1/10)</f>
        <v>-70.099999999999994</v>
      </c>
      <c r="BC624" s="320">
        <f>IF( tabItens[[#This Row],[PontoPed]]&gt;0, IF(tabItens[[#This Row],[PontoPed]]&lt;1, 1, IF( tabItens[[#This Row],[Saldo]]&gt;tabItens[[#This Row],[PontoPed]], 0, (tabItens[[#This Row],[PontoPed]]-tabItens[[#This Row],[Saldo]])/tabItens[[#This Row],[PontoPed]] ) ), 0 )</f>
        <v>0</v>
      </c>
      <c r="BD624" s="321">
        <f>ROUNDDOWN(IF( OR( AND(tabItens[[#This Row],[PontoPed]]&lt;tabItens[[#This Row],[Saldo]],tabItens[[#This Row],[Saldo]]&gt;0), tabItens[[#This Row],[PontoPed]]=0), 99, IF(AND(tabItens[[#This Row],[Saldo]]=0,tabItens[[#This Row],[PontoPed]]&gt;0), 0, (1-tabItens[[#This Row],[PctAb]])*10 ) ),0)</f>
        <v>99</v>
      </c>
      <c r="BE624" s="322">
        <f>MAX(ROUNDDOWN( IF(tabItens[[#This Row],[Abaixo]] &gt; 0,   tabItens[[#This Row],[Abaixo]] + (tabItens[[#This Row],[PontoMês]] * IF( OR( ISBLANK(tabItens[[#This Row],[ATA Nº/ANO]]), tabItens[[#This Row],[ATA Nº/ANO]] = ""),BE$2,BE$1)),0),0),0)</f>
        <v>0</v>
      </c>
      <c r="BF62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323">
        <f>SUMIF(Consumo!$C$3:$C$869,tabItens[[#This Row],[CÓDIGO]],Consumo!$E$3:$E$869)</f>
        <v>0</v>
      </c>
      <c r="BH624" s="324">
        <f>IF(AND(tabItens[[#This Row],[Pend]] &gt; 0,tabItens[[#This Row],[Consumo]] &lt;&gt; 0), tabItens[[#This Row],[Pend]] / tabItens[[#This Row],[Consumo]], 0 )</f>
        <v>0</v>
      </c>
      <c r="BI624" s="323"/>
      <c r="BJ624" s="323"/>
      <c r="BK624" s="325" t="s">
        <v>2064</v>
      </c>
    </row>
    <row r="625" spans="1:63" hidden="1" x14ac:dyDescent="0.3">
      <c r="A625" s="286">
        <v>15656</v>
      </c>
      <c r="B625" s="287" t="s">
        <v>1101</v>
      </c>
      <c r="C625" s="288" t="s">
        <v>256</v>
      </c>
      <c r="D625" s="289">
        <v>5.75</v>
      </c>
      <c r="E625" s="290"/>
      <c r="F625" s="290"/>
      <c r="G625" s="290" t="s">
        <v>883</v>
      </c>
      <c r="H625" s="291">
        <v>136</v>
      </c>
      <c r="I625" s="292">
        <v>103003</v>
      </c>
      <c r="J625" s="293">
        <v>5.75</v>
      </c>
      <c r="K625" s="294">
        <v>15</v>
      </c>
      <c r="L625" s="295">
        <f>IF(tabItens[[#This Row],[Média]] &gt; 0, tabItens[[#This Row],[QTDE ATUAL]] / tabItens[[#This Row],[Média]],999.9)</f>
        <v>136</v>
      </c>
      <c r="M625" s="296">
        <v>0</v>
      </c>
      <c r="N625" s="297">
        <f>tabItens[[#This Row],[VALOR UNIT.]] * tabItens[[#This Row],[LC]]</f>
        <v>0</v>
      </c>
      <c r="O625" s="298" t="s">
        <v>2087</v>
      </c>
      <c r="P625" s="299"/>
      <c r="Q625" s="300"/>
      <c r="R625" s="297"/>
      <c r="S625" s="301"/>
      <c r="T625" s="302">
        <f>ROUNDDOWN(IFERROR(tabItens[[#This Row],[ATA DT.VALID.]] - $D$1,0) / 30,0)</f>
        <v>-1504</v>
      </c>
      <c r="U625" s="287" t="s">
        <v>1100</v>
      </c>
      <c r="V625" s="303">
        <v>1</v>
      </c>
      <c r="W625" s="304" t="s">
        <v>2055</v>
      </c>
      <c r="X625" s="305">
        <v>55</v>
      </c>
      <c r="Y625" s="306">
        <v>35</v>
      </c>
      <c r="Z625" s="307"/>
      <c r="AA625" s="308"/>
      <c r="AB625" s="309"/>
      <c r="AC625" s="309"/>
      <c r="AD625" s="308"/>
      <c r="AE625" s="309"/>
      <c r="AF625" s="302"/>
      <c r="AG625" s="310" t="s">
        <v>2050</v>
      </c>
      <c r="AH625" s="311"/>
      <c r="AI625" s="302">
        <v>6</v>
      </c>
      <c r="AJ625" s="311">
        <v>43966</v>
      </c>
      <c r="AK625" s="311" t="s">
        <v>883</v>
      </c>
      <c r="AL625" s="311">
        <v>43880</v>
      </c>
      <c r="AM625" s="301"/>
      <c r="AN625" s="290"/>
      <c r="AO625" s="312" t="str">
        <f>_xlfn.IFNA(IF(VLOOKUP(tabItens[[#This Row],[CÓDIGO]],tabExcluirDoEstoque[#Data],1,FALSE),"sim",""),"")</f>
        <v/>
      </c>
      <c r="AP625" s="313" t="str">
        <f ca="1">IF(OR(ISBLANK(tabItens[[#This Row],[ATA DT.VALID.]]),tabItens[[#This Row],[ATA DT.VALID.]]="",tabItens[[#This Row],[ATA DT.VALID.]]=" "),"",IF(TYPE(tabItens[[#This Row],[ATA DT.VALID.]])=1,ROUNDUP((tabItens[[#This Row],[ATA DT.VALID.]]-TODAY())/7,0),""))</f>
        <v/>
      </c>
      <c r="AQ625" s="314">
        <v>0</v>
      </c>
      <c r="AR625" s="315" t="str">
        <f>IF(ISBLANK(tabItens[[#This Row],[CÓDIGO]]),"",IFERROR(VLOOKUP(tabItens[[#This Row],[CÓDIGO]],Consumo!$C$2:$AC$869,26,FALSE),0))</f>
        <v>06.2023</v>
      </c>
      <c r="AS625" s="316">
        <f>SUMIF(Consumo!$C$3:$C$869,tabItens[[#This Row],[CÓDIGO]],Consumo!$N$3:$N$869) + SUMIF(Consumo!$C$3:$C$869,tabItens[[#This Row],[CÓDIGO]],Consumo!$O$3:$O$869) + SUMIF(Consumo!$C$3:$C$869,tabItens[[#This Row],[CÓDIGO]],Consumo!$P$3:$P$869) + SUMIF(Consumo!$C$3:$C$869,tabItens[[#This Row],[CÓDIGO]],Consumo!$Q$3:$Q$869)</f>
        <v>10</v>
      </c>
      <c r="AT625" s="316">
        <f>SUMIF(Consumo!$C$3:$C$869,tabItens[[#This Row],[CÓDIGO]],Consumo!$Z$3:$Z$869)</f>
        <v>15</v>
      </c>
      <c r="AU625" s="317">
        <f>SUMIF(Consumo!$C$3:$C$869,tabItens[[#This Row],[CÓDIGO]],Consumo!$AA$3:$AA$869)</f>
        <v>10</v>
      </c>
      <c r="AV625" s="318">
        <f>SUMIF(Consumo!$C$3:$C$869,tabItens[[#This Row],[CÓDIGO]],Consumo!$Y$3:$Y$869)</f>
        <v>1</v>
      </c>
      <c r="AW625" s="291">
        <f>tabItens[[#This Row],[QTDE ATUAL]] + tabItens[[#This Row],[RC QTDE]] + tabItens[[#This Row],[AF SALDO]] + tabItens[[#This Row],[Recentes]]</f>
        <v>136</v>
      </c>
      <c r="AX625" s="319">
        <v>9</v>
      </c>
      <c r="AY625" s="319">
        <v>4</v>
      </c>
      <c r="AZ625" s="319">
        <f>IF(ISBLANK(tabItens[[#This Row],[CÓDIGO]]),"",tabItens[[#This Row],[PontoMês]] * (AZ$2+tabItens[[#This Row],[PontoQtM]]))</f>
        <v>36</v>
      </c>
      <c r="BA625" s="318">
        <f>tabItens[[#This Row],[PontoPed]] - tabItens[[#This Row],[Saldo]] + (1/10)</f>
        <v>-99.9</v>
      </c>
      <c r="BB625" s="318">
        <f xml:space="preserve"> tabItens[[#This Row],[PontoMês]] * BB$2 - tabItens[[#This Row],[QTDE ATUAL]] - (1/10)</f>
        <v>-127.1</v>
      </c>
      <c r="BC625" s="320">
        <f>IF( tabItens[[#This Row],[PontoPed]]&gt;0, IF(tabItens[[#This Row],[PontoPed]]&lt;1, 1, IF( tabItens[[#This Row],[Saldo]]&gt;tabItens[[#This Row],[PontoPed]], 0, (tabItens[[#This Row],[PontoPed]]-tabItens[[#This Row],[Saldo]])/tabItens[[#This Row],[PontoPed]] ) ), 0 )</f>
        <v>0</v>
      </c>
      <c r="BD625" s="321">
        <f>ROUNDDOWN(IF( OR( AND(tabItens[[#This Row],[PontoPed]]&lt;tabItens[[#This Row],[Saldo]],tabItens[[#This Row],[Saldo]]&gt;0), tabItens[[#This Row],[PontoPed]]=0), 99, IF(AND(tabItens[[#This Row],[Saldo]]=0,tabItens[[#This Row],[PontoPed]]&gt;0), 0, (1-tabItens[[#This Row],[PctAb]])*10 ) ),0)</f>
        <v>99</v>
      </c>
      <c r="BE625" s="322">
        <f>MAX(ROUNDDOWN( IF(tabItens[[#This Row],[Abaixo]] &gt; 0,   tabItens[[#This Row],[Abaixo]] + (tabItens[[#This Row],[PontoMês]] * IF( OR( ISBLANK(tabItens[[#This Row],[ATA Nº/ANO]]), tabItens[[#This Row],[ATA Nº/ANO]] = ""),BE$2,BE$1)),0),0),0)</f>
        <v>0</v>
      </c>
      <c r="BF62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323">
        <f>SUMIF(Consumo!$C$3:$C$869,tabItens[[#This Row],[CÓDIGO]],Consumo!$E$3:$E$869)</f>
        <v>0</v>
      </c>
      <c r="BH625" s="324">
        <f>IF(AND(tabItens[[#This Row],[Pend]] &gt; 0,tabItens[[#This Row],[Consumo]] &lt;&gt; 0), tabItens[[#This Row],[Pend]] / tabItens[[#This Row],[Consumo]], 0 )</f>
        <v>0</v>
      </c>
      <c r="BI625" s="323"/>
      <c r="BJ625" s="323"/>
      <c r="BK625" s="325" t="s">
        <v>2064</v>
      </c>
    </row>
    <row r="626" spans="1:63" hidden="1" x14ac:dyDescent="0.3">
      <c r="A626" s="286">
        <v>54019</v>
      </c>
      <c r="B626" s="287" t="s">
        <v>1311</v>
      </c>
      <c r="C626" s="288" t="s">
        <v>256</v>
      </c>
      <c r="D626" s="289">
        <v>3.2</v>
      </c>
      <c r="E626" s="290"/>
      <c r="F626" s="290"/>
      <c r="G626" s="290" t="s">
        <v>883</v>
      </c>
      <c r="H626" s="291">
        <v>515</v>
      </c>
      <c r="I626" s="292">
        <v>103003</v>
      </c>
      <c r="J626" s="293">
        <v>3.2</v>
      </c>
      <c r="K626" s="294">
        <v>358</v>
      </c>
      <c r="L626" s="295">
        <f>IF(tabItens[[#This Row],[Média]] &gt; 0, tabItens[[#This Row],[QTDE ATUAL]] / tabItens[[#This Row],[Média]],999.9)</f>
        <v>15.805626598465471</v>
      </c>
      <c r="M626" s="296">
        <v>0</v>
      </c>
      <c r="N626" s="297">
        <f>tabItens[[#This Row],[VALOR UNIT.]] * tabItens[[#This Row],[LC]]</f>
        <v>0</v>
      </c>
      <c r="O626" s="298" t="s">
        <v>2087</v>
      </c>
      <c r="P626" s="299"/>
      <c r="Q626" s="300"/>
      <c r="R626" s="297"/>
      <c r="S626" s="301"/>
      <c r="T626" s="302">
        <f>ROUNDDOWN(IFERROR(tabItens[[#This Row],[ATA DT.VALID.]] - $D$1,0) / 30,0)</f>
        <v>-1504</v>
      </c>
      <c r="U626" s="287" t="s">
        <v>1312</v>
      </c>
      <c r="V626" s="303">
        <v>1</v>
      </c>
      <c r="W626" s="304" t="s">
        <v>2055</v>
      </c>
      <c r="X626" s="305">
        <v>55</v>
      </c>
      <c r="Y626" s="306">
        <v>45</v>
      </c>
      <c r="Z626" s="307">
        <v>2442</v>
      </c>
      <c r="AA626" s="308">
        <v>2023</v>
      </c>
      <c r="AB626" s="309">
        <v>100</v>
      </c>
      <c r="AC626" s="309"/>
      <c r="AD626" s="308"/>
      <c r="AE626" s="309"/>
      <c r="AF626" s="302"/>
      <c r="AG626" s="310" t="s">
        <v>2050</v>
      </c>
      <c r="AH626" s="311"/>
      <c r="AI626" s="302">
        <v>132</v>
      </c>
      <c r="AJ626" s="311">
        <v>44965</v>
      </c>
      <c r="AK626" s="311" t="s">
        <v>883</v>
      </c>
      <c r="AL626" s="311">
        <v>44917</v>
      </c>
      <c r="AM626" s="301"/>
      <c r="AN626" s="290"/>
      <c r="AO626" s="312" t="str">
        <f>_xlfn.IFNA(IF(VLOOKUP(tabItens[[#This Row],[CÓDIGO]],tabExcluirDoEstoque[#Data],1,FALSE),"sim",""),"")</f>
        <v/>
      </c>
      <c r="AP626" s="313" t="str">
        <f ca="1">IF(OR(ISBLANK(tabItens[[#This Row],[ATA DT.VALID.]]),tabItens[[#This Row],[ATA DT.VALID.]]="",tabItens[[#This Row],[ATA DT.VALID.]]=" "),"",IF(TYPE(tabItens[[#This Row],[ATA DT.VALID.]])=1,ROUNDUP((tabItens[[#This Row],[ATA DT.VALID.]]-TODAY())/7,0),""))</f>
        <v/>
      </c>
      <c r="AQ626" s="314">
        <v>0</v>
      </c>
      <c r="AR626" s="315" t="str">
        <f>IF(ISBLANK(tabItens[[#This Row],[CÓDIGO]]),"",IFERROR(VLOOKUP(tabItens[[#This Row],[CÓDIGO]],Consumo!$C$2:$AC$869,26,FALSE),0))</f>
        <v>06.2023</v>
      </c>
      <c r="AS626" s="316">
        <f>SUMIF(Consumo!$C$3:$C$869,tabItens[[#This Row],[CÓDIGO]],Consumo!$N$3:$N$869) + SUMIF(Consumo!$C$3:$C$869,tabItens[[#This Row],[CÓDIGO]],Consumo!$O$3:$O$869) + SUMIF(Consumo!$C$3:$C$869,tabItens[[#This Row],[CÓDIGO]],Consumo!$P$3:$P$869) + SUMIF(Consumo!$C$3:$C$869,tabItens[[#This Row],[CÓDIGO]],Consumo!$Q$3:$Q$869)</f>
        <v>45</v>
      </c>
      <c r="AT626" s="316">
        <f>SUMIF(Consumo!$C$3:$C$869,tabItens[[#This Row],[CÓDIGO]],Consumo!$Z$3:$Z$869)</f>
        <v>392</v>
      </c>
      <c r="AU626" s="317">
        <f>SUMIF(Consumo!$C$3:$C$869,tabItens[[#This Row],[CÓDIGO]],Consumo!$AA$3:$AA$869)</f>
        <v>105</v>
      </c>
      <c r="AV626" s="318">
        <f>SUMIF(Consumo!$C$3:$C$869,tabItens[[#This Row],[CÓDIGO]],Consumo!$Y$3:$Y$869)</f>
        <v>32.583333333333336</v>
      </c>
      <c r="AW626" s="291">
        <f>tabItens[[#This Row],[QTDE ATUAL]] + tabItens[[#This Row],[RC QTDE]] + tabItens[[#This Row],[AF SALDO]] + tabItens[[#This Row],[Recentes]]</f>
        <v>615</v>
      </c>
      <c r="AX626" s="319">
        <v>17</v>
      </c>
      <c r="AY626" s="319">
        <v>4</v>
      </c>
      <c r="AZ626" s="319">
        <f>IF(ISBLANK(tabItens[[#This Row],[CÓDIGO]]),"",tabItens[[#This Row],[PontoMês]] * (AZ$2+tabItens[[#This Row],[PontoQtM]]))</f>
        <v>68</v>
      </c>
      <c r="BA626" s="318">
        <f>tabItens[[#This Row],[PontoPed]] - tabItens[[#This Row],[Saldo]] + (1/10)</f>
        <v>-546.9</v>
      </c>
      <c r="BB626" s="318">
        <f xml:space="preserve"> tabItens[[#This Row],[PontoMês]] * BB$2 - tabItens[[#This Row],[QTDE ATUAL]] - (1/10)</f>
        <v>-498.1</v>
      </c>
      <c r="BC626" s="320">
        <f>IF( tabItens[[#This Row],[PontoPed]]&gt;0, IF(tabItens[[#This Row],[PontoPed]]&lt;1, 1, IF( tabItens[[#This Row],[Saldo]]&gt;tabItens[[#This Row],[PontoPed]], 0, (tabItens[[#This Row],[PontoPed]]-tabItens[[#This Row],[Saldo]])/tabItens[[#This Row],[PontoPed]] ) ), 0 )</f>
        <v>0</v>
      </c>
      <c r="BD626" s="321">
        <f>ROUNDDOWN(IF( OR( AND(tabItens[[#This Row],[PontoPed]]&lt;tabItens[[#This Row],[Saldo]],tabItens[[#This Row],[Saldo]]&gt;0), tabItens[[#This Row],[PontoPed]]=0), 99, IF(AND(tabItens[[#This Row],[Saldo]]=0,tabItens[[#This Row],[PontoPed]]&gt;0), 0, (1-tabItens[[#This Row],[PctAb]])*10 ) ),0)</f>
        <v>99</v>
      </c>
      <c r="BE626" s="322">
        <f>MAX(ROUNDDOWN( IF(tabItens[[#This Row],[Abaixo]] &gt; 0,   tabItens[[#This Row],[Abaixo]] + (tabItens[[#This Row],[PontoMês]] * IF( OR( ISBLANK(tabItens[[#This Row],[ATA Nº/ANO]]), tabItens[[#This Row],[ATA Nº/ANO]] = ""),BE$2,BE$1)),0),0),0)</f>
        <v>0</v>
      </c>
      <c r="BF62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323">
        <f>SUMIF(Consumo!$C$3:$C$869,tabItens[[#This Row],[CÓDIGO]],Consumo!$E$3:$E$869)</f>
        <v>0</v>
      </c>
      <c r="BH626" s="324">
        <f>IF(AND(tabItens[[#This Row],[Pend]] &gt; 0,tabItens[[#This Row],[Consumo]] &lt;&gt; 0), tabItens[[#This Row],[Pend]] / tabItens[[#This Row],[Consumo]], 0 )</f>
        <v>0</v>
      </c>
      <c r="BI626" s="323"/>
      <c r="BJ626" s="323"/>
      <c r="BK626" s="325" t="s">
        <v>2064</v>
      </c>
    </row>
    <row r="627" spans="1:63" x14ac:dyDescent="0.3">
      <c r="A627" s="396">
        <v>95229</v>
      </c>
      <c r="B627" s="397" t="s">
        <v>1545</v>
      </c>
      <c r="C627" s="398" t="s">
        <v>256</v>
      </c>
      <c r="D627" s="399">
        <v>0.19</v>
      </c>
      <c r="E627" s="290"/>
      <c r="F627" s="400"/>
      <c r="G627" s="400" t="s">
        <v>883</v>
      </c>
      <c r="H627" s="401">
        <v>0</v>
      </c>
      <c r="I627" s="292">
        <v>103003</v>
      </c>
      <c r="J627" s="293">
        <v>0.19</v>
      </c>
      <c r="K627" s="402">
        <v>8356</v>
      </c>
      <c r="L627" s="403">
        <f>IF(tabItens[[#This Row],[Média]] &gt; 0, tabItens[[#This Row],[QTDE ATUAL]] / tabItens[[#This Row],[Média]],999.9)</f>
        <v>0</v>
      </c>
      <c r="M627" s="404">
        <v>0</v>
      </c>
      <c r="N627" s="405">
        <f>tabItens[[#This Row],[VALOR UNIT.]] * tabItens[[#This Row],[LC]]</f>
        <v>0</v>
      </c>
      <c r="O627" s="406" t="s">
        <v>2087</v>
      </c>
      <c r="P627" s="407"/>
      <c r="Q627" s="408"/>
      <c r="R627" s="297"/>
      <c r="S627" s="409"/>
      <c r="T627" s="410">
        <f>ROUNDDOWN(IFERROR(tabItens[[#This Row],[ATA DT.VALID.]] - $D$1,0) / 30,0)</f>
        <v>-1504</v>
      </c>
      <c r="U627" s="287" t="s">
        <v>1050</v>
      </c>
      <c r="V627" s="303">
        <v>1</v>
      </c>
      <c r="W627" s="411" t="s">
        <v>2055</v>
      </c>
      <c r="X627" s="412">
        <v>55</v>
      </c>
      <c r="Y627" s="413">
        <v>46</v>
      </c>
      <c r="Z627" s="414">
        <v>2448</v>
      </c>
      <c r="AA627" s="415">
        <v>2023</v>
      </c>
      <c r="AB627" s="416">
        <v>2000</v>
      </c>
      <c r="AC627" s="416"/>
      <c r="AD627" s="415"/>
      <c r="AE627" s="416"/>
      <c r="AF627" s="302"/>
      <c r="AG627" s="417" t="s">
        <v>2050</v>
      </c>
      <c r="AH627" s="418"/>
      <c r="AI627" s="302">
        <v>3806</v>
      </c>
      <c r="AJ627" s="418">
        <v>44599</v>
      </c>
      <c r="AK627" s="311">
        <v>39007</v>
      </c>
      <c r="AL627" s="311">
        <v>45105</v>
      </c>
      <c r="AM627" s="301"/>
      <c r="AN627" s="290"/>
      <c r="AO627" s="312" t="str">
        <f>_xlfn.IFNA(IF(VLOOKUP(tabItens[[#This Row],[CÓDIGO]],tabExcluirDoEstoque[#Data],1,FALSE),"sim",""),"")</f>
        <v/>
      </c>
      <c r="AP627" s="419" t="str">
        <f ca="1">IF(OR(ISBLANK(tabItens[[#This Row],[ATA DT.VALID.]]),tabItens[[#This Row],[ATA DT.VALID.]]="",tabItens[[#This Row],[ATA DT.VALID.]]=" "),"",IF(TYPE(tabItens[[#This Row],[ATA DT.VALID.]])=1,ROUNDUP((tabItens[[#This Row],[ATA DT.VALID.]]-TODAY())/7,0),""))</f>
        <v/>
      </c>
      <c r="AQ627" s="314">
        <v>0</v>
      </c>
      <c r="AR627" s="315" t="str">
        <f>IF(ISBLANK(tabItens[[#This Row],[CÓDIGO]]),"",IFERROR(VLOOKUP(tabItens[[#This Row],[CÓDIGO]],Consumo!$C$2:$AC$869,26,FALSE),0))</f>
        <v>07.2023</v>
      </c>
      <c r="AS627" s="316">
        <f>SUMIF(Consumo!$C$3:$C$869,tabItens[[#This Row],[CÓDIGO]],Consumo!$N$3:$N$869) + SUMIF(Consumo!$C$3:$C$869,tabItens[[#This Row],[CÓDIGO]],Consumo!$O$3:$O$869) + SUMIF(Consumo!$C$3:$C$869,tabItens[[#This Row],[CÓDIGO]],Consumo!$P$3:$P$869) + SUMIF(Consumo!$C$3:$C$869,tabItens[[#This Row],[CÓDIGO]],Consumo!$Q$3:$Q$869)</f>
        <v>5367</v>
      </c>
      <c r="AT627" s="316">
        <f>SUMIF(Consumo!$C$3:$C$869,tabItens[[#This Row],[CÓDIGO]],Consumo!$Z$3:$Z$869)</f>
        <v>11806</v>
      </c>
      <c r="AU627" s="317">
        <f>SUMIF(Consumo!$C$3:$C$869,tabItens[[#This Row],[CÓDIGO]],Consumo!$AA$3:$AA$869)</f>
        <v>3200</v>
      </c>
      <c r="AV627" s="318">
        <f>SUMIF(Consumo!$C$3:$C$869,tabItens[[#This Row],[CÓDIGO]],Consumo!$Y$3:$Y$869)</f>
        <v>927.91666666666663</v>
      </c>
      <c r="AW627" s="401">
        <f>tabItens[[#This Row],[QTDE ATUAL]] + tabItens[[#This Row],[RC QTDE]] + tabItens[[#This Row],[AF SALDO]] + tabItens[[#This Row],[Recentes]]</f>
        <v>2000</v>
      </c>
      <c r="AX627" s="420">
        <v>165</v>
      </c>
      <c r="AY627" s="420">
        <v>4</v>
      </c>
      <c r="AZ627" s="420">
        <f>IF(ISBLANK(tabItens[[#This Row],[CÓDIGO]]),"",tabItens[[#This Row],[PontoMês]] * (AZ$2+tabItens[[#This Row],[PontoQtM]]))</f>
        <v>660</v>
      </c>
      <c r="BA627" s="421">
        <f>tabItens[[#This Row],[PontoPed]] - tabItens[[#This Row],[Saldo]] + (1/10)</f>
        <v>-1339.9</v>
      </c>
      <c r="BB627" s="421">
        <f xml:space="preserve"> tabItens[[#This Row],[PontoMês]] * BB$2 - tabItens[[#This Row],[QTDE ATUAL]] - (1/10)</f>
        <v>164.9</v>
      </c>
      <c r="BC627" s="320">
        <f>IF( tabItens[[#This Row],[PontoPed]]&gt;0, IF(tabItens[[#This Row],[PontoPed]]&lt;1, 1, IF( tabItens[[#This Row],[Saldo]]&gt;tabItens[[#This Row],[PontoPed]], 0, (tabItens[[#This Row],[PontoPed]]-tabItens[[#This Row],[Saldo]])/tabItens[[#This Row],[PontoPed]] ) ), 0 )</f>
        <v>0</v>
      </c>
      <c r="BD627" s="422">
        <f>ROUNDDOWN(IF( OR( AND(tabItens[[#This Row],[PontoPed]]&lt;tabItens[[#This Row],[Saldo]],tabItens[[#This Row],[Saldo]]&gt;0), tabItens[[#This Row],[PontoPed]]=0), 99, IF(AND(tabItens[[#This Row],[Saldo]]=0,tabItens[[#This Row],[PontoPed]]&gt;0), 0, (1-tabItens[[#This Row],[PctAb]])*10 ) ),0)</f>
        <v>99</v>
      </c>
      <c r="BE627" s="423">
        <f>MAX(ROUNDDOWN( IF(tabItens[[#This Row],[Abaixo]] &gt; 0,   tabItens[[#This Row],[Abaixo]] + (tabItens[[#This Row],[PontoMês]] * IF( OR( ISBLANK(tabItens[[#This Row],[ATA Nº/ANO]]), tabItens[[#This Row],[ATA Nº/ANO]] = ""),BE$2,BE$1)),0),0),0)</f>
        <v>0</v>
      </c>
      <c r="BF62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323">
        <f>SUMIF(Consumo!$C$3:$C$869,tabItens[[#This Row],[CÓDIGO]],Consumo!$E$3:$E$869)</f>
        <v>387</v>
      </c>
      <c r="BH627" s="324">
        <f>IF(AND(tabItens[[#This Row],[Pend]] &gt; 0,tabItens[[#This Row],[Consumo]] &lt;&gt; 0), tabItens[[#This Row],[Pend]] / tabItens[[#This Row],[Consumo]], 0 )</f>
        <v>3.2779942402168388E-2</v>
      </c>
      <c r="BI627" s="323"/>
      <c r="BJ627" s="424"/>
      <c r="BK627" s="425" t="s">
        <v>2064</v>
      </c>
    </row>
    <row r="628" spans="1:63" hidden="1" x14ac:dyDescent="0.3">
      <c r="A628" s="286">
        <v>13179</v>
      </c>
      <c r="B628" s="287" t="s">
        <v>1017</v>
      </c>
      <c r="C628" s="288" t="s">
        <v>256</v>
      </c>
      <c r="D628" s="289">
        <v>0.03</v>
      </c>
      <c r="E628" s="290"/>
      <c r="F628" s="290"/>
      <c r="G628" s="290" t="s">
        <v>883</v>
      </c>
      <c r="H628" s="291">
        <v>2611</v>
      </c>
      <c r="I628" s="292">
        <v>103003</v>
      </c>
      <c r="J628" s="293">
        <v>0.03</v>
      </c>
      <c r="K628" s="294">
        <v>16696</v>
      </c>
      <c r="L628" s="295">
        <f>IF(tabItens[[#This Row],[Média]] &gt; 0, tabItens[[#This Row],[QTDE ATUAL]] / tabItens[[#This Row],[Média]],999.9)</f>
        <v>1.3583629584670076</v>
      </c>
      <c r="M628" s="296"/>
      <c r="N628" s="297">
        <f>tabItens[[#This Row],[VALOR UNIT.]] * tabItens[[#This Row],[LC]]</f>
        <v>0</v>
      </c>
      <c r="O628" s="298" t="s">
        <v>2087</v>
      </c>
      <c r="P628" s="299"/>
      <c r="Q628" s="300"/>
      <c r="R628" s="297"/>
      <c r="S628" s="301"/>
      <c r="T628" s="302">
        <f>ROUNDDOWN(IFERROR(tabItens[[#This Row],[ATA DT.VALID.]] - $D$1,0) / 30,0)</f>
        <v>-1504</v>
      </c>
      <c r="U628" s="287" t="s">
        <v>1016</v>
      </c>
      <c r="V628" s="303">
        <v>1</v>
      </c>
      <c r="W628" s="304" t="s">
        <v>2049</v>
      </c>
      <c r="X628" s="305">
        <v>67</v>
      </c>
      <c r="Y628" s="306">
        <v>9</v>
      </c>
      <c r="Z628" s="307">
        <v>2483</v>
      </c>
      <c r="AA628" s="308">
        <v>2023</v>
      </c>
      <c r="AB628" s="309">
        <v>10000</v>
      </c>
      <c r="AC628" s="309"/>
      <c r="AD628" s="308"/>
      <c r="AE628" s="309"/>
      <c r="AF628" s="302"/>
      <c r="AG628" s="310" t="s">
        <v>2050</v>
      </c>
      <c r="AH628" s="311"/>
      <c r="AI628" s="302">
        <v>7688</v>
      </c>
      <c r="AJ628" s="311">
        <v>44581</v>
      </c>
      <c r="AK628" s="311" t="s">
        <v>883</v>
      </c>
      <c r="AL628" s="311">
        <v>44547</v>
      </c>
      <c r="AM628" s="301"/>
      <c r="AN628" s="290"/>
      <c r="AO628" s="312" t="str">
        <f>_xlfn.IFNA(IF(VLOOKUP(tabItens[[#This Row],[CÓDIGO]],tabExcluirDoEstoque[#Data],1,FALSE),"sim",""),"")</f>
        <v/>
      </c>
      <c r="AP628" s="313" t="str">
        <f ca="1">IF(OR(ISBLANK(tabItens[[#This Row],[ATA DT.VALID.]]),tabItens[[#This Row],[ATA DT.VALID.]]="",tabItens[[#This Row],[ATA DT.VALID.]]=" "),"",IF(TYPE(tabItens[[#This Row],[ATA DT.VALID.]])=1,ROUNDUP((tabItens[[#This Row],[ATA DT.VALID.]]-TODAY())/7,0),""))</f>
        <v/>
      </c>
      <c r="AQ628" s="314">
        <v>0</v>
      </c>
      <c r="AR628" s="315" t="str">
        <f>IF(ISBLANK(tabItens[[#This Row],[CÓDIGO]]),"",IFERROR(VLOOKUP(tabItens[[#This Row],[CÓDIGO]],Consumo!$C$2:$AC$869,26,FALSE),0))</f>
        <v>07.2023</v>
      </c>
      <c r="AS628" s="316">
        <f>SUMIF(Consumo!$C$3:$C$869,tabItens[[#This Row],[CÓDIGO]],Consumo!$N$3:$N$869) + SUMIF(Consumo!$C$3:$C$869,tabItens[[#This Row],[CÓDIGO]],Consumo!$O$3:$O$869) + SUMIF(Consumo!$C$3:$C$869,tabItens[[#This Row],[CÓDIGO]],Consumo!$P$3:$P$869) + SUMIF(Consumo!$C$3:$C$869,tabItens[[#This Row],[CÓDIGO]],Consumo!$Q$3:$Q$869)</f>
        <v>6850</v>
      </c>
      <c r="AT628" s="316">
        <f>SUMIF(Consumo!$C$3:$C$869,tabItens[[#This Row],[CÓDIGO]],Consumo!$Z$3:$Z$869)</f>
        <v>23066</v>
      </c>
      <c r="AU628" s="317">
        <f>SUMIF(Consumo!$C$3:$C$869,tabItens[[#This Row],[CÓDIGO]],Consumo!$AA$3:$AA$869)</f>
        <v>3800</v>
      </c>
      <c r="AV628" s="318">
        <f>SUMIF(Consumo!$C$3:$C$869,tabItens[[#This Row],[CÓDIGO]],Consumo!$Y$3:$Y$869)</f>
        <v>1922.1666666666667</v>
      </c>
      <c r="AW628" s="291">
        <f>tabItens[[#This Row],[QTDE ATUAL]] + tabItens[[#This Row],[RC QTDE]] + tabItens[[#This Row],[AF SALDO]] + tabItens[[#This Row],[Recentes]]</f>
        <v>12611</v>
      </c>
      <c r="AX628" s="319">
        <v>591</v>
      </c>
      <c r="AY628" s="319">
        <v>4</v>
      </c>
      <c r="AZ628" s="319">
        <f>IF(ISBLANK(tabItens[[#This Row],[CÓDIGO]]),"",tabItens[[#This Row],[PontoMês]] * (AZ$2+tabItens[[#This Row],[PontoQtM]]))</f>
        <v>2364</v>
      </c>
      <c r="BA628" s="318">
        <f>tabItens[[#This Row],[PontoPed]] - tabItens[[#This Row],[Saldo]] + (1/10)</f>
        <v>-10246.9</v>
      </c>
      <c r="BB628" s="318">
        <f xml:space="preserve"> tabItens[[#This Row],[PontoMês]] * BB$2 - tabItens[[#This Row],[QTDE ATUAL]] - (1/10)</f>
        <v>-2020.1</v>
      </c>
      <c r="BC628" s="320">
        <f>IF( tabItens[[#This Row],[PontoPed]]&gt;0, IF(tabItens[[#This Row],[PontoPed]]&lt;1, 1, IF( tabItens[[#This Row],[Saldo]]&gt;tabItens[[#This Row],[PontoPed]], 0, (tabItens[[#This Row],[PontoPed]]-tabItens[[#This Row],[Saldo]])/tabItens[[#This Row],[PontoPed]] ) ), 0 )</f>
        <v>0</v>
      </c>
      <c r="BD628" s="321">
        <f>ROUNDDOWN(IF( OR( AND(tabItens[[#This Row],[PontoPed]]&lt;tabItens[[#This Row],[Saldo]],tabItens[[#This Row],[Saldo]]&gt;0), tabItens[[#This Row],[PontoPed]]=0), 99, IF(AND(tabItens[[#This Row],[Saldo]]=0,tabItens[[#This Row],[PontoPed]]&gt;0), 0, (1-tabItens[[#This Row],[PctAb]])*10 ) ),0)</f>
        <v>99</v>
      </c>
      <c r="BE628" s="322">
        <f>MAX(ROUNDDOWN( IF(tabItens[[#This Row],[Abaixo]] &gt; 0,   tabItens[[#This Row],[Abaixo]] + (tabItens[[#This Row],[PontoMês]] * IF( OR( ISBLANK(tabItens[[#This Row],[ATA Nº/ANO]]), tabItens[[#This Row],[ATA Nº/ANO]] = ""),BE$2,BE$1)),0),0),0)</f>
        <v>0</v>
      </c>
      <c r="BF62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323">
        <f>SUMIF(Consumo!$C$3:$C$869,tabItens[[#This Row],[CÓDIGO]],Consumo!$E$3:$E$869)</f>
        <v>0</v>
      </c>
      <c r="BH628" s="324">
        <f>IF(AND(tabItens[[#This Row],[Pend]] &gt; 0,tabItens[[#This Row],[Consumo]] &lt;&gt; 0), tabItens[[#This Row],[Pend]] / tabItens[[#This Row],[Consumo]], 0 )</f>
        <v>0</v>
      </c>
      <c r="BI628" s="323"/>
      <c r="BJ628" s="323"/>
      <c r="BK628" s="325" t="s">
        <v>2064</v>
      </c>
    </row>
    <row r="629" spans="1:63" x14ac:dyDescent="0.3">
      <c r="A629" s="396">
        <v>29293</v>
      </c>
      <c r="B629" s="397" t="s">
        <v>1236</v>
      </c>
      <c r="C629" s="398" t="s">
        <v>256</v>
      </c>
      <c r="D629" s="399">
        <v>0.21</v>
      </c>
      <c r="E629" s="290"/>
      <c r="F629" s="400"/>
      <c r="G629" s="400" t="s">
        <v>883</v>
      </c>
      <c r="H629" s="401">
        <v>0</v>
      </c>
      <c r="I629" s="292">
        <v>103003</v>
      </c>
      <c r="J629" s="293">
        <v>0.21</v>
      </c>
      <c r="K629" s="402">
        <v>4565</v>
      </c>
      <c r="L629" s="403">
        <f>IF(tabItens[[#This Row],[Média]] &gt; 0, tabItens[[#This Row],[QTDE ATUAL]] / tabItens[[#This Row],[Média]],999.9)</f>
        <v>0</v>
      </c>
      <c r="M629" s="404">
        <v>0</v>
      </c>
      <c r="N629" s="405">
        <f>tabItens[[#This Row],[VALOR UNIT.]] * tabItens[[#This Row],[LC]]</f>
        <v>0</v>
      </c>
      <c r="O629" s="406" t="s">
        <v>2087</v>
      </c>
      <c r="P629" s="407"/>
      <c r="Q629" s="408"/>
      <c r="R629" s="297"/>
      <c r="S629" s="409"/>
      <c r="T629" s="410">
        <f>ROUNDDOWN(IFERROR(tabItens[[#This Row],[ATA DT.VALID.]] - $D$1,0) / 30,0)</f>
        <v>-1504</v>
      </c>
      <c r="U629" s="287" t="s">
        <v>1016</v>
      </c>
      <c r="V629" s="303">
        <v>1</v>
      </c>
      <c r="W629" s="411" t="s">
        <v>2049</v>
      </c>
      <c r="X629" s="412">
        <v>67</v>
      </c>
      <c r="Y629" s="413">
        <v>9</v>
      </c>
      <c r="Z629" s="414">
        <v>2490</v>
      </c>
      <c r="AA629" s="415">
        <v>2023</v>
      </c>
      <c r="AB629" s="416">
        <v>5000</v>
      </c>
      <c r="AC629" s="416"/>
      <c r="AD629" s="415"/>
      <c r="AE629" s="416"/>
      <c r="AF629" s="302"/>
      <c r="AG629" s="417" t="s">
        <v>2050</v>
      </c>
      <c r="AH629" s="418"/>
      <c r="AI629" s="302">
        <v>1578</v>
      </c>
      <c r="AJ629" s="418">
        <v>43640</v>
      </c>
      <c r="AK629" s="311" t="s">
        <v>883</v>
      </c>
      <c r="AL629" s="311">
        <v>45084</v>
      </c>
      <c r="AM629" s="301"/>
      <c r="AN629" s="290"/>
      <c r="AO629" s="312" t="str">
        <f>_xlfn.IFNA(IF(VLOOKUP(tabItens[[#This Row],[CÓDIGO]],tabExcluirDoEstoque[#Data],1,FALSE),"sim",""),"")</f>
        <v/>
      </c>
      <c r="AP629" s="419" t="str">
        <f ca="1">IF(OR(ISBLANK(tabItens[[#This Row],[ATA DT.VALID.]]),tabItens[[#This Row],[ATA DT.VALID.]]="",tabItens[[#This Row],[ATA DT.VALID.]]=" "),"",IF(TYPE(tabItens[[#This Row],[ATA DT.VALID.]])=1,ROUNDUP((tabItens[[#This Row],[ATA DT.VALID.]]-TODAY())/7,0),""))</f>
        <v/>
      </c>
      <c r="AQ629" s="314">
        <v>0</v>
      </c>
      <c r="AR629" s="315" t="str">
        <f>IF(ISBLANK(tabItens[[#This Row],[CÓDIGO]]),"",IFERROR(VLOOKUP(tabItens[[#This Row],[CÓDIGO]],Consumo!$C$2:$AC$869,26,FALSE),0))</f>
        <v>03.2023</v>
      </c>
      <c r="AS629" s="316">
        <f>SUMIF(Consumo!$C$3:$C$869,tabItens[[#This Row],[CÓDIGO]],Consumo!$N$3:$N$869) + SUMIF(Consumo!$C$3:$C$869,tabItens[[#This Row],[CÓDIGO]],Consumo!$O$3:$O$869) + SUMIF(Consumo!$C$3:$C$869,tabItens[[#This Row],[CÓDIGO]],Consumo!$P$3:$P$869) + SUMIF(Consumo!$C$3:$C$869,tabItens[[#This Row],[CÓDIGO]],Consumo!$Q$3:$Q$869)</f>
        <v>0</v>
      </c>
      <c r="AT629" s="316">
        <f>SUMIF(Consumo!$C$3:$C$869,tabItens[[#This Row],[CÓDIGO]],Consumo!$Z$3:$Z$869)</f>
        <v>6790</v>
      </c>
      <c r="AU629" s="317">
        <f>SUMIF(Consumo!$C$3:$C$869,tabItens[[#This Row],[CÓDIGO]],Consumo!$AA$3:$AA$869)</f>
        <v>1495</v>
      </c>
      <c r="AV629" s="318">
        <f>SUMIF(Consumo!$C$3:$C$869,tabItens[[#This Row],[CÓDIGO]],Consumo!$Y$3:$Y$869)</f>
        <v>565.83333333333337</v>
      </c>
      <c r="AW629" s="401">
        <f>tabItens[[#This Row],[QTDE ATUAL]] + tabItens[[#This Row],[RC QTDE]] + tabItens[[#This Row],[AF SALDO]] + tabItens[[#This Row],[Recentes]]</f>
        <v>5000</v>
      </c>
      <c r="AX629" s="420">
        <v>93</v>
      </c>
      <c r="AY629" s="420">
        <v>4</v>
      </c>
      <c r="AZ629" s="420">
        <f>IF(ISBLANK(tabItens[[#This Row],[CÓDIGO]]),"",tabItens[[#This Row],[PontoMês]] * (AZ$2+tabItens[[#This Row],[PontoQtM]]))</f>
        <v>372</v>
      </c>
      <c r="BA629" s="421">
        <f>tabItens[[#This Row],[PontoPed]] - tabItens[[#This Row],[Saldo]] + (1/10)</f>
        <v>-4627.8999999999996</v>
      </c>
      <c r="BB629" s="421">
        <f xml:space="preserve"> tabItens[[#This Row],[PontoMês]] * BB$2 - tabItens[[#This Row],[QTDE ATUAL]] - (1/10)</f>
        <v>92.9</v>
      </c>
      <c r="BC629" s="320">
        <f>IF( tabItens[[#This Row],[PontoPed]]&gt;0, IF(tabItens[[#This Row],[PontoPed]]&lt;1, 1, IF( tabItens[[#This Row],[Saldo]]&gt;tabItens[[#This Row],[PontoPed]], 0, (tabItens[[#This Row],[PontoPed]]-tabItens[[#This Row],[Saldo]])/tabItens[[#This Row],[PontoPed]] ) ), 0 )</f>
        <v>0</v>
      </c>
      <c r="BD629" s="422">
        <f>ROUNDDOWN(IF( OR( AND(tabItens[[#This Row],[PontoPed]]&lt;tabItens[[#This Row],[Saldo]],tabItens[[#This Row],[Saldo]]&gt;0), tabItens[[#This Row],[PontoPed]]=0), 99, IF(AND(tabItens[[#This Row],[Saldo]]=0,tabItens[[#This Row],[PontoPed]]&gt;0), 0, (1-tabItens[[#This Row],[PctAb]])*10 ) ),0)</f>
        <v>99</v>
      </c>
      <c r="BE629" s="423">
        <f>MAX(ROUNDDOWN( IF(tabItens[[#This Row],[Abaixo]] &gt; 0,   tabItens[[#This Row],[Abaixo]] + (tabItens[[#This Row],[PontoMês]] * IF( OR( ISBLANK(tabItens[[#This Row],[ATA Nº/ANO]]), tabItens[[#This Row],[ATA Nº/ANO]] = ""),BE$2,BE$1)),0),0),0)</f>
        <v>0</v>
      </c>
      <c r="BF629"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323">
        <f>SUMIF(Consumo!$C$3:$C$869,tabItens[[#This Row],[CÓDIGO]],Consumo!$E$3:$E$869)</f>
        <v>2055</v>
      </c>
      <c r="BH629" s="324">
        <f>IF(AND(tabItens[[#This Row],[Pend]] &gt; 0,tabItens[[#This Row],[Consumo]] &lt;&gt; 0), tabItens[[#This Row],[Pend]] / tabItens[[#This Row],[Consumo]], 0 )</f>
        <v>0.30265095729013253</v>
      </c>
      <c r="BI629" s="323"/>
      <c r="BJ629" s="424"/>
      <c r="BK629" s="425" t="s">
        <v>2064</v>
      </c>
    </row>
    <row r="630" spans="1:63" hidden="1" x14ac:dyDescent="0.3">
      <c r="A630" s="286">
        <v>106546</v>
      </c>
      <c r="B630" s="287" t="s">
        <v>1628</v>
      </c>
      <c r="C630" s="288" t="s">
        <v>256</v>
      </c>
      <c r="D630" s="289">
        <v>2.04</v>
      </c>
      <c r="E630" s="290"/>
      <c r="F630" s="290"/>
      <c r="G630" s="290" t="s">
        <v>883</v>
      </c>
      <c r="H630" s="291">
        <v>2431</v>
      </c>
      <c r="I630" s="292">
        <v>103003</v>
      </c>
      <c r="J630" s="293">
        <v>2.04</v>
      </c>
      <c r="K630" s="294">
        <v>1588</v>
      </c>
      <c r="L630" s="295">
        <f>IF(tabItens[[#This Row],[Média]] &gt; 0, tabItens[[#This Row],[QTDE ATUAL]] / tabItens[[#This Row],[Média]],999.9)</f>
        <v>18.676056338028172</v>
      </c>
      <c r="M630" s="296">
        <v>0</v>
      </c>
      <c r="N630" s="297">
        <f>tabItens[[#This Row],[VALOR UNIT.]] * tabItens[[#This Row],[LC]]</f>
        <v>0</v>
      </c>
      <c r="O630" s="298" t="s">
        <v>2087</v>
      </c>
      <c r="P630" s="299"/>
      <c r="Q630" s="300"/>
      <c r="R630" s="297"/>
      <c r="S630" s="301"/>
      <c r="T630" s="302">
        <f>ROUNDDOWN(IFERROR(tabItens[[#This Row],[ATA DT.VALID.]] - $D$1,0) / 30,0)</f>
        <v>-1504</v>
      </c>
      <c r="U630" s="287" t="s">
        <v>1016</v>
      </c>
      <c r="V630" s="303">
        <v>1</v>
      </c>
      <c r="W630" s="304" t="s">
        <v>2049</v>
      </c>
      <c r="X630" s="305">
        <v>67</v>
      </c>
      <c r="Y630" s="306">
        <v>9</v>
      </c>
      <c r="Z630" s="307"/>
      <c r="AA630" s="308"/>
      <c r="AB630" s="309"/>
      <c r="AC630" s="309"/>
      <c r="AD630" s="308"/>
      <c r="AE630" s="309"/>
      <c r="AF630" s="302"/>
      <c r="AG630" s="310" t="s">
        <v>2050</v>
      </c>
      <c r="AH630" s="311"/>
      <c r="AI630" s="302">
        <v>546</v>
      </c>
      <c r="AJ630" s="311">
        <v>43866</v>
      </c>
      <c r="AK630" s="311">
        <v>39589</v>
      </c>
      <c r="AL630" s="311">
        <v>45105</v>
      </c>
      <c r="AM630" s="301"/>
      <c r="AN630" s="290"/>
      <c r="AO630" s="312" t="str">
        <f>_xlfn.IFNA(IF(VLOOKUP(tabItens[[#This Row],[CÓDIGO]],tabExcluirDoEstoque[#Data],1,FALSE),"sim",""),"")</f>
        <v/>
      </c>
      <c r="AP630" s="313" t="str">
        <f ca="1">IF(OR(ISBLANK(tabItens[[#This Row],[ATA DT.VALID.]]),tabItens[[#This Row],[ATA DT.VALID.]]="",tabItens[[#This Row],[ATA DT.VALID.]]=" "),"",IF(TYPE(tabItens[[#This Row],[ATA DT.VALID.]])=1,ROUNDUP((tabItens[[#This Row],[ATA DT.VALID.]]-TODAY())/7,0),""))</f>
        <v/>
      </c>
      <c r="AQ630" s="314">
        <v>0</v>
      </c>
      <c r="AR630" s="315" t="str">
        <f>IF(ISBLANK(tabItens[[#This Row],[CÓDIGO]]),"",IFERROR(VLOOKUP(tabItens[[#This Row],[CÓDIGO]],Consumo!$C$2:$AC$869,26,FALSE),0))</f>
        <v>05.2023</v>
      </c>
      <c r="AS630" s="316">
        <f>SUMIF(Consumo!$C$3:$C$869,tabItens[[#This Row],[CÓDIGO]],Consumo!$N$3:$N$869) + SUMIF(Consumo!$C$3:$C$869,tabItens[[#This Row],[CÓDIGO]],Consumo!$O$3:$O$869) + SUMIF(Consumo!$C$3:$C$869,tabItens[[#This Row],[CÓDIGO]],Consumo!$P$3:$P$869) + SUMIF(Consumo!$C$3:$C$869,tabItens[[#This Row],[CÓDIGO]],Consumo!$Q$3:$Q$869)</f>
        <v>600</v>
      </c>
      <c r="AT630" s="316">
        <f>SUMIF(Consumo!$C$3:$C$869,tabItens[[#This Row],[CÓDIGO]],Consumo!$Z$3:$Z$869)</f>
        <v>1640</v>
      </c>
      <c r="AU630" s="317">
        <f>SUMIF(Consumo!$C$3:$C$869,tabItens[[#This Row],[CÓDIGO]],Consumo!$AA$3:$AA$869)</f>
        <v>600</v>
      </c>
      <c r="AV630" s="318">
        <f>SUMIF(Consumo!$C$3:$C$869,tabItens[[#This Row],[CÓDIGO]],Consumo!$Y$3:$Y$869)</f>
        <v>130.16666666666666</v>
      </c>
      <c r="AW630" s="291">
        <f>tabItens[[#This Row],[QTDE ATUAL]] + tabItens[[#This Row],[RC QTDE]] + tabItens[[#This Row],[AF SALDO]] + tabItens[[#This Row],[Recentes]]</f>
        <v>2431</v>
      </c>
      <c r="AX630" s="319">
        <v>150</v>
      </c>
      <c r="AY630" s="319">
        <v>4</v>
      </c>
      <c r="AZ630" s="319">
        <f>IF(ISBLANK(tabItens[[#This Row],[CÓDIGO]]),"",tabItens[[#This Row],[PontoMês]] * (AZ$2+tabItens[[#This Row],[PontoQtM]]))</f>
        <v>600</v>
      </c>
      <c r="BA630" s="318">
        <f>tabItens[[#This Row],[PontoPed]] - tabItens[[#This Row],[Saldo]] + (1/10)</f>
        <v>-1830.9</v>
      </c>
      <c r="BB630" s="318">
        <f xml:space="preserve"> tabItens[[#This Row],[PontoMês]] * BB$2 - tabItens[[#This Row],[QTDE ATUAL]] - (1/10)</f>
        <v>-2281.1</v>
      </c>
      <c r="BC630" s="320">
        <f>IF( tabItens[[#This Row],[PontoPed]]&gt;0, IF(tabItens[[#This Row],[PontoPed]]&lt;1, 1, IF( tabItens[[#This Row],[Saldo]]&gt;tabItens[[#This Row],[PontoPed]], 0, (tabItens[[#This Row],[PontoPed]]-tabItens[[#This Row],[Saldo]])/tabItens[[#This Row],[PontoPed]] ) ), 0 )</f>
        <v>0</v>
      </c>
      <c r="BD630" s="321">
        <f>ROUNDDOWN(IF( OR( AND(tabItens[[#This Row],[PontoPed]]&lt;tabItens[[#This Row],[Saldo]],tabItens[[#This Row],[Saldo]]&gt;0), tabItens[[#This Row],[PontoPed]]=0), 99, IF(AND(tabItens[[#This Row],[Saldo]]=0,tabItens[[#This Row],[PontoPed]]&gt;0), 0, (1-tabItens[[#This Row],[PctAb]])*10 ) ),0)</f>
        <v>99</v>
      </c>
      <c r="BE630" s="322">
        <f>MAX(ROUNDDOWN( IF(tabItens[[#This Row],[Abaixo]] &gt; 0,   tabItens[[#This Row],[Abaixo]] + (tabItens[[#This Row],[PontoMês]] * IF( OR( ISBLANK(tabItens[[#This Row],[ATA Nº/ANO]]), tabItens[[#This Row],[ATA Nº/ANO]] = ""),BE$2,BE$1)),0),0),0)</f>
        <v>0</v>
      </c>
      <c r="BF63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323">
        <f>SUMIF(Consumo!$C$3:$C$869,tabItens[[#This Row],[CÓDIGO]],Consumo!$E$3:$E$869)</f>
        <v>0</v>
      </c>
      <c r="BH630" s="324">
        <f>IF(AND(tabItens[[#This Row],[Pend]] &gt; 0,tabItens[[#This Row],[Consumo]] &lt;&gt; 0), tabItens[[#This Row],[Pend]] / tabItens[[#This Row],[Consumo]], 0 )</f>
        <v>0</v>
      </c>
      <c r="BI630" s="323"/>
      <c r="BJ630" s="323"/>
      <c r="BK630" s="325" t="s">
        <v>2064</v>
      </c>
    </row>
    <row r="631" spans="1:63" hidden="1" x14ac:dyDescent="0.3">
      <c r="A631" s="286">
        <v>134567</v>
      </c>
      <c r="B631" s="287" t="s">
        <v>1888</v>
      </c>
      <c r="C631" s="288" t="s">
        <v>256</v>
      </c>
      <c r="D631" s="289">
        <v>0.06</v>
      </c>
      <c r="E631" s="290"/>
      <c r="F631" s="290"/>
      <c r="G631" s="290" t="s">
        <v>883</v>
      </c>
      <c r="H631" s="291">
        <v>14107</v>
      </c>
      <c r="I631" s="292">
        <v>103003</v>
      </c>
      <c r="J631" s="293">
        <v>0.06</v>
      </c>
      <c r="K631" s="294">
        <v>6120</v>
      </c>
      <c r="L631" s="295">
        <f>IF(tabItens[[#This Row],[Média]] &gt; 0, tabItens[[#This Row],[QTDE ATUAL]] / tabItens[[#This Row],[Média]],999.9)</f>
        <v>25.73096215230278</v>
      </c>
      <c r="M631" s="296">
        <v>0</v>
      </c>
      <c r="N631" s="297">
        <f>tabItens[[#This Row],[VALOR UNIT.]] * tabItens[[#This Row],[LC]]</f>
        <v>0</v>
      </c>
      <c r="O631" s="298" t="s">
        <v>2087</v>
      </c>
      <c r="P631" s="299"/>
      <c r="Q631" s="300"/>
      <c r="R631" s="297"/>
      <c r="S631" s="301"/>
      <c r="T631" s="302">
        <f>ROUNDDOWN(IFERROR(tabItens[[#This Row],[ATA DT.VALID.]] - $D$1,0) / 30,0)</f>
        <v>-1504</v>
      </c>
      <c r="U631" s="287" t="s">
        <v>1016</v>
      </c>
      <c r="V631" s="303">
        <v>1</v>
      </c>
      <c r="W631" s="304" t="s">
        <v>2049</v>
      </c>
      <c r="X631" s="305">
        <v>67</v>
      </c>
      <c r="Y631" s="306">
        <v>9</v>
      </c>
      <c r="Z631" s="307"/>
      <c r="AA631" s="308"/>
      <c r="AB631" s="309"/>
      <c r="AC631" s="309"/>
      <c r="AD631" s="308"/>
      <c r="AE631" s="309"/>
      <c r="AF631" s="302"/>
      <c r="AG631" s="310" t="s">
        <v>2050</v>
      </c>
      <c r="AH631" s="311"/>
      <c r="AI631" s="302">
        <v>2394</v>
      </c>
      <c r="AJ631" s="311">
        <v>43847</v>
      </c>
      <c r="AK631" s="311">
        <v>43174</v>
      </c>
      <c r="AL631" s="311">
        <v>43826</v>
      </c>
      <c r="AM631" s="301"/>
      <c r="AN631" s="290"/>
      <c r="AO631" s="312" t="str">
        <f>_xlfn.IFNA(IF(VLOOKUP(tabItens[[#This Row],[CÓDIGO]],tabExcluirDoEstoque[#Data],1,FALSE),"sim",""),"")</f>
        <v/>
      </c>
      <c r="AP631" s="313" t="str">
        <f ca="1">IF(OR(ISBLANK(tabItens[[#This Row],[ATA DT.VALID.]]),tabItens[[#This Row],[ATA DT.VALID.]]="",tabItens[[#This Row],[ATA DT.VALID.]]=" "),"",IF(TYPE(tabItens[[#This Row],[ATA DT.VALID.]])=1,ROUNDUP((tabItens[[#This Row],[ATA DT.VALID.]]-TODAY())/7,0),""))</f>
        <v/>
      </c>
      <c r="AQ631" s="314">
        <v>0</v>
      </c>
      <c r="AR631" s="315" t="str">
        <f>IF(ISBLANK(tabItens[[#This Row],[CÓDIGO]]),"",IFERROR(VLOOKUP(tabItens[[#This Row],[CÓDIGO]],Consumo!$C$2:$AC$869,26,FALSE),0))</f>
        <v>05.2023</v>
      </c>
      <c r="AS631" s="316">
        <f>SUMIF(Consumo!$C$3:$C$869,tabItens[[#This Row],[CÓDIGO]],Consumo!$N$3:$N$869) + SUMIF(Consumo!$C$3:$C$869,tabItens[[#This Row],[CÓDIGO]],Consumo!$O$3:$O$869) + SUMIF(Consumo!$C$3:$C$869,tabItens[[#This Row],[CÓDIGO]],Consumo!$P$3:$P$869) + SUMIF(Consumo!$C$3:$C$869,tabItens[[#This Row],[CÓDIGO]],Consumo!$Q$3:$Q$869)</f>
        <v>1700</v>
      </c>
      <c r="AT631" s="316">
        <f>SUMIF(Consumo!$C$3:$C$869,tabItens[[#This Row],[CÓDIGO]],Consumo!$Z$3:$Z$869)</f>
        <v>6940</v>
      </c>
      <c r="AU631" s="317">
        <f>SUMIF(Consumo!$C$3:$C$869,tabItens[[#This Row],[CÓDIGO]],Consumo!$AA$3:$AA$869)</f>
        <v>2200</v>
      </c>
      <c r="AV631" s="318">
        <f>SUMIF(Consumo!$C$3:$C$869,tabItens[[#This Row],[CÓDIGO]],Consumo!$Y$3:$Y$869)</f>
        <v>548.25</v>
      </c>
      <c r="AW631" s="291">
        <f>tabItens[[#This Row],[QTDE ATUAL]] + tabItens[[#This Row],[RC QTDE]] + tabItens[[#This Row],[AF SALDO]] + tabItens[[#This Row],[Recentes]]</f>
        <v>14107</v>
      </c>
      <c r="AX631" s="319">
        <v>554</v>
      </c>
      <c r="AY631" s="319">
        <v>4</v>
      </c>
      <c r="AZ631" s="319">
        <f>IF(ISBLANK(tabItens[[#This Row],[CÓDIGO]]),"",tabItens[[#This Row],[PontoMês]] * (AZ$2+tabItens[[#This Row],[PontoQtM]]))</f>
        <v>2216</v>
      </c>
      <c r="BA631" s="318">
        <f>tabItens[[#This Row],[PontoPed]] - tabItens[[#This Row],[Saldo]] + (1/10)</f>
        <v>-11890.9</v>
      </c>
      <c r="BB631" s="318">
        <f xml:space="preserve"> tabItens[[#This Row],[PontoMês]] * BB$2 - tabItens[[#This Row],[QTDE ATUAL]] - (1/10)</f>
        <v>-13553.1</v>
      </c>
      <c r="BC631" s="320">
        <f>IF( tabItens[[#This Row],[PontoPed]]&gt;0, IF(tabItens[[#This Row],[PontoPed]]&lt;1, 1, IF( tabItens[[#This Row],[Saldo]]&gt;tabItens[[#This Row],[PontoPed]], 0, (tabItens[[#This Row],[PontoPed]]-tabItens[[#This Row],[Saldo]])/tabItens[[#This Row],[PontoPed]] ) ), 0 )</f>
        <v>0</v>
      </c>
      <c r="BD631" s="321">
        <f>ROUNDDOWN(IF( OR( AND(tabItens[[#This Row],[PontoPed]]&lt;tabItens[[#This Row],[Saldo]],tabItens[[#This Row],[Saldo]]&gt;0), tabItens[[#This Row],[PontoPed]]=0), 99, IF(AND(tabItens[[#This Row],[Saldo]]=0,tabItens[[#This Row],[PontoPed]]&gt;0), 0, (1-tabItens[[#This Row],[PctAb]])*10 ) ),0)</f>
        <v>99</v>
      </c>
      <c r="BE631" s="322">
        <f>MAX(ROUNDDOWN( IF(tabItens[[#This Row],[Abaixo]] &gt; 0,   tabItens[[#This Row],[Abaixo]] + (tabItens[[#This Row],[PontoMês]] * IF( OR( ISBLANK(tabItens[[#This Row],[ATA Nº/ANO]]), tabItens[[#This Row],[ATA Nº/ANO]] = ""),BE$2,BE$1)),0),0),0)</f>
        <v>0</v>
      </c>
      <c r="BF63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323">
        <f>SUMIF(Consumo!$C$3:$C$869,tabItens[[#This Row],[CÓDIGO]],Consumo!$E$3:$E$869)</f>
        <v>0</v>
      </c>
      <c r="BH631" s="324">
        <f>IF(AND(tabItens[[#This Row],[Pend]] &gt; 0,tabItens[[#This Row],[Consumo]] &lt;&gt; 0), tabItens[[#This Row],[Pend]] / tabItens[[#This Row],[Consumo]], 0 )</f>
        <v>0</v>
      </c>
      <c r="BI631" s="323"/>
      <c r="BJ631" s="323"/>
      <c r="BK631" s="325" t="s">
        <v>2064</v>
      </c>
    </row>
    <row r="632" spans="1:63" hidden="1" x14ac:dyDescent="0.3">
      <c r="A632" s="286">
        <v>134568</v>
      </c>
      <c r="B632" s="287" t="s">
        <v>1889</v>
      </c>
      <c r="C632" s="288" t="s">
        <v>256</v>
      </c>
      <c r="D632" s="289">
        <v>0.08</v>
      </c>
      <c r="E632" s="290"/>
      <c r="F632" s="290"/>
      <c r="G632" s="290" t="s">
        <v>883</v>
      </c>
      <c r="H632" s="291">
        <v>7206</v>
      </c>
      <c r="I632" s="292">
        <v>103003</v>
      </c>
      <c r="J632" s="293">
        <v>0.08</v>
      </c>
      <c r="K632" s="294">
        <v>5960</v>
      </c>
      <c r="L632" s="295">
        <f>IF(tabItens[[#This Row],[Média]] &gt; 0, tabItens[[#This Row],[QTDE ATUAL]] / tabItens[[#This Row],[Média]],999.9)</f>
        <v>14.330792177659928</v>
      </c>
      <c r="M632" s="296">
        <v>0</v>
      </c>
      <c r="N632" s="297">
        <f>tabItens[[#This Row],[VALOR UNIT.]] * tabItens[[#This Row],[LC]]</f>
        <v>0</v>
      </c>
      <c r="O632" s="298" t="s">
        <v>2087</v>
      </c>
      <c r="P632" s="299"/>
      <c r="Q632" s="300"/>
      <c r="R632" s="297"/>
      <c r="S632" s="301"/>
      <c r="T632" s="302">
        <f>ROUNDDOWN(IFERROR(tabItens[[#This Row],[ATA DT.VALID.]] - $D$1,0) / 30,0)</f>
        <v>-1504</v>
      </c>
      <c r="U632" s="287" t="s">
        <v>1016</v>
      </c>
      <c r="V632" s="303">
        <v>1</v>
      </c>
      <c r="W632" s="304" t="s">
        <v>2049</v>
      </c>
      <c r="X632" s="305">
        <v>67</v>
      </c>
      <c r="Y632" s="306">
        <v>9</v>
      </c>
      <c r="Z632" s="307"/>
      <c r="AA632" s="308"/>
      <c r="AB632" s="309"/>
      <c r="AC632" s="309"/>
      <c r="AD632" s="308"/>
      <c r="AE632" s="309"/>
      <c r="AF632" s="302"/>
      <c r="AG632" s="310" t="s">
        <v>2050</v>
      </c>
      <c r="AH632" s="311"/>
      <c r="AI632" s="302">
        <v>2086</v>
      </c>
      <c r="AJ632" s="311">
        <v>43837</v>
      </c>
      <c r="AK632" s="311">
        <v>43174</v>
      </c>
      <c r="AL632" s="311">
        <v>43797</v>
      </c>
      <c r="AM632" s="301"/>
      <c r="AN632" s="290"/>
      <c r="AO632" s="312" t="str">
        <f>_xlfn.IFNA(IF(VLOOKUP(tabItens[[#This Row],[CÓDIGO]],tabExcluirDoEstoque[#Data],1,FALSE),"sim",""),"")</f>
        <v/>
      </c>
      <c r="AP632" s="313" t="str">
        <f ca="1">IF(OR(ISBLANK(tabItens[[#This Row],[ATA DT.VALID.]]),tabItens[[#This Row],[ATA DT.VALID.]]="",tabItens[[#This Row],[ATA DT.VALID.]]=" "),"",IF(TYPE(tabItens[[#This Row],[ATA DT.VALID.]])=1,ROUNDUP((tabItens[[#This Row],[ATA DT.VALID.]]-TODAY())/7,0),""))</f>
        <v/>
      </c>
      <c r="AQ632" s="314">
        <v>0</v>
      </c>
      <c r="AR632" s="315" t="str">
        <f>IF(ISBLANK(tabItens[[#This Row],[CÓDIGO]]),"",IFERROR(VLOOKUP(tabItens[[#This Row],[CÓDIGO]],Consumo!$C$2:$AC$869,26,FALSE),0))</f>
        <v>06.2023</v>
      </c>
      <c r="AS632" s="316">
        <f>SUMIF(Consumo!$C$3:$C$869,tabItens[[#This Row],[CÓDIGO]],Consumo!$N$3:$N$869) + SUMIF(Consumo!$C$3:$C$869,tabItens[[#This Row],[CÓDIGO]],Consumo!$O$3:$O$869) + SUMIF(Consumo!$C$3:$C$869,tabItens[[#This Row],[CÓDIGO]],Consumo!$P$3:$P$869) + SUMIF(Consumo!$C$3:$C$869,tabItens[[#This Row],[CÓDIGO]],Consumo!$Q$3:$Q$869)</f>
        <v>3400</v>
      </c>
      <c r="AT632" s="316">
        <f>SUMIF(Consumo!$C$3:$C$869,tabItens[[#This Row],[CÓDIGO]],Consumo!$Z$3:$Z$869)</f>
        <v>6260</v>
      </c>
      <c r="AU632" s="317">
        <f>SUMIF(Consumo!$C$3:$C$869,tabItens[[#This Row],[CÓDIGO]],Consumo!$AA$3:$AA$869)</f>
        <v>2160</v>
      </c>
      <c r="AV632" s="318">
        <f>SUMIF(Consumo!$C$3:$C$869,tabItens[[#This Row],[CÓDIGO]],Consumo!$Y$3:$Y$869)</f>
        <v>502.83333333333331</v>
      </c>
      <c r="AW632" s="291">
        <f>tabItens[[#This Row],[QTDE ATUAL]] + tabItens[[#This Row],[RC QTDE]] + tabItens[[#This Row],[AF SALDO]] + tabItens[[#This Row],[Recentes]]</f>
        <v>7206</v>
      </c>
      <c r="AX632" s="319">
        <v>500</v>
      </c>
      <c r="AY632" s="319">
        <v>4</v>
      </c>
      <c r="AZ632" s="319">
        <f>IF(ISBLANK(tabItens[[#This Row],[CÓDIGO]]),"",tabItens[[#This Row],[PontoMês]] * (AZ$2+tabItens[[#This Row],[PontoQtM]]))</f>
        <v>2000</v>
      </c>
      <c r="BA632" s="318">
        <f>tabItens[[#This Row],[PontoPed]] - tabItens[[#This Row],[Saldo]] + (1/10)</f>
        <v>-5205.8999999999996</v>
      </c>
      <c r="BB632" s="318">
        <f xml:space="preserve"> tabItens[[#This Row],[PontoMês]] * BB$2 - tabItens[[#This Row],[QTDE ATUAL]] - (1/10)</f>
        <v>-6706.1</v>
      </c>
      <c r="BC632" s="320">
        <f>IF( tabItens[[#This Row],[PontoPed]]&gt;0, IF(tabItens[[#This Row],[PontoPed]]&lt;1, 1, IF( tabItens[[#This Row],[Saldo]]&gt;tabItens[[#This Row],[PontoPed]], 0, (tabItens[[#This Row],[PontoPed]]-tabItens[[#This Row],[Saldo]])/tabItens[[#This Row],[PontoPed]] ) ), 0 )</f>
        <v>0</v>
      </c>
      <c r="BD632" s="321">
        <f>ROUNDDOWN(IF( OR( AND(tabItens[[#This Row],[PontoPed]]&lt;tabItens[[#This Row],[Saldo]],tabItens[[#This Row],[Saldo]]&gt;0), tabItens[[#This Row],[PontoPed]]=0), 99, IF(AND(tabItens[[#This Row],[Saldo]]=0,tabItens[[#This Row],[PontoPed]]&gt;0), 0, (1-tabItens[[#This Row],[PctAb]])*10 ) ),0)</f>
        <v>99</v>
      </c>
      <c r="BE632" s="322">
        <f>MAX(ROUNDDOWN( IF(tabItens[[#This Row],[Abaixo]] &gt; 0,   tabItens[[#This Row],[Abaixo]] + (tabItens[[#This Row],[PontoMês]] * IF( OR( ISBLANK(tabItens[[#This Row],[ATA Nº/ANO]]), tabItens[[#This Row],[ATA Nº/ANO]] = ""),BE$2,BE$1)),0),0),0)</f>
        <v>0</v>
      </c>
      <c r="BF63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323">
        <f>SUMIF(Consumo!$C$3:$C$869,tabItens[[#This Row],[CÓDIGO]],Consumo!$E$3:$E$869)</f>
        <v>0</v>
      </c>
      <c r="BH632" s="324">
        <f>IF(AND(tabItens[[#This Row],[Pend]] &gt; 0,tabItens[[#This Row],[Consumo]] &lt;&gt; 0), tabItens[[#This Row],[Pend]] / tabItens[[#This Row],[Consumo]], 0 )</f>
        <v>0</v>
      </c>
      <c r="BI632" s="323"/>
      <c r="BJ632" s="323"/>
      <c r="BK632" s="325" t="s">
        <v>2064</v>
      </c>
    </row>
    <row r="633" spans="1:63" hidden="1" x14ac:dyDescent="0.3">
      <c r="A633" s="286">
        <v>26215</v>
      </c>
      <c r="B633" s="287" t="s">
        <v>1208</v>
      </c>
      <c r="C633" s="288" t="s">
        <v>256</v>
      </c>
      <c r="D633" s="289">
        <v>147.9</v>
      </c>
      <c r="E633" s="290"/>
      <c r="F633" s="290"/>
      <c r="G633" s="290" t="s">
        <v>883</v>
      </c>
      <c r="H633" s="291">
        <v>26</v>
      </c>
      <c r="I633" s="292">
        <v>103003</v>
      </c>
      <c r="J633" s="293">
        <v>147.9</v>
      </c>
      <c r="K633" s="294">
        <v>96</v>
      </c>
      <c r="L633" s="295">
        <f>IF(tabItens[[#This Row],[Média]] &gt; 0, tabItens[[#This Row],[QTDE ATUAL]] / tabItens[[#This Row],[Média]],999.9)</f>
        <v>3.4285714285714288</v>
      </c>
      <c r="M633" s="296">
        <v>0</v>
      </c>
      <c r="N633" s="297">
        <f>tabItens[[#This Row],[VALOR UNIT.]] * tabItens[[#This Row],[LC]]</f>
        <v>0</v>
      </c>
      <c r="O633" s="298" t="s">
        <v>2113</v>
      </c>
      <c r="P633" s="299"/>
      <c r="Q633" s="300"/>
      <c r="R633" s="297"/>
      <c r="S633" s="301"/>
      <c r="T633" s="302">
        <f>ROUNDDOWN(IFERROR(tabItens[[#This Row],[ATA DT.VALID.]] - $D$1,0) / 30,0)</f>
        <v>-1504</v>
      </c>
      <c r="U633" s="287" t="s">
        <v>1209</v>
      </c>
      <c r="V633" s="303">
        <v>1</v>
      </c>
      <c r="W633" s="304" t="s">
        <v>2057</v>
      </c>
      <c r="X633" s="305">
        <v>74</v>
      </c>
      <c r="Y633" s="306">
        <v>9</v>
      </c>
      <c r="Z633" s="307">
        <v>2769</v>
      </c>
      <c r="AA633" s="308">
        <v>2023</v>
      </c>
      <c r="AB633" s="309">
        <v>20</v>
      </c>
      <c r="AC633" s="309"/>
      <c r="AD633" s="308"/>
      <c r="AE633" s="309"/>
      <c r="AF633" s="302"/>
      <c r="AG633" s="310" t="s">
        <v>2050</v>
      </c>
      <c r="AH633" s="311"/>
      <c r="AI633" s="302">
        <v>32</v>
      </c>
      <c r="AJ633" s="311">
        <v>44083</v>
      </c>
      <c r="AK633" s="311" t="s">
        <v>883</v>
      </c>
      <c r="AL633" s="311">
        <v>44040</v>
      </c>
      <c r="AM633" s="301"/>
      <c r="AN633" s="290"/>
      <c r="AO633" s="312" t="str">
        <f>_xlfn.IFNA(IF(VLOOKUP(tabItens[[#This Row],[CÓDIGO]],tabExcluirDoEstoque[#Data],1,FALSE),"sim",""),"")</f>
        <v/>
      </c>
      <c r="AP633" s="313" t="str">
        <f ca="1">IF(OR(ISBLANK(tabItens[[#This Row],[ATA DT.VALID.]]),tabItens[[#This Row],[ATA DT.VALID.]]="",tabItens[[#This Row],[ATA DT.VALID.]]=" "),"",IF(TYPE(tabItens[[#This Row],[ATA DT.VALID.]])=1,ROUNDUP((tabItens[[#This Row],[ATA DT.VALID.]]-TODAY())/7,0),""))</f>
        <v/>
      </c>
      <c r="AQ633" s="314">
        <v>0</v>
      </c>
      <c r="AR633" s="315" t="str">
        <f>IF(ISBLANK(tabItens[[#This Row],[CÓDIGO]]),"",IFERROR(VLOOKUP(tabItens[[#This Row],[CÓDIGO]],Consumo!$C$2:$AC$869,26,FALSE),0))</f>
        <v>05.2023</v>
      </c>
      <c r="AS633" s="316">
        <f>SUMIF(Consumo!$C$3:$C$869,tabItens[[#This Row],[CÓDIGO]],Consumo!$N$3:$N$869) + SUMIF(Consumo!$C$3:$C$869,tabItens[[#This Row],[CÓDIGO]],Consumo!$O$3:$O$869) + SUMIF(Consumo!$C$3:$C$869,tabItens[[#This Row],[CÓDIGO]],Consumo!$P$3:$P$869) + SUMIF(Consumo!$C$3:$C$869,tabItens[[#This Row],[CÓDIGO]],Consumo!$Q$3:$Q$869)</f>
        <v>39</v>
      </c>
      <c r="AT633" s="316">
        <f>SUMIF(Consumo!$C$3:$C$869,tabItens[[#This Row],[CÓDIGO]],Consumo!$Z$3:$Z$869)</f>
        <v>96</v>
      </c>
      <c r="AU633" s="317">
        <f>SUMIF(Consumo!$C$3:$C$869,tabItens[[#This Row],[CÓDIGO]],Consumo!$AA$3:$AA$869)</f>
        <v>38</v>
      </c>
      <c r="AV633" s="318">
        <f>SUMIF(Consumo!$C$3:$C$869,tabItens[[#This Row],[CÓDIGO]],Consumo!$Y$3:$Y$869)</f>
        <v>7.583333333333333</v>
      </c>
      <c r="AW633" s="291">
        <f>tabItens[[#This Row],[QTDE ATUAL]] + tabItens[[#This Row],[RC QTDE]] + tabItens[[#This Row],[AF SALDO]] + tabItens[[#This Row],[Recentes]]</f>
        <v>46</v>
      </c>
      <c r="AX633" s="319">
        <v>9</v>
      </c>
      <c r="AY633" s="319">
        <v>4</v>
      </c>
      <c r="AZ633" s="319">
        <f>IF(ISBLANK(tabItens[[#This Row],[CÓDIGO]]),"",tabItens[[#This Row],[PontoMês]] * (AZ$2+tabItens[[#This Row],[PontoQtM]]))</f>
        <v>36</v>
      </c>
      <c r="BA633" s="318">
        <f>tabItens[[#This Row],[PontoPed]] - tabItens[[#This Row],[Saldo]] + (1/10)</f>
        <v>-9.9</v>
      </c>
      <c r="BB633" s="318">
        <f xml:space="preserve"> tabItens[[#This Row],[PontoMês]] * BB$2 - tabItens[[#This Row],[QTDE ATUAL]] - (1/10)</f>
        <v>-17.100000000000001</v>
      </c>
      <c r="BC633" s="320">
        <f>IF( tabItens[[#This Row],[PontoPed]]&gt;0, IF(tabItens[[#This Row],[PontoPed]]&lt;1, 1, IF( tabItens[[#This Row],[Saldo]]&gt;tabItens[[#This Row],[PontoPed]], 0, (tabItens[[#This Row],[PontoPed]]-tabItens[[#This Row],[Saldo]])/tabItens[[#This Row],[PontoPed]] ) ), 0 )</f>
        <v>0</v>
      </c>
      <c r="BD633" s="321">
        <f>ROUNDDOWN(IF( OR( AND(tabItens[[#This Row],[PontoPed]]&lt;tabItens[[#This Row],[Saldo]],tabItens[[#This Row],[Saldo]]&gt;0), tabItens[[#This Row],[PontoPed]]=0), 99, IF(AND(tabItens[[#This Row],[Saldo]]=0,tabItens[[#This Row],[PontoPed]]&gt;0), 0, (1-tabItens[[#This Row],[PctAb]])*10 ) ),0)</f>
        <v>99</v>
      </c>
      <c r="BE633" s="322">
        <f>MAX(ROUNDDOWN( IF(tabItens[[#This Row],[Abaixo]] &gt; 0,   tabItens[[#This Row],[Abaixo]] + (tabItens[[#This Row],[PontoMês]] * IF( OR( ISBLANK(tabItens[[#This Row],[ATA Nº/ANO]]), tabItens[[#This Row],[ATA Nº/ANO]] = ""),BE$2,BE$1)),0),0),0)</f>
        <v>0</v>
      </c>
      <c r="BF63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323">
        <f>SUMIF(Consumo!$C$3:$C$869,tabItens[[#This Row],[CÓDIGO]],Consumo!$E$3:$E$869)</f>
        <v>0</v>
      </c>
      <c r="BH633" s="324">
        <f>IF(AND(tabItens[[#This Row],[Pend]] &gt; 0,tabItens[[#This Row],[Consumo]] &lt;&gt; 0), tabItens[[#This Row],[Pend]] / tabItens[[#This Row],[Consumo]], 0 )</f>
        <v>0</v>
      </c>
      <c r="BI633" s="323"/>
      <c r="BJ633" s="323"/>
      <c r="BK633" s="325" t="s">
        <v>2064</v>
      </c>
    </row>
    <row r="634" spans="1:63" hidden="1" x14ac:dyDescent="0.3">
      <c r="A634" s="286">
        <v>76583</v>
      </c>
      <c r="B634" s="287" t="s">
        <v>1413</v>
      </c>
      <c r="C634" s="288" t="s">
        <v>256</v>
      </c>
      <c r="D634" s="289">
        <v>239.33</v>
      </c>
      <c r="E634" s="290"/>
      <c r="F634" s="290"/>
      <c r="G634" s="290" t="s">
        <v>883</v>
      </c>
      <c r="H634" s="291">
        <v>155</v>
      </c>
      <c r="I634" s="292">
        <v>103003</v>
      </c>
      <c r="J634" s="293">
        <v>239.33</v>
      </c>
      <c r="K634" s="294">
        <v>69</v>
      </c>
      <c r="L634" s="295">
        <f>IF(tabItens[[#This Row],[Média]] &gt; 0, tabItens[[#This Row],[QTDE ATUAL]] / tabItens[[#This Row],[Média]],999.9)</f>
        <v>31.525423728813557</v>
      </c>
      <c r="M634" s="296">
        <v>0</v>
      </c>
      <c r="N634" s="297">
        <f>tabItens[[#This Row],[VALOR UNIT.]] * tabItens[[#This Row],[LC]]</f>
        <v>0</v>
      </c>
      <c r="O634" s="298" t="s">
        <v>2113</v>
      </c>
      <c r="P634" s="299"/>
      <c r="Q634" s="300"/>
      <c r="R634" s="297"/>
      <c r="S634" s="301"/>
      <c r="T634" s="302">
        <f>ROUNDDOWN(IFERROR(tabItens[[#This Row],[ATA DT.VALID.]] - $D$1,0) / 30,0)</f>
        <v>-1504</v>
      </c>
      <c r="U634" s="287" t="s">
        <v>1209</v>
      </c>
      <c r="V634" s="303">
        <v>1</v>
      </c>
      <c r="W634" s="304" t="s">
        <v>2057</v>
      </c>
      <c r="X634" s="305">
        <v>74</v>
      </c>
      <c r="Y634" s="306">
        <v>9</v>
      </c>
      <c r="Z634" s="307">
        <v>2388</v>
      </c>
      <c r="AA634" s="308">
        <v>2023</v>
      </c>
      <c r="AB634" s="309">
        <v>50</v>
      </c>
      <c r="AC634" s="309"/>
      <c r="AD634" s="308"/>
      <c r="AE634" s="309"/>
      <c r="AF634" s="302"/>
      <c r="AG634" s="310" t="s">
        <v>2050</v>
      </c>
      <c r="AH634" s="311"/>
      <c r="AI634" s="302">
        <v>74</v>
      </c>
      <c r="AJ634" s="311">
        <v>44924</v>
      </c>
      <c r="AK634" s="311">
        <v>37995</v>
      </c>
      <c r="AL634" s="311">
        <v>44887</v>
      </c>
      <c r="AM634" s="301"/>
      <c r="AN634" s="290"/>
      <c r="AO634" s="312" t="str">
        <f>_xlfn.IFNA(IF(VLOOKUP(tabItens[[#This Row],[CÓDIGO]],tabExcluirDoEstoque[#Data],1,FALSE),"sim",""),"")</f>
        <v/>
      </c>
      <c r="AP634" s="313" t="str">
        <f ca="1">IF(OR(ISBLANK(tabItens[[#This Row],[ATA DT.VALID.]]),tabItens[[#This Row],[ATA DT.VALID.]]="",tabItens[[#This Row],[ATA DT.VALID.]]=" "),"",IF(TYPE(tabItens[[#This Row],[ATA DT.VALID.]])=1,ROUNDUP((tabItens[[#This Row],[ATA DT.VALID.]]-TODAY())/7,0),""))</f>
        <v/>
      </c>
      <c r="AQ634" s="314">
        <v>66</v>
      </c>
      <c r="AR634" s="315" t="str">
        <f>IF(ISBLANK(tabItens[[#This Row],[CÓDIGO]]),"",IFERROR(VLOOKUP(tabItens[[#This Row],[CÓDIGO]],Consumo!$C$2:$AC$869,26,FALSE),0))</f>
        <v>05.2023</v>
      </c>
      <c r="AS634" s="316">
        <f>SUMIF(Consumo!$C$3:$C$869,tabItens[[#This Row],[CÓDIGO]],Consumo!$N$3:$N$869) + SUMIF(Consumo!$C$3:$C$869,tabItens[[#This Row],[CÓDIGO]],Consumo!$O$3:$O$869) + SUMIF(Consumo!$C$3:$C$869,tabItens[[#This Row],[CÓDIGO]],Consumo!$P$3:$P$869) + SUMIF(Consumo!$C$3:$C$869,tabItens[[#This Row],[CÓDIGO]],Consumo!$Q$3:$Q$869)</f>
        <v>18</v>
      </c>
      <c r="AT634" s="316">
        <f>SUMIF(Consumo!$C$3:$C$869,tabItens[[#This Row],[CÓDIGO]],Consumo!$Z$3:$Z$869)</f>
        <v>69</v>
      </c>
      <c r="AU634" s="317">
        <f>SUMIF(Consumo!$C$3:$C$869,tabItens[[#This Row],[CÓDIGO]],Consumo!$AA$3:$AA$869)</f>
        <v>37</v>
      </c>
      <c r="AV634" s="318">
        <f>SUMIF(Consumo!$C$3:$C$869,tabItens[[#This Row],[CÓDIGO]],Consumo!$Y$3:$Y$869)</f>
        <v>4.916666666666667</v>
      </c>
      <c r="AW634" s="291">
        <f>tabItens[[#This Row],[QTDE ATUAL]] + tabItens[[#This Row],[RC QTDE]] + tabItens[[#This Row],[AF SALDO]] + tabItens[[#This Row],[Recentes]]</f>
        <v>271</v>
      </c>
      <c r="AX634" s="319">
        <v>17</v>
      </c>
      <c r="AY634" s="319">
        <v>4</v>
      </c>
      <c r="AZ634" s="319">
        <f>IF(ISBLANK(tabItens[[#This Row],[CÓDIGO]]),"",tabItens[[#This Row],[PontoMês]] * (AZ$2+tabItens[[#This Row],[PontoQtM]]))</f>
        <v>68</v>
      </c>
      <c r="BA634" s="318">
        <f>tabItens[[#This Row],[PontoPed]] - tabItens[[#This Row],[Saldo]] + (1/10)</f>
        <v>-202.9</v>
      </c>
      <c r="BB634" s="318">
        <f xml:space="preserve"> tabItens[[#This Row],[PontoMês]] * BB$2 - tabItens[[#This Row],[QTDE ATUAL]] - (1/10)</f>
        <v>-138.1</v>
      </c>
      <c r="BC634" s="320">
        <f>IF( tabItens[[#This Row],[PontoPed]]&gt;0, IF(tabItens[[#This Row],[PontoPed]]&lt;1, 1, IF( tabItens[[#This Row],[Saldo]]&gt;tabItens[[#This Row],[PontoPed]], 0, (tabItens[[#This Row],[PontoPed]]-tabItens[[#This Row],[Saldo]])/tabItens[[#This Row],[PontoPed]] ) ), 0 )</f>
        <v>0</v>
      </c>
      <c r="BD634" s="321">
        <f>ROUNDDOWN(IF( OR( AND(tabItens[[#This Row],[PontoPed]]&lt;tabItens[[#This Row],[Saldo]],tabItens[[#This Row],[Saldo]]&gt;0), tabItens[[#This Row],[PontoPed]]=0), 99, IF(AND(tabItens[[#This Row],[Saldo]]=0,tabItens[[#This Row],[PontoPed]]&gt;0), 0, (1-tabItens[[#This Row],[PctAb]])*10 ) ),0)</f>
        <v>99</v>
      </c>
      <c r="BE634" s="322">
        <f>MAX(ROUNDDOWN( IF(tabItens[[#This Row],[Abaixo]] &gt; 0,   tabItens[[#This Row],[Abaixo]] + (tabItens[[#This Row],[PontoMês]] * IF( OR( ISBLANK(tabItens[[#This Row],[ATA Nº/ANO]]), tabItens[[#This Row],[ATA Nº/ANO]] = ""),BE$2,BE$1)),0),0),0)</f>
        <v>0</v>
      </c>
      <c r="BF63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323">
        <f>SUMIF(Consumo!$C$3:$C$869,tabItens[[#This Row],[CÓDIGO]],Consumo!$E$3:$E$869)</f>
        <v>0</v>
      </c>
      <c r="BH634" s="324">
        <f>IF(AND(tabItens[[#This Row],[Pend]] &gt; 0,tabItens[[#This Row],[Consumo]] &lt;&gt; 0), tabItens[[#This Row],[Pend]] / tabItens[[#This Row],[Consumo]], 0 )</f>
        <v>0</v>
      </c>
      <c r="BI634" s="323"/>
      <c r="BJ634" s="323"/>
      <c r="BK634" s="325" t="s">
        <v>2064</v>
      </c>
    </row>
    <row r="635" spans="1:63" hidden="1" x14ac:dyDescent="0.3">
      <c r="A635" s="286">
        <v>13655</v>
      </c>
      <c r="B635" s="287" t="s">
        <v>1045</v>
      </c>
      <c r="C635" s="288" t="s">
        <v>31</v>
      </c>
      <c r="D635" s="289">
        <v>1.74</v>
      </c>
      <c r="E635" s="290"/>
      <c r="F635" s="290"/>
      <c r="G635" s="290" t="s">
        <v>883</v>
      </c>
      <c r="H635" s="291">
        <v>5920</v>
      </c>
      <c r="I635" s="292">
        <v>103003</v>
      </c>
      <c r="J635" s="293">
        <v>1.74</v>
      </c>
      <c r="K635" s="294">
        <v>14144</v>
      </c>
      <c r="L635" s="295">
        <f>IF(tabItens[[#This Row],[Média]] &gt; 0, tabItens[[#This Row],[QTDE ATUAL]] / tabItens[[#This Row],[Média]],999.9)</f>
        <v>4.9115044247787614</v>
      </c>
      <c r="M635" s="296">
        <v>0</v>
      </c>
      <c r="N635" s="297">
        <f>tabItens[[#This Row],[VALOR UNIT.]] * tabItens[[#This Row],[LC]]</f>
        <v>0</v>
      </c>
      <c r="O635" s="298" t="s">
        <v>2092</v>
      </c>
      <c r="P635" s="299"/>
      <c r="Q635" s="300"/>
      <c r="R635" s="297"/>
      <c r="S635" s="301"/>
      <c r="T635" s="302">
        <f>ROUNDDOWN(IFERROR(tabItens[[#This Row],[ATA DT.VALID.]] - $D$1,0) / 30,0)</f>
        <v>-1504</v>
      </c>
      <c r="U635" s="287" t="s">
        <v>935</v>
      </c>
      <c r="V635" s="303">
        <v>1</v>
      </c>
      <c r="W635" s="304" t="s">
        <v>2052</v>
      </c>
      <c r="X635" s="305">
        <v>45</v>
      </c>
      <c r="Y635" s="306">
        <v>11</v>
      </c>
      <c r="Z635" s="307">
        <v>6211</v>
      </c>
      <c r="AA635" s="308">
        <v>2023</v>
      </c>
      <c r="AB635" s="309">
        <v>1000</v>
      </c>
      <c r="AC635" s="309"/>
      <c r="AD635" s="308"/>
      <c r="AE635" s="309"/>
      <c r="AF635" s="302"/>
      <c r="AG635" s="310" t="s">
        <v>2050</v>
      </c>
      <c r="AH635" s="311"/>
      <c r="AI635" s="302">
        <v>5946</v>
      </c>
      <c r="AJ635" s="311">
        <v>44993</v>
      </c>
      <c r="AK635" s="311" t="s">
        <v>883</v>
      </c>
      <c r="AL635" s="311">
        <v>45107</v>
      </c>
      <c r="AM635" s="301"/>
      <c r="AN635" s="290"/>
      <c r="AO635" s="312" t="str">
        <f>_xlfn.IFNA(IF(VLOOKUP(tabItens[[#This Row],[CÓDIGO]],tabExcluirDoEstoque[#Data],1,FALSE),"sim",""),"")</f>
        <v/>
      </c>
      <c r="AP635" s="313" t="str">
        <f ca="1">IF(OR(ISBLANK(tabItens[[#This Row],[ATA DT.VALID.]]),tabItens[[#This Row],[ATA DT.VALID.]]="",tabItens[[#This Row],[ATA DT.VALID.]]=" "),"",IF(TYPE(tabItens[[#This Row],[ATA DT.VALID.]])=1,ROUNDUP((tabItens[[#This Row],[ATA DT.VALID.]]-TODAY())/7,0),""))</f>
        <v/>
      </c>
      <c r="AQ635" s="314">
        <v>0</v>
      </c>
      <c r="AR635" s="315" t="str">
        <f>IF(ISBLANK(tabItens[[#This Row],[CÓDIGO]]),"",IFERROR(VLOOKUP(tabItens[[#This Row],[CÓDIGO]],Consumo!$C$2:$AC$869,26,FALSE),0))</f>
        <v>07.2023</v>
      </c>
      <c r="AS635" s="316">
        <f>SUMIF(Consumo!$C$3:$C$869,tabItens[[#This Row],[CÓDIGO]],Consumo!$N$3:$N$869) + SUMIF(Consumo!$C$3:$C$869,tabItens[[#This Row],[CÓDIGO]],Consumo!$O$3:$O$869) + SUMIF(Consumo!$C$3:$C$869,tabItens[[#This Row],[CÓDIGO]],Consumo!$P$3:$P$869) + SUMIF(Consumo!$C$3:$C$869,tabItens[[#This Row],[CÓDIGO]],Consumo!$Q$3:$Q$869)</f>
        <v>2989</v>
      </c>
      <c r="AT635" s="316">
        <f>SUMIF(Consumo!$C$3:$C$869,tabItens[[#This Row],[CÓDIGO]],Consumo!$Z$3:$Z$869)</f>
        <v>17696</v>
      </c>
      <c r="AU635" s="317">
        <f>SUMIF(Consumo!$C$3:$C$869,tabItens[[#This Row],[CÓDIGO]],Consumo!$AA$3:$AA$869)</f>
        <v>9807</v>
      </c>
      <c r="AV635" s="318">
        <f>SUMIF(Consumo!$C$3:$C$869,tabItens[[#This Row],[CÓDIGO]],Consumo!$Y$3:$Y$869)</f>
        <v>1205.3333333333333</v>
      </c>
      <c r="AW635" s="291">
        <f>tabItens[[#This Row],[QTDE ATUAL]] + tabItens[[#This Row],[RC QTDE]] + tabItens[[#This Row],[AF SALDO]] + tabItens[[#This Row],[Recentes]]</f>
        <v>6920</v>
      </c>
      <c r="AX635" s="319">
        <v>1435</v>
      </c>
      <c r="AY635" s="319">
        <v>4</v>
      </c>
      <c r="AZ635" s="319">
        <f>IF(ISBLANK(tabItens[[#This Row],[CÓDIGO]]),"",tabItens[[#This Row],[PontoMês]] * (AZ$2+tabItens[[#This Row],[PontoQtM]]))</f>
        <v>5740</v>
      </c>
      <c r="BA635" s="318">
        <f>tabItens[[#This Row],[PontoPed]] - tabItens[[#This Row],[Saldo]] + (1/10)</f>
        <v>-1179.9000000000001</v>
      </c>
      <c r="BB635" s="318">
        <f xml:space="preserve"> tabItens[[#This Row],[PontoMês]] * BB$2 - tabItens[[#This Row],[QTDE ATUAL]] - (1/10)</f>
        <v>-4485.1000000000004</v>
      </c>
      <c r="BC635" s="320">
        <f>IF( tabItens[[#This Row],[PontoPed]]&gt;0, IF(tabItens[[#This Row],[PontoPed]]&lt;1, 1, IF( tabItens[[#This Row],[Saldo]]&gt;tabItens[[#This Row],[PontoPed]], 0, (tabItens[[#This Row],[PontoPed]]-tabItens[[#This Row],[Saldo]])/tabItens[[#This Row],[PontoPed]] ) ), 0 )</f>
        <v>0</v>
      </c>
      <c r="BD635" s="321">
        <f>ROUNDDOWN(IF( OR( AND(tabItens[[#This Row],[PontoPed]]&lt;tabItens[[#This Row],[Saldo]],tabItens[[#This Row],[Saldo]]&gt;0), tabItens[[#This Row],[PontoPed]]=0), 99, IF(AND(tabItens[[#This Row],[Saldo]]=0,tabItens[[#This Row],[PontoPed]]&gt;0), 0, (1-tabItens[[#This Row],[PctAb]])*10 ) ),0)</f>
        <v>99</v>
      </c>
      <c r="BE635" s="322">
        <f>MAX(ROUNDDOWN( IF(tabItens[[#This Row],[Abaixo]] &gt; 0,   tabItens[[#This Row],[Abaixo]] + (tabItens[[#This Row],[PontoMês]] * IF( OR( ISBLANK(tabItens[[#This Row],[ATA Nº/ANO]]), tabItens[[#This Row],[ATA Nº/ANO]] = ""),BE$2,BE$1)),0),0),0)</f>
        <v>0</v>
      </c>
      <c r="BF63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323">
        <f>SUMIF(Consumo!$C$3:$C$869,tabItens[[#This Row],[CÓDIGO]],Consumo!$E$3:$E$869)</f>
        <v>7</v>
      </c>
      <c r="BH635" s="324">
        <f>IF(AND(tabItens[[#This Row],[Pend]] &gt; 0,tabItens[[#This Row],[Consumo]] &lt;&gt; 0), tabItens[[#This Row],[Pend]] / tabItens[[#This Row],[Consumo]], 0 )</f>
        <v>3.9556962025316455E-4</v>
      </c>
      <c r="BI635" s="323"/>
      <c r="BJ635" s="323"/>
      <c r="BK635" s="325" t="s">
        <v>2064</v>
      </c>
    </row>
    <row r="636" spans="1:63" hidden="1" x14ac:dyDescent="0.3">
      <c r="A636" s="286">
        <v>17132</v>
      </c>
      <c r="B636" s="287" t="s">
        <v>1123</v>
      </c>
      <c r="C636" s="288" t="s">
        <v>268</v>
      </c>
      <c r="D636" s="289">
        <v>2.0299999999999998</v>
      </c>
      <c r="E636" s="290"/>
      <c r="F636" s="290"/>
      <c r="G636" s="290" t="s">
        <v>883</v>
      </c>
      <c r="H636" s="291">
        <v>1580</v>
      </c>
      <c r="I636" s="292">
        <v>103003</v>
      </c>
      <c r="J636" s="293">
        <v>2.0299999999999998</v>
      </c>
      <c r="K636" s="294">
        <v>777</v>
      </c>
      <c r="L636" s="295">
        <f>IF(tabItens[[#This Row],[Média]] &gt; 0, tabItens[[#This Row],[QTDE ATUAL]] / tabItens[[#This Row],[Média]],999.9)</f>
        <v>23.178484107579461</v>
      </c>
      <c r="M636" s="296">
        <v>0</v>
      </c>
      <c r="N636" s="297">
        <f>tabItens[[#This Row],[VALOR UNIT.]] * tabItens[[#This Row],[LC]]</f>
        <v>0</v>
      </c>
      <c r="O636" s="298" t="s">
        <v>2092</v>
      </c>
      <c r="P636" s="299"/>
      <c r="Q636" s="300"/>
      <c r="R636" s="297"/>
      <c r="S636" s="301"/>
      <c r="T636" s="302">
        <f>ROUNDDOWN(IFERROR(tabItens[[#This Row],[ATA DT.VALID.]] - $D$1,0) / 30,0)</f>
        <v>-1504</v>
      </c>
      <c r="U636" s="287" t="s">
        <v>925</v>
      </c>
      <c r="V636" s="303">
        <v>1</v>
      </c>
      <c r="W636" s="304" t="s">
        <v>2051</v>
      </c>
      <c r="X636" s="305">
        <v>45</v>
      </c>
      <c r="Y636" s="306">
        <v>12</v>
      </c>
      <c r="Z636" s="307"/>
      <c r="AA636" s="308"/>
      <c r="AB636" s="309"/>
      <c r="AC636" s="309"/>
      <c r="AD636" s="308"/>
      <c r="AE636" s="309"/>
      <c r="AF636" s="302"/>
      <c r="AG636" s="310" t="s">
        <v>2050</v>
      </c>
      <c r="AH636" s="311"/>
      <c r="AI636" s="302">
        <v>326</v>
      </c>
      <c r="AJ636" s="311">
        <v>44678</v>
      </c>
      <c r="AK636" s="311" t="s">
        <v>883</v>
      </c>
      <c r="AL636" s="311">
        <v>45107</v>
      </c>
      <c r="AM636" s="301"/>
      <c r="AN636" s="290"/>
      <c r="AO636" s="312" t="str">
        <f>_xlfn.IFNA(IF(VLOOKUP(tabItens[[#This Row],[CÓDIGO]],tabExcluirDoEstoque[#Data],1,FALSE),"sim",""),"")</f>
        <v/>
      </c>
      <c r="AP636" s="313" t="str">
        <f ca="1">IF(OR(ISBLANK(tabItens[[#This Row],[ATA DT.VALID.]]),tabItens[[#This Row],[ATA DT.VALID.]]="",tabItens[[#This Row],[ATA DT.VALID.]]=" "),"",IF(TYPE(tabItens[[#This Row],[ATA DT.VALID.]])=1,ROUNDUP((tabItens[[#This Row],[ATA DT.VALID.]]-TODAY())/7,0),""))</f>
        <v/>
      </c>
      <c r="AQ636" s="314">
        <v>0</v>
      </c>
      <c r="AR636" s="315" t="str">
        <f>IF(ISBLANK(tabItens[[#This Row],[CÓDIGO]]),"",IFERROR(VLOOKUP(tabItens[[#This Row],[CÓDIGO]],Consumo!$C$2:$AC$869,26,FALSE),0))</f>
        <v>07.2023</v>
      </c>
      <c r="AS636" s="316">
        <f>SUMIF(Consumo!$C$3:$C$869,tabItens[[#This Row],[CÓDIGO]],Consumo!$N$3:$N$869) + SUMIF(Consumo!$C$3:$C$869,tabItens[[#This Row],[CÓDIGO]],Consumo!$O$3:$O$869) + SUMIF(Consumo!$C$3:$C$869,tabItens[[#This Row],[CÓDIGO]],Consumo!$P$3:$P$869) + SUMIF(Consumo!$C$3:$C$869,tabItens[[#This Row],[CÓDIGO]],Consumo!$Q$3:$Q$869)</f>
        <v>198</v>
      </c>
      <c r="AT636" s="316">
        <f>SUMIF(Consumo!$C$3:$C$869,tabItens[[#This Row],[CÓDIGO]],Consumo!$Z$3:$Z$869)</f>
        <v>980</v>
      </c>
      <c r="AU636" s="317">
        <f>SUMIF(Consumo!$C$3:$C$869,tabItens[[#This Row],[CÓDIGO]],Consumo!$AA$3:$AA$869)</f>
        <v>519</v>
      </c>
      <c r="AV636" s="318">
        <f>SUMIF(Consumo!$C$3:$C$869,tabItens[[#This Row],[CÓDIGO]],Consumo!$Y$3:$Y$869)</f>
        <v>68.166666666666671</v>
      </c>
      <c r="AW636" s="291">
        <f>tabItens[[#This Row],[QTDE ATUAL]] + tabItens[[#This Row],[RC QTDE]] + tabItens[[#This Row],[AF SALDO]] + tabItens[[#This Row],[Recentes]]</f>
        <v>1580</v>
      </c>
      <c r="AX636" s="319">
        <v>93</v>
      </c>
      <c r="AY636" s="319">
        <v>4</v>
      </c>
      <c r="AZ636" s="319">
        <f>IF(ISBLANK(tabItens[[#This Row],[CÓDIGO]]),"",tabItens[[#This Row],[PontoMês]] * (AZ$2+tabItens[[#This Row],[PontoQtM]]))</f>
        <v>372</v>
      </c>
      <c r="BA636" s="318">
        <f>tabItens[[#This Row],[PontoPed]] - tabItens[[#This Row],[Saldo]] + (1/10)</f>
        <v>-1207.9000000000001</v>
      </c>
      <c r="BB636" s="318">
        <f xml:space="preserve"> tabItens[[#This Row],[PontoMês]] * BB$2 - tabItens[[#This Row],[QTDE ATUAL]] - (1/10)</f>
        <v>-1487.1</v>
      </c>
      <c r="BC636" s="320">
        <f>IF( tabItens[[#This Row],[PontoPed]]&gt;0, IF(tabItens[[#This Row],[PontoPed]]&lt;1, 1, IF( tabItens[[#This Row],[Saldo]]&gt;tabItens[[#This Row],[PontoPed]], 0, (tabItens[[#This Row],[PontoPed]]-tabItens[[#This Row],[Saldo]])/tabItens[[#This Row],[PontoPed]] ) ), 0 )</f>
        <v>0</v>
      </c>
      <c r="BD636" s="321">
        <f>ROUNDDOWN(IF( OR( AND(tabItens[[#This Row],[PontoPed]]&lt;tabItens[[#This Row],[Saldo]],tabItens[[#This Row],[Saldo]]&gt;0), tabItens[[#This Row],[PontoPed]]=0), 99, IF(AND(tabItens[[#This Row],[Saldo]]=0,tabItens[[#This Row],[PontoPed]]&gt;0), 0, (1-tabItens[[#This Row],[PctAb]])*10 ) ),0)</f>
        <v>99</v>
      </c>
      <c r="BE636" s="322">
        <f>MAX(ROUNDDOWN( IF(tabItens[[#This Row],[Abaixo]] &gt; 0,   tabItens[[#This Row],[Abaixo]] + (tabItens[[#This Row],[PontoMês]] * IF( OR( ISBLANK(tabItens[[#This Row],[ATA Nº/ANO]]), tabItens[[#This Row],[ATA Nº/ANO]] = ""),BE$2,BE$1)),0),0),0)</f>
        <v>0</v>
      </c>
      <c r="BF63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323">
        <f>SUMIF(Consumo!$C$3:$C$869,tabItens[[#This Row],[CÓDIGO]],Consumo!$E$3:$E$869)</f>
        <v>0</v>
      </c>
      <c r="BH636" s="324">
        <f>IF(AND(tabItens[[#This Row],[Pend]] &gt; 0,tabItens[[#This Row],[Consumo]] &lt;&gt; 0), tabItens[[#This Row],[Pend]] / tabItens[[#This Row],[Consumo]], 0 )</f>
        <v>0</v>
      </c>
      <c r="BI636" s="323"/>
      <c r="BJ636" s="323"/>
      <c r="BK636" s="325" t="s">
        <v>2064</v>
      </c>
    </row>
    <row r="637" spans="1:63" x14ac:dyDescent="0.3">
      <c r="A637" s="396">
        <v>63385</v>
      </c>
      <c r="B637" s="397" t="s">
        <v>1358</v>
      </c>
      <c r="C637" s="398" t="s">
        <v>569</v>
      </c>
      <c r="D637" s="399">
        <v>0.62</v>
      </c>
      <c r="E637" s="290"/>
      <c r="F637" s="400"/>
      <c r="G637" s="400" t="s">
        <v>883</v>
      </c>
      <c r="H637" s="401">
        <v>0</v>
      </c>
      <c r="I637" s="292">
        <v>103003</v>
      </c>
      <c r="J637" s="293">
        <v>0.62</v>
      </c>
      <c r="K637" s="402">
        <v>20368</v>
      </c>
      <c r="L637" s="403">
        <f>IF(tabItens[[#This Row],[Média]] &gt; 0, tabItens[[#This Row],[QTDE ATUAL]] / tabItens[[#This Row],[Média]],999.9)</f>
        <v>0</v>
      </c>
      <c r="M637" s="404">
        <v>0</v>
      </c>
      <c r="N637" s="405">
        <f>tabItens[[#This Row],[VALOR UNIT.]] * tabItens[[#This Row],[LC]]</f>
        <v>0</v>
      </c>
      <c r="O637" s="406" t="s">
        <v>2092</v>
      </c>
      <c r="P637" s="407"/>
      <c r="Q637" s="408"/>
      <c r="R637" s="297"/>
      <c r="S637" s="409"/>
      <c r="T637" s="410">
        <f>ROUNDDOWN(IFERROR(tabItens[[#This Row],[ATA DT.VALID.]] - $D$1,0) / 30,0)</f>
        <v>-1504</v>
      </c>
      <c r="U637" s="287" t="s">
        <v>1359</v>
      </c>
      <c r="V637" s="303">
        <v>1</v>
      </c>
      <c r="W637" s="411" t="s">
        <v>2052</v>
      </c>
      <c r="X637" s="412">
        <v>57</v>
      </c>
      <c r="Y637" s="413">
        <v>17</v>
      </c>
      <c r="Z637" s="414">
        <v>6989</v>
      </c>
      <c r="AA637" s="415">
        <v>2023</v>
      </c>
      <c r="AB637" s="416">
        <v>18800</v>
      </c>
      <c r="AC637" s="416"/>
      <c r="AD637" s="415"/>
      <c r="AE637" s="416"/>
      <c r="AF637" s="302"/>
      <c r="AG637" s="417" t="s">
        <v>2050</v>
      </c>
      <c r="AH637" s="418"/>
      <c r="AI637" s="302">
        <v>6790</v>
      </c>
      <c r="AJ637" s="418">
        <v>44967</v>
      </c>
      <c r="AK637" s="311" t="s">
        <v>883</v>
      </c>
      <c r="AL637" s="311">
        <v>44910</v>
      </c>
      <c r="AM637" s="301"/>
      <c r="AN637" s="290"/>
      <c r="AO637" s="312" t="str">
        <f>_xlfn.IFNA(IF(VLOOKUP(tabItens[[#This Row],[CÓDIGO]],tabExcluirDoEstoque[#Data],1,FALSE),"sim",""),"")</f>
        <v/>
      </c>
      <c r="AP637" s="419" t="str">
        <f ca="1">IF(OR(ISBLANK(tabItens[[#This Row],[ATA DT.VALID.]]),tabItens[[#This Row],[ATA DT.VALID.]]="",tabItens[[#This Row],[ATA DT.VALID.]]=" "),"",IF(TYPE(tabItens[[#This Row],[ATA DT.VALID.]])=1,ROUNDUP((tabItens[[#This Row],[ATA DT.VALID.]]-TODAY())/7,0),""))</f>
        <v/>
      </c>
      <c r="AQ637" s="314">
        <v>0</v>
      </c>
      <c r="AR637" s="315" t="str">
        <f>IF(ISBLANK(tabItens[[#This Row],[CÓDIGO]]),"",IFERROR(VLOOKUP(tabItens[[#This Row],[CÓDIGO]],Consumo!$C$2:$AC$869,26,FALSE),0))</f>
        <v>03.2023</v>
      </c>
      <c r="AS637" s="316">
        <f>SUMIF(Consumo!$C$3:$C$869,tabItens[[#This Row],[CÓDIGO]],Consumo!$N$3:$N$869) + SUMIF(Consumo!$C$3:$C$869,tabItens[[#This Row],[CÓDIGO]],Consumo!$O$3:$O$869) + SUMIF(Consumo!$C$3:$C$869,tabItens[[#This Row],[CÓDIGO]],Consumo!$P$3:$P$869) + SUMIF(Consumo!$C$3:$C$869,tabItens[[#This Row],[CÓDIGO]],Consumo!$Q$3:$Q$869)</f>
        <v>0</v>
      </c>
      <c r="AT637" s="316">
        <f>SUMIF(Consumo!$C$3:$C$869,tabItens[[#This Row],[CÓDIGO]],Consumo!$Z$3:$Z$869)</f>
        <v>29379</v>
      </c>
      <c r="AU637" s="317">
        <f>SUMIF(Consumo!$C$3:$C$869,tabItens[[#This Row],[CÓDIGO]],Consumo!$AA$3:$AA$869)</f>
        <v>13744</v>
      </c>
      <c r="AV637" s="318">
        <f>SUMIF(Consumo!$C$3:$C$869,tabItens[[#This Row],[CÓDIGO]],Consumo!$Y$3:$Y$869)</f>
        <v>2257.9166666666665</v>
      </c>
      <c r="AW637" s="401">
        <f>tabItens[[#This Row],[QTDE ATUAL]] + tabItens[[#This Row],[RC QTDE]] + tabItens[[#This Row],[AF SALDO]] + tabItens[[#This Row],[Recentes]]</f>
        <v>18800</v>
      </c>
      <c r="AX637" s="420">
        <v>3677</v>
      </c>
      <c r="AY637" s="420">
        <v>4</v>
      </c>
      <c r="AZ637" s="420">
        <f>IF(ISBLANK(tabItens[[#This Row],[CÓDIGO]]),"",tabItens[[#This Row],[PontoMês]] * (AZ$2+tabItens[[#This Row],[PontoQtM]]))</f>
        <v>14708</v>
      </c>
      <c r="BA637" s="421">
        <f>tabItens[[#This Row],[PontoPed]] - tabItens[[#This Row],[Saldo]] + (1/10)</f>
        <v>-4091.9</v>
      </c>
      <c r="BB637" s="421">
        <f xml:space="preserve"> tabItens[[#This Row],[PontoMês]] * BB$2 - tabItens[[#This Row],[QTDE ATUAL]] - (1/10)</f>
        <v>3676.9</v>
      </c>
      <c r="BC637" s="320">
        <f>IF( tabItens[[#This Row],[PontoPed]]&gt;0, IF(tabItens[[#This Row],[PontoPed]]&lt;1, 1, IF( tabItens[[#This Row],[Saldo]]&gt;tabItens[[#This Row],[PontoPed]], 0, (tabItens[[#This Row],[PontoPed]]-tabItens[[#This Row],[Saldo]])/tabItens[[#This Row],[PontoPed]] ) ), 0 )</f>
        <v>0</v>
      </c>
      <c r="BD637" s="422">
        <f>ROUNDDOWN(IF( OR( AND(tabItens[[#This Row],[PontoPed]]&lt;tabItens[[#This Row],[Saldo]],tabItens[[#This Row],[Saldo]]&gt;0), tabItens[[#This Row],[PontoPed]]=0), 99, IF(AND(tabItens[[#This Row],[Saldo]]=0,tabItens[[#This Row],[PontoPed]]&gt;0), 0, (1-tabItens[[#This Row],[PctAb]])*10 ) ),0)</f>
        <v>99</v>
      </c>
      <c r="BE637" s="423">
        <f>MAX(ROUNDDOWN( IF(tabItens[[#This Row],[Abaixo]] &gt; 0,   tabItens[[#This Row],[Abaixo]] + (tabItens[[#This Row],[PontoMês]] * IF( OR( ISBLANK(tabItens[[#This Row],[ATA Nº/ANO]]), tabItens[[#This Row],[ATA Nº/ANO]] = ""),BE$2,BE$1)),0),0),0)</f>
        <v>0</v>
      </c>
      <c r="BF637" s="424"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323">
        <f>SUMIF(Consumo!$C$3:$C$869,tabItens[[#This Row],[CÓDIGO]],Consumo!$E$3:$E$869)</f>
        <v>9011</v>
      </c>
      <c r="BH637" s="324">
        <f>IF(AND(tabItens[[#This Row],[Pend]] &gt; 0,tabItens[[#This Row],[Consumo]] &lt;&gt; 0), tabItens[[#This Row],[Pend]] / tabItens[[#This Row],[Consumo]], 0 )</f>
        <v>0.30671568126893362</v>
      </c>
      <c r="BI637" s="323"/>
      <c r="BJ637" s="424"/>
      <c r="BK637" s="425" t="s">
        <v>2064</v>
      </c>
    </row>
    <row r="638" spans="1:63" x14ac:dyDescent="0.3">
      <c r="A638" s="396">
        <v>119318</v>
      </c>
      <c r="B638" s="397" t="s">
        <v>1727</v>
      </c>
      <c r="C638" s="398" t="s">
        <v>275</v>
      </c>
      <c r="D638" s="399">
        <v>3.2</v>
      </c>
      <c r="E638" s="290"/>
      <c r="F638" s="400"/>
      <c r="G638" s="400" t="s">
        <v>883</v>
      </c>
      <c r="H638" s="401">
        <v>0</v>
      </c>
      <c r="I638" s="292">
        <v>103003</v>
      </c>
      <c r="J638" s="293">
        <v>3.2</v>
      </c>
      <c r="K638" s="402">
        <v>139</v>
      </c>
      <c r="L638" s="403">
        <f>IF(tabItens[[#This Row],[Média]] &gt; 0, tabItens[[#This Row],[QTDE ATUAL]] / tabItens[[#This Row],[Média]],999.9)</f>
        <v>0</v>
      </c>
      <c r="M638" s="404">
        <v>0</v>
      </c>
      <c r="N638" s="405">
        <f>tabItens[[#This Row],[VALOR UNIT.]] * tabItens[[#This Row],[LC]]</f>
        <v>0</v>
      </c>
      <c r="O638" s="406"/>
      <c r="P638" s="407"/>
      <c r="Q638" s="408"/>
      <c r="R638" s="297"/>
      <c r="S638" s="409"/>
      <c r="T638" s="410">
        <f>ROUNDDOWN(IFERROR(tabItens[[#This Row],[ATA DT.VALID.]] - $D$1,0) / 30,0)</f>
        <v>-1504</v>
      </c>
      <c r="U638" s="287" t="s">
        <v>1728</v>
      </c>
      <c r="V638" s="303">
        <v>1</v>
      </c>
      <c r="W638" s="411" t="s">
        <v>2051</v>
      </c>
      <c r="X638" s="412">
        <v>45</v>
      </c>
      <c r="Y638" s="413">
        <v>8</v>
      </c>
      <c r="Z638" s="414">
        <v>6209</v>
      </c>
      <c r="AA638" s="415">
        <v>2023</v>
      </c>
      <c r="AB638" s="416">
        <v>50</v>
      </c>
      <c r="AC638" s="416"/>
      <c r="AD638" s="415"/>
      <c r="AE638" s="416"/>
      <c r="AF638" s="302"/>
      <c r="AG638" s="417" t="s">
        <v>2050</v>
      </c>
      <c r="AH638" s="418"/>
      <c r="AI638" s="302">
        <v>66</v>
      </c>
      <c r="AJ638" s="418">
        <v>43874</v>
      </c>
      <c r="AK638" s="311">
        <v>40598</v>
      </c>
      <c r="AL638" s="311">
        <v>43866</v>
      </c>
      <c r="AM638" s="301"/>
      <c r="AN638" s="290"/>
      <c r="AO638" s="312" t="str">
        <f>_xlfn.IFNA(IF(VLOOKUP(tabItens[[#This Row],[CÓDIGO]],tabExcluirDoEstoque[#Data],1,FALSE),"sim",""),"")</f>
        <v/>
      </c>
      <c r="AP638" s="419" t="str">
        <f ca="1">IF(OR(ISBLANK(tabItens[[#This Row],[ATA DT.VALID.]]),tabItens[[#This Row],[ATA DT.VALID.]]="",tabItens[[#This Row],[ATA DT.VALID.]]=" "),"",IF(TYPE(tabItens[[#This Row],[ATA DT.VALID.]])=1,ROUNDUP((tabItens[[#This Row],[ATA DT.VALID.]]-TODAY())/7,0),""))</f>
        <v/>
      </c>
      <c r="AQ638" s="314"/>
      <c r="AR638" s="315" t="str">
        <f>IF(ISBLANK(tabItens[[#This Row],[CÓDIGO]]),"",IFERROR(VLOOKUP(tabItens[[#This Row],[CÓDIGO]],Consumo!$C$2:$AC$869,26,FALSE),0))</f>
        <v>07.2023</v>
      </c>
      <c r="AS638" s="316">
        <f>SUMIF(Consumo!$C$3:$C$869,tabItens[[#This Row],[CÓDIGO]],Consumo!$N$3:$N$869) + SUMIF(Consumo!$C$3:$C$869,tabItens[[#This Row],[CÓDIGO]],Consumo!$O$3:$O$869) + SUMIF(Consumo!$C$3:$C$869,tabItens[[#This Row],[CÓDIGO]],Consumo!$P$3:$P$869) + SUMIF(Consumo!$C$3:$C$869,tabItens[[#This Row],[CÓDIGO]],Consumo!$Q$3:$Q$869)</f>
        <v>90</v>
      </c>
      <c r="AT638" s="316">
        <f>SUMIF(Consumo!$C$3:$C$869,tabItens[[#This Row],[CÓDIGO]],Consumo!$Z$3:$Z$869)</f>
        <v>197</v>
      </c>
      <c r="AU638" s="317">
        <f>SUMIF(Consumo!$C$3:$C$869,tabItens[[#This Row],[CÓDIGO]],Consumo!$AA$3:$AA$869)</f>
        <v>31</v>
      </c>
      <c r="AV638" s="318">
        <f>SUMIF(Consumo!$C$3:$C$869,tabItens[[#This Row],[CÓDIGO]],Consumo!$Y$3:$Y$869)</f>
        <v>16.416666666666668</v>
      </c>
      <c r="AW638" s="401">
        <f>tabItens[[#This Row],[QTDE ATUAL]] + tabItens[[#This Row],[RC QTDE]] + tabItens[[#This Row],[AF SALDO]] + tabItens[[#This Row],[Recentes]]</f>
        <v>50</v>
      </c>
      <c r="AX638" s="420">
        <v>11</v>
      </c>
      <c r="AY638" s="420">
        <v>4</v>
      </c>
      <c r="AZ638" s="420">
        <f>IF(ISBLANK(tabItens[[#This Row],[CÓDIGO]]),"",tabItens[[#This Row],[PontoMês]] * (AZ$2+tabItens[[#This Row],[PontoQtM]]))</f>
        <v>44</v>
      </c>
      <c r="BA638" s="421">
        <f>tabItens[[#This Row],[PontoPed]] - tabItens[[#This Row],[Saldo]] + (1/10)</f>
        <v>-5.9</v>
      </c>
      <c r="BB638" s="421">
        <f xml:space="preserve"> tabItens[[#This Row],[PontoMês]] * BB$2 - tabItens[[#This Row],[QTDE ATUAL]] - (1/10)</f>
        <v>10.9</v>
      </c>
      <c r="BC638" s="320">
        <f>IF( tabItens[[#This Row],[PontoPed]]&gt;0, IF(tabItens[[#This Row],[PontoPed]]&lt;1, 1, IF( tabItens[[#This Row],[Saldo]]&gt;tabItens[[#This Row],[PontoPed]], 0, (tabItens[[#This Row],[PontoPed]]-tabItens[[#This Row],[Saldo]])/tabItens[[#This Row],[PontoPed]] ) ), 0 )</f>
        <v>0</v>
      </c>
      <c r="BD638" s="422">
        <f>ROUNDDOWN(IF( OR( AND(tabItens[[#This Row],[PontoPed]]&lt;tabItens[[#This Row],[Saldo]],tabItens[[#This Row],[Saldo]]&gt;0), tabItens[[#This Row],[PontoPed]]=0), 99, IF(AND(tabItens[[#This Row],[Saldo]]=0,tabItens[[#This Row],[PontoPed]]&gt;0), 0, (1-tabItens[[#This Row],[PctAb]])*10 ) ),0)</f>
        <v>99</v>
      </c>
      <c r="BE638" s="423">
        <f>MAX(ROUNDDOWN( IF(tabItens[[#This Row],[Abaixo]] &gt; 0,   tabItens[[#This Row],[Abaixo]] + (tabItens[[#This Row],[PontoMês]] * IF( OR( ISBLANK(tabItens[[#This Row],[ATA Nº/ANO]]), tabItens[[#This Row],[ATA Nº/ANO]] = ""),BE$2,BE$1)),0),0),0)</f>
        <v>0</v>
      </c>
      <c r="BF638"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323">
        <f>SUMIF(Consumo!$C$3:$C$869,tabItens[[#This Row],[CÓDIGO]],Consumo!$E$3:$E$869)</f>
        <v>2</v>
      </c>
      <c r="BH638" s="324">
        <f>IF(AND(tabItens[[#This Row],[Pend]] &gt; 0,tabItens[[#This Row],[Consumo]] &lt;&gt; 0), tabItens[[#This Row],[Pend]] / tabItens[[#This Row],[Consumo]], 0 )</f>
        <v>1.015228426395939E-2</v>
      </c>
      <c r="BI638" s="323"/>
      <c r="BJ638" s="424"/>
      <c r="BK638" s="425" t="s">
        <v>2064</v>
      </c>
    </row>
    <row r="639" spans="1:63" hidden="1" x14ac:dyDescent="0.3">
      <c r="A639" s="286">
        <v>131917</v>
      </c>
      <c r="B639" s="287" t="s">
        <v>1806</v>
      </c>
      <c r="C639" s="288" t="s">
        <v>31</v>
      </c>
      <c r="D639" s="289">
        <v>2.0699999999999998</v>
      </c>
      <c r="E639" s="290"/>
      <c r="F639" s="290"/>
      <c r="G639" s="290" t="s">
        <v>883</v>
      </c>
      <c r="H639" s="291">
        <v>3876</v>
      </c>
      <c r="I639" s="292">
        <v>103003</v>
      </c>
      <c r="J639" s="293">
        <v>2.0699999999999998</v>
      </c>
      <c r="K639" s="294">
        <v>8833</v>
      </c>
      <c r="L639" s="295">
        <f>IF(tabItens[[#This Row],[Média]] &gt; 0, tabItens[[#This Row],[QTDE ATUAL]] / tabItens[[#This Row],[Média]],999.9)</f>
        <v>6.7457577955039882</v>
      </c>
      <c r="M639" s="296">
        <v>0</v>
      </c>
      <c r="N639" s="297">
        <f>tabItens[[#This Row],[VALOR UNIT.]] * tabItens[[#This Row],[LC]]</f>
        <v>0</v>
      </c>
      <c r="O639" s="298"/>
      <c r="P639" s="299"/>
      <c r="Q639" s="300"/>
      <c r="R639" s="297"/>
      <c r="S639" s="301"/>
      <c r="T639" s="302">
        <f>ROUNDDOWN(IFERROR(tabItens[[#This Row],[ATA DT.VALID.]] - $D$1,0) / 30,0)</f>
        <v>-1504</v>
      </c>
      <c r="U639" s="287" t="s">
        <v>931</v>
      </c>
      <c r="V639" s="303">
        <v>1</v>
      </c>
      <c r="W639" s="304" t="s">
        <v>2052</v>
      </c>
      <c r="X639" s="305">
        <v>45</v>
      </c>
      <c r="Y639" s="306">
        <v>9</v>
      </c>
      <c r="Z639" s="307"/>
      <c r="AA639" s="308"/>
      <c r="AB639" s="309"/>
      <c r="AC639" s="309"/>
      <c r="AD639" s="308"/>
      <c r="AE639" s="309"/>
      <c r="AF639" s="302"/>
      <c r="AG639" s="310" t="s">
        <v>2050</v>
      </c>
      <c r="AH639" s="311"/>
      <c r="AI639" s="302">
        <v>3178</v>
      </c>
      <c r="AJ639" s="311">
        <v>44950</v>
      </c>
      <c r="AK639" s="311">
        <v>42590</v>
      </c>
      <c r="AL639" s="311">
        <v>44910</v>
      </c>
      <c r="AM639" s="301"/>
      <c r="AN639" s="290"/>
      <c r="AO639" s="312" t="str">
        <f>_xlfn.IFNA(IF(VLOOKUP(tabItens[[#This Row],[CÓDIGO]],tabExcluirDoEstoque[#Data],1,FALSE),"sim",""),"")</f>
        <v/>
      </c>
      <c r="AP639" s="313" t="str">
        <f ca="1">IF(OR(ISBLANK(tabItens[[#This Row],[ATA DT.VALID.]]),tabItens[[#This Row],[ATA DT.VALID.]]="",tabItens[[#This Row],[ATA DT.VALID.]]=" "),"",IF(TYPE(tabItens[[#This Row],[ATA DT.VALID.]])=1,ROUNDUP((tabItens[[#This Row],[ATA DT.VALID.]]-TODAY())/7,0),""))</f>
        <v/>
      </c>
      <c r="AQ639" s="314"/>
      <c r="AR639" s="315" t="str">
        <f>IF(ISBLANK(tabItens[[#This Row],[CÓDIGO]]),"",IFERROR(VLOOKUP(tabItens[[#This Row],[CÓDIGO]],Consumo!$C$2:$AC$869,26,FALSE),0))</f>
        <v>07.2023</v>
      </c>
      <c r="AS639" s="316">
        <f>SUMIF(Consumo!$C$3:$C$869,tabItens[[#This Row],[CÓDIGO]],Consumo!$N$3:$N$869) + SUMIF(Consumo!$C$3:$C$869,tabItens[[#This Row],[CÓDIGO]],Consumo!$O$3:$O$869) + SUMIF(Consumo!$C$3:$C$869,tabItens[[#This Row],[CÓDIGO]],Consumo!$P$3:$P$869) + SUMIF(Consumo!$C$3:$C$869,tabItens[[#This Row],[CÓDIGO]],Consumo!$Q$3:$Q$869)</f>
        <v>469</v>
      </c>
      <c r="AT639" s="316">
        <f>SUMIF(Consumo!$C$3:$C$869,tabItens[[#This Row],[CÓDIGO]],Consumo!$Z$3:$Z$869)</f>
        <v>9532</v>
      </c>
      <c r="AU639" s="317">
        <f>SUMIF(Consumo!$C$3:$C$869,tabItens[[#This Row],[CÓDIGO]],Consumo!$AA$3:$AA$869)</f>
        <v>7920</v>
      </c>
      <c r="AV639" s="318">
        <f>SUMIF(Consumo!$C$3:$C$869,tabItens[[#This Row],[CÓDIGO]],Consumo!$Y$3:$Y$869)</f>
        <v>574.58333333333337</v>
      </c>
      <c r="AW639" s="291">
        <f>tabItens[[#This Row],[QTDE ATUAL]] + tabItens[[#This Row],[RC QTDE]] + tabItens[[#This Row],[AF SALDO]] + tabItens[[#This Row],[Recentes]]</f>
        <v>3876</v>
      </c>
      <c r="AX639" s="319">
        <v>617</v>
      </c>
      <c r="AY639" s="319">
        <v>4</v>
      </c>
      <c r="AZ639" s="319">
        <f>IF(ISBLANK(tabItens[[#This Row],[CÓDIGO]]),"",tabItens[[#This Row],[PontoMês]] * (AZ$2+tabItens[[#This Row],[PontoQtM]]))</f>
        <v>2468</v>
      </c>
      <c r="BA639" s="318">
        <f>tabItens[[#This Row],[PontoPed]] - tabItens[[#This Row],[Saldo]] + (1/10)</f>
        <v>-1407.9</v>
      </c>
      <c r="BB639" s="318">
        <f xml:space="preserve"> tabItens[[#This Row],[PontoMês]] * BB$2 - tabItens[[#This Row],[QTDE ATUAL]] - (1/10)</f>
        <v>-3259.1</v>
      </c>
      <c r="BC639" s="320">
        <f>IF( tabItens[[#This Row],[PontoPed]]&gt;0, IF(tabItens[[#This Row],[PontoPed]]&lt;1, 1, IF( tabItens[[#This Row],[Saldo]]&gt;tabItens[[#This Row],[PontoPed]], 0, (tabItens[[#This Row],[PontoPed]]-tabItens[[#This Row],[Saldo]])/tabItens[[#This Row],[PontoPed]] ) ), 0 )</f>
        <v>0</v>
      </c>
      <c r="BD639" s="321">
        <f>ROUNDDOWN(IF( OR( AND(tabItens[[#This Row],[PontoPed]]&lt;tabItens[[#This Row],[Saldo]],tabItens[[#This Row],[Saldo]]&gt;0), tabItens[[#This Row],[PontoPed]]=0), 99, IF(AND(tabItens[[#This Row],[Saldo]]=0,tabItens[[#This Row],[PontoPed]]&gt;0), 0, (1-tabItens[[#This Row],[PctAb]])*10 ) ),0)</f>
        <v>99</v>
      </c>
      <c r="BE639" s="322">
        <f>MAX(ROUNDDOWN( IF(tabItens[[#This Row],[Abaixo]] &gt; 0,   tabItens[[#This Row],[Abaixo]] + (tabItens[[#This Row],[PontoMês]] * IF( OR( ISBLANK(tabItens[[#This Row],[ATA Nº/ANO]]), tabItens[[#This Row],[ATA Nº/ANO]] = ""),BE$2,BE$1)),0),0),0)</f>
        <v>0</v>
      </c>
      <c r="BF63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323">
        <f>SUMIF(Consumo!$C$3:$C$869,tabItens[[#This Row],[CÓDIGO]],Consumo!$E$3:$E$869)</f>
        <v>0</v>
      </c>
      <c r="BH639" s="324">
        <f>IF(AND(tabItens[[#This Row],[Pend]] &gt; 0,tabItens[[#This Row],[Consumo]] &lt;&gt; 0), tabItens[[#This Row],[Pend]] / tabItens[[#This Row],[Consumo]], 0 )</f>
        <v>0</v>
      </c>
      <c r="BI639" s="323"/>
      <c r="BJ639" s="323"/>
      <c r="BK639" s="325" t="s">
        <v>2064</v>
      </c>
    </row>
    <row r="640" spans="1:63" hidden="1" x14ac:dyDescent="0.3">
      <c r="A640" s="286">
        <v>131926</v>
      </c>
      <c r="B640" s="287" t="s">
        <v>1807</v>
      </c>
      <c r="C640" s="288" t="s">
        <v>31</v>
      </c>
      <c r="D640" s="289">
        <v>3.32</v>
      </c>
      <c r="E640" s="290"/>
      <c r="F640" s="290"/>
      <c r="G640" s="290" t="s">
        <v>883</v>
      </c>
      <c r="H640" s="291">
        <v>11393</v>
      </c>
      <c r="I640" s="292">
        <v>103003</v>
      </c>
      <c r="J640" s="293">
        <v>3.32</v>
      </c>
      <c r="K640" s="294">
        <v>1462</v>
      </c>
      <c r="L640" s="295">
        <f>IF(tabItens[[#This Row],[Média]] &gt; 0, tabItens[[#This Row],[QTDE ATUAL]] / tabItens[[#This Row],[Média]],999.9)</f>
        <v>68.085657370517922</v>
      </c>
      <c r="M640" s="296">
        <v>0</v>
      </c>
      <c r="N640" s="297">
        <f>tabItens[[#This Row],[VALOR UNIT.]] * tabItens[[#This Row],[LC]]</f>
        <v>0</v>
      </c>
      <c r="O640" s="298"/>
      <c r="P640" s="299"/>
      <c r="Q640" s="300"/>
      <c r="R640" s="297"/>
      <c r="S640" s="301"/>
      <c r="T640" s="302">
        <f>ROUNDDOWN(IFERROR(tabItens[[#This Row],[ATA DT.VALID.]] - $D$1,0) / 30,0)</f>
        <v>-1504</v>
      </c>
      <c r="U640" s="287" t="s">
        <v>931</v>
      </c>
      <c r="V640" s="303">
        <v>1</v>
      </c>
      <c r="W640" s="304" t="s">
        <v>2052</v>
      </c>
      <c r="X640" s="305">
        <v>45</v>
      </c>
      <c r="Y640" s="306">
        <v>9</v>
      </c>
      <c r="Z640" s="307"/>
      <c r="AA640" s="308"/>
      <c r="AB640" s="309"/>
      <c r="AC640" s="309"/>
      <c r="AD640" s="308"/>
      <c r="AE640" s="309"/>
      <c r="AF640" s="302"/>
      <c r="AG640" s="310" t="s">
        <v>2050</v>
      </c>
      <c r="AH640" s="311"/>
      <c r="AI640" s="302">
        <v>488</v>
      </c>
      <c r="AJ640" s="311">
        <v>45105</v>
      </c>
      <c r="AK640" s="311">
        <v>42590</v>
      </c>
      <c r="AL640" s="311">
        <v>45079</v>
      </c>
      <c r="AM640" s="301"/>
      <c r="AN640" s="290"/>
      <c r="AO640" s="312" t="str">
        <f>_xlfn.IFNA(IF(VLOOKUP(tabItens[[#This Row],[CÓDIGO]],tabExcluirDoEstoque[#Data],1,FALSE),"sim",""),"")</f>
        <v/>
      </c>
      <c r="AP640" s="313" t="str">
        <f ca="1">IF(OR(ISBLANK(tabItens[[#This Row],[ATA DT.VALID.]]),tabItens[[#This Row],[ATA DT.VALID.]]="",tabItens[[#This Row],[ATA DT.VALID.]]=" "),"",IF(TYPE(tabItens[[#This Row],[ATA DT.VALID.]])=1,ROUNDUP((tabItens[[#This Row],[ATA DT.VALID.]]-TODAY())/7,0),""))</f>
        <v/>
      </c>
      <c r="AQ640" s="314"/>
      <c r="AR640" s="315" t="str">
        <f>IF(ISBLANK(tabItens[[#This Row],[CÓDIGO]]),"",IFERROR(VLOOKUP(tabItens[[#This Row],[CÓDIGO]],Consumo!$C$2:$AC$869,26,FALSE),0))</f>
        <v>07.2023</v>
      </c>
      <c r="AS640" s="316">
        <f>SUMIF(Consumo!$C$3:$C$869,tabItens[[#This Row],[CÓDIGO]],Consumo!$N$3:$N$869) + SUMIF(Consumo!$C$3:$C$869,tabItens[[#This Row],[CÓDIGO]],Consumo!$O$3:$O$869) + SUMIF(Consumo!$C$3:$C$869,tabItens[[#This Row],[CÓDIGO]],Consumo!$P$3:$P$869) + SUMIF(Consumo!$C$3:$C$869,tabItens[[#This Row],[CÓDIGO]],Consumo!$Q$3:$Q$869)</f>
        <v>603</v>
      </c>
      <c r="AT640" s="316">
        <f>SUMIF(Consumo!$C$3:$C$869,tabItens[[#This Row],[CÓDIGO]],Consumo!$Z$3:$Z$869)</f>
        <v>2008</v>
      </c>
      <c r="AU640" s="317">
        <f>SUMIF(Consumo!$C$3:$C$869,tabItens[[#This Row],[CÓDIGO]],Consumo!$AA$3:$AA$869)</f>
        <v>546</v>
      </c>
      <c r="AV640" s="318">
        <f>SUMIF(Consumo!$C$3:$C$869,tabItens[[#This Row],[CÓDIGO]],Consumo!$Y$3:$Y$869)</f>
        <v>167.33333333333334</v>
      </c>
      <c r="AW640" s="291">
        <f>tabItens[[#This Row],[QTDE ATUAL]] + tabItens[[#This Row],[RC QTDE]] + tabItens[[#This Row],[AF SALDO]] + tabItens[[#This Row],[Recentes]]</f>
        <v>11393</v>
      </c>
      <c r="AX640" s="319">
        <v>873</v>
      </c>
      <c r="AY640" s="319">
        <v>4</v>
      </c>
      <c r="AZ640" s="319">
        <f>IF(ISBLANK(tabItens[[#This Row],[CÓDIGO]]),"",tabItens[[#This Row],[PontoMês]] * (AZ$2+tabItens[[#This Row],[PontoQtM]]))</f>
        <v>3492</v>
      </c>
      <c r="BA640" s="318">
        <f>tabItens[[#This Row],[PontoPed]] - tabItens[[#This Row],[Saldo]] + (1/10)</f>
        <v>-7900.9</v>
      </c>
      <c r="BB640" s="318">
        <f xml:space="preserve"> tabItens[[#This Row],[PontoMês]] * BB$2 - tabItens[[#This Row],[QTDE ATUAL]] - (1/10)</f>
        <v>-10520.1</v>
      </c>
      <c r="BC640" s="320">
        <f>IF( tabItens[[#This Row],[PontoPed]]&gt;0, IF(tabItens[[#This Row],[PontoPed]]&lt;1, 1, IF( tabItens[[#This Row],[Saldo]]&gt;tabItens[[#This Row],[PontoPed]], 0, (tabItens[[#This Row],[PontoPed]]-tabItens[[#This Row],[Saldo]])/tabItens[[#This Row],[PontoPed]] ) ), 0 )</f>
        <v>0</v>
      </c>
      <c r="BD640" s="321">
        <f>ROUNDDOWN(IF( OR( AND(tabItens[[#This Row],[PontoPed]]&lt;tabItens[[#This Row],[Saldo]],tabItens[[#This Row],[Saldo]]&gt;0), tabItens[[#This Row],[PontoPed]]=0), 99, IF(AND(tabItens[[#This Row],[Saldo]]=0,tabItens[[#This Row],[PontoPed]]&gt;0), 0, (1-tabItens[[#This Row],[PctAb]])*10 ) ),0)</f>
        <v>99</v>
      </c>
      <c r="BE640" s="322">
        <f>MAX(ROUNDDOWN( IF(tabItens[[#This Row],[Abaixo]] &gt; 0,   tabItens[[#This Row],[Abaixo]] + (tabItens[[#This Row],[PontoMês]] * IF( OR( ISBLANK(tabItens[[#This Row],[ATA Nº/ANO]]), tabItens[[#This Row],[ATA Nº/ANO]] = ""),BE$2,BE$1)),0),0),0)</f>
        <v>0</v>
      </c>
      <c r="BF6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0" s="323">
        <f>SUMIF(Consumo!$C$3:$C$869,tabItens[[#This Row],[CÓDIGO]],Consumo!$E$3:$E$869)</f>
        <v>546</v>
      </c>
      <c r="BH640" s="324">
        <f>IF(AND(tabItens[[#This Row],[Pend]] &gt; 0,tabItens[[#This Row],[Consumo]] &lt;&gt; 0), tabItens[[#This Row],[Pend]] / tabItens[[#This Row],[Consumo]], 0 )</f>
        <v>0.27191235059760954</v>
      </c>
      <c r="BI640" s="323"/>
      <c r="BJ640" s="323"/>
      <c r="BK640" s="325" t="s">
        <v>2064</v>
      </c>
    </row>
    <row r="641" spans="1:63" hidden="1" x14ac:dyDescent="0.3">
      <c r="A641" s="286">
        <v>131930</v>
      </c>
      <c r="B641" s="287" t="s">
        <v>1809</v>
      </c>
      <c r="C641" s="288" t="s">
        <v>31</v>
      </c>
      <c r="D641" s="289">
        <v>5.18</v>
      </c>
      <c r="E641" s="290"/>
      <c r="F641" s="290"/>
      <c r="G641" s="290" t="s">
        <v>883</v>
      </c>
      <c r="H641" s="291">
        <v>11504</v>
      </c>
      <c r="I641" s="292">
        <v>103003</v>
      </c>
      <c r="J641" s="293">
        <v>4.4969000000000001</v>
      </c>
      <c r="K641" s="294">
        <v>11073</v>
      </c>
      <c r="L641" s="295">
        <f>IF(tabItens[[#This Row],[Média]] &gt; 0, tabItens[[#This Row],[QTDE ATUAL]] / tabItens[[#This Row],[Média]],999.9)</f>
        <v>8.9659024485289347</v>
      </c>
      <c r="M641" s="296">
        <v>0</v>
      </c>
      <c r="N641" s="297">
        <f>tabItens[[#This Row],[VALOR UNIT.]] * tabItens[[#This Row],[LC]]</f>
        <v>0</v>
      </c>
      <c r="O641" s="298"/>
      <c r="P641" s="299"/>
      <c r="Q641" s="300"/>
      <c r="R641" s="297"/>
      <c r="S641" s="301"/>
      <c r="T641" s="302">
        <f>ROUNDDOWN(IFERROR(tabItens[[#This Row],[ATA DT.VALID.]] - $D$1,0) / 30,0)</f>
        <v>-1504</v>
      </c>
      <c r="U641" s="287" t="s">
        <v>931</v>
      </c>
      <c r="V641" s="303">
        <v>1</v>
      </c>
      <c r="W641" s="304" t="s">
        <v>2052</v>
      </c>
      <c r="X641" s="305">
        <v>45</v>
      </c>
      <c r="Y641" s="306">
        <v>9</v>
      </c>
      <c r="Z641" s="307"/>
      <c r="AA641" s="308"/>
      <c r="AB641" s="309"/>
      <c r="AC641" s="309"/>
      <c r="AD641" s="308"/>
      <c r="AE641" s="309"/>
      <c r="AF641" s="302"/>
      <c r="AG641" s="310" t="s">
        <v>2050</v>
      </c>
      <c r="AH641" s="311"/>
      <c r="AI641" s="302">
        <v>5538</v>
      </c>
      <c r="AJ641" s="311">
        <v>44998</v>
      </c>
      <c r="AK641" s="311">
        <v>42590</v>
      </c>
      <c r="AL641" s="311">
        <v>44986</v>
      </c>
      <c r="AM641" s="301"/>
      <c r="AN641" s="290"/>
      <c r="AO641" s="312" t="str">
        <f>_xlfn.IFNA(IF(VLOOKUP(tabItens[[#This Row],[CÓDIGO]],tabExcluirDoEstoque[#Data],1,FALSE),"sim",""),"")</f>
        <v/>
      </c>
      <c r="AP641" s="313" t="str">
        <f ca="1">IF(OR(ISBLANK(tabItens[[#This Row],[ATA DT.VALID.]]),tabItens[[#This Row],[ATA DT.VALID.]]="",tabItens[[#This Row],[ATA DT.VALID.]]=" "),"",IF(TYPE(tabItens[[#This Row],[ATA DT.VALID.]])=1,ROUNDUP((tabItens[[#This Row],[ATA DT.VALID.]]-TODAY())/7,0),""))</f>
        <v/>
      </c>
      <c r="AQ641" s="314"/>
      <c r="AR641" s="315" t="str">
        <f>IF(ISBLANK(tabItens[[#This Row],[CÓDIGO]]),"",IFERROR(VLOOKUP(tabItens[[#This Row],[CÓDIGO]],Consumo!$C$2:$AC$869,26,FALSE),0))</f>
        <v>07.2023</v>
      </c>
      <c r="AS641" s="316">
        <f>SUMIF(Consumo!$C$3:$C$869,tabItens[[#This Row],[CÓDIGO]],Consumo!$N$3:$N$869) + SUMIF(Consumo!$C$3:$C$869,tabItens[[#This Row],[CÓDIGO]],Consumo!$O$3:$O$869) + SUMIF(Consumo!$C$3:$C$869,tabItens[[#This Row],[CÓDIGO]],Consumo!$P$3:$P$869) + SUMIF(Consumo!$C$3:$C$869,tabItens[[#This Row],[CÓDIGO]],Consumo!$Q$3:$Q$869)</f>
        <v>4692</v>
      </c>
      <c r="AT641" s="316">
        <f>SUMIF(Consumo!$C$3:$C$869,tabItens[[#This Row],[CÓDIGO]],Consumo!$Z$3:$Z$869)</f>
        <v>16664</v>
      </c>
      <c r="AU641" s="317">
        <f>SUMIF(Consumo!$C$3:$C$869,tabItens[[#This Row],[CÓDIGO]],Consumo!$AA$3:$AA$869)</f>
        <v>5008</v>
      </c>
      <c r="AV641" s="318">
        <f>SUMIF(Consumo!$C$3:$C$869,tabItens[[#This Row],[CÓDIGO]],Consumo!$Y$3:$Y$869)</f>
        <v>1283.0833333333333</v>
      </c>
      <c r="AW641" s="291">
        <f>tabItens[[#This Row],[QTDE ATUAL]] + tabItens[[#This Row],[RC QTDE]] + tabItens[[#This Row],[AF SALDO]] + tabItens[[#This Row],[Recentes]]</f>
        <v>11504</v>
      </c>
      <c r="AX641" s="319">
        <v>1008</v>
      </c>
      <c r="AY641" s="319">
        <v>4</v>
      </c>
      <c r="AZ641" s="319">
        <f>IF(ISBLANK(tabItens[[#This Row],[CÓDIGO]]),"",tabItens[[#This Row],[PontoMês]] * (AZ$2+tabItens[[#This Row],[PontoQtM]]))</f>
        <v>4032</v>
      </c>
      <c r="BA641" s="318">
        <f>tabItens[[#This Row],[PontoPed]] - tabItens[[#This Row],[Saldo]] + (1/10)</f>
        <v>-7471.9</v>
      </c>
      <c r="BB641" s="318">
        <f xml:space="preserve"> tabItens[[#This Row],[PontoMês]] * BB$2 - tabItens[[#This Row],[QTDE ATUAL]] - (1/10)</f>
        <v>-10496.1</v>
      </c>
      <c r="BC641" s="320">
        <f>IF( tabItens[[#This Row],[PontoPed]]&gt;0, IF(tabItens[[#This Row],[PontoPed]]&lt;1, 1, IF( tabItens[[#This Row],[Saldo]]&gt;tabItens[[#This Row],[PontoPed]], 0, (tabItens[[#This Row],[PontoPed]]-tabItens[[#This Row],[Saldo]])/tabItens[[#This Row],[PontoPed]] ) ), 0 )</f>
        <v>0</v>
      </c>
      <c r="BD641" s="321">
        <f>ROUNDDOWN(IF( OR( AND(tabItens[[#This Row],[PontoPed]]&lt;tabItens[[#This Row],[Saldo]],tabItens[[#This Row],[Saldo]]&gt;0), tabItens[[#This Row],[PontoPed]]=0), 99, IF(AND(tabItens[[#This Row],[Saldo]]=0,tabItens[[#This Row],[PontoPed]]&gt;0), 0, (1-tabItens[[#This Row],[PctAb]])*10 ) ),0)</f>
        <v>99</v>
      </c>
      <c r="BE641" s="322">
        <f>MAX(ROUNDDOWN( IF(tabItens[[#This Row],[Abaixo]] &gt; 0,   tabItens[[#This Row],[Abaixo]] + (tabItens[[#This Row],[PontoMês]] * IF( OR( ISBLANK(tabItens[[#This Row],[ATA Nº/ANO]]), tabItens[[#This Row],[ATA Nº/ANO]] = ""),BE$2,BE$1)),0),0),0)</f>
        <v>0</v>
      </c>
      <c r="BF6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1" s="323">
        <f>SUMIF(Consumo!$C$3:$C$869,tabItens[[#This Row],[CÓDIGO]],Consumo!$E$3:$E$869)</f>
        <v>53</v>
      </c>
      <c r="BH641" s="324">
        <f>IF(AND(tabItens[[#This Row],[Pend]] &gt; 0,tabItens[[#This Row],[Consumo]] &lt;&gt; 0), tabItens[[#This Row],[Pend]] / tabItens[[#This Row],[Consumo]], 0 )</f>
        <v>3.1805088814210272E-3</v>
      </c>
      <c r="BI641" s="323"/>
      <c r="BJ641" s="323"/>
      <c r="BK641" s="325" t="s">
        <v>2064</v>
      </c>
    </row>
    <row r="642" spans="1:63" hidden="1" x14ac:dyDescent="0.3">
      <c r="A642" s="286">
        <v>131937</v>
      </c>
      <c r="B642" s="287" t="s">
        <v>1811</v>
      </c>
      <c r="C642" s="288" t="s">
        <v>31</v>
      </c>
      <c r="D642" s="289">
        <v>3.4</v>
      </c>
      <c r="E642" s="290"/>
      <c r="F642" s="290"/>
      <c r="G642" s="290" t="s">
        <v>883</v>
      </c>
      <c r="H642" s="291">
        <v>150</v>
      </c>
      <c r="I642" s="292">
        <v>103003</v>
      </c>
      <c r="J642" s="293">
        <v>3.4</v>
      </c>
      <c r="K642" s="294">
        <v>3986</v>
      </c>
      <c r="L642" s="295">
        <f>IF(tabItens[[#This Row],[Média]] &gt; 0, tabItens[[#This Row],[QTDE ATUAL]] / tabItens[[#This Row],[Média]],999.9)</f>
        <v>0.50490883590462832</v>
      </c>
      <c r="M642" s="296">
        <v>0</v>
      </c>
      <c r="N642" s="297">
        <f>tabItens[[#This Row],[VALOR UNIT.]] * tabItens[[#This Row],[LC]]</f>
        <v>0</v>
      </c>
      <c r="O642" s="298"/>
      <c r="P642" s="299"/>
      <c r="Q642" s="300"/>
      <c r="R642" s="297"/>
      <c r="S642" s="301"/>
      <c r="T642" s="302">
        <f>ROUNDDOWN(IFERROR(tabItens[[#This Row],[ATA DT.VALID.]] - $D$1,0) / 30,0)</f>
        <v>-1504</v>
      </c>
      <c r="U642" s="287" t="s">
        <v>931</v>
      </c>
      <c r="V642" s="303">
        <v>1</v>
      </c>
      <c r="W642" s="304" t="s">
        <v>2052</v>
      </c>
      <c r="X642" s="305">
        <v>45</v>
      </c>
      <c r="Y642" s="306">
        <v>9</v>
      </c>
      <c r="Z642" s="307">
        <v>6978</v>
      </c>
      <c r="AA642" s="308">
        <v>2023</v>
      </c>
      <c r="AB642" s="309">
        <v>1300</v>
      </c>
      <c r="AC642" s="309"/>
      <c r="AD642" s="308"/>
      <c r="AE642" s="309"/>
      <c r="AF642" s="302"/>
      <c r="AG642" s="310" t="s">
        <v>2050</v>
      </c>
      <c r="AH642" s="311"/>
      <c r="AI642" s="302">
        <v>1566</v>
      </c>
      <c r="AJ642" s="311">
        <v>44952</v>
      </c>
      <c r="AK642" s="311">
        <v>42590</v>
      </c>
      <c r="AL642" s="311">
        <v>44910</v>
      </c>
      <c r="AM642" s="301"/>
      <c r="AN642" s="290"/>
      <c r="AO642" s="312" t="str">
        <f>_xlfn.IFNA(IF(VLOOKUP(tabItens[[#This Row],[CÓDIGO]],tabExcluirDoEstoque[#Data],1,FALSE),"sim",""),"")</f>
        <v/>
      </c>
      <c r="AP642" s="313" t="str">
        <f ca="1">IF(OR(ISBLANK(tabItens[[#This Row],[ATA DT.VALID.]]),tabItens[[#This Row],[ATA DT.VALID.]]="",tabItens[[#This Row],[ATA DT.VALID.]]=" "),"",IF(TYPE(tabItens[[#This Row],[ATA DT.VALID.]])=1,ROUNDUP((tabItens[[#This Row],[ATA DT.VALID.]]-TODAY())/7,0),""))</f>
        <v/>
      </c>
      <c r="AQ642" s="314"/>
      <c r="AR642" s="315" t="str">
        <f>IF(ISBLANK(tabItens[[#This Row],[CÓDIGO]]),"",IFERROR(VLOOKUP(tabItens[[#This Row],[CÓDIGO]],Consumo!$C$2:$AC$869,26,FALSE),0))</f>
        <v>07.2023</v>
      </c>
      <c r="AS642" s="316">
        <f>SUMIF(Consumo!$C$3:$C$869,tabItens[[#This Row],[CÓDIGO]],Consumo!$N$3:$N$869) + SUMIF(Consumo!$C$3:$C$869,tabItens[[#This Row],[CÓDIGO]],Consumo!$O$3:$O$869) + SUMIF(Consumo!$C$3:$C$869,tabItens[[#This Row],[CÓDIGO]],Consumo!$P$3:$P$869) + SUMIF(Consumo!$C$3:$C$869,tabItens[[#This Row],[CÓDIGO]],Consumo!$Q$3:$Q$869)</f>
        <v>578</v>
      </c>
      <c r="AT642" s="316">
        <f>SUMIF(Consumo!$C$3:$C$869,tabItens[[#This Row],[CÓDIGO]],Consumo!$Z$3:$Z$869)</f>
        <v>4667</v>
      </c>
      <c r="AU642" s="317">
        <f>SUMIF(Consumo!$C$3:$C$869,tabItens[[#This Row],[CÓDIGO]],Consumo!$AA$3:$AA$869)</f>
        <v>3200</v>
      </c>
      <c r="AV642" s="318">
        <f>SUMIF(Consumo!$C$3:$C$869,tabItens[[#This Row],[CÓDIGO]],Consumo!$Y$3:$Y$869)</f>
        <v>297.08333333333331</v>
      </c>
      <c r="AW642" s="291">
        <f>tabItens[[#This Row],[QTDE ATUAL]] + tabItens[[#This Row],[RC QTDE]] + tabItens[[#This Row],[AF SALDO]] + tabItens[[#This Row],[Recentes]]</f>
        <v>1450</v>
      </c>
      <c r="AX642" s="319">
        <v>304</v>
      </c>
      <c r="AY642" s="319">
        <v>4</v>
      </c>
      <c r="AZ642" s="319">
        <f>IF(ISBLANK(tabItens[[#This Row],[CÓDIGO]]),"",tabItens[[#This Row],[PontoMês]] * (AZ$2+tabItens[[#This Row],[PontoQtM]]))</f>
        <v>1216</v>
      </c>
      <c r="BA642" s="318">
        <f>tabItens[[#This Row],[PontoPed]] - tabItens[[#This Row],[Saldo]] + (1/10)</f>
        <v>-233.9</v>
      </c>
      <c r="BB642" s="318">
        <f xml:space="preserve"> tabItens[[#This Row],[PontoMês]] * BB$2 - tabItens[[#This Row],[QTDE ATUAL]] - (1/10)</f>
        <v>153.9</v>
      </c>
      <c r="BC642" s="320">
        <f>IF( tabItens[[#This Row],[PontoPed]]&gt;0, IF(tabItens[[#This Row],[PontoPed]]&lt;1, 1, IF( tabItens[[#This Row],[Saldo]]&gt;tabItens[[#This Row],[PontoPed]], 0, (tabItens[[#This Row],[PontoPed]]-tabItens[[#This Row],[Saldo]])/tabItens[[#This Row],[PontoPed]] ) ), 0 )</f>
        <v>0</v>
      </c>
      <c r="BD642" s="321">
        <f>ROUNDDOWN(IF( OR( AND(tabItens[[#This Row],[PontoPed]]&lt;tabItens[[#This Row],[Saldo]],tabItens[[#This Row],[Saldo]]&gt;0), tabItens[[#This Row],[PontoPed]]=0), 99, IF(AND(tabItens[[#This Row],[Saldo]]=0,tabItens[[#This Row],[PontoPed]]&gt;0), 0, (1-tabItens[[#This Row],[PctAb]])*10 ) ),0)</f>
        <v>99</v>
      </c>
      <c r="BE642" s="322">
        <f>MAX(ROUNDDOWN( IF(tabItens[[#This Row],[Abaixo]] &gt; 0,   tabItens[[#This Row],[Abaixo]] + (tabItens[[#This Row],[PontoMês]] * IF( OR( ISBLANK(tabItens[[#This Row],[ATA Nº/ANO]]), tabItens[[#This Row],[ATA Nº/ANO]] = ""),BE$2,BE$1)),0),0),0)</f>
        <v>0</v>
      </c>
      <c r="BF6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323">
        <f>SUMIF(Consumo!$C$3:$C$869,tabItens[[#This Row],[CÓDIGO]],Consumo!$E$3:$E$869)</f>
        <v>3</v>
      </c>
      <c r="BH642" s="324">
        <f>IF(AND(tabItens[[#This Row],[Pend]] &gt; 0,tabItens[[#This Row],[Consumo]] &lt;&gt; 0), tabItens[[#This Row],[Pend]] / tabItens[[#This Row],[Consumo]], 0 )</f>
        <v>6.4281122776944509E-4</v>
      </c>
      <c r="BI642" s="323"/>
      <c r="BJ642" s="323"/>
      <c r="BK642" s="325" t="s">
        <v>2064</v>
      </c>
    </row>
    <row r="643" spans="1:63" hidden="1" x14ac:dyDescent="0.3">
      <c r="A643" s="286">
        <v>135701</v>
      </c>
      <c r="B643" s="287" t="s">
        <v>1907</v>
      </c>
      <c r="C643" s="288" t="s">
        <v>31</v>
      </c>
      <c r="D643" s="289">
        <v>3.32</v>
      </c>
      <c r="E643" s="290"/>
      <c r="F643" s="290"/>
      <c r="G643" s="290" t="s">
        <v>883</v>
      </c>
      <c r="H643" s="291">
        <v>2049</v>
      </c>
      <c r="I643" s="292">
        <v>103003</v>
      </c>
      <c r="J643" s="293">
        <v>3.32</v>
      </c>
      <c r="K643" s="294">
        <v>128</v>
      </c>
      <c r="L643" s="295">
        <f>IF(tabItens[[#This Row],[Média]] &gt; 0, tabItens[[#This Row],[QTDE ATUAL]] / tabItens[[#This Row],[Média]],999.9)</f>
        <v>116.5308056872038</v>
      </c>
      <c r="M643" s="296">
        <v>0</v>
      </c>
      <c r="N643" s="297">
        <f>tabItens[[#This Row],[VALOR UNIT.]] * tabItens[[#This Row],[LC]]</f>
        <v>0</v>
      </c>
      <c r="O643" s="298"/>
      <c r="P643" s="299"/>
      <c r="Q643" s="300"/>
      <c r="R643" s="297"/>
      <c r="S643" s="301"/>
      <c r="T643" s="302">
        <f>ROUNDDOWN(IFERROR(tabItens[[#This Row],[ATA DT.VALID.]] - $D$1,0) / 30,0)</f>
        <v>-1504</v>
      </c>
      <c r="U643" s="287" t="s">
        <v>931</v>
      </c>
      <c r="V643" s="303">
        <v>1</v>
      </c>
      <c r="W643" s="304" t="s">
        <v>2052</v>
      </c>
      <c r="X643" s="305">
        <v>45</v>
      </c>
      <c r="Y643" s="306">
        <v>9</v>
      </c>
      <c r="Z643" s="307"/>
      <c r="AA643" s="308"/>
      <c r="AB643" s="309"/>
      <c r="AC643" s="309"/>
      <c r="AD643" s="308"/>
      <c r="AE643" s="309"/>
      <c r="AF643" s="302"/>
      <c r="AG643" s="310" t="s">
        <v>2050</v>
      </c>
      <c r="AH643" s="311"/>
      <c r="AI643" s="302">
        <v>70</v>
      </c>
      <c r="AJ643" s="311" t="s">
        <v>883</v>
      </c>
      <c r="AK643" s="311">
        <v>43333</v>
      </c>
      <c r="AL643" s="311">
        <v>44525</v>
      </c>
      <c r="AM643" s="301"/>
      <c r="AN643" s="290"/>
      <c r="AO643" s="312" t="str">
        <f>_xlfn.IFNA(IF(VLOOKUP(tabItens[[#This Row],[CÓDIGO]],tabExcluirDoEstoque[#Data],1,FALSE),"sim",""),"")</f>
        <v/>
      </c>
      <c r="AP643" s="313" t="str">
        <f ca="1">IF(OR(ISBLANK(tabItens[[#This Row],[ATA DT.VALID.]]),tabItens[[#This Row],[ATA DT.VALID.]]="",tabItens[[#This Row],[ATA DT.VALID.]]=" "),"",IF(TYPE(tabItens[[#This Row],[ATA DT.VALID.]])=1,ROUNDUP((tabItens[[#This Row],[ATA DT.VALID.]]-TODAY())/7,0),""))</f>
        <v/>
      </c>
      <c r="AQ643" s="314"/>
      <c r="AR643" s="315" t="str">
        <f>IF(ISBLANK(tabItens[[#This Row],[CÓDIGO]]),"",IFERROR(VLOOKUP(tabItens[[#This Row],[CÓDIGO]],Consumo!$C$2:$AC$869,26,FALSE),0))</f>
        <v>07.2023</v>
      </c>
      <c r="AS643" s="316">
        <f>SUMIF(Consumo!$C$3:$C$869,tabItens[[#This Row],[CÓDIGO]],Consumo!$N$3:$N$869) + SUMIF(Consumo!$C$3:$C$869,tabItens[[#This Row],[CÓDIGO]],Consumo!$O$3:$O$869) + SUMIF(Consumo!$C$3:$C$869,tabItens[[#This Row],[CÓDIGO]],Consumo!$P$3:$P$869) + SUMIF(Consumo!$C$3:$C$869,tabItens[[#This Row],[CÓDIGO]],Consumo!$Q$3:$Q$869)</f>
        <v>71</v>
      </c>
      <c r="AT643" s="316">
        <f>SUMIF(Consumo!$C$3:$C$869,tabItens[[#This Row],[CÓDIGO]],Consumo!$Z$3:$Z$869)</f>
        <v>212</v>
      </c>
      <c r="AU643" s="317">
        <f>SUMIF(Consumo!$C$3:$C$869,tabItens[[#This Row],[CÓDIGO]],Consumo!$AA$3:$AA$869)</f>
        <v>32</v>
      </c>
      <c r="AV643" s="318">
        <f>SUMIF(Consumo!$C$3:$C$869,tabItens[[#This Row],[CÓDIGO]],Consumo!$Y$3:$Y$869)</f>
        <v>17.583333333333332</v>
      </c>
      <c r="AW643" s="291">
        <f>tabItens[[#This Row],[QTDE ATUAL]] + tabItens[[#This Row],[RC QTDE]] + tabItens[[#This Row],[AF SALDO]] + tabItens[[#This Row],[Recentes]]</f>
        <v>2049</v>
      </c>
      <c r="AX643" s="319">
        <v>127</v>
      </c>
      <c r="AY643" s="319">
        <v>4</v>
      </c>
      <c r="AZ643" s="319">
        <f>IF(ISBLANK(tabItens[[#This Row],[CÓDIGO]]),"",tabItens[[#This Row],[PontoMês]] * (AZ$2+tabItens[[#This Row],[PontoQtM]]))</f>
        <v>508</v>
      </c>
      <c r="BA643" s="318">
        <f>tabItens[[#This Row],[PontoPed]] - tabItens[[#This Row],[Saldo]] + (1/10)</f>
        <v>-1540.9</v>
      </c>
      <c r="BB643" s="318">
        <f xml:space="preserve"> tabItens[[#This Row],[PontoMês]] * BB$2 - tabItens[[#This Row],[QTDE ATUAL]] - (1/10)</f>
        <v>-1922.1</v>
      </c>
      <c r="BC643" s="320">
        <f>IF( tabItens[[#This Row],[PontoPed]]&gt;0, IF(tabItens[[#This Row],[PontoPed]]&lt;1, 1, IF( tabItens[[#This Row],[Saldo]]&gt;tabItens[[#This Row],[PontoPed]], 0, (tabItens[[#This Row],[PontoPed]]-tabItens[[#This Row],[Saldo]])/tabItens[[#This Row],[PontoPed]] ) ), 0 )</f>
        <v>0</v>
      </c>
      <c r="BD643" s="321">
        <f>ROUNDDOWN(IF( OR( AND(tabItens[[#This Row],[PontoPed]]&lt;tabItens[[#This Row],[Saldo]],tabItens[[#This Row],[Saldo]]&gt;0), tabItens[[#This Row],[PontoPed]]=0), 99, IF(AND(tabItens[[#This Row],[Saldo]]=0,tabItens[[#This Row],[PontoPed]]&gt;0), 0, (1-tabItens[[#This Row],[PctAb]])*10 ) ),0)</f>
        <v>99</v>
      </c>
      <c r="BE643" s="322">
        <f>MAX(ROUNDDOWN( IF(tabItens[[#This Row],[Abaixo]] &gt; 0,   tabItens[[#This Row],[Abaixo]] + (tabItens[[#This Row],[PontoMês]] * IF( OR( ISBLANK(tabItens[[#This Row],[ATA Nº/ANO]]), tabItens[[#This Row],[ATA Nº/ANO]] = ""),BE$2,BE$1)),0),0),0)</f>
        <v>0</v>
      </c>
      <c r="BF6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323">
        <f>SUMIF(Consumo!$C$3:$C$869,tabItens[[#This Row],[CÓDIGO]],Consumo!$E$3:$E$869)</f>
        <v>3</v>
      </c>
      <c r="BH643" s="324">
        <f>IF(AND(tabItens[[#This Row],[Pend]] &gt; 0,tabItens[[#This Row],[Consumo]] &lt;&gt; 0), tabItens[[#This Row],[Pend]] / tabItens[[#This Row],[Consumo]], 0 )</f>
        <v>1.4150943396226415E-2</v>
      </c>
      <c r="BI643" s="323"/>
      <c r="BJ643" s="323"/>
      <c r="BK643" s="325" t="s">
        <v>2064</v>
      </c>
    </row>
    <row r="644" spans="1:63" hidden="1" x14ac:dyDescent="0.3">
      <c r="A644" s="286">
        <v>138450</v>
      </c>
      <c r="B644" s="287" t="s">
        <v>1950</v>
      </c>
      <c r="C644" s="288" t="s">
        <v>31</v>
      </c>
      <c r="D644" s="289">
        <v>1.08</v>
      </c>
      <c r="E644" s="290"/>
      <c r="F644" s="290"/>
      <c r="G644" s="290" t="s">
        <v>883</v>
      </c>
      <c r="H644" s="291">
        <v>15586</v>
      </c>
      <c r="I644" s="292">
        <v>103003</v>
      </c>
      <c r="J644" s="293">
        <v>1.08</v>
      </c>
      <c r="K644" s="294">
        <v>5155</v>
      </c>
      <c r="L644" s="295">
        <f>IF(tabItens[[#This Row],[Média]] &gt; 0, tabItens[[#This Row],[QTDE ATUAL]] / tabItens[[#This Row],[Média]],999.9)</f>
        <v>23.19345238095238</v>
      </c>
      <c r="M644" s="296">
        <v>0</v>
      </c>
      <c r="N644" s="297">
        <f>tabItens[[#This Row],[VALOR UNIT.]] * tabItens[[#This Row],[LC]]</f>
        <v>0</v>
      </c>
      <c r="O644" s="298"/>
      <c r="P644" s="299"/>
      <c r="Q644" s="300"/>
      <c r="R644" s="297"/>
      <c r="S644" s="301"/>
      <c r="T644" s="302">
        <f>ROUNDDOWN(IFERROR(tabItens[[#This Row],[ATA DT.VALID.]] - $D$1,0) / 30,0)</f>
        <v>-1504</v>
      </c>
      <c r="U644" s="287" t="s">
        <v>931</v>
      </c>
      <c r="V644" s="303">
        <v>1</v>
      </c>
      <c r="W644" s="304" t="s">
        <v>2052</v>
      </c>
      <c r="X644" s="305">
        <v>45</v>
      </c>
      <c r="Y644" s="306">
        <v>9</v>
      </c>
      <c r="Z644" s="307">
        <v>8971</v>
      </c>
      <c r="AA644" s="308">
        <v>2023</v>
      </c>
      <c r="AB644" s="309">
        <v>4800</v>
      </c>
      <c r="AC644" s="309"/>
      <c r="AD644" s="308"/>
      <c r="AE644" s="309"/>
      <c r="AF644" s="302"/>
      <c r="AG644" s="310" t="s">
        <v>2050</v>
      </c>
      <c r="AH644" s="311"/>
      <c r="AI644" s="302">
        <v>9614</v>
      </c>
      <c r="AJ644" s="311">
        <v>44991</v>
      </c>
      <c r="AK644" s="311">
        <v>43720</v>
      </c>
      <c r="AL644" s="311">
        <v>44999</v>
      </c>
      <c r="AM644" s="301"/>
      <c r="AN644" s="290"/>
      <c r="AO644" s="312" t="str">
        <f>_xlfn.IFNA(IF(VLOOKUP(tabItens[[#This Row],[CÓDIGO]],tabExcluirDoEstoque[#Data],1,FALSE),"sim",""),"")</f>
        <v/>
      </c>
      <c r="AP644" s="313" t="str">
        <f ca="1">IF(OR(ISBLANK(tabItens[[#This Row],[ATA DT.VALID.]]),tabItens[[#This Row],[ATA DT.VALID.]]="",tabItens[[#This Row],[ATA DT.VALID.]]=" "),"",IF(TYPE(tabItens[[#This Row],[ATA DT.VALID.]])=1,ROUNDUP((tabItens[[#This Row],[ATA DT.VALID.]]-TODAY())/7,0),""))</f>
        <v/>
      </c>
      <c r="AQ644" s="314"/>
      <c r="AR644" s="315" t="str">
        <f>IF(ISBLANK(tabItens[[#This Row],[CÓDIGO]]),"",IFERROR(VLOOKUP(tabItens[[#This Row],[CÓDIGO]],Consumo!$C$2:$AC$869,26,FALSE),0))</f>
        <v>07.2023</v>
      </c>
      <c r="AS644" s="316">
        <f>SUMIF(Consumo!$C$3:$C$869,tabItens[[#This Row],[CÓDIGO]],Consumo!$N$3:$N$869) + SUMIF(Consumo!$C$3:$C$869,tabItens[[#This Row],[CÓDIGO]],Consumo!$O$3:$O$869) + SUMIF(Consumo!$C$3:$C$869,tabItens[[#This Row],[CÓDIGO]],Consumo!$P$3:$P$869) + SUMIF(Consumo!$C$3:$C$869,tabItens[[#This Row],[CÓDIGO]],Consumo!$Q$3:$Q$869)</f>
        <v>2868</v>
      </c>
      <c r="AT644" s="316">
        <f>SUMIF(Consumo!$C$3:$C$869,tabItens[[#This Row],[CÓDIGO]],Consumo!$Z$3:$Z$869)</f>
        <v>8064</v>
      </c>
      <c r="AU644" s="317">
        <f>SUMIF(Consumo!$C$3:$C$869,tabItens[[#This Row],[CÓDIGO]],Consumo!$AA$3:$AA$869)</f>
        <v>1005</v>
      </c>
      <c r="AV644" s="318">
        <f>SUMIF(Consumo!$C$3:$C$869,tabItens[[#This Row],[CÓDIGO]],Consumo!$Y$3:$Y$869)</f>
        <v>672</v>
      </c>
      <c r="AW644" s="291">
        <f>tabItens[[#This Row],[QTDE ATUAL]] + tabItens[[#This Row],[RC QTDE]] + tabItens[[#This Row],[AF SALDO]] + tabItens[[#This Row],[Recentes]]</f>
        <v>20386</v>
      </c>
      <c r="AX644" s="319">
        <v>1748</v>
      </c>
      <c r="AY644" s="319">
        <v>4</v>
      </c>
      <c r="AZ644" s="319">
        <f>IF(ISBLANK(tabItens[[#This Row],[CÓDIGO]]),"",tabItens[[#This Row],[PontoMês]] * (AZ$2+tabItens[[#This Row],[PontoQtM]]))</f>
        <v>6992</v>
      </c>
      <c r="BA644" s="318">
        <f>tabItens[[#This Row],[PontoPed]] - tabItens[[#This Row],[Saldo]] + (1/10)</f>
        <v>-13393.9</v>
      </c>
      <c r="BB644" s="318">
        <f xml:space="preserve"> tabItens[[#This Row],[PontoMês]] * BB$2 - tabItens[[#This Row],[QTDE ATUAL]] - (1/10)</f>
        <v>-13838.1</v>
      </c>
      <c r="BC644" s="320">
        <f>IF( tabItens[[#This Row],[PontoPed]]&gt;0, IF(tabItens[[#This Row],[PontoPed]]&lt;1, 1, IF( tabItens[[#This Row],[Saldo]]&gt;tabItens[[#This Row],[PontoPed]], 0, (tabItens[[#This Row],[PontoPed]]-tabItens[[#This Row],[Saldo]])/tabItens[[#This Row],[PontoPed]] ) ), 0 )</f>
        <v>0</v>
      </c>
      <c r="BD644" s="321">
        <f>ROUNDDOWN(IF( OR( AND(tabItens[[#This Row],[PontoPed]]&lt;tabItens[[#This Row],[Saldo]],tabItens[[#This Row],[Saldo]]&gt;0), tabItens[[#This Row],[PontoPed]]=0), 99, IF(AND(tabItens[[#This Row],[Saldo]]=0,tabItens[[#This Row],[PontoPed]]&gt;0), 0, (1-tabItens[[#This Row],[PctAb]])*10 ) ),0)</f>
        <v>99</v>
      </c>
      <c r="BE644" s="322">
        <f>MAX(ROUNDDOWN( IF(tabItens[[#This Row],[Abaixo]] &gt; 0,   tabItens[[#This Row],[Abaixo]] + (tabItens[[#This Row],[PontoMês]] * IF( OR( ISBLANK(tabItens[[#This Row],[ATA Nº/ANO]]), tabItens[[#This Row],[ATA Nº/ANO]] = ""),BE$2,BE$1)),0),0),0)</f>
        <v>0</v>
      </c>
      <c r="BF64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4" s="323">
        <f>SUMIF(Consumo!$C$3:$C$869,tabItens[[#This Row],[CÓDIGO]],Consumo!$E$3:$E$869)</f>
        <v>249</v>
      </c>
      <c r="BH644" s="324">
        <f>IF(AND(tabItens[[#This Row],[Pend]] &gt; 0,tabItens[[#This Row],[Consumo]] &lt;&gt; 0), tabItens[[#This Row],[Pend]] / tabItens[[#This Row],[Consumo]], 0 )</f>
        <v>3.0877976190476192E-2</v>
      </c>
      <c r="BI644" s="323"/>
      <c r="BJ644" s="323"/>
      <c r="BK644" s="325" t="s">
        <v>2064</v>
      </c>
    </row>
    <row r="645" spans="1:63" hidden="1" x14ac:dyDescent="0.3">
      <c r="A645" s="286">
        <v>138451</v>
      </c>
      <c r="B645" s="287" t="s">
        <v>1951</v>
      </c>
      <c r="C645" s="288" t="s">
        <v>31</v>
      </c>
      <c r="D645" s="289">
        <v>0.43</v>
      </c>
      <c r="E645" s="290"/>
      <c r="F645" s="290"/>
      <c r="G645" s="290" t="s">
        <v>883</v>
      </c>
      <c r="H645" s="291">
        <v>60557</v>
      </c>
      <c r="I645" s="292">
        <v>103003</v>
      </c>
      <c r="J645" s="293">
        <v>0.43</v>
      </c>
      <c r="K645" s="294">
        <v>35225</v>
      </c>
      <c r="L645" s="295">
        <f>IF(tabItens[[#This Row],[Média]] &gt; 0, tabItens[[#This Row],[QTDE ATUAL]] / tabItens[[#This Row],[Média]],999.9)</f>
        <v>18.541168065726023</v>
      </c>
      <c r="M645" s="296">
        <v>0</v>
      </c>
      <c r="N645" s="297">
        <f>tabItens[[#This Row],[VALOR UNIT.]] * tabItens[[#This Row],[LC]]</f>
        <v>0</v>
      </c>
      <c r="O645" s="298"/>
      <c r="P645" s="299"/>
      <c r="Q645" s="300"/>
      <c r="R645" s="297"/>
      <c r="S645" s="301"/>
      <c r="T645" s="302">
        <f>ROUNDDOWN(IFERROR(tabItens[[#This Row],[ATA DT.VALID.]] - $D$1,0) / 30,0)</f>
        <v>-1504</v>
      </c>
      <c r="U645" s="287" t="s">
        <v>931</v>
      </c>
      <c r="V645" s="303">
        <v>1</v>
      </c>
      <c r="W645" s="304" t="s">
        <v>2052</v>
      </c>
      <c r="X645" s="305">
        <v>45</v>
      </c>
      <c r="Y645" s="306">
        <v>9</v>
      </c>
      <c r="Z645" s="307">
        <v>6211</v>
      </c>
      <c r="AA645" s="308">
        <v>2023</v>
      </c>
      <c r="AB645" s="309">
        <v>4000</v>
      </c>
      <c r="AC645" s="309"/>
      <c r="AD645" s="308"/>
      <c r="AE645" s="309"/>
      <c r="AF645" s="302"/>
      <c r="AG645" s="310" t="s">
        <v>2050</v>
      </c>
      <c r="AH645" s="311"/>
      <c r="AI645" s="302">
        <v>15272</v>
      </c>
      <c r="AJ645" s="311">
        <v>44949</v>
      </c>
      <c r="AK645" s="311">
        <v>43720</v>
      </c>
      <c r="AL645" s="311">
        <v>44910</v>
      </c>
      <c r="AM645" s="301"/>
      <c r="AN645" s="290"/>
      <c r="AO645" s="312" t="str">
        <f>_xlfn.IFNA(IF(VLOOKUP(tabItens[[#This Row],[CÓDIGO]],tabExcluirDoEstoque[#Data],1,FALSE),"sim",""),"")</f>
        <v/>
      </c>
      <c r="AP645" s="313" t="str">
        <f ca="1">IF(OR(ISBLANK(tabItens[[#This Row],[ATA DT.VALID.]]),tabItens[[#This Row],[ATA DT.VALID.]]="",tabItens[[#This Row],[ATA DT.VALID.]]=" "),"",IF(TYPE(tabItens[[#This Row],[ATA DT.VALID.]])=1,ROUNDUP((tabItens[[#This Row],[ATA DT.VALID.]]-TODAY())/7,0),""))</f>
        <v/>
      </c>
      <c r="AQ645" s="314"/>
      <c r="AR645" s="315" t="str">
        <f>IF(ISBLANK(tabItens[[#This Row],[CÓDIGO]]),"",IFERROR(VLOOKUP(tabItens[[#This Row],[CÓDIGO]],Consumo!$C$2:$AC$869,26,FALSE),0))</f>
        <v>07.2023</v>
      </c>
      <c r="AS645" s="316">
        <f>SUMIF(Consumo!$C$3:$C$869,tabItens[[#This Row],[CÓDIGO]],Consumo!$N$3:$N$869) + SUMIF(Consumo!$C$3:$C$869,tabItens[[#This Row],[CÓDIGO]],Consumo!$O$3:$O$869) + SUMIF(Consumo!$C$3:$C$869,tabItens[[#This Row],[CÓDIGO]],Consumo!$P$3:$P$869) + SUMIF(Consumo!$C$3:$C$869,tabItens[[#This Row],[CÓDIGO]],Consumo!$Q$3:$Q$869)</f>
        <v>8466</v>
      </c>
      <c r="AT645" s="316">
        <f>SUMIF(Consumo!$C$3:$C$869,tabItens[[#This Row],[CÓDIGO]],Consumo!$Z$3:$Z$869)</f>
        <v>46225</v>
      </c>
      <c r="AU645" s="317">
        <f>SUMIF(Consumo!$C$3:$C$869,tabItens[[#This Row],[CÓDIGO]],Consumo!$AA$3:$AA$869)</f>
        <v>22155</v>
      </c>
      <c r="AV645" s="318">
        <f>SUMIF(Consumo!$C$3:$C$869,tabItens[[#This Row],[CÓDIGO]],Consumo!$Y$3:$Y$869)</f>
        <v>3266.0833333333335</v>
      </c>
      <c r="AW645" s="291">
        <f>tabItens[[#This Row],[QTDE ATUAL]] + tabItens[[#This Row],[RC QTDE]] + tabItens[[#This Row],[AF SALDO]] + tabItens[[#This Row],[Recentes]]</f>
        <v>64557</v>
      </c>
      <c r="AX645" s="319">
        <v>6983</v>
      </c>
      <c r="AY645" s="319">
        <v>4</v>
      </c>
      <c r="AZ645" s="319">
        <f>IF(ISBLANK(tabItens[[#This Row],[CÓDIGO]]),"",tabItens[[#This Row],[PontoMês]] * (AZ$2+tabItens[[#This Row],[PontoQtM]]))</f>
        <v>27932</v>
      </c>
      <c r="BA645" s="318">
        <f>tabItens[[#This Row],[PontoPed]] - tabItens[[#This Row],[Saldo]] + (1/10)</f>
        <v>-36624.9</v>
      </c>
      <c r="BB645" s="318">
        <f xml:space="preserve"> tabItens[[#This Row],[PontoMês]] * BB$2 - tabItens[[#This Row],[QTDE ATUAL]] - (1/10)</f>
        <v>-53574.1</v>
      </c>
      <c r="BC645" s="320">
        <f>IF( tabItens[[#This Row],[PontoPed]]&gt;0, IF(tabItens[[#This Row],[PontoPed]]&lt;1, 1, IF( tabItens[[#This Row],[Saldo]]&gt;tabItens[[#This Row],[PontoPed]], 0, (tabItens[[#This Row],[PontoPed]]-tabItens[[#This Row],[Saldo]])/tabItens[[#This Row],[PontoPed]] ) ), 0 )</f>
        <v>0</v>
      </c>
      <c r="BD645" s="321">
        <f>ROUNDDOWN(IF( OR( AND(tabItens[[#This Row],[PontoPed]]&lt;tabItens[[#This Row],[Saldo]],tabItens[[#This Row],[Saldo]]&gt;0), tabItens[[#This Row],[PontoPed]]=0), 99, IF(AND(tabItens[[#This Row],[Saldo]]=0,tabItens[[#This Row],[PontoPed]]&gt;0), 0, (1-tabItens[[#This Row],[PctAb]])*10 ) ),0)</f>
        <v>99</v>
      </c>
      <c r="BE645" s="322">
        <f>MAX(ROUNDDOWN( IF(tabItens[[#This Row],[Abaixo]] &gt; 0,   tabItens[[#This Row],[Abaixo]] + (tabItens[[#This Row],[PontoMês]] * IF( OR( ISBLANK(tabItens[[#This Row],[ATA Nº/ANO]]), tabItens[[#This Row],[ATA Nº/ANO]] = ""),BE$2,BE$1)),0),0),0)</f>
        <v>0</v>
      </c>
      <c r="BF64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5" s="323">
        <f>SUMIF(Consumo!$C$3:$C$869,tabItens[[#This Row],[CÓDIGO]],Consumo!$E$3:$E$869)</f>
        <v>410</v>
      </c>
      <c r="BH645" s="324">
        <f>IF(AND(tabItens[[#This Row],[Pend]] &gt; 0,tabItens[[#This Row],[Consumo]] &lt;&gt; 0), tabItens[[#This Row],[Pend]] / tabItens[[#This Row],[Consumo]], 0 )</f>
        <v>8.8696592752839365E-3</v>
      </c>
      <c r="BI645" s="323"/>
      <c r="BJ645" s="323"/>
      <c r="BK645" s="325" t="s">
        <v>2064</v>
      </c>
    </row>
    <row r="646" spans="1:63" hidden="1" x14ac:dyDescent="0.3">
      <c r="A646" s="286">
        <v>138463</v>
      </c>
      <c r="B646" s="287" t="s">
        <v>1962</v>
      </c>
      <c r="C646" s="288" t="s">
        <v>1960</v>
      </c>
      <c r="D646" s="289">
        <v>7.29</v>
      </c>
      <c r="E646" s="290"/>
      <c r="F646" s="290"/>
      <c r="G646" s="290" t="s">
        <v>883</v>
      </c>
      <c r="H646" s="291">
        <v>23964</v>
      </c>
      <c r="I646" s="292">
        <v>103003</v>
      </c>
      <c r="J646" s="293">
        <v>7.3499400000000001</v>
      </c>
      <c r="K646" s="294">
        <v>23752</v>
      </c>
      <c r="L646" s="295">
        <f>IF(tabItens[[#This Row],[Média]] &gt; 0, tabItens[[#This Row],[QTDE ATUAL]] / tabItens[[#This Row],[Média]],999.9)</f>
        <v>12.788188731266954</v>
      </c>
      <c r="M646" s="296">
        <v>0</v>
      </c>
      <c r="N646" s="297">
        <f>tabItens[[#This Row],[VALOR UNIT.]] * tabItens[[#This Row],[LC]]</f>
        <v>0</v>
      </c>
      <c r="O646" s="298"/>
      <c r="P646" s="299"/>
      <c r="Q646" s="300"/>
      <c r="R646" s="297"/>
      <c r="S646" s="301"/>
      <c r="T646" s="302">
        <f>ROUNDDOWN(IFERROR(tabItens[[#This Row],[ATA DT.VALID.]] - $D$1,0) / 30,0)</f>
        <v>-1504</v>
      </c>
      <c r="U646" s="287" t="s">
        <v>931</v>
      </c>
      <c r="V646" s="303">
        <v>1</v>
      </c>
      <c r="W646" s="304" t="s">
        <v>2052</v>
      </c>
      <c r="X646" s="305">
        <v>45</v>
      </c>
      <c r="Y646" s="306">
        <v>9</v>
      </c>
      <c r="Z646" s="307"/>
      <c r="AA646" s="308"/>
      <c r="AB646" s="309"/>
      <c r="AC646" s="309"/>
      <c r="AD646" s="308"/>
      <c r="AE646" s="309"/>
      <c r="AF646" s="302"/>
      <c r="AG646" s="310" t="s">
        <v>2050</v>
      </c>
      <c r="AH646" s="311"/>
      <c r="AI646" s="302">
        <v>11458</v>
      </c>
      <c r="AJ646" s="311">
        <v>45051</v>
      </c>
      <c r="AK646" s="311">
        <v>43720</v>
      </c>
      <c r="AL646" s="311">
        <v>44959</v>
      </c>
      <c r="AM646" s="301"/>
      <c r="AN646" s="290"/>
      <c r="AO646" s="312" t="str">
        <f>_xlfn.IFNA(IF(VLOOKUP(tabItens[[#This Row],[CÓDIGO]],tabExcluirDoEstoque[#Data],1,FALSE),"sim",""),"")</f>
        <v/>
      </c>
      <c r="AP646" s="313" t="str">
        <f ca="1">IF(OR(ISBLANK(tabItens[[#This Row],[ATA DT.VALID.]]),tabItens[[#This Row],[ATA DT.VALID.]]="",tabItens[[#This Row],[ATA DT.VALID.]]=" "),"",IF(TYPE(tabItens[[#This Row],[ATA DT.VALID.]])=1,ROUNDUP((tabItens[[#This Row],[ATA DT.VALID.]]-TODAY())/7,0),""))</f>
        <v/>
      </c>
      <c r="AQ646" s="314"/>
      <c r="AR646" s="315" t="str">
        <f>IF(ISBLANK(tabItens[[#This Row],[CÓDIGO]]),"",IFERROR(VLOOKUP(tabItens[[#This Row],[CÓDIGO]],Consumo!$C$2:$AC$869,26,FALSE),0))</f>
        <v>07.2023</v>
      </c>
      <c r="AS646" s="316">
        <f>SUMIF(Consumo!$C$3:$C$869,tabItens[[#This Row],[CÓDIGO]],Consumo!$N$3:$N$869) + SUMIF(Consumo!$C$3:$C$869,tabItens[[#This Row],[CÓDIGO]],Consumo!$O$3:$O$869) + SUMIF(Consumo!$C$3:$C$869,tabItens[[#This Row],[CÓDIGO]],Consumo!$P$3:$P$869) + SUMIF(Consumo!$C$3:$C$869,tabItens[[#This Row],[CÓDIGO]],Consumo!$Q$3:$Q$869)</f>
        <v>1711</v>
      </c>
      <c r="AT646" s="316">
        <f>SUMIF(Consumo!$C$3:$C$869,tabItens[[#This Row],[CÓDIGO]],Consumo!$Z$3:$Z$869)</f>
        <v>25605</v>
      </c>
      <c r="AU646" s="317">
        <f>SUMIF(Consumo!$C$3:$C$869,tabItens[[#This Row],[CÓDIGO]],Consumo!$AA$3:$AA$869)</f>
        <v>13385</v>
      </c>
      <c r="AV646" s="318">
        <f>SUMIF(Consumo!$C$3:$C$869,tabItens[[#This Row],[CÓDIGO]],Consumo!$Y$3:$Y$869)</f>
        <v>1873.9166666666667</v>
      </c>
      <c r="AW646" s="291">
        <f>tabItens[[#This Row],[QTDE ATUAL]] + tabItens[[#This Row],[RC QTDE]] + tabItens[[#This Row],[AF SALDO]] + tabItens[[#This Row],[Recentes]]</f>
        <v>23964</v>
      </c>
      <c r="AX646" s="319">
        <v>2067</v>
      </c>
      <c r="AY646" s="319">
        <v>4</v>
      </c>
      <c r="AZ646" s="319">
        <f>IF(ISBLANK(tabItens[[#This Row],[CÓDIGO]]),"",tabItens[[#This Row],[PontoMês]] * (AZ$2+tabItens[[#This Row],[PontoQtM]]))</f>
        <v>8268</v>
      </c>
      <c r="BA646" s="318">
        <f>tabItens[[#This Row],[PontoPed]] - tabItens[[#This Row],[Saldo]] + (1/10)</f>
        <v>-15695.9</v>
      </c>
      <c r="BB646" s="318">
        <f xml:space="preserve"> tabItens[[#This Row],[PontoMês]] * BB$2 - tabItens[[#This Row],[QTDE ATUAL]] - (1/10)</f>
        <v>-21897.1</v>
      </c>
      <c r="BC646" s="320">
        <f>IF( tabItens[[#This Row],[PontoPed]]&gt;0, IF(tabItens[[#This Row],[PontoPed]]&lt;1, 1, IF( tabItens[[#This Row],[Saldo]]&gt;tabItens[[#This Row],[PontoPed]], 0, (tabItens[[#This Row],[PontoPed]]-tabItens[[#This Row],[Saldo]])/tabItens[[#This Row],[PontoPed]] ) ), 0 )</f>
        <v>0</v>
      </c>
      <c r="BD646" s="321">
        <f>ROUNDDOWN(IF( OR( AND(tabItens[[#This Row],[PontoPed]]&lt;tabItens[[#This Row],[Saldo]],tabItens[[#This Row],[Saldo]]&gt;0), tabItens[[#This Row],[PontoPed]]=0), 99, IF(AND(tabItens[[#This Row],[Saldo]]=0,tabItens[[#This Row],[PontoPed]]&gt;0), 0, (1-tabItens[[#This Row],[PctAb]])*10 ) ),0)</f>
        <v>99</v>
      </c>
      <c r="BE646" s="322">
        <f>MAX(ROUNDDOWN( IF(tabItens[[#This Row],[Abaixo]] &gt; 0,   tabItens[[#This Row],[Abaixo]] + (tabItens[[#This Row],[PontoMês]] * IF( OR( ISBLANK(tabItens[[#This Row],[ATA Nº/ANO]]), tabItens[[#This Row],[ATA Nº/ANO]] = ""),BE$2,BE$1)),0),0),0)</f>
        <v>0</v>
      </c>
      <c r="BF64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6" s="323">
        <f>SUMIF(Consumo!$C$3:$C$869,tabItens[[#This Row],[CÓDIGO]],Consumo!$E$3:$E$869)</f>
        <v>71</v>
      </c>
      <c r="BH646" s="324">
        <f>IF(AND(tabItens[[#This Row],[Pend]] &gt; 0,tabItens[[#This Row],[Consumo]] &lt;&gt; 0), tabItens[[#This Row],[Pend]] / tabItens[[#This Row],[Consumo]], 0 )</f>
        <v>2.772895918765866E-3</v>
      </c>
      <c r="BI646" s="323"/>
      <c r="BJ646" s="323"/>
      <c r="BK646" s="325" t="s">
        <v>2064</v>
      </c>
    </row>
    <row r="647" spans="1:63" hidden="1" x14ac:dyDescent="0.3">
      <c r="A647" s="286">
        <v>138464</v>
      </c>
      <c r="B647" s="287" t="s">
        <v>1963</v>
      </c>
      <c r="C647" s="288" t="s">
        <v>31</v>
      </c>
      <c r="D647" s="289">
        <v>0.23</v>
      </c>
      <c r="E647" s="290"/>
      <c r="F647" s="290"/>
      <c r="G647" s="290" t="s">
        <v>883</v>
      </c>
      <c r="H647" s="291">
        <v>74640</v>
      </c>
      <c r="I647" s="292">
        <v>103003</v>
      </c>
      <c r="J647" s="293">
        <v>0.23</v>
      </c>
      <c r="K647" s="294">
        <v>44195</v>
      </c>
      <c r="L647" s="295">
        <f>IF(tabItens[[#This Row],[Média]] &gt; 0, tabItens[[#This Row],[QTDE ATUAL]] / tabItens[[#This Row],[Média]],999.9)</f>
        <v>13.687250722046485</v>
      </c>
      <c r="M647" s="296">
        <v>0</v>
      </c>
      <c r="N647" s="297">
        <f>tabItens[[#This Row],[VALOR UNIT.]] * tabItens[[#This Row],[LC]]</f>
        <v>0</v>
      </c>
      <c r="O647" s="298"/>
      <c r="P647" s="299"/>
      <c r="Q647" s="300"/>
      <c r="R647" s="297"/>
      <c r="S647" s="301"/>
      <c r="T647" s="302">
        <f>ROUNDDOWN(IFERROR(tabItens[[#This Row],[ATA DT.VALID.]] - $D$1,0) / 30,0)</f>
        <v>-1504</v>
      </c>
      <c r="U647" s="287" t="s">
        <v>931</v>
      </c>
      <c r="V647" s="303">
        <v>1</v>
      </c>
      <c r="W647" s="304" t="s">
        <v>2052</v>
      </c>
      <c r="X647" s="305">
        <v>45</v>
      </c>
      <c r="Y647" s="306">
        <v>9</v>
      </c>
      <c r="Z647" s="307"/>
      <c r="AA647" s="308"/>
      <c r="AB647" s="309"/>
      <c r="AC647" s="309"/>
      <c r="AD647" s="308"/>
      <c r="AE647" s="309"/>
      <c r="AF647" s="302"/>
      <c r="AG647" s="310" t="s">
        <v>2050</v>
      </c>
      <c r="AH647" s="311"/>
      <c r="AI647" s="302">
        <v>62406</v>
      </c>
      <c r="AJ647" s="311">
        <v>44151</v>
      </c>
      <c r="AK647" s="311">
        <v>43720</v>
      </c>
      <c r="AL647" s="311">
        <v>44110</v>
      </c>
      <c r="AM647" s="301"/>
      <c r="AN647" s="290"/>
      <c r="AO647" s="312" t="str">
        <f>_xlfn.IFNA(IF(VLOOKUP(tabItens[[#This Row],[CÓDIGO]],tabExcluirDoEstoque[#Data],1,FALSE),"sim",""),"")</f>
        <v/>
      </c>
      <c r="AP647" s="313" t="str">
        <f ca="1">IF(OR(ISBLANK(tabItens[[#This Row],[ATA DT.VALID.]]),tabItens[[#This Row],[ATA DT.VALID.]]="",tabItens[[#This Row],[ATA DT.VALID.]]=" "),"",IF(TYPE(tabItens[[#This Row],[ATA DT.VALID.]])=1,ROUNDUP((tabItens[[#This Row],[ATA DT.VALID.]]-TODAY())/7,0),""))</f>
        <v/>
      </c>
      <c r="AQ647" s="314"/>
      <c r="AR647" s="315" t="str">
        <f>IF(ISBLANK(tabItens[[#This Row],[CÓDIGO]]),"",IFERROR(VLOOKUP(tabItens[[#This Row],[CÓDIGO]],Consumo!$C$2:$AC$869,26,FALSE),0))</f>
        <v>07.2023</v>
      </c>
      <c r="AS647" s="316">
        <f>SUMIF(Consumo!$C$3:$C$869,tabItens[[#This Row],[CÓDIGO]],Consumo!$N$3:$N$869) + SUMIF(Consumo!$C$3:$C$869,tabItens[[#This Row],[CÓDIGO]],Consumo!$O$3:$O$869) + SUMIF(Consumo!$C$3:$C$869,tabItens[[#This Row],[CÓDIGO]],Consumo!$P$3:$P$869) + SUMIF(Consumo!$C$3:$C$869,tabItens[[#This Row],[CÓDIGO]],Consumo!$Q$3:$Q$869)</f>
        <v>19730</v>
      </c>
      <c r="AT647" s="316">
        <f>SUMIF(Consumo!$C$3:$C$869,tabItens[[#This Row],[CÓDIGO]],Consumo!$Z$3:$Z$869)</f>
        <v>67304</v>
      </c>
      <c r="AU647" s="317">
        <f>SUMIF(Consumo!$C$3:$C$869,tabItens[[#This Row],[CÓDIGO]],Consumo!$AA$3:$AA$869)</f>
        <v>14402</v>
      </c>
      <c r="AV647" s="318">
        <f>SUMIF(Consumo!$C$3:$C$869,tabItens[[#This Row],[CÓDIGO]],Consumo!$Y$3:$Y$869)</f>
        <v>5453.25</v>
      </c>
      <c r="AW647" s="291">
        <f>tabItens[[#This Row],[QTDE ATUAL]] + tabItens[[#This Row],[RC QTDE]] + tabItens[[#This Row],[AF SALDO]] + tabItens[[#This Row],[Recentes]]</f>
        <v>74640</v>
      </c>
      <c r="AX647" s="319">
        <v>10936</v>
      </c>
      <c r="AY647" s="319">
        <v>4</v>
      </c>
      <c r="AZ647" s="319">
        <f>IF(ISBLANK(tabItens[[#This Row],[CÓDIGO]]),"",tabItens[[#This Row],[PontoMês]] * (AZ$2+tabItens[[#This Row],[PontoQtM]]))</f>
        <v>43744</v>
      </c>
      <c r="BA647" s="318">
        <f>tabItens[[#This Row],[PontoPed]] - tabItens[[#This Row],[Saldo]] + (1/10)</f>
        <v>-30895.9</v>
      </c>
      <c r="BB647" s="318">
        <f xml:space="preserve"> tabItens[[#This Row],[PontoMês]] * BB$2 - tabItens[[#This Row],[QTDE ATUAL]] - (1/10)</f>
        <v>-63704.1</v>
      </c>
      <c r="BC647" s="320">
        <f>IF( tabItens[[#This Row],[PontoPed]]&gt;0, IF(tabItens[[#This Row],[PontoPed]]&lt;1, 1, IF( tabItens[[#This Row],[Saldo]]&gt;tabItens[[#This Row],[PontoPed]], 0, (tabItens[[#This Row],[PontoPed]]-tabItens[[#This Row],[Saldo]])/tabItens[[#This Row],[PontoPed]] ) ), 0 )</f>
        <v>0</v>
      </c>
      <c r="BD647" s="321">
        <f>ROUNDDOWN(IF( OR( AND(tabItens[[#This Row],[PontoPed]]&lt;tabItens[[#This Row],[Saldo]],tabItens[[#This Row],[Saldo]]&gt;0), tabItens[[#This Row],[PontoPed]]=0), 99, IF(AND(tabItens[[#This Row],[Saldo]]=0,tabItens[[#This Row],[PontoPed]]&gt;0), 0, (1-tabItens[[#This Row],[PctAb]])*10 ) ),0)</f>
        <v>99</v>
      </c>
      <c r="BE647" s="322">
        <f>MAX(ROUNDDOWN( IF(tabItens[[#This Row],[Abaixo]] &gt; 0,   tabItens[[#This Row],[Abaixo]] + (tabItens[[#This Row],[PontoMês]] * IF( OR( ISBLANK(tabItens[[#This Row],[ATA Nº/ANO]]), tabItens[[#This Row],[ATA Nº/ANO]] = ""),BE$2,BE$1)),0),0),0)</f>
        <v>0</v>
      </c>
      <c r="BF64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323">
        <f>SUMIF(Consumo!$C$3:$C$869,tabItens[[#This Row],[CÓDIGO]],Consumo!$E$3:$E$869)</f>
        <v>155</v>
      </c>
      <c r="BH647" s="324">
        <f>IF(AND(tabItens[[#This Row],[Pend]] &gt; 0,tabItens[[#This Row],[Consumo]] &lt;&gt; 0), tabItens[[#This Row],[Pend]] / tabItens[[#This Row],[Consumo]], 0 )</f>
        <v>2.3029834779507903E-3</v>
      </c>
      <c r="BI647" s="323"/>
      <c r="BJ647" s="323"/>
      <c r="BK647" s="325" t="s">
        <v>2064</v>
      </c>
    </row>
    <row r="648" spans="1:63" hidden="1" x14ac:dyDescent="0.3">
      <c r="A648" s="286">
        <v>139144</v>
      </c>
      <c r="B648" s="287" t="s">
        <v>1976</v>
      </c>
      <c r="C648" s="288" t="s">
        <v>31</v>
      </c>
      <c r="D648" s="289">
        <v>14.1</v>
      </c>
      <c r="E648" s="290"/>
      <c r="F648" s="290"/>
      <c r="G648" s="290" t="s">
        <v>883</v>
      </c>
      <c r="H648" s="291">
        <v>557</v>
      </c>
      <c r="I648" s="292">
        <v>103003</v>
      </c>
      <c r="J648" s="293">
        <v>14.1</v>
      </c>
      <c r="K648" s="294">
        <v>4829</v>
      </c>
      <c r="L648" s="295">
        <f>IF(tabItens[[#This Row],[Média]] &gt; 0, tabItens[[#This Row],[QTDE ATUAL]] / tabItens[[#This Row],[Média]],999.9)</f>
        <v>2.0848409232688709</v>
      </c>
      <c r="M648" s="296">
        <v>0</v>
      </c>
      <c r="N648" s="297">
        <f>tabItens[[#This Row],[VALOR UNIT.]] * tabItens[[#This Row],[LC]]</f>
        <v>0</v>
      </c>
      <c r="O648" s="298"/>
      <c r="P648" s="299"/>
      <c r="Q648" s="300"/>
      <c r="R648" s="297"/>
      <c r="S648" s="301"/>
      <c r="T648" s="302">
        <f>ROUNDDOWN(IFERROR(tabItens[[#This Row],[ATA DT.VALID.]] - $D$1,0) / 30,0)</f>
        <v>-1504</v>
      </c>
      <c r="U648" s="287" t="s">
        <v>931</v>
      </c>
      <c r="V648" s="303">
        <v>1</v>
      </c>
      <c r="W648" s="304" t="s">
        <v>2052</v>
      </c>
      <c r="X648" s="305">
        <v>45</v>
      </c>
      <c r="Y648" s="306">
        <v>9</v>
      </c>
      <c r="Z648" s="307">
        <v>6982</v>
      </c>
      <c r="AA648" s="308">
        <v>2023</v>
      </c>
      <c r="AB648" s="309">
        <v>1200</v>
      </c>
      <c r="AC648" s="309"/>
      <c r="AD648" s="308"/>
      <c r="AE648" s="309"/>
      <c r="AF648" s="302"/>
      <c r="AG648" s="310" t="s">
        <v>2050</v>
      </c>
      <c r="AH648" s="311"/>
      <c r="AI648" s="302">
        <v>1610</v>
      </c>
      <c r="AJ648" s="311">
        <v>44337</v>
      </c>
      <c r="AK648" s="311">
        <v>43881</v>
      </c>
      <c r="AL648" s="311">
        <v>45044</v>
      </c>
      <c r="AM648" s="301"/>
      <c r="AN648" s="290"/>
      <c r="AO648" s="312" t="str">
        <f>_xlfn.IFNA(IF(VLOOKUP(tabItens[[#This Row],[CÓDIGO]],tabExcluirDoEstoque[#Data],1,FALSE),"sim",""),"")</f>
        <v/>
      </c>
      <c r="AP648" s="313" t="str">
        <f ca="1">IF(OR(ISBLANK(tabItens[[#This Row],[ATA DT.VALID.]]),tabItens[[#This Row],[ATA DT.VALID.]]="",tabItens[[#This Row],[ATA DT.VALID.]]=" "),"",IF(TYPE(tabItens[[#This Row],[ATA DT.VALID.]])=1,ROUNDUP((tabItens[[#This Row],[ATA DT.VALID.]]-TODAY())/7,0),""))</f>
        <v/>
      </c>
      <c r="AQ648" s="314"/>
      <c r="AR648" s="315" t="str">
        <f>IF(ISBLANK(tabItens[[#This Row],[CÓDIGO]]),"",IFERROR(VLOOKUP(tabItens[[#This Row],[CÓDIGO]],Consumo!$C$2:$AC$869,26,FALSE),0))</f>
        <v>06.2023</v>
      </c>
      <c r="AS648" s="316">
        <f>SUMIF(Consumo!$C$3:$C$869,tabItens[[#This Row],[CÓDIGO]],Consumo!$N$3:$N$869) + SUMIF(Consumo!$C$3:$C$869,tabItens[[#This Row],[CÓDIGO]],Consumo!$O$3:$O$869) + SUMIF(Consumo!$C$3:$C$869,tabItens[[#This Row],[CÓDIGO]],Consumo!$P$3:$P$869) + SUMIF(Consumo!$C$3:$C$869,tabItens[[#This Row],[CÓDIGO]],Consumo!$Q$3:$Q$869)</f>
        <v>6</v>
      </c>
      <c r="AT648" s="316">
        <f>SUMIF(Consumo!$C$3:$C$869,tabItens[[#This Row],[CÓDIGO]],Consumo!$Z$3:$Z$869)</f>
        <v>4829</v>
      </c>
      <c r="AU648" s="317">
        <f>SUMIF(Consumo!$C$3:$C$869,tabItens[[#This Row],[CÓDIGO]],Consumo!$AA$3:$AA$869)</f>
        <v>4787</v>
      </c>
      <c r="AV648" s="318">
        <f>SUMIF(Consumo!$C$3:$C$869,tabItens[[#This Row],[CÓDIGO]],Consumo!$Y$3:$Y$869)</f>
        <v>267.16666666666669</v>
      </c>
      <c r="AW648" s="291">
        <f>tabItens[[#This Row],[QTDE ATUAL]] + tabItens[[#This Row],[RC QTDE]] + tabItens[[#This Row],[AF SALDO]] + tabItens[[#This Row],[Recentes]]</f>
        <v>1757</v>
      </c>
      <c r="AX648" s="319">
        <v>81</v>
      </c>
      <c r="AY648" s="319">
        <v>4</v>
      </c>
      <c r="AZ648" s="319">
        <f>IF(ISBLANK(tabItens[[#This Row],[CÓDIGO]]),"",tabItens[[#This Row],[PontoMês]] * (AZ$2+tabItens[[#This Row],[PontoQtM]]))</f>
        <v>324</v>
      </c>
      <c r="BA648" s="318">
        <f>tabItens[[#This Row],[PontoPed]] - tabItens[[#This Row],[Saldo]] + (1/10)</f>
        <v>-1432.9</v>
      </c>
      <c r="BB648" s="318">
        <f xml:space="preserve"> tabItens[[#This Row],[PontoMês]] * BB$2 - tabItens[[#This Row],[QTDE ATUAL]] - (1/10)</f>
        <v>-476.1</v>
      </c>
      <c r="BC648" s="320">
        <f>IF( tabItens[[#This Row],[PontoPed]]&gt;0, IF(tabItens[[#This Row],[PontoPed]]&lt;1, 1, IF( tabItens[[#This Row],[Saldo]]&gt;tabItens[[#This Row],[PontoPed]], 0, (tabItens[[#This Row],[PontoPed]]-tabItens[[#This Row],[Saldo]])/tabItens[[#This Row],[PontoPed]] ) ), 0 )</f>
        <v>0</v>
      </c>
      <c r="BD648" s="321">
        <f>ROUNDDOWN(IF( OR( AND(tabItens[[#This Row],[PontoPed]]&lt;tabItens[[#This Row],[Saldo]],tabItens[[#This Row],[Saldo]]&gt;0), tabItens[[#This Row],[PontoPed]]=0), 99, IF(AND(tabItens[[#This Row],[Saldo]]=0,tabItens[[#This Row],[PontoPed]]&gt;0), 0, (1-tabItens[[#This Row],[PctAb]])*10 ) ),0)</f>
        <v>99</v>
      </c>
      <c r="BE648" s="322">
        <f>MAX(ROUNDDOWN( IF(tabItens[[#This Row],[Abaixo]] &gt; 0,   tabItens[[#This Row],[Abaixo]] + (tabItens[[#This Row],[PontoMês]] * IF( OR( ISBLANK(tabItens[[#This Row],[ATA Nº/ANO]]), tabItens[[#This Row],[ATA Nº/ANO]] = ""),BE$2,BE$1)),0),0),0)</f>
        <v>0</v>
      </c>
      <c r="BF64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323">
        <f>SUMIF(Consumo!$C$3:$C$869,tabItens[[#This Row],[CÓDIGO]],Consumo!$E$3:$E$869)</f>
        <v>0</v>
      </c>
      <c r="BH648" s="324">
        <f>IF(AND(tabItens[[#This Row],[Pend]] &gt; 0,tabItens[[#This Row],[Consumo]] &lt;&gt; 0), tabItens[[#This Row],[Pend]] / tabItens[[#This Row],[Consumo]], 0 )</f>
        <v>0</v>
      </c>
      <c r="BI648" s="323"/>
      <c r="BJ648" s="323"/>
      <c r="BK648" s="325" t="s">
        <v>2064</v>
      </c>
    </row>
    <row r="649" spans="1:63" hidden="1" x14ac:dyDescent="0.3">
      <c r="A649" s="286">
        <v>11418</v>
      </c>
      <c r="B649" s="287" t="s">
        <v>929</v>
      </c>
      <c r="C649" s="288" t="s">
        <v>256</v>
      </c>
      <c r="D649" s="289">
        <v>1.39</v>
      </c>
      <c r="E649" s="290"/>
      <c r="F649" s="290"/>
      <c r="G649" s="290" t="s">
        <v>883</v>
      </c>
      <c r="H649" s="291">
        <v>2478</v>
      </c>
      <c r="I649" s="292">
        <v>103003</v>
      </c>
      <c r="J649" s="293">
        <v>1.39</v>
      </c>
      <c r="K649" s="294">
        <v>7387</v>
      </c>
      <c r="L649" s="295">
        <f>IF(tabItens[[#This Row],[Média]] &gt; 0, tabItens[[#This Row],[QTDE ATUAL]] / tabItens[[#This Row],[Média]],999.9)</f>
        <v>4.2865792129162461</v>
      </c>
      <c r="M649" s="296">
        <v>0</v>
      </c>
      <c r="N649" s="297">
        <f>tabItens[[#This Row],[VALOR UNIT.]] * tabItens[[#This Row],[LC]]</f>
        <v>0</v>
      </c>
      <c r="O649" s="298"/>
      <c r="P649" s="299"/>
      <c r="Q649" s="300"/>
      <c r="R649" s="297"/>
      <c r="S649" s="301"/>
      <c r="T649" s="302">
        <f>ROUNDDOWN(IFERROR(tabItens[[#This Row],[ATA DT.VALID.]] - $D$1,0) / 30,0)</f>
        <v>-1504</v>
      </c>
      <c r="U649" s="287" t="s">
        <v>903</v>
      </c>
      <c r="V649" s="303">
        <v>1</v>
      </c>
      <c r="W649" s="304" t="s">
        <v>2052</v>
      </c>
      <c r="X649" s="305">
        <v>45</v>
      </c>
      <c r="Y649" s="306">
        <v>10</v>
      </c>
      <c r="Z649" s="307">
        <v>6209</v>
      </c>
      <c r="AA649" s="308">
        <v>2023</v>
      </c>
      <c r="AB649" s="309">
        <v>1000</v>
      </c>
      <c r="AC649" s="309"/>
      <c r="AD649" s="308"/>
      <c r="AE649" s="309"/>
      <c r="AF649" s="302"/>
      <c r="AG649" s="310" t="s">
        <v>2050</v>
      </c>
      <c r="AH649" s="311"/>
      <c r="AI649" s="302">
        <v>2846</v>
      </c>
      <c r="AJ649" s="311">
        <v>44956</v>
      </c>
      <c r="AK649" s="311" t="s">
        <v>883</v>
      </c>
      <c r="AL649" s="311">
        <v>44910</v>
      </c>
      <c r="AM649" s="301"/>
      <c r="AN649" s="290"/>
      <c r="AO649" s="312" t="str">
        <f>_xlfn.IFNA(IF(VLOOKUP(tabItens[[#This Row],[CÓDIGO]],tabExcluirDoEstoque[#Data],1,FALSE),"sim",""),"")</f>
        <v/>
      </c>
      <c r="AP649" s="313" t="str">
        <f ca="1">IF(OR(ISBLANK(tabItens[[#This Row],[ATA DT.VALID.]]),tabItens[[#This Row],[ATA DT.VALID.]]="",tabItens[[#This Row],[ATA DT.VALID.]]=" "),"",IF(TYPE(tabItens[[#This Row],[ATA DT.VALID.]])=1,ROUNDUP((tabItens[[#This Row],[ATA DT.VALID.]]-TODAY())/7,0),""))</f>
        <v/>
      </c>
      <c r="AQ649" s="314"/>
      <c r="AR649" s="315" t="str">
        <f>IF(ISBLANK(tabItens[[#This Row],[CÓDIGO]]),"",IFERROR(VLOOKUP(tabItens[[#This Row],[CÓDIGO]],Consumo!$C$2:$AC$869,26,FALSE),0))</f>
        <v>07.2023</v>
      </c>
      <c r="AS649" s="316">
        <f>SUMIF(Consumo!$C$3:$C$869,tabItens[[#This Row],[CÓDIGO]],Consumo!$N$3:$N$869) + SUMIF(Consumo!$C$3:$C$869,tabItens[[#This Row],[CÓDIGO]],Consumo!$O$3:$O$869) + SUMIF(Consumo!$C$3:$C$869,tabItens[[#This Row],[CÓDIGO]],Consumo!$P$3:$P$869) + SUMIF(Consumo!$C$3:$C$869,tabItens[[#This Row],[CÓDIGO]],Consumo!$Q$3:$Q$869)</f>
        <v>1530</v>
      </c>
      <c r="AT649" s="316">
        <f>SUMIF(Consumo!$C$3:$C$869,tabItens[[#This Row],[CÓDIGO]],Consumo!$Z$3:$Z$869)</f>
        <v>8769</v>
      </c>
      <c r="AU649" s="317">
        <f>SUMIF(Consumo!$C$3:$C$869,tabItens[[#This Row],[CÓDIGO]],Consumo!$AA$3:$AA$869)</f>
        <v>5441</v>
      </c>
      <c r="AV649" s="318">
        <f>SUMIF(Consumo!$C$3:$C$869,tabItens[[#This Row],[CÓDIGO]],Consumo!$Y$3:$Y$869)</f>
        <v>578.08333333333337</v>
      </c>
      <c r="AW649" s="291">
        <f>tabItens[[#This Row],[QTDE ATUAL]] + tabItens[[#This Row],[RC QTDE]] + tabItens[[#This Row],[AF SALDO]] + tabItens[[#This Row],[Recentes]]</f>
        <v>3478</v>
      </c>
      <c r="AX649" s="319">
        <v>657</v>
      </c>
      <c r="AY649" s="319">
        <v>4</v>
      </c>
      <c r="AZ649" s="319">
        <f>IF(ISBLANK(tabItens[[#This Row],[CÓDIGO]]),"",tabItens[[#This Row],[PontoMês]] * (AZ$2+tabItens[[#This Row],[PontoQtM]]))</f>
        <v>2628</v>
      </c>
      <c r="BA649" s="318">
        <f>tabItens[[#This Row],[PontoPed]] - tabItens[[#This Row],[Saldo]] + (1/10)</f>
        <v>-849.9</v>
      </c>
      <c r="BB649" s="318">
        <f xml:space="preserve"> tabItens[[#This Row],[PontoMês]] * BB$2 - tabItens[[#This Row],[QTDE ATUAL]] - (1/10)</f>
        <v>-1821.1</v>
      </c>
      <c r="BC649" s="320">
        <f>IF( tabItens[[#This Row],[PontoPed]]&gt;0, IF(tabItens[[#This Row],[PontoPed]]&lt;1, 1, IF( tabItens[[#This Row],[Saldo]]&gt;tabItens[[#This Row],[PontoPed]], 0, (tabItens[[#This Row],[PontoPed]]-tabItens[[#This Row],[Saldo]])/tabItens[[#This Row],[PontoPed]] ) ), 0 )</f>
        <v>0</v>
      </c>
      <c r="BD649" s="321">
        <f>ROUNDDOWN(IF( OR( AND(tabItens[[#This Row],[PontoPed]]&lt;tabItens[[#This Row],[Saldo]],tabItens[[#This Row],[Saldo]]&gt;0), tabItens[[#This Row],[PontoPed]]=0), 99, IF(AND(tabItens[[#This Row],[Saldo]]=0,tabItens[[#This Row],[PontoPed]]&gt;0), 0, (1-tabItens[[#This Row],[PctAb]])*10 ) ),0)</f>
        <v>99</v>
      </c>
      <c r="BE649" s="322">
        <f>MAX(ROUNDDOWN( IF(tabItens[[#This Row],[Abaixo]] &gt; 0,   tabItens[[#This Row],[Abaixo]] + (tabItens[[#This Row],[PontoMês]] * IF( OR( ISBLANK(tabItens[[#This Row],[ATA Nº/ANO]]), tabItens[[#This Row],[ATA Nº/ANO]] = ""),BE$2,BE$1)),0),0),0)</f>
        <v>0</v>
      </c>
      <c r="BF64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323">
        <f>SUMIF(Consumo!$C$3:$C$869,tabItens[[#This Row],[CÓDIGO]],Consumo!$E$3:$E$869)</f>
        <v>230</v>
      </c>
      <c r="BH649" s="324">
        <f>IF(AND(tabItens[[#This Row],[Pend]] &gt; 0,tabItens[[#This Row],[Consumo]] &lt;&gt; 0), tabItens[[#This Row],[Pend]] / tabItens[[#This Row],[Consumo]], 0 )</f>
        <v>2.6228760405975597E-2</v>
      </c>
      <c r="BI649" s="323"/>
      <c r="BJ649" s="323"/>
      <c r="BK649" s="325" t="s">
        <v>2064</v>
      </c>
    </row>
    <row r="650" spans="1:63" hidden="1" x14ac:dyDescent="0.3">
      <c r="A650" s="286">
        <v>11509</v>
      </c>
      <c r="B650" s="287" t="s">
        <v>932</v>
      </c>
      <c r="C650" s="288" t="s">
        <v>256</v>
      </c>
      <c r="D650" s="289">
        <v>1.31</v>
      </c>
      <c r="E650" s="290"/>
      <c r="F650" s="290"/>
      <c r="G650" s="290" t="s">
        <v>883</v>
      </c>
      <c r="H650" s="291">
        <v>3819</v>
      </c>
      <c r="I650" s="292">
        <v>103003</v>
      </c>
      <c r="J650" s="293">
        <v>1.31</v>
      </c>
      <c r="K650" s="294">
        <v>7025</v>
      </c>
      <c r="L650" s="295">
        <f>IF(tabItens[[#This Row],[Média]] &gt; 0, tabItens[[#This Row],[QTDE ATUAL]] / tabItens[[#This Row],[Média]],999.9)</f>
        <v>6.624457935819601</v>
      </c>
      <c r="M650" s="296">
        <v>0</v>
      </c>
      <c r="N650" s="297">
        <f>tabItens[[#This Row],[VALOR UNIT.]] * tabItens[[#This Row],[LC]]</f>
        <v>0</v>
      </c>
      <c r="O650" s="298"/>
      <c r="P650" s="299"/>
      <c r="Q650" s="300"/>
      <c r="R650" s="297"/>
      <c r="S650" s="301"/>
      <c r="T650" s="302">
        <f>ROUNDDOWN(IFERROR(tabItens[[#This Row],[ATA DT.VALID.]] - $D$1,0) / 30,0)</f>
        <v>-1504</v>
      </c>
      <c r="U650" s="287" t="s">
        <v>903</v>
      </c>
      <c r="V650" s="303">
        <v>1</v>
      </c>
      <c r="W650" s="304" t="s">
        <v>2052</v>
      </c>
      <c r="X650" s="305">
        <v>45</v>
      </c>
      <c r="Y650" s="306">
        <v>10</v>
      </c>
      <c r="Z650" s="307"/>
      <c r="AA650" s="308"/>
      <c r="AB650" s="309"/>
      <c r="AC650" s="309"/>
      <c r="AD650" s="308"/>
      <c r="AE650" s="309"/>
      <c r="AF650" s="302"/>
      <c r="AG650" s="310" t="s">
        <v>2050</v>
      </c>
      <c r="AH650" s="311"/>
      <c r="AI650" s="302">
        <v>2874</v>
      </c>
      <c r="AJ650" s="311">
        <v>44956</v>
      </c>
      <c r="AK650" s="311" t="s">
        <v>883</v>
      </c>
      <c r="AL650" s="311">
        <v>44910</v>
      </c>
      <c r="AM650" s="301"/>
      <c r="AN650" s="290"/>
      <c r="AO650" s="312" t="str">
        <f>_xlfn.IFNA(IF(VLOOKUP(tabItens[[#This Row],[CÓDIGO]],tabExcluirDoEstoque[#Data],1,FALSE),"sim",""),"")</f>
        <v/>
      </c>
      <c r="AP650" s="313" t="str">
        <f ca="1">IF(OR(ISBLANK(tabItens[[#This Row],[ATA DT.VALID.]]),tabItens[[#This Row],[ATA DT.VALID.]]="",tabItens[[#This Row],[ATA DT.VALID.]]=" "),"",IF(TYPE(tabItens[[#This Row],[ATA DT.VALID.]])=1,ROUNDUP((tabItens[[#This Row],[ATA DT.VALID.]]-TODAY())/7,0),""))</f>
        <v/>
      </c>
      <c r="AQ650" s="314"/>
      <c r="AR650" s="315" t="str">
        <f>IF(ISBLANK(tabItens[[#This Row],[CÓDIGO]]),"",IFERROR(VLOOKUP(tabItens[[#This Row],[CÓDIGO]],Consumo!$C$2:$AC$869,26,FALSE),0))</f>
        <v>07.2023</v>
      </c>
      <c r="AS650" s="316">
        <f>SUMIF(Consumo!$C$3:$C$869,tabItens[[#This Row],[CÓDIGO]],Consumo!$N$3:$N$869) + SUMIF(Consumo!$C$3:$C$869,tabItens[[#This Row],[CÓDIGO]],Consumo!$O$3:$O$869) + SUMIF(Consumo!$C$3:$C$869,tabItens[[#This Row],[CÓDIGO]],Consumo!$P$3:$P$869) + SUMIF(Consumo!$C$3:$C$869,tabItens[[#This Row],[CÓDIGO]],Consumo!$Q$3:$Q$869)</f>
        <v>1255</v>
      </c>
      <c r="AT650" s="316">
        <f>SUMIF(Consumo!$C$3:$C$869,tabItens[[#This Row],[CÓDIGO]],Consumo!$Z$3:$Z$869)</f>
        <v>8620</v>
      </c>
      <c r="AU650" s="317">
        <f>SUMIF(Consumo!$C$3:$C$869,tabItens[[#This Row],[CÓDIGO]],Consumo!$AA$3:$AA$869)</f>
        <v>5318</v>
      </c>
      <c r="AV650" s="318">
        <f>SUMIF(Consumo!$C$3:$C$869,tabItens[[#This Row],[CÓDIGO]],Consumo!$Y$3:$Y$869)</f>
        <v>576.5</v>
      </c>
      <c r="AW650" s="291">
        <f>tabItens[[#This Row],[QTDE ATUAL]] + tabItens[[#This Row],[RC QTDE]] + tabItens[[#This Row],[AF SALDO]] + tabItens[[#This Row],[Recentes]]</f>
        <v>3819</v>
      </c>
      <c r="AX650" s="319">
        <v>635</v>
      </c>
      <c r="AY650" s="319">
        <v>4</v>
      </c>
      <c r="AZ650" s="319">
        <f>IF(ISBLANK(tabItens[[#This Row],[CÓDIGO]]),"",tabItens[[#This Row],[PontoMês]] * (AZ$2+tabItens[[#This Row],[PontoQtM]]))</f>
        <v>2540</v>
      </c>
      <c r="BA650" s="318">
        <f>tabItens[[#This Row],[PontoPed]] - tabItens[[#This Row],[Saldo]] + (1/10)</f>
        <v>-1278.9000000000001</v>
      </c>
      <c r="BB650" s="318">
        <f xml:space="preserve"> tabItens[[#This Row],[PontoMês]] * BB$2 - tabItens[[#This Row],[QTDE ATUAL]] - (1/10)</f>
        <v>-3184.1</v>
      </c>
      <c r="BC650" s="320">
        <f>IF( tabItens[[#This Row],[PontoPed]]&gt;0, IF(tabItens[[#This Row],[PontoPed]]&lt;1, 1, IF( tabItens[[#This Row],[Saldo]]&gt;tabItens[[#This Row],[PontoPed]], 0, (tabItens[[#This Row],[PontoPed]]-tabItens[[#This Row],[Saldo]])/tabItens[[#This Row],[PontoPed]] ) ), 0 )</f>
        <v>0</v>
      </c>
      <c r="BD650" s="321">
        <f>ROUNDDOWN(IF( OR( AND(tabItens[[#This Row],[PontoPed]]&lt;tabItens[[#This Row],[Saldo]],tabItens[[#This Row],[Saldo]]&gt;0), tabItens[[#This Row],[PontoPed]]=0), 99, IF(AND(tabItens[[#This Row],[Saldo]]=0,tabItens[[#This Row],[PontoPed]]&gt;0), 0, (1-tabItens[[#This Row],[PctAb]])*10 ) ),0)</f>
        <v>99</v>
      </c>
      <c r="BE650" s="322">
        <f>MAX(ROUNDDOWN( IF(tabItens[[#This Row],[Abaixo]] &gt; 0,   tabItens[[#This Row],[Abaixo]] + (tabItens[[#This Row],[PontoMês]] * IF( OR( ISBLANK(tabItens[[#This Row],[ATA Nº/ANO]]), tabItens[[#This Row],[ATA Nº/ANO]] = ""),BE$2,BE$1)),0),0),0)</f>
        <v>0</v>
      </c>
      <c r="BF65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323">
        <f>SUMIF(Consumo!$C$3:$C$869,tabItens[[#This Row],[CÓDIGO]],Consumo!$E$3:$E$869)</f>
        <v>0</v>
      </c>
      <c r="BH650" s="324">
        <f>IF(AND(tabItens[[#This Row],[Pend]] &gt; 0,tabItens[[#This Row],[Consumo]] &lt;&gt; 0), tabItens[[#This Row],[Pend]] / tabItens[[#This Row],[Consumo]], 0 )</f>
        <v>0</v>
      </c>
      <c r="BI650" s="323"/>
      <c r="BJ650" s="323"/>
      <c r="BK650" s="325" t="s">
        <v>2064</v>
      </c>
    </row>
    <row r="651" spans="1:63" hidden="1" x14ac:dyDescent="0.3">
      <c r="A651" s="286">
        <v>132646</v>
      </c>
      <c r="B651" s="287" t="s">
        <v>1828</v>
      </c>
      <c r="C651" s="288" t="s">
        <v>395</v>
      </c>
      <c r="D651" s="289">
        <v>22</v>
      </c>
      <c r="E651" s="290"/>
      <c r="F651" s="290"/>
      <c r="G651" s="290" t="s">
        <v>883</v>
      </c>
      <c r="H651" s="291">
        <v>7883</v>
      </c>
      <c r="I651" s="292">
        <v>103003</v>
      </c>
      <c r="J651" s="293">
        <v>22</v>
      </c>
      <c r="K651" s="294">
        <v>9438</v>
      </c>
      <c r="L651" s="295">
        <f>IF(tabItens[[#This Row],[Média]] &gt; 0, tabItens[[#This Row],[QTDE ATUAL]] / tabItens[[#This Row],[Média]],999.9)</f>
        <v>8.5537571208970071</v>
      </c>
      <c r="M651" s="296">
        <v>0</v>
      </c>
      <c r="N651" s="297">
        <f>tabItens[[#This Row],[VALOR UNIT.]] * tabItens[[#This Row],[LC]]</f>
        <v>0</v>
      </c>
      <c r="O651" s="298"/>
      <c r="P651" s="299"/>
      <c r="Q651" s="300"/>
      <c r="R651" s="297"/>
      <c r="S651" s="301"/>
      <c r="T651" s="302">
        <f>ROUNDDOWN(IFERROR(tabItens[[#This Row],[ATA DT.VALID.]] - $D$1,0) / 30,0)</f>
        <v>-1504</v>
      </c>
      <c r="U651" s="287" t="s">
        <v>903</v>
      </c>
      <c r="V651" s="303">
        <v>1</v>
      </c>
      <c r="W651" s="304" t="s">
        <v>2052</v>
      </c>
      <c r="X651" s="305">
        <v>45</v>
      </c>
      <c r="Y651" s="306">
        <v>10</v>
      </c>
      <c r="Z651" s="307"/>
      <c r="AA651" s="308"/>
      <c r="AB651" s="309"/>
      <c r="AC651" s="309"/>
      <c r="AD651" s="308"/>
      <c r="AE651" s="309"/>
      <c r="AF651" s="302"/>
      <c r="AG651" s="310" t="s">
        <v>2050</v>
      </c>
      <c r="AH651" s="311"/>
      <c r="AI651" s="302">
        <v>6568</v>
      </c>
      <c r="AJ651" s="311">
        <v>45009</v>
      </c>
      <c r="AK651" s="311">
        <v>42860</v>
      </c>
      <c r="AL651" s="311">
        <v>45051</v>
      </c>
      <c r="AM651" s="301"/>
      <c r="AN651" s="290"/>
      <c r="AO651" s="312" t="str">
        <f>_xlfn.IFNA(IF(VLOOKUP(tabItens[[#This Row],[CÓDIGO]],tabExcluirDoEstoque[#Data],1,FALSE),"sim",""),"")</f>
        <v/>
      </c>
      <c r="AP651" s="313" t="str">
        <f ca="1">IF(OR(ISBLANK(tabItens[[#This Row],[ATA DT.VALID.]]),tabItens[[#This Row],[ATA DT.VALID.]]="",tabItens[[#This Row],[ATA DT.VALID.]]=" "),"",IF(TYPE(tabItens[[#This Row],[ATA DT.VALID.]])=1,ROUNDUP((tabItens[[#This Row],[ATA DT.VALID.]]-TODAY())/7,0),""))</f>
        <v/>
      </c>
      <c r="AQ651" s="314"/>
      <c r="AR651" s="315" t="str">
        <f>IF(ISBLANK(tabItens[[#This Row],[CÓDIGO]]),"",IFERROR(VLOOKUP(tabItens[[#This Row],[CÓDIGO]],Consumo!$C$2:$AC$869,26,FALSE),0))</f>
        <v>07.2023</v>
      </c>
      <c r="AS651" s="316">
        <f>SUMIF(Consumo!$C$3:$C$869,tabItens[[#This Row],[CÓDIGO]],Consumo!$N$3:$N$869) + SUMIF(Consumo!$C$3:$C$869,tabItens[[#This Row],[CÓDIGO]],Consumo!$O$3:$O$869) + SUMIF(Consumo!$C$3:$C$869,tabItens[[#This Row],[CÓDIGO]],Consumo!$P$3:$P$869) + SUMIF(Consumo!$C$3:$C$869,tabItens[[#This Row],[CÓDIGO]],Consumo!$Q$3:$Q$869)</f>
        <v>2317</v>
      </c>
      <c r="AT651" s="316">
        <f>SUMIF(Consumo!$C$3:$C$869,tabItens[[#This Row],[CÓDIGO]],Consumo!$Z$3:$Z$869)</f>
        <v>12704</v>
      </c>
      <c r="AU651" s="317">
        <f>SUMIF(Consumo!$C$3:$C$869,tabItens[[#This Row],[CÓDIGO]],Consumo!$AA$3:$AA$869)</f>
        <v>5390</v>
      </c>
      <c r="AV651" s="318">
        <f>SUMIF(Consumo!$C$3:$C$869,tabItens[[#This Row],[CÓDIGO]],Consumo!$Y$3:$Y$869)</f>
        <v>921.58333333333337</v>
      </c>
      <c r="AW651" s="291">
        <f>tabItens[[#This Row],[QTDE ATUAL]] + tabItens[[#This Row],[RC QTDE]] + tabItens[[#This Row],[AF SALDO]] + tabItens[[#This Row],[Recentes]]</f>
        <v>7883</v>
      </c>
      <c r="AX651" s="319">
        <v>1240</v>
      </c>
      <c r="AY651" s="319">
        <v>4</v>
      </c>
      <c r="AZ651" s="319">
        <f>IF(ISBLANK(tabItens[[#This Row],[CÓDIGO]]),"",tabItens[[#This Row],[PontoMês]] * (AZ$2+tabItens[[#This Row],[PontoQtM]]))</f>
        <v>4960</v>
      </c>
      <c r="BA651" s="318">
        <f>tabItens[[#This Row],[PontoPed]] - tabItens[[#This Row],[Saldo]] + (1/10)</f>
        <v>-2922.9</v>
      </c>
      <c r="BB651" s="318">
        <f xml:space="preserve"> tabItens[[#This Row],[PontoMês]] * BB$2 - tabItens[[#This Row],[QTDE ATUAL]] - (1/10)</f>
        <v>-6643.1</v>
      </c>
      <c r="BC651" s="320">
        <f>IF( tabItens[[#This Row],[PontoPed]]&gt;0, IF(tabItens[[#This Row],[PontoPed]]&lt;1, 1, IF( tabItens[[#This Row],[Saldo]]&gt;tabItens[[#This Row],[PontoPed]], 0, (tabItens[[#This Row],[PontoPed]]-tabItens[[#This Row],[Saldo]])/tabItens[[#This Row],[PontoPed]] ) ), 0 )</f>
        <v>0</v>
      </c>
      <c r="BD651" s="321">
        <f>ROUNDDOWN(IF( OR( AND(tabItens[[#This Row],[PontoPed]]&lt;tabItens[[#This Row],[Saldo]],tabItens[[#This Row],[Saldo]]&gt;0), tabItens[[#This Row],[PontoPed]]=0), 99, IF(AND(tabItens[[#This Row],[Saldo]]=0,tabItens[[#This Row],[PontoPed]]&gt;0), 0, (1-tabItens[[#This Row],[PctAb]])*10 ) ),0)</f>
        <v>99</v>
      </c>
      <c r="BE651" s="322">
        <f>MAX(ROUNDDOWN( IF(tabItens[[#This Row],[Abaixo]] &gt; 0,   tabItens[[#This Row],[Abaixo]] + (tabItens[[#This Row],[PontoMês]] * IF( OR( ISBLANK(tabItens[[#This Row],[ATA Nº/ANO]]), tabItens[[#This Row],[ATA Nº/ANO]] = ""),BE$2,BE$1)),0),0),0)</f>
        <v>0</v>
      </c>
      <c r="BF65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323">
        <f>SUMIF(Consumo!$C$3:$C$869,tabItens[[#This Row],[CÓDIGO]],Consumo!$E$3:$E$869)</f>
        <v>303</v>
      </c>
      <c r="BH651" s="324">
        <f>IF(AND(tabItens[[#This Row],[Pend]] &gt; 0,tabItens[[#This Row],[Consumo]] &lt;&gt; 0), tabItens[[#This Row],[Pend]] / tabItens[[#This Row],[Consumo]], 0 )</f>
        <v>2.3850755667506298E-2</v>
      </c>
      <c r="BI651" s="323"/>
      <c r="BJ651" s="323"/>
      <c r="BK651" s="325" t="s">
        <v>2064</v>
      </c>
    </row>
    <row r="652" spans="1:63" hidden="1" x14ac:dyDescent="0.3">
      <c r="A652" s="286">
        <v>132647</v>
      </c>
      <c r="B652" s="287" t="s">
        <v>1829</v>
      </c>
      <c r="C652" s="288" t="s">
        <v>31</v>
      </c>
      <c r="D652" s="289">
        <v>1.49</v>
      </c>
      <c r="E652" s="290"/>
      <c r="F652" s="290"/>
      <c r="G652" s="290" t="s">
        <v>883</v>
      </c>
      <c r="H652" s="291">
        <v>985</v>
      </c>
      <c r="I652" s="292">
        <v>103003</v>
      </c>
      <c r="J652" s="293">
        <v>1.49</v>
      </c>
      <c r="K652" s="294">
        <v>11272</v>
      </c>
      <c r="L652" s="295">
        <f>IF(tabItens[[#This Row],[Média]] &gt; 0, tabItens[[#This Row],[QTDE ATUAL]] / tabItens[[#This Row],[Média]],999.9)</f>
        <v>0.97863884749130647</v>
      </c>
      <c r="M652" s="296">
        <v>0</v>
      </c>
      <c r="N652" s="297">
        <f>tabItens[[#This Row],[VALOR UNIT.]] * tabItens[[#This Row],[LC]]</f>
        <v>0</v>
      </c>
      <c r="O652" s="298"/>
      <c r="P652" s="299"/>
      <c r="Q652" s="300"/>
      <c r="R652" s="297"/>
      <c r="S652" s="301"/>
      <c r="T652" s="302">
        <f>ROUNDDOWN(IFERROR(tabItens[[#This Row],[ATA DT.VALID.]] - $D$1,0) / 30,0)</f>
        <v>-1504</v>
      </c>
      <c r="U652" s="287" t="s">
        <v>903</v>
      </c>
      <c r="V652" s="303">
        <v>1</v>
      </c>
      <c r="W652" s="304" t="s">
        <v>2052</v>
      </c>
      <c r="X652" s="305">
        <v>45</v>
      </c>
      <c r="Y652" s="306">
        <v>10</v>
      </c>
      <c r="Z652" s="307">
        <v>6979</v>
      </c>
      <c r="AA652" s="308">
        <v>2023</v>
      </c>
      <c r="AB652" s="309">
        <v>3800</v>
      </c>
      <c r="AC652" s="309"/>
      <c r="AD652" s="308"/>
      <c r="AE652" s="309"/>
      <c r="AF652" s="302"/>
      <c r="AG652" s="310" t="s">
        <v>2050</v>
      </c>
      <c r="AH652" s="311"/>
      <c r="AI652" s="302">
        <v>8214</v>
      </c>
      <c r="AJ652" s="311">
        <v>44924</v>
      </c>
      <c r="AK652" s="311">
        <v>42860</v>
      </c>
      <c r="AL652" s="311">
        <v>44910</v>
      </c>
      <c r="AM652" s="301"/>
      <c r="AN652" s="290"/>
      <c r="AO652" s="312" t="str">
        <f>_xlfn.IFNA(IF(VLOOKUP(tabItens[[#This Row],[CÓDIGO]],tabExcluirDoEstoque[#Data],1,FALSE),"sim",""),"")</f>
        <v/>
      </c>
      <c r="AP652" s="313" t="str">
        <f ca="1">IF(OR(ISBLANK(tabItens[[#This Row],[ATA DT.VALID.]]),tabItens[[#This Row],[ATA DT.VALID.]]="",tabItens[[#This Row],[ATA DT.VALID.]]=" "),"",IF(TYPE(tabItens[[#This Row],[ATA DT.VALID.]])=1,ROUNDUP((tabItens[[#This Row],[ATA DT.VALID.]]-TODAY())/7,0),""))</f>
        <v/>
      </c>
      <c r="AQ652" s="314"/>
      <c r="AR652" s="315" t="str">
        <f>IF(ISBLANK(tabItens[[#This Row],[CÓDIGO]]),"",IFERROR(VLOOKUP(tabItens[[#This Row],[CÓDIGO]],Consumo!$C$2:$AC$869,26,FALSE),0))</f>
        <v>07.2023</v>
      </c>
      <c r="AS652" s="316">
        <f>SUMIF(Consumo!$C$3:$C$869,tabItens[[#This Row],[CÓDIGO]],Consumo!$N$3:$N$869) + SUMIF(Consumo!$C$3:$C$869,tabItens[[#This Row],[CÓDIGO]],Consumo!$O$3:$O$869) + SUMIF(Consumo!$C$3:$C$869,tabItens[[#This Row],[CÓDIGO]],Consumo!$P$3:$P$869) + SUMIF(Consumo!$C$3:$C$869,tabItens[[#This Row],[CÓDIGO]],Consumo!$Q$3:$Q$869)</f>
        <v>2434</v>
      </c>
      <c r="AT652" s="316">
        <f>SUMIF(Consumo!$C$3:$C$869,tabItens[[#This Row],[CÓDIGO]],Consumo!$Z$3:$Z$869)</f>
        <v>14566</v>
      </c>
      <c r="AU652" s="317">
        <f>SUMIF(Consumo!$C$3:$C$869,tabItens[[#This Row],[CÓDIGO]],Consumo!$AA$3:$AA$869)</f>
        <v>7646</v>
      </c>
      <c r="AV652" s="318">
        <f>SUMIF(Consumo!$C$3:$C$869,tabItens[[#This Row],[CÓDIGO]],Consumo!$Y$3:$Y$869)</f>
        <v>1006.5</v>
      </c>
      <c r="AW652" s="291">
        <f>tabItens[[#This Row],[QTDE ATUAL]] + tabItens[[#This Row],[RC QTDE]] + tabItens[[#This Row],[AF SALDO]] + tabItens[[#This Row],[Recentes]]</f>
        <v>4785</v>
      </c>
      <c r="AX652" s="319">
        <v>1149</v>
      </c>
      <c r="AY652" s="319">
        <v>4</v>
      </c>
      <c r="AZ652" s="319">
        <f>IF(ISBLANK(tabItens[[#This Row],[CÓDIGO]]),"",tabItens[[#This Row],[PontoMês]] * (AZ$2+tabItens[[#This Row],[PontoQtM]]))</f>
        <v>4596</v>
      </c>
      <c r="BA652" s="318">
        <f>tabItens[[#This Row],[PontoPed]] - tabItens[[#This Row],[Saldo]] + (1/10)</f>
        <v>-188.9</v>
      </c>
      <c r="BB652" s="318">
        <f xml:space="preserve"> tabItens[[#This Row],[PontoMês]] * BB$2 - tabItens[[#This Row],[QTDE ATUAL]] - (1/10)</f>
        <v>163.9</v>
      </c>
      <c r="BC652" s="320">
        <f>IF( tabItens[[#This Row],[PontoPed]]&gt;0, IF(tabItens[[#This Row],[PontoPed]]&lt;1, 1, IF( tabItens[[#This Row],[Saldo]]&gt;tabItens[[#This Row],[PontoPed]], 0, (tabItens[[#This Row],[PontoPed]]-tabItens[[#This Row],[Saldo]])/tabItens[[#This Row],[PontoPed]] ) ), 0 )</f>
        <v>0</v>
      </c>
      <c r="BD652" s="321">
        <f>ROUNDDOWN(IF( OR( AND(tabItens[[#This Row],[PontoPed]]&lt;tabItens[[#This Row],[Saldo]],tabItens[[#This Row],[Saldo]]&gt;0), tabItens[[#This Row],[PontoPed]]=0), 99, IF(AND(tabItens[[#This Row],[Saldo]]=0,tabItens[[#This Row],[PontoPed]]&gt;0), 0, (1-tabItens[[#This Row],[PctAb]])*10 ) ),0)</f>
        <v>99</v>
      </c>
      <c r="BE652" s="322">
        <f>MAX(ROUNDDOWN( IF(tabItens[[#This Row],[Abaixo]] &gt; 0,   tabItens[[#This Row],[Abaixo]] + (tabItens[[#This Row],[PontoMês]] * IF( OR( ISBLANK(tabItens[[#This Row],[ATA Nº/ANO]]), tabItens[[#This Row],[ATA Nº/ANO]] = ""),BE$2,BE$1)),0),0),0)</f>
        <v>0</v>
      </c>
      <c r="BF65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323">
        <f>SUMIF(Consumo!$C$3:$C$869,tabItens[[#This Row],[CÓDIGO]],Consumo!$E$3:$E$869)</f>
        <v>1</v>
      </c>
      <c r="BH652" s="324">
        <f>IF(AND(tabItens[[#This Row],[Pend]] &gt; 0,tabItens[[#This Row],[Consumo]] &lt;&gt; 0), tabItens[[#This Row],[Pend]] / tabItens[[#This Row],[Consumo]], 0 )</f>
        <v>6.8653027598517094E-5</v>
      </c>
      <c r="BI652" s="323"/>
      <c r="BJ652" s="323"/>
      <c r="BK652" s="325" t="s">
        <v>2064</v>
      </c>
    </row>
    <row r="653" spans="1:63" x14ac:dyDescent="0.3">
      <c r="A653" s="396">
        <v>132649</v>
      </c>
      <c r="B653" s="397" t="s">
        <v>1830</v>
      </c>
      <c r="C653" s="398" t="s">
        <v>31</v>
      </c>
      <c r="D653" s="399">
        <v>0.99</v>
      </c>
      <c r="E653" s="290"/>
      <c r="F653" s="400"/>
      <c r="G653" s="400" t="s">
        <v>883</v>
      </c>
      <c r="H653" s="401">
        <v>0</v>
      </c>
      <c r="I653" s="292">
        <v>103003</v>
      </c>
      <c r="J653" s="293">
        <v>0.99</v>
      </c>
      <c r="K653" s="402">
        <v>9007</v>
      </c>
      <c r="L653" s="403">
        <f>IF(tabItens[[#This Row],[Média]] &gt; 0, tabItens[[#This Row],[QTDE ATUAL]] / tabItens[[#This Row],[Média]],999.9)</f>
        <v>0</v>
      </c>
      <c r="M653" s="404">
        <v>0</v>
      </c>
      <c r="N653" s="405">
        <f>tabItens[[#This Row],[VALOR UNIT.]] * tabItens[[#This Row],[LC]]</f>
        <v>0</v>
      </c>
      <c r="O653" s="406"/>
      <c r="P653" s="407"/>
      <c r="Q653" s="408"/>
      <c r="R653" s="297"/>
      <c r="S653" s="409"/>
      <c r="T653" s="410">
        <f>ROUNDDOWN(IFERROR(tabItens[[#This Row],[ATA DT.VALID.]] - $D$1,0) / 30,0)</f>
        <v>-1504</v>
      </c>
      <c r="U653" s="287" t="s">
        <v>903</v>
      </c>
      <c r="V653" s="303">
        <v>1</v>
      </c>
      <c r="W653" s="411" t="s">
        <v>2052</v>
      </c>
      <c r="X653" s="412">
        <v>45</v>
      </c>
      <c r="Y653" s="413">
        <v>10</v>
      </c>
      <c r="Z653" s="414">
        <v>6979</v>
      </c>
      <c r="AA653" s="415">
        <v>2023</v>
      </c>
      <c r="AB653" s="416">
        <v>4300</v>
      </c>
      <c r="AC653" s="416"/>
      <c r="AD653" s="415"/>
      <c r="AE653" s="416"/>
      <c r="AF653" s="302"/>
      <c r="AG653" s="417" t="s">
        <v>2050</v>
      </c>
      <c r="AH653" s="418"/>
      <c r="AI653" s="302">
        <v>3054</v>
      </c>
      <c r="AJ653" s="418">
        <v>44951</v>
      </c>
      <c r="AK653" s="311">
        <v>42860</v>
      </c>
      <c r="AL653" s="311">
        <v>44910</v>
      </c>
      <c r="AM653" s="301"/>
      <c r="AN653" s="290"/>
      <c r="AO653" s="312" t="str">
        <f>_xlfn.IFNA(IF(VLOOKUP(tabItens[[#This Row],[CÓDIGO]],tabExcluirDoEstoque[#Data],1,FALSE),"sim",""),"")</f>
        <v/>
      </c>
      <c r="AP653" s="419" t="str">
        <f ca="1">IF(OR(ISBLANK(tabItens[[#This Row],[ATA DT.VALID.]]),tabItens[[#This Row],[ATA DT.VALID.]]="",tabItens[[#This Row],[ATA DT.VALID.]]=" "),"",IF(TYPE(tabItens[[#This Row],[ATA DT.VALID.]])=1,ROUNDUP((tabItens[[#This Row],[ATA DT.VALID.]]-TODAY())/7,0),""))</f>
        <v/>
      </c>
      <c r="AQ653" s="314"/>
      <c r="AR653" s="315" t="str">
        <f>IF(ISBLANK(tabItens[[#This Row],[CÓDIGO]]),"",IFERROR(VLOOKUP(tabItens[[#This Row],[CÓDIGO]],Consumo!$C$2:$AC$869,26,FALSE),0))</f>
        <v>06.2023</v>
      </c>
      <c r="AS653" s="316">
        <f>SUMIF(Consumo!$C$3:$C$869,tabItens[[#This Row],[CÓDIGO]],Consumo!$N$3:$N$869) + SUMIF(Consumo!$C$3:$C$869,tabItens[[#This Row],[CÓDIGO]],Consumo!$O$3:$O$869) + SUMIF(Consumo!$C$3:$C$869,tabItens[[#This Row],[CÓDIGO]],Consumo!$P$3:$P$869) + SUMIF(Consumo!$C$3:$C$869,tabItens[[#This Row],[CÓDIGO]],Consumo!$Q$3:$Q$869)</f>
        <v>244</v>
      </c>
      <c r="AT653" s="316">
        <f>SUMIF(Consumo!$C$3:$C$869,tabItens[[#This Row],[CÓDIGO]],Consumo!$Z$3:$Z$869)</f>
        <v>9863</v>
      </c>
      <c r="AU653" s="317">
        <f>SUMIF(Consumo!$C$3:$C$869,tabItens[[#This Row],[CÓDIGO]],Consumo!$AA$3:$AA$869)</f>
        <v>7130</v>
      </c>
      <c r="AV653" s="318">
        <f>SUMIF(Consumo!$C$3:$C$869,tabItens[[#This Row],[CÓDIGO]],Consumo!$Y$3:$Y$869)</f>
        <v>617.83333333333337</v>
      </c>
      <c r="AW653" s="401">
        <f>tabItens[[#This Row],[QTDE ATUAL]] + tabItens[[#This Row],[RC QTDE]] + tabItens[[#This Row],[AF SALDO]] + tabItens[[#This Row],[Recentes]]</f>
        <v>4300</v>
      </c>
      <c r="AX653" s="420">
        <v>883</v>
      </c>
      <c r="AY653" s="420">
        <v>4</v>
      </c>
      <c r="AZ653" s="420">
        <f>IF(ISBLANK(tabItens[[#This Row],[CÓDIGO]]),"",tabItens[[#This Row],[PontoMês]] * (AZ$2+tabItens[[#This Row],[PontoQtM]]))</f>
        <v>3532</v>
      </c>
      <c r="BA653" s="421">
        <f>tabItens[[#This Row],[PontoPed]] - tabItens[[#This Row],[Saldo]] + (1/10)</f>
        <v>-767.9</v>
      </c>
      <c r="BB653" s="421">
        <f xml:space="preserve"> tabItens[[#This Row],[PontoMês]] * BB$2 - tabItens[[#This Row],[QTDE ATUAL]] - (1/10)</f>
        <v>882.9</v>
      </c>
      <c r="BC653" s="320">
        <f>IF( tabItens[[#This Row],[PontoPed]]&gt;0, IF(tabItens[[#This Row],[PontoPed]]&lt;1, 1, IF( tabItens[[#This Row],[Saldo]]&gt;tabItens[[#This Row],[PontoPed]], 0, (tabItens[[#This Row],[PontoPed]]-tabItens[[#This Row],[Saldo]])/tabItens[[#This Row],[PontoPed]] ) ), 0 )</f>
        <v>0</v>
      </c>
      <c r="BD653" s="422">
        <f>ROUNDDOWN(IF( OR( AND(tabItens[[#This Row],[PontoPed]]&lt;tabItens[[#This Row],[Saldo]],tabItens[[#This Row],[Saldo]]&gt;0), tabItens[[#This Row],[PontoPed]]=0), 99, IF(AND(tabItens[[#This Row],[Saldo]]=0,tabItens[[#This Row],[PontoPed]]&gt;0), 0, (1-tabItens[[#This Row],[PctAb]])*10 ) ),0)</f>
        <v>99</v>
      </c>
      <c r="BE653" s="423">
        <f>MAX(ROUNDDOWN( IF(tabItens[[#This Row],[Abaixo]] &gt; 0,   tabItens[[#This Row],[Abaixo]] + (tabItens[[#This Row],[PontoMês]] * IF( OR( ISBLANK(tabItens[[#This Row],[ATA Nº/ANO]]), tabItens[[#This Row],[ATA Nº/ANO]] = ""),BE$2,BE$1)),0),0),0)</f>
        <v>0</v>
      </c>
      <c r="BF653"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3" s="323">
        <f>SUMIF(Consumo!$C$3:$C$869,tabItens[[#This Row],[CÓDIGO]],Consumo!$E$3:$E$869)</f>
        <v>703</v>
      </c>
      <c r="BH653" s="324">
        <f>IF(AND(tabItens[[#This Row],[Pend]] &gt; 0,tabItens[[#This Row],[Consumo]] &lt;&gt; 0), tabItens[[#This Row],[Pend]] / tabItens[[#This Row],[Consumo]], 0 )</f>
        <v>7.1276487884010947E-2</v>
      </c>
      <c r="BI653" s="323"/>
      <c r="BJ653" s="424"/>
      <c r="BK653" s="425" t="s">
        <v>2064</v>
      </c>
    </row>
    <row r="654" spans="1:63" hidden="1" x14ac:dyDescent="0.3">
      <c r="A654" s="286">
        <v>132655</v>
      </c>
      <c r="B654" s="287" t="s">
        <v>1832</v>
      </c>
      <c r="C654" s="288" t="s">
        <v>31</v>
      </c>
      <c r="D654" s="289">
        <v>1.48</v>
      </c>
      <c r="E654" s="290"/>
      <c r="F654" s="290"/>
      <c r="G654" s="290" t="s">
        <v>883</v>
      </c>
      <c r="H654" s="291">
        <v>8241</v>
      </c>
      <c r="I654" s="292">
        <v>103003</v>
      </c>
      <c r="J654" s="293">
        <v>1.48</v>
      </c>
      <c r="K654" s="294">
        <v>28774</v>
      </c>
      <c r="L654" s="295">
        <f>IF(tabItens[[#This Row],[Média]] &gt; 0, tabItens[[#This Row],[QTDE ATUAL]] / tabItens[[#This Row],[Média]],999.9)</f>
        <v>3.2696974706563071</v>
      </c>
      <c r="M654" s="296">
        <v>0</v>
      </c>
      <c r="N654" s="297">
        <f>tabItens[[#This Row],[VALOR UNIT.]] * tabItens[[#This Row],[LC]]</f>
        <v>0</v>
      </c>
      <c r="O654" s="298"/>
      <c r="P654" s="299"/>
      <c r="Q654" s="300"/>
      <c r="R654" s="297"/>
      <c r="S654" s="301"/>
      <c r="T654" s="302">
        <f>ROUNDDOWN(IFERROR(tabItens[[#This Row],[ATA DT.VALID.]] - $D$1,0) / 30,0)</f>
        <v>-1504</v>
      </c>
      <c r="U654" s="287" t="s">
        <v>903</v>
      </c>
      <c r="V654" s="303">
        <v>1</v>
      </c>
      <c r="W654" s="304" t="s">
        <v>2052</v>
      </c>
      <c r="X654" s="305">
        <v>45</v>
      </c>
      <c r="Y654" s="306">
        <v>10</v>
      </c>
      <c r="Z654" s="307">
        <v>6209</v>
      </c>
      <c r="AA654" s="308">
        <v>2023</v>
      </c>
      <c r="AB654" s="309">
        <v>3000</v>
      </c>
      <c r="AC654" s="309"/>
      <c r="AD654" s="308"/>
      <c r="AE654" s="309"/>
      <c r="AF654" s="302"/>
      <c r="AG654" s="310" t="s">
        <v>2050</v>
      </c>
      <c r="AH654" s="311"/>
      <c r="AI654" s="302">
        <v>11432</v>
      </c>
      <c r="AJ654" s="311">
        <v>44993</v>
      </c>
      <c r="AK654" s="311">
        <v>42860</v>
      </c>
      <c r="AL654" s="311">
        <v>44959</v>
      </c>
      <c r="AM654" s="301"/>
      <c r="AN654" s="290"/>
      <c r="AO654" s="312" t="str">
        <f>_xlfn.IFNA(IF(VLOOKUP(tabItens[[#This Row],[CÓDIGO]],tabExcluirDoEstoque[#Data],1,FALSE),"sim",""),"")</f>
        <v/>
      </c>
      <c r="AP654" s="313" t="str">
        <f ca="1">IF(OR(ISBLANK(tabItens[[#This Row],[ATA DT.VALID.]]),tabItens[[#This Row],[ATA DT.VALID.]]="",tabItens[[#This Row],[ATA DT.VALID.]]=" "),"",IF(TYPE(tabItens[[#This Row],[ATA DT.VALID.]])=1,ROUNDUP((tabItens[[#This Row],[ATA DT.VALID.]]-TODAY())/7,0),""))</f>
        <v/>
      </c>
      <c r="AQ654" s="314"/>
      <c r="AR654" s="315" t="str">
        <f>IF(ISBLANK(tabItens[[#This Row],[CÓDIGO]]),"",IFERROR(VLOOKUP(tabItens[[#This Row],[CÓDIGO]],Consumo!$C$2:$AC$869,26,FALSE),0))</f>
        <v>07.2023</v>
      </c>
      <c r="AS654" s="316">
        <f>SUMIF(Consumo!$C$3:$C$869,tabItens[[#This Row],[CÓDIGO]],Consumo!$N$3:$N$869) + SUMIF(Consumo!$C$3:$C$869,tabItens[[#This Row],[CÓDIGO]],Consumo!$O$3:$O$869) + SUMIF(Consumo!$C$3:$C$869,tabItens[[#This Row],[CÓDIGO]],Consumo!$P$3:$P$869) + SUMIF(Consumo!$C$3:$C$869,tabItens[[#This Row],[CÓDIGO]],Consumo!$Q$3:$Q$869)</f>
        <v>10076</v>
      </c>
      <c r="AT654" s="316">
        <f>SUMIF(Consumo!$C$3:$C$869,tabItens[[#This Row],[CÓDIGO]],Consumo!$Z$3:$Z$869)</f>
        <v>35241</v>
      </c>
      <c r="AU654" s="317">
        <f>SUMIF(Consumo!$C$3:$C$869,tabItens[[#This Row],[CÓDIGO]],Consumo!$AA$3:$AA$869)</f>
        <v>16416</v>
      </c>
      <c r="AV654" s="318">
        <f>SUMIF(Consumo!$C$3:$C$869,tabItens[[#This Row],[CÓDIGO]],Consumo!$Y$3:$Y$869)</f>
        <v>2520.4166666666665</v>
      </c>
      <c r="AW654" s="291">
        <f>tabItens[[#This Row],[QTDE ATUAL]] + tabItens[[#This Row],[RC QTDE]] + tabItens[[#This Row],[AF SALDO]] + tabItens[[#This Row],[Recentes]]</f>
        <v>11241</v>
      </c>
      <c r="AX654" s="319">
        <v>2694</v>
      </c>
      <c r="AY654" s="319">
        <v>4</v>
      </c>
      <c r="AZ654" s="319">
        <f>IF(ISBLANK(tabItens[[#This Row],[CÓDIGO]]),"",tabItens[[#This Row],[PontoMês]] * (AZ$2+tabItens[[#This Row],[PontoQtM]]))</f>
        <v>10776</v>
      </c>
      <c r="BA654" s="318">
        <f>tabItens[[#This Row],[PontoPed]] - tabItens[[#This Row],[Saldo]] + (1/10)</f>
        <v>-464.9</v>
      </c>
      <c r="BB654" s="318">
        <f xml:space="preserve"> tabItens[[#This Row],[PontoMês]] * BB$2 - tabItens[[#This Row],[QTDE ATUAL]] - (1/10)</f>
        <v>-5547.1</v>
      </c>
      <c r="BC654" s="320">
        <f>IF( tabItens[[#This Row],[PontoPed]]&gt;0, IF(tabItens[[#This Row],[PontoPed]]&lt;1, 1, IF( tabItens[[#This Row],[Saldo]]&gt;tabItens[[#This Row],[PontoPed]], 0, (tabItens[[#This Row],[PontoPed]]-tabItens[[#This Row],[Saldo]])/tabItens[[#This Row],[PontoPed]] ) ), 0 )</f>
        <v>0</v>
      </c>
      <c r="BD654" s="321">
        <f>ROUNDDOWN(IF( OR( AND(tabItens[[#This Row],[PontoPed]]&lt;tabItens[[#This Row],[Saldo]],tabItens[[#This Row],[Saldo]]&gt;0), tabItens[[#This Row],[PontoPed]]=0), 99, IF(AND(tabItens[[#This Row],[Saldo]]=0,tabItens[[#This Row],[PontoPed]]&gt;0), 0, (1-tabItens[[#This Row],[PctAb]])*10 ) ),0)</f>
        <v>99</v>
      </c>
      <c r="BE654" s="322">
        <f>MAX(ROUNDDOWN( IF(tabItens[[#This Row],[Abaixo]] &gt; 0,   tabItens[[#This Row],[Abaixo]] + (tabItens[[#This Row],[PontoMês]] * IF( OR( ISBLANK(tabItens[[#This Row],[ATA Nº/ANO]]), tabItens[[#This Row],[ATA Nº/ANO]] = ""),BE$2,BE$1)),0),0),0)</f>
        <v>0</v>
      </c>
      <c r="BF65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4" s="323">
        <f>SUMIF(Consumo!$C$3:$C$869,tabItens[[#This Row],[CÓDIGO]],Consumo!$E$3:$E$869)</f>
        <v>947</v>
      </c>
      <c r="BH654" s="324">
        <f>IF(AND(tabItens[[#This Row],[Pend]] &gt; 0,tabItens[[#This Row],[Consumo]] &lt;&gt; 0), tabItens[[#This Row],[Pend]] / tabItens[[#This Row],[Consumo]], 0 )</f>
        <v>2.6872109190999121E-2</v>
      </c>
      <c r="BI654" s="323"/>
      <c r="BJ654" s="323"/>
      <c r="BK654" s="325" t="s">
        <v>2064</v>
      </c>
    </row>
    <row r="655" spans="1:63" hidden="1" x14ac:dyDescent="0.3">
      <c r="A655" s="286">
        <v>132656</v>
      </c>
      <c r="B655" s="287" t="s">
        <v>1833</v>
      </c>
      <c r="C655" s="288" t="s">
        <v>31</v>
      </c>
      <c r="D655" s="289">
        <v>2.19</v>
      </c>
      <c r="E655" s="290"/>
      <c r="F655" s="290"/>
      <c r="G655" s="290" t="s">
        <v>883</v>
      </c>
      <c r="H655" s="291">
        <v>3287</v>
      </c>
      <c r="I655" s="292">
        <v>103003</v>
      </c>
      <c r="J655" s="293">
        <v>2.19</v>
      </c>
      <c r="K655" s="294">
        <v>28783</v>
      </c>
      <c r="L655" s="295">
        <f>IF(tabItens[[#This Row],[Média]] &gt; 0, tabItens[[#This Row],[QTDE ATUAL]] / tabItens[[#This Row],[Média]],999.9)</f>
        <v>1.2890196078431373</v>
      </c>
      <c r="M655" s="296">
        <v>0</v>
      </c>
      <c r="N655" s="297">
        <f>tabItens[[#This Row],[VALOR UNIT.]] * tabItens[[#This Row],[LC]]</f>
        <v>0</v>
      </c>
      <c r="O655" s="298"/>
      <c r="P655" s="299"/>
      <c r="Q655" s="300"/>
      <c r="R655" s="297"/>
      <c r="S655" s="301"/>
      <c r="T655" s="302">
        <f>ROUNDDOWN(IFERROR(tabItens[[#This Row],[ATA DT.VALID.]] - $D$1,0) / 30,0)</f>
        <v>-1504</v>
      </c>
      <c r="U655" s="287" t="s">
        <v>903</v>
      </c>
      <c r="V655" s="303">
        <v>1</v>
      </c>
      <c r="W655" s="304" t="s">
        <v>2052</v>
      </c>
      <c r="X655" s="305">
        <v>45</v>
      </c>
      <c r="Y655" s="306">
        <v>10</v>
      </c>
      <c r="Z655" s="307">
        <v>6211</v>
      </c>
      <c r="AA655" s="308">
        <v>2023</v>
      </c>
      <c r="AB655" s="309">
        <v>8000</v>
      </c>
      <c r="AC655" s="309"/>
      <c r="AD655" s="308"/>
      <c r="AE655" s="309"/>
      <c r="AF655" s="302"/>
      <c r="AG655" s="310" t="s">
        <v>2050</v>
      </c>
      <c r="AH655" s="311"/>
      <c r="AI655" s="302">
        <v>22494</v>
      </c>
      <c r="AJ655" s="311">
        <v>44924</v>
      </c>
      <c r="AK655" s="311">
        <v>42860</v>
      </c>
      <c r="AL655" s="311">
        <v>44910</v>
      </c>
      <c r="AM655" s="301"/>
      <c r="AN655" s="290"/>
      <c r="AO655" s="312" t="str">
        <f>_xlfn.IFNA(IF(VLOOKUP(tabItens[[#This Row],[CÓDIGO]],tabExcluirDoEstoque[#Data],1,FALSE),"sim",""),"")</f>
        <v/>
      </c>
      <c r="AP655" s="313" t="str">
        <f ca="1">IF(OR(ISBLANK(tabItens[[#This Row],[ATA DT.VALID.]]),tabItens[[#This Row],[ATA DT.VALID.]]="",tabItens[[#This Row],[ATA DT.VALID.]]=" "),"",IF(TYPE(tabItens[[#This Row],[ATA DT.VALID.]])=1,ROUNDUP((tabItens[[#This Row],[ATA DT.VALID.]]-TODAY())/7,0),""))</f>
        <v/>
      </c>
      <c r="AQ655" s="314"/>
      <c r="AR655" s="315" t="str">
        <f>IF(ISBLANK(tabItens[[#This Row],[CÓDIGO]]),"",IFERROR(VLOOKUP(tabItens[[#This Row],[CÓDIGO]],Consumo!$C$2:$AC$869,26,FALSE),0))</f>
        <v>07.2023</v>
      </c>
      <c r="AS655" s="316">
        <f>SUMIF(Consumo!$C$3:$C$869,tabItens[[#This Row],[CÓDIGO]],Consumo!$N$3:$N$869) + SUMIF(Consumo!$C$3:$C$869,tabItens[[#This Row],[CÓDIGO]],Consumo!$O$3:$O$869) + SUMIF(Consumo!$C$3:$C$869,tabItens[[#This Row],[CÓDIGO]],Consumo!$P$3:$P$869) + SUMIF(Consumo!$C$3:$C$869,tabItens[[#This Row],[CÓDIGO]],Consumo!$Q$3:$Q$869)</f>
        <v>9999</v>
      </c>
      <c r="AT655" s="316">
        <f>SUMIF(Consumo!$C$3:$C$869,tabItens[[#This Row],[CÓDIGO]],Consumo!$Z$3:$Z$869)</f>
        <v>35588</v>
      </c>
      <c r="AU655" s="317">
        <f>SUMIF(Consumo!$C$3:$C$869,tabItens[[#This Row],[CÓDIGO]],Consumo!$AA$3:$AA$869)</f>
        <v>16392</v>
      </c>
      <c r="AV655" s="318">
        <f>SUMIF(Consumo!$C$3:$C$869,tabItens[[#This Row],[CÓDIGO]],Consumo!$Y$3:$Y$869)</f>
        <v>2550</v>
      </c>
      <c r="AW655" s="291">
        <f>tabItens[[#This Row],[QTDE ATUAL]] + tabItens[[#This Row],[RC QTDE]] + tabItens[[#This Row],[AF SALDO]] + tabItens[[#This Row],[Recentes]]</f>
        <v>11287</v>
      </c>
      <c r="AX655" s="319">
        <v>2680</v>
      </c>
      <c r="AY655" s="319">
        <v>4</v>
      </c>
      <c r="AZ655" s="319">
        <f>IF(ISBLANK(tabItens[[#This Row],[CÓDIGO]]),"",tabItens[[#This Row],[PontoMês]] * (AZ$2+tabItens[[#This Row],[PontoQtM]]))</f>
        <v>10720</v>
      </c>
      <c r="BA655" s="318">
        <f>tabItens[[#This Row],[PontoPed]] - tabItens[[#This Row],[Saldo]] + (1/10)</f>
        <v>-566.9</v>
      </c>
      <c r="BB655" s="318">
        <f xml:space="preserve"> tabItens[[#This Row],[PontoMês]] * BB$2 - tabItens[[#This Row],[QTDE ATUAL]] - (1/10)</f>
        <v>-607.1</v>
      </c>
      <c r="BC655" s="320">
        <f>IF( tabItens[[#This Row],[PontoPed]]&gt;0, IF(tabItens[[#This Row],[PontoPed]]&lt;1, 1, IF( tabItens[[#This Row],[Saldo]]&gt;tabItens[[#This Row],[PontoPed]], 0, (tabItens[[#This Row],[PontoPed]]-tabItens[[#This Row],[Saldo]])/tabItens[[#This Row],[PontoPed]] ) ), 0 )</f>
        <v>0</v>
      </c>
      <c r="BD655" s="321">
        <f>ROUNDDOWN(IF( OR( AND(tabItens[[#This Row],[PontoPed]]&lt;tabItens[[#This Row],[Saldo]],tabItens[[#This Row],[Saldo]]&gt;0), tabItens[[#This Row],[PontoPed]]=0), 99, IF(AND(tabItens[[#This Row],[Saldo]]=0,tabItens[[#This Row],[PontoPed]]&gt;0), 0, (1-tabItens[[#This Row],[PctAb]])*10 ) ),0)</f>
        <v>99</v>
      </c>
      <c r="BE655" s="322">
        <f>MAX(ROUNDDOWN( IF(tabItens[[#This Row],[Abaixo]] &gt; 0,   tabItens[[#This Row],[Abaixo]] + (tabItens[[#This Row],[PontoMês]] * IF( OR( ISBLANK(tabItens[[#This Row],[ATA Nº/ANO]]), tabItens[[#This Row],[ATA Nº/ANO]] = ""),BE$2,BE$1)),0),0),0)</f>
        <v>0</v>
      </c>
      <c r="BF65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323">
        <f>SUMIF(Consumo!$C$3:$C$869,tabItens[[#This Row],[CÓDIGO]],Consumo!$E$3:$E$869)</f>
        <v>1108</v>
      </c>
      <c r="BH655" s="324">
        <f>IF(AND(tabItens[[#This Row],[Pend]] &gt; 0,tabItens[[#This Row],[Consumo]] &lt;&gt; 0), tabItens[[#This Row],[Pend]] / tabItens[[#This Row],[Consumo]], 0 )</f>
        <v>3.1134090142744746E-2</v>
      </c>
      <c r="BI655" s="323"/>
      <c r="BJ655" s="323"/>
      <c r="BK655" s="325" t="s">
        <v>2064</v>
      </c>
    </row>
    <row r="656" spans="1:63" hidden="1" x14ac:dyDescent="0.3">
      <c r="A656" s="286">
        <v>23581</v>
      </c>
      <c r="B656" s="287" t="s">
        <v>1176</v>
      </c>
      <c r="C656" s="288" t="s">
        <v>31</v>
      </c>
      <c r="D656" s="289">
        <v>0.08</v>
      </c>
      <c r="E656" s="290"/>
      <c r="F656" s="290"/>
      <c r="G656" s="290" t="s">
        <v>883</v>
      </c>
      <c r="H656" s="291">
        <v>15851</v>
      </c>
      <c r="I656" s="292">
        <v>103003</v>
      </c>
      <c r="J656" s="293">
        <v>0.08</v>
      </c>
      <c r="K656" s="294">
        <v>11901</v>
      </c>
      <c r="L656" s="295">
        <f>IF(tabItens[[#This Row],[Média]] &gt; 0, tabItens[[#This Row],[QTDE ATUAL]] / tabItens[[#This Row],[Média]],999.9)</f>
        <v>12.490117538906036</v>
      </c>
      <c r="M656" s="296">
        <v>0</v>
      </c>
      <c r="N656" s="297">
        <f>tabItens[[#This Row],[VALOR UNIT.]] * tabItens[[#This Row],[LC]]</f>
        <v>0</v>
      </c>
      <c r="O656" s="298"/>
      <c r="P656" s="299"/>
      <c r="Q656" s="300"/>
      <c r="R656" s="297"/>
      <c r="S656" s="301"/>
      <c r="T656" s="302">
        <f>ROUNDDOWN(IFERROR(tabItens[[#This Row],[ATA DT.VALID.]] - $D$1,0) / 30,0)</f>
        <v>-1504</v>
      </c>
      <c r="U656" s="287" t="s">
        <v>935</v>
      </c>
      <c r="V656" s="303">
        <v>1</v>
      </c>
      <c r="W656" s="304" t="s">
        <v>2052</v>
      </c>
      <c r="X656" s="305">
        <v>45</v>
      </c>
      <c r="Y656" s="306">
        <v>11</v>
      </c>
      <c r="Z656" s="307"/>
      <c r="AA656" s="308"/>
      <c r="AB656" s="309"/>
      <c r="AC656" s="309"/>
      <c r="AD656" s="308"/>
      <c r="AE656" s="309"/>
      <c r="AF656" s="302"/>
      <c r="AG656" s="310" t="s">
        <v>2050</v>
      </c>
      <c r="AH656" s="311"/>
      <c r="AI656" s="302">
        <v>6234</v>
      </c>
      <c r="AJ656" s="311">
        <v>43628</v>
      </c>
      <c r="AK656" s="311" t="s">
        <v>883</v>
      </c>
      <c r="AL656" s="311">
        <v>45107</v>
      </c>
      <c r="AM656" s="301"/>
      <c r="AN656" s="290"/>
      <c r="AO656" s="312" t="str">
        <f>_xlfn.IFNA(IF(VLOOKUP(tabItens[[#This Row],[CÓDIGO]],tabExcluirDoEstoque[#Data],1,FALSE),"sim",""),"")</f>
        <v/>
      </c>
      <c r="AP656" s="313" t="str">
        <f ca="1">IF(OR(ISBLANK(tabItens[[#This Row],[ATA DT.VALID.]]),tabItens[[#This Row],[ATA DT.VALID.]]="",tabItens[[#This Row],[ATA DT.VALID.]]=" "),"",IF(TYPE(tabItens[[#This Row],[ATA DT.VALID.]])=1,ROUNDUP((tabItens[[#This Row],[ATA DT.VALID.]]-TODAY())/7,0),""))</f>
        <v/>
      </c>
      <c r="AQ656" s="314"/>
      <c r="AR656" s="315" t="str">
        <f>IF(ISBLANK(tabItens[[#This Row],[CÓDIGO]]),"",IFERROR(VLOOKUP(tabItens[[#This Row],[CÓDIGO]],Consumo!$C$2:$AC$869,26,FALSE),0))</f>
        <v>07.2023</v>
      </c>
      <c r="AS656" s="316">
        <f>SUMIF(Consumo!$C$3:$C$869,tabItens[[#This Row],[CÓDIGO]],Consumo!$N$3:$N$869) + SUMIF(Consumo!$C$3:$C$869,tabItens[[#This Row],[CÓDIGO]],Consumo!$O$3:$O$869) + SUMIF(Consumo!$C$3:$C$869,tabItens[[#This Row],[CÓDIGO]],Consumo!$P$3:$P$869) + SUMIF(Consumo!$C$3:$C$869,tabItens[[#This Row],[CÓDIGO]],Consumo!$Q$3:$Q$869)</f>
        <v>3980</v>
      </c>
      <c r="AT656" s="316">
        <f>SUMIF(Consumo!$C$3:$C$869,tabItens[[#This Row],[CÓDIGO]],Consumo!$Z$3:$Z$869)</f>
        <v>16621</v>
      </c>
      <c r="AU656" s="317">
        <f>SUMIF(Consumo!$C$3:$C$869,tabItens[[#This Row],[CÓDIGO]],Consumo!$AA$3:$AA$869)</f>
        <v>5409</v>
      </c>
      <c r="AV656" s="318">
        <f>SUMIF(Consumo!$C$3:$C$869,tabItens[[#This Row],[CÓDIGO]],Consumo!$Y$3:$Y$869)</f>
        <v>1269.0833333333333</v>
      </c>
      <c r="AW656" s="291">
        <f>tabItens[[#This Row],[QTDE ATUAL]] + tabItens[[#This Row],[RC QTDE]] + tabItens[[#This Row],[AF SALDO]] + tabItens[[#This Row],[Recentes]]</f>
        <v>15851</v>
      </c>
      <c r="AX656" s="319">
        <v>1372</v>
      </c>
      <c r="AY656" s="319">
        <v>4</v>
      </c>
      <c r="AZ656" s="319">
        <f>IF(ISBLANK(tabItens[[#This Row],[CÓDIGO]]),"",tabItens[[#This Row],[PontoMês]] * (AZ$2+tabItens[[#This Row],[PontoQtM]]))</f>
        <v>5488</v>
      </c>
      <c r="BA656" s="318">
        <f>tabItens[[#This Row],[PontoPed]] - tabItens[[#This Row],[Saldo]] + (1/10)</f>
        <v>-10362.9</v>
      </c>
      <c r="BB656" s="318">
        <f xml:space="preserve"> tabItens[[#This Row],[PontoMês]] * BB$2 - tabItens[[#This Row],[QTDE ATUAL]] - (1/10)</f>
        <v>-14479.1</v>
      </c>
      <c r="BC656" s="320">
        <f>IF( tabItens[[#This Row],[PontoPed]]&gt;0, IF(tabItens[[#This Row],[PontoPed]]&lt;1, 1, IF( tabItens[[#This Row],[Saldo]]&gt;tabItens[[#This Row],[PontoPed]], 0, (tabItens[[#This Row],[PontoPed]]-tabItens[[#This Row],[Saldo]])/tabItens[[#This Row],[PontoPed]] ) ), 0 )</f>
        <v>0</v>
      </c>
      <c r="BD656" s="321">
        <f>ROUNDDOWN(IF( OR( AND(tabItens[[#This Row],[PontoPed]]&lt;tabItens[[#This Row],[Saldo]],tabItens[[#This Row],[Saldo]]&gt;0), tabItens[[#This Row],[PontoPed]]=0), 99, IF(AND(tabItens[[#This Row],[Saldo]]=0,tabItens[[#This Row],[PontoPed]]&gt;0), 0, (1-tabItens[[#This Row],[PctAb]])*10 ) ),0)</f>
        <v>99</v>
      </c>
      <c r="BE656" s="322">
        <f>MAX(ROUNDDOWN( IF(tabItens[[#This Row],[Abaixo]] &gt; 0,   tabItens[[#This Row],[Abaixo]] + (tabItens[[#This Row],[PontoMês]] * IF( OR( ISBLANK(tabItens[[#This Row],[ATA Nº/ANO]]), tabItens[[#This Row],[ATA Nº/ANO]] = ""),BE$2,BE$1)),0),0),0)</f>
        <v>0</v>
      </c>
      <c r="BF65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323">
        <f>SUMIF(Consumo!$C$3:$C$869,tabItens[[#This Row],[CÓDIGO]],Consumo!$E$3:$E$869)</f>
        <v>0</v>
      </c>
      <c r="BH656" s="324">
        <f>IF(AND(tabItens[[#This Row],[Pend]] &gt; 0,tabItens[[#This Row],[Consumo]] &lt;&gt; 0), tabItens[[#This Row],[Pend]] / tabItens[[#This Row],[Consumo]], 0 )</f>
        <v>0</v>
      </c>
      <c r="BI656" s="323"/>
      <c r="BJ656" s="323"/>
      <c r="BK656" s="325" t="s">
        <v>2064</v>
      </c>
    </row>
    <row r="657" spans="1:63" x14ac:dyDescent="0.3">
      <c r="A657" s="396">
        <v>59074</v>
      </c>
      <c r="B657" s="397" t="s">
        <v>1337</v>
      </c>
      <c r="C657" s="398" t="s">
        <v>1338</v>
      </c>
      <c r="D657" s="399">
        <v>2.4900000000000002</v>
      </c>
      <c r="E657" s="290"/>
      <c r="F657" s="400"/>
      <c r="G657" s="400" t="s">
        <v>883</v>
      </c>
      <c r="H657" s="401">
        <v>0</v>
      </c>
      <c r="I657" s="292">
        <v>103003</v>
      </c>
      <c r="J657" s="293">
        <v>2.4900000000000002</v>
      </c>
      <c r="K657" s="402">
        <v>1358</v>
      </c>
      <c r="L657" s="403">
        <f>IF(tabItens[[#This Row],[Média]] &gt; 0, tabItens[[#This Row],[QTDE ATUAL]] / tabItens[[#This Row],[Média]],999.9)</f>
        <v>0</v>
      </c>
      <c r="M657" s="404">
        <v>0</v>
      </c>
      <c r="N657" s="405">
        <f>tabItens[[#This Row],[VALOR UNIT.]] * tabItens[[#This Row],[LC]]</f>
        <v>0</v>
      </c>
      <c r="O657" s="406"/>
      <c r="P657" s="407"/>
      <c r="Q657" s="408"/>
      <c r="R657" s="297"/>
      <c r="S657" s="409"/>
      <c r="T657" s="410">
        <f>ROUNDDOWN(IFERROR(tabItens[[#This Row],[ATA DT.VALID.]] - $D$1,0) / 30,0)</f>
        <v>-1504</v>
      </c>
      <c r="U657" s="287" t="s">
        <v>935</v>
      </c>
      <c r="V657" s="303">
        <v>1</v>
      </c>
      <c r="W657" s="411" t="s">
        <v>2052</v>
      </c>
      <c r="X657" s="412">
        <v>45</v>
      </c>
      <c r="Y657" s="413">
        <v>11</v>
      </c>
      <c r="Z657" s="414">
        <v>6978</v>
      </c>
      <c r="AA657" s="415">
        <v>2023</v>
      </c>
      <c r="AB657" s="416">
        <v>1000</v>
      </c>
      <c r="AC657" s="416"/>
      <c r="AD657" s="415"/>
      <c r="AE657" s="416"/>
      <c r="AF657" s="302"/>
      <c r="AG657" s="417" t="s">
        <v>2050</v>
      </c>
      <c r="AH657" s="418"/>
      <c r="AI657" s="302">
        <v>580</v>
      </c>
      <c r="AJ657" s="418">
        <v>43635</v>
      </c>
      <c r="AK657" s="311" t="s">
        <v>883</v>
      </c>
      <c r="AL657" s="311">
        <v>45107</v>
      </c>
      <c r="AM657" s="301"/>
      <c r="AN657" s="290"/>
      <c r="AO657" s="312" t="str">
        <f>_xlfn.IFNA(IF(VLOOKUP(tabItens[[#This Row],[CÓDIGO]],tabExcluirDoEstoque[#Data],1,FALSE),"sim",""),"")</f>
        <v/>
      </c>
      <c r="AP657" s="419" t="str">
        <f ca="1">IF(OR(ISBLANK(tabItens[[#This Row],[ATA DT.VALID.]]),tabItens[[#This Row],[ATA DT.VALID.]]="",tabItens[[#This Row],[ATA DT.VALID.]]=" "),"",IF(TYPE(tabItens[[#This Row],[ATA DT.VALID.]])=1,ROUNDUP((tabItens[[#This Row],[ATA DT.VALID.]]-TODAY())/7,0),""))</f>
        <v/>
      </c>
      <c r="AQ657" s="314"/>
      <c r="AR657" s="315" t="str">
        <f>IF(ISBLANK(tabItens[[#This Row],[CÓDIGO]]),"",IFERROR(VLOOKUP(tabItens[[#This Row],[CÓDIGO]],Consumo!$C$2:$AC$869,26,FALSE),0))</f>
        <v>05.2023</v>
      </c>
      <c r="AS657" s="316">
        <f>SUMIF(Consumo!$C$3:$C$869,tabItens[[#This Row],[CÓDIGO]],Consumo!$N$3:$N$869) + SUMIF(Consumo!$C$3:$C$869,tabItens[[#This Row],[CÓDIGO]],Consumo!$O$3:$O$869) + SUMIF(Consumo!$C$3:$C$869,tabItens[[#This Row],[CÓDIGO]],Consumo!$P$3:$P$869) + SUMIF(Consumo!$C$3:$C$869,tabItens[[#This Row],[CÓDIGO]],Consumo!$Q$3:$Q$869)</f>
        <v>382</v>
      </c>
      <c r="AT657" s="316">
        <f>SUMIF(Consumo!$C$3:$C$869,tabItens[[#This Row],[CÓDIGO]],Consumo!$Z$3:$Z$869)</f>
        <v>1885</v>
      </c>
      <c r="AU657" s="317">
        <f>SUMIF(Consumo!$C$3:$C$869,tabItens[[#This Row],[CÓDIGO]],Consumo!$AA$3:$AA$869)</f>
        <v>421</v>
      </c>
      <c r="AV657" s="318">
        <f>SUMIF(Consumo!$C$3:$C$869,tabItens[[#This Row],[CÓDIGO]],Consumo!$Y$3:$Y$869)</f>
        <v>155</v>
      </c>
      <c r="AW657" s="401">
        <f>tabItens[[#This Row],[QTDE ATUAL]] + tabItens[[#This Row],[RC QTDE]] + tabItens[[#This Row],[AF SALDO]] + tabItens[[#This Row],[Recentes]]</f>
        <v>1000</v>
      </c>
      <c r="AX657" s="420">
        <v>119</v>
      </c>
      <c r="AY657" s="420">
        <v>4</v>
      </c>
      <c r="AZ657" s="420">
        <f>IF(ISBLANK(tabItens[[#This Row],[CÓDIGO]]),"",tabItens[[#This Row],[PontoMês]] * (AZ$2+tabItens[[#This Row],[PontoQtM]]))</f>
        <v>476</v>
      </c>
      <c r="BA657" s="421">
        <f>tabItens[[#This Row],[PontoPed]] - tabItens[[#This Row],[Saldo]] + (1/10)</f>
        <v>-523.9</v>
      </c>
      <c r="BB657" s="421">
        <f xml:space="preserve"> tabItens[[#This Row],[PontoMês]] * BB$2 - tabItens[[#This Row],[QTDE ATUAL]] - (1/10)</f>
        <v>118.9</v>
      </c>
      <c r="BC657" s="320">
        <f>IF( tabItens[[#This Row],[PontoPed]]&gt;0, IF(tabItens[[#This Row],[PontoPed]]&lt;1, 1, IF( tabItens[[#This Row],[Saldo]]&gt;tabItens[[#This Row],[PontoPed]], 0, (tabItens[[#This Row],[PontoPed]]-tabItens[[#This Row],[Saldo]])/tabItens[[#This Row],[PontoPed]] ) ), 0 )</f>
        <v>0</v>
      </c>
      <c r="BD657" s="422">
        <f>ROUNDDOWN(IF( OR( AND(tabItens[[#This Row],[PontoPed]]&lt;tabItens[[#This Row],[Saldo]],tabItens[[#This Row],[Saldo]]&gt;0), tabItens[[#This Row],[PontoPed]]=0), 99, IF(AND(tabItens[[#This Row],[Saldo]]=0,tabItens[[#This Row],[PontoPed]]&gt;0), 0, (1-tabItens[[#This Row],[PctAb]])*10 ) ),0)</f>
        <v>99</v>
      </c>
      <c r="BE657" s="423">
        <f>MAX(ROUNDDOWN( IF(tabItens[[#This Row],[Abaixo]] &gt; 0,   tabItens[[#This Row],[Abaixo]] + (tabItens[[#This Row],[PontoMês]] * IF( OR( ISBLANK(tabItens[[#This Row],[ATA Nº/ANO]]), tabItens[[#This Row],[ATA Nº/ANO]] = ""),BE$2,BE$1)),0),0),0)</f>
        <v>0</v>
      </c>
      <c r="BF657"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323">
        <f>SUMIF(Consumo!$C$3:$C$869,tabItens[[#This Row],[CÓDIGO]],Consumo!$E$3:$E$869)</f>
        <v>146</v>
      </c>
      <c r="BH657" s="324">
        <f>IF(AND(tabItens[[#This Row],[Pend]] &gt; 0,tabItens[[#This Row],[Consumo]] &lt;&gt; 0), tabItens[[#This Row],[Pend]] / tabItens[[#This Row],[Consumo]], 0 )</f>
        <v>7.7453580901856764E-2</v>
      </c>
      <c r="BI657" s="323"/>
      <c r="BJ657" s="424"/>
      <c r="BK657" s="425" t="s">
        <v>2064</v>
      </c>
    </row>
    <row r="658" spans="1:63" x14ac:dyDescent="0.3">
      <c r="A658" s="396">
        <v>69222</v>
      </c>
      <c r="B658" s="397" t="s">
        <v>1394</v>
      </c>
      <c r="C658" s="398" t="s">
        <v>1338</v>
      </c>
      <c r="D658" s="399">
        <v>1.8</v>
      </c>
      <c r="E658" s="290"/>
      <c r="F658" s="400"/>
      <c r="G658" s="400" t="s">
        <v>883</v>
      </c>
      <c r="H658" s="401">
        <v>0</v>
      </c>
      <c r="I658" s="292">
        <v>103003</v>
      </c>
      <c r="J658" s="293">
        <v>1.8</v>
      </c>
      <c r="K658" s="402">
        <v>3803</v>
      </c>
      <c r="L658" s="403">
        <f>IF(tabItens[[#This Row],[Média]] &gt; 0, tabItens[[#This Row],[QTDE ATUAL]] / tabItens[[#This Row],[Média]],999.9)</f>
        <v>0</v>
      </c>
      <c r="M658" s="404">
        <v>0</v>
      </c>
      <c r="N658" s="405">
        <f>tabItens[[#This Row],[VALOR UNIT.]] * tabItens[[#This Row],[LC]]</f>
        <v>0</v>
      </c>
      <c r="O658" s="406"/>
      <c r="P658" s="407"/>
      <c r="Q658" s="408"/>
      <c r="R658" s="297"/>
      <c r="S658" s="409"/>
      <c r="T658" s="410">
        <f>ROUNDDOWN(IFERROR(tabItens[[#This Row],[ATA DT.VALID.]] - $D$1,0) / 30,0)</f>
        <v>-1504</v>
      </c>
      <c r="U658" s="287" t="s">
        <v>935</v>
      </c>
      <c r="V658" s="303">
        <v>1</v>
      </c>
      <c r="W658" s="411" t="s">
        <v>2052</v>
      </c>
      <c r="X658" s="412">
        <v>45</v>
      </c>
      <c r="Y658" s="413">
        <v>11</v>
      </c>
      <c r="Z658" s="414">
        <v>6978</v>
      </c>
      <c r="AA658" s="415">
        <v>2023</v>
      </c>
      <c r="AB658" s="416">
        <v>1500</v>
      </c>
      <c r="AC658" s="416"/>
      <c r="AD658" s="415"/>
      <c r="AE658" s="416"/>
      <c r="AF658" s="302"/>
      <c r="AG658" s="417" t="s">
        <v>2050</v>
      </c>
      <c r="AH658" s="418"/>
      <c r="AI658" s="302">
        <v>1566</v>
      </c>
      <c r="AJ658" s="418">
        <v>44973</v>
      </c>
      <c r="AK658" s="311" t="s">
        <v>883</v>
      </c>
      <c r="AL658" s="311">
        <v>45107</v>
      </c>
      <c r="AM658" s="301"/>
      <c r="AN658" s="290"/>
      <c r="AO658" s="312" t="str">
        <f>_xlfn.IFNA(IF(VLOOKUP(tabItens[[#This Row],[CÓDIGO]],tabExcluirDoEstoque[#Data],1,FALSE),"sim",""),"")</f>
        <v/>
      </c>
      <c r="AP658" s="419" t="str">
        <f ca="1">IF(OR(ISBLANK(tabItens[[#This Row],[ATA DT.VALID.]]),tabItens[[#This Row],[ATA DT.VALID.]]="",tabItens[[#This Row],[ATA DT.VALID.]]=" "),"",IF(TYPE(tabItens[[#This Row],[ATA DT.VALID.]])=1,ROUNDUP((tabItens[[#This Row],[ATA DT.VALID.]]-TODAY())/7,0),""))</f>
        <v/>
      </c>
      <c r="AQ658" s="314"/>
      <c r="AR658" s="315" t="str">
        <f>IF(ISBLANK(tabItens[[#This Row],[CÓDIGO]]),"",IFERROR(VLOOKUP(tabItens[[#This Row],[CÓDIGO]],Consumo!$C$2:$AC$869,26,FALSE),0))</f>
        <v>07.2023</v>
      </c>
      <c r="AS658" s="316">
        <f>SUMIF(Consumo!$C$3:$C$869,tabItens[[#This Row],[CÓDIGO]],Consumo!$N$3:$N$869) + SUMIF(Consumo!$C$3:$C$869,tabItens[[#This Row],[CÓDIGO]],Consumo!$O$3:$O$869) + SUMIF(Consumo!$C$3:$C$869,tabItens[[#This Row],[CÓDIGO]],Consumo!$P$3:$P$869) + SUMIF(Consumo!$C$3:$C$869,tabItens[[#This Row],[CÓDIGO]],Consumo!$Q$3:$Q$869)</f>
        <v>2354</v>
      </c>
      <c r="AT658" s="316">
        <f>SUMIF(Consumo!$C$3:$C$869,tabItens[[#This Row],[CÓDIGO]],Consumo!$Z$3:$Z$869)</f>
        <v>5625</v>
      </c>
      <c r="AU658" s="317">
        <f>SUMIF(Consumo!$C$3:$C$869,tabItens[[#This Row],[CÓDIGO]],Consumo!$AA$3:$AA$869)</f>
        <v>800</v>
      </c>
      <c r="AV658" s="318">
        <f>SUMIF(Consumo!$C$3:$C$869,tabItens[[#This Row],[CÓDIGO]],Consumo!$Y$3:$Y$869)</f>
        <v>468.75</v>
      </c>
      <c r="AW658" s="401">
        <f>tabItens[[#This Row],[QTDE ATUAL]] + tabItens[[#This Row],[RC QTDE]] + tabItens[[#This Row],[AF SALDO]] + tabItens[[#This Row],[Recentes]]</f>
        <v>1500</v>
      </c>
      <c r="AX658" s="420">
        <v>304</v>
      </c>
      <c r="AY658" s="420">
        <v>4</v>
      </c>
      <c r="AZ658" s="420">
        <f>IF(ISBLANK(tabItens[[#This Row],[CÓDIGO]]),"",tabItens[[#This Row],[PontoMês]] * (AZ$2+tabItens[[#This Row],[PontoQtM]]))</f>
        <v>1216</v>
      </c>
      <c r="BA658" s="421">
        <f>tabItens[[#This Row],[PontoPed]] - tabItens[[#This Row],[Saldo]] + (1/10)</f>
        <v>-283.89999999999998</v>
      </c>
      <c r="BB658" s="421">
        <f xml:space="preserve"> tabItens[[#This Row],[PontoMês]] * BB$2 - tabItens[[#This Row],[QTDE ATUAL]] - (1/10)</f>
        <v>303.89999999999998</v>
      </c>
      <c r="BC658" s="320">
        <f>IF( tabItens[[#This Row],[PontoPed]]&gt;0, IF(tabItens[[#This Row],[PontoPed]]&lt;1, 1, IF( tabItens[[#This Row],[Saldo]]&gt;tabItens[[#This Row],[PontoPed]], 0, (tabItens[[#This Row],[PontoPed]]-tabItens[[#This Row],[Saldo]])/tabItens[[#This Row],[PontoPed]] ) ), 0 )</f>
        <v>0</v>
      </c>
      <c r="BD658" s="422">
        <f>ROUNDDOWN(IF( OR( AND(tabItens[[#This Row],[PontoPed]]&lt;tabItens[[#This Row],[Saldo]],tabItens[[#This Row],[Saldo]]&gt;0), tabItens[[#This Row],[PontoPed]]=0), 99, IF(AND(tabItens[[#This Row],[Saldo]]=0,tabItens[[#This Row],[PontoPed]]&gt;0), 0, (1-tabItens[[#This Row],[PctAb]])*10 ) ),0)</f>
        <v>99</v>
      </c>
      <c r="BE658" s="423">
        <f>MAX(ROUNDDOWN( IF(tabItens[[#This Row],[Abaixo]] &gt; 0,   tabItens[[#This Row],[Abaixo]] + (tabItens[[#This Row],[PontoMês]] * IF( OR( ISBLANK(tabItens[[#This Row],[ATA Nº/ANO]]), tabItens[[#This Row],[ATA Nº/ANO]] = ""),BE$2,BE$1)),0),0),0)</f>
        <v>0</v>
      </c>
      <c r="BF658"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323">
        <f>SUMIF(Consumo!$C$3:$C$869,tabItens[[#This Row],[CÓDIGO]],Consumo!$E$3:$E$869)</f>
        <v>928</v>
      </c>
      <c r="BH658" s="324">
        <f>IF(AND(tabItens[[#This Row],[Pend]] &gt; 0,tabItens[[#This Row],[Consumo]] &lt;&gt; 0), tabItens[[#This Row],[Pend]] / tabItens[[#This Row],[Consumo]], 0 )</f>
        <v>0.16497777777777778</v>
      </c>
      <c r="BI658" s="323"/>
      <c r="BJ658" s="424"/>
      <c r="BK658" s="425" t="s">
        <v>2064</v>
      </c>
    </row>
    <row r="659" spans="1:63" hidden="1" x14ac:dyDescent="0.3">
      <c r="A659" s="286">
        <v>79687</v>
      </c>
      <c r="B659" s="287" t="s">
        <v>1449</v>
      </c>
      <c r="C659" s="288" t="s">
        <v>256</v>
      </c>
      <c r="D659" s="289">
        <v>0.33</v>
      </c>
      <c r="E659" s="290"/>
      <c r="F659" s="290"/>
      <c r="G659" s="290" t="s">
        <v>883</v>
      </c>
      <c r="H659" s="291">
        <v>15049</v>
      </c>
      <c r="I659" s="292">
        <v>103003</v>
      </c>
      <c r="J659" s="293">
        <v>0.33</v>
      </c>
      <c r="K659" s="294">
        <v>9968</v>
      </c>
      <c r="L659" s="295">
        <f>IF(tabItens[[#This Row],[Média]] &gt; 0, tabItens[[#This Row],[QTDE ATUAL]] / tabItens[[#This Row],[Média]],999.9)</f>
        <v>10.942074648570044</v>
      </c>
      <c r="M659" s="296">
        <v>0</v>
      </c>
      <c r="N659" s="297">
        <f>tabItens[[#This Row],[VALOR UNIT.]] * tabItens[[#This Row],[LC]]</f>
        <v>0</v>
      </c>
      <c r="O659" s="298"/>
      <c r="P659" s="299"/>
      <c r="Q659" s="300"/>
      <c r="R659" s="297"/>
      <c r="S659" s="301"/>
      <c r="T659" s="302">
        <f>ROUNDDOWN(IFERROR(tabItens[[#This Row],[ATA DT.VALID.]] - $D$1,0) / 30,0)</f>
        <v>-1504</v>
      </c>
      <c r="U659" s="287" t="s">
        <v>935</v>
      </c>
      <c r="V659" s="303">
        <v>1</v>
      </c>
      <c r="W659" s="304" t="s">
        <v>2052</v>
      </c>
      <c r="X659" s="305">
        <v>45</v>
      </c>
      <c r="Y659" s="306">
        <v>11</v>
      </c>
      <c r="Z659" s="307"/>
      <c r="AA659" s="308"/>
      <c r="AB659" s="309"/>
      <c r="AC659" s="309"/>
      <c r="AD659" s="308"/>
      <c r="AE659" s="309"/>
      <c r="AF659" s="302"/>
      <c r="AG659" s="310" t="s">
        <v>2050</v>
      </c>
      <c r="AH659" s="311"/>
      <c r="AI659" s="302">
        <v>5816</v>
      </c>
      <c r="AJ659" s="311">
        <v>45019</v>
      </c>
      <c r="AK659" s="311">
        <v>38138</v>
      </c>
      <c r="AL659" s="311">
        <v>44959</v>
      </c>
      <c r="AM659" s="301"/>
      <c r="AN659" s="290"/>
      <c r="AO659" s="312" t="str">
        <f>_xlfn.IFNA(IF(VLOOKUP(tabItens[[#This Row],[CÓDIGO]],tabExcluirDoEstoque[#Data],1,FALSE),"sim",""),"")</f>
        <v/>
      </c>
      <c r="AP659" s="313" t="str">
        <f ca="1">IF(OR(ISBLANK(tabItens[[#This Row],[ATA DT.VALID.]]),tabItens[[#This Row],[ATA DT.VALID.]]="",tabItens[[#This Row],[ATA DT.VALID.]]=" "),"",IF(TYPE(tabItens[[#This Row],[ATA DT.VALID.]])=1,ROUNDUP((tabItens[[#This Row],[ATA DT.VALID.]]-TODAY())/7,0),""))</f>
        <v/>
      </c>
      <c r="AQ659" s="314"/>
      <c r="AR659" s="315" t="str">
        <f>IF(ISBLANK(tabItens[[#This Row],[CÓDIGO]]),"",IFERROR(VLOOKUP(tabItens[[#This Row],[CÓDIGO]],Consumo!$C$2:$AC$869,26,FALSE),0))</f>
        <v>07.2023</v>
      </c>
      <c r="AS659" s="316">
        <f>SUMIF(Consumo!$C$3:$C$869,tabItens[[#This Row],[CÓDIGO]],Consumo!$N$3:$N$869) + SUMIF(Consumo!$C$3:$C$869,tabItens[[#This Row],[CÓDIGO]],Consumo!$O$3:$O$869) + SUMIF(Consumo!$C$3:$C$869,tabItens[[#This Row],[CÓDIGO]],Consumo!$P$3:$P$869) + SUMIF(Consumo!$C$3:$C$869,tabItens[[#This Row],[CÓDIGO]],Consumo!$Q$3:$Q$869)</f>
        <v>5095</v>
      </c>
      <c r="AT659" s="316">
        <f>SUMIF(Consumo!$C$3:$C$869,tabItens[[#This Row],[CÓDIGO]],Consumo!$Z$3:$Z$869)</f>
        <v>16504</v>
      </c>
      <c r="AU659" s="317">
        <f>SUMIF(Consumo!$C$3:$C$869,tabItens[[#This Row],[CÓDIGO]],Consumo!$AA$3:$AA$869)</f>
        <v>2111</v>
      </c>
      <c r="AV659" s="318">
        <f>SUMIF(Consumo!$C$3:$C$869,tabItens[[#This Row],[CÓDIGO]],Consumo!$Y$3:$Y$869)</f>
        <v>1375.3333333333333</v>
      </c>
      <c r="AW659" s="291">
        <f>tabItens[[#This Row],[QTDE ATUAL]] + tabItens[[#This Row],[RC QTDE]] + tabItens[[#This Row],[AF SALDO]] + tabItens[[#This Row],[Recentes]]</f>
        <v>15049</v>
      </c>
      <c r="AX659" s="319">
        <v>811</v>
      </c>
      <c r="AY659" s="319">
        <v>4</v>
      </c>
      <c r="AZ659" s="319">
        <f>IF(ISBLANK(tabItens[[#This Row],[CÓDIGO]]),"",tabItens[[#This Row],[PontoMês]] * (AZ$2+tabItens[[#This Row],[PontoQtM]]))</f>
        <v>3244</v>
      </c>
      <c r="BA659" s="318">
        <f>tabItens[[#This Row],[PontoPed]] - tabItens[[#This Row],[Saldo]] + (1/10)</f>
        <v>-11804.9</v>
      </c>
      <c r="BB659" s="318">
        <f xml:space="preserve"> tabItens[[#This Row],[PontoMês]] * BB$2 - tabItens[[#This Row],[QTDE ATUAL]] - (1/10)</f>
        <v>-14238.1</v>
      </c>
      <c r="BC659" s="320">
        <f>IF( tabItens[[#This Row],[PontoPed]]&gt;0, IF(tabItens[[#This Row],[PontoPed]]&lt;1, 1, IF( tabItens[[#This Row],[Saldo]]&gt;tabItens[[#This Row],[PontoPed]], 0, (tabItens[[#This Row],[PontoPed]]-tabItens[[#This Row],[Saldo]])/tabItens[[#This Row],[PontoPed]] ) ), 0 )</f>
        <v>0</v>
      </c>
      <c r="BD659" s="321">
        <f>ROUNDDOWN(IF( OR( AND(tabItens[[#This Row],[PontoPed]]&lt;tabItens[[#This Row],[Saldo]],tabItens[[#This Row],[Saldo]]&gt;0), tabItens[[#This Row],[PontoPed]]=0), 99, IF(AND(tabItens[[#This Row],[Saldo]]=0,tabItens[[#This Row],[PontoPed]]&gt;0), 0, (1-tabItens[[#This Row],[PctAb]])*10 ) ),0)</f>
        <v>99</v>
      </c>
      <c r="BE659" s="322">
        <f>MAX(ROUNDDOWN( IF(tabItens[[#This Row],[Abaixo]] &gt; 0,   tabItens[[#This Row],[Abaixo]] + (tabItens[[#This Row],[PontoMês]] * IF( OR( ISBLANK(tabItens[[#This Row],[ATA Nº/ANO]]), tabItens[[#This Row],[ATA Nº/ANO]] = ""),BE$2,BE$1)),0),0),0)</f>
        <v>0</v>
      </c>
      <c r="BF65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23">
        <f>SUMIF(Consumo!$C$3:$C$869,tabItens[[#This Row],[CÓDIGO]],Consumo!$E$3:$E$869)</f>
        <v>34</v>
      </c>
      <c r="BH659" s="324">
        <f>IF(AND(tabItens[[#This Row],[Pend]] &gt; 0,tabItens[[#This Row],[Consumo]] &lt;&gt; 0), tabItens[[#This Row],[Pend]] / tabItens[[#This Row],[Consumo]], 0 )</f>
        <v>2.0601066408143481E-3</v>
      </c>
      <c r="BI659" s="323"/>
      <c r="BJ659" s="323"/>
      <c r="BK659" s="325" t="s">
        <v>2064</v>
      </c>
    </row>
    <row r="660" spans="1:63" hidden="1" x14ac:dyDescent="0.3">
      <c r="A660" s="286">
        <v>79688</v>
      </c>
      <c r="B660" s="287" t="s">
        <v>1450</v>
      </c>
      <c r="C660" s="288" t="s">
        <v>256</v>
      </c>
      <c r="D660" s="289">
        <v>0.26</v>
      </c>
      <c r="E660" s="290"/>
      <c r="F660" s="290"/>
      <c r="G660" s="290" t="s">
        <v>883</v>
      </c>
      <c r="H660" s="291">
        <v>20784</v>
      </c>
      <c r="I660" s="292">
        <v>103003</v>
      </c>
      <c r="J660" s="293">
        <v>0.26</v>
      </c>
      <c r="K660" s="294">
        <v>8649</v>
      </c>
      <c r="L660" s="295">
        <f>IF(tabItens[[#This Row],[Média]] &gt; 0, tabItens[[#This Row],[QTDE ATUAL]] / tabItens[[#This Row],[Média]],999.9)</f>
        <v>17.069878858394361</v>
      </c>
      <c r="M660" s="296">
        <v>0</v>
      </c>
      <c r="N660" s="297">
        <f>tabItens[[#This Row],[VALOR UNIT.]] * tabItens[[#This Row],[LC]]</f>
        <v>0</v>
      </c>
      <c r="O660" s="298"/>
      <c r="P660" s="299"/>
      <c r="Q660" s="300"/>
      <c r="R660" s="297"/>
      <c r="S660" s="301"/>
      <c r="T660" s="302">
        <f>ROUNDDOWN(IFERROR(tabItens[[#This Row],[ATA DT.VALID.]] - $D$1,0) / 30,0)</f>
        <v>-1504</v>
      </c>
      <c r="U660" s="287" t="s">
        <v>935</v>
      </c>
      <c r="V660" s="303">
        <v>1</v>
      </c>
      <c r="W660" s="304" t="s">
        <v>2052</v>
      </c>
      <c r="X660" s="305">
        <v>45</v>
      </c>
      <c r="Y660" s="306">
        <v>11</v>
      </c>
      <c r="Z660" s="307"/>
      <c r="AA660" s="308"/>
      <c r="AB660" s="309"/>
      <c r="AC660" s="309"/>
      <c r="AD660" s="308"/>
      <c r="AE660" s="309"/>
      <c r="AF660" s="302"/>
      <c r="AG660" s="310" t="s">
        <v>2050</v>
      </c>
      <c r="AH660" s="311"/>
      <c r="AI660" s="302">
        <v>4860</v>
      </c>
      <c r="AJ660" s="311">
        <v>44974</v>
      </c>
      <c r="AK660" s="311">
        <v>38138</v>
      </c>
      <c r="AL660" s="311">
        <v>44959</v>
      </c>
      <c r="AM660" s="301"/>
      <c r="AN660" s="290"/>
      <c r="AO660" s="312" t="str">
        <f>_xlfn.IFNA(IF(VLOOKUP(tabItens[[#This Row],[CÓDIGO]],tabExcluirDoEstoque[#Data],1,FALSE),"sim",""),"")</f>
        <v/>
      </c>
      <c r="AP660" s="313" t="str">
        <f ca="1">IF(OR(ISBLANK(tabItens[[#This Row],[ATA DT.VALID.]]),tabItens[[#This Row],[ATA DT.VALID.]]="",tabItens[[#This Row],[ATA DT.VALID.]]=" "),"",IF(TYPE(tabItens[[#This Row],[ATA DT.VALID.]])=1,ROUNDUP((tabItens[[#This Row],[ATA DT.VALID.]]-TODAY())/7,0),""))</f>
        <v/>
      </c>
      <c r="AQ660" s="314"/>
      <c r="AR660" s="315" t="str">
        <f>IF(ISBLANK(tabItens[[#This Row],[CÓDIGO]]),"",IFERROR(VLOOKUP(tabItens[[#This Row],[CÓDIGO]],Consumo!$C$2:$AC$869,26,FALSE),0))</f>
        <v>07.2023</v>
      </c>
      <c r="AS660" s="316">
        <f>SUMIF(Consumo!$C$3:$C$869,tabItens[[#This Row],[CÓDIGO]],Consumo!$N$3:$N$869) + SUMIF(Consumo!$C$3:$C$869,tabItens[[#This Row],[CÓDIGO]],Consumo!$O$3:$O$869) + SUMIF(Consumo!$C$3:$C$869,tabItens[[#This Row],[CÓDIGO]],Consumo!$P$3:$P$869) + SUMIF(Consumo!$C$3:$C$869,tabItens[[#This Row],[CÓDIGO]],Consumo!$Q$3:$Q$869)</f>
        <v>5006</v>
      </c>
      <c r="AT660" s="316">
        <f>SUMIF(Consumo!$C$3:$C$869,tabItens[[#This Row],[CÓDIGO]],Consumo!$Z$3:$Z$869)</f>
        <v>14611</v>
      </c>
      <c r="AU660" s="317">
        <f>SUMIF(Consumo!$C$3:$C$869,tabItens[[#This Row],[CÓDIGO]],Consumo!$AA$3:$AA$869)</f>
        <v>2043</v>
      </c>
      <c r="AV660" s="318">
        <f>SUMIF(Consumo!$C$3:$C$869,tabItens[[#This Row],[CÓDIGO]],Consumo!$Y$3:$Y$869)</f>
        <v>1217.5833333333333</v>
      </c>
      <c r="AW660" s="291">
        <f>tabItens[[#This Row],[QTDE ATUAL]] + tabItens[[#This Row],[RC QTDE]] + tabItens[[#This Row],[AF SALDO]] + tabItens[[#This Row],[Recentes]]</f>
        <v>20784</v>
      </c>
      <c r="AX660" s="319">
        <v>796</v>
      </c>
      <c r="AY660" s="319">
        <v>4</v>
      </c>
      <c r="AZ660" s="319">
        <f>IF(ISBLANK(tabItens[[#This Row],[CÓDIGO]]),"",tabItens[[#This Row],[PontoMês]] * (AZ$2+tabItens[[#This Row],[PontoQtM]]))</f>
        <v>3184</v>
      </c>
      <c r="BA660" s="318">
        <f>tabItens[[#This Row],[PontoPed]] - tabItens[[#This Row],[Saldo]] + (1/10)</f>
        <v>-17599.900000000001</v>
      </c>
      <c r="BB660" s="318">
        <f xml:space="preserve"> tabItens[[#This Row],[PontoMês]] * BB$2 - tabItens[[#This Row],[QTDE ATUAL]] - (1/10)</f>
        <v>-19988.099999999999</v>
      </c>
      <c r="BC660" s="320">
        <f>IF( tabItens[[#This Row],[PontoPed]]&gt;0, IF(tabItens[[#This Row],[PontoPed]]&lt;1, 1, IF( tabItens[[#This Row],[Saldo]]&gt;tabItens[[#This Row],[PontoPed]], 0, (tabItens[[#This Row],[PontoPed]]-tabItens[[#This Row],[Saldo]])/tabItens[[#This Row],[PontoPed]] ) ), 0 )</f>
        <v>0</v>
      </c>
      <c r="BD660" s="321">
        <f>ROUNDDOWN(IF( OR( AND(tabItens[[#This Row],[PontoPed]]&lt;tabItens[[#This Row],[Saldo]],tabItens[[#This Row],[Saldo]]&gt;0), tabItens[[#This Row],[PontoPed]]=0), 99, IF(AND(tabItens[[#This Row],[Saldo]]=0,tabItens[[#This Row],[PontoPed]]&gt;0), 0, (1-tabItens[[#This Row],[PctAb]])*10 ) ),0)</f>
        <v>99</v>
      </c>
      <c r="BE660" s="322">
        <f>MAX(ROUNDDOWN( IF(tabItens[[#This Row],[Abaixo]] &gt; 0,   tabItens[[#This Row],[Abaixo]] + (tabItens[[#This Row],[PontoMês]] * IF( OR( ISBLANK(tabItens[[#This Row],[ATA Nº/ANO]]), tabItens[[#This Row],[ATA Nº/ANO]] = ""),BE$2,BE$1)),0),0),0)</f>
        <v>0</v>
      </c>
      <c r="BF66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323">
        <f>SUMIF(Consumo!$C$3:$C$869,tabItens[[#This Row],[CÓDIGO]],Consumo!$E$3:$E$869)</f>
        <v>34</v>
      </c>
      <c r="BH660" s="324">
        <f>IF(AND(tabItens[[#This Row],[Pend]] &gt; 0,tabItens[[#This Row],[Consumo]] &lt;&gt; 0), tabItens[[#This Row],[Pend]] / tabItens[[#This Row],[Consumo]], 0 )</f>
        <v>2.3270138936417766E-3</v>
      </c>
      <c r="BI660" s="323"/>
      <c r="BJ660" s="323"/>
      <c r="BK660" s="325" t="s">
        <v>2064</v>
      </c>
    </row>
    <row r="661" spans="1:63" hidden="1" x14ac:dyDescent="0.3">
      <c r="A661" s="286">
        <v>83627</v>
      </c>
      <c r="B661" s="287" t="s">
        <v>1479</v>
      </c>
      <c r="C661" s="288" t="s">
        <v>31</v>
      </c>
      <c r="D661" s="289">
        <v>0.29799999999999999</v>
      </c>
      <c r="E661" s="290"/>
      <c r="F661" s="290"/>
      <c r="G661" s="290" t="s">
        <v>883</v>
      </c>
      <c r="H661" s="291">
        <v>63531</v>
      </c>
      <c r="I661" s="292">
        <v>103003</v>
      </c>
      <c r="J661" s="293">
        <v>0.29799999999999999</v>
      </c>
      <c r="K661" s="294">
        <v>61878</v>
      </c>
      <c r="L661" s="295">
        <f>IF(tabItens[[#This Row],[Média]] &gt; 0, tabItens[[#This Row],[QTDE ATUAL]] / tabItens[[#This Row],[Média]],999.9)</f>
        <v>6.903167388036727</v>
      </c>
      <c r="M661" s="296">
        <v>0</v>
      </c>
      <c r="N661" s="297">
        <f>tabItens[[#This Row],[VALOR UNIT.]] * tabItens[[#This Row],[LC]]</f>
        <v>0</v>
      </c>
      <c r="O661" s="298"/>
      <c r="P661" s="299"/>
      <c r="Q661" s="300"/>
      <c r="R661" s="297"/>
      <c r="S661" s="301"/>
      <c r="T661" s="302">
        <f>ROUNDDOWN(IFERROR(tabItens[[#This Row],[ATA DT.VALID.]] - $D$1,0) / 30,0)</f>
        <v>-1504</v>
      </c>
      <c r="U661" s="287" t="s">
        <v>935</v>
      </c>
      <c r="V661" s="303">
        <v>1</v>
      </c>
      <c r="W661" s="304" t="s">
        <v>2052</v>
      </c>
      <c r="X661" s="305">
        <v>45</v>
      </c>
      <c r="Y661" s="306">
        <v>11</v>
      </c>
      <c r="Z661" s="307"/>
      <c r="AA661" s="308"/>
      <c r="AB661" s="309"/>
      <c r="AC661" s="309"/>
      <c r="AD661" s="308"/>
      <c r="AE661" s="309"/>
      <c r="AF661" s="302"/>
      <c r="AG661" s="310" t="s">
        <v>2050</v>
      </c>
      <c r="AH661" s="311"/>
      <c r="AI661" s="302">
        <v>36680</v>
      </c>
      <c r="AJ661" s="311">
        <v>44943</v>
      </c>
      <c r="AK661" s="311">
        <v>38369</v>
      </c>
      <c r="AL661" s="311">
        <v>45048</v>
      </c>
      <c r="AM661" s="301"/>
      <c r="AN661" s="290"/>
      <c r="AO661" s="312" t="str">
        <f>_xlfn.IFNA(IF(VLOOKUP(tabItens[[#This Row],[CÓDIGO]],tabExcluirDoEstoque[#Data],1,FALSE),"sim",""),"")</f>
        <v/>
      </c>
      <c r="AP661" s="313" t="str">
        <f ca="1">IF(OR(ISBLANK(tabItens[[#This Row],[ATA DT.VALID.]]),tabItens[[#This Row],[ATA DT.VALID.]]="",tabItens[[#This Row],[ATA DT.VALID.]]=" "),"",IF(TYPE(tabItens[[#This Row],[ATA DT.VALID.]])=1,ROUNDUP((tabItens[[#This Row],[ATA DT.VALID.]]-TODAY())/7,0),""))</f>
        <v/>
      </c>
      <c r="AQ661" s="314"/>
      <c r="AR661" s="315" t="str">
        <f>IF(ISBLANK(tabItens[[#This Row],[CÓDIGO]]),"",IFERROR(VLOOKUP(tabItens[[#This Row],[CÓDIGO]],Consumo!$C$2:$AC$869,26,FALSE),0))</f>
        <v>07.2023</v>
      </c>
      <c r="AS661" s="316">
        <f>SUMIF(Consumo!$C$3:$C$869,tabItens[[#This Row],[CÓDIGO]],Consumo!$N$3:$N$869) + SUMIF(Consumo!$C$3:$C$869,tabItens[[#This Row],[CÓDIGO]],Consumo!$O$3:$O$869) + SUMIF(Consumo!$C$3:$C$869,tabItens[[#This Row],[CÓDIGO]],Consumo!$P$3:$P$869) + SUMIF(Consumo!$C$3:$C$869,tabItens[[#This Row],[CÓDIGO]],Consumo!$Q$3:$Q$869)</f>
        <v>36000</v>
      </c>
      <c r="AT661" s="316">
        <f>SUMIF(Consumo!$C$3:$C$869,tabItens[[#This Row],[CÓDIGO]],Consumo!$Z$3:$Z$869)</f>
        <v>110438</v>
      </c>
      <c r="AU661" s="317">
        <f>SUMIF(Consumo!$C$3:$C$869,tabItens[[#This Row],[CÓDIGO]],Consumo!$AA$3:$AA$869)</f>
        <v>12121</v>
      </c>
      <c r="AV661" s="318">
        <f>SUMIF(Consumo!$C$3:$C$869,tabItens[[#This Row],[CÓDIGO]],Consumo!$Y$3:$Y$869)</f>
        <v>9203.1666666666661</v>
      </c>
      <c r="AW661" s="291">
        <f>tabItens[[#This Row],[QTDE ATUAL]] + tabItens[[#This Row],[RC QTDE]] + tabItens[[#This Row],[AF SALDO]] + tabItens[[#This Row],[Recentes]]</f>
        <v>63531</v>
      </c>
      <c r="AX661" s="319">
        <v>5637</v>
      </c>
      <c r="AY661" s="319">
        <v>4</v>
      </c>
      <c r="AZ661" s="319">
        <f>IF(ISBLANK(tabItens[[#This Row],[CÓDIGO]]),"",tabItens[[#This Row],[PontoMês]] * (AZ$2+tabItens[[#This Row],[PontoQtM]]))</f>
        <v>22548</v>
      </c>
      <c r="BA661" s="318">
        <f>tabItens[[#This Row],[PontoPed]] - tabItens[[#This Row],[Saldo]] + (1/10)</f>
        <v>-40982.9</v>
      </c>
      <c r="BB661" s="318">
        <f xml:space="preserve"> tabItens[[#This Row],[PontoMês]] * BB$2 - tabItens[[#This Row],[QTDE ATUAL]] - (1/10)</f>
        <v>-57894.1</v>
      </c>
      <c r="BC661" s="320">
        <f>IF( tabItens[[#This Row],[PontoPed]]&gt;0, IF(tabItens[[#This Row],[PontoPed]]&lt;1, 1, IF( tabItens[[#This Row],[Saldo]]&gt;tabItens[[#This Row],[PontoPed]], 0, (tabItens[[#This Row],[PontoPed]]-tabItens[[#This Row],[Saldo]])/tabItens[[#This Row],[PontoPed]] ) ), 0 )</f>
        <v>0</v>
      </c>
      <c r="BD661" s="321">
        <f>ROUNDDOWN(IF( OR( AND(tabItens[[#This Row],[PontoPed]]&lt;tabItens[[#This Row],[Saldo]],tabItens[[#This Row],[Saldo]]&gt;0), tabItens[[#This Row],[PontoPed]]=0), 99, IF(AND(tabItens[[#This Row],[Saldo]]=0,tabItens[[#This Row],[PontoPed]]&gt;0), 0, (1-tabItens[[#This Row],[PctAb]])*10 ) ),0)</f>
        <v>99</v>
      </c>
      <c r="BE661" s="322">
        <f>MAX(ROUNDDOWN( IF(tabItens[[#This Row],[Abaixo]] &gt; 0,   tabItens[[#This Row],[Abaixo]] + (tabItens[[#This Row],[PontoMês]] * IF( OR( ISBLANK(tabItens[[#This Row],[ATA Nº/ANO]]), tabItens[[#This Row],[ATA Nº/ANO]] = ""),BE$2,BE$1)),0),0),0)</f>
        <v>0</v>
      </c>
      <c r="BF66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23">
        <f>SUMIF(Consumo!$C$3:$C$869,tabItens[[#This Row],[CÓDIGO]],Consumo!$E$3:$E$869)</f>
        <v>400</v>
      </c>
      <c r="BH661" s="324">
        <f>IF(AND(tabItens[[#This Row],[Pend]] &gt; 0,tabItens[[#This Row],[Consumo]] &lt;&gt; 0), tabItens[[#This Row],[Pend]] / tabItens[[#This Row],[Consumo]], 0 )</f>
        <v>3.6219417229576777E-3</v>
      </c>
      <c r="BI661" s="323"/>
      <c r="BJ661" s="323"/>
      <c r="BK661" s="325" t="s">
        <v>2064</v>
      </c>
    </row>
    <row r="662" spans="1:63" hidden="1" x14ac:dyDescent="0.3">
      <c r="A662" s="286">
        <v>84878</v>
      </c>
      <c r="B662" s="287" t="s">
        <v>1483</v>
      </c>
      <c r="C662" s="288" t="s">
        <v>31</v>
      </c>
      <c r="D662" s="289">
        <v>0.12</v>
      </c>
      <c r="E662" s="290"/>
      <c r="F662" s="290"/>
      <c r="G662" s="290" t="s">
        <v>883</v>
      </c>
      <c r="H662" s="291">
        <v>59886</v>
      </c>
      <c r="I662" s="292">
        <v>103003</v>
      </c>
      <c r="J662" s="293">
        <v>0.12</v>
      </c>
      <c r="K662" s="294">
        <v>61228</v>
      </c>
      <c r="L662" s="295">
        <f>IF(tabItens[[#This Row],[Média]] &gt; 0, tabItens[[#This Row],[QTDE ATUAL]] / tabItens[[#This Row],[Média]],999.9)</f>
        <v>11.956077596246631</v>
      </c>
      <c r="M662" s="296">
        <v>0</v>
      </c>
      <c r="N662" s="297">
        <f>tabItens[[#This Row],[VALOR UNIT.]] * tabItens[[#This Row],[LC]]</f>
        <v>0</v>
      </c>
      <c r="O662" s="298"/>
      <c r="P662" s="299"/>
      <c r="Q662" s="300"/>
      <c r="R662" s="297"/>
      <c r="S662" s="301"/>
      <c r="T662" s="302">
        <f>ROUNDDOWN(IFERROR(tabItens[[#This Row],[ATA DT.VALID.]] - $D$1,0) / 30,0)</f>
        <v>-1504</v>
      </c>
      <c r="U662" s="287" t="s">
        <v>935</v>
      </c>
      <c r="V662" s="303">
        <v>1</v>
      </c>
      <c r="W662" s="304" t="s">
        <v>2052</v>
      </c>
      <c r="X662" s="305">
        <v>45</v>
      </c>
      <c r="Y662" s="306">
        <v>11</v>
      </c>
      <c r="Z662" s="307"/>
      <c r="AA662" s="308"/>
      <c r="AB662" s="309"/>
      <c r="AC662" s="309"/>
      <c r="AD662" s="308"/>
      <c r="AE662" s="309"/>
      <c r="AF662" s="302"/>
      <c r="AG662" s="310" t="s">
        <v>2050</v>
      </c>
      <c r="AH662" s="311"/>
      <c r="AI662" s="302">
        <v>30790</v>
      </c>
      <c r="AJ662" s="311">
        <v>44967</v>
      </c>
      <c r="AK662" s="311">
        <v>38448</v>
      </c>
      <c r="AL662" s="311">
        <v>44998</v>
      </c>
      <c r="AM662" s="301"/>
      <c r="AN662" s="290"/>
      <c r="AO662" s="312" t="str">
        <f>_xlfn.IFNA(IF(VLOOKUP(tabItens[[#This Row],[CÓDIGO]],tabExcluirDoEstoque[#Data],1,FALSE),"sim",""),"")</f>
        <v/>
      </c>
      <c r="AP662" s="313" t="str">
        <f ca="1">IF(OR(ISBLANK(tabItens[[#This Row],[ATA DT.VALID.]]),tabItens[[#This Row],[ATA DT.VALID.]]="",tabItens[[#This Row],[ATA DT.VALID.]]=" "),"",IF(TYPE(tabItens[[#This Row],[ATA DT.VALID.]])=1,ROUNDUP((tabItens[[#This Row],[ATA DT.VALID.]]-TODAY())/7,0),""))</f>
        <v/>
      </c>
      <c r="AQ662" s="314"/>
      <c r="AR662" s="315" t="str">
        <f>IF(ISBLANK(tabItens[[#This Row],[CÓDIGO]]),"",IFERROR(VLOOKUP(tabItens[[#This Row],[CÓDIGO]],Consumo!$C$2:$AC$869,26,FALSE),0))</f>
        <v>07.2023</v>
      </c>
      <c r="AS662" s="316">
        <f>SUMIF(Consumo!$C$3:$C$869,tabItens[[#This Row],[CÓDIGO]],Consumo!$N$3:$N$869) + SUMIF(Consumo!$C$3:$C$869,tabItens[[#This Row],[CÓDIGO]],Consumo!$O$3:$O$869) + SUMIF(Consumo!$C$3:$C$869,tabItens[[#This Row],[CÓDIGO]],Consumo!$P$3:$P$869) + SUMIF(Consumo!$C$3:$C$869,tabItens[[#This Row],[CÓDIGO]],Consumo!$Q$3:$Q$869)</f>
        <v>14980</v>
      </c>
      <c r="AT662" s="316">
        <f>SUMIF(Consumo!$C$3:$C$869,tabItens[[#This Row],[CÓDIGO]],Consumo!$Z$3:$Z$869)</f>
        <v>73891</v>
      </c>
      <c r="AU662" s="317">
        <f>SUMIF(Consumo!$C$3:$C$869,tabItens[[#This Row],[CÓDIGO]],Consumo!$AA$3:$AA$869)</f>
        <v>41878</v>
      </c>
      <c r="AV662" s="318">
        <f>SUMIF(Consumo!$C$3:$C$869,tabItens[[#This Row],[CÓDIGO]],Consumo!$Y$3:$Y$869)</f>
        <v>5008.833333333333</v>
      </c>
      <c r="AW662" s="291">
        <f>tabItens[[#This Row],[QTDE ATUAL]] + tabItens[[#This Row],[RC QTDE]] + tabItens[[#This Row],[AF SALDO]] + tabItens[[#This Row],[Recentes]]</f>
        <v>59886</v>
      </c>
      <c r="AX662" s="319">
        <v>6209</v>
      </c>
      <c r="AY662" s="319">
        <v>4</v>
      </c>
      <c r="AZ662" s="319">
        <f>IF(ISBLANK(tabItens[[#This Row],[CÓDIGO]]),"",tabItens[[#This Row],[PontoMês]] * (AZ$2+tabItens[[#This Row],[PontoQtM]]))</f>
        <v>24836</v>
      </c>
      <c r="BA662" s="318">
        <f>tabItens[[#This Row],[PontoPed]] - tabItens[[#This Row],[Saldo]] + (1/10)</f>
        <v>-35049.9</v>
      </c>
      <c r="BB662" s="318">
        <f xml:space="preserve"> tabItens[[#This Row],[PontoMês]] * BB$2 - tabItens[[#This Row],[QTDE ATUAL]] - (1/10)</f>
        <v>-53677.1</v>
      </c>
      <c r="BC662" s="320">
        <f>IF( tabItens[[#This Row],[PontoPed]]&gt;0, IF(tabItens[[#This Row],[PontoPed]]&lt;1, 1, IF( tabItens[[#This Row],[Saldo]]&gt;tabItens[[#This Row],[PontoPed]], 0, (tabItens[[#This Row],[PontoPed]]-tabItens[[#This Row],[Saldo]])/tabItens[[#This Row],[PontoPed]] ) ), 0 )</f>
        <v>0</v>
      </c>
      <c r="BD662" s="321">
        <f>ROUNDDOWN(IF( OR( AND(tabItens[[#This Row],[PontoPed]]&lt;tabItens[[#This Row],[Saldo]],tabItens[[#This Row],[Saldo]]&gt;0), tabItens[[#This Row],[PontoPed]]=0), 99, IF(AND(tabItens[[#This Row],[Saldo]]=0,tabItens[[#This Row],[PontoPed]]&gt;0), 0, (1-tabItens[[#This Row],[PctAb]])*10 ) ),0)</f>
        <v>99</v>
      </c>
      <c r="BE662" s="322">
        <f>MAX(ROUNDDOWN( IF(tabItens[[#This Row],[Abaixo]] &gt; 0,   tabItens[[#This Row],[Abaixo]] + (tabItens[[#This Row],[PontoMês]] * IF( OR( ISBLANK(tabItens[[#This Row],[ATA Nº/ANO]]), tabItens[[#This Row],[ATA Nº/ANO]] = ""),BE$2,BE$1)),0),0),0)</f>
        <v>0</v>
      </c>
      <c r="BF66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323">
        <f>SUMIF(Consumo!$C$3:$C$869,tabItens[[#This Row],[CÓDIGO]],Consumo!$E$3:$E$869)</f>
        <v>1519</v>
      </c>
      <c r="BH662" s="324">
        <f>IF(AND(tabItens[[#This Row],[Pend]] &gt; 0,tabItens[[#This Row],[Consumo]] &lt;&gt; 0), tabItens[[#This Row],[Pend]] / tabItens[[#This Row],[Consumo]], 0 )</f>
        <v>2.0557307385202526E-2</v>
      </c>
      <c r="BI662" s="323"/>
      <c r="BJ662" s="323"/>
      <c r="BK662" s="325" t="s">
        <v>2064</v>
      </c>
    </row>
    <row r="663" spans="1:63" hidden="1" x14ac:dyDescent="0.3">
      <c r="A663" s="286">
        <v>133450</v>
      </c>
      <c r="B663" s="287" t="s">
        <v>1845</v>
      </c>
      <c r="C663" s="288" t="s">
        <v>31</v>
      </c>
      <c r="D663" s="289">
        <v>4.38</v>
      </c>
      <c r="E663" s="290"/>
      <c r="F663" s="290"/>
      <c r="G663" s="290" t="s">
        <v>883</v>
      </c>
      <c r="H663" s="291">
        <v>3179</v>
      </c>
      <c r="I663" s="292">
        <v>103003</v>
      </c>
      <c r="J663" s="293">
        <v>4.38</v>
      </c>
      <c r="K663" s="294">
        <v>434</v>
      </c>
      <c r="L663" s="295">
        <f>IF(tabItens[[#This Row],[Média]] &gt; 0, tabItens[[#This Row],[QTDE ATUAL]] / tabItens[[#This Row],[Média]],999.9)</f>
        <v>56.017621145374449</v>
      </c>
      <c r="M663" s="296">
        <v>0</v>
      </c>
      <c r="N663" s="297">
        <f>tabItens[[#This Row],[VALOR UNIT.]] * tabItens[[#This Row],[LC]]</f>
        <v>0</v>
      </c>
      <c r="O663" s="298"/>
      <c r="P663" s="299"/>
      <c r="Q663" s="300"/>
      <c r="R663" s="297"/>
      <c r="S663" s="301"/>
      <c r="T663" s="302">
        <f>ROUNDDOWN(IFERROR(tabItens[[#This Row],[ATA DT.VALID.]] - $D$1,0) / 30,0)</f>
        <v>-1504</v>
      </c>
      <c r="U663" s="287" t="s">
        <v>935</v>
      </c>
      <c r="V663" s="303">
        <v>1</v>
      </c>
      <c r="W663" s="304" t="s">
        <v>2052</v>
      </c>
      <c r="X663" s="305">
        <v>45</v>
      </c>
      <c r="Y663" s="306">
        <v>11</v>
      </c>
      <c r="Z663" s="307"/>
      <c r="AA663" s="308"/>
      <c r="AB663" s="309"/>
      <c r="AC663" s="309"/>
      <c r="AD663" s="308"/>
      <c r="AE663" s="309"/>
      <c r="AF663" s="302"/>
      <c r="AG663" s="310" t="s">
        <v>2050</v>
      </c>
      <c r="AH663" s="311"/>
      <c r="AI663" s="302">
        <v>228</v>
      </c>
      <c r="AJ663" s="311">
        <v>43626</v>
      </c>
      <c r="AK663" s="311">
        <v>42998</v>
      </c>
      <c r="AL663" s="311">
        <v>43607</v>
      </c>
      <c r="AM663" s="301"/>
      <c r="AN663" s="290"/>
      <c r="AO663" s="312" t="str">
        <f>_xlfn.IFNA(IF(VLOOKUP(tabItens[[#This Row],[CÓDIGO]],tabExcluirDoEstoque[#Data],1,FALSE),"sim",""),"")</f>
        <v/>
      </c>
      <c r="AP663" s="313" t="str">
        <f ca="1">IF(OR(ISBLANK(tabItens[[#This Row],[ATA DT.VALID.]]),tabItens[[#This Row],[ATA DT.VALID.]]="",tabItens[[#This Row],[ATA DT.VALID.]]=" "),"",IF(TYPE(tabItens[[#This Row],[ATA DT.VALID.]])=1,ROUNDUP((tabItens[[#This Row],[ATA DT.VALID.]]-TODAY())/7,0),""))</f>
        <v/>
      </c>
      <c r="AQ663" s="314"/>
      <c r="AR663" s="315" t="str">
        <f>IF(ISBLANK(tabItens[[#This Row],[CÓDIGO]]),"",IFERROR(VLOOKUP(tabItens[[#This Row],[CÓDIGO]],Consumo!$C$2:$AC$869,26,FALSE),0))</f>
        <v>07.2023</v>
      </c>
      <c r="AS663" s="316">
        <f>SUMIF(Consumo!$C$3:$C$869,tabItens[[#This Row],[CÓDIGO]],Consumo!$N$3:$N$869) + SUMIF(Consumo!$C$3:$C$869,tabItens[[#This Row],[CÓDIGO]],Consumo!$O$3:$O$869) + SUMIF(Consumo!$C$3:$C$869,tabItens[[#This Row],[CÓDIGO]],Consumo!$P$3:$P$869) + SUMIF(Consumo!$C$3:$C$869,tabItens[[#This Row],[CÓDIGO]],Consumo!$Q$3:$Q$869)</f>
        <v>209</v>
      </c>
      <c r="AT663" s="316">
        <f>SUMIF(Consumo!$C$3:$C$869,tabItens[[#This Row],[CÓDIGO]],Consumo!$Z$3:$Z$869)</f>
        <v>681</v>
      </c>
      <c r="AU663" s="317">
        <f>SUMIF(Consumo!$C$3:$C$869,tabItens[[#This Row],[CÓDIGO]],Consumo!$AA$3:$AA$869)</f>
        <v>98</v>
      </c>
      <c r="AV663" s="318">
        <f>SUMIF(Consumo!$C$3:$C$869,tabItens[[#This Row],[CÓDIGO]],Consumo!$Y$3:$Y$869)</f>
        <v>56.75</v>
      </c>
      <c r="AW663" s="291">
        <f>tabItens[[#This Row],[QTDE ATUAL]] + tabItens[[#This Row],[RC QTDE]] + tabItens[[#This Row],[AF SALDO]] + tabItens[[#This Row],[Recentes]]</f>
        <v>3179</v>
      </c>
      <c r="AX663" s="319">
        <v>65</v>
      </c>
      <c r="AY663" s="319">
        <v>4</v>
      </c>
      <c r="AZ663" s="319">
        <f>IF(ISBLANK(tabItens[[#This Row],[CÓDIGO]]),"",tabItens[[#This Row],[PontoMês]] * (AZ$2+tabItens[[#This Row],[PontoQtM]]))</f>
        <v>260</v>
      </c>
      <c r="BA663" s="318">
        <f>tabItens[[#This Row],[PontoPed]] - tabItens[[#This Row],[Saldo]] + (1/10)</f>
        <v>-2918.9</v>
      </c>
      <c r="BB663" s="318">
        <f xml:space="preserve"> tabItens[[#This Row],[PontoMês]] * BB$2 - tabItens[[#This Row],[QTDE ATUAL]] - (1/10)</f>
        <v>-3114.1</v>
      </c>
      <c r="BC663" s="320">
        <f>IF( tabItens[[#This Row],[PontoPed]]&gt;0, IF(tabItens[[#This Row],[PontoPed]]&lt;1, 1, IF( tabItens[[#This Row],[Saldo]]&gt;tabItens[[#This Row],[PontoPed]], 0, (tabItens[[#This Row],[PontoPed]]-tabItens[[#This Row],[Saldo]])/tabItens[[#This Row],[PontoPed]] ) ), 0 )</f>
        <v>0</v>
      </c>
      <c r="BD663" s="321">
        <f>ROUNDDOWN(IF( OR( AND(tabItens[[#This Row],[PontoPed]]&lt;tabItens[[#This Row],[Saldo]],tabItens[[#This Row],[Saldo]]&gt;0), tabItens[[#This Row],[PontoPed]]=0), 99, IF(AND(tabItens[[#This Row],[Saldo]]=0,tabItens[[#This Row],[PontoPed]]&gt;0), 0, (1-tabItens[[#This Row],[PctAb]])*10 ) ),0)</f>
        <v>99</v>
      </c>
      <c r="BE663" s="322">
        <f>MAX(ROUNDDOWN( IF(tabItens[[#This Row],[Abaixo]] &gt; 0,   tabItens[[#This Row],[Abaixo]] + (tabItens[[#This Row],[PontoMês]] * IF( OR( ISBLANK(tabItens[[#This Row],[ATA Nº/ANO]]), tabItens[[#This Row],[ATA Nº/ANO]] = ""),BE$2,BE$1)),0),0),0)</f>
        <v>0</v>
      </c>
      <c r="BF66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23">
        <f>SUMIF(Consumo!$C$3:$C$869,tabItens[[#This Row],[CÓDIGO]],Consumo!$E$3:$E$869)</f>
        <v>0</v>
      </c>
      <c r="BH663" s="324">
        <f>IF(AND(tabItens[[#This Row],[Pend]] &gt; 0,tabItens[[#This Row],[Consumo]] &lt;&gt; 0), tabItens[[#This Row],[Pend]] / tabItens[[#This Row],[Consumo]], 0 )</f>
        <v>0</v>
      </c>
      <c r="BI663" s="323"/>
      <c r="BJ663" s="323"/>
      <c r="BK663" s="325" t="s">
        <v>2064</v>
      </c>
    </row>
    <row r="664" spans="1:63" hidden="1" x14ac:dyDescent="0.3">
      <c r="A664" s="286">
        <v>138453</v>
      </c>
      <c r="B664" s="287" t="s">
        <v>1952</v>
      </c>
      <c r="C664" s="288" t="s">
        <v>31</v>
      </c>
      <c r="D664" s="289">
        <v>3.5</v>
      </c>
      <c r="E664" s="290"/>
      <c r="F664" s="290"/>
      <c r="G664" s="290" t="s">
        <v>883</v>
      </c>
      <c r="H664" s="291">
        <v>34340</v>
      </c>
      <c r="I664" s="292">
        <v>103003</v>
      </c>
      <c r="J664" s="293">
        <v>3.5</v>
      </c>
      <c r="K664" s="294">
        <v>5446</v>
      </c>
      <c r="L664" s="295">
        <f>IF(tabItens[[#This Row],[Média]] &gt; 0, tabItens[[#This Row],[QTDE ATUAL]] / tabItens[[#This Row],[Média]],999.9)</f>
        <v>47.89956991747065</v>
      </c>
      <c r="M664" s="296">
        <v>0</v>
      </c>
      <c r="N664" s="297">
        <f>tabItens[[#This Row],[VALOR UNIT.]] * tabItens[[#This Row],[LC]]</f>
        <v>0</v>
      </c>
      <c r="O664" s="298"/>
      <c r="P664" s="299"/>
      <c r="Q664" s="300"/>
      <c r="R664" s="297"/>
      <c r="S664" s="301"/>
      <c r="T664" s="302">
        <f>ROUNDDOWN(IFERROR(tabItens[[#This Row],[ATA DT.VALID.]] - $D$1,0) / 30,0)</f>
        <v>-1504</v>
      </c>
      <c r="U664" s="287" t="s">
        <v>935</v>
      </c>
      <c r="V664" s="303">
        <v>1</v>
      </c>
      <c r="W664" s="304" t="s">
        <v>2052</v>
      </c>
      <c r="X664" s="305">
        <v>45</v>
      </c>
      <c r="Y664" s="306">
        <v>11</v>
      </c>
      <c r="Z664" s="307"/>
      <c r="AA664" s="308"/>
      <c r="AB664" s="309"/>
      <c r="AC664" s="309"/>
      <c r="AD664" s="308"/>
      <c r="AE664" s="309"/>
      <c r="AF664" s="302"/>
      <c r="AG664" s="310" t="s">
        <v>2050</v>
      </c>
      <c r="AH664" s="311"/>
      <c r="AI664" s="302">
        <v>20384</v>
      </c>
      <c r="AJ664" s="311">
        <v>44173</v>
      </c>
      <c r="AK664" s="311">
        <v>43720</v>
      </c>
      <c r="AL664" s="311">
        <v>44133</v>
      </c>
      <c r="AM664" s="301"/>
      <c r="AN664" s="290"/>
      <c r="AO664" s="312" t="str">
        <f>_xlfn.IFNA(IF(VLOOKUP(tabItens[[#This Row],[CÓDIGO]],tabExcluirDoEstoque[#Data],1,FALSE),"sim",""),"")</f>
        <v/>
      </c>
      <c r="AP664" s="313" t="str">
        <f ca="1">IF(OR(ISBLANK(tabItens[[#This Row],[ATA DT.VALID.]]),tabItens[[#This Row],[ATA DT.VALID.]]="",tabItens[[#This Row],[ATA DT.VALID.]]=" "),"",IF(TYPE(tabItens[[#This Row],[ATA DT.VALID.]])=1,ROUNDUP((tabItens[[#This Row],[ATA DT.VALID.]]-TODAY())/7,0),""))</f>
        <v/>
      </c>
      <c r="AQ664" s="314"/>
      <c r="AR664" s="315" t="str">
        <f>IF(ISBLANK(tabItens[[#This Row],[CÓDIGO]]),"",IFERROR(VLOOKUP(tabItens[[#This Row],[CÓDIGO]],Consumo!$C$2:$AC$869,26,FALSE),0))</f>
        <v>07.2023</v>
      </c>
      <c r="AS664" s="316">
        <f>SUMIF(Consumo!$C$3:$C$869,tabItens[[#This Row],[CÓDIGO]],Consumo!$N$3:$N$869) + SUMIF(Consumo!$C$3:$C$869,tabItens[[#This Row],[CÓDIGO]],Consumo!$O$3:$O$869) + SUMIF(Consumo!$C$3:$C$869,tabItens[[#This Row],[CÓDIGO]],Consumo!$P$3:$P$869) + SUMIF(Consumo!$C$3:$C$869,tabItens[[#This Row],[CÓDIGO]],Consumo!$Q$3:$Q$869)</f>
        <v>2973</v>
      </c>
      <c r="AT664" s="316">
        <f>SUMIF(Consumo!$C$3:$C$869,tabItens[[#This Row],[CÓDIGO]],Consumo!$Z$3:$Z$869)</f>
        <v>8603</v>
      </c>
      <c r="AU664" s="317">
        <f>SUMIF(Consumo!$C$3:$C$869,tabItens[[#This Row],[CÓDIGO]],Consumo!$AA$3:$AA$869)</f>
        <v>1388</v>
      </c>
      <c r="AV664" s="318">
        <f>SUMIF(Consumo!$C$3:$C$869,tabItens[[#This Row],[CÓDIGO]],Consumo!$Y$3:$Y$869)</f>
        <v>716.91666666666663</v>
      </c>
      <c r="AW664" s="291">
        <f>tabItens[[#This Row],[QTDE ATUAL]] + tabItens[[#This Row],[RC QTDE]] + tabItens[[#This Row],[AF SALDO]] + tabItens[[#This Row],[Recentes]]</f>
        <v>34340</v>
      </c>
      <c r="AX664" s="319">
        <v>1704</v>
      </c>
      <c r="AY664" s="319">
        <v>4</v>
      </c>
      <c r="AZ664" s="319">
        <f>IF(ISBLANK(tabItens[[#This Row],[CÓDIGO]]),"",tabItens[[#This Row],[PontoMês]] * (AZ$2+tabItens[[#This Row],[PontoQtM]]))</f>
        <v>6816</v>
      </c>
      <c r="BA664" s="318">
        <f>tabItens[[#This Row],[PontoPed]] - tabItens[[#This Row],[Saldo]] + (1/10)</f>
        <v>-27523.9</v>
      </c>
      <c r="BB664" s="318">
        <f xml:space="preserve"> tabItens[[#This Row],[PontoMês]] * BB$2 - tabItens[[#This Row],[QTDE ATUAL]] - (1/10)</f>
        <v>-32636.1</v>
      </c>
      <c r="BC664" s="320">
        <f>IF( tabItens[[#This Row],[PontoPed]]&gt;0, IF(tabItens[[#This Row],[PontoPed]]&lt;1, 1, IF( tabItens[[#This Row],[Saldo]]&gt;tabItens[[#This Row],[PontoPed]], 0, (tabItens[[#This Row],[PontoPed]]-tabItens[[#This Row],[Saldo]])/tabItens[[#This Row],[PontoPed]] ) ), 0 )</f>
        <v>0</v>
      </c>
      <c r="BD664" s="321">
        <f>ROUNDDOWN(IF( OR( AND(tabItens[[#This Row],[PontoPed]]&lt;tabItens[[#This Row],[Saldo]],tabItens[[#This Row],[Saldo]]&gt;0), tabItens[[#This Row],[PontoPed]]=0), 99, IF(AND(tabItens[[#This Row],[Saldo]]=0,tabItens[[#This Row],[PontoPed]]&gt;0), 0, (1-tabItens[[#This Row],[PctAb]])*10 ) ),0)</f>
        <v>99</v>
      </c>
      <c r="BE664" s="322">
        <f>MAX(ROUNDDOWN( IF(tabItens[[#This Row],[Abaixo]] &gt; 0,   tabItens[[#This Row],[Abaixo]] + (tabItens[[#This Row],[PontoMês]] * IF( OR( ISBLANK(tabItens[[#This Row],[ATA Nº/ANO]]), tabItens[[#This Row],[ATA Nº/ANO]] = ""),BE$2,BE$1)),0),0),0)</f>
        <v>0</v>
      </c>
      <c r="BF66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23">
        <f>SUMIF(Consumo!$C$3:$C$869,tabItens[[#This Row],[CÓDIGO]],Consumo!$E$3:$E$869)</f>
        <v>43</v>
      </c>
      <c r="BH664" s="324">
        <f>IF(AND(tabItens[[#This Row],[Pend]] &gt; 0,tabItens[[#This Row],[Consumo]] &lt;&gt; 0), tabItens[[#This Row],[Pend]] / tabItens[[#This Row],[Consumo]], 0 )</f>
        <v>4.9982564221783101E-3</v>
      </c>
      <c r="BI664" s="323"/>
      <c r="BJ664" s="323"/>
      <c r="BK664" s="325" t="s">
        <v>2064</v>
      </c>
    </row>
    <row r="665" spans="1:63" hidden="1" x14ac:dyDescent="0.3">
      <c r="A665" s="286">
        <v>138457</v>
      </c>
      <c r="B665" s="287" t="s">
        <v>1955</v>
      </c>
      <c r="C665" s="288" t="s">
        <v>31</v>
      </c>
      <c r="D665" s="289">
        <v>0</v>
      </c>
      <c r="E665" s="290"/>
      <c r="F665" s="290"/>
      <c r="G665" s="290" t="s">
        <v>883</v>
      </c>
      <c r="H665" s="291">
        <v>1577</v>
      </c>
      <c r="I665" s="292">
        <v>103003</v>
      </c>
      <c r="J665" s="293">
        <v>0</v>
      </c>
      <c r="K665" s="294">
        <v>192</v>
      </c>
      <c r="L665" s="295">
        <f>IF(tabItens[[#This Row],[Média]] &gt; 0, tabItens[[#This Row],[QTDE ATUAL]] / tabItens[[#This Row],[Média]],999.9)</f>
        <v>68.317689530685925</v>
      </c>
      <c r="M665" s="296">
        <v>0</v>
      </c>
      <c r="N665" s="297">
        <f>tabItens[[#This Row],[VALOR UNIT.]] * tabItens[[#This Row],[LC]]</f>
        <v>0</v>
      </c>
      <c r="O665" s="298"/>
      <c r="P665" s="299"/>
      <c r="Q665" s="300"/>
      <c r="R665" s="297"/>
      <c r="S665" s="301"/>
      <c r="T665" s="302">
        <f>ROUNDDOWN(IFERROR(tabItens[[#This Row],[ATA DT.VALID.]] - $D$1,0) / 30,0)</f>
        <v>-1504</v>
      </c>
      <c r="U665" s="287" t="s">
        <v>935</v>
      </c>
      <c r="V665" s="303">
        <v>1</v>
      </c>
      <c r="W665" s="304" t="s">
        <v>2052</v>
      </c>
      <c r="X665" s="305">
        <v>45</v>
      </c>
      <c r="Y665" s="306">
        <v>11</v>
      </c>
      <c r="Z665" s="307"/>
      <c r="AA665" s="308"/>
      <c r="AB665" s="309"/>
      <c r="AC665" s="309"/>
      <c r="AD665" s="308"/>
      <c r="AE665" s="309"/>
      <c r="AF665" s="302"/>
      <c r="AG665" s="310" t="s">
        <v>2050</v>
      </c>
      <c r="AH665" s="311"/>
      <c r="AI665" s="302">
        <v>924</v>
      </c>
      <c r="AJ665" s="311" t="s">
        <v>883</v>
      </c>
      <c r="AK665" s="311">
        <v>43720</v>
      </c>
      <c r="AL665" s="311" t="s">
        <v>883</v>
      </c>
      <c r="AM665" s="301"/>
      <c r="AN665" s="290"/>
      <c r="AO665" s="312" t="str">
        <f>_xlfn.IFNA(IF(VLOOKUP(tabItens[[#This Row],[CÓDIGO]],tabExcluirDoEstoque[#Data],1,FALSE),"sim",""),"")</f>
        <v/>
      </c>
      <c r="AP665" s="313" t="str">
        <f ca="1">IF(OR(ISBLANK(tabItens[[#This Row],[ATA DT.VALID.]]),tabItens[[#This Row],[ATA DT.VALID.]]="",tabItens[[#This Row],[ATA DT.VALID.]]=" "),"",IF(TYPE(tabItens[[#This Row],[ATA DT.VALID.]])=1,ROUNDUP((tabItens[[#This Row],[ATA DT.VALID.]]-TODAY())/7,0),""))</f>
        <v/>
      </c>
      <c r="AQ665" s="314"/>
      <c r="AR665" s="315" t="str">
        <f>IF(ISBLANK(tabItens[[#This Row],[CÓDIGO]]),"",IFERROR(VLOOKUP(tabItens[[#This Row],[CÓDIGO]],Consumo!$C$2:$AC$869,26,FALSE),0))</f>
        <v>07.2023</v>
      </c>
      <c r="AS665" s="316">
        <f>SUMIF(Consumo!$C$3:$C$869,tabItens[[#This Row],[CÓDIGO]],Consumo!$N$3:$N$869) + SUMIF(Consumo!$C$3:$C$869,tabItens[[#This Row],[CÓDIGO]],Consumo!$O$3:$O$869) + SUMIF(Consumo!$C$3:$C$869,tabItens[[#This Row],[CÓDIGO]],Consumo!$P$3:$P$869) + SUMIF(Consumo!$C$3:$C$869,tabItens[[#This Row],[CÓDIGO]],Consumo!$Q$3:$Q$869)</f>
        <v>133</v>
      </c>
      <c r="AT665" s="316">
        <f>SUMIF(Consumo!$C$3:$C$869,tabItens[[#This Row],[CÓDIGO]],Consumo!$Z$3:$Z$869)</f>
        <v>283</v>
      </c>
      <c r="AU665" s="317">
        <f>SUMIF(Consumo!$C$3:$C$869,tabItens[[#This Row],[CÓDIGO]],Consumo!$AA$3:$AA$869)</f>
        <v>56</v>
      </c>
      <c r="AV665" s="318">
        <f>SUMIF(Consumo!$C$3:$C$869,tabItens[[#This Row],[CÓDIGO]],Consumo!$Y$3:$Y$869)</f>
        <v>23.083333333333332</v>
      </c>
      <c r="AW665" s="291">
        <f>tabItens[[#This Row],[QTDE ATUAL]] + tabItens[[#This Row],[RC QTDE]] + tabItens[[#This Row],[AF SALDO]] + tabItens[[#This Row],[Recentes]]</f>
        <v>1577</v>
      </c>
      <c r="AX665" s="319">
        <v>0</v>
      </c>
      <c r="AY665" s="319">
        <v>4</v>
      </c>
      <c r="AZ665" s="319">
        <f>IF(ISBLANK(tabItens[[#This Row],[CÓDIGO]]),"",tabItens[[#This Row],[PontoMês]] * (AZ$2+tabItens[[#This Row],[PontoQtM]]))</f>
        <v>0</v>
      </c>
      <c r="BA665" s="318">
        <f>tabItens[[#This Row],[PontoPed]] - tabItens[[#This Row],[Saldo]] + (1/10)</f>
        <v>-1576.9</v>
      </c>
      <c r="BB665" s="318">
        <f xml:space="preserve"> tabItens[[#This Row],[PontoMês]] * BB$2 - tabItens[[#This Row],[QTDE ATUAL]] - (1/10)</f>
        <v>-1577.1</v>
      </c>
      <c r="BC665" s="320">
        <f>IF( tabItens[[#This Row],[PontoPed]]&gt;0, IF(tabItens[[#This Row],[PontoPed]]&lt;1, 1, IF( tabItens[[#This Row],[Saldo]]&gt;tabItens[[#This Row],[PontoPed]], 0, (tabItens[[#This Row],[PontoPed]]-tabItens[[#This Row],[Saldo]])/tabItens[[#This Row],[PontoPed]] ) ), 0 )</f>
        <v>0</v>
      </c>
      <c r="BD665" s="321">
        <f>ROUNDDOWN(IF( OR( AND(tabItens[[#This Row],[PontoPed]]&lt;tabItens[[#This Row],[Saldo]],tabItens[[#This Row],[Saldo]]&gt;0), tabItens[[#This Row],[PontoPed]]=0), 99, IF(AND(tabItens[[#This Row],[Saldo]]=0,tabItens[[#This Row],[PontoPed]]&gt;0), 0, (1-tabItens[[#This Row],[PctAb]])*10 ) ),0)</f>
        <v>99</v>
      </c>
      <c r="BE665" s="322">
        <f>MAX(ROUNDDOWN( IF(tabItens[[#This Row],[Abaixo]] &gt; 0,   tabItens[[#This Row],[Abaixo]] + (tabItens[[#This Row],[PontoMês]] * IF( OR( ISBLANK(tabItens[[#This Row],[ATA Nº/ANO]]), tabItens[[#This Row],[ATA Nº/ANO]] = ""),BE$2,BE$1)),0),0),0)</f>
        <v>0</v>
      </c>
      <c r="BF66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323">
        <f>SUMIF(Consumo!$C$3:$C$869,tabItens[[#This Row],[CÓDIGO]],Consumo!$E$3:$E$869)</f>
        <v>1</v>
      </c>
      <c r="BH665" s="324">
        <f>IF(AND(tabItens[[#This Row],[Pend]] &gt; 0,tabItens[[#This Row],[Consumo]] &lt;&gt; 0), tabItens[[#This Row],[Pend]] / tabItens[[#This Row],[Consumo]], 0 )</f>
        <v>3.5335689045936395E-3</v>
      </c>
      <c r="BI665" s="323"/>
      <c r="BJ665" s="323"/>
      <c r="BK665" s="325" t="s">
        <v>2064</v>
      </c>
    </row>
    <row r="666" spans="1:63" hidden="1" x14ac:dyDescent="0.3">
      <c r="A666" s="286">
        <v>138458</v>
      </c>
      <c r="B666" s="287" t="s">
        <v>1956</v>
      </c>
      <c r="C666" s="288" t="s">
        <v>31</v>
      </c>
      <c r="D666" s="289">
        <v>0</v>
      </c>
      <c r="E666" s="290"/>
      <c r="F666" s="290"/>
      <c r="G666" s="290" t="s">
        <v>883</v>
      </c>
      <c r="H666" s="291">
        <v>9067</v>
      </c>
      <c r="I666" s="292">
        <v>103003</v>
      </c>
      <c r="J666" s="293">
        <v>0</v>
      </c>
      <c r="K666" s="294">
        <v>4615</v>
      </c>
      <c r="L666" s="295">
        <f>IF(tabItens[[#This Row],[Média]] &gt; 0, tabItens[[#This Row],[QTDE ATUAL]] / tabItens[[#This Row],[Média]],999.9)</f>
        <v>14.516877918612407</v>
      </c>
      <c r="M666" s="296">
        <v>0</v>
      </c>
      <c r="N666" s="297">
        <f>tabItens[[#This Row],[VALOR UNIT.]] * tabItens[[#This Row],[LC]]</f>
        <v>0</v>
      </c>
      <c r="O666" s="298"/>
      <c r="P666" s="299"/>
      <c r="Q666" s="300"/>
      <c r="R666" s="297"/>
      <c r="S666" s="301"/>
      <c r="T666" s="302">
        <f>ROUNDDOWN(IFERROR(tabItens[[#This Row],[ATA DT.VALID.]] - $D$1,0) / 30,0)</f>
        <v>-1504</v>
      </c>
      <c r="U666" s="287" t="s">
        <v>935</v>
      </c>
      <c r="V666" s="303">
        <v>1</v>
      </c>
      <c r="W666" s="304" t="s">
        <v>2052</v>
      </c>
      <c r="X666" s="305">
        <v>45</v>
      </c>
      <c r="Y666" s="306">
        <v>11</v>
      </c>
      <c r="Z666" s="307"/>
      <c r="AA666" s="308"/>
      <c r="AB666" s="309"/>
      <c r="AC666" s="309"/>
      <c r="AD666" s="308"/>
      <c r="AE666" s="309"/>
      <c r="AF666" s="302"/>
      <c r="AG666" s="310" t="s">
        <v>2050</v>
      </c>
      <c r="AH666" s="311"/>
      <c r="AI666" s="302">
        <v>24684</v>
      </c>
      <c r="AJ666" s="311" t="s">
        <v>883</v>
      </c>
      <c r="AK666" s="311">
        <v>43720</v>
      </c>
      <c r="AL666" s="311" t="s">
        <v>883</v>
      </c>
      <c r="AM666" s="301"/>
      <c r="AN666" s="290"/>
      <c r="AO666" s="312" t="str">
        <f>_xlfn.IFNA(IF(VLOOKUP(tabItens[[#This Row],[CÓDIGO]],tabExcluirDoEstoque[#Data],1,FALSE),"sim",""),"")</f>
        <v/>
      </c>
      <c r="AP666" s="313" t="str">
        <f ca="1">IF(OR(ISBLANK(tabItens[[#This Row],[ATA DT.VALID.]]),tabItens[[#This Row],[ATA DT.VALID.]]="",tabItens[[#This Row],[ATA DT.VALID.]]=" "),"",IF(TYPE(tabItens[[#This Row],[ATA DT.VALID.]])=1,ROUNDUP((tabItens[[#This Row],[ATA DT.VALID.]]-TODAY())/7,0),""))</f>
        <v/>
      </c>
      <c r="AQ666" s="314"/>
      <c r="AR666" s="315" t="str">
        <f>IF(ISBLANK(tabItens[[#This Row],[CÓDIGO]]),"",IFERROR(VLOOKUP(tabItens[[#This Row],[CÓDIGO]],Consumo!$C$2:$AC$869,26,FALSE),0))</f>
        <v>07.2023</v>
      </c>
      <c r="AS666" s="316">
        <f>SUMIF(Consumo!$C$3:$C$869,tabItens[[#This Row],[CÓDIGO]],Consumo!$N$3:$N$869) + SUMIF(Consumo!$C$3:$C$869,tabItens[[#This Row],[CÓDIGO]],Consumo!$O$3:$O$869) + SUMIF(Consumo!$C$3:$C$869,tabItens[[#This Row],[CÓDIGO]],Consumo!$P$3:$P$869) + SUMIF(Consumo!$C$3:$C$869,tabItens[[#This Row],[CÓDIGO]],Consumo!$Q$3:$Q$869)</f>
        <v>2601</v>
      </c>
      <c r="AT666" s="316">
        <f>SUMIF(Consumo!$C$3:$C$869,tabItens[[#This Row],[CÓDIGO]],Consumo!$Z$3:$Z$869)</f>
        <v>7495</v>
      </c>
      <c r="AU666" s="317">
        <f>SUMIF(Consumo!$C$3:$C$869,tabItens[[#This Row],[CÓDIGO]],Consumo!$AA$3:$AA$869)</f>
        <v>954</v>
      </c>
      <c r="AV666" s="318">
        <f>SUMIF(Consumo!$C$3:$C$869,tabItens[[#This Row],[CÓDIGO]],Consumo!$Y$3:$Y$869)</f>
        <v>624.58333333333337</v>
      </c>
      <c r="AW666" s="291">
        <f>tabItens[[#This Row],[QTDE ATUAL]] + tabItens[[#This Row],[RC QTDE]] + tabItens[[#This Row],[AF SALDO]] + tabItens[[#This Row],[Recentes]]</f>
        <v>9067</v>
      </c>
      <c r="AX666" s="319">
        <v>0</v>
      </c>
      <c r="AY666" s="319">
        <v>4</v>
      </c>
      <c r="AZ666" s="319">
        <f>IF(ISBLANK(tabItens[[#This Row],[CÓDIGO]]),"",tabItens[[#This Row],[PontoMês]] * (AZ$2+tabItens[[#This Row],[PontoQtM]]))</f>
        <v>0</v>
      </c>
      <c r="BA666" s="318">
        <f>tabItens[[#This Row],[PontoPed]] - tabItens[[#This Row],[Saldo]] + (1/10)</f>
        <v>-9066.9</v>
      </c>
      <c r="BB666" s="318">
        <f xml:space="preserve"> tabItens[[#This Row],[PontoMês]] * BB$2 - tabItens[[#This Row],[QTDE ATUAL]] - (1/10)</f>
        <v>-9067.1</v>
      </c>
      <c r="BC666" s="320">
        <f>IF( tabItens[[#This Row],[PontoPed]]&gt;0, IF(tabItens[[#This Row],[PontoPed]]&lt;1, 1, IF( tabItens[[#This Row],[Saldo]]&gt;tabItens[[#This Row],[PontoPed]], 0, (tabItens[[#This Row],[PontoPed]]-tabItens[[#This Row],[Saldo]])/tabItens[[#This Row],[PontoPed]] ) ), 0 )</f>
        <v>0</v>
      </c>
      <c r="BD666" s="321">
        <f>ROUNDDOWN(IF( OR( AND(tabItens[[#This Row],[PontoPed]]&lt;tabItens[[#This Row],[Saldo]],tabItens[[#This Row],[Saldo]]&gt;0), tabItens[[#This Row],[PontoPed]]=0), 99, IF(AND(tabItens[[#This Row],[Saldo]]=0,tabItens[[#This Row],[PontoPed]]&gt;0), 0, (1-tabItens[[#This Row],[PctAb]])*10 ) ),0)</f>
        <v>99</v>
      </c>
      <c r="BE666" s="322">
        <f>MAX(ROUNDDOWN( IF(tabItens[[#This Row],[Abaixo]] &gt; 0,   tabItens[[#This Row],[Abaixo]] + (tabItens[[#This Row],[PontoMês]] * IF( OR( ISBLANK(tabItens[[#This Row],[ATA Nº/ANO]]), tabItens[[#This Row],[ATA Nº/ANO]] = ""),BE$2,BE$1)),0),0),0)</f>
        <v>0</v>
      </c>
      <c r="BF66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323">
        <f>SUMIF(Consumo!$C$3:$C$869,tabItens[[#This Row],[CÓDIGO]],Consumo!$E$3:$E$869)</f>
        <v>10</v>
      </c>
      <c r="BH666" s="324">
        <f>IF(AND(tabItens[[#This Row],[Pend]] &gt; 0,tabItens[[#This Row],[Consumo]] &lt;&gt; 0), tabItens[[#This Row],[Pend]] / tabItens[[#This Row],[Consumo]], 0 )</f>
        <v>1.33422281521014E-3</v>
      </c>
      <c r="BI666" s="323"/>
      <c r="BJ666" s="323"/>
      <c r="BK666" s="325" t="s">
        <v>2064</v>
      </c>
    </row>
    <row r="667" spans="1:63" hidden="1" x14ac:dyDescent="0.3">
      <c r="A667" s="286">
        <v>11264</v>
      </c>
      <c r="B667" s="287" t="s">
        <v>928</v>
      </c>
      <c r="C667" s="288" t="s">
        <v>256</v>
      </c>
      <c r="D667" s="289">
        <v>13.92</v>
      </c>
      <c r="E667" s="290"/>
      <c r="F667" s="290"/>
      <c r="G667" s="290" t="s">
        <v>883</v>
      </c>
      <c r="H667" s="291">
        <v>242</v>
      </c>
      <c r="I667" s="292">
        <v>103003</v>
      </c>
      <c r="J667" s="293">
        <v>13.92</v>
      </c>
      <c r="K667" s="294">
        <v>234</v>
      </c>
      <c r="L667" s="295">
        <f>IF(tabItens[[#This Row],[Média]] &gt; 0, tabItens[[#This Row],[QTDE ATUAL]] / tabItens[[#This Row],[Média]],999.9)</f>
        <v>7.6622691292875995</v>
      </c>
      <c r="M667" s="296">
        <v>0</v>
      </c>
      <c r="N667" s="297">
        <f>tabItens[[#This Row],[VALOR UNIT.]] * tabItens[[#This Row],[LC]]</f>
        <v>0</v>
      </c>
      <c r="O667" s="298"/>
      <c r="P667" s="299"/>
      <c r="Q667" s="300"/>
      <c r="R667" s="297"/>
      <c r="S667" s="301"/>
      <c r="T667" s="302">
        <f>ROUNDDOWN(IFERROR(tabItens[[#This Row],[ATA DT.VALID.]] - $D$1,0) / 30,0)</f>
        <v>-1504</v>
      </c>
      <c r="U667" s="287" t="s">
        <v>925</v>
      </c>
      <c r="V667" s="303">
        <v>1</v>
      </c>
      <c r="W667" s="304" t="s">
        <v>2051</v>
      </c>
      <c r="X667" s="305">
        <v>45</v>
      </c>
      <c r="Y667" s="306">
        <v>12</v>
      </c>
      <c r="Z667" s="307"/>
      <c r="AA667" s="308"/>
      <c r="AB667" s="309"/>
      <c r="AC667" s="309"/>
      <c r="AD667" s="308"/>
      <c r="AE667" s="309"/>
      <c r="AF667" s="302"/>
      <c r="AG667" s="310" t="s">
        <v>2050</v>
      </c>
      <c r="AH667" s="311"/>
      <c r="AI667" s="302">
        <v>118</v>
      </c>
      <c r="AJ667" s="311">
        <v>45013</v>
      </c>
      <c r="AK667" s="311" t="s">
        <v>883</v>
      </c>
      <c r="AL667" s="311">
        <v>44998</v>
      </c>
      <c r="AM667" s="301"/>
      <c r="AN667" s="290"/>
      <c r="AO667" s="312" t="str">
        <f>_xlfn.IFNA(IF(VLOOKUP(tabItens[[#This Row],[CÓDIGO]],tabExcluirDoEstoque[#Data],1,FALSE),"sim",""),"")</f>
        <v/>
      </c>
      <c r="AP667" s="313" t="str">
        <f ca="1">IF(OR(ISBLANK(tabItens[[#This Row],[ATA DT.VALID.]]),tabItens[[#This Row],[ATA DT.VALID.]]="",tabItens[[#This Row],[ATA DT.VALID.]]=" "),"",IF(TYPE(tabItens[[#This Row],[ATA DT.VALID.]])=1,ROUNDUP((tabItens[[#This Row],[ATA DT.VALID.]]-TODAY())/7,0),""))</f>
        <v/>
      </c>
      <c r="AQ667" s="314"/>
      <c r="AR667" s="315" t="str">
        <f>IF(ISBLANK(tabItens[[#This Row],[CÓDIGO]]),"",IFERROR(VLOOKUP(tabItens[[#This Row],[CÓDIGO]],Consumo!$C$2:$AC$869,26,FALSE),0))</f>
        <v>07.2023</v>
      </c>
      <c r="AS667" s="316">
        <f>SUMIF(Consumo!$C$3:$C$869,tabItens[[#This Row],[CÓDIGO]],Consumo!$N$3:$N$869) + SUMIF(Consumo!$C$3:$C$869,tabItens[[#This Row],[CÓDIGO]],Consumo!$O$3:$O$869) + SUMIF(Consumo!$C$3:$C$869,tabItens[[#This Row],[CÓDIGO]],Consumo!$P$3:$P$869) + SUMIF(Consumo!$C$3:$C$869,tabItens[[#This Row],[CÓDIGO]],Consumo!$Q$3:$Q$869)</f>
        <v>156</v>
      </c>
      <c r="AT667" s="316">
        <f>SUMIF(Consumo!$C$3:$C$869,tabItens[[#This Row],[CÓDIGO]],Consumo!$Z$3:$Z$869)</f>
        <v>379</v>
      </c>
      <c r="AU667" s="317">
        <f>SUMIF(Consumo!$C$3:$C$869,tabItens[[#This Row],[CÓDIGO]],Consumo!$AA$3:$AA$869)</f>
        <v>48</v>
      </c>
      <c r="AV667" s="318">
        <f>SUMIF(Consumo!$C$3:$C$869,tabItens[[#This Row],[CÓDIGO]],Consumo!$Y$3:$Y$869)</f>
        <v>31.583333333333332</v>
      </c>
      <c r="AW667" s="291">
        <f>tabItens[[#This Row],[QTDE ATUAL]] + tabItens[[#This Row],[RC QTDE]] + tabItens[[#This Row],[AF SALDO]] + tabItens[[#This Row],[Recentes]]</f>
        <v>242</v>
      </c>
      <c r="AX667" s="319">
        <v>36</v>
      </c>
      <c r="AY667" s="319">
        <v>4</v>
      </c>
      <c r="AZ667" s="319">
        <f>IF(ISBLANK(tabItens[[#This Row],[CÓDIGO]]),"",tabItens[[#This Row],[PontoMês]] * (AZ$2+tabItens[[#This Row],[PontoQtM]]))</f>
        <v>144</v>
      </c>
      <c r="BA667" s="318">
        <f>tabItens[[#This Row],[PontoPed]] - tabItens[[#This Row],[Saldo]] + (1/10)</f>
        <v>-97.9</v>
      </c>
      <c r="BB667" s="318">
        <f xml:space="preserve"> tabItens[[#This Row],[PontoMês]] * BB$2 - tabItens[[#This Row],[QTDE ATUAL]] - (1/10)</f>
        <v>-206.1</v>
      </c>
      <c r="BC667" s="320">
        <f>IF( tabItens[[#This Row],[PontoPed]]&gt;0, IF(tabItens[[#This Row],[PontoPed]]&lt;1, 1, IF( tabItens[[#This Row],[Saldo]]&gt;tabItens[[#This Row],[PontoPed]], 0, (tabItens[[#This Row],[PontoPed]]-tabItens[[#This Row],[Saldo]])/tabItens[[#This Row],[PontoPed]] ) ), 0 )</f>
        <v>0</v>
      </c>
      <c r="BD667" s="321">
        <f>ROUNDDOWN(IF( OR( AND(tabItens[[#This Row],[PontoPed]]&lt;tabItens[[#This Row],[Saldo]],tabItens[[#This Row],[Saldo]]&gt;0), tabItens[[#This Row],[PontoPed]]=0), 99, IF(AND(tabItens[[#This Row],[Saldo]]=0,tabItens[[#This Row],[PontoPed]]&gt;0), 0, (1-tabItens[[#This Row],[PctAb]])*10 ) ),0)</f>
        <v>99</v>
      </c>
      <c r="BE667" s="322">
        <f>MAX(ROUNDDOWN( IF(tabItens[[#This Row],[Abaixo]] &gt; 0,   tabItens[[#This Row],[Abaixo]] + (tabItens[[#This Row],[PontoMês]] * IF( OR( ISBLANK(tabItens[[#This Row],[ATA Nº/ANO]]), tabItens[[#This Row],[ATA Nº/ANO]] = ""),BE$2,BE$1)),0),0),0)</f>
        <v>0</v>
      </c>
      <c r="BF66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323">
        <f>SUMIF(Consumo!$C$3:$C$869,tabItens[[#This Row],[CÓDIGO]],Consumo!$E$3:$E$869)</f>
        <v>25</v>
      </c>
      <c r="BH667" s="324">
        <f>IF(AND(tabItens[[#This Row],[Pend]] &gt; 0,tabItens[[#This Row],[Consumo]] &lt;&gt; 0), tabItens[[#This Row],[Pend]] / tabItens[[#This Row],[Consumo]], 0 )</f>
        <v>6.5963060686015831E-2</v>
      </c>
      <c r="BI667" s="323"/>
      <c r="BJ667" s="323"/>
      <c r="BK667" s="325" t="s">
        <v>2064</v>
      </c>
    </row>
    <row r="668" spans="1:63" hidden="1" x14ac:dyDescent="0.3">
      <c r="A668" s="286">
        <v>17135</v>
      </c>
      <c r="B668" s="287" t="s">
        <v>1124</v>
      </c>
      <c r="C668" s="288" t="s">
        <v>256</v>
      </c>
      <c r="D668" s="289">
        <v>0.17</v>
      </c>
      <c r="E668" s="290"/>
      <c r="F668" s="290"/>
      <c r="G668" s="290" t="s">
        <v>883</v>
      </c>
      <c r="H668" s="291">
        <v>1580</v>
      </c>
      <c r="I668" s="292">
        <v>103003</v>
      </c>
      <c r="J668" s="293">
        <v>0.17</v>
      </c>
      <c r="K668" s="294">
        <v>6303</v>
      </c>
      <c r="L668" s="295">
        <f>IF(tabItens[[#This Row],[Média]] &gt; 0, tabItens[[#This Row],[QTDE ATUAL]] / tabItens[[#This Row],[Média]],999.9)</f>
        <v>2.6989323843416373</v>
      </c>
      <c r="M668" s="296">
        <v>0</v>
      </c>
      <c r="N668" s="297">
        <f>tabItens[[#This Row],[VALOR UNIT.]] * tabItens[[#This Row],[LC]]</f>
        <v>0</v>
      </c>
      <c r="O668" s="298"/>
      <c r="P668" s="299"/>
      <c r="Q668" s="300"/>
      <c r="R668" s="297"/>
      <c r="S668" s="301"/>
      <c r="T668" s="302">
        <f>ROUNDDOWN(IFERROR(tabItens[[#This Row],[ATA DT.VALID.]] - $D$1,0) / 30,0)</f>
        <v>-1504</v>
      </c>
      <c r="U668" s="287" t="s">
        <v>925</v>
      </c>
      <c r="V668" s="303">
        <v>1</v>
      </c>
      <c r="W668" s="304" t="s">
        <v>2051</v>
      </c>
      <c r="X668" s="305">
        <v>45</v>
      </c>
      <c r="Y668" s="306">
        <v>12</v>
      </c>
      <c r="Z668" s="307">
        <v>6978</v>
      </c>
      <c r="AA668" s="308">
        <v>2023</v>
      </c>
      <c r="AB668" s="309">
        <v>1200</v>
      </c>
      <c r="AC668" s="309"/>
      <c r="AD668" s="308"/>
      <c r="AE668" s="309"/>
      <c r="AF668" s="302"/>
      <c r="AG668" s="310" t="s">
        <v>2050</v>
      </c>
      <c r="AH668" s="311"/>
      <c r="AI668" s="302">
        <v>2762</v>
      </c>
      <c r="AJ668" s="311">
        <v>45020</v>
      </c>
      <c r="AK668" s="311" t="s">
        <v>883</v>
      </c>
      <c r="AL668" s="311">
        <v>44998</v>
      </c>
      <c r="AM668" s="301"/>
      <c r="AN668" s="290"/>
      <c r="AO668" s="312" t="str">
        <f>_xlfn.IFNA(IF(VLOOKUP(tabItens[[#This Row],[CÓDIGO]],tabExcluirDoEstoque[#Data],1,FALSE),"sim",""),"")</f>
        <v/>
      </c>
      <c r="AP668" s="313" t="str">
        <f ca="1">IF(OR(ISBLANK(tabItens[[#This Row],[ATA DT.VALID.]]),tabItens[[#This Row],[ATA DT.VALID.]]="",tabItens[[#This Row],[ATA DT.VALID.]]=" "),"",IF(TYPE(tabItens[[#This Row],[ATA DT.VALID.]])=1,ROUNDUP((tabItens[[#This Row],[ATA DT.VALID.]]-TODAY())/7,0),""))</f>
        <v/>
      </c>
      <c r="AQ668" s="314"/>
      <c r="AR668" s="315" t="str">
        <f>IF(ISBLANK(tabItens[[#This Row],[CÓDIGO]]),"",IFERROR(VLOOKUP(tabItens[[#This Row],[CÓDIGO]],Consumo!$C$2:$AC$869,26,FALSE),0))</f>
        <v>07.2023</v>
      </c>
      <c r="AS668" s="316">
        <f>SUMIF(Consumo!$C$3:$C$869,tabItens[[#This Row],[CÓDIGO]],Consumo!$N$3:$N$869) + SUMIF(Consumo!$C$3:$C$869,tabItens[[#This Row],[CÓDIGO]],Consumo!$O$3:$O$869) + SUMIF(Consumo!$C$3:$C$869,tabItens[[#This Row],[CÓDIGO]],Consumo!$P$3:$P$869) + SUMIF(Consumo!$C$3:$C$869,tabItens[[#This Row],[CÓDIGO]],Consumo!$Q$3:$Q$869)</f>
        <v>1465</v>
      </c>
      <c r="AT668" s="316">
        <f>SUMIF(Consumo!$C$3:$C$869,tabItens[[#This Row],[CÓDIGO]],Consumo!$Z$3:$Z$869)</f>
        <v>8215</v>
      </c>
      <c r="AU668" s="317">
        <f>SUMIF(Consumo!$C$3:$C$869,tabItens[[#This Row],[CÓDIGO]],Consumo!$AA$3:$AA$869)</f>
        <v>3802</v>
      </c>
      <c r="AV668" s="318">
        <f>SUMIF(Consumo!$C$3:$C$869,tabItens[[#This Row],[CÓDIGO]],Consumo!$Y$3:$Y$869)</f>
        <v>585.41666666666663</v>
      </c>
      <c r="AW668" s="291">
        <f>tabItens[[#This Row],[QTDE ATUAL]] + tabItens[[#This Row],[RC QTDE]] + tabItens[[#This Row],[AF SALDO]] + tabItens[[#This Row],[Recentes]]</f>
        <v>2780</v>
      </c>
      <c r="AX668" s="319">
        <v>610</v>
      </c>
      <c r="AY668" s="319">
        <v>4</v>
      </c>
      <c r="AZ668" s="319">
        <f>IF(ISBLANK(tabItens[[#This Row],[CÓDIGO]]),"",tabItens[[#This Row],[PontoMês]] * (AZ$2+tabItens[[#This Row],[PontoQtM]]))</f>
        <v>2440</v>
      </c>
      <c r="BA668" s="318">
        <f>tabItens[[#This Row],[PontoPed]] - tabItens[[#This Row],[Saldo]] + (1/10)</f>
        <v>-339.9</v>
      </c>
      <c r="BB668" s="318">
        <f xml:space="preserve"> tabItens[[#This Row],[PontoMês]] * BB$2 - tabItens[[#This Row],[QTDE ATUAL]] - (1/10)</f>
        <v>-970.1</v>
      </c>
      <c r="BC668" s="320">
        <f>IF( tabItens[[#This Row],[PontoPed]]&gt;0, IF(tabItens[[#This Row],[PontoPed]]&lt;1, 1, IF( tabItens[[#This Row],[Saldo]]&gt;tabItens[[#This Row],[PontoPed]], 0, (tabItens[[#This Row],[PontoPed]]-tabItens[[#This Row],[Saldo]])/tabItens[[#This Row],[PontoPed]] ) ), 0 )</f>
        <v>0</v>
      </c>
      <c r="BD668" s="321">
        <f>ROUNDDOWN(IF( OR( AND(tabItens[[#This Row],[PontoPed]]&lt;tabItens[[#This Row],[Saldo]],tabItens[[#This Row],[Saldo]]&gt;0), tabItens[[#This Row],[PontoPed]]=0), 99, IF(AND(tabItens[[#This Row],[Saldo]]=0,tabItens[[#This Row],[PontoPed]]&gt;0), 0, (1-tabItens[[#This Row],[PctAb]])*10 ) ),0)</f>
        <v>99</v>
      </c>
      <c r="BE668" s="322">
        <f>MAX(ROUNDDOWN( IF(tabItens[[#This Row],[Abaixo]] &gt; 0,   tabItens[[#This Row],[Abaixo]] + (tabItens[[#This Row],[PontoMês]] * IF( OR( ISBLANK(tabItens[[#This Row],[ATA Nº/ANO]]), tabItens[[#This Row],[ATA Nº/ANO]] = ""),BE$2,BE$1)),0),0),0)</f>
        <v>0</v>
      </c>
      <c r="BF66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323">
        <f>SUMIF(Consumo!$C$3:$C$869,tabItens[[#This Row],[CÓDIGO]],Consumo!$E$3:$E$869)</f>
        <v>132</v>
      </c>
      <c r="BH668" s="324">
        <f>IF(AND(tabItens[[#This Row],[Pend]] &gt; 0,tabItens[[#This Row],[Consumo]] &lt;&gt; 0), tabItens[[#This Row],[Pend]] / tabItens[[#This Row],[Consumo]], 0 )</f>
        <v>1.6068167985392574E-2</v>
      </c>
      <c r="BI668" s="323"/>
      <c r="BJ668" s="323"/>
      <c r="BK668" s="325" t="s">
        <v>2064</v>
      </c>
    </row>
    <row r="669" spans="1:63" hidden="1" x14ac:dyDescent="0.3">
      <c r="A669" s="286">
        <v>29952</v>
      </c>
      <c r="B669" s="287" t="s">
        <v>1238</v>
      </c>
      <c r="C669" s="288" t="s">
        <v>256</v>
      </c>
      <c r="D669" s="289">
        <v>3.83</v>
      </c>
      <c r="E669" s="290"/>
      <c r="F669" s="290"/>
      <c r="G669" s="290" t="s">
        <v>883</v>
      </c>
      <c r="H669" s="291">
        <v>2025</v>
      </c>
      <c r="I669" s="292">
        <v>103003</v>
      </c>
      <c r="J669" s="293">
        <v>3.83</v>
      </c>
      <c r="K669" s="294">
        <v>3536</v>
      </c>
      <c r="L669" s="295">
        <f>IF(tabItens[[#This Row],[Média]] &gt; 0, tabItens[[#This Row],[QTDE ATUAL]] / tabItens[[#This Row],[Média]],999.9)</f>
        <v>5.4902846814279265</v>
      </c>
      <c r="M669" s="296">
        <v>0</v>
      </c>
      <c r="N669" s="297">
        <f>tabItens[[#This Row],[VALOR UNIT.]] * tabItens[[#This Row],[LC]]</f>
        <v>0</v>
      </c>
      <c r="O669" s="298"/>
      <c r="P669" s="299"/>
      <c r="Q669" s="300"/>
      <c r="R669" s="297"/>
      <c r="S669" s="301"/>
      <c r="T669" s="302">
        <f>ROUNDDOWN(IFERROR(tabItens[[#This Row],[ATA DT.VALID.]] - $D$1,0) / 30,0)</f>
        <v>-1504</v>
      </c>
      <c r="U669" s="287" t="s">
        <v>925</v>
      </c>
      <c r="V669" s="303">
        <v>1</v>
      </c>
      <c r="W669" s="304" t="s">
        <v>2051</v>
      </c>
      <c r="X669" s="305">
        <v>45</v>
      </c>
      <c r="Y669" s="306">
        <v>12</v>
      </c>
      <c r="Z669" s="307"/>
      <c r="AA669" s="308"/>
      <c r="AB669" s="309"/>
      <c r="AC669" s="309"/>
      <c r="AD669" s="308"/>
      <c r="AE669" s="309"/>
      <c r="AF669" s="302"/>
      <c r="AG669" s="310" t="s">
        <v>2050</v>
      </c>
      <c r="AH669" s="311"/>
      <c r="AI669" s="302">
        <v>1584</v>
      </c>
      <c r="AJ669" s="311">
        <v>45036</v>
      </c>
      <c r="AK669" s="311" t="s">
        <v>883</v>
      </c>
      <c r="AL669" s="311">
        <v>44998</v>
      </c>
      <c r="AM669" s="301"/>
      <c r="AN669" s="290"/>
      <c r="AO669" s="312" t="str">
        <f>_xlfn.IFNA(IF(VLOOKUP(tabItens[[#This Row],[CÓDIGO]],tabExcluirDoEstoque[#Data],1,FALSE),"sim",""),"")</f>
        <v/>
      </c>
      <c r="AP669" s="313" t="str">
        <f ca="1">IF(OR(ISBLANK(tabItens[[#This Row],[ATA DT.VALID.]]),tabItens[[#This Row],[ATA DT.VALID.]]="",tabItens[[#This Row],[ATA DT.VALID.]]=" "),"",IF(TYPE(tabItens[[#This Row],[ATA DT.VALID.]])=1,ROUNDUP((tabItens[[#This Row],[ATA DT.VALID.]]-TODAY())/7,0),""))</f>
        <v/>
      </c>
      <c r="AQ669" s="314"/>
      <c r="AR669" s="315" t="str">
        <f>IF(ISBLANK(tabItens[[#This Row],[CÓDIGO]]),"",IFERROR(VLOOKUP(tabItens[[#This Row],[CÓDIGO]],Consumo!$C$2:$AC$869,26,FALSE),0))</f>
        <v>07.2023</v>
      </c>
      <c r="AS669" s="316">
        <f>SUMIF(Consumo!$C$3:$C$869,tabItens[[#This Row],[CÓDIGO]],Consumo!$N$3:$N$869) + SUMIF(Consumo!$C$3:$C$869,tabItens[[#This Row],[CÓDIGO]],Consumo!$O$3:$O$869) + SUMIF(Consumo!$C$3:$C$869,tabItens[[#This Row],[CÓDIGO]],Consumo!$P$3:$P$869) + SUMIF(Consumo!$C$3:$C$869,tabItens[[#This Row],[CÓDIGO]],Consumo!$Q$3:$Q$869)</f>
        <v>983</v>
      </c>
      <c r="AT669" s="316">
        <f>SUMIF(Consumo!$C$3:$C$869,tabItens[[#This Row],[CÓDIGO]],Consumo!$Z$3:$Z$869)</f>
        <v>4984</v>
      </c>
      <c r="AU669" s="317">
        <f>SUMIF(Consumo!$C$3:$C$869,tabItens[[#This Row],[CÓDIGO]],Consumo!$AA$3:$AA$869)</f>
        <v>1902</v>
      </c>
      <c r="AV669" s="318">
        <f>SUMIF(Consumo!$C$3:$C$869,tabItens[[#This Row],[CÓDIGO]],Consumo!$Y$3:$Y$869)</f>
        <v>368.83333333333331</v>
      </c>
      <c r="AW669" s="291">
        <f>tabItens[[#This Row],[QTDE ATUAL]] + tabItens[[#This Row],[RC QTDE]] + tabItens[[#This Row],[AF SALDO]] + tabItens[[#This Row],[Recentes]]</f>
        <v>2025</v>
      </c>
      <c r="AX669" s="319">
        <v>450</v>
      </c>
      <c r="AY669" s="319">
        <v>4</v>
      </c>
      <c r="AZ669" s="319">
        <f>IF(ISBLANK(tabItens[[#This Row],[CÓDIGO]]),"",tabItens[[#This Row],[PontoMês]] * (AZ$2+tabItens[[#This Row],[PontoQtM]]))</f>
        <v>1800</v>
      </c>
      <c r="BA669" s="318">
        <f>tabItens[[#This Row],[PontoPed]] - tabItens[[#This Row],[Saldo]] + (1/10)</f>
        <v>-224.9</v>
      </c>
      <c r="BB669" s="318">
        <f xml:space="preserve"> tabItens[[#This Row],[PontoMês]] * BB$2 - tabItens[[#This Row],[QTDE ATUAL]] - (1/10)</f>
        <v>-1575.1</v>
      </c>
      <c r="BC669" s="320">
        <f>IF( tabItens[[#This Row],[PontoPed]]&gt;0, IF(tabItens[[#This Row],[PontoPed]]&lt;1, 1, IF( tabItens[[#This Row],[Saldo]]&gt;tabItens[[#This Row],[PontoPed]], 0, (tabItens[[#This Row],[PontoPed]]-tabItens[[#This Row],[Saldo]])/tabItens[[#This Row],[PontoPed]] ) ), 0 )</f>
        <v>0</v>
      </c>
      <c r="BD669" s="321">
        <f>ROUNDDOWN(IF( OR( AND(tabItens[[#This Row],[PontoPed]]&lt;tabItens[[#This Row],[Saldo]],tabItens[[#This Row],[Saldo]]&gt;0), tabItens[[#This Row],[PontoPed]]=0), 99, IF(AND(tabItens[[#This Row],[Saldo]]=0,tabItens[[#This Row],[PontoPed]]&gt;0), 0, (1-tabItens[[#This Row],[PctAb]])*10 ) ),0)</f>
        <v>99</v>
      </c>
      <c r="BE669" s="322">
        <f>MAX(ROUNDDOWN( IF(tabItens[[#This Row],[Abaixo]] &gt; 0,   tabItens[[#This Row],[Abaixo]] + (tabItens[[#This Row],[PontoMês]] * IF( OR( ISBLANK(tabItens[[#This Row],[ATA Nº/ANO]]), tabItens[[#This Row],[ATA Nº/ANO]] = ""),BE$2,BE$1)),0),0),0)</f>
        <v>0</v>
      </c>
      <c r="BF66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23">
        <f>SUMIF(Consumo!$C$3:$C$869,tabItens[[#This Row],[CÓDIGO]],Consumo!$E$3:$E$869)</f>
        <v>234</v>
      </c>
      <c r="BH669" s="324">
        <f>IF(AND(tabItens[[#This Row],[Pend]] &gt; 0,tabItens[[#This Row],[Consumo]] &lt;&gt; 0), tabItens[[#This Row],[Pend]] / tabItens[[#This Row],[Consumo]], 0 )</f>
        <v>4.6950240770465487E-2</v>
      </c>
      <c r="BI669" s="323"/>
      <c r="BJ669" s="323"/>
      <c r="BK669" s="325" t="s">
        <v>2064</v>
      </c>
    </row>
    <row r="670" spans="1:63" x14ac:dyDescent="0.3">
      <c r="A670" s="396">
        <v>54682</v>
      </c>
      <c r="B670" s="397" t="s">
        <v>1324</v>
      </c>
      <c r="C670" s="398" t="s">
        <v>281</v>
      </c>
      <c r="D670" s="399">
        <v>6.88</v>
      </c>
      <c r="E670" s="290"/>
      <c r="F670" s="400"/>
      <c r="G670" s="400" t="s">
        <v>883</v>
      </c>
      <c r="H670" s="401">
        <v>0</v>
      </c>
      <c r="I670" s="292">
        <v>103003</v>
      </c>
      <c r="J670" s="293">
        <v>6.88</v>
      </c>
      <c r="K670" s="402">
        <v>4291</v>
      </c>
      <c r="L670" s="403">
        <f>IF(tabItens[[#This Row],[Média]] &gt; 0, tabItens[[#This Row],[QTDE ATUAL]] / tabItens[[#This Row],[Média]],999.9)</f>
        <v>0</v>
      </c>
      <c r="M670" s="404">
        <v>0</v>
      </c>
      <c r="N670" s="405">
        <f>tabItens[[#This Row],[VALOR UNIT.]] * tabItens[[#This Row],[LC]]</f>
        <v>0</v>
      </c>
      <c r="O670" s="406"/>
      <c r="P670" s="407"/>
      <c r="Q670" s="408"/>
      <c r="R670" s="297"/>
      <c r="S670" s="409"/>
      <c r="T670" s="410">
        <f>ROUNDDOWN(IFERROR(tabItens[[#This Row],[ATA DT.VALID.]] - $D$1,0) / 30,0)</f>
        <v>-1504</v>
      </c>
      <c r="U670" s="287" t="s">
        <v>925</v>
      </c>
      <c r="V670" s="303">
        <v>1</v>
      </c>
      <c r="W670" s="411" t="s">
        <v>2051</v>
      </c>
      <c r="X670" s="412">
        <v>45</v>
      </c>
      <c r="Y670" s="413">
        <v>12</v>
      </c>
      <c r="Z670" s="414">
        <v>7338</v>
      </c>
      <c r="AA670" s="415">
        <v>2023</v>
      </c>
      <c r="AB670" s="416">
        <v>1836</v>
      </c>
      <c r="AC670" s="416"/>
      <c r="AD670" s="415"/>
      <c r="AE670" s="416"/>
      <c r="AF670" s="302"/>
      <c r="AG670" s="417" t="s">
        <v>2050</v>
      </c>
      <c r="AH670" s="418"/>
      <c r="AI670" s="302">
        <v>2176</v>
      </c>
      <c r="AJ670" s="418">
        <v>44924</v>
      </c>
      <c r="AK670" s="311" t="s">
        <v>883</v>
      </c>
      <c r="AL670" s="311">
        <v>44910</v>
      </c>
      <c r="AM670" s="301"/>
      <c r="AN670" s="290"/>
      <c r="AO670" s="312" t="str">
        <f>_xlfn.IFNA(IF(VLOOKUP(tabItens[[#This Row],[CÓDIGO]],tabExcluirDoEstoque[#Data],1,FALSE),"sim",""),"")</f>
        <v/>
      </c>
      <c r="AP670" s="419" t="str">
        <f ca="1">IF(OR(ISBLANK(tabItens[[#This Row],[ATA DT.VALID.]]),tabItens[[#This Row],[ATA DT.VALID.]]="",tabItens[[#This Row],[ATA DT.VALID.]]=" "),"",IF(TYPE(tabItens[[#This Row],[ATA DT.VALID.]])=1,ROUNDUP((tabItens[[#This Row],[ATA DT.VALID.]]-TODAY())/7,0),""))</f>
        <v/>
      </c>
      <c r="AQ670" s="314"/>
      <c r="AR670" s="315" t="str">
        <f>IF(ISBLANK(tabItens[[#This Row],[CÓDIGO]]),"",IFERROR(VLOOKUP(tabItens[[#This Row],[CÓDIGO]],Consumo!$C$2:$AC$869,26,FALSE),0))</f>
        <v>04.2023</v>
      </c>
      <c r="AS670" s="316">
        <f>SUMIF(Consumo!$C$3:$C$869,tabItens[[#This Row],[CÓDIGO]],Consumo!$N$3:$N$869) + SUMIF(Consumo!$C$3:$C$869,tabItens[[#This Row],[CÓDIGO]],Consumo!$O$3:$O$869) + SUMIF(Consumo!$C$3:$C$869,tabItens[[#This Row],[CÓDIGO]],Consumo!$P$3:$P$869) + SUMIF(Consumo!$C$3:$C$869,tabItens[[#This Row],[CÓDIGO]],Consumo!$Q$3:$Q$869)</f>
        <v>84</v>
      </c>
      <c r="AT670" s="316">
        <f>SUMIF(Consumo!$C$3:$C$869,tabItens[[#This Row],[CÓDIGO]],Consumo!$Z$3:$Z$869)</f>
        <v>4648</v>
      </c>
      <c r="AU670" s="317">
        <f>SUMIF(Consumo!$C$3:$C$869,tabItens[[#This Row],[CÓDIGO]],Consumo!$AA$3:$AA$869)</f>
        <v>3731</v>
      </c>
      <c r="AV670" s="318">
        <f>SUMIF(Consumo!$C$3:$C$869,tabItens[[#This Row],[CÓDIGO]],Consumo!$Y$3:$Y$869)</f>
        <v>277.75</v>
      </c>
      <c r="AW670" s="401">
        <f>tabItens[[#This Row],[QTDE ATUAL]] + tabItens[[#This Row],[RC QTDE]] + tabItens[[#This Row],[AF SALDO]] + tabItens[[#This Row],[Recentes]]</f>
        <v>1836</v>
      </c>
      <c r="AX670" s="420">
        <v>394</v>
      </c>
      <c r="AY670" s="420">
        <v>4</v>
      </c>
      <c r="AZ670" s="420">
        <f>IF(ISBLANK(tabItens[[#This Row],[CÓDIGO]]),"",tabItens[[#This Row],[PontoMês]] * (AZ$2+tabItens[[#This Row],[PontoQtM]]))</f>
        <v>1576</v>
      </c>
      <c r="BA670" s="421">
        <f>tabItens[[#This Row],[PontoPed]] - tabItens[[#This Row],[Saldo]] + (1/10)</f>
        <v>-259.89999999999998</v>
      </c>
      <c r="BB670" s="421">
        <f xml:space="preserve"> tabItens[[#This Row],[PontoMês]] * BB$2 - tabItens[[#This Row],[QTDE ATUAL]] - (1/10)</f>
        <v>393.9</v>
      </c>
      <c r="BC670" s="320">
        <f>IF( tabItens[[#This Row],[PontoPed]]&gt;0, IF(tabItens[[#This Row],[PontoPed]]&lt;1, 1, IF( tabItens[[#This Row],[Saldo]]&gt;tabItens[[#This Row],[PontoPed]], 0, (tabItens[[#This Row],[PontoPed]]-tabItens[[#This Row],[Saldo]])/tabItens[[#This Row],[PontoPed]] ) ), 0 )</f>
        <v>0</v>
      </c>
      <c r="BD670" s="422">
        <f>ROUNDDOWN(IF( OR( AND(tabItens[[#This Row],[PontoPed]]&lt;tabItens[[#This Row],[Saldo]],tabItens[[#This Row],[Saldo]]&gt;0), tabItens[[#This Row],[PontoPed]]=0), 99, IF(AND(tabItens[[#This Row],[Saldo]]=0,tabItens[[#This Row],[PontoPed]]&gt;0), 0, (1-tabItens[[#This Row],[PctAb]])*10 ) ),0)</f>
        <v>99</v>
      </c>
      <c r="BE670" s="423">
        <f>MAX(ROUNDDOWN( IF(tabItens[[#This Row],[Abaixo]] &gt; 0,   tabItens[[#This Row],[Abaixo]] + (tabItens[[#This Row],[PontoMês]] * IF( OR( ISBLANK(tabItens[[#This Row],[ATA Nº/ANO]]), tabItens[[#This Row],[ATA Nº/ANO]] = ""),BE$2,BE$1)),0),0),0)</f>
        <v>0</v>
      </c>
      <c r="BF670"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323">
        <f>SUMIF(Consumo!$C$3:$C$869,tabItens[[#This Row],[CÓDIGO]],Consumo!$E$3:$E$869)</f>
        <v>120</v>
      </c>
      <c r="BH670" s="324">
        <f>IF(AND(tabItens[[#This Row],[Pend]] &gt; 0,tabItens[[#This Row],[Consumo]] &lt;&gt; 0), tabItens[[#This Row],[Pend]] / tabItens[[#This Row],[Consumo]], 0 )</f>
        <v>2.5817555938037865E-2</v>
      </c>
      <c r="BI670" s="323"/>
      <c r="BJ670" s="424"/>
      <c r="BK670" s="425" t="s">
        <v>2064</v>
      </c>
    </row>
    <row r="671" spans="1:63" hidden="1" x14ac:dyDescent="0.3">
      <c r="A671" s="286">
        <v>138471</v>
      </c>
      <c r="B671" s="287" t="s">
        <v>1965</v>
      </c>
      <c r="C671" s="288" t="s">
        <v>31</v>
      </c>
      <c r="D671" s="289">
        <v>3.84</v>
      </c>
      <c r="E671" s="290"/>
      <c r="F671" s="290"/>
      <c r="G671" s="290" t="s">
        <v>883</v>
      </c>
      <c r="H671" s="291">
        <v>5900</v>
      </c>
      <c r="I671" s="292">
        <v>103003</v>
      </c>
      <c r="J671" s="293">
        <v>3.84</v>
      </c>
      <c r="K671" s="294">
        <v>8268</v>
      </c>
      <c r="L671" s="295">
        <f>IF(tabItens[[#This Row],[Média]] &gt; 0, tabItens[[#This Row],[QTDE ATUAL]] / tabItens[[#This Row],[Média]],999.9)</f>
        <v>7.5487791875466463</v>
      </c>
      <c r="M671" s="296">
        <v>0</v>
      </c>
      <c r="N671" s="297">
        <f>tabItens[[#This Row],[VALOR UNIT.]] * tabItens[[#This Row],[LC]]</f>
        <v>0</v>
      </c>
      <c r="O671" s="298"/>
      <c r="P671" s="299"/>
      <c r="Q671" s="300"/>
      <c r="R671" s="297"/>
      <c r="S671" s="301"/>
      <c r="T671" s="302">
        <f>ROUNDDOWN(IFERROR(tabItens[[#This Row],[ATA DT.VALID.]] - $D$1,0) / 30,0)</f>
        <v>-1504</v>
      </c>
      <c r="U671" s="287" t="s">
        <v>925</v>
      </c>
      <c r="V671" s="303">
        <v>1</v>
      </c>
      <c r="W671" s="304" t="s">
        <v>2051</v>
      </c>
      <c r="X671" s="305">
        <v>45</v>
      </c>
      <c r="Y671" s="306">
        <v>12</v>
      </c>
      <c r="Z671" s="307">
        <v>8971</v>
      </c>
      <c r="AA671" s="308">
        <v>2023</v>
      </c>
      <c r="AB671" s="309">
        <v>3100</v>
      </c>
      <c r="AC671" s="309"/>
      <c r="AD671" s="308"/>
      <c r="AE671" s="309"/>
      <c r="AF671" s="302"/>
      <c r="AG671" s="310" t="s">
        <v>2050</v>
      </c>
      <c r="AH671" s="311"/>
      <c r="AI671" s="302">
        <v>8178</v>
      </c>
      <c r="AJ671" s="311">
        <v>44985</v>
      </c>
      <c r="AK671" s="311">
        <v>43720</v>
      </c>
      <c r="AL671" s="311">
        <v>44959</v>
      </c>
      <c r="AM671" s="301"/>
      <c r="AN671" s="290"/>
      <c r="AO671" s="312" t="str">
        <f>_xlfn.IFNA(IF(VLOOKUP(tabItens[[#This Row],[CÓDIGO]],tabExcluirDoEstoque[#Data],1,FALSE),"sim",""),"")</f>
        <v/>
      </c>
      <c r="AP671" s="313" t="str">
        <f ca="1">IF(OR(ISBLANK(tabItens[[#This Row],[ATA DT.VALID.]]),tabItens[[#This Row],[ATA DT.VALID.]]="",tabItens[[#This Row],[ATA DT.VALID.]]=" "),"",IF(TYPE(tabItens[[#This Row],[ATA DT.VALID.]])=1,ROUNDUP((tabItens[[#This Row],[ATA DT.VALID.]]-TODAY())/7,0),""))</f>
        <v/>
      </c>
      <c r="AQ671" s="314"/>
      <c r="AR671" s="315" t="str">
        <f>IF(ISBLANK(tabItens[[#This Row],[CÓDIGO]]),"",IFERROR(VLOOKUP(tabItens[[#This Row],[CÓDIGO]],Consumo!$C$2:$AC$869,26,FALSE),0))</f>
        <v>07.2023</v>
      </c>
      <c r="AS671" s="316">
        <f>SUMIF(Consumo!$C$3:$C$869,tabItens[[#This Row],[CÓDIGO]],Consumo!$N$3:$N$869) + SUMIF(Consumo!$C$3:$C$869,tabItens[[#This Row],[CÓDIGO]],Consumo!$O$3:$O$869) + SUMIF(Consumo!$C$3:$C$869,tabItens[[#This Row],[CÓDIGO]],Consumo!$P$3:$P$869) + SUMIF(Consumo!$C$3:$C$869,tabItens[[#This Row],[CÓDIGO]],Consumo!$Q$3:$Q$869)</f>
        <v>2280</v>
      </c>
      <c r="AT671" s="316">
        <f>SUMIF(Consumo!$C$3:$C$869,tabItens[[#This Row],[CÓDIGO]],Consumo!$Z$3:$Z$869)</f>
        <v>10874</v>
      </c>
      <c r="AU671" s="317">
        <f>SUMIF(Consumo!$C$3:$C$869,tabItens[[#This Row],[CÓDIGO]],Consumo!$AA$3:$AA$869)</f>
        <v>4848</v>
      </c>
      <c r="AV671" s="318">
        <f>SUMIF(Consumo!$C$3:$C$869,tabItens[[#This Row],[CÓDIGO]],Consumo!$Y$3:$Y$869)</f>
        <v>781.58333333333337</v>
      </c>
      <c r="AW671" s="291">
        <f>tabItens[[#This Row],[QTDE ATUAL]] + tabItens[[#This Row],[RC QTDE]] + tabItens[[#This Row],[AF SALDO]] + tabItens[[#This Row],[Recentes]]</f>
        <v>9000</v>
      </c>
      <c r="AX671" s="319">
        <v>1585</v>
      </c>
      <c r="AY671" s="319">
        <v>4</v>
      </c>
      <c r="AZ671" s="319">
        <f>IF(ISBLANK(tabItens[[#This Row],[CÓDIGO]]),"",tabItens[[#This Row],[PontoMês]] * (AZ$2+tabItens[[#This Row],[PontoQtM]]))</f>
        <v>6340</v>
      </c>
      <c r="BA671" s="318">
        <f>tabItens[[#This Row],[PontoPed]] - tabItens[[#This Row],[Saldo]] + (1/10)</f>
        <v>-2659.9</v>
      </c>
      <c r="BB671" s="318">
        <f xml:space="preserve"> tabItens[[#This Row],[PontoMês]] * BB$2 - tabItens[[#This Row],[QTDE ATUAL]] - (1/10)</f>
        <v>-4315.1000000000004</v>
      </c>
      <c r="BC671" s="320">
        <f>IF( tabItens[[#This Row],[PontoPed]]&gt;0, IF(tabItens[[#This Row],[PontoPed]]&lt;1, 1, IF( tabItens[[#This Row],[Saldo]]&gt;tabItens[[#This Row],[PontoPed]], 0, (tabItens[[#This Row],[PontoPed]]-tabItens[[#This Row],[Saldo]])/tabItens[[#This Row],[PontoPed]] ) ), 0 )</f>
        <v>0</v>
      </c>
      <c r="BD671" s="321">
        <f>ROUNDDOWN(IF( OR( AND(tabItens[[#This Row],[PontoPed]]&lt;tabItens[[#This Row],[Saldo]],tabItens[[#This Row],[Saldo]]&gt;0), tabItens[[#This Row],[PontoPed]]=0), 99, IF(AND(tabItens[[#This Row],[Saldo]]=0,tabItens[[#This Row],[PontoPed]]&gt;0), 0, (1-tabItens[[#This Row],[PctAb]])*10 ) ),0)</f>
        <v>99</v>
      </c>
      <c r="BE671" s="322">
        <f>MAX(ROUNDDOWN( IF(tabItens[[#This Row],[Abaixo]] &gt; 0,   tabItens[[#This Row],[Abaixo]] + (tabItens[[#This Row],[PontoMês]] * IF( OR( ISBLANK(tabItens[[#This Row],[ATA Nº/ANO]]), tabItens[[#This Row],[ATA Nº/ANO]] = ""),BE$2,BE$1)),0),0),0)</f>
        <v>0</v>
      </c>
      <c r="BF67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323">
        <f>SUMIF(Consumo!$C$3:$C$869,tabItens[[#This Row],[CÓDIGO]],Consumo!$E$3:$E$869)</f>
        <v>124</v>
      </c>
      <c r="BH671" s="324">
        <f>IF(AND(tabItens[[#This Row],[Pend]] &gt; 0,tabItens[[#This Row],[Consumo]] &lt;&gt; 0), tabItens[[#This Row],[Pend]] / tabItens[[#This Row],[Consumo]], 0 )</f>
        <v>1.1403347434246827E-2</v>
      </c>
      <c r="BI671" s="323"/>
      <c r="BJ671" s="323"/>
      <c r="BK671" s="325" t="s">
        <v>2064</v>
      </c>
    </row>
    <row r="672" spans="1:63" hidden="1" x14ac:dyDescent="0.3">
      <c r="A672" s="286">
        <v>15530</v>
      </c>
      <c r="B672" s="287" t="s">
        <v>1097</v>
      </c>
      <c r="C672" s="288" t="s">
        <v>569</v>
      </c>
      <c r="D672" s="289">
        <v>7.0000000000000007E-2</v>
      </c>
      <c r="E672" s="290"/>
      <c r="F672" s="290"/>
      <c r="G672" s="290" t="s">
        <v>883</v>
      </c>
      <c r="H672" s="291">
        <v>28619</v>
      </c>
      <c r="I672" s="292">
        <v>103003</v>
      </c>
      <c r="J672" s="293">
        <v>7.0000000000000007E-2</v>
      </c>
      <c r="K672" s="294">
        <v>15300</v>
      </c>
      <c r="L672" s="295">
        <f>IF(tabItens[[#This Row],[Média]] &gt; 0, tabItens[[#This Row],[QTDE ATUAL]] / tabItens[[#This Row],[Média]],999.9)</f>
        <v>13.742617046818728</v>
      </c>
      <c r="M672" s="296">
        <v>0</v>
      </c>
      <c r="N672" s="297">
        <f>tabItens[[#This Row],[VALOR UNIT.]] * tabItens[[#This Row],[LC]]</f>
        <v>0</v>
      </c>
      <c r="O672" s="298"/>
      <c r="P672" s="299"/>
      <c r="Q672" s="300"/>
      <c r="R672" s="297"/>
      <c r="S672" s="301"/>
      <c r="T672" s="302">
        <f>ROUNDDOWN(IFERROR(tabItens[[#This Row],[ATA DT.VALID.]] - $D$1,0) / 30,0)</f>
        <v>-1504</v>
      </c>
      <c r="U672" s="287" t="s">
        <v>1098</v>
      </c>
      <c r="V672" s="303">
        <v>1</v>
      </c>
      <c r="W672" s="304" t="s">
        <v>2051</v>
      </c>
      <c r="X672" s="305">
        <v>45</v>
      </c>
      <c r="Y672" s="306">
        <v>13</v>
      </c>
      <c r="Z672" s="307"/>
      <c r="AA672" s="308"/>
      <c r="AB672" s="309"/>
      <c r="AC672" s="309"/>
      <c r="AD672" s="308"/>
      <c r="AE672" s="309"/>
      <c r="AF672" s="302"/>
      <c r="AG672" s="310" t="s">
        <v>2050</v>
      </c>
      <c r="AH672" s="311"/>
      <c r="AI672" s="302">
        <v>8314</v>
      </c>
      <c r="AJ672" s="311">
        <v>44204</v>
      </c>
      <c r="AK672" s="311" t="s">
        <v>883</v>
      </c>
      <c r="AL672" s="311">
        <v>44169</v>
      </c>
      <c r="AM672" s="301"/>
      <c r="AN672" s="290"/>
      <c r="AO672" s="312" t="str">
        <f>_xlfn.IFNA(IF(VLOOKUP(tabItens[[#This Row],[CÓDIGO]],tabExcluirDoEstoque[#Data],1,FALSE),"sim",""),"")</f>
        <v/>
      </c>
      <c r="AP672" s="313" t="str">
        <f ca="1">IF(OR(ISBLANK(tabItens[[#This Row],[ATA DT.VALID.]]),tabItens[[#This Row],[ATA DT.VALID.]]="",tabItens[[#This Row],[ATA DT.VALID.]]=" "),"",IF(TYPE(tabItens[[#This Row],[ATA DT.VALID.]])=1,ROUNDUP((tabItens[[#This Row],[ATA DT.VALID.]]-TODAY())/7,0),""))</f>
        <v/>
      </c>
      <c r="AQ672" s="314"/>
      <c r="AR672" s="315" t="str">
        <f>IF(ISBLANK(tabItens[[#This Row],[CÓDIGO]]),"",IFERROR(VLOOKUP(tabItens[[#This Row],[CÓDIGO]],Consumo!$C$2:$AC$869,26,FALSE),0))</f>
        <v>07.2023</v>
      </c>
      <c r="AS672" s="316">
        <f>SUMIF(Consumo!$C$3:$C$869,tabItens[[#This Row],[CÓDIGO]],Consumo!$N$3:$N$869) + SUMIF(Consumo!$C$3:$C$869,tabItens[[#This Row],[CÓDIGO]],Consumo!$O$3:$O$869) + SUMIF(Consumo!$C$3:$C$869,tabItens[[#This Row],[CÓDIGO]],Consumo!$P$3:$P$869) + SUMIF(Consumo!$C$3:$C$869,tabItens[[#This Row],[CÓDIGO]],Consumo!$Q$3:$Q$869)</f>
        <v>9600</v>
      </c>
      <c r="AT672" s="316">
        <f>SUMIF(Consumo!$C$3:$C$869,tabItens[[#This Row],[CÓDIGO]],Consumo!$Z$3:$Z$869)</f>
        <v>24990</v>
      </c>
      <c r="AU672" s="317">
        <f>SUMIF(Consumo!$C$3:$C$869,tabItens[[#This Row],[CÓDIGO]],Consumo!$AA$3:$AA$869)</f>
        <v>3150</v>
      </c>
      <c r="AV672" s="318">
        <f>SUMIF(Consumo!$C$3:$C$869,tabItens[[#This Row],[CÓDIGO]],Consumo!$Y$3:$Y$869)</f>
        <v>2082.5</v>
      </c>
      <c r="AW672" s="291">
        <f>tabItens[[#This Row],[QTDE ATUAL]] + tabItens[[#This Row],[RC QTDE]] + tabItens[[#This Row],[AF SALDO]] + tabItens[[#This Row],[Recentes]]</f>
        <v>28619</v>
      </c>
      <c r="AX672" s="319">
        <v>649</v>
      </c>
      <c r="AY672" s="319">
        <v>4</v>
      </c>
      <c r="AZ672" s="319">
        <f>IF(ISBLANK(tabItens[[#This Row],[CÓDIGO]]),"",tabItens[[#This Row],[PontoMês]] * (AZ$2+tabItens[[#This Row],[PontoQtM]]))</f>
        <v>2596</v>
      </c>
      <c r="BA672" s="318">
        <f>tabItens[[#This Row],[PontoPed]] - tabItens[[#This Row],[Saldo]] + (1/10)</f>
        <v>-26022.9</v>
      </c>
      <c r="BB672" s="318">
        <f xml:space="preserve"> tabItens[[#This Row],[PontoMês]] * BB$2 - tabItens[[#This Row],[QTDE ATUAL]] - (1/10)</f>
        <v>-27970.1</v>
      </c>
      <c r="BC672" s="320">
        <f>IF( tabItens[[#This Row],[PontoPed]]&gt;0, IF(tabItens[[#This Row],[PontoPed]]&lt;1, 1, IF( tabItens[[#This Row],[Saldo]]&gt;tabItens[[#This Row],[PontoPed]], 0, (tabItens[[#This Row],[PontoPed]]-tabItens[[#This Row],[Saldo]])/tabItens[[#This Row],[PontoPed]] ) ), 0 )</f>
        <v>0</v>
      </c>
      <c r="BD672" s="321">
        <f>ROUNDDOWN(IF( OR( AND(tabItens[[#This Row],[PontoPed]]&lt;tabItens[[#This Row],[Saldo]],tabItens[[#This Row],[Saldo]]&gt;0), tabItens[[#This Row],[PontoPed]]=0), 99, IF(AND(tabItens[[#This Row],[Saldo]]=0,tabItens[[#This Row],[PontoPed]]&gt;0), 0, (1-tabItens[[#This Row],[PctAb]])*10 ) ),0)</f>
        <v>99</v>
      </c>
      <c r="BE672" s="322">
        <f>MAX(ROUNDDOWN( IF(tabItens[[#This Row],[Abaixo]] &gt; 0,   tabItens[[#This Row],[Abaixo]] + (tabItens[[#This Row],[PontoMês]] * IF( OR( ISBLANK(tabItens[[#This Row],[ATA Nº/ANO]]), tabItens[[#This Row],[ATA Nº/ANO]] = ""),BE$2,BE$1)),0),0),0)</f>
        <v>0</v>
      </c>
      <c r="BF67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23">
        <f>SUMIF(Consumo!$C$3:$C$869,tabItens[[#This Row],[CÓDIGO]],Consumo!$E$3:$E$869)</f>
        <v>50</v>
      </c>
      <c r="BH672" s="324">
        <f>IF(AND(tabItens[[#This Row],[Pend]] &gt; 0,tabItens[[#This Row],[Consumo]] &lt;&gt; 0), tabItens[[#This Row],[Pend]] / tabItens[[#This Row],[Consumo]], 0 )</f>
        <v>2.0008003201280513E-3</v>
      </c>
      <c r="BI672" s="323"/>
      <c r="BJ672" s="323"/>
      <c r="BK672" s="325" t="s">
        <v>2064</v>
      </c>
    </row>
    <row r="673" spans="1:63" hidden="1" x14ac:dyDescent="0.3">
      <c r="A673" s="286">
        <v>132290</v>
      </c>
      <c r="B673" s="287" t="s">
        <v>1814</v>
      </c>
      <c r="C673" s="288" t="s">
        <v>281</v>
      </c>
      <c r="D673" s="289">
        <v>0.6</v>
      </c>
      <c r="E673" s="290"/>
      <c r="F673" s="290"/>
      <c r="G673" s="290" t="s">
        <v>883</v>
      </c>
      <c r="H673" s="291">
        <v>3536</v>
      </c>
      <c r="I673" s="292">
        <v>103003</v>
      </c>
      <c r="J673" s="293">
        <v>0.6</v>
      </c>
      <c r="K673" s="294">
        <v>6102</v>
      </c>
      <c r="L673" s="295">
        <f>IF(tabItens[[#This Row],[Média]] &gt; 0, tabItens[[#This Row],[QTDE ATUAL]] / tabItens[[#This Row],[Média]],999.9)</f>
        <v>6.3350253807106602</v>
      </c>
      <c r="M673" s="296">
        <v>0</v>
      </c>
      <c r="N673" s="297">
        <f>tabItens[[#This Row],[VALOR UNIT.]] * tabItens[[#This Row],[LC]]</f>
        <v>0</v>
      </c>
      <c r="O673" s="298"/>
      <c r="P673" s="299"/>
      <c r="Q673" s="300"/>
      <c r="R673" s="297"/>
      <c r="S673" s="301"/>
      <c r="T673" s="302">
        <f>ROUNDDOWN(IFERROR(tabItens[[#This Row],[ATA DT.VALID.]] - $D$1,0) / 30,0)</f>
        <v>-1504</v>
      </c>
      <c r="U673" s="287" t="s">
        <v>911</v>
      </c>
      <c r="V673" s="303">
        <v>1</v>
      </c>
      <c r="W673" s="304" t="s">
        <v>2052</v>
      </c>
      <c r="X673" s="305">
        <v>45</v>
      </c>
      <c r="Y673" s="306">
        <v>14</v>
      </c>
      <c r="Z673" s="307"/>
      <c r="AA673" s="308"/>
      <c r="AB673" s="309"/>
      <c r="AC673" s="309"/>
      <c r="AD673" s="308"/>
      <c r="AE673" s="309"/>
      <c r="AF673" s="302"/>
      <c r="AG673" s="310" t="s">
        <v>2050</v>
      </c>
      <c r="AH673" s="311"/>
      <c r="AI673" s="302">
        <v>2650</v>
      </c>
      <c r="AJ673" s="311">
        <v>44967</v>
      </c>
      <c r="AK673" s="311">
        <v>42685</v>
      </c>
      <c r="AL673" s="311">
        <v>44959</v>
      </c>
      <c r="AM673" s="301"/>
      <c r="AN673" s="290"/>
      <c r="AO673" s="312" t="str">
        <f>_xlfn.IFNA(IF(VLOOKUP(tabItens[[#This Row],[CÓDIGO]],tabExcluirDoEstoque[#Data],1,FALSE),"sim",""),"")</f>
        <v/>
      </c>
      <c r="AP673" s="313" t="str">
        <f ca="1">IF(OR(ISBLANK(tabItens[[#This Row],[ATA DT.VALID.]]),tabItens[[#This Row],[ATA DT.VALID.]]="",tabItens[[#This Row],[ATA DT.VALID.]]=" "),"",IF(TYPE(tabItens[[#This Row],[ATA DT.VALID.]])=1,ROUNDUP((tabItens[[#This Row],[ATA DT.VALID.]]-TODAY())/7,0),""))</f>
        <v/>
      </c>
      <c r="AQ673" s="314"/>
      <c r="AR673" s="315" t="str">
        <f>IF(ISBLANK(tabItens[[#This Row],[CÓDIGO]]),"",IFERROR(VLOOKUP(tabItens[[#This Row],[CÓDIGO]],Consumo!$C$2:$AC$869,26,FALSE),0))</f>
        <v>07.2023</v>
      </c>
      <c r="AS673" s="316">
        <f>SUMIF(Consumo!$C$3:$C$869,tabItens[[#This Row],[CÓDIGO]],Consumo!$N$3:$N$869) + SUMIF(Consumo!$C$3:$C$869,tabItens[[#This Row],[CÓDIGO]],Consumo!$O$3:$O$869) + SUMIF(Consumo!$C$3:$C$869,tabItens[[#This Row],[CÓDIGO]],Consumo!$P$3:$P$869) + SUMIF(Consumo!$C$3:$C$869,tabItens[[#This Row],[CÓDIGO]],Consumo!$Q$3:$Q$869)</f>
        <v>1516</v>
      </c>
      <c r="AT673" s="316">
        <f>SUMIF(Consumo!$C$3:$C$869,tabItens[[#This Row],[CÓDIGO]],Consumo!$Z$3:$Z$869)</f>
        <v>7951</v>
      </c>
      <c r="AU673" s="317">
        <f>SUMIF(Consumo!$C$3:$C$869,tabItens[[#This Row],[CÓDIGO]],Consumo!$AA$3:$AA$869)</f>
        <v>3921</v>
      </c>
      <c r="AV673" s="318">
        <f>SUMIF(Consumo!$C$3:$C$869,tabItens[[#This Row],[CÓDIGO]],Consumo!$Y$3:$Y$869)</f>
        <v>558.16666666666663</v>
      </c>
      <c r="AW673" s="291">
        <f>tabItens[[#This Row],[QTDE ATUAL]] + tabItens[[#This Row],[RC QTDE]] + tabItens[[#This Row],[AF SALDO]] + tabItens[[#This Row],[Recentes]]</f>
        <v>3536</v>
      </c>
      <c r="AX673" s="319">
        <v>571</v>
      </c>
      <c r="AY673" s="319">
        <v>4</v>
      </c>
      <c r="AZ673" s="319">
        <f>IF(ISBLANK(tabItens[[#This Row],[CÓDIGO]]),"",tabItens[[#This Row],[PontoMês]] * (AZ$2+tabItens[[#This Row],[PontoQtM]]))</f>
        <v>2284</v>
      </c>
      <c r="BA673" s="318">
        <f>tabItens[[#This Row],[PontoPed]] - tabItens[[#This Row],[Saldo]] + (1/10)</f>
        <v>-1251.9000000000001</v>
      </c>
      <c r="BB673" s="318">
        <f xml:space="preserve"> tabItens[[#This Row],[PontoMês]] * BB$2 - tabItens[[#This Row],[QTDE ATUAL]] - (1/10)</f>
        <v>-2965.1</v>
      </c>
      <c r="BC673" s="320">
        <f>IF( tabItens[[#This Row],[PontoPed]]&gt;0, IF(tabItens[[#This Row],[PontoPed]]&lt;1, 1, IF( tabItens[[#This Row],[Saldo]]&gt;tabItens[[#This Row],[PontoPed]], 0, (tabItens[[#This Row],[PontoPed]]-tabItens[[#This Row],[Saldo]])/tabItens[[#This Row],[PontoPed]] ) ), 0 )</f>
        <v>0</v>
      </c>
      <c r="BD673" s="321">
        <f>ROUNDDOWN(IF( OR( AND(tabItens[[#This Row],[PontoPed]]&lt;tabItens[[#This Row],[Saldo]],tabItens[[#This Row],[Saldo]]&gt;0), tabItens[[#This Row],[PontoPed]]=0), 99, IF(AND(tabItens[[#This Row],[Saldo]]=0,tabItens[[#This Row],[PontoPed]]&gt;0), 0, (1-tabItens[[#This Row],[PctAb]])*10 ) ),0)</f>
        <v>99</v>
      </c>
      <c r="BE673" s="322">
        <f>MAX(ROUNDDOWN( IF(tabItens[[#This Row],[Abaixo]] &gt; 0,   tabItens[[#This Row],[Abaixo]] + (tabItens[[#This Row],[PontoMês]] * IF( OR( ISBLANK(tabItens[[#This Row],[ATA Nº/ANO]]), tabItens[[#This Row],[ATA Nº/ANO]] = ""),BE$2,BE$1)),0),0),0)</f>
        <v>0</v>
      </c>
      <c r="BF67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23">
        <f>SUMIF(Consumo!$C$3:$C$869,tabItens[[#This Row],[CÓDIGO]],Consumo!$E$3:$E$869)</f>
        <v>2</v>
      </c>
      <c r="BH673" s="324">
        <f>IF(AND(tabItens[[#This Row],[Pend]] &gt; 0,tabItens[[#This Row],[Consumo]] &lt;&gt; 0), tabItens[[#This Row],[Pend]] / tabItens[[#This Row],[Consumo]], 0 )</f>
        <v>2.5154068670607473E-4</v>
      </c>
      <c r="BI673" s="323"/>
      <c r="BJ673" s="323"/>
      <c r="BK673" s="325" t="s">
        <v>2064</v>
      </c>
    </row>
    <row r="674" spans="1:63" hidden="1" x14ac:dyDescent="0.3">
      <c r="A674" s="286">
        <v>132394</v>
      </c>
      <c r="B674" s="287" t="s">
        <v>1820</v>
      </c>
      <c r="C674" s="288" t="s">
        <v>281</v>
      </c>
      <c r="D674" s="289">
        <v>0.53</v>
      </c>
      <c r="E674" s="290"/>
      <c r="F674" s="290"/>
      <c r="G674" s="290" t="s">
        <v>883</v>
      </c>
      <c r="H674" s="291">
        <v>3860</v>
      </c>
      <c r="I674" s="292">
        <v>103003</v>
      </c>
      <c r="J674" s="293">
        <v>0.53</v>
      </c>
      <c r="K674" s="294">
        <v>6074</v>
      </c>
      <c r="L674" s="295">
        <f>IF(tabItens[[#This Row],[Média]] &gt; 0, tabItens[[#This Row],[QTDE ATUAL]] / tabItens[[#This Row],[Média]],999.9)</f>
        <v>6.9539108242005696</v>
      </c>
      <c r="M674" s="296">
        <v>0</v>
      </c>
      <c r="N674" s="297">
        <f>tabItens[[#This Row],[VALOR UNIT.]] * tabItens[[#This Row],[LC]]</f>
        <v>0</v>
      </c>
      <c r="O674" s="298"/>
      <c r="P674" s="299"/>
      <c r="Q674" s="300"/>
      <c r="R674" s="297"/>
      <c r="S674" s="301"/>
      <c r="T674" s="302">
        <f>ROUNDDOWN(IFERROR(tabItens[[#This Row],[ATA DT.VALID.]] - $D$1,0) / 30,0)</f>
        <v>-1504</v>
      </c>
      <c r="U674" s="287" t="s">
        <v>911</v>
      </c>
      <c r="V674" s="303">
        <v>1</v>
      </c>
      <c r="W674" s="304" t="s">
        <v>2052</v>
      </c>
      <c r="X674" s="305">
        <v>45</v>
      </c>
      <c r="Y674" s="306">
        <v>14</v>
      </c>
      <c r="Z674" s="307"/>
      <c r="AA674" s="308"/>
      <c r="AB674" s="309"/>
      <c r="AC674" s="309"/>
      <c r="AD674" s="308"/>
      <c r="AE674" s="309"/>
      <c r="AF674" s="302"/>
      <c r="AG674" s="310" t="s">
        <v>2050</v>
      </c>
      <c r="AH674" s="311"/>
      <c r="AI674" s="302">
        <v>2634</v>
      </c>
      <c r="AJ674" s="311">
        <v>44967</v>
      </c>
      <c r="AK674" s="311">
        <v>42765</v>
      </c>
      <c r="AL674" s="311">
        <v>44959</v>
      </c>
      <c r="AM674" s="301"/>
      <c r="AN674" s="290"/>
      <c r="AO674" s="312" t="str">
        <f>_xlfn.IFNA(IF(VLOOKUP(tabItens[[#This Row],[CÓDIGO]],tabExcluirDoEstoque[#Data],1,FALSE),"sim",""),"")</f>
        <v/>
      </c>
      <c r="AP674" s="313" t="str">
        <f ca="1">IF(OR(ISBLANK(tabItens[[#This Row],[ATA DT.VALID.]]),tabItens[[#This Row],[ATA DT.VALID.]]="",tabItens[[#This Row],[ATA DT.VALID.]]=" "),"",IF(TYPE(tabItens[[#This Row],[ATA DT.VALID.]])=1,ROUNDUP((tabItens[[#This Row],[ATA DT.VALID.]]-TODAY())/7,0),""))</f>
        <v/>
      </c>
      <c r="AQ674" s="314"/>
      <c r="AR674" s="315" t="str">
        <f>IF(ISBLANK(tabItens[[#This Row],[CÓDIGO]]),"",IFERROR(VLOOKUP(tabItens[[#This Row],[CÓDIGO]],Consumo!$C$2:$AC$869,26,FALSE),0))</f>
        <v>07.2023</v>
      </c>
      <c r="AS674" s="316">
        <f>SUMIF(Consumo!$C$3:$C$869,tabItens[[#This Row],[CÓDIGO]],Consumo!$N$3:$N$869) + SUMIF(Consumo!$C$3:$C$869,tabItens[[#This Row],[CÓDIGO]],Consumo!$O$3:$O$869) + SUMIF(Consumo!$C$3:$C$869,tabItens[[#This Row],[CÓDIGO]],Consumo!$P$3:$P$869) + SUMIF(Consumo!$C$3:$C$869,tabItens[[#This Row],[CÓDIGO]],Consumo!$Q$3:$Q$869)</f>
        <v>1495</v>
      </c>
      <c r="AT674" s="316">
        <f>SUMIF(Consumo!$C$3:$C$869,tabItens[[#This Row],[CÓDIGO]],Consumo!$Z$3:$Z$869)</f>
        <v>7906</v>
      </c>
      <c r="AU674" s="317">
        <f>SUMIF(Consumo!$C$3:$C$869,tabItens[[#This Row],[CÓDIGO]],Consumo!$AA$3:$AA$869)</f>
        <v>3897</v>
      </c>
      <c r="AV674" s="318">
        <f>SUMIF(Consumo!$C$3:$C$869,tabItens[[#This Row],[CÓDIGO]],Consumo!$Y$3:$Y$869)</f>
        <v>555.08333333333337</v>
      </c>
      <c r="AW674" s="291">
        <f>tabItens[[#This Row],[QTDE ATUAL]] + tabItens[[#This Row],[RC QTDE]] + tabItens[[#This Row],[AF SALDO]] + tabItens[[#This Row],[Recentes]]</f>
        <v>3860</v>
      </c>
      <c r="AX674" s="319">
        <v>582</v>
      </c>
      <c r="AY674" s="319">
        <v>4</v>
      </c>
      <c r="AZ674" s="319">
        <f>IF(ISBLANK(tabItens[[#This Row],[CÓDIGO]]),"",tabItens[[#This Row],[PontoMês]] * (AZ$2+tabItens[[#This Row],[PontoQtM]]))</f>
        <v>2328</v>
      </c>
      <c r="BA674" s="318">
        <f>tabItens[[#This Row],[PontoPed]] - tabItens[[#This Row],[Saldo]] + (1/10)</f>
        <v>-1531.9</v>
      </c>
      <c r="BB674" s="318">
        <f xml:space="preserve"> tabItens[[#This Row],[PontoMês]] * BB$2 - tabItens[[#This Row],[QTDE ATUAL]] - (1/10)</f>
        <v>-3278.1</v>
      </c>
      <c r="BC674" s="320">
        <f>IF( tabItens[[#This Row],[PontoPed]]&gt;0, IF(tabItens[[#This Row],[PontoPed]]&lt;1, 1, IF( tabItens[[#This Row],[Saldo]]&gt;tabItens[[#This Row],[PontoPed]], 0, (tabItens[[#This Row],[PontoPed]]-tabItens[[#This Row],[Saldo]])/tabItens[[#This Row],[PontoPed]] ) ), 0 )</f>
        <v>0</v>
      </c>
      <c r="BD674" s="321">
        <f>ROUNDDOWN(IF( OR( AND(tabItens[[#This Row],[PontoPed]]&lt;tabItens[[#This Row],[Saldo]],tabItens[[#This Row],[Saldo]]&gt;0), tabItens[[#This Row],[PontoPed]]=0), 99, IF(AND(tabItens[[#This Row],[Saldo]]=0,tabItens[[#This Row],[PontoPed]]&gt;0), 0, (1-tabItens[[#This Row],[PctAb]])*10 ) ),0)</f>
        <v>99</v>
      </c>
      <c r="BE674" s="322">
        <f>MAX(ROUNDDOWN( IF(tabItens[[#This Row],[Abaixo]] &gt; 0,   tabItens[[#This Row],[Abaixo]] + (tabItens[[#This Row],[PontoMês]] * IF( OR( ISBLANK(tabItens[[#This Row],[ATA Nº/ANO]]), tabItens[[#This Row],[ATA Nº/ANO]] = ""),BE$2,BE$1)),0),0),0)</f>
        <v>0</v>
      </c>
      <c r="BF67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23">
        <f>SUMIF(Consumo!$C$3:$C$869,tabItens[[#This Row],[CÓDIGO]],Consumo!$E$3:$E$869)</f>
        <v>2</v>
      </c>
      <c r="BH674" s="324">
        <f>IF(AND(tabItens[[#This Row],[Pend]] &gt; 0,tabItens[[#This Row],[Consumo]] &lt;&gt; 0), tabItens[[#This Row],[Pend]] / tabItens[[#This Row],[Consumo]], 0 )</f>
        <v>2.5297242600556537E-4</v>
      </c>
      <c r="BI674" s="323"/>
      <c r="BJ674" s="323"/>
      <c r="BK674" s="325" t="s">
        <v>2064</v>
      </c>
    </row>
    <row r="675" spans="1:63" hidden="1" x14ac:dyDescent="0.3">
      <c r="A675" s="286">
        <v>132395</v>
      </c>
      <c r="B675" s="287" t="s">
        <v>1821</v>
      </c>
      <c r="C675" s="288" t="s">
        <v>281</v>
      </c>
      <c r="D675" s="289">
        <v>0.56000000000000005</v>
      </c>
      <c r="E675" s="290"/>
      <c r="F675" s="290"/>
      <c r="G675" s="290" t="s">
        <v>883</v>
      </c>
      <c r="H675" s="291">
        <v>3687</v>
      </c>
      <c r="I675" s="292">
        <v>103003</v>
      </c>
      <c r="J675" s="293">
        <v>0.56000000000000005</v>
      </c>
      <c r="K675" s="294">
        <v>6128</v>
      </c>
      <c r="L675" s="295">
        <f>IF(tabItens[[#This Row],[Média]] &gt; 0, tabItens[[#This Row],[QTDE ATUAL]] / tabItens[[#This Row],[Média]],999.9)</f>
        <v>6.5585532167210205</v>
      </c>
      <c r="M675" s="296">
        <v>0</v>
      </c>
      <c r="N675" s="297">
        <f>tabItens[[#This Row],[VALOR UNIT.]] * tabItens[[#This Row],[LC]]</f>
        <v>0</v>
      </c>
      <c r="O675" s="298"/>
      <c r="P675" s="299"/>
      <c r="Q675" s="300"/>
      <c r="R675" s="297"/>
      <c r="S675" s="301"/>
      <c r="T675" s="302">
        <f>ROUNDDOWN(IFERROR(tabItens[[#This Row],[ATA DT.VALID.]] - $D$1,0) / 30,0)</f>
        <v>-1504</v>
      </c>
      <c r="U675" s="287" t="s">
        <v>911</v>
      </c>
      <c r="V675" s="303">
        <v>1</v>
      </c>
      <c r="W675" s="304" t="s">
        <v>2052</v>
      </c>
      <c r="X675" s="305">
        <v>45</v>
      </c>
      <c r="Y675" s="306">
        <v>14</v>
      </c>
      <c r="Z675" s="307"/>
      <c r="AA675" s="308"/>
      <c r="AB675" s="309"/>
      <c r="AC675" s="309"/>
      <c r="AD675" s="308"/>
      <c r="AE675" s="309"/>
      <c r="AF675" s="302"/>
      <c r="AG675" s="310" t="s">
        <v>2050</v>
      </c>
      <c r="AH675" s="311"/>
      <c r="AI675" s="302">
        <v>2666</v>
      </c>
      <c r="AJ675" s="311">
        <v>44967</v>
      </c>
      <c r="AK675" s="311">
        <v>42765</v>
      </c>
      <c r="AL675" s="311">
        <v>44959</v>
      </c>
      <c r="AM675" s="301"/>
      <c r="AN675" s="290"/>
      <c r="AO675" s="312" t="str">
        <f>_xlfn.IFNA(IF(VLOOKUP(tabItens[[#This Row],[CÓDIGO]],tabExcluirDoEstoque[#Data],1,FALSE),"sim",""),"")</f>
        <v/>
      </c>
      <c r="AP675" s="313" t="str">
        <f ca="1">IF(OR(ISBLANK(tabItens[[#This Row],[ATA DT.VALID.]]),tabItens[[#This Row],[ATA DT.VALID.]]="",tabItens[[#This Row],[ATA DT.VALID.]]=" "),"",IF(TYPE(tabItens[[#This Row],[ATA DT.VALID.]])=1,ROUNDUP((tabItens[[#This Row],[ATA DT.VALID.]]-TODAY())/7,0),""))</f>
        <v/>
      </c>
      <c r="AQ675" s="314"/>
      <c r="AR675" s="315" t="str">
        <f>IF(ISBLANK(tabItens[[#This Row],[CÓDIGO]]),"",IFERROR(VLOOKUP(tabItens[[#This Row],[CÓDIGO]],Consumo!$C$2:$AC$869,26,FALSE),0))</f>
        <v>07.2023</v>
      </c>
      <c r="AS675" s="316">
        <f>SUMIF(Consumo!$C$3:$C$869,tabItens[[#This Row],[CÓDIGO]],Consumo!$N$3:$N$869) + SUMIF(Consumo!$C$3:$C$869,tabItens[[#This Row],[CÓDIGO]],Consumo!$O$3:$O$869) + SUMIF(Consumo!$C$3:$C$869,tabItens[[#This Row],[CÓDIGO]],Consumo!$P$3:$P$869) + SUMIF(Consumo!$C$3:$C$869,tabItens[[#This Row],[CÓDIGO]],Consumo!$Q$3:$Q$869)</f>
        <v>1512</v>
      </c>
      <c r="AT675" s="316">
        <f>SUMIF(Consumo!$C$3:$C$869,tabItens[[#This Row],[CÓDIGO]],Consumo!$Z$3:$Z$869)</f>
        <v>8000</v>
      </c>
      <c r="AU675" s="317">
        <f>SUMIF(Consumo!$C$3:$C$869,tabItens[[#This Row],[CÓDIGO]],Consumo!$AA$3:$AA$869)</f>
        <v>3929</v>
      </c>
      <c r="AV675" s="318">
        <f>SUMIF(Consumo!$C$3:$C$869,tabItens[[#This Row],[CÓDIGO]],Consumo!$Y$3:$Y$869)</f>
        <v>562.16666666666663</v>
      </c>
      <c r="AW675" s="291">
        <f>tabItens[[#This Row],[QTDE ATUAL]] + tabItens[[#This Row],[RC QTDE]] + tabItens[[#This Row],[AF SALDO]] + tabItens[[#This Row],[Recentes]]</f>
        <v>3687</v>
      </c>
      <c r="AX675" s="319">
        <v>579</v>
      </c>
      <c r="AY675" s="319">
        <v>4</v>
      </c>
      <c r="AZ675" s="319">
        <f>IF(ISBLANK(tabItens[[#This Row],[CÓDIGO]]),"",tabItens[[#This Row],[PontoMês]] * (AZ$2+tabItens[[#This Row],[PontoQtM]]))</f>
        <v>2316</v>
      </c>
      <c r="BA675" s="318">
        <f>tabItens[[#This Row],[PontoPed]] - tabItens[[#This Row],[Saldo]] + (1/10)</f>
        <v>-1370.9</v>
      </c>
      <c r="BB675" s="318">
        <f xml:space="preserve"> tabItens[[#This Row],[PontoMês]] * BB$2 - tabItens[[#This Row],[QTDE ATUAL]] - (1/10)</f>
        <v>-3108.1</v>
      </c>
      <c r="BC675" s="320">
        <f>IF( tabItens[[#This Row],[PontoPed]]&gt;0, IF(tabItens[[#This Row],[PontoPed]]&lt;1, 1, IF( tabItens[[#This Row],[Saldo]]&gt;tabItens[[#This Row],[PontoPed]], 0, (tabItens[[#This Row],[PontoPed]]-tabItens[[#This Row],[Saldo]])/tabItens[[#This Row],[PontoPed]] ) ), 0 )</f>
        <v>0</v>
      </c>
      <c r="BD675" s="321">
        <f>ROUNDDOWN(IF( OR( AND(tabItens[[#This Row],[PontoPed]]&lt;tabItens[[#This Row],[Saldo]],tabItens[[#This Row],[Saldo]]&gt;0), tabItens[[#This Row],[PontoPed]]=0), 99, IF(AND(tabItens[[#This Row],[Saldo]]=0,tabItens[[#This Row],[PontoPed]]&gt;0), 0, (1-tabItens[[#This Row],[PctAb]])*10 ) ),0)</f>
        <v>99</v>
      </c>
      <c r="BE675" s="322">
        <f>MAX(ROUNDDOWN( IF(tabItens[[#This Row],[Abaixo]] &gt; 0,   tabItens[[#This Row],[Abaixo]] + (tabItens[[#This Row],[PontoMês]] * IF( OR( ISBLANK(tabItens[[#This Row],[ATA Nº/ANO]]), tabItens[[#This Row],[ATA Nº/ANO]] = ""),BE$2,BE$1)),0),0),0)</f>
        <v>0</v>
      </c>
      <c r="BF67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23">
        <f>SUMIF(Consumo!$C$3:$C$869,tabItens[[#This Row],[CÓDIGO]],Consumo!$E$3:$E$869)</f>
        <v>2</v>
      </c>
      <c r="BH675" s="324">
        <f>IF(AND(tabItens[[#This Row],[Pend]] &gt; 0,tabItens[[#This Row],[Consumo]] &lt;&gt; 0), tabItens[[#This Row],[Pend]] / tabItens[[#This Row],[Consumo]], 0 )</f>
        <v>2.5000000000000001E-4</v>
      </c>
      <c r="BI675" s="323"/>
      <c r="BJ675" s="323"/>
      <c r="BK675" s="325" t="s">
        <v>2064</v>
      </c>
    </row>
    <row r="676" spans="1:63" hidden="1" x14ac:dyDescent="0.3">
      <c r="A676" s="286">
        <v>132299</v>
      </c>
      <c r="B676" s="287" t="s">
        <v>1817</v>
      </c>
      <c r="C676" s="288" t="s">
        <v>413</v>
      </c>
      <c r="D676" s="289">
        <v>7.96</v>
      </c>
      <c r="E676" s="290"/>
      <c r="F676" s="290"/>
      <c r="G676" s="290" t="s">
        <v>883</v>
      </c>
      <c r="H676" s="291">
        <v>2653</v>
      </c>
      <c r="I676" s="292">
        <v>103003</v>
      </c>
      <c r="J676" s="293">
        <v>7.96</v>
      </c>
      <c r="K676" s="294">
        <v>3332</v>
      </c>
      <c r="L676" s="295">
        <f>IF(tabItens[[#This Row],[Média]] &gt; 0, tabItens[[#This Row],[QTDE ATUAL]] / tabItens[[#This Row],[Média]],999.9)</f>
        <v>10.629716193656092</v>
      </c>
      <c r="M676" s="296">
        <v>0</v>
      </c>
      <c r="N676" s="297">
        <f>tabItens[[#This Row],[VALOR UNIT.]] * tabItens[[#This Row],[LC]]</f>
        <v>0</v>
      </c>
      <c r="O676" s="298"/>
      <c r="P676" s="299"/>
      <c r="Q676" s="300"/>
      <c r="R676" s="297"/>
      <c r="S676" s="301"/>
      <c r="T676" s="302">
        <f>ROUNDDOWN(IFERROR(tabItens[[#This Row],[ATA DT.VALID.]] - $D$1,0) / 30,0)</f>
        <v>-1504</v>
      </c>
      <c r="U676" s="287" t="s">
        <v>1287</v>
      </c>
      <c r="V676" s="303">
        <v>1</v>
      </c>
      <c r="W676" s="304" t="s">
        <v>2052</v>
      </c>
      <c r="X676" s="305">
        <v>45</v>
      </c>
      <c r="Y676" s="306">
        <v>16</v>
      </c>
      <c r="Z676" s="307"/>
      <c r="AA676" s="308"/>
      <c r="AB676" s="309"/>
      <c r="AC676" s="309"/>
      <c r="AD676" s="308"/>
      <c r="AE676" s="309"/>
      <c r="AF676" s="302"/>
      <c r="AG676" s="310" t="s">
        <v>2050</v>
      </c>
      <c r="AH676" s="311"/>
      <c r="AI676" s="302">
        <v>1372</v>
      </c>
      <c r="AJ676" s="311">
        <v>45020</v>
      </c>
      <c r="AK676" s="311">
        <v>42685</v>
      </c>
      <c r="AL676" s="311">
        <v>44998</v>
      </c>
      <c r="AM676" s="301"/>
      <c r="AN676" s="290"/>
      <c r="AO676" s="312" t="str">
        <f>_xlfn.IFNA(IF(VLOOKUP(tabItens[[#This Row],[CÓDIGO]],tabExcluirDoEstoque[#Data],1,FALSE),"sim",""),"")</f>
        <v/>
      </c>
      <c r="AP676" s="313" t="str">
        <f ca="1">IF(OR(ISBLANK(tabItens[[#This Row],[ATA DT.VALID.]]),tabItens[[#This Row],[ATA DT.VALID.]]="",tabItens[[#This Row],[ATA DT.VALID.]]=" "),"",IF(TYPE(tabItens[[#This Row],[ATA DT.VALID.]])=1,ROUNDUP((tabItens[[#This Row],[ATA DT.VALID.]]-TODAY())/7,0),""))</f>
        <v/>
      </c>
      <c r="AQ676" s="314"/>
      <c r="AR676" s="315" t="str">
        <f>IF(ISBLANK(tabItens[[#This Row],[CÓDIGO]]),"",IFERROR(VLOOKUP(tabItens[[#This Row],[CÓDIGO]],Consumo!$C$2:$AC$869,26,FALSE),0))</f>
        <v>07.2023</v>
      </c>
      <c r="AS676" s="316">
        <f>SUMIF(Consumo!$C$3:$C$869,tabItens[[#This Row],[CÓDIGO]],Consumo!$N$3:$N$869) + SUMIF(Consumo!$C$3:$C$869,tabItens[[#This Row],[CÓDIGO]],Consumo!$O$3:$O$869) + SUMIF(Consumo!$C$3:$C$869,tabItens[[#This Row],[CÓDIGO]],Consumo!$P$3:$P$869) + SUMIF(Consumo!$C$3:$C$869,tabItens[[#This Row],[CÓDIGO]],Consumo!$Q$3:$Q$869)</f>
        <v>390</v>
      </c>
      <c r="AT676" s="316">
        <f>SUMIF(Consumo!$C$3:$C$869,tabItens[[#This Row],[CÓDIGO]],Consumo!$Z$3:$Z$869)</f>
        <v>3901</v>
      </c>
      <c r="AU676" s="317">
        <f>SUMIF(Consumo!$C$3:$C$869,tabItens[[#This Row],[CÓDIGO]],Consumo!$AA$3:$AA$869)</f>
        <v>2639</v>
      </c>
      <c r="AV676" s="318">
        <f>SUMIF(Consumo!$C$3:$C$869,tabItens[[#This Row],[CÓDIGO]],Consumo!$Y$3:$Y$869)</f>
        <v>249.58333333333334</v>
      </c>
      <c r="AW676" s="291">
        <f>tabItens[[#This Row],[QTDE ATUAL]] + tabItens[[#This Row],[RC QTDE]] + tabItens[[#This Row],[AF SALDO]] + tabItens[[#This Row],[Recentes]]</f>
        <v>2653</v>
      </c>
      <c r="AX676" s="319">
        <v>14</v>
      </c>
      <c r="AY676" s="319">
        <v>4</v>
      </c>
      <c r="AZ676" s="319">
        <f>IF(ISBLANK(tabItens[[#This Row],[CÓDIGO]]),"",tabItens[[#This Row],[PontoMês]] * (AZ$2+tabItens[[#This Row],[PontoQtM]]))</f>
        <v>56</v>
      </c>
      <c r="BA676" s="318">
        <f>tabItens[[#This Row],[PontoPed]] - tabItens[[#This Row],[Saldo]] + (1/10)</f>
        <v>-2596.9</v>
      </c>
      <c r="BB676" s="318">
        <f xml:space="preserve"> tabItens[[#This Row],[PontoMês]] * BB$2 - tabItens[[#This Row],[QTDE ATUAL]] - (1/10)</f>
        <v>-2639.1</v>
      </c>
      <c r="BC676" s="320">
        <f>IF( tabItens[[#This Row],[PontoPed]]&gt;0, IF(tabItens[[#This Row],[PontoPed]]&lt;1, 1, IF( tabItens[[#This Row],[Saldo]]&gt;tabItens[[#This Row],[PontoPed]], 0, (tabItens[[#This Row],[PontoPed]]-tabItens[[#This Row],[Saldo]])/tabItens[[#This Row],[PontoPed]] ) ), 0 )</f>
        <v>0</v>
      </c>
      <c r="BD676" s="321">
        <f>ROUNDDOWN(IF( OR( AND(tabItens[[#This Row],[PontoPed]]&lt;tabItens[[#This Row],[Saldo]],tabItens[[#This Row],[Saldo]]&gt;0), tabItens[[#This Row],[PontoPed]]=0), 99, IF(AND(tabItens[[#This Row],[Saldo]]=0,tabItens[[#This Row],[PontoPed]]&gt;0), 0, (1-tabItens[[#This Row],[PctAb]])*10 ) ),0)</f>
        <v>99</v>
      </c>
      <c r="BE676" s="322">
        <f>MAX(ROUNDDOWN( IF(tabItens[[#This Row],[Abaixo]] &gt; 0,   tabItens[[#This Row],[Abaixo]] + (tabItens[[#This Row],[PontoMês]] * IF( OR( ISBLANK(tabItens[[#This Row],[ATA Nº/ANO]]), tabItens[[#This Row],[ATA Nº/ANO]] = ""),BE$2,BE$1)),0),0),0)</f>
        <v>0</v>
      </c>
      <c r="BF67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23">
        <f>SUMIF(Consumo!$C$3:$C$869,tabItens[[#This Row],[CÓDIGO]],Consumo!$E$3:$E$869)</f>
        <v>4</v>
      </c>
      <c r="BH676" s="324">
        <f>IF(AND(tabItens[[#This Row],[Pend]] &gt; 0,tabItens[[#This Row],[Consumo]] &lt;&gt; 0), tabItens[[#This Row],[Pend]] / tabItens[[#This Row],[Consumo]], 0 )</f>
        <v>1.0253781081773904E-3</v>
      </c>
      <c r="BI676" s="323"/>
      <c r="BJ676" s="323"/>
      <c r="BK676" s="325" t="s">
        <v>2064</v>
      </c>
    </row>
    <row r="677" spans="1:63" hidden="1" x14ac:dyDescent="0.3">
      <c r="A677" s="286">
        <v>132300</v>
      </c>
      <c r="B677" s="287" t="s">
        <v>1818</v>
      </c>
      <c r="C677" s="288" t="s">
        <v>413</v>
      </c>
      <c r="D677" s="289">
        <v>10.37</v>
      </c>
      <c r="E677" s="290"/>
      <c r="F677" s="290"/>
      <c r="G677" s="290" t="s">
        <v>883</v>
      </c>
      <c r="H677" s="291">
        <v>3984</v>
      </c>
      <c r="I677" s="292">
        <v>103003</v>
      </c>
      <c r="J677" s="293">
        <v>10.37</v>
      </c>
      <c r="K677" s="294">
        <v>11320</v>
      </c>
      <c r="L677" s="295">
        <f>IF(tabItens[[#This Row],[Média]] &gt; 0, tabItens[[#This Row],[QTDE ATUAL]] / tabItens[[#This Row],[Média]],999.9)</f>
        <v>5.1948277735521025</v>
      </c>
      <c r="M677" s="296">
        <v>0</v>
      </c>
      <c r="N677" s="297">
        <f>tabItens[[#This Row],[VALOR UNIT.]] * tabItens[[#This Row],[LC]]</f>
        <v>0</v>
      </c>
      <c r="O677" s="298"/>
      <c r="P677" s="299"/>
      <c r="Q677" s="300"/>
      <c r="R677" s="297"/>
      <c r="S677" s="301"/>
      <c r="T677" s="302">
        <f>ROUNDDOWN(IFERROR(tabItens[[#This Row],[ATA DT.VALID.]] - $D$1,0) / 30,0)</f>
        <v>-1504</v>
      </c>
      <c r="U677" s="287" t="s">
        <v>1287</v>
      </c>
      <c r="V677" s="303">
        <v>1</v>
      </c>
      <c r="W677" s="304" t="s">
        <v>2052</v>
      </c>
      <c r="X677" s="305">
        <v>45</v>
      </c>
      <c r="Y677" s="306">
        <v>16</v>
      </c>
      <c r="Z677" s="307">
        <v>6209</v>
      </c>
      <c r="AA677" s="308">
        <v>2023</v>
      </c>
      <c r="AB677" s="309">
        <v>1000</v>
      </c>
      <c r="AC677" s="309"/>
      <c r="AD677" s="308"/>
      <c r="AE677" s="309"/>
      <c r="AF677" s="302"/>
      <c r="AG677" s="310" t="s">
        <v>2050</v>
      </c>
      <c r="AH677" s="311"/>
      <c r="AI677" s="302">
        <v>4370</v>
      </c>
      <c r="AJ677" s="311">
        <v>44956</v>
      </c>
      <c r="AK677" s="311">
        <v>42685</v>
      </c>
      <c r="AL677" s="311">
        <v>44910</v>
      </c>
      <c r="AM677" s="301"/>
      <c r="AN677" s="290"/>
      <c r="AO677" s="312" t="str">
        <f>_xlfn.IFNA(IF(VLOOKUP(tabItens[[#This Row],[CÓDIGO]],tabExcluirDoEstoque[#Data],1,FALSE),"sim",""),"")</f>
        <v/>
      </c>
      <c r="AP677" s="313" t="str">
        <f ca="1">IF(OR(ISBLANK(tabItens[[#This Row],[ATA DT.VALID.]]),tabItens[[#This Row],[ATA DT.VALID.]]="",tabItens[[#This Row],[ATA DT.VALID.]]=" "),"",IF(TYPE(tabItens[[#This Row],[ATA DT.VALID.]])=1,ROUNDUP((tabItens[[#This Row],[ATA DT.VALID.]]-TODAY())/7,0),""))</f>
        <v/>
      </c>
      <c r="AQ677" s="314"/>
      <c r="AR677" s="315" t="str">
        <f>IF(ISBLANK(tabItens[[#This Row],[CÓDIGO]]),"",IFERROR(VLOOKUP(tabItens[[#This Row],[CÓDIGO]],Consumo!$C$2:$AC$869,26,FALSE),0))</f>
        <v>07.2023</v>
      </c>
      <c r="AS677" s="316">
        <f>SUMIF(Consumo!$C$3:$C$869,tabItens[[#This Row],[CÓDIGO]],Consumo!$N$3:$N$869) + SUMIF(Consumo!$C$3:$C$869,tabItens[[#This Row],[CÓDIGO]],Consumo!$O$3:$O$869) + SUMIF(Consumo!$C$3:$C$869,tabItens[[#This Row],[CÓDIGO]],Consumo!$P$3:$P$869) + SUMIF(Consumo!$C$3:$C$869,tabItens[[#This Row],[CÓDIGO]],Consumo!$Q$3:$Q$869)</f>
        <v>1037</v>
      </c>
      <c r="AT677" s="316">
        <f>SUMIF(Consumo!$C$3:$C$869,tabItens[[#This Row],[CÓDIGO]],Consumo!$Z$3:$Z$869)</f>
        <v>12690</v>
      </c>
      <c r="AU677" s="317">
        <f>SUMIF(Consumo!$C$3:$C$869,tabItens[[#This Row],[CÓDIGO]],Consumo!$AA$3:$AA$869)</f>
        <v>9919</v>
      </c>
      <c r="AV677" s="318">
        <f>SUMIF(Consumo!$C$3:$C$869,tabItens[[#This Row],[CÓDIGO]],Consumo!$Y$3:$Y$869)</f>
        <v>766.91666666666663</v>
      </c>
      <c r="AW677" s="291">
        <f>tabItens[[#This Row],[QTDE ATUAL]] + tabItens[[#This Row],[RC QTDE]] + tabItens[[#This Row],[AF SALDO]] + tabItens[[#This Row],[Recentes]]</f>
        <v>4984</v>
      </c>
      <c r="AX677" s="319">
        <v>697</v>
      </c>
      <c r="AY677" s="319">
        <v>4</v>
      </c>
      <c r="AZ677" s="319">
        <f>IF(ISBLANK(tabItens[[#This Row],[CÓDIGO]]),"",tabItens[[#This Row],[PontoMês]] * (AZ$2+tabItens[[#This Row],[PontoQtM]]))</f>
        <v>2788</v>
      </c>
      <c r="BA677" s="318">
        <f>tabItens[[#This Row],[PontoPed]] - tabItens[[#This Row],[Saldo]] + (1/10)</f>
        <v>-2195.9</v>
      </c>
      <c r="BB677" s="318">
        <f xml:space="preserve"> tabItens[[#This Row],[PontoMês]] * BB$2 - tabItens[[#This Row],[QTDE ATUAL]] - (1/10)</f>
        <v>-3287.1</v>
      </c>
      <c r="BC677" s="320">
        <f>IF( tabItens[[#This Row],[PontoPed]]&gt;0, IF(tabItens[[#This Row],[PontoPed]]&lt;1, 1, IF( tabItens[[#This Row],[Saldo]]&gt;tabItens[[#This Row],[PontoPed]], 0, (tabItens[[#This Row],[PontoPed]]-tabItens[[#This Row],[Saldo]])/tabItens[[#This Row],[PontoPed]] ) ), 0 )</f>
        <v>0</v>
      </c>
      <c r="BD677" s="321">
        <f>ROUNDDOWN(IF( OR( AND(tabItens[[#This Row],[PontoPed]]&lt;tabItens[[#This Row],[Saldo]],tabItens[[#This Row],[Saldo]]&gt;0), tabItens[[#This Row],[PontoPed]]=0), 99, IF(AND(tabItens[[#This Row],[Saldo]]=0,tabItens[[#This Row],[PontoPed]]&gt;0), 0, (1-tabItens[[#This Row],[PctAb]])*10 ) ),0)</f>
        <v>99</v>
      </c>
      <c r="BE677" s="322">
        <f>MAX(ROUNDDOWN( IF(tabItens[[#This Row],[Abaixo]] &gt; 0,   tabItens[[#This Row],[Abaixo]] + (tabItens[[#This Row],[PontoMês]] * IF( OR( ISBLANK(tabItens[[#This Row],[ATA Nº/ANO]]), tabItens[[#This Row],[ATA Nº/ANO]] = ""),BE$2,BE$1)),0),0),0)</f>
        <v>0</v>
      </c>
      <c r="BF67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23">
        <f>SUMIF(Consumo!$C$3:$C$869,tabItens[[#This Row],[CÓDIGO]],Consumo!$E$3:$E$869)</f>
        <v>250</v>
      </c>
      <c r="BH677" s="324">
        <f>IF(AND(tabItens[[#This Row],[Pend]] &gt; 0,tabItens[[#This Row],[Consumo]] &lt;&gt; 0), tabItens[[#This Row],[Pend]] / tabItens[[#This Row],[Consumo]], 0 )</f>
        <v>1.9700551615445233E-2</v>
      </c>
      <c r="BI677" s="323"/>
      <c r="BJ677" s="323"/>
      <c r="BK677" s="325" t="s">
        <v>2064</v>
      </c>
    </row>
    <row r="678" spans="1:63" hidden="1" x14ac:dyDescent="0.3">
      <c r="A678" s="286">
        <v>133788</v>
      </c>
      <c r="B678" s="287" t="s">
        <v>1847</v>
      </c>
      <c r="C678" s="288" t="s">
        <v>31</v>
      </c>
      <c r="D678" s="289">
        <v>1.3</v>
      </c>
      <c r="E678" s="290"/>
      <c r="F678" s="290"/>
      <c r="G678" s="290" t="s">
        <v>883</v>
      </c>
      <c r="H678" s="291">
        <v>636</v>
      </c>
      <c r="I678" s="292">
        <v>103003</v>
      </c>
      <c r="J678" s="293">
        <v>1.3</v>
      </c>
      <c r="K678" s="294">
        <v>1441</v>
      </c>
      <c r="L678" s="295">
        <f>IF(tabItens[[#This Row],[Média]] &gt; 0, tabItens[[#This Row],[QTDE ATUAL]] / tabItens[[#This Row],[Média]],999.9)</f>
        <v>5.3557894736842107</v>
      </c>
      <c r="M678" s="296">
        <v>0</v>
      </c>
      <c r="N678" s="297">
        <f>tabItens[[#This Row],[VALOR UNIT.]] * tabItens[[#This Row],[LC]]</f>
        <v>0</v>
      </c>
      <c r="O678" s="298"/>
      <c r="P678" s="299"/>
      <c r="Q678" s="300"/>
      <c r="R678" s="297"/>
      <c r="S678" s="301"/>
      <c r="T678" s="302">
        <f>ROUNDDOWN(IFERROR(tabItens[[#This Row],[ATA DT.VALID.]] - $D$1,0) / 30,0)</f>
        <v>-1504</v>
      </c>
      <c r="U678" s="287" t="s">
        <v>1287</v>
      </c>
      <c r="V678" s="303">
        <v>1</v>
      </c>
      <c r="W678" s="304" t="s">
        <v>2052</v>
      </c>
      <c r="X678" s="305">
        <v>45</v>
      </c>
      <c r="Y678" s="306">
        <v>16</v>
      </c>
      <c r="Z678" s="307"/>
      <c r="AA678" s="308"/>
      <c r="AB678" s="309"/>
      <c r="AC678" s="309"/>
      <c r="AD678" s="308"/>
      <c r="AE678" s="309"/>
      <c r="AF678" s="302"/>
      <c r="AG678" s="310" t="s">
        <v>2050</v>
      </c>
      <c r="AH678" s="311"/>
      <c r="AI678" s="302">
        <v>3394</v>
      </c>
      <c r="AJ678" s="311" t="s">
        <v>883</v>
      </c>
      <c r="AK678" s="311">
        <v>43038</v>
      </c>
      <c r="AL678" s="311">
        <v>44896</v>
      </c>
      <c r="AM678" s="301"/>
      <c r="AN678" s="290"/>
      <c r="AO678" s="312" t="str">
        <f>_xlfn.IFNA(IF(VLOOKUP(tabItens[[#This Row],[CÓDIGO]],tabExcluirDoEstoque[#Data],1,FALSE),"sim",""),"")</f>
        <v/>
      </c>
      <c r="AP678" s="313" t="str">
        <f ca="1">IF(OR(ISBLANK(tabItens[[#This Row],[ATA DT.VALID.]]),tabItens[[#This Row],[ATA DT.VALID.]]="",tabItens[[#This Row],[ATA DT.VALID.]]=" "),"",IF(TYPE(tabItens[[#This Row],[ATA DT.VALID.]])=1,ROUNDUP((tabItens[[#This Row],[ATA DT.VALID.]]-TODAY())/7,0),""))</f>
        <v/>
      </c>
      <c r="AQ678" s="314"/>
      <c r="AR678" s="315" t="str">
        <f>IF(ISBLANK(tabItens[[#This Row],[CÓDIGO]]),"",IFERROR(VLOOKUP(tabItens[[#This Row],[CÓDIGO]],Consumo!$C$2:$AC$869,26,FALSE),0))</f>
        <v>07.2023</v>
      </c>
      <c r="AS678" s="316">
        <f>SUMIF(Consumo!$C$3:$C$869,tabItens[[#This Row],[CÓDIGO]],Consumo!$N$3:$N$869) + SUMIF(Consumo!$C$3:$C$869,tabItens[[#This Row],[CÓDIGO]],Consumo!$O$3:$O$869) + SUMIF(Consumo!$C$3:$C$869,tabItens[[#This Row],[CÓDIGO]],Consumo!$P$3:$P$869) + SUMIF(Consumo!$C$3:$C$869,tabItens[[#This Row],[CÓDIGO]],Consumo!$Q$3:$Q$869)</f>
        <v>485</v>
      </c>
      <c r="AT678" s="316">
        <f>SUMIF(Consumo!$C$3:$C$869,tabItens[[#This Row],[CÓDIGO]],Consumo!$Z$3:$Z$869)</f>
        <v>1615</v>
      </c>
      <c r="AU678" s="317">
        <f>SUMIF(Consumo!$C$3:$C$869,tabItens[[#This Row],[CÓDIGO]],Consumo!$AA$3:$AA$869)</f>
        <v>718</v>
      </c>
      <c r="AV678" s="318">
        <f>SUMIF(Consumo!$C$3:$C$869,tabItens[[#This Row],[CÓDIGO]],Consumo!$Y$3:$Y$869)</f>
        <v>118.75</v>
      </c>
      <c r="AW678" s="291">
        <f>tabItens[[#This Row],[QTDE ATUAL]] + tabItens[[#This Row],[RC QTDE]] + tabItens[[#This Row],[AF SALDO]] + tabItens[[#This Row],[Recentes]]</f>
        <v>636</v>
      </c>
      <c r="AX678" s="319">
        <v>113</v>
      </c>
      <c r="AY678" s="319">
        <v>4</v>
      </c>
      <c r="AZ678" s="319">
        <f>IF(ISBLANK(tabItens[[#This Row],[CÓDIGO]]),"",tabItens[[#This Row],[PontoMês]] * (AZ$2+tabItens[[#This Row],[PontoQtM]]))</f>
        <v>452</v>
      </c>
      <c r="BA678" s="318">
        <f>tabItens[[#This Row],[PontoPed]] - tabItens[[#This Row],[Saldo]] + (1/10)</f>
        <v>-183.9</v>
      </c>
      <c r="BB678" s="318">
        <f xml:space="preserve"> tabItens[[#This Row],[PontoMês]] * BB$2 - tabItens[[#This Row],[QTDE ATUAL]] - (1/10)</f>
        <v>-523.1</v>
      </c>
      <c r="BC678" s="320">
        <f>IF( tabItens[[#This Row],[PontoPed]]&gt;0, IF(tabItens[[#This Row],[PontoPed]]&lt;1, 1, IF( tabItens[[#This Row],[Saldo]]&gt;tabItens[[#This Row],[PontoPed]], 0, (tabItens[[#This Row],[PontoPed]]-tabItens[[#This Row],[Saldo]])/tabItens[[#This Row],[PontoPed]] ) ), 0 )</f>
        <v>0</v>
      </c>
      <c r="BD678" s="321">
        <f>ROUNDDOWN(IF( OR( AND(tabItens[[#This Row],[PontoPed]]&lt;tabItens[[#This Row],[Saldo]],tabItens[[#This Row],[Saldo]]&gt;0), tabItens[[#This Row],[PontoPed]]=0), 99, IF(AND(tabItens[[#This Row],[Saldo]]=0,tabItens[[#This Row],[PontoPed]]&gt;0), 0, (1-tabItens[[#This Row],[PctAb]])*10 ) ),0)</f>
        <v>99</v>
      </c>
      <c r="BE678" s="322">
        <f>MAX(ROUNDDOWN( IF(tabItens[[#This Row],[Abaixo]] &gt; 0,   tabItens[[#This Row],[Abaixo]] + (tabItens[[#This Row],[PontoMês]] * IF( OR( ISBLANK(tabItens[[#This Row],[ATA Nº/ANO]]), tabItens[[#This Row],[ATA Nº/ANO]] = ""),BE$2,BE$1)),0),0),0)</f>
        <v>0</v>
      </c>
      <c r="BF67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23">
        <f>SUMIF(Consumo!$C$3:$C$869,tabItens[[#This Row],[CÓDIGO]],Consumo!$E$3:$E$869)</f>
        <v>0</v>
      </c>
      <c r="BH678" s="324">
        <f>IF(AND(tabItens[[#This Row],[Pend]] &gt; 0,tabItens[[#This Row],[Consumo]] &lt;&gt; 0), tabItens[[#This Row],[Pend]] / tabItens[[#This Row],[Consumo]], 0 )</f>
        <v>0</v>
      </c>
      <c r="BI678" s="323"/>
      <c r="BJ678" s="323"/>
      <c r="BK678" s="325" t="s">
        <v>2064</v>
      </c>
    </row>
    <row r="679" spans="1:63" hidden="1" x14ac:dyDescent="0.3">
      <c r="A679" s="286">
        <v>133790</v>
      </c>
      <c r="B679" s="287" t="s">
        <v>1848</v>
      </c>
      <c r="C679" s="288" t="s">
        <v>31</v>
      </c>
      <c r="D679" s="289">
        <v>1.27</v>
      </c>
      <c r="E679" s="290"/>
      <c r="F679" s="290"/>
      <c r="G679" s="290" t="s">
        <v>883</v>
      </c>
      <c r="H679" s="291">
        <v>1754</v>
      </c>
      <c r="I679" s="292">
        <v>103003</v>
      </c>
      <c r="J679" s="293">
        <v>1.27</v>
      </c>
      <c r="K679" s="294">
        <v>848</v>
      </c>
      <c r="L679" s="295">
        <f>IF(tabItens[[#This Row],[Média]] &gt; 0, tabItens[[#This Row],[QTDE ATUAL]] / tabItens[[#This Row],[Média]],999.9)</f>
        <v>20.238461538461536</v>
      </c>
      <c r="M679" s="296">
        <v>0</v>
      </c>
      <c r="N679" s="297">
        <f>tabItens[[#This Row],[VALOR UNIT.]] * tabItens[[#This Row],[LC]]</f>
        <v>0</v>
      </c>
      <c r="O679" s="298"/>
      <c r="P679" s="299"/>
      <c r="Q679" s="300"/>
      <c r="R679" s="297"/>
      <c r="S679" s="301"/>
      <c r="T679" s="302">
        <f>ROUNDDOWN(IFERROR(tabItens[[#This Row],[ATA DT.VALID.]] - $D$1,0) / 30,0)</f>
        <v>-1504</v>
      </c>
      <c r="U679" s="287" t="s">
        <v>1287</v>
      </c>
      <c r="V679" s="303">
        <v>1</v>
      </c>
      <c r="W679" s="304" t="s">
        <v>2052</v>
      </c>
      <c r="X679" s="305">
        <v>45</v>
      </c>
      <c r="Y679" s="306">
        <v>16</v>
      </c>
      <c r="Z679" s="307"/>
      <c r="AA679" s="308"/>
      <c r="AB679" s="309"/>
      <c r="AC679" s="309"/>
      <c r="AD679" s="308"/>
      <c r="AE679" s="309"/>
      <c r="AF679" s="302"/>
      <c r="AG679" s="310" t="s">
        <v>2050</v>
      </c>
      <c r="AH679" s="311"/>
      <c r="AI679" s="302">
        <v>3008</v>
      </c>
      <c r="AJ679" s="311" t="s">
        <v>883</v>
      </c>
      <c r="AK679" s="311">
        <v>43038</v>
      </c>
      <c r="AL679" s="311">
        <v>44896</v>
      </c>
      <c r="AM679" s="301"/>
      <c r="AN679" s="290"/>
      <c r="AO679" s="312" t="str">
        <f>_xlfn.IFNA(IF(VLOOKUP(tabItens[[#This Row],[CÓDIGO]],tabExcluirDoEstoque[#Data],1,FALSE),"sim",""),"")</f>
        <v/>
      </c>
      <c r="AP679" s="313" t="str">
        <f ca="1">IF(OR(ISBLANK(tabItens[[#This Row],[ATA DT.VALID.]]),tabItens[[#This Row],[ATA DT.VALID.]]="",tabItens[[#This Row],[ATA DT.VALID.]]=" "),"",IF(TYPE(tabItens[[#This Row],[ATA DT.VALID.]])=1,ROUNDUP((tabItens[[#This Row],[ATA DT.VALID.]]-TODAY())/7,0),""))</f>
        <v/>
      </c>
      <c r="AQ679" s="314"/>
      <c r="AR679" s="315" t="str">
        <f>IF(ISBLANK(tabItens[[#This Row],[CÓDIGO]]),"",IFERROR(VLOOKUP(tabItens[[#This Row],[CÓDIGO]],Consumo!$C$2:$AC$869,26,FALSE),0))</f>
        <v>07.2023</v>
      </c>
      <c r="AS679" s="316">
        <f>SUMIF(Consumo!$C$3:$C$869,tabItens[[#This Row],[CÓDIGO]],Consumo!$N$3:$N$869) + SUMIF(Consumo!$C$3:$C$869,tabItens[[#This Row],[CÓDIGO]],Consumo!$O$3:$O$869) + SUMIF(Consumo!$C$3:$C$869,tabItens[[#This Row],[CÓDIGO]],Consumo!$P$3:$P$869) + SUMIF(Consumo!$C$3:$C$869,tabItens[[#This Row],[CÓDIGO]],Consumo!$Q$3:$Q$869)</f>
        <v>478</v>
      </c>
      <c r="AT679" s="316">
        <f>SUMIF(Consumo!$C$3:$C$869,tabItens[[#This Row],[CÓDIGO]],Consumo!$Z$3:$Z$869)</f>
        <v>1054</v>
      </c>
      <c r="AU679" s="317">
        <f>SUMIF(Consumo!$C$3:$C$869,tabItens[[#This Row],[CÓDIGO]],Consumo!$AA$3:$AA$869)</f>
        <v>245</v>
      </c>
      <c r="AV679" s="318">
        <f>SUMIF(Consumo!$C$3:$C$869,tabItens[[#This Row],[CÓDIGO]],Consumo!$Y$3:$Y$869)</f>
        <v>86.666666666666671</v>
      </c>
      <c r="AW679" s="291">
        <f>tabItens[[#This Row],[QTDE ATUAL]] + tabItens[[#This Row],[RC QTDE]] + tabItens[[#This Row],[AF SALDO]] + tabItens[[#This Row],[Recentes]]</f>
        <v>1754</v>
      </c>
      <c r="AX679" s="319">
        <v>113</v>
      </c>
      <c r="AY679" s="319">
        <v>4</v>
      </c>
      <c r="AZ679" s="319">
        <f>IF(ISBLANK(tabItens[[#This Row],[CÓDIGO]]),"",tabItens[[#This Row],[PontoMês]] * (AZ$2+tabItens[[#This Row],[PontoQtM]]))</f>
        <v>452</v>
      </c>
      <c r="BA679" s="318">
        <f>tabItens[[#This Row],[PontoPed]] - tabItens[[#This Row],[Saldo]] + (1/10)</f>
        <v>-1301.9000000000001</v>
      </c>
      <c r="BB679" s="318">
        <f xml:space="preserve"> tabItens[[#This Row],[PontoMês]] * BB$2 - tabItens[[#This Row],[QTDE ATUAL]] - (1/10)</f>
        <v>-1641.1</v>
      </c>
      <c r="BC679" s="320">
        <f>IF( tabItens[[#This Row],[PontoPed]]&gt;0, IF(tabItens[[#This Row],[PontoPed]]&lt;1, 1, IF( tabItens[[#This Row],[Saldo]]&gt;tabItens[[#This Row],[PontoPed]], 0, (tabItens[[#This Row],[PontoPed]]-tabItens[[#This Row],[Saldo]])/tabItens[[#This Row],[PontoPed]] ) ), 0 )</f>
        <v>0</v>
      </c>
      <c r="BD679" s="321">
        <f>ROUNDDOWN(IF( OR( AND(tabItens[[#This Row],[PontoPed]]&lt;tabItens[[#This Row],[Saldo]],tabItens[[#This Row],[Saldo]]&gt;0), tabItens[[#This Row],[PontoPed]]=0), 99, IF(AND(tabItens[[#This Row],[Saldo]]=0,tabItens[[#This Row],[PontoPed]]&gt;0), 0, (1-tabItens[[#This Row],[PctAb]])*10 ) ),0)</f>
        <v>99</v>
      </c>
      <c r="BE679" s="322">
        <f>MAX(ROUNDDOWN( IF(tabItens[[#This Row],[Abaixo]] &gt; 0,   tabItens[[#This Row],[Abaixo]] + (tabItens[[#This Row],[PontoMês]] * IF( OR( ISBLANK(tabItens[[#This Row],[ATA Nº/ANO]]), tabItens[[#This Row],[ATA Nº/ANO]] = ""),BE$2,BE$1)),0),0),0)</f>
        <v>0</v>
      </c>
      <c r="BF67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323">
        <f>SUMIF(Consumo!$C$3:$C$869,tabItens[[#This Row],[CÓDIGO]],Consumo!$E$3:$E$869)</f>
        <v>0</v>
      </c>
      <c r="BH679" s="324">
        <f>IF(AND(tabItens[[#This Row],[Pend]] &gt; 0,tabItens[[#This Row],[Consumo]] &lt;&gt; 0), tabItens[[#This Row],[Pend]] / tabItens[[#This Row],[Consumo]], 0 )</f>
        <v>0</v>
      </c>
      <c r="BI679" s="323"/>
      <c r="BJ679" s="323"/>
      <c r="BK679" s="325" t="s">
        <v>2064</v>
      </c>
    </row>
    <row r="680" spans="1:63" hidden="1" x14ac:dyDescent="0.3">
      <c r="A680" s="286">
        <v>133791</v>
      </c>
      <c r="B680" s="287" t="s">
        <v>1849</v>
      </c>
      <c r="C680" s="288" t="s">
        <v>31</v>
      </c>
      <c r="D680" s="289">
        <v>1.95</v>
      </c>
      <c r="E680" s="290"/>
      <c r="F680" s="290"/>
      <c r="G680" s="290" t="s">
        <v>883</v>
      </c>
      <c r="H680" s="291">
        <v>1640</v>
      </c>
      <c r="I680" s="292">
        <v>103003</v>
      </c>
      <c r="J680" s="293">
        <v>1.95</v>
      </c>
      <c r="K680" s="294">
        <v>550</v>
      </c>
      <c r="L680" s="295">
        <f>IF(tabItens[[#This Row],[Média]] &gt; 0, tabItens[[#This Row],[QTDE ATUAL]] / tabItens[[#This Row],[Média]],999.9)</f>
        <v>28.154506437768241</v>
      </c>
      <c r="M680" s="296">
        <v>0</v>
      </c>
      <c r="N680" s="297">
        <f>tabItens[[#This Row],[VALOR UNIT.]] * tabItens[[#This Row],[LC]]</f>
        <v>0</v>
      </c>
      <c r="O680" s="298"/>
      <c r="P680" s="299"/>
      <c r="Q680" s="300"/>
      <c r="R680" s="297"/>
      <c r="S680" s="301"/>
      <c r="T680" s="302">
        <f>ROUNDDOWN(IFERROR(tabItens[[#This Row],[ATA DT.VALID.]] - $D$1,0) / 30,0)</f>
        <v>-1504</v>
      </c>
      <c r="U680" s="287" t="s">
        <v>1287</v>
      </c>
      <c r="V680" s="303">
        <v>1</v>
      </c>
      <c r="W680" s="304" t="s">
        <v>2052</v>
      </c>
      <c r="X680" s="305">
        <v>45</v>
      </c>
      <c r="Y680" s="306">
        <v>16</v>
      </c>
      <c r="Z680" s="307"/>
      <c r="AA680" s="308"/>
      <c r="AB680" s="309"/>
      <c r="AC680" s="309"/>
      <c r="AD680" s="308"/>
      <c r="AE680" s="309"/>
      <c r="AF680" s="302"/>
      <c r="AG680" s="310" t="s">
        <v>2050</v>
      </c>
      <c r="AH680" s="311"/>
      <c r="AI680" s="302">
        <v>3544</v>
      </c>
      <c r="AJ680" s="311" t="s">
        <v>883</v>
      </c>
      <c r="AK680" s="311">
        <v>43038</v>
      </c>
      <c r="AL680" s="311">
        <v>44938</v>
      </c>
      <c r="AM680" s="301"/>
      <c r="AN680" s="290"/>
      <c r="AO680" s="312" t="str">
        <f>_xlfn.IFNA(IF(VLOOKUP(tabItens[[#This Row],[CÓDIGO]],tabExcluirDoEstoque[#Data],1,FALSE),"sim",""),"")</f>
        <v/>
      </c>
      <c r="AP680" s="313" t="str">
        <f ca="1">IF(OR(ISBLANK(tabItens[[#This Row],[ATA DT.VALID.]]),tabItens[[#This Row],[ATA DT.VALID.]]="",tabItens[[#This Row],[ATA DT.VALID.]]=" "),"",IF(TYPE(tabItens[[#This Row],[ATA DT.VALID.]])=1,ROUNDUP((tabItens[[#This Row],[ATA DT.VALID.]]-TODAY())/7,0),""))</f>
        <v/>
      </c>
      <c r="AQ680" s="314"/>
      <c r="AR680" s="315" t="str">
        <f>IF(ISBLANK(tabItens[[#This Row],[CÓDIGO]]),"",IFERROR(VLOOKUP(tabItens[[#This Row],[CÓDIGO]],Consumo!$C$2:$AC$869,26,FALSE),0))</f>
        <v>07.2023</v>
      </c>
      <c r="AS680" s="316">
        <f>SUMIF(Consumo!$C$3:$C$869,tabItens[[#This Row],[CÓDIGO]],Consumo!$N$3:$N$869) + SUMIF(Consumo!$C$3:$C$869,tabItens[[#This Row],[CÓDIGO]],Consumo!$O$3:$O$869) + SUMIF(Consumo!$C$3:$C$869,tabItens[[#This Row],[CÓDIGO]],Consumo!$P$3:$P$869) + SUMIF(Consumo!$C$3:$C$869,tabItens[[#This Row],[CÓDIGO]],Consumo!$Q$3:$Q$869)</f>
        <v>329</v>
      </c>
      <c r="AT680" s="316">
        <f>SUMIF(Consumo!$C$3:$C$869,tabItens[[#This Row],[CÓDIGO]],Consumo!$Z$3:$Z$869)</f>
        <v>710</v>
      </c>
      <c r="AU680" s="317">
        <f>SUMIF(Consumo!$C$3:$C$869,tabItens[[#This Row],[CÓDIGO]],Consumo!$AA$3:$AA$869)</f>
        <v>162</v>
      </c>
      <c r="AV680" s="318">
        <f>SUMIF(Consumo!$C$3:$C$869,tabItens[[#This Row],[CÓDIGO]],Consumo!$Y$3:$Y$869)</f>
        <v>58.25</v>
      </c>
      <c r="AW680" s="291">
        <f>tabItens[[#This Row],[QTDE ATUAL]] + tabItens[[#This Row],[RC QTDE]] + tabItens[[#This Row],[AF SALDO]] + tabItens[[#This Row],[Recentes]]</f>
        <v>1640</v>
      </c>
      <c r="AX680" s="319">
        <v>102</v>
      </c>
      <c r="AY680" s="319">
        <v>4</v>
      </c>
      <c r="AZ680" s="319">
        <f>IF(ISBLANK(tabItens[[#This Row],[CÓDIGO]]),"",tabItens[[#This Row],[PontoMês]] * (AZ$2+tabItens[[#This Row],[PontoQtM]]))</f>
        <v>408</v>
      </c>
      <c r="BA680" s="318">
        <f>tabItens[[#This Row],[PontoPed]] - tabItens[[#This Row],[Saldo]] + (1/10)</f>
        <v>-1231.9000000000001</v>
      </c>
      <c r="BB680" s="318">
        <f xml:space="preserve"> tabItens[[#This Row],[PontoMês]] * BB$2 - tabItens[[#This Row],[QTDE ATUAL]] - (1/10)</f>
        <v>-1538.1</v>
      </c>
      <c r="BC680" s="320">
        <f>IF( tabItens[[#This Row],[PontoPed]]&gt;0, IF(tabItens[[#This Row],[PontoPed]]&lt;1, 1, IF( tabItens[[#This Row],[Saldo]]&gt;tabItens[[#This Row],[PontoPed]], 0, (tabItens[[#This Row],[PontoPed]]-tabItens[[#This Row],[Saldo]])/tabItens[[#This Row],[PontoPed]] ) ), 0 )</f>
        <v>0</v>
      </c>
      <c r="BD680" s="321">
        <f>ROUNDDOWN(IF( OR( AND(tabItens[[#This Row],[PontoPed]]&lt;tabItens[[#This Row],[Saldo]],tabItens[[#This Row],[Saldo]]&gt;0), tabItens[[#This Row],[PontoPed]]=0), 99, IF(AND(tabItens[[#This Row],[Saldo]]=0,tabItens[[#This Row],[PontoPed]]&gt;0), 0, (1-tabItens[[#This Row],[PctAb]])*10 ) ),0)</f>
        <v>99</v>
      </c>
      <c r="BE680" s="322">
        <f>MAX(ROUNDDOWN( IF(tabItens[[#This Row],[Abaixo]] &gt; 0,   tabItens[[#This Row],[Abaixo]] + (tabItens[[#This Row],[PontoMês]] * IF( OR( ISBLANK(tabItens[[#This Row],[ATA Nº/ANO]]), tabItens[[#This Row],[ATA Nº/ANO]] = ""),BE$2,BE$1)),0),0),0)</f>
        <v>0</v>
      </c>
      <c r="BF68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23">
        <f>SUMIF(Consumo!$C$3:$C$869,tabItens[[#This Row],[CÓDIGO]],Consumo!$E$3:$E$869)</f>
        <v>0</v>
      </c>
      <c r="BH680" s="324">
        <f>IF(AND(tabItens[[#This Row],[Pend]] &gt; 0,tabItens[[#This Row],[Consumo]] &lt;&gt; 0), tabItens[[#This Row],[Pend]] / tabItens[[#This Row],[Consumo]], 0 )</f>
        <v>0</v>
      </c>
      <c r="BI680" s="323"/>
      <c r="BJ680" s="323"/>
      <c r="BK680" s="325" t="s">
        <v>2064</v>
      </c>
    </row>
    <row r="681" spans="1:63" hidden="1" x14ac:dyDescent="0.3">
      <c r="A681" s="286">
        <v>138462</v>
      </c>
      <c r="B681" s="287" t="s">
        <v>1961</v>
      </c>
      <c r="C681" s="288" t="s">
        <v>1960</v>
      </c>
      <c r="D681" s="289">
        <v>2.95</v>
      </c>
      <c r="E681" s="290"/>
      <c r="F681" s="290"/>
      <c r="G681" s="290" t="s">
        <v>883</v>
      </c>
      <c r="H681" s="291">
        <v>8597</v>
      </c>
      <c r="I681" s="292">
        <v>103003</v>
      </c>
      <c r="J681" s="293">
        <v>2.95</v>
      </c>
      <c r="K681" s="294">
        <v>8607</v>
      </c>
      <c r="L681" s="295">
        <f>IF(tabItens[[#This Row],[Média]] &gt; 0, tabItens[[#This Row],[QTDE ATUAL]] / tabItens[[#This Row],[Média]],999.9)</f>
        <v>12.15553199010251</v>
      </c>
      <c r="M681" s="296">
        <v>0</v>
      </c>
      <c r="N681" s="297">
        <f>tabItens[[#This Row],[VALOR UNIT.]] * tabItens[[#This Row],[LC]]</f>
        <v>0</v>
      </c>
      <c r="O681" s="298"/>
      <c r="P681" s="299"/>
      <c r="Q681" s="300"/>
      <c r="R681" s="297"/>
      <c r="S681" s="301"/>
      <c r="T681" s="302">
        <f>ROUNDDOWN(IFERROR(tabItens[[#This Row],[ATA DT.VALID.]] - $D$1,0) / 30,0)</f>
        <v>-1504</v>
      </c>
      <c r="U681" s="287" t="s">
        <v>1287</v>
      </c>
      <c r="V681" s="303">
        <v>1</v>
      </c>
      <c r="W681" s="304" t="s">
        <v>2052</v>
      </c>
      <c r="X681" s="305">
        <v>45</v>
      </c>
      <c r="Y681" s="306">
        <v>16</v>
      </c>
      <c r="Z681" s="307"/>
      <c r="AA681" s="308"/>
      <c r="AB681" s="309"/>
      <c r="AC681" s="309"/>
      <c r="AD681" s="308"/>
      <c r="AE681" s="309"/>
      <c r="AF681" s="302"/>
      <c r="AG681" s="310" t="s">
        <v>2050</v>
      </c>
      <c r="AH681" s="311"/>
      <c r="AI681" s="302">
        <v>3408</v>
      </c>
      <c r="AJ681" s="311">
        <v>44991</v>
      </c>
      <c r="AK681" s="311">
        <v>43720</v>
      </c>
      <c r="AL681" s="311">
        <v>44910</v>
      </c>
      <c r="AM681" s="301"/>
      <c r="AN681" s="290"/>
      <c r="AO681" s="312" t="str">
        <f>_xlfn.IFNA(IF(VLOOKUP(tabItens[[#This Row],[CÓDIGO]],tabExcluirDoEstoque[#Data],1,FALSE),"sim",""),"")</f>
        <v/>
      </c>
      <c r="AP681" s="313" t="str">
        <f ca="1">IF(OR(ISBLANK(tabItens[[#This Row],[ATA DT.VALID.]]),tabItens[[#This Row],[ATA DT.VALID.]]="",tabItens[[#This Row],[ATA DT.VALID.]]=" "),"",IF(TYPE(tabItens[[#This Row],[ATA DT.VALID.]])=1,ROUNDUP((tabItens[[#This Row],[ATA DT.VALID.]]-TODAY())/7,0),""))</f>
        <v/>
      </c>
      <c r="AQ681" s="314"/>
      <c r="AR681" s="315" t="str">
        <f>IF(ISBLANK(tabItens[[#This Row],[CÓDIGO]]),"",IFERROR(VLOOKUP(tabItens[[#This Row],[CÓDIGO]],Consumo!$C$2:$AC$869,26,FALSE),0))</f>
        <v>07.2023</v>
      </c>
      <c r="AS681" s="316">
        <f>SUMIF(Consumo!$C$3:$C$869,tabItens[[#This Row],[CÓDIGO]],Consumo!$N$3:$N$869) + SUMIF(Consumo!$C$3:$C$869,tabItens[[#This Row],[CÓDIGO]],Consumo!$O$3:$O$869) + SUMIF(Consumo!$C$3:$C$869,tabItens[[#This Row],[CÓDIGO]],Consumo!$P$3:$P$869) + SUMIF(Consumo!$C$3:$C$869,tabItens[[#This Row],[CÓDIGO]],Consumo!$Q$3:$Q$869)</f>
        <v>1765</v>
      </c>
      <c r="AT681" s="316">
        <f>SUMIF(Consumo!$C$3:$C$869,tabItens[[#This Row],[CÓDIGO]],Consumo!$Z$3:$Z$869)</f>
        <v>10355</v>
      </c>
      <c r="AU681" s="317">
        <f>SUMIF(Consumo!$C$3:$C$869,tabItens[[#This Row],[CÓDIGO]],Consumo!$AA$3:$AA$869)</f>
        <v>5715</v>
      </c>
      <c r="AV681" s="318">
        <f>SUMIF(Consumo!$C$3:$C$869,tabItens[[#This Row],[CÓDIGO]],Consumo!$Y$3:$Y$869)</f>
        <v>707.25</v>
      </c>
      <c r="AW681" s="291">
        <f>tabItens[[#This Row],[QTDE ATUAL]] + tabItens[[#This Row],[RC QTDE]] + tabItens[[#This Row],[AF SALDO]] + tabItens[[#This Row],[Recentes]]</f>
        <v>8597</v>
      </c>
      <c r="AX681" s="319">
        <v>1946</v>
      </c>
      <c r="AY681" s="319">
        <v>4</v>
      </c>
      <c r="AZ681" s="319">
        <f>IF(ISBLANK(tabItens[[#This Row],[CÓDIGO]]),"",tabItens[[#This Row],[PontoMês]] * (AZ$2+tabItens[[#This Row],[PontoQtM]]))</f>
        <v>7784</v>
      </c>
      <c r="BA681" s="318">
        <f>tabItens[[#This Row],[PontoPed]] - tabItens[[#This Row],[Saldo]] + (1/10)</f>
        <v>-812.9</v>
      </c>
      <c r="BB681" s="318">
        <f xml:space="preserve"> tabItens[[#This Row],[PontoMês]] * BB$2 - tabItens[[#This Row],[QTDE ATUAL]] - (1/10)</f>
        <v>-6651.1</v>
      </c>
      <c r="BC681" s="320">
        <f>IF( tabItens[[#This Row],[PontoPed]]&gt;0, IF(tabItens[[#This Row],[PontoPed]]&lt;1, 1, IF( tabItens[[#This Row],[Saldo]]&gt;tabItens[[#This Row],[PontoPed]], 0, (tabItens[[#This Row],[PontoPed]]-tabItens[[#This Row],[Saldo]])/tabItens[[#This Row],[PontoPed]] ) ), 0 )</f>
        <v>0</v>
      </c>
      <c r="BD681" s="321">
        <f>ROUNDDOWN(IF( OR( AND(tabItens[[#This Row],[PontoPed]]&lt;tabItens[[#This Row],[Saldo]],tabItens[[#This Row],[Saldo]]&gt;0), tabItens[[#This Row],[PontoPed]]=0), 99, IF(AND(tabItens[[#This Row],[Saldo]]=0,tabItens[[#This Row],[PontoPed]]&gt;0), 0, (1-tabItens[[#This Row],[PctAb]])*10 ) ),0)</f>
        <v>99</v>
      </c>
      <c r="BE681" s="322">
        <f>MAX(ROUNDDOWN( IF(tabItens[[#This Row],[Abaixo]] &gt; 0,   tabItens[[#This Row],[Abaixo]] + (tabItens[[#This Row],[PontoMês]] * IF( OR( ISBLANK(tabItens[[#This Row],[ATA Nº/ANO]]), tabItens[[#This Row],[ATA Nº/ANO]] = ""),BE$2,BE$1)),0),0),0)</f>
        <v>0</v>
      </c>
      <c r="BF68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23">
        <f>SUMIF(Consumo!$C$3:$C$869,tabItens[[#This Row],[CÓDIGO]],Consumo!$E$3:$E$869)</f>
        <v>130</v>
      </c>
      <c r="BH681" s="324">
        <f>IF(AND(tabItens[[#This Row],[Pend]] &gt; 0,tabItens[[#This Row],[Consumo]] &lt;&gt; 0), tabItens[[#This Row],[Pend]] / tabItens[[#This Row],[Consumo]], 0 )</f>
        <v>1.2554321583775953E-2</v>
      </c>
      <c r="BI681" s="323"/>
      <c r="BJ681" s="323"/>
      <c r="BK681" s="325" t="s">
        <v>2064</v>
      </c>
    </row>
    <row r="682" spans="1:63" hidden="1" x14ac:dyDescent="0.3">
      <c r="A682" s="286">
        <v>140933</v>
      </c>
      <c r="B682" s="287" t="s">
        <v>2013</v>
      </c>
      <c r="C682" s="288" t="s">
        <v>256</v>
      </c>
      <c r="D682" s="289">
        <v>1.65</v>
      </c>
      <c r="E682" s="290"/>
      <c r="F682" s="290"/>
      <c r="G682" s="290" t="s">
        <v>883</v>
      </c>
      <c r="H682" s="291">
        <v>924</v>
      </c>
      <c r="I682" s="292">
        <v>103003</v>
      </c>
      <c r="J682" s="293">
        <v>1.65</v>
      </c>
      <c r="K682" s="294">
        <v>66</v>
      </c>
      <c r="L682" s="295">
        <f>IF(tabItens[[#This Row],[Média]] &gt; 0, tabItens[[#This Row],[QTDE ATUAL]] / tabItens[[#This Row],[Média]],999.9)</f>
        <v>176</v>
      </c>
      <c r="M682" s="296">
        <v>0</v>
      </c>
      <c r="N682" s="297">
        <f>tabItens[[#This Row],[VALOR UNIT.]] * tabItens[[#This Row],[LC]]</f>
        <v>0</v>
      </c>
      <c r="O682" s="298"/>
      <c r="P682" s="299"/>
      <c r="Q682" s="300"/>
      <c r="R682" s="297"/>
      <c r="S682" s="301"/>
      <c r="T682" s="302">
        <f>ROUNDDOWN(IFERROR(tabItens[[#This Row],[ATA DT.VALID.]] - $D$1,0) / 30,0)</f>
        <v>-1504</v>
      </c>
      <c r="U682" s="287" t="s">
        <v>1287</v>
      </c>
      <c r="V682" s="303">
        <v>1</v>
      </c>
      <c r="W682" s="304" t="s">
        <v>2052</v>
      </c>
      <c r="X682" s="305">
        <v>45</v>
      </c>
      <c r="Y682" s="306">
        <v>16</v>
      </c>
      <c r="Z682" s="307"/>
      <c r="AA682" s="308"/>
      <c r="AB682" s="309"/>
      <c r="AC682" s="309"/>
      <c r="AD682" s="308"/>
      <c r="AE682" s="309"/>
      <c r="AF682" s="302"/>
      <c r="AG682" s="310" t="s">
        <v>2050</v>
      </c>
      <c r="AH682" s="311"/>
      <c r="AI682" s="302">
        <v>22</v>
      </c>
      <c r="AJ682" s="311">
        <v>45014</v>
      </c>
      <c r="AK682" s="311">
        <v>44294</v>
      </c>
      <c r="AL682" s="311">
        <v>44998</v>
      </c>
      <c r="AM682" s="301"/>
      <c r="AN682" s="290"/>
      <c r="AO682" s="312" t="str">
        <f>_xlfn.IFNA(IF(VLOOKUP(tabItens[[#This Row],[CÓDIGO]],tabExcluirDoEstoque[#Data],1,FALSE),"sim",""),"")</f>
        <v/>
      </c>
      <c r="AP682" s="313" t="str">
        <f ca="1">IF(OR(ISBLANK(tabItens[[#This Row],[ATA DT.VALID.]]),tabItens[[#This Row],[ATA DT.VALID.]]="",tabItens[[#This Row],[ATA DT.VALID.]]=" "),"",IF(TYPE(tabItens[[#This Row],[ATA DT.VALID.]])=1,ROUNDUP((tabItens[[#This Row],[ATA DT.VALID.]]-TODAY())/7,0),""))</f>
        <v/>
      </c>
      <c r="AQ682" s="314"/>
      <c r="AR682" s="315" t="str">
        <f>IF(ISBLANK(tabItens[[#This Row],[CÓDIGO]]),"",IFERROR(VLOOKUP(tabItens[[#This Row],[CÓDIGO]],Consumo!$C$2:$AC$869,26,FALSE),0))</f>
        <v>06.2023</v>
      </c>
      <c r="AS682" s="316">
        <f>SUMIF(Consumo!$C$3:$C$869,tabItens[[#This Row],[CÓDIGO]],Consumo!$N$3:$N$869) + SUMIF(Consumo!$C$3:$C$869,tabItens[[#This Row],[CÓDIGO]],Consumo!$O$3:$O$869) + SUMIF(Consumo!$C$3:$C$869,tabItens[[#This Row],[CÓDIGO]],Consumo!$P$3:$P$869) + SUMIF(Consumo!$C$3:$C$869,tabItens[[#This Row],[CÓDIGO]],Consumo!$Q$3:$Q$869)</f>
        <v>63</v>
      </c>
      <c r="AT682" s="316">
        <f>SUMIF(Consumo!$C$3:$C$869,tabItens[[#This Row],[CÓDIGO]],Consumo!$Z$3:$Z$869)</f>
        <v>66</v>
      </c>
      <c r="AU682" s="317">
        <f>SUMIF(Consumo!$C$3:$C$869,tabItens[[#This Row],[CÓDIGO]],Consumo!$AA$3:$AA$869)</f>
        <v>29</v>
      </c>
      <c r="AV682" s="318">
        <f>SUMIF(Consumo!$C$3:$C$869,tabItens[[#This Row],[CÓDIGO]],Consumo!$Y$3:$Y$869)</f>
        <v>5.25</v>
      </c>
      <c r="AW682" s="291">
        <f>tabItens[[#This Row],[QTDE ATUAL]] + tabItens[[#This Row],[RC QTDE]] + tabItens[[#This Row],[AF SALDO]] + tabItens[[#This Row],[Recentes]]</f>
        <v>924</v>
      </c>
      <c r="AX682" s="319">
        <v>0</v>
      </c>
      <c r="AY682" s="319">
        <v>0</v>
      </c>
      <c r="AZ682" s="319">
        <f>IF(ISBLANK(tabItens[[#This Row],[CÓDIGO]]),"",tabItens[[#This Row],[PontoMês]] * (AZ$2+tabItens[[#This Row],[PontoQtM]]))</f>
        <v>0</v>
      </c>
      <c r="BA682" s="318">
        <f>tabItens[[#This Row],[PontoPed]] - tabItens[[#This Row],[Saldo]] + (1/10)</f>
        <v>-923.9</v>
      </c>
      <c r="BB682" s="318">
        <f xml:space="preserve"> tabItens[[#This Row],[PontoMês]] * BB$2 - tabItens[[#This Row],[QTDE ATUAL]] - (1/10)</f>
        <v>-924.1</v>
      </c>
      <c r="BC682" s="320">
        <f>IF( tabItens[[#This Row],[PontoPed]]&gt;0, IF(tabItens[[#This Row],[PontoPed]]&lt;1, 1, IF( tabItens[[#This Row],[Saldo]]&gt;tabItens[[#This Row],[PontoPed]], 0, (tabItens[[#This Row],[PontoPed]]-tabItens[[#This Row],[Saldo]])/tabItens[[#This Row],[PontoPed]] ) ), 0 )</f>
        <v>0</v>
      </c>
      <c r="BD682" s="321">
        <f>ROUNDDOWN(IF( OR( AND(tabItens[[#This Row],[PontoPed]]&lt;tabItens[[#This Row],[Saldo]],tabItens[[#This Row],[Saldo]]&gt;0), tabItens[[#This Row],[PontoPed]]=0), 99, IF(AND(tabItens[[#This Row],[Saldo]]=0,tabItens[[#This Row],[PontoPed]]&gt;0), 0, (1-tabItens[[#This Row],[PctAb]])*10 ) ),0)</f>
        <v>99</v>
      </c>
      <c r="BE682" s="322">
        <f>MAX(ROUNDDOWN( IF(tabItens[[#This Row],[Abaixo]] &gt; 0,   tabItens[[#This Row],[Abaixo]] + (tabItens[[#This Row],[PontoMês]] * IF( OR( ISBLANK(tabItens[[#This Row],[ATA Nº/ANO]]), tabItens[[#This Row],[ATA Nº/ANO]] = ""),BE$2,BE$1)),0),0),0)</f>
        <v>0</v>
      </c>
      <c r="BF68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23">
        <f>SUMIF(Consumo!$C$3:$C$869,tabItens[[#This Row],[CÓDIGO]],Consumo!$E$3:$E$869)</f>
        <v>0</v>
      </c>
      <c r="BH682" s="324">
        <f>IF(AND(tabItens[[#This Row],[Pend]] &gt; 0,tabItens[[#This Row],[Consumo]] &lt;&gt; 0), tabItens[[#This Row],[Pend]] / tabItens[[#This Row],[Consumo]], 0 )</f>
        <v>0</v>
      </c>
      <c r="BI682" s="323"/>
      <c r="BJ682" s="323"/>
      <c r="BK682" s="325" t="s">
        <v>2064</v>
      </c>
    </row>
    <row r="683" spans="1:63" hidden="1" x14ac:dyDescent="0.3">
      <c r="A683" s="286">
        <v>13539</v>
      </c>
      <c r="B683" s="287" t="s">
        <v>1034</v>
      </c>
      <c r="C683" s="288" t="s">
        <v>256</v>
      </c>
      <c r="D683" s="289">
        <v>5.12</v>
      </c>
      <c r="E683" s="290"/>
      <c r="F683" s="290"/>
      <c r="G683" s="290" t="s">
        <v>883</v>
      </c>
      <c r="H683" s="291">
        <v>1025</v>
      </c>
      <c r="I683" s="292">
        <v>103003</v>
      </c>
      <c r="J683" s="293">
        <v>5.12</v>
      </c>
      <c r="K683" s="294">
        <v>2779</v>
      </c>
      <c r="L683" s="295">
        <f>IF(tabItens[[#This Row],[Média]] &gt; 0, tabItens[[#This Row],[QTDE ATUAL]] / tabItens[[#This Row],[Média]],999.9)</f>
        <v>2.7922814982973896</v>
      </c>
      <c r="M683" s="296">
        <v>0</v>
      </c>
      <c r="N683" s="297">
        <f>tabItens[[#This Row],[VALOR UNIT.]] * tabItens[[#This Row],[LC]]</f>
        <v>0</v>
      </c>
      <c r="O683" s="298"/>
      <c r="P683" s="299"/>
      <c r="Q683" s="300"/>
      <c r="R683" s="297"/>
      <c r="S683" s="301"/>
      <c r="T683" s="302">
        <f>ROUNDDOWN(IFERROR(tabItens[[#This Row],[ATA DT.VALID.]] - $D$1,0) / 30,0)</f>
        <v>-1504</v>
      </c>
      <c r="U683" s="287" t="s">
        <v>1035</v>
      </c>
      <c r="V683" s="303">
        <v>1</v>
      </c>
      <c r="W683" s="304" t="s">
        <v>2052</v>
      </c>
      <c r="X683" s="305">
        <v>45</v>
      </c>
      <c r="Y683" s="306">
        <v>17</v>
      </c>
      <c r="Z683" s="307">
        <v>6978</v>
      </c>
      <c r="AA683" s="308">
        <v>2023</v>
      </c>
      <c r="AB683" s="309">
        <v>400</v>
      </c>
      <c r="AC683" s="309"/>
      <c r="AD683" s="308"/>
      <c r="AE683" s="309"/>
      <c r="AF683" s="302"/>
      <c r="AG683" s="310" t="s">
        <v>2050</v>
      </c>
      <c r="AH683" s="311"/>
      <c r="AI683" s="302">
        <v>1454</v>
      </c>
      <c r="AJ683" s="311">
        <v>44966</v>
      </c>
      <c r="AK683" s="311" t="s">
        <v>883</v>
      </c>
      <c r="AL683" s="311">
        <v>45114</v>
      </c>
      <c r="AM683" s="301"/>
      <c r="AN683" s="290"/>
      <c r="AO683" s="312" t="str">
        <f>_xlfn.IFNA(IF(VLOOKUP(tabItens[[#This Row],[CÓDIGO]],tabExcluirDoEstoque[#Data],1,FALSE),"sim",""),"")</f>
        <v/>
      </c>
      <c r="AP683" s="313" t="str">
        <f ca="1">IF(OR(ISBLANK(tabItens[[#This Row],[ATA DT.VALID.]]),tabItens[[#This Row],[ATA DT.VALID.]]="",tabItens[[#This Row],[ATA DT.VALID.]]=" "),"",IF(TYPE(tabItens[[#This Row],[ATA DT.VALID.]])=1,ROUNDUP((tabItens[[#This Row],[ATA DT.VALID.]]-TODAY())/7,0),""))</f>
        <v/>
      </c>
      <c r="AQ683" s="314"/>
      <c r="AR683" s="315" t="str">
        <f>IF(ISBLANK(tabItens[[#This Row],[CÓDIGO]]),"",IFERROR(VLOOKUP(tabItens[[#This Row],[CÓDIGO]],Consumo!$C$2:$AC$869,26,FALSE),0))</f>
        <v>07.2023</v>
      </c>
      <c r="AS683" s="316">
        <f>SUMIF(Consumo!$C$3:$C$869,tabItens[[#This Row],[CÓDIGO]],Consumo!$N$3:$N$869) + SUMIF(Consumo!$C$3:$C$869,tabItens[[#This Row],[CÓDIGO]],Consumo!$O$3:$O$869) + SUMIF(Consumo!$C$3:$C$869,tabItens[[#This Row],[CÓDIGO]],Consumo!$P$3:$P$869) + SUMIF(Consumo!$C$3:$C$869,tabItens[[#This Row],[CÓDIGO]],Consumo!$Q$3:$Q$869)</f>
        <v>1742</v>
      </c>
      <c r="AT683" s="316">
        <f>SUMIF(Consumo!$C$3:$C$869,tabItens[[#This Row],[CÓDIGO]],Consumo!$Z$3:$Z$869)</f>
        <v>4405</v>
      </c>
      <c r="AU683" s="317">
        <f>SUMIF(Consumo!$C$3:$C$869,tabItens[[#This Row],[CÓDIGO]],Consumo!$AA$3:$AA$869)</f>
        <v>661</v>
      </c>
      <c r="AV683" s="318">
        <f>SUMIF(Consumo!$C$3:$C$869,tabItens[[#This Row],[CÓDIGO]],Consumo!$Y$3:$Y$869)</f>
        <v>367.08333333333331</v>
      </c>
      <c r="AW683" s="291">
        <f>tabItens[[#This Row],[QTDE ATUAL]] + tabItens[[#This Row],[RC QTDE]] + tabItens[[#This Row],[AF SALDO]] + tabItens[[#This Row],[Recentes]]</f>
        <v>1425</v>
      </c>
      <c r="AX683" s="319">
        <v>257</v>
      </c>
      <c r="AY683" s="319">
        <v>4</v>
      </c>
      <c r="AZ683" s="319">
        <f>IF(ISBLANK(tabItens[[#This Row],[CÓDIGO]]),"",tabItens[[#This Row],[PontoMês]] * (AZ$2+tabItens[[#This Row],[PontoQtM]]))</f>
        <v>1028</v>
      </c>
      <c r="BA683" s="318">
        <f>tabItens[[#This Row],[PontoPed]] - tabItens[[#This Row],[Saldo]] + (1/10)</f>
        <v>-396.9</v>
      </c>
      <c r="BB683" s="318">
        <f xml:space="preserve"> tabItens[[#This Row],[PontoMês]] * BB$2 - tabItens[[#This Row],[QTDE ATUAL]] - (1/10)</f>
        <v>-768.1</v>
      </c>
      <c r="BC683" s="320">
        <f>IF( tabItens[[#This Row],[PontoPed]]&gt;0, IF(tabItens[[#This Row],[PontoPed]]&lt;1, 1, IF( tabItens[[#This Row],[Saldo]]&gt;tabItens[[#This Row],[PontoPed]], 0, (tabItens[[#This Row],[PontoPed]]-tabItens[[#This Row],[Saldo]])/tabItens[[#This Row],[PontoPed]] ) ), 0 )</f>
        <v>0</v>
      </c>
      <c r="BD683" s="321">
        <f>ROUNDDOWN(IF( OR( AND(tabItens[[#This Row],[PontoPed]]&lt;tabItens[[#This Row],[Saldo]],tabItens[[#This Row],[Saldo]]&gt;0), tabItens[[#This Row],[PontoPed]]=0), 99, IF(AND(tabItens[[#This Row],[Saldo]]=0,tabItens[[#This Row],[PontoPed]]&gt;0), 0, (1-tabItens[[#This Row],[PctAb]])*10 ) ),0)</f>
        <v>99</v>
      </c>
      <c r="BE683" s="322">
        <f>MAX(ROUNDDOWN( IF(tabItens[[#This Row],[Abaixo]] &gt; 0,   tabItens[[#This Row],[Abaixo]] + (tabItens[[#This Row],[PontoMês]] * IF( OR( ISBLANK(tabItens[[#This Row],[ATA Nº/ANO]]), tabItens[[#This Row],[ATA Nº/ANO]] = ""),BE$2,BE$1)),0),0),0)</f>
        <v>0</v>
      </c>
      <c r="BF68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23">
        <f>SUMIF(Consumo!$C$3:$C$869,tabItens[[#This Row],[CÓDIGO]],Consumo!$E$3:$E$869)</f>
        <v>45</v>
      </c>
      <c r="BH683" s="324">
        <f>IF(AND(tabItens[[#This Row],[Pend]] &gt; 0,tabItens[[#This Row],[Consumo]] &lt;&gt; 0), tabItens[[#This Row],[Pend]] / tabItens[[#This Row],[Consumo]], 0 )</f>
        <v>1.021566401816118E-2</v>
      </c>
      <c r="BI683" s="323"/>
      <c r="BJ683" s="323"/>
      <c r="BK683" s="325" t="s">
        <v>2064</v>
      </c>
    </row>
    <row r="684" spans="1:63" x14ac:dyDescent="0.3">
      <c r="A684" s="396">
        <v>16512</v>
      </c>
      <c r="B684" s="397" t="s">
        <v>1114</v>
      </c>
      <c r="C684" s="398" t="s">
        <v>413</v>
      </c>
      <c r="D684" s="399">
        <v>3.49</v>
      </c>
      <c r="E684" s="290"/>
      <c r="F684" s="400"/>
      <c r="G684" s="400" t="s">
        <v>883</v>
      </c>
      <c r="H684" s="401">
        <v>0</v>
      </c>
      <c r="I684" s="292">
        <v>103003</v>
      </c>
      <c r="J684" s="293">
        <v>3.49</v>
      </c>
      <c r="K684" s="402">
        <v>1411</v>
      </c>
      <c r="L684" s="403">
        <f>IF(tabItens[[#This Row],[Média]] &gt; 0, tabItens[[#This Row],[QTDE ATUAL]] / tabItens[[#This Row],[Média]],999.9)</f>
        <v>0</v>
      </c>
      <c r="M684" s="404">
        <v>0</v>
      </c>
      <c r="N684" s="405">
        <f>tabItens[[#This Row],[VALOR UNIT.]] * tabItens[[#This Row],[LC]]</f>
        <v>0</v>
      </c>
      <c r="O684" s="406"/>
      <c r="P684" s="407"/>
      <c r="Q684" s="408"/>
      <c r="R684" s="297"/>
      <c r="S684" s="409"/>
      <c r="T684" s="410">
        <f>ROUNDDOWN(IFERROR(tabItens[[#This Row],[ATA DT.VALID.]] - $D$1,0) / 30,0)</f>
        <v>-1504</v>
      </c>
      <c r="U684" s="287" t="s">
        <v>1035</v>
      </c>
      <c r="V684" s="303">
        <v>1</v>
      </c>
      <c r="W684" s="411" t="s">
        <v>2052</v>
      </c>
      <c r="X684" s="412">
        <v>45</v>
      </c>
      <c r="Y684" s="413">
        <v>17</v>
      </c>
      <c r="Z684" s="414">
        <v>6978</v>
      </c>
      <c r="AA684" s="415">
        <v>2023</v>
      </c>
      <c r="AB684" s="416">
        <v>1100</v>
      </c>
      <c r="AC684" s="416"/>
      <c r="AD684" s="415"/>
      <c r="AE684" s="416"/>
      <c r="AF684" s="302"/>
      <c r="AG684" s="417" t="s">
        <v>2050</v>
      </c>
      <c r="AH684" s="418"/>
      <c r="AI684" s="302">
        <v>506</v>
      </c>
      <c r="AJ684" s="418">
        <v>44942</v>
      </c>
      <c r="AK684" s="311" t="s">
        <v>883</v>
      </c>
      <c r="AL684" s="311">
        <v>44910</v>
      </c>
      <c r="AM684" s="301"/>
      <c r="AN684" s="290"/>
      <c r="AO684" s="312" t="str">
        <f>_xlfn.IFNA(IF(VLOOKUP(tabItens[[#This Row],[CÓDIGO]],tabExcluirDoEstoque[#Data],1,FALSE),"sim",""),"")</f>
        <v/>
      </c>
      <c r="AP684" s="419" t="str">
        <f ca="1">IF(OR(ISBLANK(tabItens[[#This Row],[ATA DT.VALID.]]),tabItens[[#This Row],[ATA DT.VALID.]]="",tabItens[[#This Row],[ATA DT.VALID.]]=" "),"",IF(TYPE(tabItens[[#This Row],[ATA DT.VALID.]])=1,ROUNDUP((tabItens[[#This Row],[ATA DT.VALID.]]-TODAY())/7,0),""))</f>
        <v/>
      </c>
      <c r="AQ684" s="314"/>
      <c r="AR684" s="315" t="str">
        <f>IF(ISBLANK(tabItens[[#This Row],[CÓDIGO]]),"",IFERROR(VLOOKUP(tabItens[[#This Row],[CÓDIGO]],Consumo!$C$2:$AC$869,26,FALSE),0))</f>
        <v>07.2023</v>
      </c>
      <c r="AS684" s="316">
        <f>SUMIF(Consumo!$C$3:$C$869,tabItens[[#This Row],[CÓDIGO]],Consumo!$N$3:$N$869) + SUMIF(Consumo!$C$3:$C$869,tabItens[[#This Row],[CÓDIGO]],Consumo!$O$3:$O$869) + SUMIF(Consumo!$C$3:$C$869,tabItens[[#This Row],[CÓDIGO]],Consumo!$P$3:$P$869) + SUMIF(Consumo!$C$3:$C$869,tabItens[[#This Row],[CÓDIGO]],Consumo!$Q$3:$Q$869)</f>
        <v>318</v>
      </c>
      <c r="AT684" s="316">
        <f>SUMIF(Consumo!$C$3:$C$869,tabItens[[#This Row],[CÓDIGO]],Consumo!$Z$3:$Z$869)</f>
        <v>1899</v>
      </c>
      <c r="AU684" s="317">
        <f>SUMIF(Consumo!$C$3:$C$869,tabItens[[#This Row],[CÓDIGO]],Consumo!$AA$3:$AA$869)</f>
        <v>474</v>
      </c>
      <c r="AV684" s="318">
        <f>SUMIF(Consumo!$C$3:$C$869,tabItens[[#This Row],[CÓDIGO]],Consumo!$Y$3:$Y$869)</f>
        <v>158.25</v>
      </c>
      <c r="AW684" s="401">
        <f>tabItens[[#This Row],[QTDE ATUAL]] + tabItens[[#This Row],[RC QTDE]] + tabItens[[#This Row],[AF SALDO]] + tabItens[[#This Row],[Recentes]]</f>
        <v>1100</v>
      </c>
      <c r="AX684" s="420">
        <v>179</v>
      </c>
      <c r="AY684" s="420">
        <v>4</v>
      </c>
      <c r="AZ684" s="420">
        <f>IF(ISBLANK(tabItens[[#This Row],[CÓDIGO]]),"",tabItens[[#This Row],[PontoMês]] * (AZ$2+tabItens[[#This Row],[PontoQtM]]))</f>
        <v>716</v>
      </c>
      <c r="BA684" s="421">
        <f>tabItens[[#This Row],[PontoPed]] - tabItens[[#This Row],[Saldo]] + (1/10)</f>
        <v>-383.9</v>
      </c>
      <c r="BB684" s="421">
        <f xml:space="preserve"> tabItens[[#This Row],[PontoMês]] * BB$2 - tabItens[[#This Row],[QTDE ATUAL]] - (1/10)</f>
        <v>178.9</v>
      </c>
      <c r="BC684" s="320">
        <f>IF( tabItens[[#This Row],[PontoPed]]&gt;0, IF(tabItens[[#This Row],[PontoPed]]&lt;1, 1, IF( tabItens[[#This Row],[Saldo]]&gt;tabItens[[#This Row],[PontoPed]], 0, (tabItens[[#This Row],[PontoPed]]-tabItens[[#This Row],[Saldo]])/tabItens[[#This Row],[PontoPed]] ) ), 0 )</f>
        <v>0</v>
      </c>
      <c r="BD684" s="422">
        <f>ROUNDDOWN(IF( OR( AND(tabItens[[#This Row],[PontoPed]]&lt;tabItens[[#This Row],[Saldo]],tabItens[[#This Row],[Saldo]]&gt;0), tabItens[[#This Row],[PontoPed]]=0), 99, IF(AND(tabItens[[#This Row],[Saldo]]=0,tabItens[[#This Row],[PontoPed]]&gt;0), 0, (1-tabItens[[#This Row],[PctAb]])*10 ) ),0)</f>
        <v>99</v>
      </c>
      <c r="BE684" s="423">
        <f>MAX(ROUNDDOWN( IF(tabItens[[#This Row],[Abaixo]] &gt; 0,   tabItens[[#This Row],[Abaixo]] + (tabItens[[#This Row],[PontoMês]] * IF( OR( ISBLANK(tabItens[[#This Row],[ATA Nº/ANO]]), tabItens[[#This Row],[ATA Nº/ANO]] = ""),BE$2,BE$1)),0),0),0)</f>
        <v>0</v>
      </c>
      <c r="BF684"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23">
        <f>SUMIF(Consumo!$C$3:$C$869,tabItens[[#This Row],[CÓDIGO]],Consumo!$E$3:$E$869)</f>
        <v>380</v>
      </c>
      <c r="BH684" s="324">
        <f>IF(AND(tabItens[[#This Row],[Pend]] &gt; 0,tabItens[[#This Row],[Consumo]] &lt;&gt; 0), tabItens[[#This Row],[Pend]] / tabItens[[#This Row],[Consumo]], 0 )</f>
        <v>0.2001053185887309</v>
      </c>
      <c r="BI684" s="323"/>
      <c r="BJ684" s="424"/>
      <c r="BK684" s="425" t="s">
        <v>2064</v>
      </c>
    </row>
    <row r="685" spans="1:63" hidden="1" x14ac:dyDescent="0.3">
      <c r="A685" s="286">
        <v>91250</v>
      </c>
      <c r="B685" s="287" t="s">
        <v>1519</v>
      </c>
      <c r="C685" s="288" t="s">
        <v>331</v>
      </c>
      <c r="D685" s="289">
        <v>0.64</v>
      </c>
      <c r="E685" s="290"/>
      <c r="F685" s="290"/>
      <c r="G685" s="290" t="s">
        <v>883</v>
      </c>
      <c r="H685" s="291">
        <v>665</v>
      </c>
      <c r="I685" s="292">
        <v>103003</v>
      </c>
      <c r="J685" s="293">
        <v>0.64</v>
      </c>
      <c r="K685" s="294">
        <v>100</v>
      </c>
      <c r="L685" s="295">
        <f>IF(tabItens[[#This Row],[Média]] &gt; 0, tabItens[[#This Row],[QTDE ATUAL]] / tabItens[[#This Row],[Média]],999.9)</f>
        <v>90.681818181818187</v>
      </c>
      <c r="M685" s="296">
        <v>0</v>
      </c>
      <c r="N685" s="297">
        <f>tabItens[[#This Row],[VALOR UNIT.]] * tabItens[[#This Row],[LC]]</f>
        <v>0</v>
      </c>
      <c r="O685" s="298"/>
      <c r="P685" s="299"/>
      <c r="Q685" s="300"/>
      <c r="R685" s="297"/>
      <c r="S685" s="301"/>
      <c r="T685" s="302">
        <f>ROUNDDOWN(IFERROR(tabItens[[#This Row],[ATA DT.VALID.]] - $D$1,0) / 30,0)</f>
        <v>-1504</v>
      </c>
      <c r="U685" s="287" t="s">
        <v>1035</v>
      </c>
      <c r="V685" s="303">
        <v>1</v>
      </c>
      <c r="W685" s="304" t="s">
        <v>2052</v>
      </c>
      <c r="X685" s="305">
        <v>45</v>
      </c>
      <c r="Y685" s="306">
        <v>17</v>
      </c>
      <c r="Z685" s="307"/>
      <c r="AA685" s="308"/>
      <c r="AB685" s="309"/>
      <c r="AC685" s="309"/>
      <c r="AD685" s="308"/>
      <c r="AE685" s="309"/>
      <c r="AF685" s="302"/>
      <c r="AG685" s="310" t="s">
        <v>2050</v>
      </c>
      <c r="AH685" s="311"/>
      <c r="AI685" s="302">
        <v>34</v>
      </c>
      <c r="AJ685" s="311">
        <v>44160</v>
      </c>
      <c r="AK685" s="311">
        <v>38820</v>
      </c>
      <c r="AL685" s="311">
        <v>44110</v>
      </c>
      <c r="AM685" s="301"/>
      <c r="AN685" s="290"/>
      <c r="AO685" s="312" t="str">
        <f>_xlfn.IFNA(IF(VLOOKUP(tabItens[[#This Row],[CÓDIGO]],tabExcluirDoEstoque[#Data],1,FALSE),"sim",""),"")</f>
        <v/>
      </c>
      <c r="AP685" s="313" t="str">
        <f ca="1">IF(OR(ISBLANK(tabItens[[#This Row],[ATA DT.VALID.]]),tabItens[[#This Row],[ATA DT.VALID.]]="",tabItens[[#This Row],[ATA DT.VALID.]]=" "),"",IF(TYPE(tabItens[[#This Row],[ATA DT.VALID.]])=1,ROUNDUP((tabItens[[#This Row],[ATA DT.VALID.]]-TODAY())/7,0),""))</f>
        <v/>
      </c>
      <c r="AQ685" s="314"/>
      <c r="AR685" s="315" t="str">
        <f>IF(ISBLANK(tabItens[[#This Row],[CÓDIGO]]),"",IFERROR(VLOOKUP(tabItens[[#This Row],[CÓDIGO]],Consumo!$C$2:$AC$869,26,FALSE),0))</f>
        <v>05.2023</v>
      </c>
      <c r="AS685" s="316">
        <f>SUMIF(Consumo!$C$3:$C$869,tabItens[[#This Row],[CÓDIGO]],Consumo!$N$3:$N$869) + SUMIF(Consumo!$C$3:$C$869,tabItens[[#This Row],[CÓDIGO]],Consumo!$O$3:$O$869) + SUMIF(Consumo!$C$3:$C$869,tabItens[[#This Row],[CÓDIGO]],Consumo!$P$3:$P$869) + SUMIF(Consumo!$C$3:$C$869,tabItens[[#This Row],[CÓDIGO]],Consumo!$Q$3:$Q$869)</f>
        <v>30</v>
      </c>
      <c r="AT685" s="316">
        <f>SUMIF(Consumo!$C$3:$C$869,tabItens[[#This Row],[CÓDIGO]],Consumo!$Z$3:$Z$869)</f>
        <v>100</v>
      </c>
      <c r="AU685" s="317">
        <f>SUMIF(Consumo!$C$3:$C$869,tabItens[[#This Row],[CÓDIGO]],Consumo!$AA$3:$AA$869)</f>
        <v>48</v>
      </c>
      <c r="AV685" s="318">
        <f>SUMIF(Consumo!$C$3:$C$869,tabItens[[#This Row],[CÓDIGO]],Consumo!$Y$3:$Y$869)</f>
        <v>7.333333333333333</v>
      </c>
      <c r="AW685" s="291">
        <f>tabItens[[#This Row],[QTDE ATUAL]] + tabItens[[#This Row],[RC QTDE]] + tabItens[[#This Row],[AF SALDO]] + tabItens[[#This Row],[Recentes]]</f>
        <v>665</v>
      </c>
      <c r="AX685" s="319">
        <v>64</v>
      </c>
      <c r="AY685" s="319">
        <v>4</v>
      </c>
      <c r="AZ685" s="319">
        <f>IF(ISBLANK(tabItens[[#This Row],[CÓDIGO]]),"",tabItens[[#This Row],[PontoMês]] * (AZ$2+tabItens[[#This Row],[PontoQtM]]))</f>
        <v>256</v>
      </c>
      <c r="BA685" s="318">
        <f>tabItens[[#This Row],[PontoPed]] - tabItens[[#This Row],[Saldo]] + (1/10)</f>
        <v>-408.9</v>
      </c>
      <c r="BB685" s="318">
        <f xml:space="preserve"> tabItens[[#This Row],[PontoMês]] * BB$2 - tabItens[[#This Row],[QTDE ATUAL]] - (1/10)</f>
        <v>-601.1</v>
      </c>
      <c r="BC685" s="320">
        <f>IF( tabItens[[#This Row],[PontoPed]]&gt;0, IF(tabItens[[#This Row],[PontoPed]]&lt;1, 1, IF( tabItens[[#This Row],[Saldo]]&gt;tabItens[[#This Row],[PontoPed]], 0, (tabItens[[#This Row],[PontoPed]]-tabItens[[#This Row],[Saldo]])/tabItens[[#This Row],[PontoPed]] ) ), 0 )</f>
        <v>0</v>
      </c>
      <c r="BD685" s="321">
        <f>ROUNDDOWN(IF( OR( AND(tabItens[[#This Row],[PontoPed]]&lt;tabItens[[#This Row],[Saldo]],tabItens[[#This Row],[Saldo]]&gt;0), tabItens[[#This Row],[PontoPed]]=0), 99, IF(AND(tabItens[[#This Row],[Saldo]]=0,tabItens[[#This Row],[PontoPed]]&gt;0), 0, (1-tabItens[[#This Row],[PctAb]])*10 ) ),0)</f>
        <v>99</v>
      </c>
      <c r="BE685" s="322">
        <f>MAX(ROUNDDOWN( IF(tabItens[[#This Row],[Abaixo]] &gt; 0,   tabItens[[#This Row],[Abaixo]] + (tabItens[[#This Row],[PontoMês]] * IF( OR( ISBLANK(tabItens[[#This Row],[ATA Nº/ANO]]), tabItens[[#This Row],[ATA Nº/ANO]] = ""),BE$2,BE$1)),0),0),0)</f>
        <v>0</v>
      </c>
      <c r="BF68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23">
        <f>SUMIF(Consumo!$C$3:$C$869,tabItens[[#This Row],[CÓDIGO]],Consumo!$E$3:$E$869)</f>
        <v>0</v>
      </c>
      <c r="BH685" s="324">
        <f>IF(AND(tabItens[[#This Row],[Pend]] &gt; 0,tabItens[[#This Row],[Consumo]] &lt;&gt; 0), tabItens[[#This Row],[Pend]] / tabItens[[#This Row],[Consumo]], 0 )</f>
        <v>0</v>
      </c>
      <c r="BI685" s="323"/>
      <c r="BJ685" s="323"/>
      <c r="BK685" s="325" t="s">
        <v>2064</v>
      </c>
    </row>
    <row r="686" spans="1:63" hidden="1" x14ac:dyDescent="0.3">
      <c r="A686" s="286">
        <v>78646</v>
      </c>
      <c r="B686" s="287" t="s">
        <v>1448</v>
      </c>
      <c r="C686" s="288" t="s">
        <v>625</v>
      </c>
      <c r="D686" s="289">
        <v>3.37</v>
      </c>
      <c r="E686" s="290"/>
      <c r="F686" s="290"/>
      <c r="G686" s="290" t="s">
        <v>883</v>
      </c>
      <c r="H686" s="291">
        <v>1618</v>
      </c>
      <c r="I686" s="292">
        <v>103003</v>
      </c>
      <c r="J686" s="293">
        <v>3.37</v>
      </c>
      <c r="K686" s="294">
        <v>3786</v>
      </c>
      <c r="L686" s="295">
        <f>IF(tabItens[[#This Row],[Média]] &gt; 0, tabItens[[#This Row],[QTDE ATUAL]] / tabItens[[#This Row],[Média]],999.9)</f>
        <v>3.7862714508580346</v>
      </c>
      <c r="M686" s="296">
        <v>0</v>
      </c>
      <c r="N686" s="297">
        <f>tabItens[[#This Row],[VALOR UNIT.]] * tabItens[[#This Row],[LC]]</f>
        <v>0</v>
      </c>
      <c r="O686" s="298"/>
      <c r="P686" s="299"/>
      <c r="Q686" s="300"/>
      <c r="R686" s="297"/>
      <c r="S686" s="301"/>
      <c r="T686" s="302">
        <f>ROUNDDOWN(IFERROR(tabItens[[#This Row],[ATA DT.VALID.]] - $D$1,0) / 30,0)</f>
        <v>-1504</v>
      </c>
      <c r="U686" s="287" t="s">
        <v>1445</v>
      </c>
      <c r="V686" s="303">
        <v>1</v>
      </c>
      <c r="W686" s="304" t="s">
        <v>2052</v>
      </c>
      <c r="X686" s="305">
        <v>45</v>
      </c>
      <c r="Y686" s="306">
        <v>30</v>
      </c>
      <c r="Z686" s="307">
        <v>6978</v>
      </c>
      <c r="AA686" s="308">
        <v>2023</v>
      </c>
      <c r="AB686" s="309">
        <v>900</v>
      </c>
      <c r="AC686" s="309"/>
      <c r="AD686" s="308"/>
      <c r="AE686" s="309"/>
      <c r="AF686" s="302"/>
      <c r="AG686" s="310" t="s">
        <v>2050</v>
      </c>
      <c r="AH686" s="311"/>
      <c r="AI686" s="302">
        <v>1822</v>
      </c>
      <c r="AJ686" s="311">
        <v>44928</v>
      </c>
      <c r="AK686" s="311">
        <v>38104</v>
      </c>
      <c r="AL686" s="311">
        <v>44910</v>
      </c>
      <c r="AM686" s="301"/>
      <c r="AN686" s="290"/>
      <c r="AO686" s="312" t="str">
        <f>_xlfn.IFNA(IF(VLOOKUP(tabItens[[#This Row],[CÓDIGO]],tabExcluirDoEstoque[#Data],1,FALSE),"sim",""),"")</f>
        <v/>
      </c>
      <c r="AP686" s="313" t="str">
        <f ca="1">IF(OR(ISBLANK(tabItens[[#This Row],[ATA DT.VALID.]]),tabItens[[#This Row],[ATA DT.VALID.]]="",tabItens[[#This Row],[ATA DT.VALID.]]=" "),"",IF(TYPE(tabItens[[#This Row],[ATA DT.VALID.]])=1,ROUNDUP((tabItens[[#This Row],[ATA DT.VALID.]]-TODAY())/7,0),""))</f>
        <v/>
      </c>
      <c r="AQ686" s="314"/>
      <c r="AR686" s="315" t="str">
        <f>IF(ISBLANK(tabItens[[#This Row],[CÓDIGO]]),"",IFERROR(VLOOKUP(tabItens[[#This Row],[CÓDIGO]],Consumo!$C$2:$AC$869,26,FALSE),0))</f>
        <v>07.2023</v>
      </c>
      <c r="AS686" s="316">
        <f>SUMIF(Consumo!$C$3:$C$869,tabItens[[#This Row],[CÓDIGO]],Consumo!$N$3:$N$869) + SUMIF(Consumo!$C$3:$C$869,tabItens[[#This Row],[CÓDIGO]],Consumo!$O$3:$O$869) + SUMIF(Consumo!$C$3:$C$869,tabItens[[#This Row],[CÓDIGO]],Consumo!$P$3:$P$869) + SUMIF(Consumo!$C$3:$C$869,tabItens[[#This Row],[CÓDIGO]],Consumo!$Q$3:$Q$869)</f>
        <v>1270</v>
      </c>
      <c r="AT686" s="316">
        <f>SUMIF(Consumo!$C$3:$C$869,tabItens[[#This Row],[CÓDIGO]],Consumo!$Z$3:$Z$869)</f>
        <v>5468</v>
      </c>
      <c r="AU686" s="317">
        <f>SUMIF(Consumo!$C$3:$C$869,tabItens[[#This Row],[CÓDIGO]],Consumo!$AA$3:$AA$869)</f>
        <v>1514</v>
      </c>
      <c r="AV686" s="318">
        <f>SUMIF(Consumo!$C$3:$C$869,tabItens[[#This Row],[CÓDIGO]],Consumo!$Y$3:$Y$869)</f>
        <v>427.33333333333331</v>
      </c>
      <c r="AW686" s="291">
        <f>tabItens[[#This Row],[QTDE ATUAL]] + tabItens[[#This Row],[RC QTDE]] + tabItens[[#This Row],[AF SALDO]] + tabItens[[#This Row],[Recentes]]</f>
        <v>2518</v>
      </c>
      <c r="AX686" s="319">
        <v>576</v>
      </c>
      <c r="AY686" s="319">
        <v>4</v>
      </c>
      <c r="AZ686" s="319">
        <f>IF(ISBLANK(tabItens[[#This Row],[CÓDIGO]]),"",tabItens[[#This Row],[PontoMês]] * (AZ$2+tabItens[[#This Row],[PontoQtM]]))</f>
        <v>2304</v>
      </c>
      <c r="BA686" s="318">
        <f>tabItens[[#This Row],[PontoPed]] - tabItens[[#This Row],[Saldo]] + (1/10)</f>
        <v>-213.9</v>
      </c>
      <c r="BB686" s="318">
        <f xml:space="preserve"> tabItens[[#This Row],[PontoMês]] * BB$2 - tabItens[[#This Row],[QTDE ATUAL]] - (1/10)</f>
        <v>-1042.0999999999999</v>
      </c>
      <c r="BC686" s="320">
        <f>IF( tabItens[[#This Row],[PontoPed]]&gt;0, IF(tabItens[[#This Row],[PontoPed]]&lt;1, 1, IF( tabItens[[#This Row],[Saldo]]&gt;tabItens[[#This Row],[PontoPed]], 0, (tabItens[[#This Row],[PontoPed]]-tabItens[[#This Row],[Saldo]])/tabItens[[#This Row],[PontoPed]] ) ), 0 )</f>
        <v>0</v>
      </c>
      <c r="BD686" s="321">
        <f>ROUNDDOWN(IF( OR( AND(tabItens[[#This Row],[PontoPed]]&lt;tabItens[[#This Row],[Saldo]],tabItens[[#This Row],[Saldo]]&gt;0), tabItens[[#This Row],[PontoPed]]=0), 99, IF(AND(tabItens[[#This Row],[Saldo]]=0,tabItens[[#This Row],[PontoPed]]&gt;0), 0, (1-tabItens[[#This Row],[PctAb]])*10 ) ),0)</f>
        <v>99</v>
      </c>
      <c r="BE686" s="322">
        <f>MAX(ROUNDDOWN( IF(tabItens[[#This Row],[Abaixo]] &gt; 0,   tabItens[[#This Row],[Abaixo]] + (tabItens[[#This Row],[PontoMês]] * IF( OR( ISBLANK(tabItens[[#This Row],[ATA Nº/ANO]]), tabItens[[#This Row],[ATA Nº/ANO]] = ""),BE$2,BE$1)),0),0),0)</f>
        <v>0</v>
      </c>
      <c r="BF68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23">
        <f>SUMIF(Consumo!$C$3:$C$869,tabItens[[#This Row],[CÓDIGO]],Consumo!$E$3:$E$869)</f>
        <v>2</v>
      </c>
      <c r="BH686" s="324">
        <f>IF(AND(tabItens[[#This Row],[Pend]] &gt; 0,tabItens[[#This Row],[Consumo]] &lt;&gt; 0), tabItens[[#This Row],[Pend]] / tabItens[[#This Row],[Consumo]], 0 )</f>
        <v>3.65764447695684E-4</v>
      </c>
      <c r="BI686" s="323"/>
      <c r="BJ686" s="323"/>
      <c r="BK686" s="325" t="s">
        <v>2064</v>
      </c>
    </row>
    <row r="687" spans="1:63" x14ac:dyDescent="0.3">
      <c r="A687" s="396">
        <v>80872</v>
      </c>
      <c r="B687" s="397" t="s">
        <v>1457</v>
      </c>
      <c r="C687" s="398" t="s">
        <v>625</v>
      </c>
      <c r="D687" s="399">
        <v>7.4</v>
      </c>
      <c r="E687" s="290"/>
      <c r="F687" s="400"/>
      <c r="G687" s="400" t="s">
        <v>883</v>
      </c>
      <c r="H687" s="401">
        <v>0</v>
      </c>
      <c r="I687" s="292">
        <v>103003</v>
      </c>
      <c r="J687" s="293">
        <v>7.4</v>
      </c>
      <c r="K687" s="402">
        <v>3391</v>
      </c>
      <c r="L687" s="403">
        <f>IF(tabItens[[#This Row],[Média]] &gt; 0, tabItens[[#This Row],[QTDE ATUAL]] / tabItens[[#This Row],[Média]],999.9)</f>
        <v>0</v>
      </c>
      <c r="M687" s="404">
        <v>0</v>
      </c>
      <c r="N687" s="405">
        <f>tabItens[[#This Row],[VALOR UNIT.]] * tabItens[[#This Row],[LC]]</f>
        <v>0</v>
      </c>
      <c r="O687" s="406"/>
      <c r="P687" s="407"/>
      <c r="Q687" s="408"/>
      <c r="R687" s="297"/>
      <c r="S687" s="409"/>
      <c r="T687" s="410">
        <f>ROUNDDOWN(IFERROR(tabItens[[#This Row],[ATA DT.VALID.]] - $D$1,0) / 30,0)</f>
        <v>-1504</v>
      </c>
      <c r="U687" s="287" t="s">
        <v>1445</v>
      </c>
      <c r="V687" s="303">
        <v>1</v>
      </c>
      <c r="W687" s="411" t="s">
        <v>2052</v>
      </c>
      <c r="X687" s="412">
        <v>45</v>
      </c>
      <c r="Y687" s="413">
        <v>30</v>
      </c>
      <c r="Z687" s="414">
        <v>6978</v>
      </c>
      <c r="AA687" s="415">
        <v>2023</v>
      </c>
      <c r="AB687" s="416">
        <v>2300</v>
      </c>
      <c r="AC687" s="416"/>
      <c r="AD687" s="415"/>
      <c r="AE687" s="416"/>
      <c r="AF687" s="302"/>
      <c r="AG687" s="417" t="s">
        <v>2050</v>
      </c>
      <c r="AH687" s="418"/>
      <c r="AI687" s="302">
        <v>1566</v>
      </c>
      <c r="AJ687" s="418">
        <v>44463</v>
      </c>
      <c r="AK687" s="311">
        <v>38196</v>
      </c>
      <c r="AL687" s="311">
        <v>45044</v>
      </c>
      <c r="AM687" s="301"/>
      <c r="AN687" s="290"/>
      <c r="AO687" s="312" t="str">
        <f>_xlfn.IFNA(IF(VLOOKUP(tabItens[[#This Row],[CÓDIGO]],tabExcluirDoEstoque[#Data],1,FALSE),"sim",""),"")</f>
        <v/>
      </c>
      <c r="AP687" s="419" t="str">
        <f ca="1">IF(OR(ISBLANK(tabItens[[#This Row],[ATA DT.VALID.]]),tabItens[[#This Row],[ATA DT.VALID.]]="",tabItens[[#This Row],[ATA DT.VALID.]]=" "),"",IF(TYPE(tabItens[[#This Row],[ATA DT.VALID.]])=1,ROUNDUP((tabItens[[#This Row],[ATA DT.VALID.]]-TODAY())/7,0),""))</f>
        <v/>
      </c>
      <c r="AQ687" s="314"/>
      <c r="AR687" s="315" t="str">
        <f>IF(ISBLANK(tabItens[[#This Row],[CÓDIGO]]),"",IFERROR(VLOOKUP(tabItens[[#This Row],[CÓDIGO]],Consumo!$C$2:$AC$869,26,FALSE),0))</f>
        <v>07.2023</v>
      </c>
      <c r="AS687" s="316">
        <f>SUMIF(Consumo!$C$3:$C$869,tabItens[[#This Row],[CÓDIGO]],Consumo!$N$3:$N$869) + SUMIF(Consumo!$C$3:$C$869,tabItens[[#This Row],[CÓDIGO]],Consumo!$O$3:$O$869) + SUMIF(Consumo!$C$3:$C$869,tabItens[[#This Row],[CÓDIGO]],Consumo!$P$3:$P$869) + SUMIF(Consumo!$C$3:$C$869,tabItens[[#This Row],[CÓDIGO]],Consumo!$Q$3:$Q$869)</f>
        <v>918</v>
      </c>
      <c r="AT687" s="316">
        <f>SUMIF(Consumo!$C$3:$C$869,tabItens[[#This Row],[CÓDIGO]],Consumo!$Z$3:$Z$869)</f>
        <v>4883</v>
      </c>
      <c r="AU687" s="317">
        <f>SUMIF(Consumo!$C$3:$C$869,tabItens[[#This Row],[CÓDIGO]],Consumo!$AA$3:$AA$869)</f>
        <v>1474</v>
      </c>
      <c r="AV687" s="318">
        <f>SUMIF(Consumo!$C$3:$C$869,tabItens[[#This Row],[CÓDIGO]],Consumo!$Y$3:$Y$869)</f>
        <v>376.75</v>
      </c>
      <c r="AW687" s="401">
        <f>tabItens[[#This Row],[QTDE ATUAL]] + tabItens[[#This Row],[RC QTDE]] + tabItens[[#This Row],[AF SALDO]] + tabItens[[#This Row],[Recentes]]</f>
        <v>2300</v>
      </c>
      <c r="AX687" s="420">
        <v>542</v>
      </c>
      <c r="AY687" s="420">
        <v>4</v>
      </c>
      <c r="AZ687" s="420">
        <f>IF(ISBLANK(tabItens[[#This Row],[CÓDIGO]]),"",tabItens[[#This Row],[PontoMês]] * (AZ$2+tabItens[[#This Row],[PontoQtM]]))</f>
        <v>2168</v>
      </c>
      <c r="BA687" s="421">
        <f>tabItens[[#This Row],[PontoPed]] - tabItens[[#This Row],[Saldo]] + (1/10)</f>
        <v>-131.9</v>
      </c>
      <c r="BB687" s="421">
        <f xml:space="preserve"> tabItens[[#This Row],[PontoMês]] * BB$2 - tabItens[[#This Row],[QTDE ATUAL]] - (1/10)</f>
        <v>541.9</v>
      </c>
      <c r="BC687" s="320">
        <f>IF( tabItens[[#This Row],[PontoPed]]&gt;0, IF(tabItens[[#This Row],[PontoPed]]&lt;1, 1, IF( tabItens[[#This Row],[Saldo]]&gt;tabItens[[#This Row],[PontoPed]], 0, (tabItens[[#This Row],[PontoPed]]-tabItens[[#This Row],[Saldo]])/tabItens[[#This Row],[PontoPed]] ) ), 0 )</f>
        <v>0</v>
      </c>
      <c r="BD687" s="422">
        <f>ROUNDDOWN(IF( OR( AND(tabItens[[#This Row],[PontoPed]]&lt;tabItens[[#This Row],[Saldo]],tabItens[[#This Row],[Saldo]]&gt;0), tabItens[[#This Row],[PontoPed]]=0), 99, IF(AND(tabItens[[#This Row],[Saldo]]=0,tabItens[[#This Row],[PontoPed]]&gt;0), 0, (1-tabItens[[#This Row],[PctAb]])*10 ) ),0)</f>
        <v>99</v>
      </c>
      <c r="BE687" s="423">
        <f>MAX(ROUNDDOWN( IF(tabItens[[#This Row],[Abaixo]] &gt; 0,   tabItens[[#This Row],[Abaixo]] + (tabItens[[#This Row],[PontoMês]] * IF( OR( ISBLANK(tabItens[[#This Row],[ATA Nº/ANO]]), tabItens[[#This Row],[ATA Nº/ANO]] = ""),BE$2,BE$1)),0),0),0)</f>
        <v>0</v>
      </c>
      <c r="BF687"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23">
        <f>SUMIF(Consumo!$C$3:$C$869,tabItens[[#This Row],[CÓDIGO]],Consumo!$E$3:$E$869)</f>
        <v>184</v>
      </c>
      <c r="BH687" s="324">
        <f>IF(AND(tabItens[[#This Row],[Pend]] &gt; 0,tabItens[[#This Row],[Consumo]] &lt;&gt; 0), tabItens[[#This Row],[Pend]] / tabItens[[#This Row],[Consumo]], 0 )</f>
        <v>3.7681753020684008E-2</v>
      </c>
      <c r="BI687" s="323"/>
      <c r="BJ687" s="424"/>
      <c r="BK687" s="425" t="s">
        <v>2064</v>
      </c>
    </row>
    <row r="688" spans="1:63" hidden="1" x14ac:dyDescent="0.3">
      <c r="A688" s="286">
        <v>106697</v>
      </c>
      <c r="B688" s="287" t="s">
        <v>1629</v>
      </c>
      <c r="C688" s="288" t="s">
        <v>275</v>
      </c>
      <c r="D688" s="289">
        <v>3.39</v>
      </c>
      <c r="E688" s="290"/>
      <c r="F688" s="290"/>
      <c r="G688" s="290" t="s">
        <v>883</v>
      </c>
      <c r="H688" s="291">
        <v>1971</v>
      </c>
      <c r="I688" s="292">
        <v>103003</v>
      </c>
      <c r="J688" s="293">
        <v>3.39</v>
      </c>
      <c r="K688" s="294">
        <v>3556</v>
      </c>
      <c r="L688" s="295">
        <f>IF(tabItens[[#This Row],[Média]] &gt; 0, tabItens[[#This Row],[QTDE ATUAL]] / tabItens[[#This Row],[Média]],999.9)</f>
        <v>4.8706754530477756</v>
      </c>
      <c r="M688" s="296">
        <v>0</v>
      </c>
      <c r="N688" s="297">
        <f>tabItens[[#This Row],[VALOR UNIT.]] * tabItens[[#This Row],[LC]]</f>
        <v>0</v>
      </c>
      <c r="O688" s="298"/>
      <c r="P688" s="299"/>
      <c r="Q688" s="300"/>
      <c r="R688" s="297"/>
      <c r="S688" s="301"/>
      <c r="T688" s="302">
        <f>ROUNDDOWN(IFERROR(tabItens[[#This Row],[ATA DT.VALID.]] - $D$1,0) / 30,0)</f>
        <v>-1504</v>
      </c>
      <c r="U688" s="287" t="s">
        <v>1445</v>
      </c>
      <c r="V688" s="303">
        <v>1</v>
      </c>
      <c r="W688" s="304" t="s">
        <v>2052</v>
      </c>
      <c r="X688" s="305">
        <v>45</v>
      </c>
      <c r="Y688" s="306">
        <v>30</v>
      </c>
      <c r="Z688" s="307">
        <v>6979</v>
      </c>
      <c r="AA688" s="308">
        <v>2023</v>
      </c>
      <c r="AB688" s="309">
        <v>300</v>
      </c>
      <c r="AC688" s="309"/>
      <c r="AD688" s="308"/>
      <c r="AE688" s="309"/>
      <c r="AF688" s="302"/>
      <c r="AG688" s="310" t="s">
        <v>2050</v>
      </c>
      <c r="AH688" s="311"/>
      <c r="AI688" s="302">
        <v>1734</v>
      </c>
      <c r="AJ688" s="311">
        <v>44928</v>
      </c>
      <c r="AK688" s="311">
        <v>39598</v>
      </c>
      <c r="AL688" s="311">
        <v>44910</v>
      </c>
      <c r="AM688" s="301"/>
      <c r="AN688" s="290"/>
      <c r="AO688" s="312" t="str">
        <f>_xlfn.IFNA(IF(VLOOKUP(tabItens[[#This Row],[CÓDIGO]],tabExcluirDoEstoque[#Data],1,FALSE),"sim",""),"")</f>
        <v/>
      </c>
      <c r="AP688" s="313" t="str">
        <f ca="1">IF(OR(ISBLANK(tabItens[[#This Row],[ATA DT.VALID.]]),tabItens[[#This Row],[ATA DT.VALID.]]="",tabItens[[#This Row],[ATA DT.VALID.]]=" "),"",IF(TYPE(tabItens[[#This Row],[ATA DT.VALID.]])=1,ROUNDUP((tabItens[[#This Row],[ATA DT.VALID.]]-TODAY())/7,0),""))</f>
        <v/>
      </c>
      <c r="AQ688" s="314"/>
      <c r="AR688" s="315" t="str">
        <f>IF(ISBLANK(tabItens[[#This Row],[CÓDIGO]]),"",IFERROR(VLOOKUP(tabItens[[#This Row],[CÓDIGO]],Consumo!$C$2:$AC$869,26,FALSE),0))</f>
        <v>07.2023</v>
      </c>
      <c r="AS688" s="316">
        <f>SUMIF(Consumo!$C$3:$C$869,tabItens[[#This Row],[CÓDIGO]],Consumo!$N$3:$N$869) + SUMIF(Consumo!$C$3:$C$869,tabItens[[#This Row],[CÓDIGO]],Consumo!$O$3:$O$869) + SUMIF(Consumo!$C$3:$C$869,tabItens[[#This Row],[CÓDIGO]],Consumo!$P$3:$P$869) + SUMIF(Consumo!$C$3:$C$869,tabItens[[#This Row],[CÓDIGO]],Consumo!$Q$3:$Q$869)</f>
        <v>1258</v>
      </c>
      <c r="AT688" s="316">
        <f>SUMIF(Consumo!$C$3:$C$869,tabItens[[#This Row],[CÓDIGO]],Consumo!$Z$3:$Z$869)</f>
        <v>5203</v>
      </c>
      <c r="AU688" s="317">
        <f>SUMIF(Consumo!$C$3:$C$869,tabItens[[#This Row],[CÓDIGO]],Consumo!$AA$3:$AA$869)</f>
        <v>1483</v>
      </c>
      <c r="AV688" s="318">
        <f>SUMIF(Consumo!$C$3:$C$869,tabItens[[#This Row],[CÓDIGO]],Consumo!$Y$3:$Y$869)</f>
        <v>404.66666666666669</v>
      </c>
      <c r="AW688" s="291">
        <f>tabItens[[#This Row],[QTDE ATUAL]] + tabItens[[#This Row],[RC QTDE]] + tabItens[[#This Row],[AF SALDO]] + tabItens[[#This Row],[Recentes]]</f>
        <v>2271</v>
      </c>
      <c r="AX688" s="319">
        <v>544</v>
      </c>
      <c r="AY688" s="319">
        <v>4</v>
      </c>
      <c r="AZ688" s="319">
        <f>IF(ISBLANK(tabItens[[#This Row],[CÓDIGO]]),"",tabItens[[#This Row],[PontoMês]] * (AZ$2+tabItens[[#This Row],[PontoQtM]]))</f>
        <v>2176</v>
      </c>
      <c r="BA688" s="318">
        <f>tabItens[[#This Row],[PontoPed]] - tabItens[[#This Row],[Saldo]] + (1/10)</f>
        <v>-94.9</v>
      </c>
      <c r="BB688" s="318">
        <f xml:space="preserve"> tabItens[[#This Row],[PontoMês]] * BB$2 - tabItens[[#This Row],[QTDE ATUAL]] - (1/10)</f>
        <v>-1427.1</v>
      </c>
      <c r="BC688" s="320">
        <f>IF( tabItens[[#This Row],[PontoPed]]&gt;0, IF(tabItens[[#This Row],[PontoPed]]&lt;1, 1, IF( tabItens[[#This Row],[Saldo]]&gt;tabItens[[#This Row],[PontoPed]], 0, (tabItens[[#This Row],[PontoPed]]-tabItens[[#This Row],[Saldo]])/tabItens[[#This Row],[PontoPed]] ) ), 0 )</f>
        <v>0</v>
      </c>
      <c r="BD688" s="321">
        <f>ROUNDDOWN(IF( OR( AND(tabItens[[#This Row],[PontoPed]]&lt;tabItens[[#This Row],[Saldo]],tabItens[[#This Row],[Saldo]]&gt;0), tabItens[[#This Row],[PontoPed]]=0), 99, IF(AND(tabItens[[#This Row],[Saldo]]=0,tabItens[[#This Row],[PontoPed]]&gt;0), 0, (1-tabItens[[#This Row],[PctAb]])*10 ) ),0)</f>
        <v>99</v>
      </c>
      <c r="BE688" s="322">
        <f>MAX(ROUNDDOWN( IF(tabItens[[#This Row],[Abaixo]] &gt; 0,   tabItens[[#This Row],[Abaixo]] + (tabItens[[#This Row],[PontoMês]] * IF( OR( ISBLANK(tabItens[[#This Row],[ATA Nº/ANO]]), tabItens[[#This Row],[ATA Nº/ANO]] = ""),BE$2,BE$1)),0),0),0)</f>
        <v>0</v>
      </c>
      <c r="BF68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23">
        <f>SUMIF(Consumo!$C$3:$C$869,tabItens[[#This Row],[CÓDIGO]],Consumo!$E$3:$E$869)</f>
        <v>2</v>
      </c>
      <c r="BH688" s="324">
        <f>IF(AND(tabItens[[#This Row],[Pend]] &gt; 0,tabItens[[#This Row],[Consumo]] &lt;&gt; 0), tabItens[[#This Row],[Pend]] / tabItens[[#This Row],[Consumo]], 0 )</f>
        <v>3.8439361906592349E-4</v>
      </c>
      <c r="BI688" s="323"/>
      <c r="BJ688" s="323"/>
      <c r="BK688" s="325" t="s">
        <v>2064</v>
      </c>
    </row>
    <row r="689" spans="1:63" hidden="1" x14ac:dyDescent="0.3">
      <c r="A689" s="286">
        <v>135303</v>
      </c>
      <c r="B689" s="287" t="s">
        <v>1903</v>
      </c>
      <c r="C689" s="288" t="s">
        <v>256</v>
      </c>
      <c r="D689" s="289">
        <v>56</v>
      </c>
      <c r="E689" s="290"/>
      <c r="F689" s="290"/>
      <c r="G689" s="290" t="s">
        <v>883</v>
      </c>
      <c r="H689" s="291">
        <v>106</v>
      </c>
      <c r="I689" s="292">
        <v>103003</v>
      </c>
      <c r="J689" s="293">
        <v>56</v>
      </c>
      <c r="K689" s="294">
        <v>37</v>
      </c>
      <c r="L689" s="295">
        <f>IF(tabItens[[#This Row],[Média]] &gt; 0, tabItens[[#This Row],[QTDE ATUAL]] / tabItens[[#This Row],[Média]],999.9)</f>
        <v>25.439999999999998</v>
      </c>
      <c r="M689" s="296">
        <v>0</v>
      </c>
      <c r="N689" s="297">
        <f>tabItens[[#This Row],[VALOR UNIT.]] * tabItens[[#This Row],[LC]]</f>
        <v>0</v>
      </c>
      <c r="O689" s="298"/>
      <c r="P689" s="299"/>
      <c r="Q689" s="300"/>
      <c r="R689" s="297"/>
      <c r="S689" s="301"/>
      <c r="T689" s="302">
        <f>ROUNDDOWN(IFERROR(tabItens[[#This Row],[ATA DT.VALID.]] - $D$1,0) / 30,0)</f>
        <v>-1504</v>
      </c>
      <c r="U689" s="287" t="s">
        <v>1904</v>
      </c>
      <c r="V689" s="303">
        <v>1</v>
      </c>
      <c r="W689" s="304" t="s">
        <v>2051</v>
      </c>
      <c r="X689" s="305">
        <v>49</v>
      </c>
      <c r="Y689" s="306">
        <v>7</v>
      </c>
      <c r="Z689" s="307"/>
      <c r="AA689" s="308"/>
      <c r="AB689" s="309"/>
      <c r="AC689" s="309"/>
      <c r="AD689" s="308"/>
      <c r="AE689" s="309"/>
      <c r="AF689" s="302"/>
      <c r="AG689" s="310" t="s">
        <v>2050</v>
      </c>
      <c r="AH689" s="311"/>
      <c r="AI689" s="302">
        <v>18</v>
      </c>
      <c r="AJ689" s="311">
        <v>43866</v>
      </c>
      <c r="AK689" s="311">
        <v>43277</v>
      </c>
      <c r="AL689" s="311">
        <v>43826</v>
      </c>
      <c r="AM689" s="301"/>
      <c r="AN689" s="290"/>
      <c r="AO689" s="312" t="str">
        <f>_xlfn.IFNA(IF(VLOOKUP(tabItens[[#This Row],[CÓDIGO]],tabExcluirDoEstoque[#Data],1,FALSE),"sim",""),"")</f>
        <v/>
      </c>
      <c r="AP689" s="313" t="str">
        <f ca="1">IF(OR(ISBLANK(tabItens[[#This Row],[ATA DT.VALID.]]),tabItens[[#This Row],[ATA DT.VALID.]]="",tabItens[[#This Row],[ATA DT.VALID.]]=" "),"",IF(TYPE(tabItens[[#This Row],[ATA DT.VALID.]])=1,ROUNDUP((tabItens[[#This Row],[ATA DT.VALID.]]-TODAY())/7,0),""))</f>
        <v/>
      </c>
      <c r="AQ689" s="314"/>
      <c r="AR689" s="315" t="str">
        <f>IF(ISBLANK(tabItens[[#This Row],[CÓDIGO]]),"",IFERROR(VLOOKUP(tabItens[[#This Row],[CÓDIGO]],Consumo!$C$2:$AC$869,26,FALSE),0))</f>
        <v>07.2023</v>
      </c>
      <c r="AS689" s="316">
        <f>SUMIF(Consumo!$C$3:$C$869,tabItens[[#This Row],[CÓDIGO]],Consumo!$N$3:$N$869) + SUMIF(Consumo!$C$3:$C$869,tabItens[[#This Row],[CÓDIGO]],Consumo!$O$3:$O$869) + SUMIF(Consumo!$C$3:$C$869,tabItens[[#This Row],[CÓDIGO]],Consumo!$P$3:$P$869) + SUMIF(Consumo!$C$3:$C$869,tabItens[[#This Row],[CÓDIGO]],Consumo!$Q$3:$Q$869)</f>
        <v>15</v>
      </c>
      <c r="AT689" s="316">
        <f>SUMIF(Consumo!$C$3:$C$869,tabItens[[#This Row],[CÓDIGO]],Consumo!$Z$3:$Z$869)</f>
        <v>50</v>
      </c>
      <c r="AU689" s="317">
        <f>SUMIF(Consumo!$C$3:$C$869,tabItens[[#This Row],[CÓDIGO]],Consumo!$AA$3:$AA$869)</f>
        <v>8</v>
      </c>
      <c r="AV689" s="318">
        <f>SUMIF(Consumo!$C$3:$C$869,tabItens[[#This Row],[CÓDIGO]],Consumo!$Y$3:$Y$869)</f>
        <v>4.166666666666667</v>
      </c>
      <c r="AW689" s="291">
        <f>tabItens[[#This Row],[QTDE ATUAL]] + tabItens[[#This Row],[RC QTDE]] + tabItens[[#This Row],[AF SALDO]] + tabItens[[#This Row],[Recentes]]</f>
        <v>106</v>
      </c>
      <c r="AX689" s="319">
        <v>4</v>
      </c>
      <c r="AY689" s="319">
        <v>4</v>
      </c>
      <c r="AZ689" s="319">
        <f>IF(ISBLANK(tabItens[[#This Row],[CÓDIGO]]),"",tabItens[[#This Row],[PontoMês]] * (AZ$2+tabItens[[#This Row],[PontoQtM]]))</f>
        <v>16</v>
      </c>
      <c r="BA689" s="318">
        <f>tabItens[[#This Row],[PontoPed]] - tabItens[[#This Row],[Saldo]] + (1/10)</f>
        <v>-89.9</v>
      </c>
      <c r="BB689" s="318">
        <f xml:space="preserve"> tabItens[[#This Row],[PontoMês]] * BB$2 - tabItens[[#This Row],[QTDE ATUAL]] - (1/10)</f>
        <v>-102.1</v>
      </c>
      <c r="BC689" s="320">
        <f>IF( tabItens[[#This Row],[PontoPed]]&gt;0, IF(tabItens[[#This Row],[PontoPed]]&lt;1, 1, IF( tabItens[[#This Row],[Saldo]]&gt;tabItens[[#This Row],[PontoPed]], 0, (tabItens[[#This Row],[PontoPed]]-tabItens[[#This Row],[Saldo]])/tabItens[[#This Row],[PontoPed]] ) ), 0 )</f>
        <v>0</v>
      </c>
      <c r="BD689" s="321">
        <f>ROUNDDOWN(IF( OR( AND(tabItens[[#This Row],[PontoPed]]&lt;tabItens[[#This Row],[Saldo]],tabItens[[#This Row],[Saldo]]&gt;0), tabItens[[#This Row],[PontoPed]]=0), 99, IF(AND(tabItens[[#This Row],[Saldo]]=0,tabItens[[#This Row],[PontoPed]]&gt;0), 0, (1-tabItens[[#This Row],[PctAb]])*10 ) ),0)</f>
        <v>99</v>
      </c>
      <c r="BE689" s="322">
        <f>MAX(ROUNDDOWN( IF(tabItens[[#This Row],[Abaixo]] &gt; 0,   tabItens[[#This Row],[Abaixo]] + (tabItens[[#This Row],[PontoMês]] * IF( OR( ISBLANK(tabItens[[#This Row],[ATA Nº/ANO]]), tabItens[[#This Row],[ATA Nº/ANO]] = ""),BE$2,BE$1)),0),0),0)</f>
        <v>0</v>
      </c>
      <c r="BF68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23">
        <f>SUMIF(Consumo!$C$3:$C$869,tabItens[[#This Row],[CÓDIGO]],Consumo!$E$3:$E$869)</f>
        <v>0</v>
      </c>
      <c r="BH689" s="324">
        <f>IF(AND(tabItens[[#This Row],[Pend]] &gt; 0,tabItens[[#This Row],[Consumo]] &lt;&gt; 0), tabItens[[#This Row],[Pend]] / tabItens[[#This Row],[Consumo]], 0 )</f>
        <v>0</v>
      </c>
      <c r="BI689" s="323"/>
      <c r="BJ689" s="323"/>
      <c r="BK689" s="325" t="s">
        <v>2064</v>
      </c>
    </row>
    <row r="690" spans="1:63" hidden="1" x14ac:dyDescent="0.3">
      <c r="A690" s="286">
        <v>106129</v>
      </c>
      <c r="B690" s="287" t="s">
        <v>1619</v>
      </c>
      <c r="C690" s="288" t="s">
        <v>256</v>
      </c>
      <c r="D690" s="289">
        <v>92.9</v>
      </c>
      <c r="E690" s="290"/>
      <c r="F690" s="290"/>
      <c r="G690" s="290" t="s">
        <v>883</v>
      </c>
      <c r="H690" s="291">
        <v>1</v>
      </c>
      <c r="I690" s="292">
        <v>103003</v>
      </c>
      <c r="J690" s="293">
        <v>92.9</v>
      </c>
      <c r="K690" s="294">
        <v>15</v>
      </c>
      <c r="L690" s="295">
        <f>IF(tabItens[[#This Row],[Média]] &gt; 0, tabItens[[#This Row],[QTDE ATUAL]] / tabItens[[#This Row],[Média]],999.9)</f>
        <v>0.8571428571428571</v>
      </c>
      <c r="M690" s="296"/>
      <c r="N690" s="297">
        <f>tabItens[[#This Row],[VALOR UNIT.]] * tabItens[[#This Row],[LC]]</f>
        <v>0</v>
      </c>
      <c r="O690" s="298"/>
      <c r="P690" s="299"/>
      <c r="Q690" s="300"/>
      <c r="R690" s="297"/>
      <c r="S690" s="301"/>
      <c r="T690" s="302">
        <f>ROUNDDOWN(IFERROR(tabItens[[#This Row],[ATA DT.VALID.]] - $D$1,0) / 30,0)</f>
        <v>-1504</v>
      </c>
      <c r="U690" s="287" t="s">
        <v>1620</v>
      </c>
      <c r="V690" s="303">
        <v>1</v>
      </c>
      <c r="W690" s="304" t="s">
        <v>2055</v>
      </c>
      <c r="X690" s="305">
        <v>50</v>
      </c>
      <c r="Y690" s="306">
        <v>2</v>
      </c>
      <c r="Z690" s="307">
        <v>2391</v>
      </c>
      <c r="AA690" s="308">
        <v>2023</v>
      </c>
      <c r="AB690" s="309">
        <v>5</v>
      </c>
      <c r="AC690" s="309"/>
      <c r="AD690" s="308"/>
      <c r="AE690" s="309"/>
      <c r="AF690" s="302"/>
      <c r="AG690" s="310" t="s">
        <v>2050</v>
      </c>
      <c r="AH690" s="311"/>
      <c r="AI690" s="302">
        <v>6</v>
      </c>
      <c r="AJ690" s="311">
        <v>44186</v>
      </c>
      <c r="AK690" s="311">
        <v>39562</v>
      </c>
      <c r="AL690" s="311">
        <v>44176</v>
      </c>
      <c r="AM690" s="301"/>
      <c r="AN690" s="290"/>
      <c r="AO690" s="312" t="str">
        <f>_xlfn.IFNA(IF(VLOOKUP(tabItens[[#This Row],[CÓDIGO]],tabExcluirDoEstoque[#Data],1,FALSE),"sim",""),"")</f>
        <v/>
      </c>
      <c r="AP690" s="313" t="str">
        <f ca="1">IF(OR(ISBLANK(tabItens[[#This Row],[ATA DT.VALID.]]),tabItens[[#This Row],[ATA DT.VALID.]]="",tabItens[[#This Row],[ATA DT.VALID.]]=" "),"",IF(TYPE(tabItens[[#This Row],[ATA DT.VALID.]])=1,ROUNDUP((tabItens[[#This Row],[ATA DT.VALID.]]-TODAY())/7,0),""))</f>
        <v/>
      </c>
      <c r="AQ690" s="314"/>
      <c r="AR690" s="315" t="str">
        <f>IF(ISBLANK(tabItens[[#This Row],[CÓDIGO]]),"",IFERROR(VLOOKUP(tabItens[[#This Row],[CÓDIGO]],Consumo!$C$2:$AC$869,26,FALSE),0))</f>
        <v>04.2023</v>
      </c>
      <c r="AS690" s="316">
        <f>SUMIF(Consumo!$C$3:$C$869,tabItens[[#This Row],[CÓDIGO]],Consumo!$N$3:$N$869) + SUMIF(Consumo!$C$3:$C$869,tabItens[[#This Row],[CÓDIGO]],Consumo!$O$3:$O$869) + SUMIF(Consumo!$C$3:$C$869,tabItens[[#This Row],[CÓDIGO]],Consumo!$P$3:$P$869) + SUMIF(Consumo!$C$3:$C$869,tabItens[[#This Row],[CÓDIGO]],Consumo!$Q$3:$Q$869)</f>
        <v>6</v>
      </c>
      <c r="AT690" s="316">
        <f>SUMIF(Consumo!$C$3:$C$869,tabItens[[#This Row],[CÓDIGO]],Consumo!$Z$3:$Z$869)</f>
        <v>15</v>
      </c>
      <c r="AU690" s="317">
        <f>SUMIF(Consumo!$C$3:$C$869,tabItens[[#This Row],[CÓDIGO]],Consumo!$AA$3:$AA$869)</f>
        <v>6</v>
      </c>
      <c r="AV690" s="318">
        <f>SUMIF(Consumo!$C$3:$C$869,tabItens[[#This Row],[CÓDIGO]],Consumo!$Y$3:$Y$869)</f>
        <v>1.1666666666666667</v>
      </c>
      <c r="AW690" s="291">
        <f>tabItens[[#This Row],[QTDE ATUAL]] + tabItens[[#This Row],[RC QTDE]] + tabItens[[#This Row],[AF SALDO]] + tabItens[[#This Row],[Recentes]]</f>
        <v>6</v>
      </c>
      <c r="AX690" s="319">
        <v>1</v>
      </c>
      <c r="AY690" s="319">
        <v>4</v>
      </c>
      <c r="AZ690" s="319">
        <f>IF(ISBLANK(tabItens[[#This Row],[CÓDIGO]]),"",tabItens[[#This Row],[PontoMês]] * (AZ$2+tabItens[[#This Row],[PontoQtM]]))</f>
        <v>4</v>
      </c>
      <c r="BA690" s="318">
        <f>tabItens[[#This Row],[PontoPed]] - tabItens[[#This Row],[Saldo]] + (1/10)</f>
        <v>-1.9</v>
      </c>
      <c r="BB690" s="318">
        <f xml:space="preserve"> tabItens[[#This Row],[PontoMês]] * BB$2 - tabItens[[#This Row],[QTDE ATUAL]] - (1/10)</f>
        <v>-0.1</v>
      </c>
      <c r="BC690" s="320">
        <f>IF( tabItens[[#This Row],[PontoPed]]&gt;0, IF(tabItens[[#This Row],[PontoPed]]&lt;1, 1, IF( tabItens[[#This Row],[Saldo]]&gt;tabItens[[#This Row],[PontoPed]], 0, (tabItens[[#This Row],[PontoPed]]-tabItens[[#This Row],[Saldo]])/tabItens[[#This Row],[PontoPed]] ) ), 0 )</f>
        <v>0</v>
      </c>
      <c r="BD690" s="321">
        <f>ROUNDDOWN(IF( OR( AND(tabItens[[#This Row],[PontoPed]]&lt;tabItens[[#This Row],[Saldo]],tabItens[[#This Row],[Saldo]]&gt;0), tabItens[[#This Row],[PontoPed]]=0), 99, IF(AND(tabItens[[#This Row],[Saldo]]=0,tabItens[[#This Row],[PontoPed]]&gt;0), 0, (1-tabItens[[#This Row],[PctAb]])*10 ) ),0)</f>
        <v>99</v>
      </c>
      <c r="BE690" s="322">
        <f>MAX(ROUNDDOWN( IF(tabItens[[#This Row],[Abaixo]] &gt; 0,   tabItens[[#This Row],[Abaixo]] + (tabItens[[#This Row],[PontoMês]] * IF( OR( ISBLANK(tabItens[[#This Row],[ATA Nº/ANO]]), tabItens[[#This Row],[ATA Nº/ANO]] = ""),BE$2,BE$1)),0),0),0)</f>
        <v>0</v>
      </c>
      <c r="BF69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23">
        <f>SUMIF(Consumo!$C$3:$C$869,tabItens[[#This Row],[CÓDIGO]],Consumo!$E$3:$E$869)</f>
        <v>0</v>
      </c>
      <c r="BH690" s="324">
        <f>IF(AND(tabItens[[#This Row],[Pend]] &gt; 0,tabItens[[#This Row],[Consumo]] &lt;&gt; 0), tabItens[[#This Row],[Pend]] / tabItens[[#This Row],[Consumo]], 0 )</f>
        <v>0</v>
      </c>
      <c r="BI690" s="323"/>
      <c r="BJ690" s="323"/>
      <c r="BK690" s="325" t="s">
        <v>2064</v>
      </c>
    </row>
    <row r="691" spans="1:63" hidden="1" x14ac:dyDescent="0.3">
      <c r="A691" s="286">
        <v>106130</v>
      </c>
      <c r="B691" s="287" t="s">
        <v>1621</v>
      </c>
      <c r="C691" s="288" t="s">
        <v>256</v>
      </c>
      <c r="D691" s="289">
        <v>49</v>
      </c>
      <c r="E691" s="290"/>
      <c r="F691" s="290"/>
      <c r="G691" s="290" t="s">
        <v>883</v>
      </c>
      <c r="H691" s="291">
        <v>2</v>
      </c>
      <c r="I691" s="292">
        <v>103003</v>
      </c>
      <c r="J691" s="293">
        <v>49</v>
      </c>
      <c r="K691" s="294">
        <v>12</v>
      </c>
      <c r="L691" s="295">
        <f>IF(tabItens[[#This Row],[Média]] &gt; 0, tabItens[[#This Row],[QTDE ATUAL]] / tabItens[[#This Row],[Média]],999.9)</f>
        <v>2.4</v>
      </c>
      <c r="M691" s="296">
        <v>0</v>
      </c>
      <c r="N691" s="297">
        <f>tabItens[[#This Row],[VALOR UNIT.]] * tabItens[[#This Row],[LC]]</f>
        <v>0</v>
      </c>
      <c r="O691" s="298"/>
      <c r="P691" s="299"/>
      <c r="Q691" s="300"/>
      <c r="R691" s="297"/>
      <c r="S691" s="301"/>
      <c r="T691" s="302">
        <f>ROUNDDOWN(IFERROR(tabItens[[#This Row],[ATA DT.VALID.]] - $D$1,0) / 30,0)</f>
        <v>-1504</v>
      </c>
      <c r="U691" s="287" t="s">
        <v>1620</v>
      </c>
      <c r="V691" s="303">
        <v>1</v>
      </c>
      <c r="W691" s="304" t="s">
        <v>2055</v>
      </c>
      <c r="X691" s="305">
        <v>50</v>
      </c>
      <c r="Y691" s="306">
        <v>2</v>
      </c>
      <c r="Z691" s="307">
        <v>2959</v>
      </c>
      <c r="AA691" s="308">
        <v>2023</v>
      </c>
      <c r="AB691" s="309">
        <v>6</v>
      </c>
      <c r="AC691" s="309"/>
      <c r="AD691" s="308"/>
      <c r="AE691" s="309"/>
      <c r="AF691" s="302"/>
      <c r="AG691" s="310" t="s">
        <v>2050</v>
      </c>
      <c r="AH691" s="311"/>
      <c r="AI691" s="302">
        <v>4</v>
      </c>
      <c r="AJ691" s="311">
        <v>43434</v>
      </c>
      <c r="AK691" s="311">
        <v>39562</v>
      </c>
      <c r="AL691" s="311">
        <v>43411</v>
      </c>
      <c r="AM691" s="301"/>
      <c r="AN691" s="290"/>
      <c r="AO691" s="312" t="str">
        <f>_xlfn.IFNA(IF(VLOOKUP(tabItens[[#This Row],[CÓDIGO]],tabExcluirDoEstoque[#Data],1,FALSE),"sim",""),"")</f>
        <v/>
      </c>
      <c r="AP691" s="313" t="str">
        <f ca="1">IF(OR(ISBLANK(tabItens[[#This Row],[ATA DT.VALID.]]),tabItens[[#This Row],[ATA DT.VALID.]]="",tabItens[[#This Row],[ATA DT.VALID.]]=" "),"",IF(TYPE(tabItens[[#This Row],[ATA DT.VALID.]])=1,ROUNDUP((tabItens[[#This Row],[ATA DT.VALID.]]-TODAY())/7,0),""))</f>
        <v/>
      </c>
      <c r="AQ691" s="314"/>
      <c r="AR691" s="315" t="str">
        <f>IF(ISBLANK(tabItens[[#This Row],[CÓDIGO]]),"",IFERROR(VLOOKUP(tabItens[[#This Row],[CÓDIGO]],Consumo!$C$2:$AC$869,26,FALSE),0))</f>
        <v>04.2023</v>
      </c>
      <c r="AS691" s="316">
        <f>SUMIF(Consumo!$C$3:$C$869,tabItens[[#This Row],[CÓDIGO]],Consumo!$N$3:$N$869) + SUMIF(Consumo!$C$3:$C$869,tabItens[[#This Row],[CÓDIGO]],Consumo!$O$3:$O$869) + SUMIF(Consumo!$C$3:$C$869,tabItens[[#This Row],[CÓDIGO]],Consumo!$P$3:$P$869) + SUMIF(Consumo!$C$3:$C$869,tabItens[[#This Row],[CÓDIGO]],Consumo!$Q$3:$Q$869)</f>
        <v>6</v>
      </c>
      <c r="AT691" s="316">
        <f>SUMIF(Consumo!$C$3:$C$869,tabItens[[#This Row],[CÓDIGO]],Consumo!$Z$3:$Z$869)</f>
        <v>12</v>
      </c>
      <c r="AU691" s="317">
        <f>SUMIF(Consumo!$C$3:$C$869,tabItens[[#This Row],[CÓDIGO]],Consumo!$AA$3:$AA$869)</f>
        <v>6</v>
      </c>
      <c r="AV691" s="318">
        <f>SUMIF(Consumo!$C$3:$C$869,tabItens[[#This Row],[CÓDIGO]],Consumo!$Y$3:$Y$869)</f>
        <v>0.83333333333333337</v>
      </c>
      <c r="AW691" s="291">
        <f>tabItens[[#This Row],[QTDE ATUAL]] + tabItens[[#This Row],[RC QTDE]] + tabItens[[#This Row],[AF SALDO]] + tabItens[[#This Row],[Recentes]]</f>
        <v>8</v>
      </c>
      <c r="AX691" s="319">
        <v>1</v>
      </c>
      <c r="AY691" s="319">
        <v>4</v>
      </c>
      <c r="AZ691" s="319">
        <f>IF(ISBLANK(tabItens[[#This Row],[CÓDIGO]]),"",tabItens[[#This Row],[PontoMês]] * (AZ$2+tabItens[[#This Row],[PontoQtM]]))</f>
        <v>4</v>
      </c>
      <c r="BA691" s="318">
        <f>tabItens[[#This Row],[PontoPed]] - tabItens[[#This Row],[Saldo]] + (1/10)</f>
        <v>-3.9</v>
      </c>
      <c r="BB691" s="318">
        <f xml:space="preserve"> tabItens[[#This Row],[PontoMês]] * BB$2 - tabItens[[#This Row],[QTDE ATUAL]] - (1/10)</f>
        <v>-1.1000000000000001</v>
      </c>
      <c r="BC691" s="320">
        <f>IF( tabItens[[#This Row],[PontoPed]]&gt;0, IF(tabItens[[#This Row],[PontoPed]]&lt;1, 1, IF( tabItens[[#This Row],[Saldo]]&gt;tabItens[[#This Row],[PontoPed]], 0, (tabItens[[#This Row],[PontoPed]]-tabItens[[#This Row],[Saldo]])/tabItens[[#This Row],[PontoPed]] ) ), 0 )</f>
        <v>0</v>
      </c>
      <c r="BD691" s="321">
        <f>ROUNDDOWN(IF( OR( AND(tabItens[[#This Row],[PontoPed]]&lt;tabItens[[#This Row],[Saldo]],tabItens[[#This Row],[Saldo]]&gt;0), tabItens[[#This Row],[PontoPed]]=0), 99, IF(AND(tabItens[[#This Row],[Saldo]]=0,tabItens[[#This Row],[PontoPed]]&gt;0), 0, (1-tabItens[[#This Row],[PctAb]])*10 ) ),0)</f>
        <v>99</v>
      </c>
      <c r="BE691" s="322">
        <f>MAX(ROUNDDOWN( IF(tabItens[[#This Row],[Abaixo]] &gt; 0,   tabItens[[#This Row],[Abaixo]] + (tabItens[[#This Row],[PontoMês]] * IF( OR( ISBLANK(tabItens[[#This Row],[ATA Nº/ANO]]), tabItens[[#This Row],[ATA Nº/ANO]] = ""),BE$2,BE$1)),0),0),0)</f>
        <v>0</v>
      </c>
      <c r="BF69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23">
        <f>SUMIF(Consumo!$C$3:$C$869,tabItens[[#This Row],[CÓDIGO]],Consumo!$E$3:$E$869)</f>
        <v>0</v>
      </c>
      <c r="BH691" s="324">
        <f>IF(AND(tabItens[[#This Row],[Pend]] &gt; 0,tabItens[[#This Row],[Consumo]] &lt;&gt; 0), tabItens[[#This Row],[Pend]] / tabItens[[#This Row],[Consumo]], 0 )</f>
        <v>0</v>
      </c>
      <c r="BI691" s="323"/>
      <c r="BJ691" s="323"/>
      <c r="BK691" s="325" t="s">
        <v>2064</v>
      </c>
    </row>
    <row r="692" spans="1:63" hidden="1" x14ac:dyDescent="0.3">
      <c r="A692" s="286">
        <v>106131</v>
      </c>
      <c r="B692" s="287" t="s">
        <v>1622</v>
      </c>
      <c r="C692" s="288" t="s">
        <v>256</v>
      </c>
      <c r="D692" s="289">
        <v>49</v>
      </c>
      <c r="E692" s="290"/>
      <c r="F692" s="290"/>
      <c r="G692" s="290" t="s">
        <v>883</v>
      </c>
      <c r="H692" s="291">
        <v>1</v>
      </c>
      <c r="I692" s="292">
        <v>103003</v>
      </c>
      <c r="J692" s="293">
        <v>49</v>
      </c>
      <c r="K692" s="294">
        <v>17</v>
      </c>
      <c r="L692" s="295">
        <f>IF(tabItens[[#This Row],[Média]] &gt; 0, tabItens[[#This Row],[QTDE ATUAL]] / tabItens[[#This Row],[Média]],999.9)</f>
        <v>0.75</v>
      </c>
      <c r="M692" s="296">
        <v>0</v>
      </c>
      <c r="N692" s="297">
        <f>tabItens[[#This Row],[VALOR UNIT.]] * tabItens[[#This Row],[LC]]</f>
        <v>0</v>
      </c>
      <c r="O692" s="298"/>
      <c r="P692" s="299"/>
      <c r="Q692" s="300"/>
      <c r="R692" s="297"/>
      <c r="S692" s="301"/>
      <c r="T692" s="302">
        <f>ROUNDDOWN(IFERROR(tabItens[[#This Row],[ATA DT.VALID.]] - $D$1,0) / 30,0)</f>
        <v>-1504</v>
      </c>
      <c r="U692" s="287" t="s">
        <v>1620</v>
      </c>
      <c r="V692" s="303">
        <v>1</v>
      </c>
      <c r="W692" s="304" t="s">
        <v>2055</v>
      </c>
      <c r="X692" s="305">
        <v>50</v>
      </c>
      <c r="Y692" s="306">
        <v>2</v>
      </c>
      <c r="Z692" s="307">
        <v>2959</v>
      </c>
      <c r="AA692" s="308">
        <v>2023</v>
      </c>
      <c r="AB692" s="309">
        <v>10</v>
      </c>
      <c r="AC692" s="309"/>
      <c r="AD692" s="308"/>
      <c r="AE692" s="309"/>
      <c r="AF692" s="302"/>
      <c r="AG692" s="310" t="s">
        <v>2050</v>
      </c>
      <c r="AH692" s="311"/>
      <c r="AI692" s="302">
        <v>6</v>
      </c>
      <c r="AJ692" s="311">
        <v>43434</v>
      </c>
      <c r="AK692" s="311">
        <v>39562</v>
      </c>
      <c r="AL692" s="311">
        <v>43411</v>
      </c>
      <c r="AM692" s="301"/>
      <c r="AN692" s="290"/>
      <c r="AO692" s="312" t="str">
        <f>_xlfn.IFNA(IF(VLOOKUP(tabItens[[#This Row],[CÓDIGO]],tabExcluirDoEstoque[#Data],1,FALSE),"sim",""),"")</f>
        <v/>
      </c>
      <c r="AP692" s="313" t="str">
        <f ca="1">IF(OR(ISBLANK(tabItens[[#This Row],[ATA DT.VALID.]]),tabItens[[#This Row],[ATA DT.VALID.]]="",tabItens[[#This Row],[ATA DT.VALID.]]=" "),"",IF(TYPE(tabItens[[#This Row],[ATA DT.VALID.]])=1,ROUNDUP((tabItens[[#This Row],[ATA DT.VALID.]]-TODAY())/7,0),""))</f>
        <v/>
      </c>
      <c r="AQ692" s="314"/>
      <c r="AR692" s="315" t="str">
        <f>IF(ISBLANK(tabItens[[#This Row],[CÓDIGO]]),"",IFERROR(VLOOKUP(tabItens[[#This Row],[CÓDIGO]],Consumo!$C$2:$AC$869,26,FALSE),0))</f>
        <v>04.2023</v>
      </c>
      <c r="AS692" s="316">
        <f>SUMIF(Consumo!$C$3:$C$869,tabItens[[#This Row],[CÓDIGO]],Consumo!$N$3:$N$869) + SUMIF(Consumo!$C$3:$C$869,tabItens[[#This Row],[CÓDIGO]],Consumo!$O$3:$O$869) + SUMIF(Consumo!$C$3:$C$869,tabItens[[#This Row],[CÓDIGO]],Consumo!$P$3:$P$869) + SUMIF(Consumo!$C$3:$C$869,tabItens[[#This Row],[CÓDIGO]],Consumo!$Q$3:$Q$869)</f>
        <v>6</v>
      </c>
      <c r="AT692" s="316">
        <f>SUMIF(Consumo!$C$3:$C$869,tabItens[[#This Row],[CÓDIGO]],Consumo!$Z$3:$Z$869)</f>
        <v>17</v>
      </c>
      <c r="AU692" s="317">
        <f>SUMIF(Consumo!$C$3:$C$869,tabItens[[#This Row],[CÓDIGO]],Consumo!$AA$3:$AA$869)</f>
        <v>6</v>
      </c>
      <c r="AV692" s="318">
        <f>SUMIF(Consumo!$C$3:$C$869,tabItens[[#This Row],[CÓDIGO]],Consumo!$Y$3:$Y$869)</f>
        <v>1.3333333333333333</v>
      </c>
      <c r="AW692" s="291">
        <f>tabItens[[#This Row],[QTDE ATUAL]] + tabItens[[#This Row],[RC QTDE]] + tabItens[[#This Row],[AF SALDO]] + tabItens[[#This Row],[Recentes]]</f>
        <v>11</v>
      </c>
      <c r="AX692" s="319">
        <v>1</v>
      </c>
      <c r="AY692" s="319">
        <v>4</v>
      </c>
      <c r="AZ692" s="319">
        <f>IF(ISBLANK(tabItens[[#This Row],[CÓDIGO]]),"",tabItens[[#This Row],[PontoMês]] * (AZ$2+tabItens[[#This Row],[PontoQtM]]))</f>
        <v>4</v>
      </c>
      <c r="BA692" s="318">
        <f>tabItens[[#This Row],[PontoPed]] - tabItens[[#This Row],[Saldo]] + (1/10)</f>
        <v>-6.9</v>
      </c>
      <c r="BB692" s="318">
        <f xml:space="preserve"> tabItens[[#This Row],[PontoMês]] * BB$2 - tabItens[[#This Row],[QTDE ATUAL]] - (1/10)</f>
        <v>-0.1</v>
      </c>
      <c r="BC692" s="320">
        <f>IF( tabItens[[#This Row],[PontoPed]]&gt;0, IF(tabItens[[#This Row],[PontoPed]]&lt;1, 1, IF( tabItens[[#This Row],[Saldo]]&gt;tabItens[[#This Row],[PontoPed]], 0, (tabItens[[#This Row],[PontoPed]]-tabItens[[#This Row],[Saldo]])/tabItens[[#This Row],[PontoPed]] ) ), 0 )</f>
        <v>0</v>
      </c>
      <c r="BD692" s="321">
        <f>ROUNDDOWN(IF( OR( AND(tabItens[[#This Row],[PontoPed]]&lt;tabItens[[#This Row],[Saldo]],tabItens[[#This Row],[Saldo]]&gt;0), tabItens[[#This Row],[PontoPed]]=0), 99, IF(AND(tabItens[[#This Row],[Saldo]]=0,tabItens[[#This Row],[PontoPed]]&gt;0), 0, (1-tabItens[[#This Row],[PctAb]])*10 ) ),0)</f>
        <v>99</v>
      </c>
      <c r="BE692" s="322">
        <f>MAX(ROUNDDOWN( IF(tabItens[[#This Row],[Abaixo]] &gt; 0,   tabItens[[#This Row],[Abaixo]] + (tabItens[[#This Row],[PontoMês]] * IF( OR( ISBLANK(tabItens[[#This Row],[ATA Nº/ANO]]), tabItens[[#This Row],[ATA Nº/ANO]] = ""),BE$2,BE$1)),0),0),0)</f>
        <v>0</v>
      </c>
      <c r="BF69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23">
        <f>SUMIF(Consumo!$C$3:$C$869,tabItens[[#This Row],[CÓDIGO]],Consumo!$E$3:$E$869)</f>
        <v>0</v>
      </c>
      <c r="BH692" s="324">
        <f>IF(AND(tabItens[[#This Row],[Pend]] &gt; 0,tabItens[[#This Row],[Consumo]] &lt;&gt; 0), tabItens[[#This Row],[Pend]] / tabItens[[#This Row],[Consumo]], 0 )</f>
        <v>0</v>
      </c>
      <c r="BI692" s="323"/>
      <c r="BJ692" s="323"/>
      <c r="BK692" s="325" t="s">
        <v>2064</v>
      </c>
    </row>
    <row r="693" spans="1:63" hidden="1" x14ac:dyDescent="0.3">
      <c r="A693" s="286">
        <v>107790</v>
      </c>
      <c r="B693" s="287" t="s">
        <v>1642</v>
      </c>
      <c r="C693" s="288" t="s">
        <v>256</v>
      </c>
      <c r="D693" s="289">
        <v>17.28</v>
      </c>
      <c r="E693" s="290"/>
      <c r="F693" s="290"/>
      <c r="G693" s="290" t="s">
        <v>883</v>
      </c>
      <c r="H693" s="291">
        <v>141</v>
      </c>
      <c r="I693" s="292">
        <v>103003</v>
      </c>
      <c r="J693" s="293">
        <v>17.28</v>
      </c>
      <c r="K693" s="294">
        <v>145</v>
      </c>
      <c r="L693" s="295">
        <f>IF(tabItens[[#This Row],[Média]] &gt; 0, tabItens[[#This Row],[QTDE ATUAL]] / tabItens[[#This Row],[Média]],999.9)</f>
        <v>10.011834319526626</v>
      </c>
      <c r="M693" s="296">
        <v>0</v>
      </c>
      <c r="N693" s="297">
        <f>tabItens[[#This Row],[VALOR UNIT.]] * tabItens[[#This Row],[LC]]</f>
        <v>0</v>
      </c>
      <c r="O693" s="298"/>
      <c r="P693" s="299"/>
      <c r="Q693" s="300"/>
      <c r="R693" s="297"/>
      <c r="S693" s="301"/>
      <c r="T693" s="302">
        <f>ROUNDDOWN(IFERROR(tabItens[[#This Row],[ATA DT.VALID.]] - $D$1,0) / 30,0)</f>
        <v>-1504</v>
      </c>
      <c r="U693" s="287" t="s">
        <v>1643</v>
      </c>
      <c r="V693" s="303">
        <v>1</v>
      </c>
      <c r="W693" s="304" t="s">
        <v>2055</v>
      </c>
      <c r="X693" s="305">
        <v>50</v>
      </c>
      <c r="Y693" s="306">
        <v>3</v>
      </c>
      <c r="Z693" s="307">
        <v>2412</v>
      </c>
      <c r="AA693" s="308">
        <v>2023</v>
      </c>
      <c r="AB693" s="309">
        <v>100</v>
      </c>
      <c r="AC693" s="309"/>
      <c r="AD693" s="308"/>
      <c r="AE693" s="309"/>
      <c r="AF693" s="302"/>
      <c r="AG693" s="310" t="s">
        <v>2050</v>
      </c>
      <c r="AH693" s="311"/>
      <c r="AI693" s="302">
        <v>56</v>
      </c>
      <c r="AJ693" s="311">
        <v>44634</v>
      </c>
      <c r="AK693" s="311">
        <v>39700</v>
      </c>
      <c r="AL693" s="311">
        <v>44616</v>
      </c>
      <c r="AM693" s="301"/>
      <c r="AN693" s="290"/>
      <c r="AO693" s="312" t="str">
        <f>_xlfn.IFNA(IF(VLOOKUP(tabItens[[#This Row],[CÓDIGO]],tabExcluirDoEstoque[#Data],1,FALSE),"sim",""),"")</f>
        <v/>
      </c>
      <c r="AP693" s="313" t="str">
        <f ca="1">IF(OR(ISBLANK(tabItens[[#This Row],[ATA DT.VALID.]]),tabItens[[#This Row],[ATA DT.VALID.]]="",tabItens[[#This Row],[ATA DT.VALID.]]=" "),"",IF(TYPE(tabItens[[#This Row],[ATA DT.VALID.]])=1,ROUNDUP((tabItens[[#This Row],[ATA DT.VALID.]]-TODAY())/7,0),""))</f>
        <v/>
      </c>
      <c r="AQ693" s="314"/>
      <c r="AR693" s="315" t="str">
        <f>IF(ISBLANK(tabItens[[#This Row],[CÓDIGO]]),"",IFERROR(VLOOKUP(tabItens[[#This Row],[CÓDIGO]],Consumo!$C$2:$AC$869,26,FALSE),0))</f>
        <v>04.2023</v>
      </c>
      <c r="AS693" s="316">
        <f>SUMIF(Consumo!$C$3:$C$869,tabItens[[#This Row],[CÓDIGO]],Consumo!$N$3:$N$869) + SUMIF(Consumo!$C$3:$C$869,tabItens[[#This Row],[CÓDIGO]],Consumo!$O$3:$O$869) + SUMIF(Consumo!$C$3:$C$869,tabItens[[#This Row],[CÓDIGO]],Consumo!$P$3:$P$869) + SUMIF(Consumo!$C$3:$C$869,tabItens[[#This Row],[CÓDIGO]],Consumo!$Q$3:$Q$869)</f>
        <v>31</v>
      </c>
      <c r="AT693" s="316">
        <f>SUMIF(Consumo!$C$3:$C$869,tabItens[[#This Row],[CÓDIGO]],Consumo!$Z$3:$Z$869)</f>
        <v>169</v>
      </c>
      <c r="AU693" s="317">
        <f>SUMIF(Consumo!$C$3:$C$869,tabItens[[#This Row],[CÓDIGO]],Consumo!$AA$3:$AA$869)</f>
        <v>38</v>
      </c>
      <c r="AV693" s="318">
        <f>SUMIF(Consumo!$C$3:$C$869,tabItens[[#This Row],[CÓDIGO]],Consumo!$Y$3:$Y$869)</f>
        <v>14.083333333333334</v>
      </c>
      <c r="AW693" s="291">
        <f>tabItens[[#This Row],[QTDE ATUAL]] + tabItens[[#This Row],[RC QTDE]] + tabItens[[#This Row],[AF SALDO]] + tabItens[[#This Row],[Recentes]]</f>
        <v>241</v>
      </c>
      <c r="AX693" s="319">
        <v>22</v>
      </c>
      <c r="AY693" s="319">
        <v>4</v>
      </c>
      <c r="AZ693" s="319">
        <f>IF(ISBLANK(tabItens[[#This Row],[CÓDIGO]]),"",tabItens[[#This Row],[PontoMês]] * (AZ$2+tabItens[[#This Row],[PontoQtM]]))</f>
        <v>88</v>
      </c>
      <c r="BA693" s="318">
        <f>tabItens[[#This Row],[PontoPed]] - tabItens[[#This Row],[Saldo]] + (1/10)</f>
        <v>-152.9</v>
      </c>
      <c r="BB693" s="318">
        <f xml:space="preserve"> tabItens[[#This Row],[PontoMês]] * BB$2 - tabItens[[#This Row],[QTDE ATUAL]] - (1/10)</f>
        <v>-119.1</v>
      </c>
      <c r="BC693" s="320">
        <f>IF( tabItens[[#This Row],[PontoPed]]&gt;0, IF(tabItens[[#This Row],[PontoPed]]&lt;1, 1, IF( tabItens[[#This Row],[Saldo]]&gt;tabItens[[#This Row],[PontoPed]], 0, (tabItens[[#This Row],[PontoPed]]-tabItens[[#This Row],[Saldo]])/tabItens[[#This Row],[PontoPed]] ) ), 0 )</f>
        <v>0</v>
      </c>
      <c r="BD693" s="321">
        <f>ROUNDDOWN(IF( OR( AND(tabItens[[#This Row],[PontoPed]]&lt;tabItens[[#This Row],[Saldo]],tabItens[[#This Row],[Saldo]]&gt;0), tabItens[[#This Row],[PontoPed]]=0), 99, IF(AND(tabItens[[#This Row],[Saldo]]=0,tabItens[[#This Row],[PontoPed]]&gt;0), 0, (1-tabItens[[#This Row],[PctAb]])*10 ) ),0)</f>
        <v>99</v>
      </c>
      <c r="BE693" s="322">
        <f>MAX(ROUNDDOWN( IF(tabItens[[#This Row],[Abaixo]] &gt; 0,   tabItens[[#This Row],[Abaixo]] + (tabItens[[#This Row],[PontoMês]] * IF( OR( ISBLANK(tabItens[[#This Row],[ATA Nº/ANO]]), tabItens[[#This Row],[ATA Nº/ANO]] = ""),BE$2,BE$1)),0),0),0)</f>
        <v>0</v>
      </c>
      <c r="BF69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23">
        <f>SUMIF(Consumo!$C$3:$C$869,tabItens[[#This Row],[CÓDIGO]],Consumo!$E$3:$E$869)</f>
        <v>0</v>
      </c>
      <c r="BH693" s="324">
        <f>IF(AND(tabItens[[#This Row],[Pend]] &gt; 0,tabItens[[#This Row],[Consumo]] &lt;&gt; 0), tabItens[[#This Row],[Pend]] / tabItens[[#This Row],[Consumo]], 0 )</f>
        <v>0</v>
      </c>
      <c r="BI693" s="323"/>
      <c r="BJ693" s="323"/>
      <c r="BK693" s="325" t="s">
        <v>2064</v>
      </c>
    </row>
    <row r="694" spans="1:63" hidden="1" x14ac:dyDescent="0.3">
      <c r="A694" s="286">
        <v>23016</v>
      </c>
      <c r="B694" s="287" t="s">
        <v>1175</v>
      </c>
      <c r="C694" s="288" t="s">
        <v>273</v>
      </c>
      <c r="D694" s="289">
        <v>63.98</v>
      </c>
      <c r="E694" s="290"/>
      <c r="F694" s="290"/>
      <c r="G694" s="290" t="s">
        <v>883</v>
      </c>
      <c r="H694" s="291">
        <v>22</v>
      </c>
      <c r="I694" s="292">
        <v>103003</v>
      </c>
      <c r="J694" s="293">
        <v>63.98</v>
      </c>
      <c r="K694" s="294">
        <v>28</v>
      </c>
      <c r="L694" s="295">
        <f>IF(tabItens[[#This Row],[Média]] &gt; 0, tabItens[[#This Row],[QTDE ATUAL]] / tabItens[[#This Row],[Média]],999.9)</f>
        <v>10.559999999999999</v>
      </c>
      <c r="M694" s="296">
        <v>0</v>
      </c>
      <c r="N694" s="297">
        <f>tabItens[[#This Row],[VALOR UNIT.]] * tabItens[[#This Row],[LC]]</f>
        <v>0</v>
      </c>
      <c r="O694" s="298"/>
      <c r="P694" s="299"/>
      <c r="Q694" s="300"/>
      <c r="R694" s="297"/>
      <c r="S694" s="301"/>
      <c r="T694" s="302">
        <f>ROUNDDOWN(IFERROR(tabItens[[#This Row],[ATA DT.VALID.]] - $D$1,0) / 30,0)</f>
        <v>-1504</v>
      </c>
      <c r="U694" s="287" t="s">
        <v>961</v>
      </c>
      <c r="V694" s="303">
        <v>1</v>
      </c>
      <c r="W694" s="304" t="s">
        <v>2049</v>
      </c>
      <c r="X694" s="305">
        <v>51</v>
      </c>
      <c r="Y694" s="306">
        <v>3</v>
      </c>
      <c r="Z694" s="307">
        <v>2424</v>
      </c>
      <c r="AA694" s="308">
        <v>2023</v>
      </c>
      <c r="AB694" s="309">
        <v>100</v>
      </c>
      <c r="AC694" s="309"/>
      <c r="AD694" s="308"/>
      <c r="AE694" s="309"/>
      <c r="AF694" s="302"/>
      <c r="AG694" s="310" t="s">
        <v>2050</v>
      </c>
      <c r="AH694" s="311"/>
      <c r="AI694" s="302">
        <v>10</v>
      </c>
      <c r="AJ694" s="311">
        <v>44613</v>
      </c>
      <c r="AK694" s="311" t="s">
        <v>883</v>
      </c>
      <c r="AL694" s="311">
        <v>44586</v>
      </c>
      <c r="AM694" s="301"/>
      <c r="AN694" s="290"/>
      <c r="AO694" s="312" t="str">
        <f>_xlfn.IFNA(IF(VLOOKUP(tabItens[[#This Row],[CÓDIGO]],tabExcluirDoEstoque[#Data],1,FALSE),"sim",""),"")</f>
        <v/>
      </c>
      <c r="AP694" s="313" t="str">
        <f ca="1">IF(OR(ISBLANK(tabItens[[#This Row],[ATA DT.VALID.]]),tabItens[[#This Row],[ATA DT.VALID.]]="",tabItens[[#This Row],[ATA DT.VALID.]]=" "),"",IF(TYPE(tabItens[[#This Row],[ATA DT.VALID.]])=1,ROUNDUP((tabItens[[#This Row],[ATA DT.VALID.]]-TODAY())/7,0),""))</f>
        <v/>
      </c>
      <c r="AQ694" s="314"/>
      <c r="AR694" s="315" t="str">
        <f>IF(ISBLANK(tabItens[[#This Row],[CÓDIGO]]),"",IFERROR(VLOOKUP(tabItens[[#This Row],[CÓDIGO]],Consumo!$C$2:$AC$869,26,FALSE),0))</f>
        <v>04.2023</v>
      </c>
      <c r="AS694" s="316">
        <f>SUMIF(Consumo!$C$3:$C$869,tabItens[[#This Row],[CÓDIGO]],Consumo!$N$3:$N$869) + SUMIF(Consumo!$C$3:$C$869,tabItens[[#This Row],[CÓDIGO]],Consumo!$O$3:$O$869) + SUMIF(Consumo!$C$3:$C$869,tabItens[[#This Row],[CÓDIGO]],Consumo!$P$3:$P$869) + SUMIF(Consumo!$C$3:$C$869,tabItens[[#This Row],[CÓDIGO]],Consumo!$Q$3:$Q$869)</f>
        <v>2</v>
      </c>
      <c r="AT694" s="316">
        <f>SUMIF(Consumo!$C$3:$C$869,tabItens[[#This Row],[CÓDIGO]],Consumo!$Z$3:$Z$869)</f>
        <v>30</v>
      </c>
      <c r="AU694" s="317">
        <f>SUMIF(Consumo!$C$3:$C$869,tabItens[[#This Row],[CÓDIGO]],Consumo!$AA$3:$AA$869)</f>
        <v>15</v>
      </c>
      <c r="AV694" s="318">
        <f>SUMIF(Consumo!$C$3:$C$869,tabItens[[#This Row],[CÓDIGO]],Consumo!$Y$3:$Y$869)</f>
        <v>2.0833333333333335</v>
      </c>
      <c r="AW694" s="291">
        <f>tabItens[[#This Row],[QTDE ATUAL]] + tabItens[[#This Row],[RC QTDE]] + tabItens[[#This Row],[AF SALDO]] + tabItens[[#This Row],[Recentes]]</f>
        <v>122</v>
      </c>
      <c r="AX694" s="319">
        <v>0</v>
      </c>
      <c r="AY694" s="319">
        <v>0</v>
      </c>
      <c r="AZ694" s="319">
        <f>IF(ISBLANK(tabItens[[#This Row],[CÓDIGO]]),"",tabItens[[#This Row],[PontoMês]] * (AZ$2+tabItens[[#This Row],[PontoQtM]]))</f>
        <v>0</v>
      </c>
      <c r="BA694" s="318">
        <f>tabItens[[#This Row],[PontoPed]] - tabItens[[#This Row],[Saldo]] + (1/10)</f>
        <v>-121.9</v>
      </c>
      <c r="BB694" s="318">
        <f xml:space="preserve"> tabItens[[#This Row],[PontoMês]] * BB$2 - tabItens[[#This Row],[QTDE ATUAL]] - (1/10)</f>
        <v>-22.1</v>
      </c>
      <c r="BC694" s="320">
        <f>IF( tabItens[[#This Row],[PontoPed]]&gt;0, IF(tabItens[[#This Row],[PontoPed]]&lt;1, 1, IF( tabItens[[#This Row],[Saldo]]&gt;tabItens[[#This Row],[PontoPed]], 0, (tabItens[[#This Row],[PontoPed]]-tabItens[[#This Row],[Saldo]])/tabItens[[#This Row],[PontoPed]] ) ), 0 )</f>
        <v>0</v>
      </c>
      <c r="BD694" s="321">
        <f>ROUNDDOWN(IF( OR( AND(tabItens[[#This Row],[PontoPed]]&lt;tabItens[[#This Row],[Saldo]],tabItens[[#This Row],[Saldo]]&gt;0), tabItens[[#This Row],[PontoPed]]=0), 99, IF(AND(tabItens[[#This Row],[Saldo]]=0,tabItens[[#This Row],[PontoPed]]&gt;0), 0, (1-tabItens[[#This Row],[PctAb]])*10 ) ),0)</f>
        <v>99</v>
      </c>
      <c r="BE694" s="322">
        <f>MAX(ROUNDDOWN( IF(tabItens[[#This Row],[Abaixo]] &gt; 0,   tabItens[[#This Row],[Abaixo]] + (tabItens[[#This Row],[PontoMês]] * IF( OR( ISBLANK(tabItens[[#This Row],[ATA Nº/ANO]]), tabItens[[#This Row],[ATA Nº/ANO]] = ""),BE$2,BE$1)),0),0),0)</f>
        <v>0</v>
      </c>
      <c r="BF69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23">
        <f>SUMIF(Consumo!$C$3:$C$869,tabItens[[#This Row],[CÓDIGO]],Consumo!$E$3:$E$869)</f>
        <v>0</v>
      </c>
      <c r="BH694" s="324">
        <f>IF(AND(tabItens[[#This Row],[Pend]] &gt; 0,tabItens[[#This Row],[Consumo]] &lt;&gt; 0), tabItens[[#This Row],[Pend]] / tabItens[[#This Row],[Consumo]], 0 )</f>
        <v>0</v>
      </c>
      <c r="BI694" s="323"/>
      <c r="BJ694" s="323"/>
      <c r="BK694" s="325" t="s">
        <v>2064</v>
      </c>
    </row>
    <row r="695" spans="1:63" x14ac:dyDescent="0.3">
      <c r="A695" s="396">
        <v>130632</v>
      </c>
      <c r="B695" s="397" t="s">
        <v>1797</v>
      </c>
      <c r="C695" s="398" t="s">
        <v>31</v>
      </c>
      <c r="D695" s="399">
        <v>38.33</v>
      </c>
      <c r="E695" s="290"/>
      <c r="F695" s="400"/>
      <c r="G695" s="400" t="s">
        <v>883</v>
      </c>
      <c r="H695" s="401">
        <v>0</v>
      </c>
      <c r="I695" s="292">
        <v>103003</v>
      </c>
      <c r="J695" s="293">
        <v>38.33</v>
      </c>
      <c r="K695" s="402">
        <v>29</v>
      </c>
      <c r="L695" s="403">
        <f>IF(tabItens[[#This Row],[Média]] &gt; 0, tabItens[[#This Row],[QTDE ATUAL]] / tabItens[[#This Row],[Média]],999.9)</f>
        <v>0</v>
      </c>
      <c r="M695" s="404">
        <v>0</v>
      </c>
      <c r="N695" s="405">
        <f>tabItens[[#This Row],[VALOR UNIT.]] * tabItens[[#This Row],[LC]]</f>
        <v>0</v>
      </c>
      <c r="O695" s="406"/>
      <c r="P695" s="407"/>
      <c r="Q695" s="408"/>
      <c r="R695" s="297"/>
      <c r="S695" s="409"/>
      <c r="T695" s="410">
        <f>ROUNDDOWN(IFERROR(tabItens[[#This Row],[ATA DT.VALID.]] - $D$1,0) / 30,0)</f>
        <v>-1504</v>
      </c>
      <c r="U695" s="287" t="s">
        <v>961</v>
      </c>
      <c r="V695" s="303">
        <v>1</v>
      </c>
      <c r="W695" s="411" t="s">
        <v>2049</v>
      </c>
      <c r="X695" s="412">
        <v>51</v>
      </c>
      <c r="Y695" s="413">
        <v>3</v>
      </c>
      <c r="Z695" s="414">
        <v>2427</v>
      </c>
      <c r="AA695" s="415">
        <v>2023</v>
      </c>
      <c r="AB695" s="416">
        <v>60</v>
      </c>
      <c r="AC695" s="416"/>
      <c r="AD695" s="415"/>
      <c r="AE695" s="416"/>
      <c r="AF695" s="302"/>
      <c r="AG695" s="417" t="s">
        <v>2050</v>
      </c>
      <c r="AH695" s="418"/>
      <c r="AI695" s="302">
        <v>10</v>
      </c>
      <c r="AJ695" s="418">
        <v>44785</v>
      </c>
      <c r="AK695" s="311">
        <v>42207</v>
      </c>
      <c r="AL695" s="311">
        <v>44755</v>
      </c>
      <c r="AM695" s="301"/>
      <c r="AN695" s="290"/>
      <c r="AO695" s="312" t="str">
        <f>_xlfn.IFNA(IF(VLOOKUP(tabItens[[#This Row],[CÓDIGO]],tabExcluirDoEstoque[#Data],1,FALSE),"sim",""),"")</f>
        <v/>
      </c>
      <c r="AP695" s="419" t="str">
        <f ca="1">IF(OR(ISBLANK(tabItens[[#This Row],[ATA DT.VALID.]]),tabItens[[#This Row],[ATA DT.VALID.]]="",tabItens[[#This Row],[ATA DT.VALID.]]=" "),"",IF(TYPE(tabItens[[#This Row],[ATA DT.VALID.]])=1,ROUNDUP((tabItens[[#This Row],[ATA DT.VALID.]]-TODAY())/7,0),""))</f>
        <v/>
      </c>
      <c r="AQ695" s="314"/>
      <c r="AR695" s="315" t="str">
        <f>IF(ISBLANK(tabItens[[#This Row],[CÓDIGO]]),"",IFERROR(VLOOKUP(tabItens[[#This Row],[CÓDIGO]],Consumo!$C$2:$AC$869,26,FALSE),0))</f>
        <v>06.2023</v>
      </c>
      <c r="AS695" s="316">
        <f>SUMIF(Consumo!$C$3:$C$869,tabItens[[#This Row],[CÓDIGO]],Consumo!$N$3:$N$869) + SUMIF(Consumo!$C$3:$C$869,tabItens[[#This Row],[CÓDIGO]],Consumo!$O$3:$O$869) + SUMIF(Consumo!$C$3:$C$869,tabItens[[#This Row],[CÓDIGO]],Consumo!$P$3:$P$869) + SUMIF(Consumo!$C$3:$C$869,tabItens[[#This Row],[CÓDIGO]],Consumo!$Q$3:$Q$869)</f>
        <v>15</v>
      </c>
      <c r="AT695" s="316">
        <f>SUMIF(Consumo!$C$3:$C$869,tabItens[[#This Row],[CÓDIGO]],Consumo!$Z$3:$Z$869)</f>
        <v>31</v>
      </c>
      <c r="AU695" s="317">
        <f>SUMIF(Consumo!$C$3:$C$869,tabItens[[#This Row],[CÓDIGO]],Consumo!$AA$3:$AA$869)</f>
        <v>15</v>
      </c>
      <c r="AV695" s="318">
        <f>SUMIF(Consumo!$C$3:$C$869,tabItens[[#This Row],[CÓDIGO]],Consumo!$Y$3:$Y$869)</f>
        <v>2.1666666666666665</v>
      </c>
      <c r="AW695" s="401">
        <f>tabItens[[#This Row],[QTDE ATUAL]] + tabItens[[#This Row],[RC QTDE]] + tabItens[[#This Row],[AF SALDO]] + tabItens[[#This Row],[Recentes]]</f>
        <v>60</v>
      </c>
      <c r="AX695" s="420">
        <v>2</v>
      </c>
      <c r="AY695" s="420">
        <v>4</v>
      </c>
      <c r="AZ695" s="420">
        <f>IF(ISBLANK(tabItens[[#This Row],[CÓDIGO]]),"",tabItens[[#This Row],[PontoMês]] * (AZ$2+tabItens[[#This Row],[PontoQtM]]))</f>
        <v>8</v>
      </c>
      <c r="BA695" s="421">
        <f>tabItens[[#This Row],[PontoPed]] - tabItens[[#This Row],[Saldo]] + (1/10)</f>
        <v>-51.9</v>
      </c>
      <c r="BB695" s="421">
        <f xml:space="preserve"> tabItens[[#This Row],[PontoMês]] * BB$2 - tabItens[[#This Row],[QTDE ATUAL]] - (1/10)</f>
        <v>1.9</v>
      </c>
      <c r="BC695" s="320">
        <f>IF( tabItens[[#This Row],[PontoPed]]&gt;0, IF(tabItens[[#This Row],[PontoPed]]&lt;1, 1, IF( tabItens[[#This Row],[Saldo]]&gt;tabItens[[#This Row],[PontoPed]], 0, (tabItens[[#This Row],[PontoPed]]-tabItens[[#This Row],[Saldo]])/tabItens[[#This Row],[PontoPed]] ) ), 0 )</f>
        <v>0</v>
      </c>
      <c r="BD695" s="422">
        <f>ROUNDDOWN(IF( OR( AND(tabItens[[#This Row],[PontoPed]]&lt;tabItens[[#This Row],[Saldo]],tabItens[[#This Row],[Saldo]]&gt;0), tabItens[[#This Row],[PontoPed]]=0), 99, IF(AND(tabItens[[#This Row],[Saldo]]=0,tabItens[[#This Row],[PontoPed]]&gt;0), 0, (1-tabItens[[#This Row],[PctAb]])*10 ) ),0)</f>
        <v>99</v>
      </c>
      <c r="BE695" s="423">
        <f>MAX(ROUNDDOWN( IF(tabItens[[#This Row],[Abaixo]] &gt; 0,   tabItens[[#This Row],[Abaixo]] + (tabItens[[#This Row],[PontoMês]] * IF( OR( ISBLANK(tabItens[[#This Row],[ATA Nº/ANO]]), tabItens[[#This Row],[ATA Nº/ANO]] = ""),BE$2,BE$1)),0),0),0)</f>
        <v>0</v>
      </c>
      <c r="BF695"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23">
        <f>SUMIF(Consumo!$C$3:$C$869,tabItens[[#This Row],[CÓDIGO]],Consumo!$E$3:$E$869)</f>
        <v>1</v>
      </c>
      <c r="BH695" s="324">
        <f>IF(AND(tabItens[[#This Row],[Pend]] &gt; 0,tabItens[[#This Row],[Consumo]] &lt;&gt; 0), tabItens[[#This Row],[Pend]] / tabItens[[#This Row],[Consumo]], 0 )</f>
        <v>3.2258064516129031E-2</v>
      </c>
      <c r="BI695" s="323"/>
      <c r="BJ695" s="424"/>
      <c r="BK695" s="425" t="s">
        <v>2064</v>
      </c>
    </row>
    <row r="696" spans="1:63" hidden="1" x14ac:dyDescent="0.3">
      <c r="A696" s="286">
        <v>13197</v>
      </c>
      <c r="B696" s="287" t="s">
        <v>1025</v>
      </c>
      <c r="C696" s="288" t="s">
        <v>256</v>
      </c>
      <c r="D696" s="289">
        <v>0.28999999999999998</v>
      </c>
      <c r="E696" s="290"/>
      <c r="F696" s="290"/>
      <c r="G696" s="290" t="s">
        <v>883</v>
      </c>
      <c r="H696" s="291">
        <v>269</v>
      </c>
      <c r="I696" s="292">
        <v>103003</v>
      </c>
      <c r="J696" s="293">
        <v>0.28999999999999998</v>
      </c>
      <c r="K696" s="294">
        <v>103</v>
      </c>
      <c r="L696" s="295">
        <f>IF(tabItens[[#This Row],[Média]] &gt; 0, tabItens[[#This Row],[QTDE ATUAL]] / tabItens[[#This Row],[Média]],999.9)</f>
        <v>33.625</v>
      </c>
      <c r="M696" s="296">
        <v>0</v>
      </c>
      <c r="N696" s="297">
        <f>tabItens[[#This Row],[VALOR UNIT.]] * tabItens[[#This Row],[LC]]</f>
        <v>0</v>
      </c>
      <c r="O696" s="298"/>
      <c r="P696" s="299"/>
      <c r="Q696" s="300"/>
      <c r="R696" s="297"/>
      <c r="S696" s="301"/>
      <c r="T696" s="302">
        <f>ROUNDDOWN(IFERROR(tabItens[[#This Row],[ATA DT.VALID.]] - $D$1,0) / 30,0)</f>
        <v>-1504</v>
      </c>
      <c r="U696" s="287" t="s">
        <v>1026</v>
      </c>
      <c r="V696" s="303">
        <v>1</v>
      </c>
      <c r="W696" s="304" t="s">
        <v>2049</v>
      </c>
      <c r="X696" s="305">
        <v>51</v>
      </c>
      <c r="Y696" s="306">
        <v>8</v>
      </c>
      <c r="Z696" s="307"/>
      <c r="AA696" s="308"/>
      <c r="AB696" s="309"/>
      <c r="AC696" s="309"/>
      <c r="AD696" s="308"/>
      <c r="AE696" s="309"/>
      <c r="AF696" s="302"/>
      <c r="AG696" s="310" t="s">
        <v>2050</v>
      </c>
      <c r="AH696" s="311"/>
      <c r="AI696" s="302">
        <v>34</v>
      </c>
      <c r="AJ696" s="311">
        <v>41550</v>
      </c>
      <c r="AK696" s="311" t="s">
        <v>883</v>
      </c>
      <c r="AL696" s="311">
        <v>42501</v>
      </c>
      <c r="AM696" s="301"/>
      <c r="AN696" s="290"/>
      <c r="AO696" s="312" t="str">
        <f>_xlfn.IFNA(IF(VLOOKUP(tabItens[[#This Row],[CÓDIGO]],tabExcluirDoEstoque[#Data],1,FALSE),"sim",""),"")</f>
        <v/>
      </c>
      <c r="AP696" s="313" t="str">
        <f ca="1">IF(OR(ISBLANK(tabItens[[#This Row],[ATA DT.VALID.]]),tabItens[[#This Row],[ATA DT.VALID.]]="",tabItens[[#This Row],[ATA DT.VALID.]]=" "),"",IF(TYPE(tabItens[[#This Row],[ATA DT.VALID.]])=1,ROUNDUP((tabItens[[#This Row],[ATA DT.VALID.]]-TODAY())/7,0),""))</f>
        <v/>
      </c>
      <c r="AQ696" s="314"/>
      <c r="AR696" s="315" t="str">
        <f>IF(ISBLANK(tabItens[[#This Row],[CÓDIGO]]),"",IFERROR(VLOOKUP(tabItens[[#This Row],[CÓDIGO]],Consumo!$C$2:$AC$869,26,FALSE),0))</f>
        <v>04.2023</v>
      </c>
      <c r="AS696" s="316">
        <f>SUMIF(Consumo!$C$3:$C$869,tabItens[[#This Row],[CÓDIGO]],Consumo!$N$3:$N$869) + SUMIF(Consumo!$C$3:$C$869,tabItens[[#This Row],[CÓDIGO]],Consumo!$O$3:$O$869) + SUMIF(Consumo!$C$3:$C$869,tabItens[[#This Row],[CÓDIGO]],Consumo!$P$3:$P$869) + SUMIF(Consumo!$C$3:$C$869,tabItens[[#This Row],[CÓDIGO]],Consumo!$Q$3:$Q$869)</f>
        <v>48</v>
      </c>
      <c r="AT696" s="316">
        <f>SUMIF(Consumo!$C$3:$C$869,tabItens[[#This Row],[CÓDIGO]],Consumo!$Z$3:$Z$869)</f>
        <v>103</v>
      </c>
      <c r="AU696" s="317">
        <f>SUMIF(Consumo!$C$3:$C$869,tabItens[[#This Row],[CÓDIGO]],Consumo!$AA$3:$AA$869)</f>
        <v>55</v>
      </c>
      <c r="AV696" s="318">
        <f>SUMIF(Consumo!$C$3:$C$869,tabItens[[#This Row],[CÓDIGO]],Consumo!$Y$3:$Y$869)</f>
        <v>8</v>
      </c>
      <c r="AW696" s="291">
        <f>tabItens[[#This Row],[QTDE ATUAL]] + tabItens[[#This Row],[RC QTDE]] + tabItens[[#This Row],[AF SALDO]] + tabItens[[#This Row],[Recentes]]</f>
        <v>269</v>
      </c>
      <c r="AX696" s="319">
        <v>14</v>
      </c>
      <c r="AY696" s="319">
        <v>4</v>
      </c>
      <c r="AZ696" s="319">
        <f>IF(ISBLANK(tabItens[[#This Row],[CÓDIGO]]),"",tabItens[[#This Row],[PontoMês]] * (AZ$2+tabItens[[#This Row],[PontoQtM]]))</f>
        <v>56</v>
      </c>
      <c r="BA696" s="318">
        <f>tabItens[[#This Row],[PontoPed]] - tabItens[[#This Row],[Saldo]] + (1/10)</f>
        <v>-212.9</v>
      </c>
      <c r="BB696" s="318">
        <f xml:space="preserve"> tabItens[[#This Row],[PontoMês]] * BB$2 - tabItens[[#This Row],[QTDE ATUAL]] - (1/10)</f>
        <v>-255.1</v>
      </c>
      <c r="BC696" s="320">
        <f>IF( tabItens[[#This Row],[PontoPed]]&gt;0, IF(tabItens[[#This Row],[PontoPed]]&lt;1, 1, IF( tabItens[[#This Row],[Saldo]]&gt;tabItens[[#This Row],[PontoPed]], 0, (tabItens[[#This Row],[PontoPed]]-tabItens[[#This Row],[Saldo]])/tabItens[[#This Row],[PontoPed]] ) ), 0 )</f>
        <v>0</v>
      </c>
      <c r="BD696" s="321">
        <f>ROUNDDOWN(IF( OR( AND(tabItens[[#This Row],[PontoPed]]&lt;tabItens[[#This Row],[Saldo]],tabItens[[#This Row],[Saldo]]&gt;0), tabItens[[#This Row],[PontoPed]]=0), 99, IF(AND(tabItens[[#This Row],[Saldo]]=0,tabItens[[#This Row],[PontoPed]]&gt;0), 0, (1-tabItens[[#This Row],[PctAb]])*10 ) ),0)</f>
        <v>99</v>
      </c>
      <c r="BE696" s="322">
        <f>MAX(ROUNDDOWN( IF(tabItens[[#This Row],[Abaixo]] &gt; 0,   tabItens[[#This Row],[Abaixo]] + (tabItens[[#This Row],[PontoMês]] * IF( OR( ISBLANK(tabItens[[#This Row],[ATA Nº/ANO]]), tabItens[[#This Row],[ATA Nº/ANO]] = ""),BE$2,BE$1)),0),0),0)</f>
        <v>0</v>
      </c>
      <c r="BF69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23">
        <f>SUMIF(Consumo!$C$3:$C$869,tabItens[[#This Row],[CÓDIGO]],Consumo!$E$3:$E$869)</f>
        <v>0</v>
      </c>
      <c r="BH696" s="324">
        <f>IF(AND(tabItens[[#This Row],[Pend]] &gt; 0,tabItens[[#This Row],[Consumo]] &lt;&gt; 0), tabItens[[#This Row],[Pend]] / tabItens[[#This Row],[Consumo]], 0 )</f>
        <v>0</v>
      </c>
      <c r="BI696" s="323"/>
      <c r="BJ696" s="323"/>
      <c r="BK696" s="325" t="s">
        <v>2064</v>
      </c>
    </row>
    <row r="697" spans="1:63" hidden="1" x14ac:dyDescent="0.3">
      <c r="A697" s="286">
        <v>23607</v>
      </c>
      <c r="B697" s="287" t="s">
        <v>1177</v>
      </c>
      <c r="C697" s="288" t="s">
        <v>256</v>
      </c>
      <c r="D697" s="289">
        <v>1.28</v>
      </c>
      <c r="E697" s="290"/>
      <c r="F697" s="290"/>
      <c r="G697" s="290" t="s">
        <v>883</v>
      </c>
      <c r="H697" s="291">
        <v>575</v>
      </c>
      <c r="I697" s="292">
        <v>103003</v>
      </c>
      <c r="J697" s="293">
        <v>1.28</v>
      </c>
      <c r="K697" s="294">
        <v>50</v>
      </c>
      <c r="L697" s="295">
        <f>IF(tabItens[[#This Row],[Média]] &gt; 0, tabItens[[#This Row],[QTDE ATUAL]] / tabItens[[#This Row],[Média]],999.9)</f>
        <v>209.09090909090909</v>
      </c>
      <c r="M697" s="296">
        <v>0</v>
      </c>
      <c r="N697" s="297">
        <f>tabItens[[#This Row],[VALOR UNIT.]] * tabItens[[#This Row],[LC]]</f>
        <v>0</v>
      </c>
      <c r="O697" s="298"/>
      <c r="P697" s="299"/>
      <c r="Q697" s="300"/>
      <c r="R697" s="297"/>
      <c r="S697" s="301"/>
      <c r="T697" s="302">
        <f>ROUNDDOWN(IFERROR(tabItens[[#This Row],[ATA DT.VALID.]] - $D$1,0) / 30,0)</f>
        <v>-1504</v>
      </c>
      <c r="U697" s="287" t="s">
        <v>1003</v>
      </c>
      <c r="V697" s="303">
        <v>1</v>
      </c>
      <c r="W697" s="304" t="s">
        <v>2057</v>
      </c>
      <c r="X697" s="305">
        <v>51</v>
      </c>
      <c r="Y697" s="306">
        <v>11</v>
      </c>
      <c r="Z697" s="307"/>
      <c r="AA697" s="308"/>
      <c r="AB697" s="309"/>
      <c r="AC697" s="309"/>
      <c r="AD697" s="308"/>
      <c r="AE697" s="309"/>
      <c r="AF697" s="302"/>
      <c r="AG697" s="310" t="s">
        <v>2050</v>
      </c>
      <c r="AH697" s="311"/>
      <c r="AI697" s="302">
        <v>18</v>
      </c>
      <c r="AJ697" s="311">
        <v>43775</v>
      </c>
      <c r="AK697" s="311" t="s">
        <v>883</v>
      </c>
      <c r="AL697" s="311">
        <v>43977</v>
      </c>
      <c r="AM697" s="301"/>
      <c r="AN697" s="290"/>
      <c r="AO697" s="312" t="str">
        <f>_xlfn.IFNA(IF(VLOOKUP(tabItens[[#This Row],[CÓDIGO]],tabExcluirDoEstoque[#Data],1,FALSE),"sim",""),"")</f>
        <v/>
      </c>
      <c r="AP697" s="313" t="str">
        <f ca="1">IF(OR(ISBLANK(tabItens[[#This Row],[ATA DT.VALID.]]),tabItens[[#This Row],[ATA DT.VALID.]]="",tabItens[[#This Row],[ATA DT.VALID.]]=" "),"",IF(TYPE(tabItens[[#This Row],[ATA DT.VALID.]])=1,ROUNDUP((tabItens[[#This Row],[ATA DT.VALID.]]-TODAY())/7,0),""))</f>
        <v/>
      </c>
      <c r="AQ697" s="314"/>
      <c r="AR697" s="315" t="str">
        <f>IF(ISBLANK(tabItens[[#This Row],[CÓDIGO]]),"",IFERROR(VLOOKUP(tabItens[[#This Row],[CÓDIGO]],Consumo!$C$2:$AC$869,26,FALSE),0))</f>
        <v>07.2023</v>
      </c>
      <c r="AS697" s="316">
        <f>SUMIF(Consumo!$C$3:$C$869,tabItens[[#This Row],[CÓDIGO]],Consumo!$N$3:$N$869) + SUMIF(Consumo!$C$3:$C$869,tabItens[[#This Row],[CÓDIGO]],Consumo!$O$3:$O$869) + SUMIF(Consumo!$C$3:$C$869,tabItens[[#This Row],[CÓDIGO]],Consumo!$P$3:$P$869) + SUMIF(Consumo!$C$3:$C$869,tabItens[[#This Row],[CÓDIGO]],Consumo!$Q$3:$Q$869)</f>
        <v>50</v>
      </c>
      <c r="AT697" s="316">
        <f>SUMIF(Consumo!$C$3:$C$869,tabItens[[#This Row],[CÓDIGO]],Consumo!$Z$3:$Z$869)</f>
        <v>50</v>
      </c>
      <c r="AU697" s="317">
        <f>SUMIF(Consumo!$C$3:$C$869,tabItens[[#This Row],[CÓDIGO]],Consumo!$AA$3:$AA$869)</f>
        <v>50</v>
      </c>
      <c r="AV697" s="318">
        <f>SUMIF(Consumo!$C$3:$C$869,tabItens[[#This Row],[CÓDIGO]],Consumo!$Y$3:$Y$869)</f>
        <v>2.75</v>
      </c>
      <c r="AW697" s="291">
        <f>tabItens[[#This Row],[QTDE ATUAL]] + tabItens[[#This Row],[RC QTDE]] + tabItens[[#This Row],[AF SALDO]] + tabItens[[#This Row],[Recentes]]</f>
        <v>575</v>
      </c>
      <c r="AX697" s="319">
        <v>17</v>
      </c>
      <c r="AY697" s="319">
        <v>4</v>
      </c>
      <c r="AZ697" s="319">
        <f>IF(ISBLANK(tabItens[[#This Row],[CÓDIGO]]),"",tabItens[[#This Row],[PontoMês]] * (AZ$2+tabItens[[#This Row],[PontoQtM]]))</f>
        <v>68</v>
      </c>
      <c r="BA697" s="318">
        <f>tabItens[[#This Row],[PontoPed]] - tabItens[[#This Row],[Saldo]] + (1/10)</f>
        <v>-506.9</v>
      </c>
      <c r="BB697" s="318">
        <f xml:space="preserve"> tabItens[[#This Row],[PontoMês]] * BB$2 - tabItens[[#This Row],[QTDE ATUAL]] - (1/10)</f>
        <v>-558.1</v>
      </c>
      <c r="BC697" s="320">
        <f>IF( tabItens[[#This Row],[PontoPed]]&gt;0, IF(tabItens[[#This Row],[PontoPed]]&lt;1, 1, IF( tabItens[[#This Row],[Saldo]]&gt;tabItens[[#This Row],[PontoPed]], 0, (tabItens[[#This Row],[PontoPed]]-tabItens[[#This Row],[Saldo]])/tabItens[[#This Row],[PontoPed]] ) ), 0 )</f>
        <v>0</v>
      </c>
      <c r="BD697" s="321">
        <f>ROUNDDOWN(IF( OR( AND(tabItens[[#This Row],[PontoPed]]&lt;tabItens[[#This Row],[Saldo]],tabItens[[#This Row],[Saldo]]&gt;0), tabItens[[#This Row],[PontoPed]]=0), 99, IF(AND(tabItens[[#This Row],[Saldo]]=0,tabItens[[#This Row],[PontoPed]]&gt;0), 0, (1-tabItens[[#This Row],[PctAb]])*10 ) ),0)</f>
        <v>99</v>
      </c>
      <c r="BE697" s="322">
        <f>MAX(ROUNDDOWN( IF(tabItens[[#This Row],[Abaixo]] &gt; 0,   tabItens[[#This Row],[Abaixo]] + (tabItens[[#This Row],[PontoMês]] * IF( OR( ISBLANK(tabItens[[#This Row],[ATA Nº/ANO]]), tabItens[[#This Row],[ATA Nº/ANO]] = ""),BE$2,BE$1)),0),0),0)</f>
        <v>0</v>
      </c>
      <c r="BF69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23">
        <f>SUMIF(Consumo!$C$3:$C$869,tabItens[[#This Row],[CÓDIGO]],Consumo!$E$3:$E$869)</f>
        <v>0</v>
      </c>
      <c r="BH697" s="324">
        <f>IF(AND(tabItens[[#This Row],[Pend]] &gt; 0,tabItens[[#This Row],[Consumo]] &lt;&gt; 0), tabItens[[#This Row],[Pend]] / tabItens[[#This Row],[Consumo]], 0 )</f>
        <v>0</v>
      </c>
      <c r="BI697" s="323"/>
      <c r="BJ697" s="323"/>
      <c r="BK697" s="325" t="s">
        <v>2064</v>
      </c>
    </row>
    <row r="698" spans="1:63" hidden="1" x14ac:dyDescent="0.3">
      <c r="A698" s="286">
        <v>14056</v>
      </c>
      <c r="B698" s="287" t="s">
        <v>1053</v>
      </c>
      <c r="C698" s="288" t="s">
        <v>256</v>
      </c>
      <c r="D698" s="289">
        <v>2.98</v>
      </c>
      <c r="E698" s="290"/>
      <c r="F698" s="290"/>
      <c r="G698" s="290" t="s">
        <v>883</v>
      </c>
      <c r="H698" s="291">
        <v>122</v>
      </c>
      <c r="I698" s="292">
        <v>103003</v>
      </c>
      <c r="J698" s="293">
        <v>2.98</v>
      </c>
      <c r="K698" s="294">
        <v>8</v>
      </c>
      <c r="L698" s="295">
        <f>IF(tabItens[[#This Row],[Média]] &gt; 0, tabItens[[#This Row],[QTDE ATUAL]] / tabItens[[#This Row],[Média]],999.9)</f>
        <v>183</v>
      </c>
      <c r="M698" s="296">
        <v>0</v>
      </c>
      <c r="N698" s="297">
        <f>tabItens[[#This Row],[VALOR UNIT.]] * tabItens[[#This Row],[LC]]</f>
        <v>0</v>
      </c>
      <c r="O698" s="298"/>
      <c r="P698" s="299"/>
      <c r="Q698" s="300"/>
      <c r="R698" s="297"/>
      <c r="S698" s="301"/>
      <c r="T698" s="302">
        <f>ROUNDDOWN(IFERROR(tabItens[[#This Row],[ATA DT.VALID.]] - $D$1,0) / 30,0)</f>
        <v>-1504</v>
      </c>
      <c r="U698" s="287" t="s">
        <v>1019</v>
      </c>
      <c r="V698" s="303">
        <v>1</v>
      </c>
      <c r="W698" s="304" t="s">
        <v>2051</v>
      </c>
      <c r="X698" s="305">
        <v>51</v>
      </c>
      <c r="Y698" s="306">
        <v>12</v>
      </c>
      <c r="Z698" s="307"/>
      <c r="AA698" s="308"/>
      <c r="AB698" s="309"/>
      <c r="AC698" s="309"/>
      <c r="AD698" s="308"/>
      <c r="AE698" s="309"/>
      <c r="AF698" s="302"/>
      <c r="AG698" s="310" t="s">
        <v>2050</v>
      </c>
      <c r="AH698" s="311"/>
      <c r="AI698" s="302">
        <v>2</v>
      </c>
      <c r="AJ698" s="311">
        <v>43668</v>
      </c>
      <c r="AK698" s="311" t="s">
        <v>883</v>
      </c>
      <c r="AL698" s="311">
        <v>43524</v>
      </c>
      <c r="AM698" s="301"/>
      <c r="AN698" s="290"/>
      <c r="AO698" s="312" t="str">
        <f>_xlfn.IFNA(IF(VLOOKUP(tabItens[[#This Row],[CÓDIGO]],tabExcluirDoEstoque[#Data],1,FALSE),"sim",""),"")</f>
        <v/>
      </c>
      <c r="AP698" s="313" t="str">
        <f ca="1">IF(OR(ISBLANK(tabItens[[#This Row],[ATA DT.VALID.]]),tabItens[[#This Row],[ATA DT.VALID.]]="",tabItens[[#This Row],[ATA DT.VALID.]]=" "),"",IF(TYPE(tabItens[[#This Row],[ATA DT.VALID.]])=1,ROUNDUP((tabItens[[#This Row],[ATA DT.VALID.]]-TODAY())/7,0),""))</f>
        <v/>
      </c>
      <c r="AQ698" s="314"/>
      <c r="AR698" s="315" t="str">
        <f>IF(ISBLANK(tabItens[[#This Row],[CÓDIGO]]),"",IFERROR(VLOOKUP(tabItens[[#This Row],[CÓDIGO]],Consumo!$C$2:$AC$869,26,FALSE),0))</f>
        <v>06.2023</v>
      </c>
      <c r="AS698" s="316">
        <f>SUMIF(Consumo!$C$3:$C$869,tabItens[[#This Row],[CÓDIGO]],Consumo!$N$3:$N$869) + SUMIF(Consumo!$C$3:$C$869,tabItens[[#This Row],[CÓDIGO]],Consumo!$O$3:$O$869) + SUMIF(Consumo!$C$3:$C$869,tabItens[[#This Row],[CÓDIGO]],Consumo!$P$3:$P$869) + SUMIF(Consumo!$C$3:$C$869,tabItens[[#This Row],[CÓDIGO]],Consumo!$Q$3:$Q$869)</f>
        <v>2</v>
      </c>
      <c r="AT698" s="316">
        <f>SUMIF(Consumo!$C$3:$C$869,tabItens[[#This Row],[CÓDIGO]],Consumo!$Z$3:$Z$869)</f>
        <v>8</v>
      </c>
      <c r="AU698" s="317">
        <f>SUMIF(Consumo!$C$3:$C$869,tabItens[[#This Row],[CÓDIGO]],Consumo!$AA$3:$AA$869)</f>
        <v>2</v>
      </c>
      <c r="AV698" s="318">
        <f>SUMIF(Consumo!$C$3:$C$869,tabItens[[#This Row],[CÓDIGO]],Consumo!$Y$3:$Y$869)</f>
        <v>0.66666666666666663</v>
      </c>
      <c r="AW698" s="291">
        <f>tabItens[[#This Row],[QTDE ATUAL]] + tabItens[[#This Row],[RC QTDE]] + tabItens[[#This Row],[AF SALDO]] + tabItens[[#This Row],[Recentes]]</f>
        <v>122</v>
      </c>
      <c r="AX698" s="319">
        <v>1</v>
      </c>
      <c r="AY698" s="319">
        <v>4</v>
      </c>
      <c r="AZ698" s="319">
        <f>IF(ISBLANK(tabItens[[#This Row],[CÓDIGO]]),"",tabItens[[#This Row],[PontoMês]] * (AZ$2+tabItens[[#This Row],[PontoQtM]]))</f>
        <v>4</v>
      </c>
      <c r="BA698" s="318">
        <f>tabItens[[#This Row],[PontoPed]] - tabItens[[#This Row],[Saldo]] + (1/10)</f>
        <v>-117.9</v>
      </c>
      <c r="BB698" s="318">
        <f xml:space="preserve"> tabItens[[#This Row],[PontoMês]] * BB$2 - tabItens[[#This Row],[QTDE ATUAL]] - (1/10)</f>
        <v>-121.1</v>
      </c>
      <c r="BC698" s="320">
        <f>IF( tabItens[[#This Row],[PontoPed]]&gt;0, IF(tabItens[[#This Row],[PontoPed]]&lt;1, 1, IF( tabItens[[#This Row],[Saldo]]&gt;tabItens[[#This Row],[PontoPed]], 0, (tabItens[[#This Row],[PontoPed]]-tabItens[[#This Row],[Saldo]])/tabItens[[#This Row],[PontoPed]] ) ), 0 )</f>
        <v>0</v>
      </c>
      <c r="BD698" s="321">
        <f>ROUNDDOWN(IF( OR( AND(tabItens[[#This Row],[PontoPed]]&lt;tabItens[[#This Row],[Saldo]],tabItens[[#This Row],[Saldo]]&gt;0), tabItens[[#This Row],[PontoPed]]=0), 99, IF(AND(tabItens[[#This Row],[Saldo]]=0,tabItens[[#This Row],[PontoPed]]&gt;0), 0, (1-tabItens[[#This Row],[PctAb]])*10 ) ),0)</f>
        <v>99</v>
      </c>
      <c r="BE698" s="322">
        <f>MAX(ROUNDDOWN( IF(tabItens[[#This Row],[Abaixo]] &gt; 0,   tabItens[[#This Row],[Abaixo]] + (tabItens[[#This Row],[PontoMês]] * IF( OR( ISBLANK(tabItens[[#This Row],[ATA Nº/ANO]]), tabItens[[#This Row],[ATA Nº/ANO]] = ""),BE$2,BE$1)),0),0),0)</f>
        <v>0</v>
      </c>
      <c r="BF69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23">
        <f>SUMIF(Consumo!$C$3:$C$869,tabItens[[#This Row],[CÓDIGO]],Consumo!$E$3:$E$869)</f>
        <v>0</v>
      </c>
      <c r="BH698" s="324">
        <f>IF(AND(tabItens[[#This Row],[Pend]] &gt; 0,tabItens[[#This Row],[Consumo]] &lt;&gt; 0), tabItens[[#This Row],[Pend]] / tabItens[[#This Row],[Consumo]], 0 )</f>
        <v>0</v>
      </c>
      <c r="BI698" s="323"/>
      <c r="BJ698" s="323"/>
      <c r="BK698" s="325" t="s">
        <v>2064</v>
      </c>
    </row>
    <row r="699" spans="1:63" hidden="1" x14ac:dyDescent="0.3">
      <c r="A699" s="286">
        <v>87247</v>
      </c>
      <c r="B699" s="287" t="s">
        <v>1484</v>
      </c>
      <c r="C699" s="288" t="s">
        <v>256</v>
      </c>
      <c r="D699" s="289">
        <v>2.7</v>
      </c>
      <c r="E699" s="290"/>
      <c r="F699" s="290"/>
      <c r="G699" s="290" t="s">
        <v>883</v>
      </c>
      <c r="H699" s="291">
        <v>347</v>
      </c>
      <c r="I699" s="292">
        <v>103003</v>
      </c>
      <c r="J699" s="293">
        <v>2.7</v>
      </c>
      <c r="K699" s="294">
        <v>39</v>
      </c>
      <c r="L699" s="295">
        <f>IF(tabItens[[#This Row],[Média]] &gt; 0, tabItens[[#This Row],[QTDE ATUAL]] / tabItens[[#This Row],[Média]],999.9)</f>
        <v>122.47058823529412</v>
      </c>
      <c r="M699" s="296">
        <v>0</v>
      </c>
      <c r="N699" s="297">
        <f>tabItens[[#This Row],[VALOR UNIT.]] * tabItens[[#This Row],[LC]]</f>
        <v>0</v>
      </c>
      <c r="O699" s="298"/>
      <c r="P699" s="299"/>
      <c r="Q699" s="300"/>
      <c r="R699" s="297"/>
      <c r="S699" s="301"/>
      <c r="T699" s="302">
        <f>ROUNDDOWN(IFERROR(tabItens[[#This Row],[ATA DT.VALID.]] - $D$1,0) / 30,0)</f>
        <v>-1504</v>
      </c>
      <c r="U699" s="287" t="s">
        <v>1019</v>
      </c>
      <c r="V699" s="303">
        <v>1</v>
      </c>
      <c r="W699" s="304" t="s">
        <v>2051</v>
      </c>
      <c r="X699" s="305">
        <v>51</v>
      </c>
      <c r="Y699" s="306">
        <v>12</v>
      </c>
      <c r="Z699" s="307"/>
      <c r="AA699" s="308"/>
      <c r="AB699" s="309"/>
      <c r="AC699" s="309"/>
      <c r="AD699" s="308"/>
      <c r="AE699" s="309"/>
      <c r="AF699" s="302"/>
      <c r="AG699" s="310" t="s">
        <v>2050</v>
      </c>
      <c r="AH699" s="311"/>
      <c r="AI699" s="302">
        <v>14</v>
      </c>
      <c r="AJ699" s="311">
        <v>43991</v>
      </c>
      <c r="AK699" s="311">
        <v>38581</v>
      </c>
      <c r="AL699" s="311">
        <v>44592</v>
      </c>
      <c r="AM699" s="301"/>
      <c r="AN699" s="290"/>
      <c r="AO699" s="312" t="str">
        <f>_xlfn.IFNA(IF(VLOOKUP(tabItens[[#This Row],[CÓDIGO]],tabExcluirDoEstoque[#Data],1,FALSE),"sim",""),"")</f>
        <v/>
      </c>
      <c r="AP699" s="313" t="str">
        <f ca="1">IF(OR(ISBLANK(tabItens[[#This Row],[ATA DT.VALID.]]),tabItens[[#This Row],[ATA DT.VALID.]]="",tabItens[[#This Row],[ATA DT.VALID.]]=" "),"",IF(TYPE(tabItens[[#This Row],[ATA DT.VALID.]])=1,ROUNDUP((tabItens[[#This Row],[ATA DT.VALID.]]-TODAY())/7,0),""))</f>
        <v/>
      </c>
      <c r="AQ699" s="314"/>
      <c r="AR699" s="315" t="str">
        <f>IF(ISBLANK(tabItens[[#This Row],[CÓDIGO]]),"",IFERROR(VLOOKUP(tabItens[[#This Row],[CÓDIGO]],Consumo!$C$2:$AC$869,26,FALSE),0))</f>
        <v>06.2023</v>
      </c>
      <c r="AS699" s="316">
        <f>SUMIF(Consumo!$C$3:$C$869,tabItens[[#This Row],[CÓDIGO]],Consumo!$N$3:$N$869) + SUMIF(Consumo!$C$3:$C$869,tabItens[[#This Row],[CÓDIGO]],Consumo!$O$3:$O$869) + SUMIF(Consumo!$C$3:$C$869,tabItens[[#This Row],[CÓDIGO]],Consumo!$P$3:$P$869) + SUMIF(Consumo!$C$3:$C$869,tabItens[[#This Row],[CÓDIGO]],Consumo!$Q$3:$Q$869)</f>
        <v>2</v>
      </c>
      <c r="AT699" s="316">
        <f>SUMIF(Consumo!$C$3:$C$869,tabItens[[#This Row],[CÓDIGO]],Consumo!$Z$3:$Z$869)</f>
        <v>39</v>
      </c>
      <c r="AU699" s="317">
        <f>SUMIF(Consumo!$C$3:$C$869,tabItens[[#This Row],[CÓDIGO]],Consumo!$AA$3:$AA$869)</f>
        <v>20</v>
      </c>
      <c r="AV699" s="318">
        <f>SUMIF(Consumo!$C$3:$C$869,tabItens[[#This Row],[CÓDIGO]],Consumo!$Y$3:$Y$869)</f>
        <v>2.8333333333333335</v>
      </c>
      <c r="AW699" s="291">
        <f>tabItens[[#This Row],[QTDE ATUAL]] + tabItens[[#This Row],[RC QTDE]] + tabItens[[#This Row],[AF SALDO]] + tabItens[[#This Row],[Recentes]]</f>
        <v>347</v>
      </c>
      <c r="AX699" s="319">
        <v>11</v>
      </c>
      <c r="AY699" s="319">
        <v>4</v>
      </c>
      <c r="AZ699" s="319">
        <f>IF(ISBLANK(tabItens[[#This Row],[CÓDIGO]]),"",tabItens[[#This Row],[PontoMês]] * (AZ$2+tabItens[[#This Row],[PontoQtM]]))</f>
        <v>44</v>
      </c>
      <c r="BA699" s="318">
        <f>tabItens[[#This Row],[PontoPed]] - tabItens[[#This Row],[Saldo]] + (1/10)</f>
        <v>-302.89999999999998</v>
      </c>
      <c r="BB699" s="318">
        <f xml:space="preserve"> tabItens[[#This Row],[PontoMês]] * BB$2 - tabItens[[#This Row],[QTDE ATUAL]] - (1/10)</f>
        <v>-336.1</v>
      </c>
      <c r="BC699" s="320">
        <f>IF( tabItens[[#This Row],[PontoPed]]&gt;0, IF(tabItens[[#This Row],[PontoPed]]&lt;1, 1, IF( tabItens[[#This Row],[Saldo]]&gt;tabItens[[#This Row],[PontoPed]], 0, (tabItens[[#This Row],[PontoPed]]-tabItens[[#This Row],[Saldo]])/tabItens[[#This Row],[PontoPed]] ) ), 0 )</f>
        <v>0</v>
      </c>
      <c r="BD699" s="321">
        <f>ROUNDDOWN(IF( OR( AND(tabItens[[#This Row],[PontoPed]]&lt;tabItens[[#This Row],[Saldo]],tabItens[[#This Row],[Saldo]]&gt;0), tabItens[[#This Row],[PontoPed]]=0), 99, IF(AND(tabItens[[#This Row],[Saldo]]=0,tabItens[[#This Row],[PontoPed]]&gt;0), 0, (1-tabItens[[#This Row],[PctAb]])*10 ) ),0)</f>
        <v>99</v>
      </c>
      <c r="BE699" s="322">
        <f>MAX(ROUNDDOWN( IF(tabItens[[#This Row],[Abaixo]] &gt; 0,   tabItens[[#This Row],[Abaixo]] + (tabItens[[#This Row],[PontoMês]] * IF( OR( ISBLANK(tabItens[[#This Row],[ATA Nº/ANO]]), tabItens[[#This Row],[ATA Nº/ANO]] = ""),BE$2,BE$1)),0),0),0)</f>
        <v>0</v>
      </c>
      <c r="BF69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23">
        <f>SUMIF(Consumo!$C$3:$C$869,tabItens[[#This Row],[CÓDIGO]],Consumo!$E$3:$E$869)</f>
        <v>0</v>
      </c>
      <c r="BH699" s="324">
        <f>IF(AND(tabItens[[#This Row],[Pend]] &gt; 0,tabItens[[#This Row],[Consumo]] &lt;&gt; 0), tabItens[[#This Row],[Pend]] / tabItens[[#This Row],[Consumo]], 0 )</f>
        <v>0</v>
      </c>
      <c r="BI699" s="323"/>
      <c r="BJ699" s="323"/>
      <c r="BK699" s="325" t="s">
        <v>2064</v>
      </c>
    </row>
    <row r="700" spans="1:63" hidden="1" x14ac:dyDescent="0.3">
      <c r="A700" s="286">
        <v>88876</v>
      </c>
      <c r="B700" s="287" t="s">
        <v>1512</v>
      </c>
      <c r="C700" s="288" t="s">
        <v>256</v>
      </c>
      <c r="D700" s="289">
        <v>12.35</v>
      </c>
      <c r="E700" s="290"/>
      <c r="F700" s="290"/>
      <c r="G700" s="290" t="s">
        <v>883</v>
      </c>
      <c r="H700" s="291">
        <v>692</v>
      </c>
      <c r="I700" s="292">
        <v>103003</v>
      </c>
      <c r="J700" s="293">
        <v>12.35</v>
      </c>
      <c r="K700" s="294">
        <v>300</v>
      </c>
      <c r="L700" s="295">
        <f>IF(tabItens[[#This Row],[Média]] &gt; 0, tabItens[[#This Row],[QTDE ATUAL]] / tabItens[[#This Row],[Média]],999.9)</f>
        <v>33.349397590361448</v>
      </c>
      <c r="M700" s="296">
        <v>0</v>
      </c>
      <c r="N700" s="297">
        <f>tabItens[[#This Row],[VALOR UNIT.]] * tabItens[[#This Row],[LC]]</f>
        <v>0</v>
      </c>
      <c r="O700" s="298"/>
      <c r="P700" s="299"/>
      <c r="Q700" s="300"/>
      <c r="R700" s="297"/>
      <c r="S700" s="301"/>
      <c r="T700" s="302">
        <f>ROUNDDOWN(IFERROR(tabItens[[#This Row],[ATA DT.VALID.]] - $D$1,0) / 30,0)</f>
        <v>-1504</v>
      </c>
      <c r="U700" s="287" t="s">
        <v>1211</v>
      </c>
      <c r="V700" s="303">
        <v>1</v>
      </c>
      <c r="W700" s="304" t="s">
        <v>2049</v>
      </c>
      <c r="X700" s="305">
        <v>51</v>
      </c>
      <c r="Y700" s="306">
        <v>26</v>
      </c>
      <c r="Z700" s="307"/>
      <c r="AA700" s="308"/>
      <c r="AB700" s="309"/>
      <c r="AC700" s="309"/>
      <c r="AD700" s="308"/>
      <c r="AE700" s="309"/>
      <c r="AF700" s="302"/>
      <c r="AG700" s="310" t="s">
        <v>2050</v>
      </c>
      <c r="AH700" s="311"/>
      <c r="AI700" s="302">
        <v>100</v>
      </c>
      <c r="AJ700" s="311">
        <v>44553</v>
      </c>
      <c r="AK700" s="311">
        <v>38664</v>
      </c>
      <c r="AL700" s="311">
        <v>44929</v>
      </c>
      <c r="AM700" s="301"/>
      <c r="AN700" s="290"/>
      <c r="AO700" s="312" t="str">
        <f>_xlfn.IFNA(IF(VLOOKUP(tabItens[[#This Row],[CÓDIGO]],tabExcluirDoEstoque[#Data],1,FALSE),"sim",""),"")</f>
        <v/>
      </c>
      <c r="AP700" s="313" t="str">
        <f ca="1">IF(OR(ISBLANK(tabItens[[#This Row],[ATA DT.VALID.]]),tabItens[[#This Row],[ATA DT.VALID.]]="",tabItens[[#This Row],[ATA DT.VALID.]]=" "),"",IF(TYPE(tabItens[[#This Row],[ATA DT.VALID.]])=1,ROUNDUP((tabItens[[#This Row],[ATA DT.VALID.]]-TODAY())/7,0),""))</f>
        <v/>
      </c>
      <c r="AQ700" s="314"/>
      <c r="AR700" s="315" t="str">
        <f>IF(ISBLANK(tabItens[[#This Row],[CÓDIGO]]),"",IFERROR(VLOOKUP(tabItens[[#This Row],[CÓDIGO]],Consumo!$C$2:$AC$869,26,FALSE),0))</f>
        <v>04.2023</v>
      </c>
      <c r="AS700" s="316">
        <f>SUMIF(Consumo!$C$3:$C$869,tabItens[[#This Row],[CÓDIGO]],Consumo!$N$3:$N$869) + SUMIF(Consumo!$C$3:$C$869,tabItens[[#This Row],[CÓDIGO]],Consumo!$O$3:$O$869) + SUMIF(Consumo!$C$3:$C$869,tabItens[[#This Row],[CÓDIGO]],Consumo!$P$3:$P$869) + SUMIF(Consumo!$C$3:$C$869,tabItens[[#This Row],[CÓDIGO]],Consumo!$Q$3:$Q$869)</f>
        <v>200</v>
      </c>
      <c r="AT700" s="316">
        <f>SUMIF(Consumo!$C$3:$C$869,tabItens[[#This Row],[CÓDIGO]],Consumo!$Z$3:$Z$869)</f>
        <v>300</v>
      </c>
      <c r="AU700" s="317">
        <f>SUMIF(Consumo!$C$3:$C$869,tabItens[[#This Row],[CÓDIGO]],Consumo!$AA$3:$AA$869)</f>
        <v>200</v>
      </c>
      <c r="AV700" s="318">
        <f>SUMIF(Consumo!$C$3:$C$869,tabItens[[#This Row],[CÓDIGO]],Consumo!$Y$3:$Y$869)</f>
        <v>20.75</v>
      </c>
      <c r="AW700" s="291">
        <f>tabItens[[#This Row],[QTDE ATUAL]] + tabItens[[#This Row],[RC QTDE]] + tabItens[[#This Row],[AF SALDO]] + tabItens[[#This Row],[Recentes]]</f>
        <v>692</v>
      </c>
      <c r="AX700" s="319">
        <v>17</v>
      </c>
      <c r="AY700" s="319">
        <v>4</v>
      </c>
      <c r="AZ700" s="319">
        <f>IF(ISBLANK(tabItens[[#This Row],[CÓDIGO]]),"",tabItens[[#This Row],[PontoMês]] * (AZ$2+tabItens[[#This Row],[PontoQtM]]))</f>
        <v>68</v>
      </c>
      <c r="BA700" s="318">
        <f>tabItens[[#This Row],[PontoPed]] - tabItens[[#This Row],[Saldo]] + (1/10)</f>
        <v>-623.9</v>
      </c>
      <c r="BB700" s="318">
        <f xml:space="preserve"> tabItens[[#This Row],[PontoMês]] * BB$2 - tabItens[[#This Row],[QTDE ATUAL]] - (1/10)</f>
        <v>-675.1</v>
      </c>
      <c r="BC700" s="320">
        <f>IF( tabItens[[#This Row],[PontoPed]]&gt;0, IF(tabItens[[#This Row],[PontoPed]]&lt;1, 1, IF( tabItens[[#This Row],[Saldo]]&gt;tabItens[[#This Row],[PontoPed]], 0, (tabItens[[#This Row],[PontoPed]]-tabItens[[#This Row],[Saldo]])/tabItens[[#This Row],[PontoPed]] ) ), 0 )</f>
        <v>0</v>
      </c>
      <c r="BD700" s="321">
        <f>ROUNDDOWN(IF( OR( AND(tabItens[[#This Row],[PontoPed]]&lt;tabItens[[#This Row],[Saldo]],tabItens[[#This Row],[Saldo]]&gt;0), tabItens[[#This Row],[PontoPed]]=0), 99, IF(AND(tabItens[[#This Row],[Saldo]]=0,tabItens[[#This Row],[PontoPed]]&gt;0), 0, (1-tabItens[[#This Row],[PctAb]])*10 ) ),0)</f>
        <v>99</v>
      </c>
      <c r="BE700" s="322">
        <f>MAX(ROUNDDOWN( IF(tabItens[[#This Row],[Abaixo]] &gt; 0,   tabItens[[#This Row],[Abaixo]] + (tabItens[[#This Row],[PontoMês]] * IF( OR( ISBLANK(tabItens[[#This Row],[ATA Nº/ANO]]), tabItens[[#This Row],[ATA Nº/ANO]] = ""),BE$2,BE$1)),0),0),0)</f>
        <v>0</v>
      </c>
      <c r="BF70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23">
        <f>SUMIF(Consumo!$C$3:$C$869,tabItens[[#This Row],[CÓDIGO]],Consumo!$E$3:$E$869)</f>
        <v>0</v>
      </c>
      <c r="BH700" s="324">
        <f>IF(AND(tabItens[[#This Row],[Pend]] &gt; 0,tabItens[[#This Row],[Consumo]] &lt;&gt; 0), tabItens[[#This Row],[Pend]] / tabItens[[#This Row],[Consumo]], 0 )</f>
        <v>0</v>
      </c>
      <c r="BI700" s="323"/>
      <c r="BJ700" s="323"/>
      <c r="BK700" s="325" t="s">
        <v>2064</v>
      </c>
    </row>
    <row r="701" spans="1:63" x14ac:dyDescent="0.3">
      <c r="A701" s="396">
        <v>78303</v>
      </c>
      <c r="B701" s="397" t="s">
        <v>1435</v>
      </c>
      <c r="C701" s="398" t="s">
        <v>256</v>
      </c>
      <c r="D701" s="399">
        <v>274</v>
      </c>
      <c r="E701" s="290"/>
      <c r="F701" s="400"/>
      <c r="G701" s="400" t="s">
        <v>883</v>
      </c>
      <c r="H701" s="401">
        <v>0</v>
      </c>
      <c r="I701" s="292">
        <v>103003</v>
      </c>
      <c r="J701" s="293">
        <v>274</v>
      </c>
      <c r="K701" s="402">
        <v>6</v>
      </c>
      <c r="L701" s="403">
        <f>IF(tabItens[[#This Row],[Média]] &gt; 0, tabItens[[#This Row],[QTDE ATUAL]] / tabItens[[#This Row],[Média]],999.9)</f>
        <v>0</v>
      </c>
      <c r="M701" s="404">
        <v>0</v>
      </c>
      <c r="N701" s="405">
        <f>tabItens[[#This Row],[VALOR UNIT.]] * tabItens[[#This Row],[LC]]</f>
        <v>0</v>
      </c>
      <c r="O701" s="406"/>
      <c r="P701" s="407"/>
      <c r="Q701" s="408"/>
      <c r="R701" s="297"/>
      <c r="S701" s="409"/>
      <c r="T701" s="410">
        <f>ROUNDDOWN(IFERROR(tabItens[[#This Row],[ATA DT.VALID.]] - $D$1,0) / 30,0)</f>
        <v>-1504</v>
      </c>
      <c r="U701" s="287" t="s">
        <v>1436</v>
      </c>
      <c r="V701" s="303">
        <v>1</v>
      </c>
      <c r="W701" s="411" t="s">
        <v>2049</v>
      </c>
      <c r="X701" s="412">
        <v>51</v>
      </c>
      <c r="Y701" s="413">
        <v>36</v>
      </c>
      <c r="Z701" s="414"/>
      <c r="AA701" s="415"/>
      <c r="AB701" s="416"/>
      <c r="AC701" s="416">
        <v>8936</v>
      </c>
      <c r="AD701" s="415">
        <v>2023</v>
      </c>
      <c r="AE701" s="416">
        <v>20</v>
      </c>
      <c r="AF701" s="302">
        <v>20</v>
      </c>
      <c r="AG701" s="417" t="s">
        <v>2042</v>
      </c>
      <c r="AH701" s="418">
        <v>45162</v>
      </c>
      <c r="AI701" s="302">
        <v>2</v>
      </c>
      <c r="AJ701" s="418">
        <v>44516</v>
      </c>
      <c r="AK701" s="311">
        <v>38085</v>
      </c>
      <c r="AL701" s="311">
        <v>45131</v>
      </c>
      <c r="AM701" s="301"/>
      <c r="AN701" s="290"/>
      <c r="AO701" s="312" t="str">
        <f>_xlfn.IFNA(IF(VLOOKUP(tabItens[[#This Row],[CÓDIGO]],tabExcluirDoEstoque[#Data],1,FALSE),"sim",""),"")</f>
        <v/>
      </c>
      <c r="AP701" s="419" t="str">
        <f ca="1">IF(OR(ISBLANK(tabItens[[#This Row],[ATA DT.VALID.]]),tabItens[[#This Row],[ATA DT.VALID.]]="",tabItens[[#This Row],[ATA DT.VALID.]]=" "),"",IF(TYPE(tabItens[[#This Row],[ATA DT.VALID.]])=1,ROUNDUP((tabItens[[#This Row],[ATA DT.VALID.]]-TODAY())/7,0),""))</f>
        <v/>
      </c>
      <c r="AQ701" s="314"/>
      <c r="AR701" s="315" t="str">
        <f>IF(ISBLANK(tabItens[[#This Row],[CÓDIGO]]),"",IFERROR(VLOOKUP(tabItens[[#This Row],[CÓDIGO]],Consumo!$C$2:$AC$869,26,FALSE),0))</f>
        <v>04.2023</v>
      </c>
      <c r="AS701" s="316">
        <f>SUMIF(Consumo!$C$3:$C$869,tabItens[[#This Row],[CÓDIGO]],Consumo!$N$3:$N$869) + SUMIF(Consumo!$C$3:$C$869,tabItens[[#This Row],[CÓDIGO]],Consumo!$O$3:$O$869) + SUMIF(Consumo!$C$3:$C$869,tabItens[[#This Row],[CÓDIGO]],Consumo!$P$3:$P$869) + SUMIF(Consumo!$C$3:$C$869,tabItens[[#This Row],[CÓDIGO]],Consumo!$Q$3:$Q$869)</f>
        <v>1</v>
      </c>
      <c r="AT701" s="316">
        <f>SUMIF(Consumo!$C$3:$C$869,tabItens[[#This Row],[CÓDIGO]],Consumo!$Z$3:$Z$869)</f>
        <v>6</v>
      </c>
      <c r="AU701" s="317">
        <f>SUMIF(Consumo!$C$3:$C$869,tabItens[[#This Row],[CÓDIGO]],Consumo!$AA$3:$AA$869)</f>
        <v>3</v>
      </c>
      <c r="AV701" s="318">
        <f>SUMIF(Consumo!$C$3:$C$869,tabItens[[#This Row],[CÓDIGO]],Consumo!$Y$3:$Y$869)</f>
        <v>0.41666666666666669</v>
      </c>
      <c r="AW701" s="401">
        <f>tabItens[[#This Row],[QTDE ATUAL]] + tabItens[[#This Row],[RC QTDE]] + tabItens[[#This Row],[AF SALDO]] + tabItens[[#This Row],[Recentes]]</f>
        <v>20</v>
      </c>
      <c r="AX701" s="420">
        <v>0</v>
      </c>
      <c r="AY701" s="420">
        <v>4</v>
      </c>
      <c r="AZ701" s="420">
        <f>IF(ISBLANK(tabItens[[#This Row],[CÓDIGO]]),"",tabItens[[#This Row],[PontoMês]] * (AZ$2+tabItens[[#This Row],[PontoQtM]]))</f>
        <v>0</v>
      </c>
      <c r="BA701" s="421">
        <f>tabItens[[#This Row],[PontoPed]] - tabItens[[#This Row],[Saldo]] + (1/10)</f>
        <v>-19.899999999999999</v>
      </c>
      <c r="BB701" s="421">
        <f xml:space="preserve"> tabItens[[#This Row],[PontoMês]] * BB$2 - tabItens[[#This Row],[QTDE ATUAL]] - (1/10)</f>
        <v>-0.1</v>
      </c>
      <c r="BC701" s="320">
        <f>IF( tabItens[[#This Row],[PontoPed]]&gt;0, IF(tabItens[[#This Row],[PontoPed]]&lt;1, 1, IF( tabItens[[#This Row],[Saldo]]&gt;tabItens[[#This Row],[PontoPed]], 0, (tabItens[[#This Row],[PontoPed]]-tabItens[[#This Row],[Saldo]])/tabItens[[#This Row],[PontoPed]] ) ), 0 )</f>
        <v>0</v>
      </c>
      <c r="BD701" s="422">
        <f>ROUNDDOWN(IF( OR( AND(tabItens[[#This Row],[PontoPed]]&lt;tabItens[[#This Row],[Saldo]],tabItens[[#This Row],[Saldo]]&gt;0), tabItens[[#This Row],[PontoPed]]=0), 99, IF(AND(tabItens[[#This Row],[Saldo]]=0,tabItens[[#This Row],[PontoPed]]&gt;0), 0, (1-tabItens[[#This Row],[PctAb]])*10 ) ),0)</f>
        <v>99</v>
      </c>
      <c r="BE701" s="423">
        <f>MAX(ROUNDDOWN( IF(tabItens[[#This Row],[Abaixo]] &gt; 0,   tabItens[[#This Row],[Abaixo]] + (tabItens[[#This Row],[PontoMês]] * IF( OR( ISBLANK(tabItens[[#This Row],[ATA Nº/ANO]]), tabItens[[#This Row],[ATA Nº/ANO]] = ""),BE$2,BE$1)),0),0),0)</f>
        <v>0</v>
      </c>
      <c r="BF701"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23">
        <f>SUMIF(Consumo!$C$3:$C$869,tabItens[[#This Row],[CÓDIGO]],Consumo!$E$3:$E$869)</f>
        <v>0</v>
      </c>
      <c r="BH701" s="324">
        <f>IF(AND(tabItens[[#This Row],[Pend]] &gt; 0,tabItens[[#This Row],[Consumo]] &lt;&gt; 0), tabItens[[#This Row],[Pend]] / tabItens[[#This Row],[Consumo]], 0 )</f>
        <v>0</v>
      </c>
      <c r="BI701" s="323"/>
      <c r="BJ701" s="424"/>
      <c r="BK701" s="425" t="s">
        <v>2064</v>
      </c>
    </row>
    <row r="702" spans="1:63" hidden="1" x14ac:dyDescent="0.3">
      <c r="A702" s="286">
        <v>144153</v>
      </c>
      <c r="B702" s="287" t="s">
        <v>2033</v>
      </c>
      <c r="C702" s="288" t="s">
        <v>31</v>
      </c>
      <c r="D702" s="289">
        <v>45.6</v>
      </c>
      <c r="E702" s="290"/>
      <c r="F702" s="290"/>
      <c r="G702" s="290" t="s">
        <v>883</v>
      </c>
      <c r="H702" s="291">
        <v>479</v>
      </c>
      <c r="I702" s="292">
        <v>103003</v>
      </c>
      <c r="J702" s="293">
        <v>45.6</v>
      </c>
      <c r="K702" s="294">
        <v>523</v>
      </c>
      <c r="L702" s="295">
        <f>IF(tabItens[[#This Row],[Média]] &gt; 0, tabItens[[#This Row],[QTDE ATUAL]] / tabItens[[#This Row],[Média]],999.9)</f>
        <v>9.3009708737864081</v>
      </c>
      <c r="M702" s="296">
        <v>0</v>
      </c>
      <c r="N702" s="297">
        <f>tabItens[[#This Row],[VALOR UNIT.]] * tabItens[[#This Row],[LC]]</f>
        <v>0</v>
      </c>
      <c r="O702" s="298"/>
      <c r="P702" s="299"/>
      <c r="Q702" s="300"/>
      <c r="R702" s="297"/>
      <c r="S702" s="301"/>
      <c r="T702" s="302">
        <f>ROUNDDOWN(IFERROR(tabItens[[#This Row],[ATA DT.VALID.]] - $D$1,0) / 30,0)</f>
        <v>-1504</v>
      </c>
      <c r="U702" s="287" t="s">
        <v>1436</v>
      </c>
      <c r="V702" s="303">
        <v>1</v>
      </c>
      <c r="W702" s="304" t="s">
        <v>2049</v>
      </c>
      <c r="X702" s="305">
        <v>51</v>
      </c>
      <c r="Y702" s="306">
        <v>36</v>
      </c>
      <c r="Z702" s="307"/>
      <c r="AA702" s="308"/>
      <c r="AB702" s="309"/>
      <c r="AC702" s="309"/>
      <c r="AD702" s="308"/>
      <c r="AE702" s="309"/>
      <c r="AF702" s="302"/>
      <c r="AG702" s="310" t="s">
        <v>2050</v>
      </c>
      <c r="AH702" s="311"/>
      <c r="AI702" s="302">
        <v>214</v>
      </c>
      <c r="AJ702" s="311">
        <v>44844</v>
      </c>
      <c r="AK702" s="311">
        <v>44700</v>
      </c>
      <c r="AL702" s="311">
        <v>44873</v>
      </c>
      <c r="AM702" s="301"/>
      <c r="AN702" s="290"/>
      <c r="AO702" s="312" t="str">
        <f>_xlfn.IFNA(IF(VLOOKUP(tabItens[[#This Row],[CÓDIGO]],tabExcluirDoEstoque[#Data],1,FALSE),"sim",""),"")</f>
        <v/>
      </c>
      <c r="AP702" s="313" t="str">
        <f ca="1">IF(OR(ISBLANK(tabItens[[#This Row],[ATA DT.VALID.]]),tabItens[[#This Row],[ATA DT.VALID.]]="",tabItens[[#This Row],[ATA DT.VALID.]]=" "),"",IF(TYPE(tabItens[[#This Row],[ATA DT.VALID.]])=1,ROUNDUP((tabItens[[#This Row],[ATA DT.VALID.]]-TODAY())/7,0),""))</f>
        <v/>
      </c>
      <c r="AQ702" s="314"/>
      <c r="AR702" s="315" t="str">
        <f>IF(ISBLANK(tabItens[[#This Row],[CÓDIGO]]),"",IFERROR(VLOOKUP(tabItens[[#This Row],[CÓDIGO]],Consumo!$C$2:$AC$869,26,FALSE),0))</f>
        <v>07.2023</v>
      </c>
      <c r="AS702" s="316">
        <f>SUMIF(Consumo!$C$3:$C$869,tabItens[[#This Row],[CÓDIGO]],Consumo!$N$3:$N$869) + SUMIF(Consumo!$C$3:$C$869,tabItens[[#This Row],[CÓDIGO]],Consumo!$O$3:$O$869) + SUMIF(Consumo!$C$3:$C$869,tabItens[[#This Row],[CÓDIGO]],Consumo!$P$3:$P$869) + SUMIF(Consumo!$C$3:$C$869,tabItens[[#This Row],[CÓDIGO]],Consumo!$Q$3:$Q$869)</f>
        <v>366</v>
      </c>
      <c r="AT702" s="316">
        <f>SUMIF(Consumo!$C$3:$C$869,tabItens[[#This Row],[CÓDIGO]],Consumo!$Z$3:$Z$869)</f>
        <v>640</v>
      </c>
      <c r="AU702" s="317">
        <f>SUMIF(Consumo!$C$3:$C$869,tabItens[[#This Row],[CÓDIGO]],Consumo!$AA$3:$AA$869)</f>
        <v>173</v>
      </c>
      <c r="AV702" s="318">
        <f>SUMIF(Consumo!$C$3:$C$869,tabItens[[#This Row],[CÓDIGO]],Consumo!$Y$3:$Y$869)</f>
        <v>51.5</v>
      </c>
      <c r="AW702" s="291">
        <f>tabItens[[#This Row],[QTDE ATUAL]] + tabItens[[#This Row],[RC QTDE]] + tabItens[[#This Row],[AF SALDO]] + tabItens[[#This Row],[Recentes]]</f>
        <v>479</v>
      </c>
      <c r="AX702" s="319">
        <v>0</v>
      </c>
      <c r="AY702" s="319">
        <v>0</v>
      </c>
      <c r="AZ702" s="319">
        <f>IF(ISBLANK(tabItens[[#This Row],[CÓDIGO]]),"",tabItens[[#This Row],[PontoMês]] * (AZ$2+tabItens[[#This Row],[PontoQtM]]))</f>
        <v>0</v>
      </c>
      <c r="BA702" s="318">
        <f>tabItens[[#This Row],[PontoPed]] - tabItens[[#This Row],[Saldo]] + (1/10)</f>
        <v>-478.9</v>
      </c>
      <c r="BB702" s="318">
        <f xml:space="preserve"> tabItens[[#This Row],[PontoMês]] * BB$2 - tabItens[[#This Row],[QTDE ATUAL]] - (1/10)</f>
        <v>-479.1</v>
      </c>
      <c r="BC702" s="320">
        <f>IF( tabItens[[#This Row],[PontoPed]]&gt;0, IF(tabItens[[#This Row],[PontoPed]]&lt;1, 1, IF( tabItens[[#This Row],[Saldo]]&gt;tabItens[[#This Row],[PontoPed]], 0, (tabItens[[#This Row],[PontoPed]]-tabItens[[#This Row],[Saldo]])/tabItens[[#This Row],[PontoPed]] ) ), 0 )</f>
        <v>0</v>
      </c>
      <c r="BD702" s="321">
        <f>ROUNDDOWN(IF( OR( AND(tabItens[[#This Row],[PontoPed]]&lt;tabItens[[#This Row],[Saldo]],tabItens[[#This Row],[Saldo]]&gt;0), tabItens[[#This Row],[PontoPed]]=0), 99, IF(AND(tabItens[[#This Row],[Saldo]]=0,tabItens[[#This Row],[PontoPed]]&gt;0), 0, (1-tabItens[[#This Row],[PctAb]])*10 ) ),0)</f>
        <v>99</v>
      </c>
      <c r="BE702" s="322">
        <f>MAX(ROUNDDOWN( IF(tabItens[[#This Row],[Abaixo]] &gt; 0,   tabItens[[#This Row],[Abaixo]] + (tabItens[[#This Row],[PontoMês]] * IF( OR( ISBLANK(tabItens[[#This Row],[ATA Nº/ANO]]), tabItens[[#This Row],[ATA Nº/ANO]] = ""),BE$2,BE$1)),0),0),0)</f>
        <v>0</v>
      </c>
      <c r="BF70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23">
        <f>SUMIF(Consumo!$C$3:$C$869,tabItens[[#This Row],[CÓDIGO]],Consumo!$E$3:$E$869)</f>
        <v>10</v>
      </c>
      <c r="BH702" s="324">
        <f>IF(AND(tabItens[[#This Row],[Pend]] &gt; 0,tabItens[[#This Row],[Consumo]] &lt;&gt; 0), tabItens[[#This Row],[Pend]] / tabItens[[#This Row],[Consumo]], 0 )</f>
        <v>1.5625E-2</v>
      </c>
      <c r="BI702" s="323"/>
      <c r="BJ702" s="323"/>
      <c r="BK702" s="325" t="s">
        <v>2064</v>
      </c>
    </row>
    <row r="703" spans="1:63" hidden="1" x14ac:dyDescent="0.3">
      <c r="A703" s="286">
        <v>105294</v>
      </c>
      <c r="B703" s="287" t="s">
        <v>1613</v>
      </c>
      <c r="C703" s="288" t="s">
        <v>256</v>
      </c>
      <c r="D703" s="289">
        <v>12.69</v>
      </c>
      <c r="E703" s="290"/>
      <c r="F703" s="290"/>
      <c r="G703" s="290" t="s">
        <v>883</v>
      </c>
      <c r="H703" s="291">
        <v>175</v>
      </c>
      <c r="I703" s="292">
        <v>103003</v>
      </c>
      <c r="J703" s="293">
        <v>12.69</v>
      </c>
      <c r="K703" s="294">
        <v>85</v>
      </c>
      <c r="L703" s="295">
        <f>IF(tabItens[[#This Row],[Média]] &gt; 0, tabItens[[#This Row],[QTDE ATUAL]] / tabItens[[#This Row],[Média]],999.9)</f>
        <v>29.166666666666668</v>
      </c>
      <c r="M703" s="296">
        <v>0</v>
      </c>
      <c r="N703" s="297">
        <f>tabItens[[#This Row],[VALOR UNIT.]] * tabItens[[#This Row],[LC]]</f>
        <v>0</v>
      </c>
      <c r="O703" s="298"/>
      <c r="P703" s="299"/>
      <c r="Q703" s="300"/>
      <c r="R703" s="297"/>
      <c r="S703" s="301"/>
      <c r="T703" s="302">
        <f>ROUNDDOWN(IFERROR(tabItens[[#This Row],[ATA DT.VALID.]] - $D$1,0) / 30,0)</f>
        <v>-1504</v>
      </c>
      <c r="U703" s="287" t="s">
        <v>1586</v>
      </c>
      <c r="V703" s="303">
        <v>1</v>
      </c>
      <c r="W703" s="304" t="s">
        <v>2049</v>
      </c>
      <c r="X703" s="305">
        <v>51</v>
      </c>
      <c r="Y703" s="306">
        <v>42</v>
      </c>
      <c r="Z703" s="307"/>
      <c r="AA703" s="308"/>
      <c r="AB703" s="309"/>
      <c r="AC703" s="309"/>
      <c r="AD703" s="308"/>
      <c r="AE703" s="309"/>
      <c r="AF703" s="302"/>
      <c r="AG703" s="310" t="s">
        <v>2050</v>
      </c>
      <c r="AH703" s="311"/>
      <c r="AI703" s="302">
        <v>28</v>
      </c>
      <c r="AJ703" s="311">
        <v>44946</v>
      </c>
      <c r="AK703" s="311">
        <v>39506</v>
      </c>
      <c r="AL703" s="311">
        <v>44939</v>
      </c>
      <c r="AM703" s="301"/>
      <c r="AN703" s="290"/>
      <c r="AO703" s="312" t="str">
        <f>_xlfn.IFNA(IF(VLOOKUP(tabItens[[#This Row],[CÓDIGO]],tabExcluirDoEstoque[#Data],1,FALSE),"sim",""),"")</f>
        <v/>
      </c>
      <c r="AP703" s="313" t="str">
        <f ca="1">IF(OR(ISBLANK(tabItens[[#This Row],[ATA DT.VALID.]]),tabItens[[#This Row],[ATA DT.VALID.]]="",tabItens[[#This Row],[ATA DT.VALID.]]=" "),"",IF(TYPE(tabItens[[#This Row],[ATA DT.VALID.]])=1,ROUNDUP((tabItens[[#This Row],[ATA DT.VALID.]]-TODAY())/7,0),""))</f>
        <v/>
      </c>
      <c r="AQ703" s="314"/>
      <c r="AR703" s="315" t="str">
        <f>IF(ISBLANK(tabItens[[#This Row],[CÓDIGO]]),"",IFERROR(VLOOKUP(tabItens[[#This Row],[CÓDIGO]],Consumo!$C$2:$AC$869,26,FALSE),0))</f>
        <v>05.2023</v>
      </c>
      <c r="AS703" s="316">
        <f>SUMIF(Consumo!$C$3:$C$869,tabItens[[#This Row],[CÓDIGO]],Consumo!$N$3:$N$869) + SUMIF(Consumo!$C$3:$C$869,tabItens[[#This Row],[CÓDIGO]],Consumo!$O$3:$O$869) + SUMIF(Consumo!$C$3:$C$869,tabItens[[#This Row],[CÓDIGO]],Consumo!$P$3:$P$869) + SUMIF(Consumo!$C$3:$C$869,tabItens[[#This Row],[CÓDIGO]],Consumo!$Q$3:$Q$869)</f>
        <v>55</v>
      </c>
      <c r="AT703" s="316">
        <f>SUMIF(Consumo!$C$3:$C$869,tabItens[[#This Row],[CÓDIGO]],Consumo!$Z$3:$Z$869)</f>
        <v>87</v>
      </c>
      <c r="AU703" s="317">
        <f>SUMIF(Consumo!$C$3:$C$869,tabItens[[#This Row],[CÓDIGO]],Consumo!$AA$3:$AA$869)</f>
        <v>50</v>
      </c>
      <c r="AV703" s="318">
        <f>SUMIF(Consumo!$C$3:$C$869,tabItens[[#This Row],[CÓDIGO]],Consumo!$Y$3:$Y$869)</f>
        <v>6</v>
      </c>
      <c r="AW703" s="291">
        <f>tabItens[[#This Row],[QTDE ATUAL]] + tabItens[[#This Row],[RC QTDE]] + tabItens[[#This Row],[AF SALDO]] + tabItens[[#This Row],[Recentes]]</f>
        <v>175</v>
      </c>
      <c r="AX703" s="319">
        <v>6</v>
      </c>
      <c r="AY703" s="319">
        <v>4</v>
      </c>
      <c r="AZ703" s="319">
        <f>IF(ISBLANK(tabItens[[#This Row],[CÓDIGO]]),"",tabItens[[#This Row],[PontoMês]] * (AZ$2+tabItens[[#This Row],[PontoQtM]]))</f>
        <v>24</v>
      </c>
      <c r="BA703" s="318">
        <f>tabItens[[#This Row],[PontoPed]] - tabItens[[#This Row],[Saldo]] + (1/10)</f>
        <v>-150.9</v>
      </c>
      <c r="BB703" s="318">
        <f xml:space="preserve"> tabItens[[#This Row],[PontoMês]] * BB$2 - tabItens[[#This Row],[QTDE ATUAL]] - (1/10)</f>
        <v>-169.1</v>
      </c>
      <c r="BC703" s="320">
        <f>IF( tabItens[[#This Row],[PontoPed]]&gt;0, IF(tabItens[[#This Row],[PontoPed]]&lt;1, 1, IF( tabItens[[#This Row],[Saldo]]&gt;tabItens[[#This Row],[PontoPed]], 0, (tabItens[[#This Row],[PontoPed]]-tabItens[[#This Row],[Saldo]])/tabItens[[#This Row],[PontoPed]] ) ), 0 )</f>
        <v>0</v>
      </c>
      <c r="BD703" s="321">
        <f>ROUNDDOWN(IF( OR( AND(tabItens[[#This Row],[PontoPed]]&lt;tabItens[[#This Row],[Saldo]],tabItens[[#This Row],[Saldo]]&gt;0), tabItens[[#This Row],[PontoPed]]=0), 99, IF(AND(tabItens[[#This Row],[Saldo]]=0,tabItens[[#This Row],[PontoPed]]&gt;0), 0, (1-tabItens[[#This Row],[PctAb]])*10 ) ),0)</f>
        <v>99</v>
      </c>
      <c r="BE703" s="322">
        <f>MAX(ROUNDDOWN( IF(tabItens[[#This Row],[Abaixo]] &gt; 0,   tabItens[[#This Row],[Abaixo]] + (tabItens[[#This Row],[PontoMês]] * IF( OR( ISBLANK(tabItens[[#This Row],[ATA Nº/ANO]]), tabItens[[#This Row],[ATA Nº/ANO]] = ""),BE$2,BE$1)),0),0),0)</f>
        <v>0</v>
      </c>
      <c r="BF70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23">
        <f>SUMIF(Consumo!$C$3:$C$869,tabItens[[#This Row],[CÓDIGO]],Consumo!$E$3:$E$869)</f>
        <v>2</v>
      </c>
      <c r="BH703" s="324">
        <f>IF(AND(tabItens[[#This Row],[Pend]] &gt; 0,tabItens[[#This Row],[Consumo]] &lt;&gt; 0), tabItens[[#This Row],[Pend]] / tabItens[[#This Row],[Consumo]], 0 )</f>
        <v>2.2988505747126436E-2</v>
      </c>
      <c r="BI703" s="323"/>
      <c r="BJ703" s="323"/>
      <c r="BK703" s="325" t="s">
        <v>2064</v>
      </c>
    </row>
    <row r="704" spans="1:63" hidden="1" x14ac:dyDescent="0.3">
      <c r="A704" s="286">
        <v>106909</v>
      </c>
      <c r="B704" s="287" t="s">
        <v>1630</v>
      </c>
      <c r="C704" s="288" t="s">
        <v>256</v>
      </c>
      <c r="D704" s="289">
        <v>105.38</v>
      </c>
      <c r="E704" s="290"/>
      <c r="F704" s="290"/>
      <c r="G704" s="290" t="s">
        <v>883</v>
      </c>
      <c r="H704" s="291">
        <v>1</v>
      </c>
      <c r="I704" s="292">
        <v>103003</v>
      </c>
      <c r="J704" s="293">
        <v>105.38</v>
      </c>
      <c r="K704" s="294"/>
      <c r="L704" s="295">
        <f>IF(tabItens[[#This Row],[Média]] &gt; 0, tabItens[[#This Row],[QTDE ATUAL]] / tabItens[[#This Row],[Média]],999.9)</f>
        <v>999.9</v>
      </c>
      <c r="M704" s="296">
        <v>0</v>
      </c>
      <c r="N704" s="297">
        <f>tabItens[[#This Row],[VALOR UNIT.]] * tabItens[[#This Row],[LC]]</f>
        <v>0</v>
      </c>
      <c r="O704" s="298"/>
      <c r="P704" s="299"/>
      <c r="Q704" s="300"/>
      <c r="R704" s="297"/>
      <c r="S704" s="301"/>
      <c r="T704" s="302">
        <f>ROUNDDOWN(IFERROR(tabItens[[#This Row],[ATA DT.VALID.]] - $D$1,0) / 30,0)</f>
        <v>-1504</v>
      </c>
      <c r="U704" s="287" t="s">
        <v>1481</v>
      </c>
      <c r="V704" s="303">
        <v>1</v>
      </c>
      <c r="W704" s="304" t="s">
        <v>2058</v>
      </c>
      <c r="X704" s="305">
        <v>54</v>
      </c>
      <c r="Y704" s="306">
        <v>4</v>
      </c>
      <c r="Z704" s="307">
        <v>2813</v>
      </c>
      <c r="AA704" s="308">
        <v>2023</v>
      </c>
      <c r="AB704" s="309">
        <v>2</v>
      </c>
      <c r="AC704" s="309"/>
      <c r="AD704" s="308"/>
      <c r="AE704" s="309"/>
      <c r="AF704" s="302"/>
      <c r="AG704" s="310" t="s">
        <v>2050</v>
      </c>
      <c r="AH704" s="311"/>
      <c r="AI704" s="302">
        <v>0</v>
      </c>
      <c r="AJ704" s="311">
        <v>43703</v>
      </c>
      <c r="AK704" s="311">
        <v>39624</v>
      </c>
      <c r="AL704" s="311">
        <v>43677</v>
      </c>
      <c r="AM704" s="301"/>
      <c r="AN704" s="290"/>
      <c r="AO704" s="312" t="str">
        <f>_xlfn.IFNA(IF(VLOOKUP(tabItens[[#This Row],[CÓDIGO]],tabExcluirDoEstoque[#Data],1,FALSE),"sim",""),"")</f>
        <v/>
      </c>
      <c r="AP704" s="313" t="str">
        <f ca="1">IF(OR(ISBLANK(tabItens[[#This Row],[ATA DT.VALID.]]),tabItens[[#This Row],[ATA DT.VALID.]]="",tabItens[[#This Row],[ATA DT.VALID.]]=" "),"",IF(TYPE(tabItens[[#This Row],[ATA DT.VALID.]])=1,ROUNDUP((tabItens[[#This Row],[ATA DT.VALID.]]-TODAY())/7,0),""))</f>
        <v/>
      </c>
      <c r="AQ704" s="314"/>
      <c r="AR704" s="315">
        <f>IF(ISBLANK(tabItens[[#This Row],[CÓDIGO]]),"",IFERROR(VLOOKUP(tabItens[[#This Row],[CÓDIGO]],Consumo!$C$2:$AC$869,26,FALSE),0))</f>
        <v>0</v>
      </c>
      <c r="AS704" s="316">
        <f>SUMIF(Consumo!$C$3:$C$869,tabItens[[#This Row],[CÓDIGO]],Consumo!$N$3:$N$869) + SUMIF(Consumo!$C$3:$C$869,tabItens[[#This Row],[CÓDIGO]],Consumo!$O$3:$O$869) + SUMIF(Consumo!$C$3:$C$869,tabItens[[#This Row],[CÓDIGO]],Consumo!$P$3:$P$869) + SUMIF(Consumo!$C$3:$C$869,tabItens[[#This Row],[CÓDIGO]],Consumo!$Q$3:$Q$869)</f>
        <v>0</v>
      </c>
      <c r="AT704" s="316">
        <f>SUMIF(Consumo!$C$3:$C$869,tabItens[[#This Row],[CÓDIGO]],Consumo!$Z$3:$Z$869)</f>
        <v>0</v>
      </c>
      <c r="AU704" s="317">
        <f>SUMIF(Consumo!$C$3:$C$869,tabItens[[#This Row],[CÓDIGO]],Consumo!$AA$3:$AA$869)</f>
        <v>0</v>
      </c>
      <c r="AV704" s="318">
        <f>SUMIF(Consumo!$C$3:$C$869,tabItens[[#This Row],[CÓDIGO]],Consumo!$Y$3:$Y$869)</f>
        <v>0</v>
      </c>
      <c r="AW704" s="291">
        <f>tabItens[[#This Row],[QTDE ATUAL]] + tabItens[[#This Row],[RC QTDE]] + tabItens[[#This Row],[AF SALDO]] + tabItens[[#This Row],[Recentes]]</f>
        <v>3</v>
      </c>
      <c r="AX704" s="319">
        <v>0</v>
      </c>
      <c r="AY704" s="319">
        <v>4</v>
      </c>
      <c r="AZ704" s="319">
        <f>IF(ISBLANK(tabItens[[#This Row],[CÓDIGO]]),"",tabItens[[#This Row],[PontoMês]] * (AZ$2+tabItens[[#This Row],[PontoQtM]]))</f>
        <v>0</v>
      </c>
      <c r="BA704" s="318">
        <f>tabItens[[#This Row],[PontoPed]] - tabItens[[#This Row],[Saldo]] + (1/10)</f>
        <v>-2.9</v>
      </c>
      <c r="BB704" s="318">
        <f xml:space="preserve"> tabItens[[#This Row],[PontoMês]] * BB$2 - tabItens[[#This Row],[QTDE ATUAL]] - (1/10)</f>
        <v>-1.1000000000000001</v>
      </c>
      <c r="BC704" s="320">
        <f>IF( tabItens[[#This Row],[PontoPed]]&gt;0, IF(tabItens[[#This Row],[PontoPed]]&lt;1, 1, IF( tabItens[[#This Row],[Saldo]]&gt;tabItens[[#This Row],[PontoPed]], 0, (tabItens[[#This Row],[PontoPed]]-tabItens[[#This Row],[Saldo]])/tabItens[[#This Row],[PontoPed]] ) ), 0 )</f>
        <v>0</v>
      </c>
      <c r="BD704" s="321">
        <f>ROUNDDOWN(IF( OR( AND(tabItens[[#This Row],[PontoPed]]&lt;tabItens[[#This Row],[Saldo]],tabItens[[#This Row],[Saldo]]&gt;0), tabItens[[#This Row],[PontoPed]]=0), 99, IF(AND(tabItens[[#This Row],[Saldo]]=0,tabItens[[#This Row],[PontoPed]]&gt;0), 0, (1-tabItens[[#This Row],[PctAb]])*10 ) ),0)</f>
        <v>99</v>
      </c>
      <c r="BE704" s="322">
        <f>MAX(ROUNDDOWN( IF(tabItens[[#This Row],[Abaixo]] &gt; 0,   tabItens[[#This Row],[Abaixo]] + (tabItens[[#This Row],[PontoMês]] * IF( OR( ISBLANK(tabItens[[#This Row],[ATA Nº/ANO]]), tabItens[[#This Row],[ATA Nº/ANO]] = ""),BE$2,BE$1)),0),0),0)</f>
        <v>0</v>
      </c>
      <c r="BF70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23">
        <f>SUMIF(Consumo!$C$3:$C$869,tabItens[[#This Row],[CÓDIGO]],Consumo!$E$3:$E$869)</f>
        <v>0</v>
      </c>
      <c r="BH704" s="324">
        <f>IF(AND(tabItens[[#This Row],[Pend]] &gt; 0,tabItens[[#This Row],[Consumo]] &lt;&gt; 0), tabItens[[#This Row],[Pend]] / tabItens[[#This Row],[Consumo]], 0 )</f>
        <v>0</v>
      </c>
      <c r="BI704" s="323"/>
      <c r="BJ704" s="323"/>
      <c r="BK704" s="325" t="s">
        <v>2064</v>
      </c>
    </row>
    <row r="705" spans="1:63" hidden="1" x14ac:dyDescent="0.3">
      <c r="A705" s="286">
        <v>106910</v>
      </c>
      <c r="B705" s="287" t="s">
        <v>1631</v>
      </c>
      <c r="C705" s="288" t="s">
        <v>256</v>
      </c>
      <c r="D705" s="289">
        <v>105.38</v>
      </c>
      <c r="E705" s="290"/>
      <c r="F705" s="290"/>
      <c r="G705" s="290" t="s">
        <v>883</v>
      </c>
      <c r="H705" s="291">
        <v>7</v>
      </c>
      <c r="I705" s="292">
        <v>103003</v>
      </c>
      <c r="J705" s="293">
        <v>105.38</v>
      </c>
      <c r="K705" s="294">
        <v>4</v>
      </c>
      <c r="L705" s="295">
        <f>IF(tabItens[[#This Row],[Média]] &gt; 0, tabItens[[#This Row],[QTDE ATUAL]] / tabItens[[#This Row],[Média]],999.9)</f>
        <v>42</v>
      </c>
      <c r="M705" s="296">
        <v>0</v>
      </c>
      <c r="N705" s="297">
        <f>tabItens[[#This Row],[VALOR UNIT.]] * tabItens[[#This Row],[LC]]</f>
        <v>0</v>
      </c>
      <c r="O705" s="298"/>
      <c r="P705" s="299"/>
      <c r="Q705" s="300"/>
      <c r="R705" s="297"/>
      <c r="S705" s="301"/>
      <c r="T705" s="302">
        <f>ROUNDDOWN(IFERROR(tabItens[[#This Row],[ATA DT.VALID.]] - $D$1,0) / 30,0)</f>
        <v>-1504</v>
      </c>
      <c r="U705" s="287" t="s">
        <v>1481</v>
      </c>
      <c r="V705" s="303">
        <v>1</v>
      </c>
      <c r="W705" s="304" t="s">
        <v>2058</v>
      </c>
      <c r="X705" s="305">
        <v>54</v>
      </c>
      <c r="Y705" s="306">
        <v>4</v>
      </c>
      <c r="Z705" s="307"/>
      <c r="AA705" s="308"/>
      <c r="AB705" s="309"/>
      <c r="AC705" s="309"/>
      <c r="AD705" s="308"/>
      <c r="AE705" s="309"/>
      <c r="AF705" s="302"/>
      <c r="AG705" s="310" t="s">
        <v>2050</v>
      </c>
      <c r="AH705" s="311"/>
      <c r="AI705" s="302">
        <v>0</v>
      </c>
      <c r="AJ705" s="311">
        <v>43703</v>
      </c>
      <c r="AK705" s="311">
        <v>39624</v>
      </c>
      <c r="AL705" s="311">
        <v>43677</v>
      </c>
      <c r="AM705" s="301"/>
      <c r="AN705" s="290"/>
      <c r="AO705" s="312" t="str">
        <f>_xlfn.IFNA(IF(VLOOKUP(tabItens[[#This Row],[CÓDIGO]],tabExcluirDoEstoque[#Data],1,FALSE),"sim",""),"")</f>
        <v/>
      </c>
      <c r="AP705" s="313" t="str">
        <f ca="1">IF(OR(ISBLANK(tabItens[[#This Row],[ATA DT.VALID.]]),tabItens[[#This Row],[ATA DT.VALID.]]="",tabItens[[#This Row],[ATA DT.VALID.]]=" "),"",IF(TYPE(tabItens[[#This Row],[ATA DT.VALID.]])=1,ROUNDUP((tabItens[[#This Row],[ATA DT.VALID.]]-TODAY())/7,0),""))</f>
        <v/>
      </c>
      <c r="AQ705" s="314"/>
      <c r="AR705" s="315" t="str">
        <f>IF(ISBLANK(tabItens[[#This Row],[CÓDIGO]]),"",IFERROR(VLOOKUP(tabItens[[#This Row],[CÓDIGO]],Consumo!$C$2:$AC$869,26,FALSE),0))</f>
        <v>07.2023</v>
      </c>
      <c r="AS705" s="316">
        <f>SUMIF(Consumo!$C$3:$C$869,tabItens[[#This Row],[CÓDIGO]],Consumo!$N$3:$N$869) + SUMIF(Consumo!$C$3:$C$869,tabItens[[#This Row],[CÓDIGO]],Consumo!$O$3:$O$869) + SUMIF(Consumo!$C$3:$C$869,tabItens[[#This Row],[CÓDIGO]],Consumo!$P$3:$P$869) + SUMIF(Consumo!$C$3:$C$869,tabItens[[#This Row],[CÓDIGO]],Consumo!$Q$3:$Q$869)</f>
        <v>2</v>
      </c>
      <c r="AT705" s="316">
        <f>SUMIF(Consumo!$C$3:$C$869,tabItens[[#This Row],[CÓDIGO]],Consumo!$Z$3:$Z$869)</f>
        <v>4</v>
      </c>
      <c r="AU705" s="317">
        <f>SUMIF(Consumo!$C$3:$C$869,tabItens[[#This Row],[CÓDIGO]],Consumo!$AA$3:$AA$869)</f>
        <v>2</v>
      </c>
      <c r="AV705" s="318">
        <f>SUMIF(Consumo!$C$3:$C$869,tabItens[[#This Row],[CÓDIGO]],Consumo!$Y$3:$Y$869)</f>
        <v>0.16666666666666666</v>
      </c>
      <c r="AW705" s="291">
        <f>tabItens[[#This Row],[QTDE ATUAL]] + tabItens[[#This Row],[RC QTDE]] + tabItens[[#This Row],[AF SALDO]] + tabItens[[#This Row],[Recentes]]</f>
        <v>7</v>
      </c>
      <c r="AX705" s="319">
        <v>0</v>
      </c>
      <c r="AY705" s="319">
        <v>4</v>
      </c>
      <c r="AZ705" s="319">
        <f>IF(ISBLANK(tabItens[[#This Row],[CÓDIGO]]),"",tabItens[[#This Row],[PontoMês]] * (AZ$2+tabItens[[#This Row],[PontoQtM]]))</f>
        <v>0</v>
      </c>
      <c r="BA705" s="318">
        <f>tabItens[[#This Row],[PontoPed]] - tabItens[[#This Row],[Saldo]] + (1/10)</f>
        <v>-6.9</v>
      </c>
      <c r="BB705" s="318">
        <f xml:space="preserve"> tabItens[[#This Row],[PontoMês]] * BB$2 - tabItens[[#This Row],[QTDE ATUAL]] - (1/10)</f>
        <v>-7.1</v>
      </c>
      <c r="BC705" s="320">
        <f>IF( tabItens[[#This Row],[PontoPed]]&gt;0, IF(tabItens[[#This Row],[PontoPed]]&lt;1, 1, IF( tabItens[[#This Row],[Saldo]]&gt;tabItens[[#This Row],[PontoPed]], 0, (tabItens[[#This Row],[PontoPed]]-tabItens[[#This Row],[Saldo]])/tabItens[[#This Row],[PontoPed]] ) ), 0 )</f>
        <v>0</v>
      </c>
      <c r="BD705" s="321">
        <f>ROUNDDOWN(IF( OR( AND(tabItens[[#This Row],[PontoPed]]&lt;tabItens[[#This Row],[Saldo]],tabItens[[#This Row],[Saldo]]&gt;0), tabItens[[#This Row],[PontoPed]]=0), 99, IF(AND(tabItens[[#This Row],[Saldo]]=0,tabItens[[#This Row],[PontoPed]]&gt;0), 0, (1-tabItens[[#This Row],[PctAb]])*10 ) ),0)</f>
        <v>99</v>
      </c>
      <c r="BE705" s="322">
        <f>MAX(ROUNDDOWN( IF(tabItens[[#This Row],[Abaixo]] &gt; 0,   tabItens[[#This Row],[Abaixo]] + (tabItens[[#This Row],[PontoMês]] * IF( OR( ISBLANK(tabItens[[#This Row],[ATA Nº/ANO]]), tabItens[[#This Row],[ATA Nº/ANO]] = ""),BE$2,BE$1)),0),0),0)</f>
        <v>0</v>
      </c>
      <c r="BF70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23">
        <f>SUMIF(Consumo!$C$3:$C$869,tabItens[[#This Row],[CÓDIGO]],Consumo!$E$3:$E$869)</f>
        <v>0</v>
      </c>
      <c r="BH705" s="324">
        <f>IF(AND(tabItens[[#This Row],[Pend]] &gt; 0,tabItens[[#This Row],[Consumo]] &lt;&gt; 0), tabItens[[#This Row],[Pend]] / tabItens[[#This Row],[Consumo]], 0 )</f>
        <v>0</v>
      </c>
      <c r="BI705" s="323"/>
      <c r="BJ705" s="323"/>
      <c r="BK705" s="325" t="s">
        <v>2064</v>
      </c>
    </row>
    <row r="706" spans="1:63" hidden="1" x14ac:dyDescent="0.3">
      <c r="A706" s="286">
        <v>106911</v>
      </c>
      <c r="B706" s="287" t="s">
        <v>1632</v>
      </c>
      <c r="C706" s="288" t="s">
        <v>256</v>
      </c>
      <c r="D706" s="289">
        <v>105.39</v>
      </c>
      <c r="E706" s="290"/>
      <c r="F706" s="290"/>
      <c r="G706" s="290" t="s">
        <v>883</v>
      </c>
      <c r="H706" s="291">
        <v>6</v>
      </c>
      <c r="I706" s="292">
        <v>103003</v>
      </c>
      <c r="J706" s="293">
        <v>105.39</v>
      </c>
      <c r="K706" s="294">
        <v>2</v>
      </c>
      <c r="L706" s="295">
        <f>IF(tabItens[[#This Row],[Média]] &gt; 0, tabItens[[#This Row],[QTDE ATUAL]] / tabItens[[#This Row],[Média]],999.9)</f>
        <v>72</v>
      </c>
      <c r="M706" s="296">
        <v>0</v>
      </c>
      <c r="N706" s="297">
        <f>tabItens[[#This Row],[VALOR UNIT.]] * tabItens[[#This Row],[LC]]</f>
        <v>0</v>
      </c>
      <c r="O706" s="298"/>
      <c r="P706" s="299"/>
      <c r="Q706" s="300"/>
      <c r="R706" s="297"/>
      <c r="S706" s="301"/>
      <c r="T706" s="302">
        <f>ROUNDDOWN(IFERROR(tabItens[[#This Row],[ATA DT.VALID.]] - $D$1,0) / 30,0)</f>
        <v>-1504</v>
      </c>
      <c r="U706" s="287" t="s">
        <v>1481</v>
      </c>
      <c r="V706" s="303">
        <v>1</v>
      </c>
      <c r="W706" s="304" t="s">
        <v>2058</v>
      </c>
      <c r="X706" s="305">
        <v>54</v>
      </c>
      <c r="Y706" s="306">
        <v>4</v>
      </c>
      <c r="Z706" s="307"/>
      <c r="AA706" s="308"/>
      <c r="AB706" s="309"/>
      <c r="AC706" s="309"/>
      <c r="AD706" s="308"/>
      <c r="AE706" s="309"/>
      <c r="AF706" s="302"/>
      <c r="AG706" s="310" t="s">
        <v>2050</v>
      </c>
      <c r="AH706" s="311"/>
      <c r="AI706" s="302">
        <v>0</v>
      </c>
      <c r="AJ706" s="311">
        <v>43703</v>
      </c>
      <c r="AK706" s="311">
        <v>39624</v>
      </c>
      <c r="AL706" s="311">
        <v>43677</v>
      </c>
      <c r="AM706" s="301"/>
      <c r="AN706" s="290"/>
      <c r="AO706" s="312" t="str">
        <f>_xlfn.IFNA(IF(VLOOKUP(tabItens[[#This Row],[CÓDIGO]],tabExcluirDoEstoque[#Data],1,FALSE),"sim",""),"")</f>
        <v/>
      </c>
      <c r="AP706" s="313" t="str">
        <f ca="1">IF(OR(ISBLANK(tabItens[[#This Row],[ATA DT.VALID.]]),tabItens[[#This Row],[ATA DT.VALID.]]="",tabItens[[#This Row],[ATA DT.VALID.]]=" "),"",IF(TYPE(tabItens[[#This Row],[ATA DT.VALID.]])=1,ROUNDUP((tabItens[[#This Row],[ATA DT.VALID.]]-TODAY())/7,0),""))</f>
        <v/>
      </c>
      <c r="AQ706" s="314"/>
      <c r="AR706" s="315" t="str">
        <f>IF(ISBLANK(tabItens[[#This Row],[CÓDIGO]]),"",IFERROR(VLOOKUP(tabItens[[#This Row],[CÓDIGO]],Consumo!$C$2:$AC$869,26,FALSE),0))</f>
        <v>10.2022</v>
      </c>
      <c r="AS706" s="316">
        <f>SUMIF(Consumo!$C$3:$C$869,tabItens[[#This Row],[CÓDIGO]],Consumo!$N$3:$N$869) + SUMIF(Consumo!$C$3:$C$869,tabItens[[#This Row],[CÓDIGO]],Consumo!$O$3:$O$869) + SUMIF(Consumo!$C$3:$C$869,tabItens[[#This Row],[CÓDIGO]],Consumo!$P$3:$P$869) + SUMIF(Consumo!$C$3:$C$869,tabItens[[#This Row],[CÓDIGO]],Consumo!$Q$3:$Q$869)</f>
        <v>0</v>
      </c>
      <c r="AT706" s="316">
        <f>SUMIF(Consumo!$C$3:$C$869,tabItens[[#This Row],[CÓDIGO]],Consumo!$Z$3:$Z$869)</f>
        <v>2</v>
      </c>
      <c r="AU706" s="317">
        <f>SUMIF(Consumo!$C$3:$C$869,tabItens[[#This Row],[CÓDIGO]],Consumo!$AA$3:$AA$869)</f>
        <v>2</v>
      </c>
      <c r="AV706" s="318">
        <f>SUMIF(Consumo!$C$3:$C$869,tabItens[[#This Row],[CÓDIGO]],Consumo!$Y$3:$Y$869)</f>
        <v>8.3333333333333329E-2</v>
      </c>
      <c r="AW706" s="291">
        <f>tabItens[[#This Row],[QTDE ATUAL]] + tabItens[[#This Row],[RC QTDE]] + tabItens[[#This Row],[AF SALDO]] + tabItens[[#This Row],[Recentes]]</f>
        <v>6</v>
      </c>
      <c r="AX706" s="319">
        <v>0</v>
      </c>
      <c r="AY706" s="319">
        <v>4</v>
      </c>
      <c r="AZ706" s="319">
        <f>IF(ISBLANK(tabItens[[#This Row],[CÓDIGO]]),"",tabItens[[#This Row],[PontoMês]] * (AZ$2+tabItens[[#This Row],[PontoQtM]]))</f>
        <v>0</v>
      </c>
      <c r="BA706" s="318">
        <f>tabItens[[#This Row],[PontoPed]] - tabItens[[#This Row],[Saldo]] + (1/10)</f>
        <v>-5.9</v>
      </c>
      <c r="BB706" s="318">
        <f xml:space="preserve"> tabItens[[#This Row],[PontoMês]] * BB$2 - tabItens[[#This Row],[QTDE ATUAL]] - (1/10)</f>
        <v>-6.1</v>
      </c>
      <c r="BC706" s="320">
        <f>IF( tabItens[[#This Row],[PontoPed]]&gt;0, IF(tabItens[[#This Row],[PontoPed]]&lt;1, 1, IF( tabItens[[#This Row],[Saldo]]&gt;tabItens[[#This Row],[PontoPed]], 0, (tabItens[[#This Row],[PontoPed]]-tabItens[[#This Row],[Saldo]])/tabItens[[#This Row],[PontoPed]] ) ), 0 )</f>
        <v>0</v>
      </c>
      <c r="BD706" s="321">
        <f>ROUNDDOWN(IF( OR( AND(tabItens[[#This Row],[PontoPed]]&lt;tabItens[[#This Row],[Saldo]],tabItens[[#This Row],[Saldo]]&gt;0), tabItens[[#This Row],[PontoPed]]=0), 99, IF(AND(tabItens[[#This Row],[Saldo]]=0,tabItens[[#This Row],[PontoPed]]&gt;0), 0, (1-tabItens[[#This Row],[PctAb]])*10 ) ),0)</f>
        <v>99</v>
      </c>
      <c r="BE706" s="322">
        <f>MAX(ROUNDDOWN( IF(tabItens[[#This Row],[Abaixo]] &gt; 0,   tabItens[[#This Row],[Abaixo]] + (tabItens[[#This Row],[PontoMês]] * IF( OR( ISBLANK(tabItens[[#This Row],[ATA Nº/ANO]]), tabItens[[#This Row],[ATA Nº/ANO]] = ""),BE$2,BE$1)),0),0),0)</f>
        <v>0</v>
      </c>
      <c r="BF70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23">
        <f>SUMIF(Consumo!$C$3:$C$869,tabItens[[#This Row],[CÓDIGO]],Consumo!$E$3:$E$869)</f>
        <v>0</v>
      </c>
      <c r="BH706" s="324">
        <f>IF(AND(tabItens[[#This Row],[Pend]] &gt; 0,tabItens[[#This Row],[Consumo]] &lt;&gt; 0), tabItens[[#This Row],[Pend]] / tabItens[[#This Row],[Consumo]], 0 )</f>
        <v>0</v>
      </c>
      <c r="BI706" s="323"/>
      <c r="BJ706" s="323"/>
      <c r="BK706" s="325" t="s">
        <v>2064</v>
      </c>
    </row>
    <row r="707" spans="1:63" hidden="1" x14ac:dyDescent="0.3">
      <c r="A707" s="286">
        <v>106913</v>
      </c>
      <c r="B707" s="287" t="s">
        <v>1633</v>
      </c>
      <c r="C707" s="288" t="s">
        <v>256</v>
      </c>
      <c r="D707" s="289">
        <v>105.39</v>
      </c>
      <c r="E707" s="290"/>
      <c r="F707" s="290"/>
      <c r="G707" s="290" t="s">
        <v>883</v>
      </c>
      <c r="H707" s="291">
        <v>1</v>
      </c>
      <c r="I707" s="292">
        <v>103003</v>
      </c>
      <c r="J707" s="293">
        <v>105.39</v>
      </c>
      <c r="K707" s="294"/>
      <c r="L707" s="295">
        <f>IF(tabItens[[#This Row],[Média]] &gt; 0, tabItens[[#This Row],[QTDE ATUAL]] / tabItens[[#This Row],[Média]],999.9)</f>
        <v>999.9</v>
      </c>
      <c r="M707" s="296">
        <v>0</v>
      </c>
      <c r="N707" s="297">
        <f>tabItens[[#This Row],[VALOR UNIT.]] * tabItens[[#This Row],[LC]]</f>
        <v>0</v>
      </c>
      <c r="O707" s="298"/>
      <c r="P707" s="299"/>
      <c r="Q707" s="300"/>
      <c r="R707" s="297"/>
      <c r="S707" s="301"/>
      <c r="T707" s="302">
        <f>ROUNDDOWN(IFERROR(tabItens[[#This Row],[ATA DT.VALID.]] - $D$1,0) / 30,0)</f>
        <v>-1504</v>
      </c>
      <c r="U707" s="287" t="s">
        <v>1481</v>
      </c>
      <c r="V707" s="303">
        <v>1</v>
      </c>
      <c r="W707" s="304" t="s">
        <v>2058</v>
      </c>
      <c r="X707" s="305">
        <v>54</v>
      </c>
      <c r="Y707" s="306">
        <v>4</v>
      </c>
      <c r="Z707" s="307">
        <v>2813</v>
      </c>
      <c r="AA707" s="308">
        <v>2023</v>
      </c>
      <c r="AB707" s="309">
        <v>2</v>
      </c>
      <c r="AC707" s="309"/>
      <c r="AD707" s="308"/>
      <c r="AE707" s="309"/>
      <c r="AF707" s="302"/>
      <c r="AG707" s="310" t="s">
        <v>2050</v>
      </c>
      <c r="AH707" s="311"/>
      <c r="AI707" s="302">
        <v>0</v>
      </c>
      <c r="AJ707" s="311">
        <v>43703</v>
      </c>
      <c r="AK707" s="311">
        <v>39624</v>
      </c>
      <c r="AL707" s="311">
        <v>43677</v>
      </c>
      <c r="AM707" s="301"/>
      <c r="AN707" s="290"/>
      <c r="AO707" s="312" t="str">
        <f>_xlfn.IFNA(IF(VLOOKUP(tabItens[[#This Row],[CÓDIGO]],tabExcluirDoEstoque[#Data],1,FALSE),"sim",""),"")</f>
        <v/>
      </c>
      <c r="AP707" s="313" t="str">
        <f ca="1">IF(OR(ISBLANK(tabItens[[#This Row],[ATA DT.VALID.]]),tabItens[[#This Row],[ATA DT.VALID.]]="",tabItens[[#This Row],[ATA DT.VALID.]]=" "),"",IF(TYPE(tabItens[[#This Row],[ATA DT.VALID.]])=1,ROUNDUP((tabItens[[#This Row],[ATA DT.VALID.]]-TODAY())/7,0),""))</f>
        <v/>
      </c>
      <c r="AQ707" s="314"/>
      <c r="AR707" s="315">
        <f>IF(ISBLANK(tabItens[[#This Row],[CÓDIGO]]),"",IFERROR(VLOOKUP(tabItens[[#This Row],[CÓDIGO]],Consumo!$C$2:$AC$869,26,FALSE),0))</f>
        <v>0</v>
      </c>
      <c r="AS707" s="316">
        <f>SUMIF(Consumo!$C$3:$C$869,tabItens[[#This Row],[CÓDIGO]],Consumo!$N$3:$N$869) + SUMIF(Consumo!$C$3:$C$869,tabItens[[#This Row],[CÓDIGO]],Consumo!$O$3:$O$869) + SUMIF(Consumo!$C$3:$C$869,tabItens[[#This Row],[CÓDIGO]],Consumo!$P$3:$P$869) + SUMIF(Consumo!$C$3:$C$869,tabItens[[#This Row],[CÓDIGO]],Consumo!$Q$3:$Q$869)</f>
        <v>0</v>
      </c>
      <c r="AT707" s="316">
        <f>SUMIF(Consumo!$C$3:$C$869,tabItens[[#This Row],[CÓDIGO]],Consumo!$Z$3:$Z$869)</f>
        <v>0</v>
      </c>
      <c r="AU707" s="317">
        <f>SUMIF(Consumo!$C$3:$C$869,tabItens[[#This Row],[CÓDIGO]],Consumo!$AA$3:$AA$869)</f>
        <v>0</v>
      </c>
      <c r="AV707" s="318">
        <f>SUMIF(Consumo!$C$3:$C$869,tabItens[[#This Row],[CÓDIGO]],Consumo!$Y$3:$Y$869)</f>
        <v>0</v>
      </c>
      <c r="AW707" s="291">
        <f>tabItens[[#This Row],[QTDE ATUAL]] + tabItens[[#This Row],[RC QTDE]] + tabItens[[#This Row],[AF SALDO]] + tabItens[[#This Row],[Recentes]]</f>
        <v>3</v>
      </c>
      <c r="AX707" s="319">
        <v>0</v>
      </c>
      <c r="AY707" s="319">
        <v>4</v>
      </c>
      <c r="AZ707" s="319">
        <f>IF(ISBLANK(tabItens[[#This Row],[CÓDIGO]]),"",tabItens[[#This Row],[PontoMês]] * (AZ$2+tabItens[[#This Row],[PontoQtM]]))</f>
        <v>0</v>
      </c>
      <c r="BA707" s="318">
        <f>tabItens[[#This Row],[PontoPed]] - tabItens[[#This Row],[Saldo]] + (1/10)</f>
        <v>-2.9</v>
      </c>
      <c r="BB707" s="318">
        <f xml:space="preserve"> tabItens[[#This Row],[PontoMês]] * BB$2 - tabItens[[#This Row],[QTDE ATUAL]] - (1/10)</f>
        <v>-1.1000000000000001</v>
      </c>
      <c r="BC707" s="320">
        <f>IF( tabItens[[#This Row],[PontoPed]]&gt;0, IF(tabItens[[#This Row],[PontoPed]]&lt;1, 1, IF( tabItens[[#This Row],[Saldo]]&gt;tabItens[[#This Row],[PontoPed]], 0, (tabItens[[#This Row],[PontoPed]]-tabItens[[#This Row],[Saldo]])/tabItens[[#This Row],[PontoPed]] ) ), 0 )</f>
        <v>0</v>
      </c>
      <c r="BD707" s="321">
        <f>ROUNDDOWN(IF( OR( AND(tabItens[[#This Row],[PontoPed]]&lt;tabItens[[#This Row],[Saldo]],tabItens[[#This Row],[Saldo]]&gt;0), tabItens[[#This Row],[PontoPed]]=0), 99, IF(AND(tabItens[[#This Row],[Saldo]]=0,tabItens[[#This Row],[PontoPed]]&gt;0), 0, (1-tabItens[[#This Row],[PctAb]])*10 ) ),0)</f>
        <v>99</v>
      </c>
      <c r="BE707" s="322">
        <f>MAX(ROUNDDOWN( IF(tabItens[[#This Row],[Abaixo]] &gt; 0,   tabItens[[#This Row],[Abaixo]] + (tabItens[[#This Row],[PontoMês]] * IF( OR( ISBLANK(tabItens[[#This Row],[ATA Nº/ANO]]), tabItens[[#This Row],[ATA Nº/ANO]] = ""),BE$2,BE$1)),0),0),0)</f>
        <v>0</v>
      </c>
      <c r="BF70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23">
        <f>SUMIF(Consumo!$C$3:$C$869,tabItens[[#This Row],[CÓDIGO]],Consumo!$E$3:$E$869)</f>
        <v>0</v>
      </c>
      <c r="BH707" s="324">
        <f>IF(AND(tabItens[[#This Row],[Pend]] &gt; 0,tabItens[[#This Row],[Consumo]] &lt;&gt; 0), tabItens[[#This Row],[Pend]] / tabItens[[#This Row],[Consumo]], 0 )</f>
        <v>0</v>
      </c>
      <c r="BI707" s="323"/>
      <c r="BJ707" s="323"/>
      <c r="BK707" s="325" t="s">
        <v>2064</v>
      </c>
    </row>
    <row r="708" spans="1:63" hidden="1" x14ac:dyDescent="0.3">
      <c r="A708" s="286">
        <v>132799</v>
      </c>
      <c r="B708" s="287" t="s">
        <v>1835</v>
      </c>
      <c r="C708" s="288" t="s">
        <v>31</v>
      </c>
      <c r="D708" s="289">
        <v>78.819999999999993</v>
      </c>
      <c r="E708" s="290"/>
      <c r="F708" s="290"/>
      <c r="G708" s="290" t="s">
        <v>883</v>
      </c>
      <c r="H708" s="291">
        <v>6</v>
      </c>
      <c r="I708" s="292">
        <v>103003</v>
      </c>
      <c r="J708" s="293">
        <v>78.819999999999993</v>
      </c>
      <c r="K708" s="294"/>
      <c r="L708" s="295">
        <f>IF(tabItens[[#This Row],[Média]] &gt; 0, tabItens[[#This Row],[QTDE ATUAL]] / tabItens[[#This Row],[Média]],999.9)</f>
        <v>999.9</v>
      </c>
      <c r="M708" s="296">
        <v>0</v>
      </c>
      <c r="N708" s="297">
        <f>tabItens[[#This Row],[VALOR UNIT.]] * tabItens[[#This Row],[LC]]</f>
        <v>0</v>
      </c>
      <c r="O708" s="298"/>
      <c r="P708" s="299"/>
      <c r="Q708" s="300"/>
      <c r="R708" s="297"/>
      <c r="S708" s="301"/>
      <c r="T708" s="302">
        <f>ROUNDDOWN(IFERROR(tabItens[[#This Row],[ATA DT.VALID.]] - $D$1,0) / 30,0)</f>
        <v>-1504</v>
      </c>
      <c r="U708" s="287" t="s">
        <v>1481</v>
      </c>
      <c r="V708" s="303">
        <v>1</v>
      </c>
      <c r="W708" s="304" t="s">
        <v>2058</v>
      </c>
      <c r="X708" s="305">
        <v>54</v>
      </c>
      <c r="Y708" s="306">
        <v>4</v>
      </c>
      <c r="Z708" s="307">
        <v>2813</v>
      </c>
      <c r="AA708" s="308">
        <v>2023</v>
      </c>
      <c r="AB708" s="309">
        <v>4</v>
      </c>
      <c r="AC708" s="309"/>
      <c r="AD708" s="308"/>
      <c r="AE708" s="309"/>
      <c r="AF708" s="302"/>
      <c r="AG708" s="310" t="s">
        <v>2050</v>
      </c>
      <c r="AH708" s="311"/>
      <c r="AI708" s="302">
        <v>0</v>
      </c>
      <c r="AJ708" s="311">
        <v>43819</v>
      </c>
      <c r="AK708" s="311">
        <v>42905</v>
      </c>
      <c r="AL708" s="311">
        <v>43780</v>
      </c>
      <c r="AM708" s="301"/>
      <c r="AN708" s="290"/>
      <c r="AO708" s="312" t="str">
        <f>_xlfn.IFNA(IF(VLOOKUP(tabItens[[#This Row],[CÓDIGO]],tabExcluirDoEstoque[#Data],1,FALSE),"sim",""),"")</f>
        <v/>
      </c>
      <c r="AP708" s="313" t="str">
        <f ca="1">IF(OR(ISBLANK(tabItens[[#This Row],[ATA DT.VALID.]]),tabItens[[#This Row],[ATA DT.VALID.]]="",tabItens[[#This Row],[ATA DT.VALID.]]=" "),"",IF(TYPE(tabItens[[#This Row],[ATA DT.VALID.]])=1,ROUNDUP((tabItens[[#This Row],[ATA DT.VALID.]]-TODAY())/7,0),""))</f>
        <v/>
      </c>
      <c r="AQ708" s="314"/>
      <c r="AR708" s="315">
        <f>IF(ISBLANK(tabItens[[#This Row],[CÓDIGO]]),"",IFERROR(VLOOKUP(tabItens[[#This Row],[CÓDIGO]],Consumo!$C$2:$AC$869,26,FALSE),0))</f>
        <v>0</v>
      </c>
      <c r="AS708" s="316">
        <f>SUMIF(Consumo!$C$3:$C$869,tabItens[[#This Row],[CÓDIGO]],Consumo!$N$3:$N$869) + SUMIF(Consumo!$C$3:$C$869,tabItens[[#This Row],[CÓDIGO]],Consumo!$O$3:$O$869) + SUMIF(Consumo!$C$3:$C$869,tabItens[[#This Row],[CÓDIGO]],Consumo!$P$3:$P$869) + SUMIF(Consumo!$C$3:$C$869,tabItens[[#This Row],[CÓDIGO]],Consumo!$Q$3:$Q$869)</f>
        <v>0</v>
      </c>
      <c r="AT708" s="316">
        <f>SUMIF(Consumo!$C$3:$C$869,tabItens[[#This Row],[CÓDIGO]],Consumo!$Z$3:$Z$869)</f>
        <v>0</v>
      </c>
      <c r="AU708" s="317">
        <f>SUMIF(Consumo!$C$3:$C$869,tabItens[[#This Row],[CÓDIGO]],Consumo!$AA$3:$AA$869)</f>
        <v>0</v>
      </c>
      <c r="AV708" s="318">
        <f>SUMIF(Consumo!$C$3:$C$869,tabItens[[#This Row],[CÓDIGO]],Consumo!$Y$3:$Y$869)</f>
        <v>0</v>
      </c>
      <c r="AW708" s="291">
        <f>tabItens[[#This Row],[QTDE ATUAL]] + tabItens[[#This Row],[RC QTDE]] + tabItens[[#This Row],[AF SALDO]] + tabItens[[#This Row],[Recentes]]</f>
        <v>10</v>
      </c>
      <c r="AX708" s="319">
        <v>0</v>
      </c>
      <c r="AY708" s="319">
        <v>4</v>
      </c>
      <c r="AZ708" s="319">
        <f>IF(ISBLANK(tabItens[[#This Row],[CÓDIGO]]),"",tabItens[[#This Row],[PontoMês]] * (AZ$2+tabItens[[#This Row],[PontoQtM]]))</f>
        <v>0</v>
      </c>
      <c r="BA708" s="318">
        <f>tabItens[[#This Row],[PontoPed]] - tabItens[[#This Row],[Saldo]] + (1/10)</f>
        <v>-9.9</v>
      </c>
      <c r="BB708" s="318">
        <f xml:space="preserve"> tabItens[[#This Row],[PontoMês]] * BB$2 - tabItens[[#This Row],[QTDE ATUAL]] - (1/10)</f>
        <v>-6.1</v>
      </c>
      <c r="BC708" s="320">
        <f>IF( tabItens[[#This Row],[PontoPed]]&gt;0, IF(tabItens[[#This Row],[PontoPed]]&lt;1, 1, IF( tabItens[[#This Row],[Saldo]]&gt;tabItens[[#This Row],[PontoPed]], 0, (tabItens[[#This Row],[PontoPed]]-tabItens[[#This Row],[Saldo]])/tabItens[[#This Row],[PontoPed]] ) ), 0 )</f>
        <v>0</v>
      </c>
      <c r="BD708" s="321">
        <f>ROUNDDOWN(IF( OR( AND(tabItens[[#This Row],[PontoPed]]&lt;tabItens[[#This Row],[Saldo]],tabItens[[#This Row],[Saldo]]&gt;0), tabItens[[#This Row],[PontoPed]]=0), 99, IF(AND(tabItens[[#This Row],[Saldo]]=0,tabItens[[#This Row],[PontoPed]]&gt;0), 0, (1-tabItens[[#This Row],[PctAb]])*10 ) ),0)</f>
        <v>99</v>
      </c>
      <c r="BE708" s="322">
        <f>MAX(ROUNDDOWN( IF(tabItens[[#This Row],[Abaixo]] &gt; 0,   tabItens[[#This Row],[Abaixo]] + (tabItens[[#This Row],[PontoMês]] * IF( OR( ISBLANK(tabItens[[#This Row],[ATA Nº/ANO]]), tabItens[[#This Row],[ATA Nº/ANO]] = ""),BE$2,BE$1)),0),0),0)</f>
        <v>0</v>
      </c>
      <c r="BF70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23">
        <f>SUMIF(Consumo!$C$3:$C$869,tabItens[[#This Row],[CÓDIGO]],Consumo!$E$3:$E$869)</f>
        <v>0</v>
      </c>
      <c r="BH708" s="324">
        <f>IF(AND(tabItens[[#This Row],[Pend]] &gt; 0,tabItens[[#This Row],[Consumo]] &lt;&gt; 0), tabItens[[#This Row],[Pend]] / tabItens[[#This Row],[Consumo]], 0 )</f>
        <v>0</v>
      </c>
      <c r="BI708" s="323"/>
      <c r="BJ708" s="323"/>
      <c r="BK708" s="325" t="s">
        <v>2064</v>
      </c>
    </row>
    <row r="709" spans="1:63" hidden="1" x14ac:dyDescent="0.3">
      <c r="A709" s="286">
        <v>136818</v>
      </c>
      <c r="B709" s="287" t="s">
        <v>1921</v>
      </c>
      <c r="C709" s="288" t="s">
        <v>31</v>
      </c>
      <c r="D709" s="289">
        <v>5.45</v>
      </c>
      <c r="E709" s="290"/>
      <c r="F709" s="290"/>
      <c r="G709" s="290" t="s">
        <v>883</v>
      </c>
      <c r="H709" s="291">
        <v>1161</v>
      </c>
      <c r="I709" s="292">
        <v>103003</v>
      </c>
      <c r="J709" s="293">
        <v>5.45</v>
      </c>
      <c r="K709" s="294">
        <v>21</v>
      </c>
      <c r="L709" s="295">
        <f>IF(tabItens[[#This Row],[Média]] &gt; 0, tabItens[[#This Row],[QTDE ATUAL]] / tabItens[[#This Row],[Média]],999.9)</f>
        <v>1071.6923076923078</v>
      </c>
      <c r="M709" s="296">
        <v>0</v>
      </c>
      <c r="N709" s="297">
        <f>tabItens[[#This Row],[VALOR UNIT.]] * tabItens[[#This Row],[LC]]</f>
        <v>0</v>
      </c>
      <c r="O709" s="298"/>
      <c r="P709" s="299"/>
      <c r="Q709" s="300"/>
      <c r="R709" s="297"/>
      <c r="S709" s="301"/>
      <c r="T709" s="302">
        <f>ROUNDDOWN(IFERROR(tabItens[[#This Row],[ATA DT.VALID.]] - $D$1,0) / 30,0)</f>
        <v>-1504</v>
      </c>
      <c r="U709" s="287" t="s">
        <v>1481</v>
      </c>
      <c r="V709" s="303">
        <v>1</v>
      </c>
      <c r="W709" s="304" t="s">
        <v>2058</v>
      </c>
      <c r="X709" s="305">
        <v>54</v>
      </c>
      <c r="Y709" s="306">
        <v>4</v>
      </c>
      <c r="Z709" s="307"/>
      <c r="AA709" s="308"/>
      <c r="AB709" s="309"/>
      <c r="AC709" s="309"/>
      <c r="AD709" s="308"/>
      <c r="AE709" s="309"/>
      <c r="AF709" s="302"/>
      <c r="AG709" s="310" t="s">
        <v>2050</v>
      </c>
      <c r="AH709" s="311"/>
      <c r="AI709" s="302">
        <v>8</v>
      </c>
      <c r="AJ709" s="311">
        <v>44517</v>
      </c>
      <c r="AK709" s="311">
        <v>43572</v>
      </c>
      <c r="AL709" s="311">
        <v>44803</v>
      </c>
      <c r="AM709" s="301"/>
      <c r="AN709" s="290"/>
      <c r="AO709" s="312" t="str">
        <f>_xlfn.IFNA(IF(VLOOKUP(tabItens[[#This Row],[CÓDIGO]],tabExcluirDoEstoque[#Data],1,FALSE),"sim",""),"")</f>
        <v/>
      </c>
      <c r="AP709" s="313" t="str">
        <f ca="1">IF(OR(ISBLANK(tabItens[[#This Row],[ATA DT.VALID.]]),tabItens[[#This Row],[ATA DT.VALID.]]="",tabItens[[#This Row],[ATA DT.VALID.]]=" "),"",IF(TYPE(tabItens[[#This Row],[ATA DT.VALID.]])=1,ROUNDUP((tabItens[[#This Row],[ATA DT.VALID.]]-TODAY())/7,0),""))</f>
        <v/>
      </c>
      <c r="AQ709" s="314"/>
      <c r="AR709" s="315" t="str">
        <f>IF(ISBLANK(tabItens[[#This Row],[CÓDIGO]]),"",IFERROR(VLOOKUP(tabItens[[#This Row],[CÓDIGO]],Consumo!$C$2:$AC$869,26,FALSE),0))</f>
        <v>03.2023</v>
      </c>
      <c r="AS709" s="316">
        <f>SUMIF(Consumo!$C$3:$C$869,tabItens[[#This Row],[CÓDIGO]],Consumo!$N$3:$N$869) + SUMIF(Consumo!$C$3:$C$869,tabItens[[#This Row],[CÓDIGO]],Consumo!$O$3:$O$869) + SUMIF(Consumo!$C$3:$C$869,tabItens[[#This Row],[CÓDIGO]],Consumo!$P$3:$P$869) + SUMIF(Consumo!$C$3:$C$869,tabItens[[#This Row],[CÓDIGO]],Consumo!$Q$3:$Q$869)</f>
        <v>0</v>
      </c>
      <c r="AT709" s="316">
        <f>SUMIF(Consumo!$C$3:$C$869,tabItens[[#This Row],[CÓDIGO]],Consumo!$Z$3:$Z$869)</f>
        <v>21</v>
      </c>
      <c r="AU709" s="317">
        <f>SUMIF(Consumo!$C$3:$C$869,tabItens[[#This Row],[CÓDIGO]],Consumo!$AA$3:$AA$869)</f>
        <v>21</v>
      </c>
      <c r="AV709" s="318">
        <f>SUMIF(Consumo!$C$3:$C$869,tabItens[[#This Row],[CÓDIGO]],Consumo!$Y$3:$Y$869)</f>
        <v>1.0833333333333333</v>
      </c>
      <c r="AW709" s="291">
        <f>tabItens[[#This Row],[QTDE ATUAL]] + tabItens[[#This Row],[RC QTDE]] + tabItens[[#This Row],[AF SALDO]] + tabItens[[#This Row],[Recentes]]</f>
        <v>1161</v>
      </c>
      <c r="AX709" s="319">
        <v>0</v>
      </c>
      <c r="AY709" s="319">
        <v>4</v>
      </c>
      <c r="AZ709" s="319">
        <f>IF(ISBLANK(tabItens[[#This Row],[CÓDIGO]]),"",tabItens[[#This Row],[PontoMês]] * (AZ$2+tabItens[[#This Row],[PontoQtM]]))</f>
        <v>0</v>
      </c>
      <c r="BA709" s="318">
        <f>tabItens[[#This Row],[PontoPed]] - tabItens[[#This Row],[Saldo]] + (1/10)</f>
        <v>-1160.9000000000001</v>
      </c>
      <c r="BB709" s="318">
        <f xml:space="preserve"> tabItens[[#This Row],[PontoMês]] * BB$2 - tabItens[[#This Row],[QTDE ATUAL]] - (1/10)</f>
        <v>-1161.0999999999999</v>
      </c>
      <c r="BC709" s="320">
        <f>IF( tabItens[[#This Row],[PontoPed]]&gt;0, IF(tabItens[[#This Row],[PontoPed]]&lt;1, 1, IF( tabItens[[#This Row],[Saldo]]&gt;tabItens[[#This Row],[PontoPed]], 0, (tabItens[[#This Row],[PontoPed]]-tabItens[[#This Row],[Saldo]])/tabItens[[#This Row],[PontoPed]] ) ), 0 )</f>
        <v>0</v>
      </c>
      <c r="BD709" s="321">
        <f>ROUNDDOWN(IF( OR( AND(tabItens[[#This Row],[PontoPed]]&lt;tabItens[[#This Row],[Saldo]],tabItens[[#This Row],[Saldo]]&gt;0), tabItens[[#This Row],[PontoPed]]=0), 99, IF(AND(tabItens[[#This Row],[Saldo]]=0,tabItens[[#This Row],[PontoPed]]&gt;0), 0, (1-tabItens[[#This Row],[PctAb]])*10 ) ),0)</f>
        <v>99</v>
      </c>
      <c r="BE709" s="322">
        <f>MAX(ROUNDDOWN( IF(tabItens[[#This Row],[Abaixo]] &gt; 0,   tabItens[[#This Row],[Abaixo]] + (tabItens[[#This Row],[PontoMês]] * IF( OR( ISBLANK(tabItens[[#This Row],[ATA Nº/ANO]]), tabItens[[#This Row],[ATA Nº/ANO]] = ""),BE$2,BE$1)),0),0),0)</f>
        <v>0</v>
      </c>
      <c r="BF70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23">
        <f>SUMIF(Consumo!$C$3:$C$869,tabItens[[#This Row],[CÓDIGO]],Consumo!$E$3:$E$869)</f>
        <v>0</v>
      </c>
      <c r="BH709" s="324">
        <f>IF(AND(tabItens[[#This Row],[Pend]] &gt; 0,tabItens[[#This Row],[Consumo]] &lt;&gt; 0), tabItens[[#This Row],[Pend]] / tabItens[[#This Row],[Consumo]], 0 )</f>
        <v>0</v>
      </c>
      <c r="BI709" s="323"/>
      <c r="BJ709" s="323"/>
      <c r="BK709" s="325" t="s">
        <v>2064</v>
      </c>
    </row>
    <row r="710" spans="1:63" hidden="1" x14ac:dyDescent="0.3">
      <c r="A710" s="286">
        <v>136819</v>
      </c>
      <c r="B710" s="287" t="s">
        <v>1922</v>
      </c>
      <c r="C710" s="288" t="s">
        <v>301</v>
      </c>
      <c r="D710" s="289">
        <v>16.25</v>
      </c>
      <c r="E710" s="290"/>
      <c r="F710" s="290"/>
      <c r="G710" s="290" t="s">
        <v>883</v>
      </c>
      <c r="H710" s="291">
        <v>241</v>
      </c>
      <c r="I710" s="292">
        <v>103003</v>
      </c>
      <c r="J710" s="293">
        <v>16.25</v>
      </c>
      <c r="K710" s="294">
        <v>17</v>
      </c>
      <c r="L710" s="295">
        <f>IF(tabItens[[#This Row],[Média]] &gt; 0, tabItens[[#This Row],[QTDE ATUAL]] / tabItens[[#This Row],[Média]],999.9)</f>
        <v>131.45454545454547</v>
      </c>
      <c r="M710" s="296">
        <v>0</v>
      </c>
      <c r="N710" s="297">
        <f>tabItens[[#This Row],[VALOR UNIT.]] * tabItens[[#This Row],[LC]]</f>
        <v>0</v>
      </c>
      <c r="O710" s="298"/>
      <c r="P710" s="299"/>
      <c r="Q710" s="300"/>
      <c r="R710" s="297"/>
      <c r="S710" s="301"/>
      <c r="T710" s="302">
        <f>ROUNDDOWN(IFERROR(tabItens[[#This Row],[ATA DT.VALID.]] - $D$1,0) / 30,0)</f>
        <v>-1504</v>
      </c>
      <c r="U710" s="287" t="s">
        <v>1481</v>
      </c>
      <c r="V710" s="303">
        <v>1</v>
      </c>
      <c r="W710" s="304" t="s">
        <v>2058</v>
      </c>
      <c r="X710" s="305">
        <v>54</v>
      </c>
      <c r="Y710" s="306">
        <v>4</v>
      </c>
      <c r="Z710" s="307"/>
      <c r="AA710" s="308"/>
      <c r="AB710" s="309"/>
      <c r="AC710" s="309"/>
      <c r="AD710" s="308"/>
      <c r="AE710" s="309"/>
      <c r="AF710" s="302"/>
      <c r="AG710" s="310" t="s">
        <v>2050</v>
      </c>
      <c r="AH710" s="311"/>
      <c r="AI710" s="302">
        <v>8</v>
      </c>
      <c r="AJ710" s="311">
        <v>44431</v>
      </c>
      <c r="AK710" s="311">
        <v>43572</v>
      </c>
      <c r="AL710" s="311">
        <v>44791</v>
      </c>
      <c r="AM710" s="301"/>
      <c r="AN710" s="290"/>
      <c r="AO710" s="312" t="str">
        <f>_xlfn.IFNA(IF(VLOOKUP(tabItens[[#This Row],[CÓDIGO]],tabExcluirDoEstoque[#Data],1,FALSE),"sim",""),"")</f>
        <v/>
      </c>
      <c r="AP710" s="313" t="str">
        <f ca="1">IF(OR(ISBLANK(tabItens[[#This Row],[ATA DT.VALID.]]),tabItens[[#This Row],[ATA DT.VALID.]]="",tabItens[[#This Row],[ATA DT.VALID.]]=" "),"",IF(TYPE(tabItens[[#This Row],[ATA DT.VALID.]])=1,ROUNDUP((tabItens[[#This Row],[ATA DT.VALID.]]-TODAY())/7,0),""))</f>
        <v/>
      </c>
      <c r="AQ710" s="314"/>
      <c r="AR710" s="315" t="str">
        <f>IF(ISBLANK(tabItens[[#This Row],[CÓDIGO]]),"",IFERROR(VLOOKUP(tabItens[[#This Row],[CÓDIGO]],Consumo!$C$2:$AC$869,26,FALSE),0))</f>
        <v>07.2023</v>
      </c>
      <c r="AS710" s="316">
        <f>SUMIF(Consumo!$C$3:$C$869,tabItens[[#This Row],[CÓDIGO]],Consumo!$N$3:$N$869) + SUMIF(Consumo!$C$3:$C$869,tabItens[[#This Row],[CÓDIGO]],Consumo!$O$3:$O$869) + SUMIF(Consumo!$C$3:$C$869,tabItens[[#This Row],[CÓDIGO]],Consumo!$P$3:$P$869) + SUMIF(Consumo!$C$3:$C$869,tabItens[[#This Row],[CÓDIGO]],Consumo!$Q$3:$Q$869)</f>
        <v>9</v>
      </c>
      <c r="AT710" s="316">
        <f>SUMIF(Consumo!$C$3:$C$869,tabItens[[#This Row],[CÓDIGO]],Consumo!$Z$3:$Z$869)</f>
        <v>22</v>
      </c>
      <c r="AU710" s="317">
        <f>SUMIF(Consumo!$C$3:$C$869,tabItens[[#This Row],[CÓDIGO]],Consumo!$AA$3:$AA$869)</f>
        <v>4</v>
      </c>
      <c r="AV710" s="318">
        <f>SUMIF(Consumo!$C$3:$C$869,tabItens[[#This Row],[CÓDIGO]],Consumo!$Y$3:$Y$869)</f>
        <v>1.8333333333333333</v>
      </c>
      <c r="AW710" s="291">
        <f>tabItens[[#This Row],[QTDE ATUAL]] + tabItens[[#This Row],[RC QTDE]] + tabItens[[#This Row],[AF SALDO]] + tabItens[[#This Row],[Recentes]]</f>
        <v>241</v>
      </c>
      <c r="AX710" s="319">
        <v>0</v>
      </c>
      <c r="AY710" s="319">
        <v>4</v>
      </c>
      <c r="AZ710" s="319">
        <f>IF(ISBLANK(tabItens[[#This Row],[CÓDIGO]]),"",tabItens[[#This Row],[PontoMês]] * (AZ$2+tabItens[[#This Row],[PontoQtM]]))</f>
        <v>0</v>
      </c>
      <c r="BA710" s="318">
        <f>tabItens[[#This Row],[PontoPed]] - tabItens[[#This Row],[Saldo]] + (1/10)</f>
        <v>-240.9</v>
      </c>
      <c r="BB710" s="318">
        <f xml:space="preserve"> tabItens[[#This Row],[PontoMês]] * BB$2 - tabItens[[#This Row],[QTDE ATUAL]] - (1/10)</f>
        <v>-241.1</v>
      </c>
      <c r="BC710" s="320">
        <f>IF( tabItens[[#This Row],[PontoPed]]&gt;0, IF(tabItens[[#This Row],[PontoPed]]&lt;1, 1, IF( tabItens[[#This Row],[Saldo]]&gt;tabItens[[#This Row],[PontoPed]], 0, (tabItens[[#This Row],[PontoPed]]-tabItens[[#This Row],[Saldo]])/tabItens[[#This Row],[PontoPed]] ) ), 0 )</f>
        <v>0</v>
      </c>
      <c r="BD710" s="321">
        <f>ROUNDDOWN(IF( OR( AND(tabItens[[#This Row],[PontoPed]]&lt;tabItens[[#This Row],[Saldo]],tabItens[[#This Row],[Saldo]]&gt;0), tabItens[[#This Row],[PontoPed]]=0), 99, IF(AND(tabItens[[#This Row],[Saldo]]=0,tabItens[[#This Row],[PontoPed]]&gt;0), 0, (1-tabItens[[#This Row],[PctAb]])*10 ) ),0)</f>
        <v>99</v>
      </c>
      <c r="BE710" s="322">
        <f>MAX(ROUNDDOWN( IF(tabItens[[#This Row],[Abaixo]] &gt; 0,   tabItens[[#This Row],[Abaixo]] + (tabItens[[#This Row],[PontoMês]] * IF( OR( ISBLANK(tabItens[[#This Row],[ATA Nº/ANO]]), tabItens[[#This Row],[ATA Nº/ANO]] = ""),BE$2,BE$1)),0),0),0)</f>
        <v>0</v>
      </c>
      <c r="BF71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23">
        <f>SUMIF(Consumo!$C$3:$C$869,tabItens[[#This Row],[CÓDIGO]],Consumo!$E$3:$E$869)</f>
        <v>0</v>
      </c>
      <c r="BH710" s="324">
        <f>IF(AND(tabItens[[#This Row],[Pend]] &gt; 0,tabItens[[#This Row],[Consumo]] &lt;&gt; 0), tabItens[[#This Row],[Pend]] / tabItens[[#This Row],[Consumo]], 0 )</f>
        <v>0</v>
      </c>
      <c r="BI710" s="323"/>
      <c r="BJ710" s="323"/>
      <c r="BK710" s="325" t="s">
        <v>2064</v>
      </c>
    </row>
    <row r="711" spans="1:63" hidden="1" x14ac:dyDescent="0.3">
      <c r="A711" s="286">
        <v>136823</v>
      </c>
      <c r="B711" s="287" t="s">
        <v>1923</v>
      </c>
      <c r="C711" s="288" t="s">
        <v>301</v>
      </c>
      <c r="D711" s="289">
        <v>61.58</v>
      </c>
      <c r="E711" s="290"/>
      <c r="F711" s="290"/>
      <c r="G711" s="290" t="s">
        <v>883</v>
      </c>
      <c r="H711" s="291">
        <v>51</v>
      </c>
      <c r="I711" s="292">
        <v>103003</v>
      </c>
      <c r="J711" s="293">
        <v>61.58</v>
      </c>
      <c r="K711" s="294">
        <v>2</v>
      </c>
      <c r="L711" s="295">
        <f>IF(tabItens[[#This Row],[Média]] &gt; 0, tabItens[[#This Row],[QTDE ATUAL]] / tabItens[[#This Row],[Média]],999.9)</f>
        <v>999.9</v>
      </c>
      <c r="M711" s="296">
        <v>0</v>
      </c>
      <c r="N711" s="297">
        <f>tabItens[[#This Row],[VALOR UNIT.]] * tabItens[[#This Row],[LC]]</f>
        <v>0</v>
      </c>
      <c r="O711" s="298"/>
      <c r="P711" s="299"/>
      <c r="Q711" s="300"/>
      <c r="R711" s="297"/>
      <c r="S711" s="301"/>
      <c r="T711" s="302">
        <f>ROUNDDOWN(IFERROR(tabItens[[#This Row],[ATA DT.VALID.]] - $D$1,0) / 30,0)</f>
        <v>-1504</v>
      </c>
      <c r="U711" s="287" t="s">
        <v>1481</v>
      </c>
      <c r="V711" s="303">
        <v>1</v>
      </c>
      <c r="W711" s="304" t="s">
        <v>2058</v>
      </c>
      <c r="X711" s="305">
        <v>54</v>
      </c>
      <c r="Y711" s="306">
        <v>4</v>
      </c>
      <c r="Z711" s="307"/>
      <c r="AA711" s="308"/>
      <c r="AB711" s="309"/>
      <c r="AC711" s="309"/>
      <c r="AD711" s="308"/>
      <c r="AE711" s="309"/>
      <c r="AF711" s="302"/>
      <c r="AG711" s="310" t="s">
        <v>2050</v>
      </c>
      <c r="AH711" s="311"/>
      <c r="AI711" s="302">
        <v>0</v>
      </c>
      <c r="AJ711" s="311">
        <v>43837</v>
      </c>
      <c r="AK711" s="311">
        <v>43572</v>
      </c>
      <c r="AL711" s="311">
        <v>44379</v>
      </c>
      <c r="AM711" s="301"/>
      <c r="AN711" s="290"/>
      <c r="AO711" s="312" t="str">
        <f>_xlfn.IFNA(IF(VLOOKUP(tabItens[[#This Row],[CÓDIGO]],tabExcluirDoEstoque[#Data],1,FALSE),"sim",""),"")</f>
        <v/>
      </c>
      <c r="AP711" s="313" t="str">
        <f ca="1">IF(OR(ISBLANK(tabItens[[#This Row],[ATA DT.VALID.]]),tabItens[[#This Row],[ATA DT.VALID.]]="",tabItens[[#This Row],[ATA DT.VALID.]]=" "),"",IF(TYPE(tabItens[[#This Row],[ATA DT.VALID.]])=1,ROUNDUP((tabItens[[#This Row],[ATA DT.VALID.]]-TODAY())/7,0),""))</f>
        <v/>
      </c>
      <c r="AQ711" s="314"/>
      <c r="AR711" s="315" t="str">
        <f>IF(ISBLANK(tabItens[[#This Row],[CÓDIGO]]),"",IFERROR(VLOOKUP(tabItens[[#This Row],[CÓDIGO]],Consumo!$C$2:$AC$869,26,FALSE),0))</f>
        <v>01.2023</v>
      </c>
      <c r="AS711" s="316">
        <f>SUMIF(Consumo!$C$3:$C$869,tabItens[[#This Row],[CÓDIGO]],Consumo!$N$3:$N$869) + SUMIF(Consumo!$C$3:$C$869,tabItens[[#This Row],[CÓDIGO]],Consumo!$O$3:$O$869) + SUMIF(Consumo!$C$3:$C$869,tabItens[[#This Row],[CÓDIGO]],Consumo!$P$3:$P$869) + SUMIF(Consumo!$C$3:$C$869,tabItens[[#This Row],[CÓDIGO]],Consumo!$Q$3:$Q$869)</f>
        <v>0</v>
      </c>
      <c r="AT711" s="316">
        <f>SUMIF(Consumo!$C$3:$C$869,tabItens[[#This Row],[CÓDIGO]],Consumo!$Z$3:$Z$869)</f>
        <v>2</v>
      </c>
      <c r="AU711" s="317">
        <f>SUMIF(Consumo!$C$3:$C$869,tabItens[[#This Row],[CÓDIGO]],Consumo!$AA$3:$AA$869)</f>
        <v>1</v>
      </c>
      <c r="AV711" s="318">
        <f>SUMIF(Consumo!$C$3:$C$869,tabItens[[#This Row],[CÓDIGO]],Consumo!$Y$3:$Y$869)</f>
        <v>0</v>
      </c>
      <c r="AW711" s="291">
        <f>tabItens[[#This Row],[QTDE ATUAL]] + tabItens[[#This Row],[RC QTDE]] + tabItens[[#This Row],[AF SALDO]] + tabItens[[#This Row],[Recentes]]</f>
        <v>51</v>
      </c>
      <c r="AX711" s="319">
        <v>0</v>
      </c>
      <c r="AY711" s="319">
        <v>4</v>
      </c>
      <c r="AZ711" s="319">
        <f>IF(ISBLANK(tabItens[[#This Row],[CÓDIGO]]),"",tabItens[[#This Row],[PontoMês]] * (AZ$2+tabItens[[#This Row],[PontoQtM]]))</f>
        <v>0</v>
      </c>
      <c r="BA711" s="318">
        <f>tabItens[[#This Row],[PontoPed]] - tabItens[[#This Row],[Saldo]] + (1/10)</f>
        <v>-50.9</v>
      </c>
      <c r="BB711" s="318">
        <f xml:space="preserve"> tabItens[[#This Row],[PontoMês]] * BB$2 - tabItens[[#This Row],[QTDE ATUAL]] - (1/10)</f>
        <v>-51.1</v>
      </c>
      <c r="BC711" s="320">
        <f>IF( tabItens[[#This Row],[PontoPed]]&gt;0, IF(tabItens[[#This Row],[PontoPed]]&lt;1, 1, IF( tabItens[[#This Row],[Saldo]]&gt;tabItens[[#This Row],[PontoPed]], 0, (tabItens[[#This Row],[PontoPed]]-tabItens[[#This Row],[Saldo]])/tabItens[[#This Row],[PontoPed]] ) ), 0 )</f>
        <v>0</v>
      </c>
      <c r="BD711" s="321">
        <f>ROUNDDOWN(IF( OR( AND(tabItens[[#This Row],[PontoPed]]&lt;tabItens[[#This Row],[Saldo]],tabItens[[#This Row],[Saldo]]&gt;0), tabItens[[#This Row],[PontoPed]]=0), 99, IF(AND(tabItens[[#This Row],[Saldo]]=0,tabItens[[#This Row],[PontoPed]]&gt;0), 0, (1-tabItens[[#This Row],[PctAb]])*10 ) ),0)</f>
        <v>99</v>
      </c>
      <c r="BE711" s="322">
        <f>MAX(ROUNDDOWN( IF(tabItens[[#This Row],[Abaixo]] &gt; 0,   tabItens[[#This Row],[Abaixo]] + (tabItens[[#This Row],[PontoMês]] * IF( OR( ISBLANK(tabItens[[#This Row],[ATA Nº/ANO]]), tabItens[[#This Row],[ATA Nº/ANO]] = ""),BE$2,BE$1)),0),0),0)</f>
        <v>0</v>
      </c>
      <c r="BF71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23">
        <f>SUMIF(Consumo!$C$3:$C$869,tabItens[[#This Row],[CÓDIGO]],Consumo!$E$3:$E$869)</f>
        <v>0</v>
      </c>
      <c r="BH711" s="324">
        <f>IF(AND(tabItens[[#This Row],[Pend]] &gt; 0,tabItens[[#This Row],[Consumo]] &lt;&gt; 0), tabItens[[#This Row],[Pend]] / tabItens[[#This Row],[Consumo]], 0 )</f>
        <v>0</v>
      </c>
      <c r="BI711" s="323"/>
      <c r="BJ711" s="323"/>
      <c r="BK711" s="325" t="s">
        <v>2064</v>
      </c>
    </row>
    <row r="712" spans="1:63" hidden="1" x14ac:dyDescent="0.3">
      <c r="A712" s="286">
        <v>136824</v>
      </c>
      <c r="B712" s="287" t="s">
        <v>1924</v>
      </c>
      <c r="C712" s="288" t="s">
        <v>301</v>
      </c>
      <c r="D712" s="289">
        <v>127.63</v>
      </c>
      <c r="E712" s="290"/>
      <c r="F712" s="290"/>
      <c r="G712" s="290" t="s">
        <v>883</v>
      </c>
      <c r="H712" s="291">
        <v>1</v>
      </c>
      <c r="I712" s="292">
        <v>103003</v>
      </c>
      <c r="J712" s="293">
        <v>127.63</v>
      </c>
      <c r="K712" s="294">
        <v>6</v>
      </c>
      <c r="L712" s="295">
        <f>IF(tabItens[[#This Row],[Média]] &gt; 0, tabItens[[#This Row],[QTDE ATUAL]] / tabItens[[#This Row],[Média]],999.9)</f>
        <v>2</v>
      </c>
      <c r="M712" s="296">
        <v>0</v>
      </c>
      <c r="N712" s="297">
        <f>tabItens[[#This Row],[VALOR UNIT.]] * tabItens[[#This Row],[LC]]</f>
        <v>0</v>
      </c>
      <c r="O712" s="298"/>
      <c r="P712" s="299"/>
      <c r="Q712" s="300"/>
      <c r="R712" s="297"/>
      <c r="S712" s="301"/>
      <c r="T712" s="302">
        <f>ROUNDDOWN(IFERROR(tabItens[[#This Row],[ATA DT.VALID.]] - $D$1,0) / 30,0)</f>
        <v>-1504</v>
      </c>
      <c r="U712" s="287" t="s">
        <v>1481</v>
      </c>
      <c r="V712" s="303">
        <v>1</v>
      </c>
      <c r="W712" s="304" t="s">
        <v>2058</v>
      </c>
      <c r="X712" s="305">
        <v>54</v>
      </c>
      <c r="Y712" s="306">
        <v>4</v>
      </c>
      <c r="Z712" s="307">
        <v>2825</v>
      </c>
      <c r="AA712" s="308">
        <v>2023</v>
      </c>
      <c r="AB712" s="309">
        <v>10</v>
      </c>
      <c r="AC712" s="309"/>
      <c r="AD712" s="308"/>
      <c r="AE712" s="309"/>
      <c r="AF712" s="302"/>
      <c r="AG712" s="310" t="s">
        <v>2050</v>
      </c>
      <c r="AH712" s="311"/>
      <c r="AI712" s="302">
        <v>2</v>
      </c>
      <c r="AJ712" s="311">
        <v>43837</v>
      </c>
      <c r="AK712" s="311">
        <v>43572</v>
      </c>
      <c r="AL712" s="311">
        <v>44642</v>
      </c>
      <c r="AM712" s="301"/>
      <c r="AN712" s="290"/>
      <c r="AO712" s="312" t="str">
        <f>_xlfn.IFNA(IF(VLOOKUP(tabItens[[#This Row],[CÓDIGO]],tabExcluirDoEstoque[#Data],1,FALSE),"sim",""),"")</f>
        <v/>
      </c>
      <c r="AP712" s="313" t="str">
        <f ca="1">IF(OR(ISBLANK(tabItens[[#This Row],[ATA DT.VALID.]]),tabItens[[#This Row],[ATA DT.VALID.]]="",tabItens[[#This Row],[ATA DT.VALID.]]=" "),"",IF(TYPE(tabItens[[#This Row],[ATA DT.VALID.]])=1,ROUNDUP((tabItens[[#This Row],[ATA DT.VALID.]]-TODAY())/7,0),""))</f>
        <v/>
      </c>
      <c r="AQ712" s="314"/>
      <c r="AR712" s="315" t="str">
        <f>IF(ISBLANK(tabItens[[#This Row],[CÓDIGO]]),"",IFERROR(VLOOKUP(tabItens[[#This Row],[CÓDIGO]],Consumo!$C$2:$AC$869,26,FALSE),0))</f>
        <v>05.2023</v>
      </c>
      <c r="AS712" s="316">
        <f>SUMIF(Consumo!$C$3:$C$869,tabItens[[#This Row],[CÓDIGO]],Consumo!$N$3:$N$869) + SUMIF(Consumo!$C$3:$C$869,tabItens[[#This Row],[CÓDIGO]],Consumo!$O$3:$O$869) + SUMIF(Consumo!$C$3:$C$869,tabItens[[#This Row],[CÓDIGO]],Consumo!$P$3:$P$869) + SUMIF(Consumo!$C$3:$C$869,tabItens[[#This Row],[CÓDIGO]],Consumo!$Q$3:$Q$869)</f>
        <v>1</v>
      </c>
      <c r="AT712" s="316">
        <f>SUMIF(Consumo!$C$3:$C$869,tabItens[[#This Row],[CÓDIGO]],Consumo!$Z$3:$Z$869)</f>
        <v>6</v>
      </c>
      <c r="AU712" s="317">
        <f>SUMIF(Consumo!$C$3:$C$869,tabItens[[#This Row],[CÓDIGO]],Consumo!$AA$3:$AA$869)</f>
        <v>1</v>
      </c>
      <c r="AV712" s="318">
        <f>SUMIF(Consumo!$C$3:$C$869,tabItens[[#This Row],[CÓDIGO]],Consumo!$Y$3:$Y$869)</f>
        <v>0.5</v>
      </c>
      <c r="AW712" s="291">
        <f>tabItens[[#This Row],[QTDE ATUAL]] + tabItens[[#This Row],[RC QTDE]] + tabItens[[#This Row],[AF SALDO]] + tabItens[[#This Row],[Recentes]]</f>
        <v>11</v>
      </c>
      <c r="AX712" s="319">
        <v>0</v>
      </c>
      <c r="AY712" s="319">
        <v>4</v>
      </c>
      <c r="AZ712" s="319">
        <f>IF(ISBLANK(tabItens[[#This Row],[CÓDIGO]]),"",tabItens[[#This Row],[PontoMês]] * (AZ$2+tabItens[[#This Row],[PontoQtM]]))</f>
        <v>0</v>
      </c>
      <c r="BA712" s="318">
        <f>tabItens[[#This Row],[PontoPed]] - tabItens[[#This Row],[Saldo]] + (1/10)</f>
        <v>-10.9</v>
      </c>
      <c r="BB712" s="318">
        <f xml:space="preserve"> tabItens[[#This Row],[PontoMês]] * BB$2 - tabItens[[#This Row],[QTDE ATUAL]] - (1/10)</f>
        <v>-1.1000000000000001</v>
      </c>
      <c r="BC712" s="320">
        <f>IF( tabItens[[#This Row],[PontoPed]]&gt;0, IF(tabItens[[#This Row],[PontoPed]]&lt;1, 1, IF( tabItens[[#This Row],[Saldo]]&gt;tabItens[[#This Row],[PontoPed]], 0, (tabItens[[#This Row],[PontoPed]]-tabItens[[#This Row],[Saldo]])/tabItens[[#This Row],[PontoPed]] ) ), 0 )</f>
        <v>0</v>
      </c>
      <c r="BD712" s="321">
        <f>ROUNDDOWN(IF( OR( AND(tabItens[[#This Row],[PontoPed]]&lt;tabItens[[#This Row],[Saldo]],tabItens[[#This Row],[Saldo]]&gt;0), tabItens[[#This Row],[PontoPed]]=0), 99, IF(AND(tabItens[[#This Row],[Saldo]]=0,tabItens[[#This Row],[PontoPed]]&gt;0), 0, (1-tabItens[[#This Row],[PctAb]])*10 ) ),0)</f>
        <v>99</v>
      </c>
      <c r="BE712" s="322">
        <f>MAX(ROUNDDOWN( IF(tabItens[[#This Row],[Abaixo]] &gt; 0,   tabItens[[#This Row],[Abaixo]] + (tabItens[[#This Row],[PontoMês]] * IF( OR( ISBLANK(tabItens[[#This Row],[ATA Nº/ANO]]), tabItens[[#This Row],[ATA Nº/ANO]] = ""),BE$2,BE$1)),0),0),0)</f>
        <v>0</v>
      </c>
      <c r="BF71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23">
        <f>SUMIF(Consumo!$C$3:$C$869,tabItens[[#This Row],[CÓDIGO]],Consumo!$E$3:$E$869)</f>
        <v>0</v>
      </c>
      <c r="BH712" s="324">
        <f>IF(AND(tabItens[[#This Row],[Pend]] &gt; 0,tabItens[[#This Row],[Consumo]] &lt;&gt; 0), tabItens[[#This Row],[Pend]] / tabItens[[#This Row],[Consumo]], 0 )</f>
        <v>0</v>
      </c>
      <c r="BI712" s="323"/>
      <c r="BJ712" s="323"/>
      <c r="BK712" s="325" t="s">
        <v>2064</v>
      </c>
    </row>
    <row r="713" spans="1:63" hidden="1" x14ac:dyDescent="0.3">
      <c r="A713" s="286">
        <v>136825</v>
      </c>
      <c r="B713" s="287" t="s">
        <v>1925</v>
      </c>
      <c r="C713" s="288" t="s">
        <v>301</v>
      </c>
      <c r="D713" s="289">
        <v>127.63</v>
      </c>
      <c r="E713" s="290"/>
      <c r="F713" s="290"/>
      <c r="G713" s="290" t="s">
        <v>883</v>
      </c>
      <c r="H713" s="291">
        <v>0</v>
      </c>
      <c r="I713" s="292">
        <v>103003</v>
      </c>
      <c r="J713" s="293">
        <v>127.63</v>
      </c>
      <c r="K713" s="294">
        <v>3</v>
      </c>
      <c r="L713" s="295">
        <f>IF(tabItens[[#This Row],[Média]] &gt; 0, tabItens[[#This Row],[QTDE ATUAL]] / tabItens[[#This Row],[Média]],999.9)</f>
        <v>0</v>
      </c>
      <c r="M713" s="296">
        <v>0</v>
      </c>
      <c r="N713" s="297">
        <f>tabItens[[#This Row],[VALOR UNIT.]] * tabItens[[#This Row],[LC]]</f>
        <v>0</v>
      </c>
      <c r="O713" s="298"/>
      <c r="P713" s="299"/>
      <c r="Q713" s="300"/>
      <c r="R713" s="297"/>
      <c r="S713" s="301"/>
      <c r="T713" s="302">
        <f>ROUNDDOWN(IFERROR(tabItens[[#This Row],[ATA DT.VALID.]] - $D$1,0) / 30,0)</f>
        <v>-1504</v>
      </c>
      <c r="U713" s="287" t="s">
        <v>1481</v>
      </c>
      <c r="V713" s="303">
        <v>1</v>
      </c>
      <c r="W713" s="304" t="s">
        <v>2058</v>
      </c>
      <c r="X713" s="305">
        <v>54</v>
      </c>
      <c r="Y713" s="306">
        <v>4</v>
      </c>
      <c r="Z713" s="307">
        <v>2825</v>
      </c>
      <c r="AA713" s="308">
        <v>2023</v>
      </c>
      <c r="AB713" s="309">
        <v>3</v>
      </c>
      <c r="AC713" s="309"/>
      <c r="AD713" s="308"/>
      <c r="AE713" s="309"/>
      <c r="AF713" s="302"/>
      <c r="AG713" s="310" t="s">
        <v>2050</v>
      </c>
      <c r="AH713" s="311"/>
      <c r="AI713" s="302">
        <v>2</v>
      </c>
      <c r="AJ713" s="311">
        <v>43837</v>
      </c>
      <c r="AK713" s="311">
        <v>43572</v>
      </c>
      <c r="AL713" s="311">
        <v>44642</v>
      </c>
      <c r="AM713" s="301"/>
      <c r="AN713" s="290"/>
      <c r="AO713" s="312" t="str">
        <f>_xlfn.IFNA(IF(VLOOKUP(tabItens[[#This Row],[CÓDIGO]],tabExcluirDoEstoque[#Data],1,FALSE),"sim",""),"")</f>
        <v/>
      </c>
      <c r="AP713" s="313" t="str">
        <f ca="1">IF(OR(ISBLANK(tabItens[[#This Row],[ATA DT.VALID.]]),tabItens[[#This Row],[ATA DT.VALID.]]="",tabItens[[#This Row],[ATA DT.VALID.]]=" "),"",IF(TYPE(tabItens[[#This Row],[ATA DT.VALID.]])=1,ROUNDUP((tabItens[[#This Row],[ATA DT.VALID.]]-TODAY())/7,0),""))</f>
        <v/>
      </c>
      <c r="AQ713" s="314"/>
      <c r="AR713" s="315" t="str">
        <f>IF(ISBLANK(tabItens[[#This Row],[CÓDIGO]]),"",IFERROR(VLOOKUP(tabItens[[#This Row],[CÓDIGO]],Consumo!$C$2:$AC$869,26,FALSE),0))</f>
        <v>04.2023</v>
      </c>
      <c r="AS713" s="316">
        <f>SUMIF(Consumo!$C$3:$C$869,tabItens[[#This Row],[CÓDIGO]],Consumo!$N$3:$N$869) + SUMIF(Consumo!$C$3:$C$869,tabItens[[#This Row],[CÓDIGO]],Consumo!$O$3:$O$869) + SUMIF(Consumo!$C$3:$C$869,tabItens[[#This Row],[CÓDIGO]],Consumo!$P$3:$P$869) + SUMIF(Consumo!$C$3:$C$869,tabItens[[#This Row],[CÓDIGO]],Consumo!$Q$3:$Q$869)</f>
        <v>1</v>
      </c>
      <c r="AT713" s="316">
        <f>SUMIF(Consumo!$C$3:$C$869,tabItens[[#This Row],[CÓDIGO]],Consumo!$Z$3:$Z$869)</f>
        <v>4</v>
      </c>
      <c r="AU713" s="317">
        <f>SUMIF(Consumo!$C$3:$C$869,tabItens[[#This Row],[CÓDIGO]],Consumo!$AA$3:$AA$869)</f>
        <v>1</v>
      </c>
      <c r="AV713" s="318">
        <f>SUMIF(Consumo!$C$3:$C$869,tabItens[[#This Row],[CÓDIGO]],Consumo!$Y$3:$Y$869)</f>
        <v>0.33333333333333331</v>
      </c>
      <c r="AW713" s="291">
        <f>tabItens[[#This Row],[QTDE ATUAL]] + tabItens[[#This Row],[RC QTDE]] + tabItens[[#This Row],[AF SALDO]] + tabItens[[#This Row],[Recentes]]</f>
        <v>3</v>
      </c>
      <c r="AX713" s="319">
        <v>0</v>
      </c>
      <c r="AY713" s="319">
        <v>4</v>
      </c>
      <c r="AZ713" s="319">
        <f>IF(ISBLANK(tabItens[[#This Row],[CÓDIGO]]),"",tabItens[[#This Row],[PontoMês]] * (AZ$2+tabItens[[#This Row],[PontoQtM]]))</f>
        <v>0</v>
      </c>
      <c r="BA713" s="318">
        <f>tabItens[[#This Row],[PontoPed]] - tabItens[[#This Row],[Saldo]] + (1/10)</f>
        <v>-2.9</v>
      </c>
      <c r="BB713" s="318">
        <f xml:space="preserve"> tabItens[[#This Row],[PontoMês]] * BB$2 - tabItens[[#This Row],[QTDE ATUAL]] - (1/10)</f>
        <v>-0.1</v>
      </c>
      <c r="BC713" s="320">
        <f>IF( tabItens[[#This Row],[PontoPed]]&gt;0, IF(tabItens[[#This Row],[PontoPed]]&lt;1, 1, IF( tabItens[[#This Row],[Saldo]]&gt;tabItens[[#This Row],[PontoPed]], 0, (tabItens[[#This Row],[PontoPed]]-tabItens[[#This Row],[Saldo]])/tabItens[[#This Row],[PontoPed]] ) ), 0 )</f>
        <v>0</v>
      </c>
      <c r="BD713" s="321">
        <f>ROUNDDOWN(IF( OR( AND(tabItens[[#This Row],[PontoPed]]&lt;tabItens[[#This Row],[Saldo]],tabItens[[#This Row],[Saldo]]&gt;0), tabItens[[#This Row],[PontoPed]]=0), 99, IF(AND(tabItens[[#This Row],[Saldo]]=0,tabItens[[#This Row],[PontoPed]]&gt;0), 0, (1-tabItens[[#This Row],[PctAb]])*10 ) ),0)</f>
        <v>99</v>
      </c>
      <c r="BE713" s="322">
        <f>MAX(ROUNDDOWN( IF(tabItens[[#This Row],[Abaixo]] &gt; 0,   tabItens[[#This Row],[Abaixo]] + (tabItens[[#This Row],[PontoMês]] * IF( OR( ISBLANK(tabItens[[#This Row],[ATA Nº/ANO]]), tabItens[[#This Row],[ATA Nº/ANO]] = ""),BE$2,BE$1)),0),0),0)</f>
        <v>0</v>
      </c>
      <c r="BF71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23">
        <f>SUMIF(Consumo!$C$3:$C$869,tabItens[[#This Row],[CÓDIGO]],Consumo!$E$3:$E$869)</f>
        <v>1</v>
      </c>
      <c r="BH713" s="324">
        <f>IF(AND(tabItens[[#This Row],[Pend]] &gt; 0,tabItens[[#This Row],[Consumo]] &lt;&gt; 0), tabItens[[#This Row],[Pend]] / tabItens[[#This Row],[Consumo]], 0 )</f>
        <v>0.25</v>
      </c>
      <c r="BI713" s="323"/>
      <c r="BJ713" s="323"/>
      <c r="BK713" s="325" t="s">
        <v>2064</v>
      </c>
    </row>
    <row r="714" spans="1:63" hidden="1" x14ac:dyDescent="0.3">
      <c r="A714" s="286">
        <v>136826</v>
      </c>
      <c r="B714" s="287" t="s">
        <v>1926</v>
      </c>
      <c r="C714" s="288" t="s">
        <v>301</v>
      </c>
      <c r="D714" s="289">
        <v>61.76</v>
      </c>
      <c r="E714" s="290"/>
      <c r="F714" s="290"/>
      <c r="G714" s="290" t="s">
        <v>883</v>
      </c>
      <c r="H714" s="291">
        <v>2</v>
      </c>
      <c r="I714" s="292">
        <v>103003</v>
      </c>
      <c r="J714" s="293">
        <v>61.76</v>
      </c>
      <c r="K714" s="294">
        <v>7</v>
      </c>
      <c r="L714" s="295">
        <f>IF(tabItens[[#This Row],[Média]] &gt; 0, tabItens[[#This Row],[QTDE ATUAL]] / tabItens[[#This Row],[Média]],999.9)</f>
        <v>4</v>
      </c>
      <c r="M714" s="296">
        <v>0</v>
      </c>
      <c r="N714" s="297">
        <f>tabItens[[#This Row],[VALOR UNIT.]] * tabItens[[#This Row],[LC]]</f>
        <v>0</v>
      </c>
      <c r="O714" s="298"/>
      <c r="P714" s="299"/>
      <c r="Q714" s="300"/>
      <c r="R714" s="297"/>
      <c r="S714" s="301"/>
      <c r="T714" s="302">
        <f>ROUNDDOWN(IFERROR(tabItens[[#This Row],[ATA DT.VALID.]] - $D$1,0) / 30,0)</f>
        <v>-1504</v>
      </c>
      <c r="U714" s="287" t="s">
        <v>1481</v>
      </c>
      <c r="V714" s="303">
        <v>1</v>
      </c>
      <c r="W714" s="304" t="s">
        <v>2058</v>
      </c>
      <c r="X714" s="305">
        <v>54</v>
      </c>
      <c r="Y714" s="306">
        <v>4</v>
      </c>
      <c r="Z714" s="307">
        <v>2825</v>
      </c>
      <c r="AA714" s="308">
        <v>2023</v>
      </c>
      <c r="AB714" s="309">
        <v>15</v>
      </c>
      <c r="AC714" s="309"/>
      <c r="AD714" s="308"/>
      <c r="AE714" s="309"/>
      <c r="AF714" s="302"/>
      <c r="AG714" s="310" t="s">
        <v>2050</v>
      </c>
      <c r="AH714" s="311"/>
      <c r="AI714" s="302">
        <v>2</v>
      </c>
      <c r="AJ714" s="311">
        <v>43837</v>
      </c>
      <c r="AK714" s="311">
        <v>43572</v>
      </c>
      <c r="AL714" s="311">
        <v>44379</v>
      </c>
      <c r="AM714" s="301"/>
      <c r="AN714" s="290"/>
      <c r="AO714" s="312" t="str">
        <f>_xlfn.IFNA(IF(VLOOKUP(tabItens[[#This Row],[CÓDIGO]],tabExcluirDoEstoque[#Data],1,FALSE),"sim",""),"")</f>
        <v/>
      </c>
      <c r="AP714" s="313" t="str">
        <f ca="1">IF(OR(ISBLANK(tabItens[[#This Row],[ATA DT.VALID.]]),tabItens[[#This Row],[ATA DT.VALID.]]="",tabItens[[#This Row],[ATA DT.VALID.]]=" "),"",IF(TYPE(tabItens[[#This Row],[ATA DT.VALID.]])=1,ROUNDUP((tabItens[[#This Row],[ATA DT.VALID.]]-TODAY())/7,0),""))</f>
        <v/>
      </c>
      <c r="AQ714" s="314"/>
      <c r="AR714" s="315" t="str">
        <f>IF(ISBLANK(tabItens[[#This Row],[CÓDIGO]]),"",IFERROR(VLOOKUP(tabItens[[#This Row],[CÓDIGO]],Consumo!$C$2:$AC$869,26,FALSE),0))</f>
        <v>04.2023</v>
      </c>
      <c r="AS714" s="316">
        <f>SUMIF(Consumo!$C$3:$C$869,tabItens[[#This Row],[CÓDIGO]],Consumo!$N$3:$N$869) + SUMIF(Consumo!$C$3:$C$869,tabItens[[#This Row],[CÓDIGO]],Consumo!$O$3:$O$869) + SUMIF(Consumo!$C$3:$C$869,tabItens[[#This Row],[CÓDIGO]],Consumo!$P$3:$P$869) + SUMIF(Consumo!$C$3:$C$869,tabItens[[#This Row],[CÓDIGO]],Consumo!$Q$3:$Q$869)</f>
        <v>1</v>
      </c>
      <c r="AT714" s="316">
        <f>SUMIF(Consumo!$C$3:$C$869,tabItens[[#This Row],[CÓDIGO]],Consumo!$Z$3:$Z$869)</f>
        <v>7</v>
      </c>
      <c r="AU714" s="317">
        <f>SUMIF(Consumo!$C$3:$C$869,tabItens[[#This Row],[CÓDIGO]],Consumo!$AA$3:$AA$869)</f>
        <v>2</v>
      </c>
      <c r="AV714" s="318">
        <f>SUMIF(Consumo!$C$3:$C$869,tabItens[[#This Row],[CÓDIGO]],Consumo!$Y$3:$Y$869)</f>
        <v>0.5</v>
      </c>
      <c r="AW714" s="291">
        <f>tabItens[[#This Row],[QTDE ATUAL]] + tabItens[[#This Row],[RC QTDE]] + tabItens[[#This Row],[AF SALDO]] + tabItens[[#This Row],[Recentes]]</f>
        <v>17</v>
      </c>
      <c r="AX714" s="319">
        <v>0</v>
      </c>
      <c r="AY714" s="319">
        <v>4</v>
      </c>
      <c r="AZ714" s="319">
        <f>IF(ISBLANK(tabItens[[#This Row],[CÓDIGO]]),"",tabItens[[#This Row],[PontoMês]] * (AZ$2+tabItens[[#This Row],[PontoQtM]]))</f>
        <v>0</v>
      </c>
      <c r="BA714" s="318">
        <f>tabItens[[#This Row],[PontoPed]] - tabItens[[#This Row],[Saldo]] + (1/10)</f>
        <v>-16.899999999999999</v>
      </c>
      <c r="BB714" s="318">
        <f xml:space="preserve"> tabItens[[#This Row],[PontoMês]] * BB$2 - tabItens[[#This Row],[QTDE ATUAL]] - (1/10)</f>
        <v>-2.1</v>
      </c>
      <c r="BC714" s="320">
        <f>IF( tabItens[[#This Row],[PontoPed]]&gt;0, IF(tabItens[[#This Row],[PontoPed]]&lt;1, 1, IF( tabItens[[#This Row],[Saldo]]&gt;tabItens[[#This Row],[PontoPed]], 0, (tabItens[[#This Row],[PontoPed]]-tabItens[[#This Row],[Saldo]])/tabItens[[#This Row],[PontoPed]] ) ), 0 )</f>
        <v>0</v>
      </c>
      <c r="BD714" s="321">
        <f>ROUNDDOWN(IF( OR( AND(tabItens[[#This Row],[PontoPed]]&lt;tabItens[[#This Row],[Saldo]],tabItens[[#This Row],[Saldo]]&gt;0), tabItens[[#This Row],[PontoPed]]=0), 99, IF(AND(tabItens[[#This Row],[Saldo]]=0,tabItens[[#This Row],[PontoPed]]&gt;0), 0, (1-tabItens[[#This Row],[PctAb]])*10 ) ),0)</f>
        <v>99</v>
      </c>
      <c r="BE714" s="322">
        <f>MAX(ROUNDDOWN( IF(tabItens[[#This Row],[Abaixo]] &gt; 0,   tabItens[[#This Row],[Abaixo]] + (tabItens[[#This Row],[PontoMês]] * IF( OR( ISBLANK(tabItens[[#This Row],[ATA Nº/ANO]]), tabItens[[#This Row],[ATA Nº/ANO]] = ""),BE$2,BE$1)),0),0),0)</f>
        <v>0</v>
      </c>
      <c r="BF71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23">
        <f>SUMIF(Consumo!$C$3:$C$869,tabItens[[#This Row],[CÓDIGO]],Consumo!$E$3:$E$869)</f>
        <v>0</v>
      </c>
      <c r="BH714" s="324">
        <f>IF(AND(tabItens[[#This Row],[Pend]] &gt; 0,tabItens[[#This Row],[Consumo]] &lt;&gt; 0), tabItens[[#This Row],[Pend]] / tabItens[[#This Row],[Consumo]], 0 )</f>
        <v>0</v>
      </c>
      <c r="BI714" s="323"/>
      <c r="BJ714" s="323"/>
      <c r="BK714" s="325" t="s">
        <v>2064</v>
      </c>
    </row>
    <row r="715" spans="1:63" hidden="1" x14ac:dyDescent="0.3">
      <c r="A715" s="286">
        <v>136829</v>
      </c>
      <c r="B715" s="287" t="s">
        <v>1927</v>
      </c>
      <c r="C715" s="288" t="s">
        <v>301</v>
      </c>
      <c r="D715" s="289">
        <v>73.010000000000005</v>
      </c>
      <c r="E715" s="290"/>
      <c r="F715" s="290"/>
      <c r="G715" s="290" t="s">
        <v>883</v>
      </c>
      <c r="H715" s="291">
        <v>5</v>
      </c>
      <c r="I715" s="292">
        <v>103003</v>
      </c>
      <c r="J715" s="293">
        <v>73.010000000000005</v>
      </c>
      <c r="K715" s="294">
        <v>1</v>
      </c>
      <c r="L715" s="295">
        <f>IF(tabItens[[#This Row],[Média]] &gt; 0, tabItens[[#This Row],[QTDE ATUAL]] / tabItens[[#This Row],[Média]],999.9)</f>
        <v>999.9</v>
      </c>
      <c r="M715" s="296">
        <v>0</v>
      </c>
      <c r="N715" s="297">
        <f>tabItens[[#This Row],[VALOR UNIT.]] * tabItens[[#This Row],[LC]]</f>
        <v>0</v>
      </c>
      <c r="O715" s="298"/>
      <c r="P715" s="299"/>
      <c r="Q715" s="300"/>
      <c r="R715" s="297"/>
      <c r="S715" s="301"/>
      <c r="T715" s="302">
        <f>ROUNDDOWN(IFERROR(tabItens[[#This Row],[ATA DT.VALID.]] - $D$1,0) / 30,0)</f>
        <v>-1504</v>
      </c>
      <c r="U715" s="287" t="s">
        <v>1481</v>
      </c>
      <c r="V715" s="303">
        <v>1</v>
      </c>
      <c r="W715" s="304" t="s">
        <v>2058</v>
      </c>
      <c r="X715" s="305">
        <v>54</v>
      </c>
      <c r="Y715" s="306">
        <v>4</v>
      </c>
      <c r="Z715" s="307"/>
      <c r="AA715" s="308"/>
      <c r="AB715" s="309"/>
      <c r="AC715" s="309"/>
      <c r="AD715" s="308"/>
      <c r="AE715" s="309"/>
      <c r="AF715" s="302"/>
      <c r="AG715" s="310" t="s">
        <v>2050</v>
      </c>
      <c r="AH715" s="311"/>
      <c r="AI715" s="302">
        <v>0</v>
      </c>
      <c r="AJ715" s="311">
        <v>43837</v>
      </c>
      <c r="AK715" s="311">
        <v>43572</v>
      </c>
      <c r="AL715" s="311">
        <v>44533</v>
      </c>
      <c r="AM715" s="301"/>
      <c r="AN715" s="290"/>
      <c r="AO715" s="312" t="str">
        <f>_xlfn.IFNA(IF(VLOOKUP(tabItens[[#This Row],[CÓDIGO]],tabExcluirDoEstoque[#Data],1,FALSE),"sim",""),"")</f>
        <v/>
      </c>
      <c r="AP715" s="313" t="str">
        <f ca="1">IF(OR(ISBLANK(tabItens[[#This Row],[ATA DT.VALID.]]),tabItens[[#This Row],[ATA DT.VALID.]]="",tabItens[[#This Row],[ATA DT.VALID.]]=" "),"",IF(TYPE(tabItens[[#This Row],[ATA DT.VALID.]])=1,ROUNDUP((tabItens[[#This Row],[ATA DT.VALID.]]-TODAY())/7,0),""))</f>
        <v/>
      </c>
      <c r="AQ715" s="314"/>
      <c r="AR715" s="315" t="str">
        <f>IF(ISBLANK(tabItens[[#This Row],[CÓDIGO]]),"",IFERROR(VLOOKUP(tabItens[[#This Row],[CÓDIGO]],Consumo!$C$2:$AC$869,26,FALSE),0))</f>
        <v>09.2022</v>
      </c>
      <c r="AS715" s="316">
        <f>SUMIF(Consumo!$C$3:$C$869,tabItens[[#This Row],[CÓDIGO]],Consumo!$N$3:$N$869) + SUMIF(Consumo!$C$3:$C$869,tabItens[[#This Row],[CÓDIGO]],Consumo!$O$3:$O$869) + SUMIF(Consumo!$C$3:$C$869,tabItens[[#This Row],[CÓDIGO]],Consumo!$P$3:$P$869) + SUMIF(Consumo!$C$3:$C$869,tabItens[[#This Row],[CÓDIGO]],Consumo!$Q$3:$Q$869)</f>
        <v>0</v>
      </c>
      <c r="AT715" s="316">
        <f>SUMIF(Consumo!$C$3:$C$869,tabItens[[#This Row],[CÓDIGO]],Consumo!$Z$3:$Z$869)</f>
        <v>1</v>
      </c>
      <c r="AU715" s="317">
        <f>SUMIF(Consumo!$C$3:$C$869,tabItens[[#This Row],[CÓDIGO]],Consumo!$AA$3:$AA$869)</f>
        <v>1</v>
      </c>
      <c r="AV715" s="318">
        <f>SUMIF(Consumo!$C$3:$C$869,tabItens[[#This Row],[CÓDIGO]],Consumo!$Y$3:$Y$869)</f>
        <v>0</v>
      </c>
      <c r="AW715" s="291">
        <f>tabItens[[#This Row],[QTDE ATUAL]] + tabItens[[#This Row],[RC QTDE]] + tabItens[[#This Row],[AF SALDO]] + tabItens[[#This Row],[Recentes]]</f>
        <v>5</v>
      </c>
      <c r="AX715" s="319">
        <v>0</v>
      </c>
      <c r="AY715" s="319">
        <v>4</v>
      </c>
      <c r="AZ715" s="319">
        <f>IF(ISBLANK(tabItens[[#This Row],[CÓDIGO]]),"",tabItens[[#This Row],[PontoMês]] * (AZ$2+tabItens[[#This Row],[PontoQtM]]))</f>
        <v>0</v>
      </c>
      <c r="BA715" s="318">
        <f>tabItens[[#This Row],[PontoPed]] - tabItens[[#This Row],[Saldo]] + (1/10)</f>
        <v>-4.9000000000000004</v>
      </c>
      <c r="BB715" s="318">
        <f xml:space="preserve"> tabItens[[#This Row],[PontoMês]] * BB$2 - tabItens[[#This Row],[QTDE ATUAL]] - (1/10)</f>
        <v>-5.0999999999999996</v>
      </c>
      <c r="BC715" s="320">
        <f>IF( tabItens[[#This Row],[PontoPed]]&gt;0, IF(tabItens[[#This Row],[PontoPed]]&lt;1, 1, IF( tabItens[[#This Row],[Saldo]]&gt;tabItens[[#This Row],[PontoPed]], 0, (tabItens[[#This Row],[PontoPed]]-tabItens[[#This Row],[Saldo]])/tabItens[[#This Row],[PontoPed]] ) ), 0 )</f>
        <v>0</v>
      </c>
      <c r="BD715" s="321">
        <f>ROUNDDOWN(IF( OR( AND(tabItens[[#This Row],[PontoPed]]&lt;tabItens[[#This Row],[Saldo]],tabItens[[#This Row],[Saldo]]&gt;0), tabItens[[#This Row],[PontoPed]]=0), 99, IF(AND(tabItens[[#This Row],[Saldo]]=0,tabItens[[#This Row],[PontoPed]]&gt;0), 0, (1-tabItens[[#This Row],[PctAb]])*10 ) ),0)</f>
        <v>99</v>
      </c>
      <c r="BE715" s="322">
        <f>MAX(ROUNDDOWN( IF(tabItens[[#This Row],[Abaixo]] &gt; 0,   tabItens[[#This Row],[Abaixo]] + (tabItens[[#This Row],[PontoMês]] * IF( OR( ISBLANK(tabItens[[#This Row],[ATA Nº/ANO]]), tabItens[[#This Row],[ATA Nº/ANO]] = ""),BE$2,BE$1)),0),0),0)</f>
        <v>0</v>
      </c>
      <c r="BF71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23">
        <f>SUMIF(Consumo!$C$3:$C$869,tabItens[[#This Row],[CÓDIGO]],Consumo!$E$3:$E$869)</f>
        <v>0</v>
      </c>
      <c r="BH715" s="324">
        <f>IF(AND(tabItens[[#This Row],[Pend]] &gt; 0,tabItens[[#This Row],[Consumo]] &lt;&gt; 0), tabItens[[#This Row],[Pend]] / tabItens[[#This Row],[Consumo]], 0 )</f>
        <v>0</v>
      </c>
      <c r="BI715" s="323"/>
      <c r="BJ715" s="323"/>
      <c r="BK715" s="325" t="s">
        <v>2064</v>
      </c>
    </row>
    <row r="716" spans="1:63" hidden="1" x14ac:dyDescent="0.3">
      <c r="A716" s="286">
        <v>136853</v>
      </c>
      <c r="B716" s="287" t="s">
        <v>1928</v>
      </c>
      <c r="C716" s="288" t="s">
        <v>301</v>
      </c>
      <c r="D716" s="289">
        <v>1.76</v>
      </c>
      <c r="E716" s="290"/>
      <c r="F716" s="290"/>
      <c r="G716" s="290" t="s">
        <v>883</v>
      </c>
      <c r="H716" s="291">
        <v>55</v>
      </c>
      <c r="I716" s="292">
        <v>103003</v>
      </c>
      <c r="J716" s="293">
        <v>1.76</v>
      </c>
      <c r="K716" s="294">
        <v>21</v>
      </c>
      <c r="L716" s="295">
        <f>IF(tabItens[[#This Row],[Média]] &gt; 0, tabItens[[#This Row],[QTDE ATUAL]] / tabItens[[#This Row],[Média]],999.9)</f>
        <v>31.428571428571427</v>
      </c>
      <c r="M716" s="296">
        <v>0</v>
      </c>
      <c r="N716" s="297">
        <f>tabItens[[#This Row],[VALOR UNIT.]] * tabItens[[#This Row],[LC]]</f>
        <v>0</v>
      </c>
      <c r="O716" s="298"/>
      <c r="P716" s="299"/>
      <c r="Q716" s="300"/>
      <c r="R716" s="297"/>
      <c r="S716" s="301"/>
      <c r="T716" s="302">
        <f>ROUNDDOWN(IFERROR(tabItens[[#This Row],[ATA DT.VALID.]] - $D$1,0) / 30,0)</f>
        <v>-1504</v>
      </c>
      <c r="U716" s="287" t="s">
        <v>1481</v>
      </c>
      <c r="V716" s="303">
        <v>1</v>
      </c>
      <c r="W716" s="304" t="s">
        <v>2058</v>
      </c>
      <c r="X716" s="305">
        <v>54</v>
      </c>
      <c r="Y716" s="306">
        <v>4</v>
      </c>
      <c r="Z716" s="307"/>
      <c r="AA716" s="308"/>
      <c r="AB716" s="309"/>
      <c r="AC716" s="309"/>
      <c r="AD716" s="308"/>
      <c r="AE716" s="309"/>
      <c r="AF716" s="302"/>
      <c r="AG716" s="310" t="s">
        <v>2050</v>
      </c>
      <c r="AH716" s="311"/>
      <c r="AI716" s="302">
        <v>8</v>
      </c>
      <c r="AJ716" s="311">
        <v>43802</v>
      </c>
      <c r="AK716" s="311">
        <v>43578</v>
      </c>
      <c r="AL716" s="311">
        <v>43780</v>
      </c>
      <c r="AM716" s="301"/>
      <c r="AN716" s="290"/>
      <c r="AO716" s="312" t="str">
        <f>_xlfn.IFNA(IF(VLOOKUP(tabItens[[#This Row],[CÓDIGO]],tabExcluirDoEstoque[#Data],1,FALSE),"sim",""),"")</f>
        <v/>
      </c>
      <c r="AP716" s="313" t="str">
        <f ca="1">IF(OR(ISBLANK(tabItens[[#This Row],[ATA DT.VALID.]]),tabItens[[#This Row],[ATA DT.VALID.]]="",tabItens[[#This Row],[ATA DT.VALID.]]=" "),"",IF(TYPE(tabItens[[#This Row],[ATA DT.VALID.]])=1,ROUNDUP((tabItens[[#This Row],[ATA DT.VALID.]]-TODAY())/7,0),""))</f>
        <v/>
      </c>
      <c r="AQ716" s="314"/>
      <c r="AR716" s="315" t="str">
        <f>IF(ISBLANK(tabItens[[#This Row],[CÓDIGO]]),"",IFERROR(VLOOKUP(tabItens[[#This Row],[CÓDIGO]],Consumo!$C$2:$AC$869,26,FALSE),0))</f>
        <v>05.2023</v>
      </c>
      <c r="AS716" s="316">
        <f>SUMIF(Consumo!$C$3:$C$869,tabItens[[#This Row],[CÓDIGO]],Consumo!$N$3:$N$869) + SUMIF(Consumo!$C$3:$C$869,tabItens[[#This Row],[CÓDIGO]],Consumo!$O$3:$O$869) + SUMIF(Consumo!$C$3:$C$869,tabItens[[#This Row],[CÓDIGO]],Consumo!$P$3:$P$869) + SUMIF(Consumo!$C$3:$C$869,tabItens[[#This Row],[CÓDIGO]],Consumo!$Q$3:$Q$869)</f>
        <v>12</v>
      </c>
      <c r="AT716" s="316">
        <f>SUMIF(Consumo!$C$3:$C$869,tabItens[[#This Row],[CÓDIGO]],Consumo!$Z$3:$Z$869)</f>
        <v>21</v>
      </c>
      <c r="AU716" s="317">
        <f>SUMIF(Consumo!$C$3:$C$869,tabItens[[#This Row],[CÓDIGO]],Consumo!$AA$3:$AA$869)</f>
        <v>6</v>
      </c>
      <c r="AV716" s="318">
        <f>SUMIF(Consumo!$C$3:$C$869,tabItens[[#This Row],[CÓDIGO]],Consumo!$Y$3:$Y$869)</f>
        <v>1.75</v>
      </c>
      <c r="AW716" s="291">
        <f>tabItens[[#This Row],[QTDE ATUAL]] + tabItens[[#This Row],[RC QTDE]] + tabItens[[#This Row],[AF SALDO]] + tabItens[[#This Row],[Recentes]]</f>
        <v>55</v>
      </c>
      <c r="AX716" s="319">
        <v>0</v>
      </c>
      <c r="AY716" s="319">
        <v>4</v>
      </c>
      <c r="AZ716" s="319">
        <f>IF(ISBLANK(tabItens[[#This Row],[CÓDIGO]]),"",tabItens[[#This Row],[PontoMês]] * (AZ$2+tabItens[[#This Row],[PontoQtM]]))</f>
        <v>0</v>
      </c>
      <c r="BA716" s="318">
        <f>tabItens[[#This Row],[PontoPed]] - tabItens[[#This Row],[Saldo]] + (1/10)</f>
        <v>-54.9</v>
      </c>
      <c r="BB716" s="318">
        <f xml:space="preserve"> tabItens[[#This Row],[PontoMês]] * BB$2 - tabItens[[#This Row],[QTDE ATUAL]] - (1/10)</f>
        <v>-55.1</v>
      </c>
      <c r="BC716" s="320">
        <f>IF( tabItens[[#This Row],[PontoPed]]&gt;0, IF(tabItens[[#This Row],[PontoPed]]&lt;1, 1, IF( tabItens[[#This Row],[Saldo]]&gt;tabItens[[#This Row],[PontoPed]], 0, (tabItens[[#This Row],[PontoPed]]-tabItens[[#This Row],[Saldo]])/tabItens[[#This Row],[PontoPed]] ) ), 0 )</f>
        <v>0</v>
      </c>
      <c r="BD716" s="321">
        <f>ROUNDDOWN(IF( OR( AND(tabItens[[#This Row],[PontoPed]]&lt;tabItens[[#This Row],[Saldo]],tabItens[[#This Row],[Saldo]]&gt;0), tabItens[[#This Row],[PontoPed]]=0), 99, IF(AND(tabItens[[#This Row],[Saldo]]=0,tabItens[[#This Row],[PontoPed]]&gt;0), 0, (1-tabItens[[#This Row],[PctAb]])*10 ) ),0)</f>
        <v>99</v>
      </c>
      <c r="BE716" s="322">
        <f>MAX(ROUNDDOWN( IF(tabItens[[#This Row],[Abaixo]] &gt; 0,   tabItens[[#This Row],[Abaixo]] + (tabItens[[#This Row],[PontoMês]] * IF( OR( ISBLANK(tabItens[[#This Row],[ATA Nº/ANO]]), tabItens[[#This Row],[ATA Nº/ANO]] = ""),BE$2,BE$1)),0),0),0)</f>
        <v>0</v>
      </c>
      <c r="BF71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23">
        <f>SUMIF(Consumo!$C$3:$C$869,tabItens[[#This Row],[CÓDIGO]],Consumo!$E$3:$E$869)</f>
        <v>0</v>
      </c>
      <c r="BH716" s="324">
        <f>IF(AND(tabItens[[#This Row],[Pend]] &gt; 0,tabItens[[#This Row],[Consumo]] &lt;&gt; 0), tabItens[[#This Row],[Pend]] / tabItens[[#This Row],[Consumo]], 0 )</f>
        <v>0</v>
      </c>
      <c r="BI716" s="323"/>
      <c r="BJ716" s="323"/>
      <c r="BK716" s="325" t="s">
        <v>2064</v>
      </c>
    </row>
    <row r="717" spans="1:63" hidden="1" x14ac:dyDescent="0.3">
      <c r="A717" s="286">
        <v>136854</v>
      </c>
      <c r="B717" s="287" t="s">
        <v>1929</v>
      </c>
      <c r="C717" s="288" t="s">
        <v>31</v>
      </c>
      <c r="D717" s="289">
        <v>3</v>
      </c>
      <c r="E717" s="290"/>
      <c r="F717" s="290"/>
      <c r="G717" s="290" t="s">
        <v>883</v>
      </c>
      <c r="H717" s="291">
        <v>16</v>
      </c>
      <c r="I717" s="292">
        <v>103003</v>
      </c>
      <c r="J717" s="293">
        <v>3</v>
      </c>
      <c r="K717" s="294">
        <v>4</v>
      </c>
      <c r="L717" s="295">
        <f>IF(tabItens[[#This Row],[Média]] &gt; 0, tabItens[[#This Row],[QTDE ATUAL]] / tabItens[[#This Row],[Média]],999.9)</f>
        <v>96</v>
      </c>
      <c r="M717" s="296">
        <v>0</v>
      </c>
      <c r="N717" s="297">
        <f>tabItens[[#This Row],[VALOR UNIT.]] * tabItens[[#This Row],[LC]]</f>
        <v>0</v>
      </c>
      <c r="O717" s="298"/>
      <c r="P717" s="299"/>
      <c r="Q717" s="300"/>
      <c r="R717" s="297"/>
      <c r="S717" s="301"/>
      <c r="T717" s="302">
        <f>ROUNDDOWN(IFERROR(tabItens[[#This Row],[ATA DT.VALID.]] - $D$1,0) / 30,0)</f>
        <v>-1504</v>
      </c>
      <c r="U717" s="287" t="s">
        <v>1481</v>
      </c>
      <c r="V717" s="303">
        <v>1</v>
      </c>
      <c r="W717" s="304" t="s">
        <v>2058</v>
      </c>
      <c r="X717" s="305">
        <v>54</v>
      </c>
      <c r="Y717" s="306">
        <v>4</v>
      </c>
      <c r="Z717" s="307">
        <v>2825</v>
      </c>
      <c r="AA717" s="308">
        <v>2023</v>
      </c>
      <c r="AB717" s="309">
        <v>50</v>
      </c>
      <c r="AC717" s="309"/>
      <c r="AD717" s="308"/>
      <c r="AE717" s="309"/>
      <c r="AF717" s="302"/>
      <c r="AG717" s="310" t="s">
        <v>2050</v>
      </c>
      <c r="AH717" s="311"/>
      <c r="AI717" s="302">
        <v>2</v>
      </c>
      <c r="AJ717" s="311">
        <v>43819</v>
      </c>
      <c r="AK717" s="311">
        <v>43578</v>
      </c>
      <c r="AL717" s="311">
        <v>44517</v>
      </c>
      <c r="AM717" s="301"/>
      <c r="AN717" s="290"/>
      <c r="AO717" s="312" t="str">
        <f>_xlfn.IFNA(IF(VLOOKUP(tabItens[[#This Row],[CÓDIGO]],tabExcluirDoEstoque[#Data],1,FALSE),"sim",""),"")</f>
        <v/>
      </c>
      <c r="AP717" s="313" t="str">
        <f ca="1">IF(OR(ISBLANK(tabItens[[#This Row],[ATA DT.VALID.]]),tabItens[[#This Row],[ATA DT.VALID.]]="",tabItens[[#This Row],[ATA DT.VALID.]]=" "),"",IF(TYPE(tabItens[[#This Row],[ATA DT.VALID.]])=1,ROUNDUP((tabItens[[#This Row],[ATA DT.VALID.]]-TODAY())/7,0),""))</f>
        <v/>
      </c>
      <c r="AQ717" s="314"/>
      <c r="AR717" s="315" t="str">
        <f>IF(ISBLANK(tabItens[[#This Row],[CÓDIGO]]),"",IFERROR(VLOOKUP(tabItens[[#This Row],[CÓDIGO]],Consumo!$C$2:$AC$869,26,FALSE),0))</f>
        <v>01.2023</v>
      </c>
      <c r="AS717" s="316">
        <f>SUMIF(Consumo!$C$3:$C$869,tabItens[[#This Row],[CÓDIGO]],Consumo!$N$3:$N$869) + SUMIF(Consumo!$C$3:$C$869,tabItens[[#This Row],[CÓDIGO]],Consumo!$O$3:$O$869) + SUMIF(Consumo!$C$3:$C$869,tabItens[[#This Row],[CÓDIGO]],Consumo!$P$3:$P$869) + SUMIF(Consumo!$C$3:$C$869,tabItens[[#This Row],[CÓDIGO]],Consumo!$Q$3:$Q$869)</f>
        <v>0</v>
      </c>
      <c r="AT717" s="316">
        <f>SUMIF(Consumo!$C$3:$C$869,tabItens[[#This Row],[CÓDIGO]],Consumo!$Z$3:$Z$869)</f>
        <v>4</v>
      </c>
      <c r="AU717" s="317">
        <f>SUMIF(Consumo!$C$3:$C$869,tabItens[[#This Row],[CÓDIGO]],Consumo!$AA$3:$AA$869)</f>
        <v>2</v>
      </c>
      <c r="AV717" s="318">
        <f>SUMIF(Consumo!$C$3:$C$869,tabItens[[#This Row],[CÓDIGO]],Consumo!$Y$3:$Y$869)</f>
        <v>0.16666666666666666</v>
      </c>
      <c r="AW717" s="291">
        <f>tabItens[[#This Row],[QTDE ATUAL]] + tabItens[[#This Row],[RC QTDE]] + tabItens[[#This Row],[AF SALDO]] + tabItens[[#This Row],[Recentes]]</f>
        <v>66</v>
      </c>
      <c r="AX717" s="319">
        <v>0</v>
      </c>
      <c r="AY717" s="319">
        <v>4</v>
      </c>
      <c r="AZ717" s="319">
        <f>IF(ISBLANK(tabItens[[#This Row],[CÓDIGO]]),"",tabItens[[#This Row],[PontoMês]] * (AZ$2+tabItens[[#This Row],[PontoQtM]]))</f>
        <v>0</v>
      </c>
      <c r="BA717" s="318">
        <f>tabItens[[#This Row],[PontoPed]] - tabItens[[#This Row],[Saldo]] + (1/10)</f>
        <v>-65.900000000000006</v>
      </c>
      <c r="BB717" s="318">
        <f xml:space="preserve"> tabItens[[#This Row],[PontoMês]] * BB$2 - tabItens[[#This Row],[QTDE ATUAL]] - (1/10)</f>
        <v>-16.100000000000001</v>
      </c>
      <c r="BC717" s="320">
        <f>IF( tabItens[[#This Row],[PontoPed]]&gt;0, IF(tabItens[[#This Row],[PontoPed]]&lt;1, 1, IF( tabItens[[#This Row],[Saldo]]&gt;tabItens[[#This Row],[PontoPed]], 0, (tabItens[[#This Row],[PontoPed]]-tabItens[[#This Row],[Saldo]])/tabItens[[#This Row],[PontoPed]] ) ), 0 )</f>
        <v>0</v>
      </c>
      <c r="BD717" s="321">
        <f>ROUNDDOWN(IF( OR( AND(tabItens[[#This Row],[PontoPed]]&lt;tabItens[[#This Row],[Saldo]],tabItens[[#This Row],[Saldo]]&gt;0), tabItens[[#This Row],[PontoPed]]=0), 99, IF(AND(tabItens[[#This Row],[Saldo]]=0,tabItens[[#This Row],[PontoPed]]&gt;0), 0, (1-tabItens[[#This Row],[PctAb]])*10 ) ),0)</f>
        <v>99</v>
      </c>
      <c r="BE717" s="322">
        <f>MAX(ROUNDDOWN( IF(tabItens[[#This Row],[Abaixo]] &gt; 0,   tabItens[[#This Row],[Abaixo]] + (tabItens[[#This Row],[PontoMês]] * IF( OR( ISBLANK(tabItens[[#This Row],[ATA Nº/ANO]]), tabItens[[#This Row],[ATA Nº/ANO]] = ""),BE$2,BE$1)),0),0),0)</f>
        <v>0</v>
      </c>
      <c r="BF71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23">
        <f>SUMIF(Consumo!$C$3:$C$869,tabItens[[#This Row],[CÓDIGO]],Consumo!$E$3:$E$869)</f>
        <v>0</v>
      </c>
      <c r="BH717" s="324">
        <f>IF(AND(tabItens[[#This Row],[Pend]] &gt; 0,tabItens[[#This Row],[Consumo]] &lt;&gt; 0), tabItens[[#This Row],[Pend]] / tabItens[[#This Row],[Consumo]], 0 )</f>
        <v>0</v>
      </c>
      <c r="BI717" s="323"/>
      <c r="BJ717" s="323"/>
      <c r="BK717" s="325" t="s">
        <v>2064</v>
      </c>
    </row>
    <row r="718" spans="1:63" hidden="1" x14ac:dyDescent="0.3">
      <c r="A718" s="286">
        <v>136855</v>
      </c>
      <c r="B718" s="287" t="s">
        <v>1930</v>
      </c>
      <c r="C718" s="288" t="s">
        <v>301</v>
      </c>
      <c r="D718" s="289">
        <v>6.9</v>
      </c>
      <c r="E718" s="290"/>
      <c r="F718" s="290"/>
      <c r="G718" s="290" t="s">
        <v>883</v>
      </c>
      <c r="H718" s="291">
        <v>80</v>
      </c>
      <c r="I718" s="292">
        <v>103003</v>
      </c>
      <c r="J718" s="293">
        <v>6.9</v>
      </c>
      <c r="K718" s="294">
        <v>3</v>
      </c>
      <c r="L718" s="295">
        <f>IF(tabItens[[#This Row],[Média]] &gt; 0, tabItens[[#This Row],[QTDE ATUAL]] / tabItens[[#This Row],[Média]],999.9)</f>
        <v>960</v>
      </c>
      <c r="M718" s="296">
        <v>0</v>
      </c>
      <c r="N718" s="297">
        <f>tabItens[[#This Row],[VALOR UNIT.]] * tabItens[[#This Row],[LC]]</f>
        <v>0</v>
      </c>
      <c r="O718" s="298"/>
      <c r="P718" s="299"/>
      <c r="Q718" s="300"/>
      <c r="R718" s="297"/>
      <c r="S718" s="301"/>
      <c r="T718" s="302">
        <f>ROUNDDOWN(IFERROR(tabItens[[#This Row],[ATA DT.VALID.]] - $D$1,0) / 30,0)</f>
        <v>-1504</v>
      </c>
      <c r="U718" s="287" t="s">
        <v>1481</v>
      </c>
      <c r="V718" s="303">
        <v>1</v>
      </c>
      <c r="W718" s="304" t="s">
        <v>2058</v>
      </c>
      <c r="X718" s="305">
        <v>54</v>
      </c>
      <c r="Y718" s="306">
        <v>4</v>
      </c>
      <c r="Z718" s="307"/>
      <c r="AA718" s="308"/>
      <c r="AB718" s="309"/>
      <c r="AC718" s="309"/>
      <c r="AD718" s="308"/>
      <c r="AE718" s="309"/>
      <c r="AF718" s="302"/>
      <c r="AG718" s="310" t="s">
        <v>2050</v>
      </c>
      <c r="AH718" s="311"/>
      <c r="AI718" s="302">
        <v>0</v>
      </c>
      <c r="AJ718" s="311">
        <v>43962</v>
      </c>
      <c r="AK718" s="311">
        <v>43578</v>
      </c>
      <c r="AL718" s="311">
        <v>43929</v>
      </c>
      <c r="AM718" s="301"/>
      <c r="AN718" s="290"/>
      <c r="AO718" s="312" t="str">
        <f>_xlfn.IFNA(IF(VLOOKUP(tabItens[[#This Row],[CÓDIGO]],tabExcluirDoEstoque[#Data],1,FALSE),"sim",""),"")</f>
        <v/>
      </c>
      <c r="AP718" s="313" t="str">
        <f ca="1">IF(OR(ISBLANK(tabItens[[#This Row],[ATA DT.VALID.]]),tabItens[[#This Row],[ATA DT.VALID.]]="",tabItens[[#This Row],[ATA DT.VALID.]]=" "),"",IF(TYPE(tabItens[[#This Row],[ATA DT.VALID.]])=1,ROUNDUP((tabItens[[#This Row],[ATA DT.VALID.]]-TODAY())/7,0),""))</f>
        <v/>
      </c>
      <c r="AQ718" s="314"/>
      <c r="AR718" s="315" t="str">
        <f>IF(ISBLANK(tabItens[[#This Row],[CÓDIGO]]),"",IFERROR(VLOOKUP(tabItens[[#This Row],[CÓDIGO]],Consumo!$C$2:$AC$869,26,FALSE),0))</f>
        <v>07.2023</v>
      </c>
      <c r="AS718" s="316">
        <f>SUMIF(Consumo!$C$3:$C$869,tabItens[[#This Row],[CÓDIGO]],Consumo!$N$3:$N$869) + SUMIF(Consumo!$C$3:$C$869,tabItens[[#This Row],[CÓDIGO]],Consumo!$O$3:$O$869) + SUMIF(Consumo!$C$3:$C$869,tabItens[[#This Row],[CÓDIGO]],Consumo!$P$3:$P$869) + SUMIF(Consumo!$C$3:$C$869,tabItens[[#This Row],[CÓDIGO]],Consumo!$Q$3:$Q$869)</f>
        <v>3</v>
      </c>
      <c r="AT718" s="316">
        <f>SUMIF(Consumo!$C$3:$C$869,tabItens[[#This Row],[CÓDIGO]],Consumo!$Z$3:$Z$869)</f>
        <v>3</v>
      </c>
      <c r="AU718" s="317">
        <f>SUMIF(Consumo!$C$3:$C$869,tabItens[[#This Row],[CÓDIGO]],Consumo!$AA$3:$AA$869)</f>
        <v>3</v>
      </c>
      <c r="AV718" s="318">
        <f>SUMIF(Consumo!$C$3:$C$869,tabItens[[#This Row],[CÓDIGO]],Consumo!$Y$3:$Y$869)</f>
        <v>8.3333333333333329E-2</v>
      </c>
      <c r="AW718" s="291">
        <f>tabItens[[#This Row],[QTDE ATUAL]] + tabItens[[#This Row],[RC QTDE]] + tabItens[[#This Row],[AF SALDO]] + tabItens[[#This Row],[Recentes]]</f>
        <v>80</v>
      </c>
      <c r="AX718" s="319">
        <v>2</v>
      </c>
      <c r="AY718" s="319">
        <v>4</v>
      </c>
      <c r="AZ718" s="319">
        <f>IF(ISBLANK(tabItens[[#This Row],[CÓDIGO]]),"",tabItens[[#This Row],[PontoMês]] * (AZ$2+tabItens[[#This Row],[PontoQtM]]))</f>
        <v>8</v>
      </c>
      <c r="BA718" s="318">
        <f>tabItens[[#This Row],[PontoPed]] - tabItens[[#This Row],[Saldo]] + (1/10)</f>
        <v>-71.900000000000006</v>
      </c>
      <c r="BB718" s="318">
        <f xml:space="preserve"> tabItens[[#This Row],[PontoMês]] * BB$2 - tabItens[[#This Row],[QTDE ATUAL]] - (1/10)</f>
        <v>-78.099999999999994</v>
      </c>
      <c r="BC718" s="320">
        <f>IF( tabItens[[#This Row],[PontoPed]]&gt;0, IF(tabItens[[#This Row],[PontoPed]]&lt;1, 1, IF( tabItens[[#This Row],[Saldo]]&gt;tabItens[[#This Row],[PontoPed]], 0, (tabItens[[#This Row],[PontoPed]]-tabItens[[#This Row],[Saldo]])/tabItens[[#This Row],[PontoPed]] ) ), 0 )</f>
        <v>0</v>
      </c>
      <c r="BD718" s="321">
        <f>ROUNDDOWN(IF( OR( AND(tabItens[[#This Row],[PontoPed]]&lt;tabItens[[#This Row],[Saldo]],tabItens[[#This Row],[Saldo]]&gt;0), tabItens[[#This Row],[PontoPed]]=0), 99, IF(AND(tabItens[[#This Row],[Saldo]]=0,tabItens[[#This Row],[PontoPed]]&gt;0), 0, (1-tabItens[[#This Row],[PctAb]])*10 ) ),0)</f>
        <v>99</v>
      </c>
      <c r="BE718" s="322">
        <f>MAX(ROUNDDOWN( IF(tabItens[[#This Row],[Abaixo]] &gt; 0,   tabItens[[#This Row],[Abaixo]] + (tabItens[[#This Row],[PontoMês]] * IF( OR( ISBLANK(tabItens[[#This Row],[ATA Nº/ANO]]), tabItens[[#This Row],[ATA Nº/ANO]] = ""),BE$2,BE$1)),0),0),0)</f>
        <v>0</v>
      </c>
      <c r="BF71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23">
        <f>SUMIF(Consumo!$C$3:$C$869,tabItens[[#This Row],[CÓDIGO]],Consumo!$E$3:$E$869)</f>
        <v>0</v>
      </c>
      <c r="BH718" s="324">
        <f>IF(AND(tabItens[[#This Row],[Pend]] &gt; 0,tabItens[[#This Row],[Consumo]] &lt;&gt; 0), tabItens[[#This Row],[Pend]] / tabItens[[#This Row],[Consumo]], 0 )</f>
        <v>0</v>
      </c>
      <c r="BI718" s="323"/>
      <c r="BJ718" s="323"/>
      <c r="BK718" s="325" t="s">
        <v>2064</v>
      </c>
    </row>
    <row r="719" spans="1:63" hidden="1" x14ac:dyDescent="0.3">
      <c r="A719" s="286">
        <v>136858</v>
      </c>
      <c r="B719" s="287" t="s">
        <v>1931</v>
      </c>
      <c r="C719" s="288" t="s">
        <v>301</v>
      </c>
      <c r="D719" s="289">
        <v>8.8000000000000007</v>
      </c>
      <c r="E719" s="290"/>
      <c r="F719" s="290"/>
      <c r="G719" s="290" t="s">
        <v>883</v>
      </c>
      <c r="H719" s="291">
        <v>28</v>
      </c>
      <c r="I719" s="292">
        <v>103003</v>
      </c>
      <c r="J719" s="293">
        <v>8.8000000000000007</v>
      </c>
      <c r="K719" s="294"/>
      <c r="L719" s="295">
        <f>IF(tabItens[[#This Row],[Média]] &gt; 0, tabItens[[#This Row],[QTDE ATUAL]] / tabItens[[#This Row],[Média]],999.9)</f>
        <v>999.9</v>
      </c>
      <c r="M719" s="296">
        <v>0</v>
      </c>
      <c r="N719" s="297">
        <f>tabItens[[#This Row],[VALOR UNIT.]] * tabItens[[#This Row],[LC]]</f>
        <v>0</v>
      </c>
      <c r="O719" s="298"/>
      <c r="P719" s="299"/>
      <c r="Q719" s="300"/>
      <c r="R719" s="297"/>
      <c r="S719" s="301"/>
      <c r="T719" s="302">
        <f>ROUNDDOWN(IFERROR(tabItens[[#This Row],[ATA DT.VALID.]] - $D$1,0) / 30,0)</f>
        <v>-1504</v>
      </c>
      <c r="U719" s="287" t="s">
        <v>1481</v>
      </c>
      <c r="V719" s="303">
        <v>1</v>
      </c>
      <c r="W719" s="304" t="s">
        <v>2058</v>
      </c>
      <c r="X719" s="305">
        <v>54</v>
      </c>
      <c r="Y719" s="306">
        <v>4</v>
      </c>
      <c r="Z719" s="307"/>
      <c r="AA719" s="308"/>
      <c r="AB719" s="309"/>
      <c r="AC719" s="309"/>
      <c r="AD719" s="308"/>
      <c r="AE719" s="309"/>
      <c r="AF719" s="302"/>
      <c r="AG719" s="310" t="s">
        <v>2050</v>
      </c>
      <c r="AH719" s="311"/>
      <c r="AI719" s="302">
        <v>0</v>
      </c>
      <c r="AJ719" s="311">
        <v>43965</v>
      </c>
      <c r="AK719" s="311">
        <v>43578</v>
      </c>
      <c r="AL719" s="311">
        <v>43929</v>
      </c>
      <c r="AM719" s="301"/>
      <c r="AN719" s="290"/>
      <c r="AO719" s="312" t="str">
        <f>_xlfn.IFNA(IF(VLOOKUP(tabItens[[#This Row],[CÓDIGO]],tabExcluirDoEstoque[#Data],1,FALSE),"sim",""),"")</f>
        <v/>
      </c>
      <c r="AP719" s="313" t="str">
        <f ca="1">IF(OR(ISBLANK(tabItens[[#This Row],[ATA DT.VALID.]]),tabItens[[#This Row],[ATA DT.VALID.]]="",tabItens[[#This Row],[ATA DT.VALID.]]=" "),"",IF(TYPE(tabItens[[#This Row],[ATA DT.VALID.]])=1,ROUNDUP((tabItens[[#This Row],[ATA DT.VALID.]]-TODAY())/7,0),""))</f>
        <v/>
      </c>
      <c r="AQ719" s="314"/>
      <c r="AR719" s="315">
        <f>IF(ISBLANK(tabItens[[#This Row],[CÓDIGO]]),"",IFERROR(VLOOKUP(tabItens[[#This Row],[CÓDIGO]],Consumo!$C$2:$AC$869,26,FALSE),0))</f>
        <v>0</v>
      </c>
      <c r="AS719" s="316">
        <f>SUMIF(Consumo!$C$3:$C$869,tabItens[[#This Row],[CÓDIGO]],Consumo!$N$3:$N$869) + SUMIF(Consumo!$C$3:$C$869,tabItens[[#This Row],[CÓDIGO]],Consumo!$O$3:$O$869) + SUMIF(Consumo!$C$3:$C$869,tabItens[[#This Row],[CÓDIGO]],Consumo!$P$3:$P$869) + SUMIF(Consumo!$C$3:$C$869,tabItens[[#This Row],[CÓDIGO]],Consumo!$Q$3:$Q$869)</f>
        <v>0</v>
      </c>
      <c r="AT719" s="316">
        <f>SUMIF(Consumo!$C$3:$C$869,tabItens[[#This Row],[CÓDIGO]],Consumo!$Z$3:$Z$869)</f>
        <v>0</v>
      </c>
      <c r="AU719" s="317">
        <f>SUMIF(Consumo!$C$3:$C$869,tabItens[[#This Row],[CÓDIGO]],Consumo!$AA$3:$AA$869)</f>
        <v>0</v>
      </c>
      <c r="AV719" s="318">
        <f>SUMIF(Consumo!$C$3:$C$869,tabItens[[#This Row],[CÓDIGO]],Consumo!$Y$3:$Y$869)</f>
        <v>0</v>
      </c>
      <c r="AW719" s="291">
        <f>tabItens[[#This Row],[QTDE ATUAL]] + tabItens[[#This Row],[RC QTDE]] + tabItens[[#This Row],[AF SALDO]] + tabItens[[#This Row],[Recentes]]</f>
        <v>28</v>
      </c>
      <c r="AX719" s="319">
        <v>0</v>
      </c>
      <c r="AY719" s="319">
        <v>4</v>
      </c>
      <c r="AZ719" s="319">
        <f>IF(ISBLANK(tabItens[[#This Row],[CÓDIGO]]),"",tabItens[[#This Row],[PontoMês]] * (AZ$2+tabItens[[#This Row],[PontoQtM]]))</f>
        <v>0</v>
      </c>
      <c r="BA719" s="318">
        <f>tabItens[[#This Row],[PontoPed]] - tabItens[[#This Row],[Saldo]] + (1/10)</f>
        <v>-27.9</v>
      </c>
      <c r="BB719" s="318">
        <f xml:space="preserve"> tabItens[[#This Row],[PontoMês]] * BB$2 - tabItens[[#This Row],[QTDE ATUAL]] - (1/10)</f>
        <v>-28.1</v>
      </c>
      <c r="BC719" s="320">
        <f>IF( tabItens[[#This Row],[PontoPed]]&gt;0, IF(tabItens[[#This Row],[PontoPed]]&lt;1, 1, IF( tabItens[[#This Row],[Saldo]]&gt;tabItens[[#This Row],[PontoPed]], 0, (tabItens[[#This Row],[PontoPed]]-tabItens[[#This Row],[Saldo]])/tabItens[[#This Row],[PontoPed]] ) ), 0 )</f>
        <v>0</v>
      </c>
      <c r="BD719" s="321">
        <f>ROUNDDOWN(IF( OR( AND(tabItens[[#This Row],[PontoPed]]&lt;tabItens[[#This Row],[Saldo]],tabItens[[#This Row],[Saldo]]&gt;0), tabItens[[#This Row],[PontoPed]]=0), 99, IF(AND(tabItens[[#This Row],[Saldo]]=0,tabItens[[#This Row],[PontoPed]]&gt;0), 0, (1-tabItens[[#This Row],[PctAb]])*10 ) ),0)</f>
        <v>99</v>
      </c>
      <c r="BE719" s="322">
        <f>MAX(ROUNDDOWN( IF(tabItens[[#This Row],[Abaixo]] &gt; 0,   tabItens[[#This Row],[Abaixo]] + (tabItens[[#This Row],[PontoMês]] * IF( OR( ISBLANK(tabItens[[#This Row],[ATA Nº/ANO]]), tabItens[[#This Row],[ATA Nº/ANO]] = ""),BE$2,BE$1)),0),0),0)</f>
        <v>0</v>
      </c>
      <c r="BF71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23">
        <f>SUMIF(Consumo!$C$3:$C$869,tabItens[[#This Row],[CÓDIGO]],Consumo!$E$3:$E$869)</f>
        <v>0</v>
      </c>
      <c r="BH719" s="324">
        <f>IF(AND(tabItens[[#This Row],[Pend]] &gt; 0,tabItens[[#This Row],[Consumo]] &lt;&gt; 0), tabItens[[#This Row],[Pend]] / tabItens[[#This Row],[Consumo]], 0 )</f>
        <v>0</v>
      </c>
      <c r="BI719" s="323"/>
      <c r="BJ719" s="323"/>
      <c r="BK719" s="325" t="s">
        <v>2064</v>
      </c>
    </row>
    <row r="720" spans="1:63" hidden="1" x14ac:dyDescent="0.3">
      <c r="A720" s="286">
        <v>136859</v>
      </c>
      <c r="B720" s="287" t="s">
        <v>1932</v>
      </c>
      <c r="C720" s="288" t="s">
        <v>256</v>
      </c>
      <c r="D720" s="289">
        <v>30.66</v>
      </c>
      <c r="E720" s="290"/>
      <c r="F720" s="290"/>
      <c r="G720" s="290" t="s">
        <v>883</v>
      </c>
      <c r="H720" s="291">
        <v>44</v>
      </c>
      <c r="I720" s="292">
        <v>103003</v>
      </c>
      <c r="J720" s="293">
        <v>41.119259999999997</v>
      </c>
      <c r="K720" s="294"/>
      <c r="L720" s="295">
        <f>IF(tabItens[[#This Row],[Média]] &gt; 0, tabItens[[#This Row],[QTDE ATUAL]] / tabItens[[#This Row],[Média]],999.9)</f>
        <v>999.9</v>
      </c>
      <c r="M720" s="296">
        <v>0</v>
      </c>
      <c r="N720" s="297">
        <f>tabItens[[#This Row],[VALOR UNIT.]] * tabItens[[#This Row],[LC]]</f>
        <v>0</v>
      </c>
      <c r="O720" s="298"/>
      <c r="P720" s="299"/>
      <c r="Q720" s="300"/>
      <c r="R720" s="297"/>
      <c r="S720" s="301"/>
      <c r="T720" s="302">
        <f>ROUNDDOWN(IFERROR(tabItens[[#This Row],[ATA DT.VALID.]] - $D$1,0) / 30,0)</f>
        <v>-1504</v>
      </c>
      <c r="U720" s="287" t="s">
        <v>1481</v>
      </c>
      <c r="V720" s="303">
        <v>1</v>
      </c>
      <c r="W720" s="304" t="s">
        <v>2058</v>
      </c>
      <c r="X720" s="305">
        <v>54</v>
      </c>
      <c r="Y720" s="306">
        <v>4</v>
      </c>
      <c r="Z720" s="307"/>
      <c r="AA720" s="308"/>
      <c r="AB720" s="309"/>
      <c r="AC720" s="309"/>
      <c r="AD720" s="308"/>
      <c r="AE720" s="309"/>
      <c r="AF720" s="302"/>
      <c r="AG720" s="310" t="s">
        <v>2050</v>
      </c>
      <c r="AH720" s="311"/>
      <c r="AI720" s="302">
        <v>0</v>
      </c>
      <c r="AJ720" s="311">
        <v>43826</v>
      </c>
      <c r="AK720" s="311">
        <v>43578</v>
      </c>
      <c r="AL720" s="311">
        <v>43805</v>
      </c>
      <c r="AM720" s="301"/>
      <c r="AN720" s="290"/>
      <c r="AO720" s="312" t="str">
        <f>_xlfn.IFNA(IF(VLOOKUP(tabItens[[#This Row],[CÓDIGO]],tabExcluirDoEstoque[#Data],1,FALSE),"sim",""),"")</f>
        <v/>
      </c>
      <c r="AP720" s="313" t="str">
        <f ca="1">IF(OR(ISBLANK(tabItens[[#This Row],[ATA DT.VALID.]]),tabItens[[#This Row],[ATA DT.VALID.]]="",tabItens[[#This Row],[ATA DT.VALID.]]=" "),"",IF(TYPE(tabItens[[#This Row],[ATA DT.VALID.]])=1,ROUNDUP((tabItens[[#This Row],[ATA DT.VALID.]]-TODAY())/7,0),""))</f>
        <v/>
      </c>
      <c r="AQ720" s="314"/>
      <c r="AR720" s="315">
        <f>IF(ISBLANK(tabItens[[#This Row],[CÓDIGO]]),"",IFERROR(VLOOKUP(tabItens[[#This Row],[CÓDIGO]],Consumo!$C$2:$AC$869,26,FALSE),0))</f>
        <v>0</v>
      </c>
      <c r="AS720" s="316">
        <f>SUMIF(Consumo!$C$3:$C$869,tabItens[[#This Row],[CÓDIGO]],Consumo!$N$3:$N$869) + SUMIF(Consumo!$C$3:$C$869,tabItens[[#This Row],[CÓDIGO]],Consumo!$O$3:$O$869) + SUMIF(Consumo!$C$3:$C$869,tabItens[[#This Row],[CÓDIGO]],Consumo!$P$3:$P$869) + SUMIF(Consumo!$C$3:$C$869,tabItens[[#This Row],[CÓDIGO]],Consumo!$Q$3:$Q$869)</f>
        <v>0</v>
      </c>
      <c r="AT720" s="316">
        <f>SUMIF(Consumo!$C$3:$C$869,tabItens[[#This Row],[CÓDIGO]],Consumo!$Z$3:$Z$869)</f>
        <v>0</v>
      </c>
      <c r="AU720" s="317">
        <f>SUMIF(Consumo!$C$3:$C$869,tabItens[[#This Row],[CÓDIGO]],Consumo!$AA$3:$AA$869)</f>
        <v>0</v>
      </c>
      <c r="AV720" s="318">
        <f>SUMIF(Consumo!$C$3:$C$869,tabItens[[#This Row],[CÓDIGO]],Consumo!$Y$3:$Y$869)</f>
        <v>0</v>
      </c>
      <c r="AW720" s="291">
        <f>tabItens[[#This Row],[QTDE ATUAL]] + tabItens[[#This Row],[RC QTDE]] + tabItens[[#This Row],[AF SALDO]] + tabItens[[#This Row],[Recentes]]</f>
        <v>44</v>
      </c>
      <c r="AX720" s="319">
        <v>0</v>
      </c>
      <c r="AY720" s="319">
        <v>4</v>
      </c>
      <c r="AZ720" s="319">
        <f>IF(ISBLANK(tabItens[[#This Row],[CÓDIGO]]),"",tabItens[[#This Row],[PontoMês]] * (AZ$2+tabItens[[#This Row],[PontoQtM]]))</f>
        <v>0</v>
      </c>
      <c r="BA720" s="318">
        <f>tabItens[[#This Row],[PontoPed]] - tabItens[[#This Row],[Saldo]] + (1/10)</f>
        <v>-43.9</v>
      </c>
      <c r="BB720" s="318">
        <f xml:space="preserve"> tabItens[[#This Row],[PontoMês]] * BB$2 - tabItens[[#This Row],[QTDE ATUAL]] - (1/10)</f>
        <v>-44.1</v>
      </c>
      <c r="BC720" s="320">
        <f>IF( tabItens[[#This Row],[PontoPed]]&gt;0, IF(tabItens[[#This Row],[PontoPed]]&lt;1, 1, IF( tabItens[[#This Row],[Saldo]]&gt;tabItens[[#This Row],[PontoPed]], 0, (tabItens[[#This Row],[PontoPed]]-tabItens[[#This Row],[Saldo]])/tabItens[[#This Row],[PontoPed]] ) ), 0 )</f>
        <v>0</v>
      </c>
      <c r="BD720" s="321">
        <f>ROUNDDOWN(IF( OR( AND(tabItens[[#This Row],[PontoPed]]&lt;tabItens[[#This Row],[Saldo]],tabItens[[#This Row],[Saldo]]&gt;0), tabItens[[#This Row],[PontoPed]]=0), 99, IF(AND(tabItens[[#This Row],[Saldo]]=0,tabItens[[#This Row],[PontoPed]]&gt;0), 0, (1-tabItens[[#This Row],[PctAb]])*10 ) ),0)</f>
        <v>99</v>
      </c>
      <c r="BE720" s="322">
        <f>MAX(ROUNDDOWN( IF(tabItens[[#This Row],[Abaixo]] &gt; 0,   tabItens[[#This Row],[Abaixo]] + (tabItens[[#This Row],[PontoMês]] * IF( OR( ISBLANK(tabItens[[#This Row],[ATA Nº/ANO]]), tabItens[[#This Row],[ATA Nº/ANO]] = ""),BE$2,BE$1)),0),0),0)</f>
        <v>0</v>
      </c>
      <c r="BF72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23">
        <f>SUMIF(Consumo!$C$3:$C$869,tabItens[[#This Row],[CÓDIGO]],Consumo!$E$3:$E$869)</f>
        <v>0</v>
      </c>
      <c r="BH720" s="324">
        <f>IF(AND(tabItens[[#This Row],[Pend]] &gt; 0,tabItens[[#This Row],[Consumo]] &lt;&gt; 0), tabItens[[#This Row],[Pend]] / tabItens[[#This Row],[Consumo]], 0 )</f>
        <v>0</v>
      </c>
      <c r="BI720" s="323"/>
      <c r="BJ720" s="323"/>
      <c r="BK720" s="325" t="s">
        <v>2064</v>
      </c>
    </row>
    <row r="721" spans="1:63" hidden="1" x14ac:dyDescent="0.3">
      <c r="A721" s="286">
        <v>136860</v>
      </c>
      <c r="B721" s="287" t="s">
        <v>1933</v>
      </c>
      <c r="C721" s="288" t="s">
        <v>256</v>
      </c>
      <c r="D721" s="289">
        <v>26.14</v>
      </c>
      <c r="E721" s="290"/>
      <c r="F721" s="290"/>
      <c r="G721" s="290" t="s">
        <v>883</v>
      </c>
      <c r="H721" s="291">
        <v>9</v>
      </c>
      <c r="I721" s="292">
        <v>103003</v>
      </c>
      <c r="J721" s="293">
        <v>26.14</v>
      </c>
      <c r="K721" s="294">
        <v>2</v>
      </c>
      <c r="L721" s="295">
        <f>IF(tabItens[[#This Row],[Média]] &gt; 0, tabItens[[#This Row],[QTDE ATUAL]] / tabItens[[#This Row],[Média]],999.9)</f>
        <v>999.9</v>
      </c>
      <c r="M721" s="296">
        <v>0</v>
      </c>
      <c r="N721" s="297">
        <f>tabItens[[#This Row],[VALOR UNIT.]] * tabItens[[#This Row],[LC]]</f>
        <v>0</v>
      </c>
      <c r="O721" s="298"/>
      <c r="P721" s="299"/>
      <c r="Q721" s="300"/>
      <c r="R721" s="297"/>
      <c r="S721" s="301"/>
      <c r="T721" s="302">
        <f>ROUNDDOWN(IFERROR(tabItens[[#This Row],[ATA DT.VALID.]] - $D$1,0) / 30,0)</f>
        <v>-1504</v>
      </c>
      <c r="U721" s="287" t="s">
        <v>1481</v>
      </c>
      <c r="V721" s="303">
        <v>1</v>
      </c>
      <c r="W721" s="304" t="s">
        <v>2058</v>
      </c>
      <c r="X721" s="305">
        <v>54</v>
      </c>
      <c r="Y721" s="306">
        <v>4</v>
      </c>
      <c r="Z721" s="307"/>
      <c r="AA721" s="308"/>
      <c r="AB721" s="309"/>
      <c r="AC721" s="309"/>
      <c r="AD721" s="308"/>
      <c r="AE721" s="309"/>
      <c r="AF721" s="302"/>
      <c r="AG721" s="310" t="s">
        <v>2050</v>
      </c>
      <c r="AH721" s="311"/>
      <c r="AI721" s="302">
        <v>0</v>
      </c>
      <c r="AJ721" s="311">
        <v>43819</v>
      </c>
      <c r="AK721" s="311">
        <v>43578</v>
      </c>
      <c r="AL721" s="311">
        <v>43780</v>
      </c>
      <c r="AM721" s="301"/>
      <c r="AN721" s="290"/>
      <c r="AO721" s="312" t="str">
        <f>_xlfn.IFNA(IF(VLOOKUP(tabItens[[#This Row],[CÓDIGO]],tabExcluirDoEstoque[#Data],1,FALSE),"sim",""),"")</f>
        <v/>
      </c>
      <c r="AP721" s="313" t="str">
        <f ca="1">IF(OR(ISBLANK(tabItens[[#This Row],[ATA DT.VALID.]]),tabItens[[#This Row],[ATA DT.VALID.]]="",tabItens[[#This Row],[ATA DT.VALID.]]=" "),"",IF(TYPE(tabItens[[#This Row],[ATA DT.VALID.]])=1,ROUNDUP((tabItens[[#This Row],[ATA DT.VALID.]]-TODAY())/7,0),""))</f>
        <v/>
      </c>
      <c r="AQ721" s="314"/>
      <c r="AR721" s="315" t="str">
        <f>IF(ISBLANK(tabItens[[#This Row],[CÓDIGO]]),"",IFERROR(VLOOKUP(tabItens[[#This Row],[CÓDIGO]],Consumo!$C$2:$AC$869,26,FALSE),0))</f>
        <v>01.2023</v>
      </c>
      <c r="AS721" s="316">
        <f>SUMIF(Consumo!$C$3:$C$869,tabItens[[#This Row],[CÓDIGO]],Consumo!$N$3:$N$869) + SUMIF(Consumo!$C$3:$C$869,tabItens[[#This Row],[CÓDIGO]],Consumo!$O$3:$O$869) + SUMIF(Consumo!$C$3:$C$869,tabItens[[#This Row],[CÓDIGO]],Consumo!$P$3:$P$869) + SUMIF(Consumo!$C$3:$C$869,tabItens[[#This Row],[CÓDIGO]],Consumo!$Q$3:$Q$869)</f>
        <v>0</v>
      </c>
      <c r="AT721" s="316">
        <f>SUMIF(Consumo!$C$3:$C$869,tabItens[[#This Row],[CÓDIGO]],Consumo!$Z$3:$Z$869)</f>
        <v>2</v>
      </c>
      <c r="AU721" s="317">
        <f>SUMIF(Consumo!$C$3:$C$869,tabItens[[#This Row],[CÓDIGO]],Consumo!$AA$3:$AA$869)</f>
        <v>1</v>
      </c>
      <c r="AV721" s="318">
        <f>SUMIF(Consumo!$C$3:$C$869,tabItens[[#This Row],[CÓDIGO]],Consumo!$Y$3:$Y$869)</f>
        <v>0</v>
      </c>
      <c r="AW721" s="291">
        <f>tabItens[[#This Row],[QTDE ATUAL]] + tabItens[[#This Row],[RC QTDE]] + tabItens[[#This Row],[AF SALDO]] + tabItens[[#This Row],[Recentes]]</f>
        <v>9</v>
      </c>
      <c r="AX721" s="319">
        <v>0</v>
      </c>
      <c r="AY721" s="319">
        <v>4</v>
      </c>
      <c r="AZ721" s="319">
        <f>IF(ISBLANK(tabItens[[#This Row],[CÓDIGO]]),"",tabItens[[#This Row],[PontoMês]] * (AZ$2+tabItens[[#This Row],[PontoQtM]]))</f>
        <v>0</v>
      </c>
      <c r="BA721" s="318">
        <f>tabItens[[#This Row],[PontoPed]] - tabItens[[#This Row],[Saldo]] + (1/10)</f>
        <v>-8.9</v>
      </c>
      <c r="BB721" s="318">
        <f xml:space="preserve"> tabItens[[#This Row],[PontoMês]] * BB$2 - tabItens[[#This Row],[QTDE ATUAL]] - (1/10)</f>
        <v>-9.1</v>
      </c>
      <c r="BC721" s="320">
        <f>IF( tabItens[[#This Row],[PontoPed]]&gt;0, IF(tabItens[[#This Row],[PontoPed]]&lt;1, 1, IF( tabItens[[#This Row],[Saldo]]&gt;tabItens[[#This Row],[PontoPed]], 0, (tabItens[[#This Row],[PontoPed]]-tabItens[[#This Row],[Saldo]])/tabItens[[#This Row],[PontoPed]] ) ), 0 )</f>
        <v>0</v>
      </c>
      <c r="BD721" s="321">
        <f>ROUNDDOWN(IF( OR( AND(tabItens[[#This Row],[PontoPed]]&lt;tabItens[[#This Row],[Saldo]],tabItens[[#This Row],[Saldo]]&gt;0), tabItens[[#This Row],[PontoPed]]=0), 99, IF(AND(tabItens[[#This Row],[Saldo]]=0,tabItens[[#This Row],[PontoPed]]&gt;0), 0, (1-tabItens[[#This Row],[PctAb]])*10 ) ),0)</f>
        <v>99</v>
      </c>
      <c r="BE721" s="322">
        <f>MAX(ROUNDDOWN( IF(tabItens[[#This Row],[Abaixo]] &gt; 0,   tabItens[[#This Row],[Abaixo]] + (tabItens[[#This Row],[PontoMês]] * IF( OR( ISBLANK(tabItens[[#This Row],[ATA Nº/ANO]]), tabItens[[#This Row],[ATA Nº/ANO]] = ""),BE$2,BE$1)),0),0),0)</f>
        <v>0</v>
      </c>
      <c r="BF72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23">
        <f>SUMIF(Consumo!$C$3:$C$869,tabItens[[#This Row],[CÓDIGO]],Consumo!$E$3:$E$869)</f>
        <v>0</v>
      </c>
      <c r="BH721" s="324">
        <f>IF(AND(tabItens[[#This Row],[Pend]] &gt; 0,tabItens[[#This Row],[Consumo]] &lt;&gt; 0), tabItens[[#This Row],[Pend]] / tabItens[[#This Row],[Consumo]], 0 )</f>
        <v>0</v>
      </c>
      <c r="BI721" s="323"/>
      <c r="BJ721" s="323"/>
      <c r="BK721" s="325" t="s">
        <v>2064</v>
      </c>
    </row>
    <row r="722" spans="1:63" hidden="1" x14ac:dyDescent="0.3">
      <c r="A722" s="286">
        <v>136876</v>
      </c>
      <c r="B722" s="287" t="s">
        <v>1934</v>
      </c>
      <c r="C722" s="288" t="s">
        <v>31</v>
      </c>
      <c r="D722" s="289">
        <v>278.92</v>
      </c>
      <c r="E722" s="290"/>
      <c r="F722" s="290"/>
      <c r="G722" s="290" t="s">
        <v>883</v>
      </c>
      <c r="H722" s="291">
        <v>1</v>
      </c>
      <c r="I722" s="292">
        <v>103003</v>
      </c>
      <c r="J722" s="293">
        <v>278.92</v>
      </c>
      <c r="K722" s="294"/>
      <c r="L722" s="295">
        <f>IF(tabItens[[#This Row],[Média]] &gt; 0, tabItens[[#This Row],[QTDE ATUAL]] / tabItens[[#This Row],[Média]],999.9)</f>
        <v>999.9</v>
      </c>
      <c r="M722" s="296">
        <v>0</v>
      </c>
      <c r="N722" s="297">
        <f>tabItens[[#This Row],[VALOR UNIT.]] * tabItens[[#This Row],[LC]]</f>
        <v>0</v>
      </c>
      <c r="O722" s="298"/>
      <c r="P722" s="299"/>
      <c r="Q722" s="300"/>
      <c r="R722" s="297"/>
      <c r="S722" s="301"/>
      <c r="T722" s="302">
        <f>ROUNDDOWN(IFERROR(tabItens[[#This Row],[ATA DT.VALID.]] - $D$1,0) / 30,0)</f>
        <v>-1504</v>
      </c>
      <c r="U722" s="287" t="s">
        <v>1481</v>
      </c>
      <c r="V722" s="303">
        <v>1</v>
      </c>
      <c r="W722" s="304" t="s">
        <v>2058</v>
      </c>
      <c r="X722" s="305">
        <v>54</v>
      </c>
      <c r="Y722" s="306">
        <v>4</v>
      </c>
      <c r="Z722" s="307">
        <v>2919</v>
      </c>
      <c r="AA722" s="308">
        <v>2023</v>
      </c>
      <c r="AB722" s="309">
        <v>5</v>
      </c>
      <c r="AC722" s="309"/>
      <c r="AD722" s="308"/>
      <c r="AE722" s="309"/>
      <c r="AF722" s="302"/>
      <c r="AG722" s="310" t="s">
        <v>2050</v>
      </c>
      <c r="AH722" s="311"/>
      <c r="AI722" s="302">
        <v>0</v>
      </c>
      <c r="AJ722" s="311">
        <v>43945</v>
      </c>
      <c r="AK722" s="311">
        <v>43580</v>
      </c>
      <c r="AL722" s="311">
        <v>44594</v>
      </c>
      <c r="AM722" s="301"/>
      <c r="AN722" s="290"/>
      <c r="AO722" s="312" t="str">
        <f>_xlfn.IFNA(IF(VLOOKUP(tabItens[[#This Row],[CÓDIGO]],tabExcluirDoEstoque[#Data],1,FALSE),"sim",""),"")</f>
        <v/>
      </c>
      <c r="AP722" s="313" t="str">
        <f ca="1">IF(OR(ISBLANK(tabItens[[#This Row],[ATA DT.VALID.]]),tabItens[[#This Row],[ATA DT.VALID.]]="",tabItens[[#This Row],[ATA DT.VALID.]]=" "),"",IF(TYPE(tabItens[[#This Row],[ATA DT.VALID.]])=1,ROUNDUP((tabItens[[#This Row],[ATA DT.VALID.]]-TODAY())/7,0),""))</f>
        <v/>
      </c>
      <c r="AQ722" s="314"/>
      <c r="AR722" s="315">
        <f>IF(ISBLANK(tabItens[[#This Row],[CÓDIGO]]),"",IFERROR(VLOOKUP(tabItens[[#This Row],[CÓDIGO]],Consumo!$C$2:$AC$869,26,FALSE),0))</f>
        <v>0</v>
      </c>
      <c r="AS722" s="316">
        <f>SUMIF(Consumo!$C$3:$C$869,tabItens[[#This Row],[CÓDIGO]],Consumo!$N$3:$N$869) + SUMIF(Consumo!$C$3:$C$869,tabItens[[#This Row],[CÓDIGO]],Consumo!$O$3:$O$869) + SUMIF(Consumo!$C$3:$C$869,tabItens[[#This Row],[CÓDIGO]],Consumo!$P$3:$P$869) + SUMIF(Consumo!$C$3:$C$869,tabItens[[#This Row],[CÓDIGO]],Consumo!$Q$3:$Q$869)</f>
        <v>0</v>
      </c>
      <c r="AT722" s="316">
        <f>SUMIF(Consumo!$C$3:$C$869,tabItens[[#This Row],[CÓDIGO]],Consumo!$Z$3:$Z$869)</f>
        <v>0</v>
      </c>
      <c r="AU722" s="317">
        <f>SUMIF(Consumo!$C$3:$C$869,tabItens[[#This Row],[CÓDIGO]],Consumo!$AA$3:$AA$869)</f>
        <v>0</v>
      </c>
      <c r="AV722" s="318">
        <f>SUMIF(Consumo!$C$3:$C$869,tabItens[[#This Row],[CÓDIGO]],Consumo!$Y$3:$Y$869)</f>
        <v>0</v>
      </c>
      <c r="AW722" s="291">
        <f>tabItens[[#This Row],[QTDE ATUAL]] + tabItens[[#This Row],[RC QTDE]] + tabItens[[#This Row],[AF SALDO]] + tabItens[[#This Row],[Recentes]]</f>
        <v>6</v>
      </c>
      <c r="AX722" s="319">
        <v>0</v>
      </c>
      <c r="AY722" s="319">
        <v>4</v>
      </c>
      <c r="AZ722" s="319">
        <f>IF(ISBLANK(tabItens[[#This Row],[CÓDIGO]]),"",tabItens[[#This Row],[PontoMês]] * (AZ$2+tabItens[[#This Row],[PontoQtM]]))</f>
        <v>0</v>
      </c>
      <c r="BA722" s="318">
        <f>tabItens[[#This Row],[PontoPed]] - tabItens[[#This Row],[Saldo]] + (1/10)</f>
        <v>-5.9</v>
      </c>
      <c r="BB722" s="318">
        <f xml:space="preserve"> tabItens[[#This Row],[PontoMês]] * BB$2 - tabItens[[#This Row],[QTDE ATUAL]] - (1/10)</f>
        <v>-1.1000000000000001</v>
      </c>
      <c r="BC722" s="320">
        <f>IF( tabItens[[#This Row],[PontoPed]]&gt;0, IF(tabItens[[#This Row],[PontoPed]]&lt;1, 1, IF( tabItens[[#This Row],[Saldo]]&gt;tabItens[[#This Row],[PontoPed]], 0, (tabItens[[#This Row],[PontoPed]]-tabItens[[#This Row],[Saldo]])/tabItens[[#This Row],[PontoPed]] ) ), 0 )</f>
        <v>0</v>
      </c>
      <c r="BD722" s="321">
        <f>ROUNDDOWN(IF( OR( AND(tabItens[[#This Row],[PontoPed]]&lt;tabItens[[#This Row],[Saldo]],tabItens[[#This Row],[Saldo]]&gt;0), tabItens[[#This Row],[PontoPed]]=0), 99, IF(AND(tabItens[[#This Row],[Saldo]]=0,tabItens[[#This Row],[PontoPed]]&gt;0), 0, (1-tabItens[[#This Row],[PctAb]])*10 ) ),0)</f>
        <v>99</v>
      </c>
      <c r="BE722" s="322">
        <f>MAX(ROUNDDOWN( IF(tabItens[[#This Row],[Abaixo]] &gt; 0,   tabItens[[#This Row],[Abaixo]] + (tabItens[[#This Row],[PontoMês]] * IF( OR( ISBLANK(tabItens[[#This Row],[ATA Nº/ANO]]), tabItens[[#This Row],[ATA Nº/ANO]] = ""),BE$2,BE$1)),0),0),0)</f>
        <v>0</v>
      </c>
      <c r="BF72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23">
        <f>SUMIF(Consumo!$C$3:$C$869,tabItens[[#This Row],[CÓDIGO]],Consumo!$E$3:$E$869)</f>
        <v>0</v>
      </c>
      <c r="BH722" s="324">
        <f>IF(AND(tabItens[[#This Row],[Pend]] &gt; 0,tabItens[[#This Row],[Consumo]] &lt;&gt; 0), tabItens[[#This Row],[Pend]] / tabItens[[#This Row],[Consumo]], 0 )</f>
        <v>0</v>
      </c>
      <c r="BI722" s="323"/>
      <c r="BJ722" s="323"/>
      <c r="BK722" s="325" t="s">
        <v>2064</v>
      </c>
    </row>
    <row r="723" spans="1:63" hidden="1" x14ac:dyDescent="0.3">
      <c r="A723" s="286">
        <v>136877</v>
      </c>
      <c r="B723" s="287" t="s">
        <v>1935</v>
      </c>
      <c r="C723" s="288" t="s">
        <v>31</v>
      </c>
      <c r="D723" s="289">
        <v>9.9</v>
      </c>
      <c r="E723" s="290"/>
      <c r="F723" s="290"/>
      <c r="G723" s="290" t="s">
        <v>883</v>
      </c>
      <c r="H723" s="291">
        <v>13</v>
      </c>
      <c r="I723" s="292">
        <v>103003</v>
      </c>
      <c r="J723" s="293">
        <v>9.9</v>
      </c>
      <c r="K723" s="294"/>
      <c r="L723" s="295">
        <f>IF(tabItens[[#This Row],[Média]] &gt; 0, tabItens[[#This Row],[QTDE ATUAL]] / tabItens[[#This Row],[Média]],999.9)</f>
        <v>999.9</v>
      </c>
      <c r="M723" s="296">
        <v>0</v>
      </c>
      <c r="N723" s="297">
        <f>tabItens[[#This Row],[VALOR UNIT.]] * tabItens[[#This Row],[LC]]</f>
        <v>0</v>
      </c>
      <c r="O723" s="298"/>
      <c r="P723" s="299"/>
      <c r="Q723" s="300"/>
      <c r="R723" s="297"/>
      <c r="S723" s="301"/>
      <c r="T723" s="302">
        <f>ROUNDDOWN(IFERROR(tabItens[[#This Row],[ATA DT.VALID.]] - $D$1,0) / 30,0)</f>
        <v>-1504</v>
      </c>
      <c r="U723" s="287" t="s">
        <v>1481</v>
      </c>
      <c r="V723" s="303">
        <v>1</v>
      </c>
      <c r="W723" s="304" t="s">
        <v>2058</v>
      </c>
      <c r="X723" s="305">
        <v>54</v>
      </c>
      <c r="Y723" s="306">
        <v>4</v>
      </c>
      <c r="Z723" s="307"/>
      <c r="AA723" s="308"/>
      <c r="AB723" s="309"/>
      <c r="AC723" s="309"/>
      <c r="AD723" s="308"/>
      <c r="AE723" s="309"/>
      <c r="AF723" s="302"/>
      <c r="AG723" s="310" t="s">
        <v>2050</v>
      </c>
      <c r="AH723" s="311"/>
      <c r="AI723" s="302">
        <v>0</v>
      </c>
      <c r="AJ723" s="311">
        <v>43955</v>
      </c>
      <c r="AK723" s="311">
        <v>43580</v>
      </c>
      <c r="AL723" s="311">
        <v>43929</v>
      </c>
      <c r="AM723" s="301"/>
      <c r="AN723" s="290"/>
      <c r="AO723" s="312" t="str">
        <f>_xlfn.IFNA(IF(VLOOKUP(tabItens[[#This Row],[CÓDIGO]],tabExcluirDoEstoque[#Data],1,FALSE),"sim",""),"")</f>
        <v/>
      </c>
      <c r="AP723" s="313" t="str">
        <f ca="1">IF(OR(ISBLANK(tabItens[[#This Row],[ATA DT.VALID.]]),tabItens[[#This Row],[ATA DT.VALID.]]="",tabItens[[#This Row],[ATA DT.VALID.]]=" "),"",IF(TYPE(tabItens[[#This Row],[ATA DT.VALID.]])=1,ROUNDUP((tabItens[[#This Row],[ATA DT.VALID.]]-TODAY())/7,0),""))</f>
        <v/>
      </c>
      <c r="AQ723" s="314"/>
      <c r="AR723" s="315">
        <f>IF(ISBLANK(tabItens[[#This Row],[CÓDIGO]]),"",IFERROR(VLOOKUP(tabItens[[#This Row],[CÓDIGO]],Consumo!$C$2:$AC$869,26,FALSE),0))</f>
        <v>0</v>
      </c>
      <c r="AS723" s="316">
        <f>SUMIF(Consumo!$C$3:$C$869,tabItens[[#This Row],[CÓDIGO]],Consumo!$N$3:$N$869) + SUMIF(Consumo!$C$3:$C$869,tabItens[[#This Row],[CÓDIGO]],Consumo!$O$3:$O$869) + SUMIF(Consumo!$C$3:$C$869,tabItens[[#This Row],[CÓDIGO]],Consumo!$P$3:$P$869) + SUMIF(Consumo!$C$3:$C$869,tabItens[[#This Row],[CÓDIGO]],Consumo!$Q$3:$Q$869)</f>
        <v>0</v>
      </c>
      <c r="AT723" s="316">
        <f>SUMIF(Consumo!$C$3:$C$869,tabItens[[#This Row],[CÓDIGO]],Consumo!$Z$3:$Z$869)</f>
        <v>0</v>
      </c>
      <c r="AU723" s="317">
        <f>SUMIF(Consumo!$C$3:$C$869,tabItens[[#This Row],[CÓDIGO]],Consumo!$AA$3:$AA$869)</f>
        <v>0</v>
      </c>
      <c r="AV723" s="318">
        <f>SUMIF(Consumo!$C$3:$C$869,tabItens[[#This Row],[CÓDIGO]],Consumo!$Y$3:$Y$869)</f>
        <v>0</v>
      </c>
      <c r="AW723" s="291">
        <f>tabItens[[#This Row],[QTDE ATUAL]] + tabItens[[#This Row],[RC QTDE]] + tabItens[[#This Row],[AF SALDO]] + tabItens[[#This Row],[Recentes]]</f>
        <v>13</v>
      </c>
      <c r="AX723" s="319">
        <v>1</v>
      </c>
      <c r="AY723" s="319">
        <v>4</v>
      </c>
      <c r="AZ723" s="319">
        <f>IF(ISBLANK(tabItens[[#This Row],[CÓDIGO]]),"",tabItens[[#This Row],[PontoMês]] * (AZ$2+tabItens[[#This Row],[PontoQtM]]))</f>
        <v>4</v>
      </c>
      <c r="BA723" s="318">
        <f>tabItens[[#This Row],[PontoPed]] - tabItens[[#This Row],[Saldo]] + (1/10)</f>
        <v>-8.9</v>
      </c>
      <c r="BB723" s="318">
        <f xml:space="preserve"> tabItens[[#This Row],[PontoMês]] * BB$2 - tabItens[[#This Row],[QTDE ATUAL]] - (1/10)</f>
        <v>-12.1</v>
      </c>
      <c r="BC723" s="320">
        <f>IF( tabItens[[#This Row],[PontoPed]]&gt;0, IF(tabItens[[#This Row],[PontoPed]]&lt;1, 1, IF( tabItens[[#This Row],[Saldo]]&gt;tabItens[[#This Row],[PontoPed]], 0, (tabItens[[#This Row],[PontoPed]]-tabItens[[#This Row],[Saldo]])/tabItens[[#This Row],[PontoPed]] ) ), 0 )</f>
        <v>0</v>
      </c>
      <c r="BD723" s="321">
        <f>ROUNDDOWN(IF( OR( AND(tabItens[[#This Row],[PontoPed]]&lt;tabItens[[#This Row],[Saldo]],tabItens[[#This Row],[Saldo]]&gt;0), tabItens[[#This Row],[PontoPed]]=0), 99, IF(AND(tabItens[[#This Row],[Saldo]]=0,tabItens[[#This Row],[PontoPed]]&gt;0), 0, (1-tabItens[[#This Row],[PctAb]])*10 ) ),0)</f>
        <v>99</v>
      </c>
      <c r="BE723" s="322">
        <f>MAX(ROUNDDOWN( IF(tabItens[[#This Row],[Abaixo]] &gt; 0,   tabItens[[#This Row],[Abaixo]] + (tabItens[[#This Row],[PontoMês]] * IF( OR( ISBLANK(tabItens[[#This Row],[ATA Nº/ANO]]), tabItens[[#This Row],[ATA Nº/ANO]] = ""),BE$2,BE$1)),0),0),0)</f>
        <v>0</v>
      </c>
      <c r="BF72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23">
        <f>SUMIF(Consumo!$C$3:$C$869,tabItens[[#This Row],[CÓDIGO]],Consumo!$E$3:$E$869)</f>
        <v>0</v>
      </c>
      <c r="BH723" s="324">
        <f>IF(AND(tabItens[[#This Row],[Pend]] &gt; 0,tabItens[[#This Row],[Consumo]] &lt;&gt; 0), tabItens[[#This Row],[Pend]] / tabItens[[#This Row],[Consumo]], 0 )</f>
        <v>0</v>
      </c>
      <c r="BI723" s="323"/>
      <c r="BJ723" s="323"/>
      <c r="BK723" s="325" t="s">
        <v>2064</v>
      </c>
    </row>
    <row r="724" spans="1:63" hidden="1" x14ac:dyDescent="0.3">
      <c r="A724" s="286">
        <v>136880</v>
      </c>
      <c r="B724" s="287" t="s">
        <v>1936</v>
      </c>
      <c r="C724" s="288" t="s">
        <v>256</v>
      </c>
      <c r="D724" s="289">
        <v>18.32</v>
      </c>
      <c r="E724" s="290"/>
      <c r="F724" s="290"/>
      <c r="G724" s="290" t="s">
        <v>883</v>
      </c>
      <c r="H724" s="291">
        <v>17</v>
      </c>
      <c r="I724" s="292">
        <v>103003</v>
      </c>
      <c r="J724" s="293">
        <v>18.32</v>
      </c>
      <c r="K724" s="294">
        <v>18</v>
      </c>
      <c r="L724" s="295">
        <f>IF(tabItens[[#This Row],[Média]] &gt; 0, tabItens[[#This Row],[QTDE ATUAL]] / tabItens[[#This Row],[Média]],999.9)</f>
        <v>12.75</v>
      </c>
      <c r="M724" s="296">
        <v>0</v>
      </c>
      <c r="N724" s="297">
        <f>tabItens[[#This Row],[VALOR UNIT.]] * tabItens[[#This Row],[LC]]</f>
        <v>0</v>
      </c>
      <c r="O724" s="298"/>
      <c r="P724" s="299"/>
      <c r="Q724" s="300"/>
      <c r="R724" s="297"/>
      <c r="S724" s="301"/>
      <c r="T724" s="302">
        <f>ROUNDDOWN(IFERROR(tabItens[[#This Row],[ATA DT.VALID.]] - $D$1,0) / 30,0)</f>
        <v>-1504</v>
      </c>
      <c r="U724" s="287" t="s">
        <v>1481</v>
      </c>
      <c r="V724" s="303">
        <v>1</v>
      </c>
      <c r="W724" s="304" t="s">
        <v>2058</v>
      </c>
      <c r="X724" s="305">
        <v>54</v>
      </c>
      <c r="Y724" s="306">
        <v>4</v>
      </c>
      <c r="Z724" s="307">
        <v>2813</v>
      </c>
      <c r="AA724" s="308">
        <v>2023</v>
      </c>
      <c r="AB724" s="309">
        <v>30</v>
      </c>
      <c r="AC724" s="309"/>
      <c r="AD724" s="308"/>
      <c r="AE724" s="309"/>
      <c r="AF724" s="302"/>
      <c r="AG724" s="310" t="s">
        <v>2050</v>
      </c>
      <c r="AH724" s="311"/>
      <c r="AI724" s="302">
        <v>6</v>
      </c>
      <c r="AJ724" s="311">
        <v>43819</v>
      </c>
      <c r="AK724" s="311">
        <v>43580</v>
      </c>
      <c r="AL724" s="311">
        <v>45056</v>
      </c>
      <c r="AM724" s="301"/>
      <c r="AN724" s="290"/>
      <c r="AO724" s="312" t="str">
        <f>_xlfn.IFNA(IF(VLOOKUP(tabItens[[#This Row],[CÓDIGO]],tabExcluirDoEstoque[#Data],1,FALSE),"sim",""),"")</f>
        <v/>
      </c>
      <c r="AP724" s="313" t="str">
        <f ca="1">IF(OR(ISBLANK(tabItens[[#This Row],[ATA DT.VALID.]]),tabItens[[#This Row],[ATA DT.VALID.]]="",tabItens[[#This Row],[ATA DT.VALID.]]=" "),"",IF(TYPE(tabItens[[#This Row],[ATA DT.VALID.]])=1,ROUNDUP((tabItens[[#This Row],[ATA DT.VALID.]]-TODAY())/7,0),""))</f>
        <v/>
      </c>
      <c r="AQ724" s="314"/>
      <c r="AR724" s="315" t="str">
        <f>IF(ISBLANK(tabItens[[#This Row],[CÓDIGO]]),"",IFERROR(VLOOKUP(tabItens[[#This Row],[CÓDIGO]],Consumo!$C$2:$AC$869,26,FALSE),0))</f>
        <v>02.2023</v>
      </c>
      <c r="AS724" s="316">
        <f>SUMIF(Consumo!$C$3:$C$869,tabItens[[#This Row],[CÓDIGO]],Consumo!$N$3:$N$869) + SUMIF(Consumo!$C$3:$C$869,tabItens[[#This Row],[CÓDIGO]],Consumo!$O$3:$O$869) + SUMIF(Consumo!$C$3:$C$869,tabItens[[#This Row],[CÓDIGO]],Consumo!$P$3:$P$869) + SUMIF(Consumo!$C$3:$C$869,tabItens[[#This Row],[CÓDIGO]],Consumo!$Q$3:$Q$869)</f>
        <v>0</v>
      </c>
      <c r="AT724" s="316">
        <f>SUMIF(Consumo!$C$3:$C$869,tabItens[[#This Row],[CÓDIGO]],Consumo!$Z$3:$Z$869)</f>
        <v>18</v>
      </c>
      <c r="AU724" s="317">
        <f>SUMIF(Consumo!$C$3:$C$869,tabItens[[#This Row],[CÓDIGO]],Consumo!$AA$3:$AA$869)</f>
        <v>10</v>
      </c>
      <c r="AV724" s="318">
        <f>SUMIF(Consumo!$C$3:$C$869,tabItens[[#This Row],[CÓDIGO]],Consumo!$Y$3:$Y$869)</f>
        <v>1.3333333333333333</v>
      </c>
      <c r="AW724" s="291">
        <f>tabItens[[#This Row],[QTDE ATUAL]] + tabItens[[#This Row],[RC QTDE]] + tabItens[[#This Row],[AF SALDO]] + tabItens[[#This Row],[Recentes]]</f>
        <v>47</v>
      </c>
      <c r="AX724" s="319">
        <v>0</v>
      </c>
      <c r="AY724" s="319">
        <v>4</v>
      </c>
      <c r="AZ724" s="319">
        <f>IF(ISBLANK(tabItens[[#This Row],[CÓDIGO]]),"",tabItens[[#This Row],[PontoMês]] * (AZ$2+tabItens[[#This Row],[PontoQtM]]))</f>
        <v>0</v>
      </c>
      <c r="BA724" s="318">
        <f>tabItens[[#This Row],[PontoPed]] - tabItens[[#This Row],[Saldo]] + (1/10)</f>
        <v>-46.9</v>
      </c>
      <c r="BB724" s="318">
        <f xml:space="preserve"> tabItens[[#This Row],[PontoMês]] * BB$2 - tabItens[[#This Row],[QTDE ATUAL]] - (1/10)</f>
        <v>-17.100000000000001</v>
      </c>
      <c r="BC724" s="320">
        <f>IF( tabItens[[#This Row],[PontoPed]]&gt;0, IF(tabItens[[#This Row],[PontoPed]]&lt;1, 1, IF( tabItens[[#This Row],[Saldo]]&gt;tabItens[[#This Row],[PontoPed]], 0, (tabItens[[#This Row],[PontoPed]]-tabItens[[#This Row],[Saldo]])/tabItens[[#This Row],[PontoPed]] ) ), 0 )</f>
        <v>0</v>
      </c>
      <c r="BD724" s="321">
        <f>ROUNDDOWN(IF( OR( AND(tabItens[[#This Row],[PontoPed]]&lt;tabItens[[#This Row],[Saldo]],tabItens[[#This Row],[Saldo]]&gt;0), tabItens[[#This Row],[PontoPed]]=0), 99, IF(AND(tabItens[[#This Row],[Saldo]]=0,tabItens[[#This Row],[PontoPed]]&gt;0), 0, (1-tabItens[[#This Row],[PctAb]])*10 ) ),0)</f>
        <v>99</v>
      </c>
      <c r="BE724" s="322">
        <f>MAX(ROUNDDOWN( IF(tabItens[[#This Row],[Abaixo]] &gt; 0,   tabItens[[#This Row],[Abaixo]] + (tabItens[[#This Row],[PontoMês]] * IF( OR( ISBLANK(tabItens[[#This Row],[ATA Nº/ANO]]), tabItens[[#This Row],[ATA Nº/ANO]] = ""),BE$2,BE$1)),0),0),0)</f>
        <v>0</v>
      </c>
      <c r="BF72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23">
        <f>SUMIF(Consumo!$C$3:$C$869,tabItens[[#This Row],[CÓDIGO]],Consumo!$E$3:$E$869)</f>
        <v>0</v>
      </c>
      <c r="BH724" s="324">
        <f>IF(AND(tabItens[[#This Row],[Pend]] &gt; 0,tabItens[[#This Row],[Consumo]] &lt;&gt; 0), tabItens[[#This Row],[Pend]] / tabItens[[#This Row],[Consumo]], 0 )</f>
        <v>0</v>
      </c>
      <c r="BI724" s="323"/>
      <c r="BJ724" s="323"/>
      <c r="BK724" s="325" t="s">
        <v>2064</v>
      </c>
    </row>
    <row r="725" spans="1:63" hidden="1" x14ac:dyDescent="0.3">
      <c r="A725" s="286">
        <v>137019</v>
      </c>
      <c r="B725" s="287" t="s">
        <v>1942</v>
      </c>
      <c r="C725" s="288" t="s">
        <v>31</v>
      </c>
      <c r="D725" s="289">
        <v>3.99</v>
      </c>
      <c r="E725" s="290"/>
      <c r="F725" s="290"/>
      <c r="G725" s="290" t="s">
        <v>883</v>
      </c>
      <c r="H725" s="291">
        <v>492</v>
      </c>
      <c r="I725" s="292">
        <v>103003</v>
      </c>
      <c r="J725" s="293">
        <v>3.99</v>
      </c>
      <c r="K725" s="294">
        <v>13</v>
      </c>
      <c r="L725" s="295">
        <f>IF(tabItens[[#This Row],[Média]] &gt; 0, tabItens[[#This Row],[QTDE ATUAL]] / tabItens[[#This Row],[Média]],999.9)</f>
        <v>178.90909090909091</v>
      </c>
      <c r="M725" s="296">
        <v>0</v>
      </c>
      <c r="N725" s="297">
        <f>tabItens[[#This Row],[VALOR UNIT.]] * tabItens[[#This Row],[LC]]</f>
        <v>0</v>
      </c>
      <c r="O725" s="298"/>
      <c r="P725" s="299"/>
      <c r="Q725" s="300"/>
      <c r="R725" s="297"/>
      <c r="S725" s="301"/>
      <c r="T725" s="302">
        <f>ROUNDDOWN(IFERROR(tabItens[[#This Row],[ATA DT.VALID.]] - $D$1,0) / 30,0)</f>
        <v>-1504</v>
      </c>
      <c r="U725" s="287" t="s">
        <v>1481</v>
      </c>
      <c r="V725" s="303">
        <v>1</v>
      </c>
      <c r="W725" s="304" t="s">
        <v>2058</v>
      </c>
      <c r="X725" s="305">
        <v>54</v>
      </c>
      <c r="Y725" s="306">
        <v>4</v>
      </c>
      <c r="Z725" s="307"/>
      <c r="AA725" s="308"/>
      <c r="AB725" s="309"/>
      <c r="AC725" s="309"/>
      <c r="AD725" s="308"/>
      <c r="AE725" s="309"/>
      <c r="AF725" s="302"/>
      <c r="AG725" s="310" t="s">
        <v>2050</v>
      </c>
      <c r="AH725" s="311"/>
      <c r="AI725" s="302">
        <v>4</v>
      </c>
      <c r="AJ725" s="311">
        <v>43802</v>
      </c>
      <c r="AK725" s="311">
        <v>43620</v>
      </c>
      <c r="AL725" s="311">
        <v>44741</v>
      </c>
      <c r="AM725" s="301"/>
      <c r="AN725" s="290"/>
      <c r="AO725" s="312" t="str">
        <f>_xlfn.IFNA(IF(VLOOKUP(tabItens[[#This Row],[CÓDIGO]],tabExcluirDoEstoque[#Data],1,FALSE),"sim",""),"")</f>
        <v/>
      </c>
      <c r="AP725" s="313" t="str">
        <f ca="1">IF(OR(ISBLANK(tabItens[[#This Row],[ATA DT.VALID.]]),tabItens[[#This Row],[ATA DT.VALID.]]="",tabItens[[#This Row],[ATA DT.VALID.]]=" "),"",IF(TYPE(tabItens[[#This Row],[ATA DT.VALID.]])=1,ROUNDUP((tabItens[[#This Row],[ATA DT.VALID.]]-TODAY())/7,0),""))</f>
        <v/>
      </c>
      <c r="AQ725" s="314"/>
      <c r="AR725" s="315" t="str">
        <f>IF(ISBLANK(tabItens[[#This Row],[CÓDIGO]]),"",IFERROR(VLOOKUP(tabItens[[#This Row],[CÓDIGO]],Consumo!$C$2:$AC$869,26,FALSE),0))</f>
        <v>07.2023</v>
      </c>
      <c r="AS725" s="316">
        <f>SUMIF(Consumo!$C$3:$C$869,tabItens[[#This Row],[CÓDIGO]],Consumo!$N$3:$N$869) + SUMIF(Consumo!$C$3:$C$869,tabItens[[#This Row],[CÓDIGO]],Consumo!$O$3:$O$869) + SUMIF(Consumo!$C$3:$C$869,tabItens[[#This Row],[CÓDIGO]],Consumo!$P$3:$P$869) + SUMIF(Consumo!$C$3:$C$869,tabItens[[#This Row],[CÓDIGO]],Consumo!$Q$3:$Q$869)</f>
        <v>3</v>
      </c>
      <c r="AT725" s="316">
        <f>SUMIF(Consumo!$C$3:$C$869,tabItens[[#This Row],[CÓDIGO]],Consumo!$Z$3:$Z$869)</f>
        <v>33</v>
      </c>
      <c r="AU725" s="317">
        <f>SUMIF(Consumo!$C$3:$C$869,tabItens[[#This Row],[CÓDIGO]],Consumo!$AA$3:$AA$869)</f>
        <v>10</v>
      </c>
      <c r="AV725" s="318">
        <f>SUMIF(Consumo!$C$3:$C$869,tabItens[[#This Row],[CÓDIGO]],Consumo!$Y$3:$Y$869)</f>
        <v>2.75</v>
      </c>
      <c r="AW725" s="291">
        <f>tabItens[[#This Row],[QTDE ATUAL]] + tabItens[[#This Row],[RC QTDE]] + tabItens[[#This Row],[AF SALDO]] + tabItens[[#This Row],[Recentes]]</f>
        <v>492</v>
      </c>
      <c r="AX725" s="319">
        <v>0</v>
      </c>
      <c r="AY725" s="319">
        <v>4</v>
      </c>
      <c r="AZ725" s="319">
        <f>IF(ISBLANK(tabItens[[#This Row],[CÓDIGO]]),"",tabItens[[#This Row],[PontoMês]] * (AZ$2+tabItens[[#This Row],[PontoQtM]]))</f>
        <v>0</v>
      </c>
      <c r="BA725" s="318">
        <f>tabItens[[#This Row],[PontoPed]] - tabItens[[#This Row],[Saldo]] + (1/10)</f>
        <v>-491.9</v>
      </c>
      <c r="BB725" s="318">
        <f xml:space="preserve"> tabItens[[#This Row],[PontoMês]] * BB$2 - tabItens[[#This Row],[QTDE ATUAL]] - (1/10)</f>
        <v>-492.1</v>
      </c>
      <c r="BC725" s="320">
        <f>IF( tabItens[[#This Row],[PontoPed]]&gt;0, IF(tabItens[[#This Row],[PontoPed]]&lt;1, 1, IF( tabItens[[#This Row],[Saldo]]&gt;tabItens[[#This Row],[PontoPed]], 0, (tabItens[[#This Row],[PontoPed]]-tabItens[[#This Row],[Saldo]])/tabItens[[#This Row],[PontoPed]] ) ), 0 )</f>
        <v>0</v>
      </c>
      <c r="BD725" s="321">
        <f>ROUNDDOWN(IF( OR( AND(tabItens[[#This Row],[PontoPed]]&lt;tabItens[[#This Row],[Saldo]],tabItens[[#This Row],[Saldo]]&gt;0), tabItens[[#This Row],[PontoPed]]=0), 99, IF(AND(tabItens[[#This Row],[Saldo]]=0,tabItens[[#This Row],[PontoPed]]&gt;0), 0, (1-tabItens[[#This Row],[PctAb]])*10 ) ),0)</f>
        <v>99</v>
      </c>
      <c r="BE725" s="322">
        <f>MAX(ROUNDDOWN( IF(tabItens[[#This Row],[Abaixo]] &gt; 0,   tabItens[[#This Row],[Abaixo]] + (tabItens[[#This Row],[PontoMês]] * IF( OR( ISBLANK(tabItens[[#This Row],[ATA Nº/ANO]]), tabItens[[#This Row],[ATA Nº/ANO]] = ""),BE$2,BE$1)),0),0),0)</f>
        <v>0</v>
      </c>
      <c r="BF72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23">
        <f>SUMIF(Consumo!$C$3:$C$869,tabItens[[#This Row],[CÓDIGO]],Consumo!$E$3:$E$869)</f>
        <v>20</v>
      </c>
      <c r="BH725" s="324">
        <f>IF(AND(tabItens[[#This Row],[Pend]] &gt; 0,tabItens[[#This Row],[Consumo]] &lt;&gt; 0), tabItens[[#This Row],[Pend]] / tabItens[[#This Row],[Consumo]], 0 )</f>
        <v>0.60606060606060608</v>
      </c>
      <c r="BI725" s="323"/>
      <c r="BJ725" s="323"/>
      <c r="BK725" s="325" t="s">
        <v>2064</v>
      </c>
    </row>
    <row r="726" spans="1:63" hidden="1" x14ac:dyDescent="0.3">
      <c r="A726" s="286">
        <v>137053</v>
      </c>
      <c r="B726" s="287" t="s">
        <v>1943</v>
      </c>
      <c r="C726" s="288" t="s">
        <v>256</v>
      </c>
      <c r="D726" s="289">
        <v>41.65</v>
      </c>
      <c r="E726" s="290"/>
      <c r="F726" s="290"/>
      <c r="G726" s="290" t="s">
        <v>883</v>
      </c>
      <c r="H726" s="291">
        <v>16</v>
      </c>
      <c r="I726" s="292">
        <v>103003</v>
      </c>
      <c r="J726" s="293">
        <v>41.65</v>
      </c>
      <c r="K726" s="294">
        <v>1</v>
      </c>
      <c r="L726" s="295">
        <f>IF(tabItens[[#This Row],[Média]] &gt; 0, tabItens[[#This Row],[QTDE ATUAL]] / tabItens[[#This Row],[Média]],999.9)</f>
        <v>999.9</v>
      </c>
      <c r="M726" s="296">
        <v>0</v>
      </c>
      <c r="N726" s="297">
        <f>tabItens[[#This Row],[VALOR UNIT.]] * tabItens[[#This Row],[LC]]</f>
        <v>0</v>
      </c>
      <c r="O726" s="298"/>
      <c r="P726" s="299"/>
      <c r="Q726" s="300"/>
      <c r="R726" s="297"/>
      <c r="S726" s="301"/>
      <c r="T726" s="302">
        <f>ROUNDDOWN(IFERROR(tabItens[[#This Row],[ATA DT.VALID.]] - $D$1,0) / 30,0)</f>
        <v>-1504</v>
      </c>
      <c r="U726" s="287" t="s">
        <v>1481</v>
      </c>
      <c r="V726" s="303">
        <v>1</v>
      </c>
      <c r="W726" s="304" t="s">
        <v>2058</v>
      </c>
      <c r="X726" s="305">
        <v>54</v>
      </c>
      <c r="Y726" s="306">
        <v>4</v>
      </c>
      <c r="Z726" s="307"/>
      <c r="AA726" s="308"/>
      <c r="AB726" s="309"/>
      <c r="AC726" s="309"/>
      <c r="AD726" s="308"/>
      <c r="AE726" s="309"/>
      <c r="AF726" s="302"/>
      <c r="AG726" s="310" t="s">
        <v>2050</v>
      </c>
      <c r="AH726" s="311"/>
      <c r="AI726" s="302">
        <v>0</v>
      </c>
      <c r="AJ726" s="311">
        <v>43819</v>
      </c>
      <c r="AK726" s="311">
        <v>43626</v>
      </c>
      <c r="AL726" s="311">
        <v>43780</v>
      </c>
      <c r="AM726" s="301"/>
      <c r="AN726" s="290"/>
      <c r="AO726" s="312" t="str">
        <f>_xlfn.IFNA(IF(VLOOKUP(tabItens[[#This Row],[CÓDIGO]],tabExcluirDoEstoque[#Data],1,FALSE),"sim",""),"")</f>
        <v/>
      </c>
      <c r="AP726" s="313" t="str">
        <f ca="1">IF(OR(ISBLANK(tabItens[[#This Row],[ATA DT.VALID.]]),tabItens[[#This Row],[ATA DT.VALID.]]="",tabItens[[#This Row],[ATA DT.VALID.]]=" "),"",IF(TYPE(tabItens[[#This Row],[ATA DT.VALID.]])=1,ROUNDUP((tabItens[[#This Row],[ATA DT.VALID.]]-TODAY())/7,0),""))</f>
        <v/>
      </c>
      <c r="AQ726" s="314"/>
      <c r="AR726" s="315" t="str">
        <f>IF(ISBLANK(tabItens[[#This Row],[CÓDIGO]]),"",IFERROR(VLOOKUP(tabItens[[#This Row],[CÓDIGO]],Consumo!$C$2:$AC$869,26,FALSE),0))</f>
        <v>05.2023</v>
      </c>
      <c r="AS726" s="316">
        <f>SUMIF(Consumo!$C$3:$C$869,tabItens[[#This Row],[CÓDIGO]],Consumo!$N$3:$N$869) + SUMIF(Consumo!$C$3:$C$869,tabItens[[#This Row],[CÓDIGO]],Consumo!$O$3:$O$869) + SUMIF(Consumo!$C$3:$C$869,tabItens[[#This Row],[CÓDIGO]],Consumo!$P$3:$P$869) + SUMIF(Consumo!$C$3:$C$869,tabItens[[#This Row],[CÓDIGO]],Consumo!$Q$3:$Q$869)</f>
        <v>1</v>
      </c>
      <c r="AT726" s="316">
        <f>SUMIF(Consumo!$C$3:$C$869,tabItens[[#This Row],[CÓDIGO]],Consumo!$Z$3:$Z$869)</f>
        <v>1</v>
      </c>
      <c r="AU726" s="317">
        <f>SUMIF(Consumo!$C$3:$C$869,tabItens[[#This Row],[CÓDIGO]],Consumo!$AA$3:$AA$869)</f>
        <v>1</v>
      </c>
      <c r="AV726" s="318">
        <f>SUMIF(Consumo!$C$3:$C$869,tabItens[[#This Row],[CÓDIGO]],Consumo!$Y$3:$Y$869)</f>
        <v>0</v>
      </c>
      <c r="AW726" s="291">
        <f>tabItens[[#This Row],[QTDE ATUAL]] + tabItens[[#This Row],[RC QTDE]] + tabItens[[#This Row],[AF SALDO]] + tabItens[[#This Row],[Recentes]]</f>
        <v>16</v>
      </c>
      <c r="AX726" s="319">
        <v>0</v>
      </c>
      <c r="AY726" s="319">
        <v>4</v>
      </c>
      <c r="AZ726" s="319">
        <f>IF(ISBLANK(tabItens[[#This Row],[CÓDIGO]]),"",tabItens[[#This Row],[PontoMês]] * (AZ$2+tabItens[[#This Row],[PontoQtM]]))</f>
        <v>0</v>
      </c>
      <c r="BA726" s="318">
        <f>tabItens[[#This Row],[PontoPed]] - tabItens[[#This Row],[Saldo]] + (1/10)</f>
        <v>-15.9</v>
      </c>
      <c r="BB726" s="318">
        <f xml:space="preserve"> tabItens[[#This Row],[PontoMês]] * BB$2 - tabItens[[#This Row],[QTDE ATUAL]] - (1/10)</f>
        <v>-16.100000000000001</v>
      </c>
      <c r="BC726" s="320">
        <f>IF( tabItens[[#This Row],[PontoPed]]&gt;0, IF(tabItens[[#This Row],[PontoPed]]&lt;1, 1, IF( tabItens[[#This Row],[Saldo]]&gt;tabItens[[#This Row],[PontoPed]], 0, (tabItens[[#This Row],[PontoPed]]-tabItens[[#This Row],[Saldo]])/tabItens[[#This Row],[PontoPed]] ) ), 0 )</f>
        <v>0</v>
      </c>
      <c r="BD726" s="321">
        <f>ROUNDDOWN(IF( OR( AND(tabItens[[#This Row],[PontoPed]]&lt;tabItens[[#This Row],[Saldo]],tabItens[[#This Row],[Saldo]]&gt;0), tabItens[[#This Row],[PontoPed]]=0), 99, IF(AND(tabItens[[#This Row],[Saldo]]=0,tabItens[[#This Row],[PontoPed]]&gt;0), 0, (1-tabItens[[#This Row],[PctAb]])*10 ) ),0)</f>
        <v>99</v>
      </c>
      <c r="BE726" s="322">
        <f>MAX(ROUNDDOWN( IF(tabItens[[#This Row],[Abaixo]] &gt; 0,   tabItens[[#This Row],[Abaixo]] + (tabItens[[#This Row],[PontoMês]] * IF( OR( ISBLANK(tabItens[[#This Row],[ATA Nº/ANO]]), tabItens[[#This Row],[ATA Nº/ANO]] = ""),BE$2,BE$1)),0),0),0)</f>
        <v>0</v>
      </c>
      <c r="BF72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23">
        <f>SUMIF(Consumo!$C$3:$C$869,tabItens[[#This Row],[CÓDIGO]],Consumo!$E$3:$E$869)</f>
        <v>0</v>
      </c>
      <c r="BH726" s="324">
        <f>IF(AND(tabItens[[#This Row],[Pend]] &gt; 0,tabItens[[#This Row],[Consumo]] &lt;&gt; 0), tabItens[[#This Row],[Pend]] / tabItens[[#This Row],[Consumo]], 0 )</f>
        <v>0</v>
      </c>
      <c r="BI726" s="323"/>
      <c r="BJ726" s="323"/>
      <c r="BK726" s="325" t="s">
        <v>2064</v>
      </c>
    </row>
    <row r="727" spans="1:63" hidden="1" x14ac:dyDescent="0.3">
      <c r="A727" s="286">
        <v>137798</v>
      </c>
      <c r="B727" s="287" t="s">
        <v>1944</v>
      </c>
      <c r="C727" s="288" t="s">
        <v>256</v>
      </c>
      <c r="D727" s="289">
        <v>18.149999999999999</v>
      </c>
      <c r="E727" s="290"/>
      <c r="F727" s="290"/>
      <c r="G727" s="290" t="s">
        <v>883</v>
      </c>
      <c r="H727" s="291">
        <v>18</v>
      </c>
      <c r="I727" s="292">
        <v>103003</v>
      </c>
      <c r="J727" s="293">
        <v>18.149999999999999</v>
      </c>
      <c r="K727" s="294">
        <v>1</v>
      </c>
      <c r="L727" s="295">
        <f>IF(tabItens[[#This Row],[Média]] &gt; 0, tabItens[[#This Row],[QTDE ATUAL]] / tabItens[[#This Row],[Média]],999.9)</f>
        <v>999.9</v>
      </c>
      <c r="M727" s="296">
        <v>0</v>
      </c>
      <c r="N727" s="297">
        <f>tabItens[[#This Row],[VALOR UNIT.]] * tabItens[[#This Row],[LC]]</f>
        <v>0</v>
      </c>
      <c r="O727" s="298"/>
      <c r="P727" s="299"/>
      <c r="Q727" s="300"/>
      <c r="R727" s="297"/>
      <c r="S727" s="301"/>
      <c r="T727" s="302">
        <f>ROUNDDOWN(IFERROR(tabItens[[#This Row],[ATA DT.VALID.]] - $D$1,0) / 30,0)</f>
        <v>-1504</v>
      </c>
      <c r="U727" s="287" t="s">
        <v>1481</v>
      </c>
      <c r="V727" s="303">
        <v>1</v>
      </c>
      <c r="W727" s="304" t="s">
        <v>2058</v>
      </c>
      <c r="X727" s="305">
        <v>54</v>
      </c>
      <c r="Y727" s="306">
        <v>4</v>
      </c>
      <c r="Z727" s="307"/>
      <c r="AA727" s="308"/>
      <c r="AB727" s="309"/>
      <c r="AC727" s="309"/>
      <c r="AD727" s="308"/>
      <c r="AE727" s="309"/>
      <c r="AF727" s="302"/>
      <c r="AG727" s="310" t="s">
        <v>2050</v>
      </c>
      <c r="AH727" s="311"/>
      <c r="AI727" s="302">
        <v>0</v>
      </c>
      <c r="AJ727" s="311">
        <v>43949</v>
      </c>
      <c r="AK727" s="311">
        <v>43629</v>
      </c>
      <c r="AL727" s="311">
        <v>43929</v>
      </c>
      <c r="AM727" s="301"/>
      <c r="AN727" s="290"/>
      <c r="AO727" s="312" t="str">
        <f>_xlfn.IFNA(IF(VLOOKUP(tabItens[[#This Row],[CÓDIGO]],tabExcluirDoEstoque[#Data],1,FALSE),"sim",""),"")</f>
        <v/>
      </c>
      <c r="AP727" s="313" t="str">
        <f ca="1">IF(OR(ISBLANK(tabItens[[#This Row],[ATA DT.VALID.]]),tabItens[[#This Row],[ATA DT.VALID.]]="",tabItens[[#This Row],[ATA DT.VALID.]]=" "),"",IF(TYPE(tabItens[[#This Row],[ATA DT.VALID.]])=1,ROUNDUP((tabItens[[#This Row],[ATA DT.VALID.]]-TODAY())/7,0),""))</f>
        <v/>
      </c>
      <c r="AQ727" s="314"/>
      <c r="AR727" s="315" t="str">
        <f>IF(ISBLANK(tabItens[[#This Row],[CÓDIGO]]),"",IFERROR(VLOOKUP(tabItens[[#This Row],[CÓDIGO]],Consumo!$C$2:$AC$869,26,FALSE),0))</f>
        <v>06.2023</v>
      </c>
      <c r="AS727" s="316">
        <f>SUMIF(Consumo!$C$3:$C$869,tabItens[[#This Row],[CÓDIGO]],Consumo!$N$3:$N$869) + SUMIF(Consumo!$C$3:$C$869,tabItens[[#This Row],[CÓDIGO]],Consumo!$O$3:$O$869) + SUMIF(Consumo!$C$3:$C$869,tabItens[[#This Row],[CÓDIGO]],Consumo!$P$3:$P$869) + SUMIF(Consumo!$C$3:$C$869,tabItens[[#This Row],[CÓDIGO]],Consumo!$Q$3:$Q$869)</f>
        <v>1</v>
      </c>
      <c r="AT727" s="316">
        <f>SUMIF(Consumo!$C$3:$C$869,tabItens[[#This Row],[CÓDIGO]],Consumo!$Z$3:$Z$869)</f>
        <v>1</v>
      </c>
      <c r="AU727" s="317">
        <f>SUMIF(Consumo!$C$3:$C$869,tabItens[[#This Row],[CÓDIGO]],Consumo!$AA$3:$AA$869)</f>
        <v>1</v>
      </c>
      <c r="AV727" s="318">
        <f>SUMIF(Consumo!$C$3:$C$869,tabItens[[#This Row],[CÓDIGO]],Consumo!$Y$3:$Y$869)</f>
        <v>0</v>
      </c>
      <c r="AW727" s="291">
        <f>tabItens[[#This Row],[QTDE ATUAL]] + tabItens[[#This Row],[RC QTDE]] + tabItens[[#This Row],[AF SALDO]] + tabItens[[#This Row],[Recentes]]</f>
        <v>18</v>
      </c>
      <c r="AX727" s="319">
        <v>2</v>
      </c>
      <c r="AY727" s="319">
        <v>4</v>
      </c>
      <c r="AZ727" s="319">
        <f>IF(ISBLANK(tabItens[[#This Row],[CÓDIGO]]),"",tabItens[[#This Row],[PontoMês]] * (AZ$2+tabItens[[#This Row],[PontoQtM]]))</f>
        <v>8</v>
      </c>
      <c r="BA727" s="318">
        <f>tabItens[[#This Row],[PontoPed]] - tabItens[[#This Row],[Saldo]] + (1/10)</f>
        <v>-9.9</v>
      </c>
      <c r="BB727" s="318">
        <f xml:space="preserve"> tabItens[[#This Row],[PontoMês]] * BB$2 - tabItens[[#This Row],[QTDE ATUAL]] - (1/10)</f>
        <v>-16.100000000000001</v>
      </c>
      <c r="BC727" s="320">
        <f>IF( tabItens[[#This Row],[PontoPed]]&gt;0, IF(tabItens[[#This Row],[PontoPed]]&lt;1, 1, IF( tabItens[[#This Row],[Saldo]]&gt;tabItens[[#This Row],[PontoPed]], 0, (tabItens[[#This Row],[PontoPed]]-tabItens[[#This Row],[Saldo]])/tabItens[[#This Row],[PontoPed]] ) ), 0 )</f>
        <v>0</v>
      </c>
      <c r="BD727" s="321">
        <f>ROUNDDOWN(IF( OR( AND(tabItens[[#This Row],[PontoPed]]&lt;tabItens[[#This Row],[Saldo]],tabItens[[#This Row],[Saldo]]&gt;0), tabItens[[#This Row],[PontoPed]]=0), 99, IF(AND(tabItens[[#This Row],[Saldo]]=0,tabItens[[#This Row],[PontoPed]]&gt;0), 0, (1-tabItens[[#This Row],[PctAb]])*10 ) ),0)</f>
        <v>99</v>
      </c>
      <c r="BE727" s="322">
        <f>MAX(ROUNDDOWN( IF(tabItens[[#This Row],[Abaixo]] &gt; 0,   tabItens[[#This Row],[Abaixo]] + (tabItens[[#This Row],[PontoMês]] * IF( OR( ISBLANK(tabItens[[#This Row],[ATA Nº/ANO]]), tabItens[[#This Row],[ATA Nº/ANO]] = ""),BE$2,BE$1)),0),0),0)</f>
        <v>0</v>
      </c>
      <c r="BF72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23">
        <f>SUMIF(Consumo!$C$3:$C$869,tabItens[[#This Row],[CÓDIGO]],Consumo!$E$3:$E$869)</f>
        <v>0</v>
      </c>
      <c r="BH727" s="324">
        <f>IF(AND(tabItens[[#This Row],[Pend]] &gt; 0,tabItens[[#This Row],[Consumo]] &lt;&gt; 0), tabItens[[#This Row],[Pend]] / tabItens[[#This Row],[Consumo]], 0 )</f>
        <v>0</v>
      </c>
      <c r="BI727" s="323"/>
      <c r="BJ727" s="323"/>
      <c r="BK727" s="325" t="s">
        <v>2064</v>
      </c>
    </row>
    <row r="728" spans="1:63" hidden="1" x14ac:dyDescent="0.3">
      <c r="A728" s="286">
        <v>137799</v>
      </c>
      <c r="B728" s="287" t="s">
        <v>1945</v>
      </c>
      <c r="C728" s="288" t="s">
        <v>301</v>
      </c>
      <c r="D728" s="289">
        <v>15.9</v>
      </c>
      <c r="E728" s="290"/>
      <c r="F728" s="290"/>
      <c r="G728" s="290" t="s">
        <v>883</v>
      </c>
      <c r="H728" s="291">
        <v>77</v>
      </c>
      <c r="I728" s="292">
        <v>103003</v>
      </c>
      <c r="J728" s="293">
        <v>15.9</v>
      </c>
      <c r="K728" s="294"/>
      <c r="L728" s="295">
        <f>IF(tabItens[[#This Row],[Média]] &gt; 0, tabItens[[#This Row],[QTDE ATUAL]] / tabItens[[#This Row],[Média]],999.9)</f>
        <v>999.9</v>
      </c>
      <c r="M728" s="296">
        <v>0</v>
      </c>
      <c r="N728" s="297">
        <f>tabItens[[#This Row],[VALOR UNIT.]] * tabItens[[#This Row],[LC]]</f>
        <v>0</v>
      </c>
      <c r="O728" s="298"/>
      <c r="P728" s="299"/>
      <c r="Q728" s="300"/>
      <c r="R728" s="297"/>
      <c r="S728" s="301"/>
      <c r="T728" s="302">
        <f>ROUNDDOWN(IFERROR(tabItens[[#This Row],[ATA DT.VALID.]] - $D$1,0) / 30,0)</f>
        <v>-1504</v>
      </c>
      <c r="U728" s="287" t="s">
        <v>1481</v>
      </c>
      <c r="V728" s="303">
        <v>1</v>
      </c>
      <c r="W728" s="304" t="s">
        <v>2058</v>
      </c>
      <c r="X728" s="305">
        <v>54</v>
      </c>
      <c r="Y728" s="306">
        <v>4</v>
      </c>
      <c r="Z728" s="307"/>
      <c r="AA728" s="308"/>
      <c r="AB728" s="309"/>
      <c r="AC728" s="309"/>
      <c r="AD728" s="308"/>
      <c r="AE728" s="309"/>
      <c r="AF728" s="302"/>
      <c r="AG728" s="310" t="s">
        <v>2050</v>
      </c>
      <c r="AH728" s="311"/>
      <c r="AI728" s="302">
        <v>0</v>
      </c>
      <c r="AJ728" s="311">
        <v>43819</v>
      </c>
      <c r="AK728" s="311">
        <v>43629</v>
      </c>
      <c r="AL728" s="311">
        <v>44138</v>
      </c>
      <c r="AM728" s="301"/>
      <c r="AN728" s="290"/>
      <c r="AO728" s="312" t="str">
        <f>_xlfn.IFNA(IF(VLOOKUP(tabItens[[#This Row],[CÓDIGO]],tabExcluirDoEstoque[#Data],1,FALSE),"sim",""),"")</f>
        <v/>
      </c>
      <c r="AP728" s="313" t="str">
        <f ca="1">IF(OR(ISBLANK(tabItens[[#This Row],[ATA DT.VALID.]]),tabItens[[#This Row],[ATA DT.VALID.]]="",tabItens[[#This Row],[ATA DT.VALID.]]=" "),"",IF(TYPE(tabItens[[#This Row],[ATA DT.VALID.]])=1,ROUNDUP((tabItens[[#This Row],[ATA DT.VALID.]]-TODAY())/7,0),""))</f>
        <v/>
      </c>
      <c r="AQ728" s="314"/>
      <c r="AR728" s="315">
        <f>IF(ISBLANK(tabItens[[#This Row],[CÓDIGO]]),"",IFERROR(VLOOKUP(tabItens[[#This Row],[CÓDIGO]],Consumo!$C$2:$AC$869,26,FALSE),0))</f>
        <v>0</v>
      </c>
      <c r="AS728" s="316">
        <f>SUMIF(Consumo!$C$3:$C$869,tabItens[[#This Row],[CÓDIGO]],Consumo!$N$3:$N$869) + SUMIF(Consumo!$C$3:$C$869,tabItens[[#This Row],[CÓDIGO]],Consumo!$O$3:$O$869) + SUMIF(Consumo!$C$3:$C$869,tabItens[[#This Row],[CÓDIGO]],Consumo!$P$3:$P$869) + SUMIF(Consumo!$C$3:$C$869,tabItens[[#This Row],[CÓDIGO]],Consumo!$Q$3:$Q$869)</f>
        <v>0</v>
      </c>
      <c r="AT728" s="316">
        <f>SUMIF(Consumo!$C$3:$C$869,tabItens[[#This Row],[CÓDIGO]],Consumo!$Z$3:$Z$869)</f>
        <v>0</v>
      </c>
      <c r="AU728" s="317">
        <f>SUMIF(Consumo!$C$3:$C$869,tabItens[[#This Row],[CÓDIGO]],Consumo!$AA$3:$AA$869)</f>
        <v>0</v>
      </c>
      <c r="AV728" s="318">
        <f>SUMIF(Consumo!$C$3:$C$869,tabItens[[#This Row],[CÓDIGO]],Consumo!$Y$3:$Y$869)</f>
        <v>0</v>
      </c>
      <c r="AW728" s="291">
        <f>tabItens[[#This Row],[QTDE ATUAL]] + tabItens[[#This Row],[RC QTDE]] + tabItens[[#This Row],[AF SALDO]] + tabItens[[#This Row],[Recentes]]</f>
        <v>77</v>
      </c>
      <c r="AX728" s="319">
        <v>0</v>
      </c>
      <c r="AY728" s="319">
        <v>4</v>
      </c>
      <c r="AZ728" s="319">
        <f>IF(ISBLANK(tabItens[[#This Row],[CÓDIGO]]),"",tabItens[[#This Row],[PontoMês]] * (AZ$2+tabItens[[#This Row],[PontoQtM]]))</f>
        <v>0</v>
      </c>
      <c r="BA728" s="318">
        <f>tabItens[[#This Row],[PontoPed]] - tabItens[[#This Row],[Saldo]] + (1/10)</f>
        <v>-76.900000000000006</v>
      </c>
      <c r="BB728" s="318">
        <f xml:space="preserve"> tabItens[[#This Row],[PontoMês]] * BB$2 - tabItens[[#This Row],[QTDE ATUAL]] - (1/10)</f>
        <v>-77.099999999999994</v>
      </c>
      <c r="BC728" s="320">
        <f>IF( tabItens[[#This Row],[PontoPed]]&gt;0, IF(tabItens[[#This Row],[PontoPed]]&lt;1, 1, IF( tabItens[[#This Row],[Saldo]]&gt;tabItens[[#This Row],[PontoPed]], 0, (tabItens[[#This Row],[PontoPed]]-tabItens[[#This Row],[Saldo]])/tabItens[[#This Row],[PontoPed]] ) ), 0 )</f>
        <v>0</v>
      </c>
      <c r="BD728" s="321">
        <f>ROUNDDOWN(IF( OR( AND(tabItens[[#This Row],[PontoPed]]&lt;tabItens[[#This Row],[Saldo]],tabItens[[#This Row],[Saldo]]&gt;0), tabItens[[#This Row],[PontoPed]]=0), 99, IF(AND(tabItens[[#This Row],[Saldo]]=0,tabItens[[#This Row],[PontoPed]]&gt;0), 0, (1-tabItens[[#This Row],[PctAb]])*10 ) ),0)</f>
        <v>99</v>
      </c>
      <c r="BE728" s="322">
        <f>MAX(ROUNDDOWN( IF(tabItens[[#This Row],[Abaixo]] &gt; 0,   tabItens[[#This Row],[Abaixo]] + (tabItens[[#This Row],[PontoMês]] * IF( OR( ISBLANK(tabItens[[#This Row],[ATA Nº/ANO]]), tabItens[[#This Row],[ATA Nº/ANO]] = ""),BE$2,BE$1)),0),0),0)</f>
        <v>0</v>
      </c>
      <c r="BF72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23">
        <f>SUMIF(Consumo!$C$3:$C$869,tabItens[[#This Row],[CÓDIGO]],Consumo!$E$3:$E$869)</f>
        <v>0</v>
      </c>
      <c r="BH728" s="324">
        <f>IF(AND(tabItens[[#This Row],[Pend]] &gt; 0,tabItens[[#This Row],[Consumo]] &lt;&gt; 0), tabItens[[#This Row],[Pend]] / tabItens[[#This Row],[Consumo]], 0 )</f>
        <v>0</v>
      </c>
      <c r="BI728" s="323"/>
      <c r="BJ728" s="323"/>
      <c r="BK728" s="325" t="s">
        <v>2064</v>
      </c>
    </row>
    <row r="729" spans="1:63" hidden="1" x14ac:dyDescent="0.3">
      <c r="A729" s="286">
        <v>137800</v>
      </c>
      <c r="B729" s="287" t="s">
        <v>1946</v>
      </c>
      <c r="C729" s="288" t="s">
        <v>301</v>
      </c>
      <c r="D729" s="289">
        <v>12.05</v>
      </c>
      <c r="E729" s="290"/>
      <c r="F729" s="290"/>
      <c r="G729" s="290" t="s">
        <v>883</v>
      </c>
      <c r="H729" s="291">
        <v>59</v>
      </c>
      <c r="I729" s="292">
        <v>103003</v>
      </c>
      <c r="J729" s="293">
        <v>12.05</v>
      </c>
      <c r="K729" s="294"/>
      <c r="L729" s="295">
        <f>IF(tabItens[[#This Row],[Média]] &gt; 0, tabItens[[#This Row],[QTDE ATUAL]] / tabItens[[#This Row],[Média]],999.9)</f>
        <v>999.9</v>
      </c>
      <c r="M729" s="296">
        <v>0</v>
      </c>
      <c r="N729" s="297">
        <f>tabItens[[#This Row],[VALOR UNIT.]] * tabItens[[#This Row],[LC]]</f>
        <v>0</v>
      </c>
      <c r="O729" s="298"/>
      <c r="P729" s="299"/>
      <c r="Q729" s="300"/>
      <c r="R729" s="297"/>
      <c r="S729" s="301"/>
      <c r="T729" s="302">
        <f>ROUNDDOWN(IFERROR(tabItens[[#This Row],[ATA DT.VALID.]] - $D$1,0) / 30,0)</f>
        <v>-1504</v>
      </c>
      <c r="U729" s="287" t="s">
        <v>1481</v>
      </c>
      <c r="V729" s="303">
        <v>1</v>
      </c>
      <c r="W729" s="304" t="s">
        <v>2058</v>
      </c>
      <c r="X729" s="305">
        <v>54</v>
      </c>
      <c r="Y729" s="306">
        <v>4</v>
      </c>
      <c r="Z729" s="307"/>
      <c r="AA729" s="308"/>
      <c r="AB729" s="309"/>
      <c r="AC729" s="309"/>
      <c r="AD729" s="308"/>
      <c r="AE729" s="309"/>
      <c r="AF729" s="302"/>
      <c r="AG729" s="310" t="s">
        <v>2050</v>
      </c>
      <c r="AH729" s="311"/>
      <c r="AI729" s="302">
        <v>0</v>
      </c>
      <c r="AJ729" s="311">
        <v>43819</v>
      </c>
      <c r="AK729" s="311">
        <v>43629</v>
      </c>
      <c r="AL729" s="311">
        <v>43780</v>
      </c>
      <c r="AM729" s="301"/>
      <c r="AN729" s="290"/>
      <c r="AO729" s="312" t="str">
        <f>_xlfn.IFNA(IF(VLOOKUP(tabItens[[#This Row],[CÓDIGO]],tabExcluirDoEstoque[#Data],1,FALSE),"sim",""),"")</f>
        <v/>
      </c>
      <c r="AP729" s="313" t="str">
        <f ca="1">IF(OR(ISBLANK(tabItens[[#This Row],[ATA DT.VALID.]]),tabItens[[#This Row],[ATA DT.VALID.]]="",tabItens[[#This Row],[ATA DT.VALID.]]=" "),"",IF(TYPE(tabItens[[#This Row],[ATA DT.VALID.]])=1,ROUNDUP((tabItens[[#This Row],[ATA DT.VALID.]]-TODAY())/7,0),""))</f>
        <v/>
      </c>
      <c r="AQ729" s="314"/>
      <c r="AR729" s="315">
        <f>IF(ISBLANK(tabItens[[#This Row],[CÓDIGO]]),"",IFERROR(VLOOKUP(tabItens[[#This Row],[CÓDIGO]],Consumo!$C$2:$AC$869,26,FALSE),0))</f>
        <v>0</v>
      </c>
      <c r="AS729" s="316">
        <f>SUMIF(Consumo!$C$3:$C$869,tabItens[[#This Row],[CÓDIGO]],Consumo!$N$3:$N$869) + SUMIF(Consumo!$C$3:$C$869,tabItens[[#This Row],[CÓDIGO]],Consumo!$O$3:$O$869) + SUMIF(Consumo!$C$3:$C$869,tabItens[[#This Row],[CÓDIGO]],Consumo!$P$3:$P$869) + SUMIF(Consumo!$C$3:$C$869,tabItens[[#This Row],[CÓDIGO]],Consumo!$Q$3:$Q$869)</f>
        <v>0</v>
      </c>
      <c r="AT729" s="316">
        <f>SUMIF(Consumo!$C$3:$C$869,tabItens[[#This Row],[CÓDIGO]],Consumo!$Z$3:$Z$869)</f>
        <v>0</v>
      </c>
      <c r="AU729" s="317">
        <f>SUMIF(Consumo!$C$3:$C$869,tabItens[[#This Row],[CÓDIGO]],Consumo!$AA$3:$AA$869)</f>
        <v>0</v>
      </c>
      <c r="AV729" s="318">
        <f>SUMIF(Consumo!$C$3:$C$869,tabItens[[#This Row],[CÓDIGO]],Consumo!$Y$3:$Y$869)</f>
        <v>0</v>
      </c>
      <c r="AW729" s="291">
        <f>tabItens[[#This Row],[QTDE ATUAL]] + tabItens[[#This Row],[RC QTDE]] + tabItens[[#This Row],[AF SALDO]] + tabItens[[#This Row],[Recentes]]</f>
        <v>59</v>
      </c>
      <c r="AX729" s="319">
        <v>0</v>
      </c>
      <c r="AY729" s="319">
        <v>4</v>
      </c>
      <c r="AZ729" s="319">
        <f>IF(ISBLANK(tabItens[[#This Row],[CÓDIGO]]),"",tabItens[[#This Row],[PontoMês]] * (AZ$2+tabItens[[#This Row],[PontoQtM]]))</f>
        <v>0</v>
      </c>
      <c r="BA729" s="318">
        <f>tabItens[[#This Row],[PontoPed]] - tabItens[[#This Row],[Saldo]] + (1/10)</f>
        <v>-58.9</v>
      </c>
      <c r="BB729" s="318">
        <f xml:space="preserve"> tabItens[[#This Row],[PontoMês]] * BB$2 - tabItens[[#This Row],[QTDE ATUAL]] - (1/10)</f>
        <v>-59.1</v>
      </c>
      <c r="BC729" s="320">
        <f>IF( tabItens[[#This Row],[PontoPed]]&gt;0, IF(tabItens[[#This Row],[PontoPed]]&lt;1, 1, IF( tabItens[[#This Row],[Saldo]]&gt;tabItens[[#This Row],[PontoPed]], 0, (tabItens[[#This Row],[PontoPed]]-tabItens[[#This Row],[Saldo]])/tabItens[[#This Row],[PontoPed]] ) ), 0 )</f>
        <v>0</v>
      </c>
      <c r="BD729" s="321">
        <f>ROUNDDOWN(IF( OR( AND(tabItens[[#This Row],[PontoPed]]&lt;tabItens[[#This Row],[Saldo]],tabItens[[#This Row],[Saldo]]&gt;0), tabItens[[#This Row],[PontoPed]]=0), 99, IF(AND(tabItens[[#This Row],[Saldo]]=0,tabItens[[#This Row],[PontoPed]]&gt;0), 0, (1-tabItens[[#This Row],[PctAb]])*10 ) ),0)</f>
        <v>99</v>
      </c>
      <c r="BE729" s="322">
        <f>MAX(ROUNDDOWN( IF(tabItens[[#This Row],[Abaixo]] &gt; 0,   tabItens[[#This Row],[Abaixo]] + (tabItens[[#This Row],[PontoMês]] * IF( OR( ISBLANK(tabItens[[#This Row],[ATA Nº/ANO]]), tabItens[[#This Row],[ATA Nº/ANO]] = ""),BE$2,BE$1)),0),0),0)</f>
        <v>0</v>
      </c>
      <c r="BF72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23">
        <f>SUMIF(Consumo!$C$3:$C$869,tabItens[[#This Row],[CÓDIGO]],Consumo!$E$3:$E$869)</f>
        <v>0</v>
      </c>
      <c r="BH729" s="324">
        <f>IF(AND(tabItens[[#This Row],[Pend]] &gt; 0,tabItens[[#This Row],[Consumo]] &lt;&gt; 0), tabItens[[#This Row],[Pend]] / tabItens[[#This Row],[Consumo]], 0 )</f>
        <v>0</v>
      </c>
      <c r="BI729" s="323"/>
      <c r="BJ729" s="323"/>
      <c r="BK729" s="325" t="s">
        <v>2064</v>
      </c>
    </row>
    <row r="730" spans="1:63" hidden="1" x14ac:dyDescent="0.3">
      <c r="A730" s="286">
        <v>143099</v>
      </c>
      <c r="B730" s="287" t="s">
        <v>2032</v>
      </c>
      <c r="C730" s="288" t="s">
        <v>413</v>
      </c>
      <c r="D730" s="289">
        <v>37.5</v>
      </c>
      <c r="E730" s="290"/>
      <c r="F730" s="290"/>
      <c r="G730" s="290" t="s">
        <v>883</v>
      </c>
      <c r="H730" s="291">
        <v>1776</v>
      </c>
      <c r="I730" s="292">
        <v>103003</v>
      </c>
      <c r="J730" s="293">
        <v>37.5</v>
      </c>
      <c r="K730" s="294">
        <v>699</v>
      </c>
      <c r="L730" s="295">
        <f>IF(tabItens[[#This Row],[Média]] &gt; 0, tabItens[[#This Row],[QTDE ATUAL]] / tabItens[[#This Row],[Média]],999.9)</f>
        <v>20.048918156161808</v>
      </c>
      <c r="M730" s="296">
        <v>0</v>
      </c>
      <c r="N730" s="297">
        <f>tabItens[[#This Row],[VALOR UNIT.]] * tabItens[[#This Row],[LC]]</f>
        <v>0</v>
      </c>
      <c r="O730" s="298"/>
      <c r="P730" s="299"/>
      <c r="Q730" s="300"/>
      <c r="R730" s="297"/>
      <c r="S730" s="301"/>
      <c r="T730" s="302">
        <f>ROUNDDOWN(IFERROR(tabItens[[#This Row],[ATA DT.VALID.]] - $D$1,0) / 30,0)</f>
        <v>-1504</v>
      </c>
      <c r="U730" s="287" t="s">
        <v>1481</v>
      </c>
      <c r="V730" s="303">
        <v>1</v>
      </c>
      <c r="W730" s="304" t="s">
        <v>2058</v>
      </c>
      <c r="X730" s="305">
        <v>54</v>
      </c>
      <c r="Y730" s="306">
        <v>4</v>
      </c>
      <c r="Z730" s="307"/>
      <c r="AA730" s="308"/>
      <c r="AB730" s="309"/>
      <c r="AC730" s="309"/>
      <c r="AD730" s="308"/>
      <c r="AE730" s="309"/>
      <c r="AF730" s="302"/>
      <c r="AG730" s="310" t="s">
        <v>2050</v>
      </c>
      <c r="AH730" s="311"/>
      <c r="AI730" s="302">
        <v>354</v>
      </c>
      <c r="AJ730" s="311">
        <v>44540</v>
      </c>
      <c r="AK730" s="311">
        <v>44438</v>
      </c>
      <c r="AL730" s="311">
        <v>44519</v>
      </c>
      <c r="AM730" s="301"/>
      <c r="AN730" s="290"/>
      <c r="AO730" s="312" t="str">
        <f>_xlfn.IFNA(IF(VLOOKUP(tabItens[[#This Row],[CÓDIGO]],tabExcluirDoEstoque[#Data],1,FALSE),"sim",""),"")</f>
        <v/>
      </c>
      <c r="AP730" s="313" t="str">
        <f ca="1">IF(OR(ISBLANK(tabItens[[#This Row],[ATA DT.VALID.]]),tabItens[[#This Row],[ATA DT.VALID.]]="",tabItens[[#This Row],[ATA DT.VALID.]]=" "),"",IF(TYPE(tabItens[[#This Row],[ATA DT.VALID.]])=1,ROUNDUP((tabItens[[#This Row],[ATA DT.VALID.]]-TODAY())/7,0),""))</f>
        <v/>
      </c>
      <c r="AQ730" s="314"/>
      <c r="AR730" s="315" t="str">
        <f>IF(ISBLANK(tabItens[[#This Row],[CÓDIGO]]),"",IFERROR(VLOOKUP(tabItens[[#This Row],[CÓDIGO]],Consumo!$C$2:$AC$869,26,FALSE),0))</f>
        <v>07.2023</v>
      </c>
      <c r="AS730" s="316">
        <f>SUMIF(Consumo!$C$3:$C$869,tabItens[[#This Row],[CÓDIGO]],Consumo!$N$3:$N$869) + SUMIF(Consumo!$C$3:$C$869,tabItens[[#This Row],[CÓDIGO]],Consumo!$O$3:$O$869) + SUMIF(Consumo!$C$3:$C$869,tabItens[[#This Row],[CÓDIGO]],Consumo!$P$3:$P$869) + SUMIF(Consumo!$C$3:$C$869,tabItens[[#This Row],[CÓDIGO]],Consumo!$Q$3:$Q$869)</f>
        <v>311</v>
      </c>
      <c r="AT730" s="316">
        <f>SUMIF(Consumo!$C$3:$C$869,tabItens[[#This Row],[CÓDIGO]],Consumo!$Z$3:$Z$869)</f>
        <v>1063</v>
      </c>
      <c r="AU730" s="317">
        <f>SUMIF(Consumo!$C$3:$C$869,tabItens[[#This Row],[CÓDIGO]],Consumo!$AA$3:$AA$869)</f>
        <v>137</v>
      </c>
      <c r="AV730" s="318">
        <f>SUMIF(Consumo!$C$3:$C$869,tabItens[[#This Row],[CÓDIGO]],Consumo!$Y$3:$Y$869)</f>
        <v>88.583333333333329</v>
      </c>
      <c r="AW730" s="291">
        <f>tabItens[[#This Row],[QTDE ATUAL]] + tabItens[[#This Row],[RC QTDE]] + tabItens[[#This Row],[AF SALDO]] + tabItens[[#This Row],[Recentes]]</f>
        <v>1776</v>
      </c>
      <c r="AX730" s="319">
        <v>0</v>
      </c>
      <c r="AY730" s="319">
        <v>0</v>
      </c>
      <c r="AZ730" s="319">
        <f>IF(ISBLANK(tabItens[[#This Row],[CÓDIGO]]),"",tabItens[[#This Row],[PontoMês]] * (AZ$2+tabItens[[#This Row],[PontoQtM]]))</f>
        <v>0</v>
      </c>
      <c r="BA730" s="318">
        <f>tabItens[[#This Row],[PontoPed]] - tabItens[[#This Row],[Saldo]] + (1/10)</f>
        <v>-1775.9</v>
      </c>
      <c r="BB730" s="318">
        <f xml:space="preserve"> tabItens[[#This Row],[PontoMês]] * BB$2 - tabItens[[#This Row],[QTDE ATUAL]] - (1/10)</f>
        <v>-1776.1</v>
      </c>
      <c r="BC730" s="320">
        <f>IF( tabItens[[#This Row],[PontoPed]]&gt;0, IF(tabItens[[#This Row],[PontoPed]]&lt;1, 1, IF( tabItens[[#This Row],[Saldo]]&gt;tabItens[[#This Row],[PontoPed]], 0, (tabItens[[#This Row],[PontoPed]]-tabItens[[#This Row],[Saldo]])/tabItens[[#This Row],[PontoPed]] ) ), 0 )</f>
        <v>0</v>
      </c>
      <c r="BD730" s="321">
        <f>ROUNDDOWN(IF( OR( AND(tabItens[[#This Row],[PontoPed]]&lt;tabItens[[#This Row],[Saldo]],tabItens[[#This Row],[Saldo]]&gt;0), tabItens[[#This Row],[PontoPed]]=0), 99, IF(AND(tabItens[[#This Row],[Saldo]]=0,tabItens[[#This Row],[PontoPed]]&gt;0), 0, (1-tabItens[[#This Row],[PctAb]])*10 ) ),0)</f>
        <v>99</v>
      </c>
      <c r="BE730" s="322">
        <f>MAX(ROUNDDOWN( IF(tabItens[[#This Row],[Abaixo]] &gt; 0,   tabItens[[#This Row],[Abaixo]] + (tabItens[[#This Row],[PontoMês]] * IF( OR( ISBLANK(tabItens[[#This Row],[ATA Nº/ANO]]), tabItens[[#This Row],[ATA Nº/ANO]] = ""),BE$2,BE$1)),0),0),0)</f>
        <v>0</v>
      </c>
      <c r="BF73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23">
        <f>SUMIF(Consumo!$C$3:$C$869,tabItens[[#This Row],[CÓDIGO]],Consumo!$E$3:$E$869)</f>
        <v>0</v>
      </c>
      <c r="BH730" s="324">
        <f>IF(AND(tabItens[[#This Row],[Pend]] &gt; 0,tabItens[[#This Row],[Consumo]] &lt;&gt; 0), tabItens[[#This Row],[Pend]] / tabItens[[#This Row],[Consumo]], 0 )</f>
        <v>0</v>
      </c>
      <c r="BI730" s="323"/>
      <c r="BJ730" s="323"/>
      <c r="BK730" s="325" t="s">
        <v>2064</v>
      </c>
    </row>
    <row r="731" spans="1:63" hidden="1" x14ac:dyDescent="0.3">
      <c r="A731" s="286">
        <v>105113</v>
      </c>
      <c r="B731" s="287" t="s">
        <v>1605</v>
      </c>
      <c r="C731" s="288" t="s">
        <v>256</v>
      </c>
      <c r="D731" s="289">
        <v>33.869999999999997</v>
      </c>
      <c r="E731" s="290"/>
      <c r="F731" s="290"/>
      <c r="G731" s="290" t="s">
        <v>883</v>
      </c>
      <c r="H731" s="291">
        <v>5</v>
      </c>
      <c r="I731" s="292">
        <v>103003</v>
      </c>
      <c r="J731" s="293">
        <v>33.869999999999997</v>
      </c>
      <c r="K731" s="294"/>
      <c r="L731" s="295">
        <f>IF(tabItens[[#This Row],[Média]] &gt; 0, tabItens[[#This Row],[QTDE ATUAL]] / tabItens[[#This Row],[Média]],999.9)</f>
        <v>999.9</v>
      </c>
      <c r="M731" s="296">
        <v>0</v>
      </c>
      <c r="N731" s="297">
        <f>tabItens[[#This Row],[VALOR UNIT.]] * tabItens[[#This Row],[LC]]</f>
        <v>0</v>
      </c>
      <c r="O731" s="298"/>
      <c r="P731" s="299"/>
      <c r="Q731" s="300"/>
      <c r="R731" s="297"/>
      <c r="S731" s="301"/>
      <c r="T731" s="302">
        <f>ROUNDDOWN(IFERROR(tabItens[[#This Row],[ATA DT.VALID.]] - $D$1,0) / 30,0)</f>
        <v>-1504</v>
      </c>
      <c r="U731" s="287" t="s">
        <v>1550</v>
      </c>
      <c r="V731" s="303">
        <v>1</v>
      </c>
      <c r="W731" s="304" t="s">
        <v>2058</v>
      </c>
      <c r="X731" s="305">
        <v>54</v>
      </c>
      <c r="Y731" s="306">
        <v>19</v>
      </c>
      <c r="Z731" s="307"/>
      <c r="AA731" s="308"/>
      <c r="AB731" s="309"/>
      <c r="AC731" s="309"/>
      <c r="AD731" s="308"/>
      <c r="AE731" s="309"/>
      <c r="AF731" s="302"/>
      <c r="AG731" s="310" t="s">
        <v>2050</v>
      </c>
      <c r="AH731" s="311"/>
      <c r="AI731" s="302">
        <v>0</v>
      </c>
      <c r="AJ731" s="311">
        <v>42772</v>
      </c>
      <c r="AK731" s="311">
        <v>39499</v>
      </c>
      <c r="AL731" s="311">
        <v>42706</v>
      </c>
      <c r="AM731" s="301"/>
      <c r="AN731" s="290"/>
      <c r="AO731" s="312" t="str">
        <f>_xlfn.IFNA(IF(VLOOKUP(tabItens[[#This Row],[CÓDIGO]],tabExcluirDoEstoque[#Data],1,FALSE),"sim",""),"")</f>
        <v/>
      </c>
      <c r="AP731" s="313" t="str">
        <f ca="1">IF(OR(ISBLANK(tabItens[[#This Row],[ATA DT.VALID.]]),tabItens[[#This Row],[ATA DT.VALID.]]="",tabItens[[#This Row],[ATA DT.VALID.]]=" "),"",IF(TYPE(tabItens[[#This Row],[ATA DT.VALID.]])=1,ROUNDUP((tabItens[[#This Row],[ATA DT.VALID.]]-TODAY())/7,0),""))</f>
        <v/>
      </c>
      <c r="AQ731" s="314"/>
      <c r="AR731" s="315">
        <f>IF(ISBLANK(tabItens[[#This Row],[CÓDIGO]]),"",IFERROR(VLOOKUP(tabItens[[#This Row],[CÓDIGO]],Consumo!$C$2:$AC$869,26,FALSE),0))</f>
        <v>0</v>
      </c>
      <c r="AS731" s="316">
        <f>SUMIF(Consumo!$C$3:$C$869,tabItens[[#This Row],[CÓDIGO]],Consumo!$N$3:$N$869) + SUMIF(Consumo!$C$3:$C$869,tabItens[[#This Row],[CÓDIGO]],Consumo!$O$3:$O$869) + SUMIF(Consumo!$C$3:$C$869,tabItens[[#This Row],[CÓDIGO]],Consumo!$P$3:$P$869) + SUMIF(Consumo!$C$3:$C$869,tabItens[[#This Row],[CÓDIGO]],Consumo!$Q$3:$Q$869)</f>
        <v>0</v>
      </c>
      <c r="AT731" s="316">
        <f>SUMIF(Consumo!$C$3:$C$869,tabItens[[#This Row],[CÓDIGO]],Consumo!$Z$3:$Z$869)</f>
        <v>0</v>
      </c>
      <c r="AU731" s="317">
        <f>SUMIF(Consumo!$C$3:$C$869,tabItens[[#This Row],[CÓDIGO]],Consumo!$AA$3:$AA$869)</f>
        <v>0</v>
      </c>
      <c r="AV731" s="318">
        <f>SUMIF(Consumo!$C$3:$C$869,tabItens[[#This Row],[CÓDIGO]],Consumo!$Y$3:$Y$869)</f>
        <v>0</v>
      </c>
      <c r="AW731" s="291">
        <f>tabItens[[#This Row],[QTDE ATUAL]] + tabItens[[#This Row],[RC QTDE]] + tabItens[[#This Row],[AF SALDO]] + tabItens[[#This Row],[Recentes]]</f>
        <v>5</v>
      </c>
      <c r="AX731" s="319">
        <v>0</v>
      </c>
      <c r="AY731" s="319">
        <v>4</v>
      </c>
      <c r="AZ731" s="319">
        <f>IF(ISBLANK(tabItens[[#This Row],[CÓDIGO]]),"",tabItens[[#This Row],[PontoMês]] * (AZ$2+tabItens[[#This Row],[PontoQtM]]))</f>
        <v>0</v>
      </c>
      <c r="BA731" s="318">
        <f>tabItens[[#This Row],[PontoPed]] - tabItens[[#This Row],[Saldo]] + (1/10)</f>
        <v>-4.9000000000000004</v>
      </c>
      <c r="BB731" s="318">
        <f xml:space="preserve"> tabItens[[#This Row],[PontoMês]] * BB$2 - tabItens[[#This Row],[QTDE ATUAL]] - (1/10)</f>
        <v>-5.0999999999999996</v>
      </c>
      <c r="BC731" s="320">
        <f>IF( tabItens[[#This Row],[PontoPed]]&gt;0, IF(tabItens[[#This Row],[PontoPed]]&lt;1, 1, IF( tabItens[[#This Row],[Saldo]]&gt;tabItens[[#This Row],[PontoPed]], 0, (tabItens[[#This Row],[PontoPed]]-tabItens[[#This Row],[Saldo]])/tabItens[[#This Row],[PontoPed]] ) ), 0 )</f>
        <v>0</v>
      </c>
      <c r="BD731" s="321">
        <f>ROUNDDOWN(IF( OR( AND(tabItens[[#This Row],[PontoPed]]&lt;tabItens[[#This Row],[Saldo]],tabItens[[#This Row],[Saldo]]&gt;0), tabItens[[#This Row],[PontoPed]]=0), 99, IF(AND(tabItens[[#This Row],[Saldo]]=0,tabItens[[#This Row],[PontoPed]]&gt;0), 0, (1-tabItens[[#This Row],[PctAb]])*10 ) ),0)</f>
        <v>99</v>
      </c>
      <c r="BE731" s="322">
        <f>MAX(ROUNDDOWN( IF(tabItens[[#This Row],[Abaixo]] &gt; 0,   tabItens[[#This Row],[Abaixo]] + (tabItens[[#This Row],[PontoMês]] * IF( OR( ISBLANK(tabItens[[#This Row],[ATA Nº/ANO]]), tabItens[[#This Row],[ATA Nº/ANO]] = ""),BE$2,BE$1)),0),0),0)</f>
        <v>0</v>
      </c>
      <c r="BF73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23">
        <f>SUMIF(Consumo!$C$3:$C$869,tabItens[[#This Row],[CÓDIGO]],Consumo!$E$3:$E$869)</f>
        <v>0</v>
      </c>
      <c r="BH731" s="324">
        <f>IF(AND(tabItens[[#This Row],[Pend]] &gt; 0,tabItens[[#This Row],[Consumo]] &lt;&gt; 0), tabItens[[#This Row],[Pend]] / tabItens[[#This Row],[Consumo]], 0 )</f>
        <v>0</v>
      </c>
      <c r="BI731" s="323"/>
      <c r="BJ731" s="323"/>
      <c r="BK731" s="325" t="s">
        <v>2064</v>
      </c>
    </row>
    <row r="732" spans="1:63" x14ac:dyDescent="0.3">
      <c r="A732" s="396">
        <v>142982</v>
      </c>
      <c r="B732" s="397" t="s">
        <v>2030</v>
      </c>
      <c r="C732" s="398" t="s">
        <v>256</v>
      </c>
      <c r="D732" s="399">
        <v>233</v>
      </c>
      <c r="E732" s="290"/>
      <c r="F732" s="400"/>
      <c r="G732" s="400" t="s">
        <v>883</v>
      </c>
      <c r="H732" s="401">
        <v>0</v>
      </c>
      <c r="I732" s="292">
        <v>103003</v>
      </c>
      <c r="J732" s="293">
        <v>233</v>
      </c>
      <c r="K732" s="402">
        <v>63</v>
      </c>
      <c r="L732" s="403">
        <f>IF(tabItens[[#This Row],[Média]] &gt; 0, tabItens[[#This Row],[QTDE ATUAL]] / tabItens[[#This Row],[Média]],999.9)</f>
        <v>0</v>
      </c>
      <c r="M732" s="404">
        <v>0</v>
      </c>
      <c r="N732" s="405">
        <f>tabItens[[#This Row],[VALOR UNIT.]] * tabItens[[#This Row],[LC]]</f>
        <v>0</v>
      </c>
      <c r="O732" s="406"/>
      <c r="P732" s="407"/>
      <c r="Q732" s="408"/>
      <c r="R732" s="297"/>
      <c r="S732" s="409"/>
      <c r="T732" s="410">
        <f>ROUNDDOWN(IFERROR(tabItens[[#This Row],[ATA DT.VALID.]] - $D$1,0) / 30,0)</f>
        <v>-1504</v>
      </c>
      <c r="U732" s="287" t="s">
        <v>2031</v>
      </c>
      <c r="V732" s="303">
        <v>1</v>
      </c>
      <c r="W732" s="411"/>
      <c r="X732" s="412">
        <v>55</v>
      </c>
      <c r="Y732" s="413">
        <v>6</v>
      </c>
      <c r="Z732" s="414">
        <v>2956</v>
      </c>
      <c r="AA732" s="415">
        <v>2023</v>
      </c>
      <c r="AB732" s="416">
        <v>100</v>
      </c>
      <c r="AC732" s="416"/>
      <c r="AD732" s="415"/>
      <c r="AE732" s="416"/>
      <c r="AF732" s="302"/>
      <c r="AG732" s="417" t="s">
        <v>2050</v>
      </c>
      <c r="AH732" s="418"/>
      <c r="AI732" s="302">
        <v>26</v>
      </c>
      <c r="AJ732" s="418">
        <v>44909</v>
      </c>
      <c r="AK732" s="311">
        <v>44428</v>
      </c>
      <c r="AL732" s="311">
        <v>44845</v>
      </c>
      <c r="AM732" s="301"/>
      <c r="AN732" s="290"/>
      <c r="AO732" s="312" t="str">
        <f>_xlfn.IFNA(IF(VLOOKUP(tabItens[[#This Row],[CÓDIGO]],tabExcluirDoEstoque[#Data],1,FALSE),"sim",""),"")</f>
        <v/>
      </c>
      <c r="AP732" s="419" t="str">
        <f ca="1">IF(OR(ISBLANK(tabItens[[#This Row],[ATA DT.VALID.]]),tabItens[[#This Row],[ATA DT.VALID.]]="",tabItens[[#This Row],[ATA DT.VALID.]]=" "),"",IF(TYPE(tabItens[[#This Row],[ATA DT.VALID.]])=1,ROUNDUP((tabItens[[#This Row],[ATA DT.VALID.]]-TODAY())/7,0),""))</f>
        <v/>
      </c>
      <c r="AQ732" s="314"/>
      <c r="AR732" s="315" t="str">
        <f>IF(ISBLANK(tabItens[[#This Row],[CÓDIGO]]),"",IFERROR(VLOOKUP(tabItens[[#This Row],[CÓDIGO]],Consumo!$C$2:$AC$869,26,FALSE),0))</f>
        <v>07.2023</v>
      </c>
      <c r="AS732" s="316">
        <f>SUMIF(Consumo!$C$3:$C$869,tabItens[[#This Row],[CÓDIGO]],Consumo!$N$3:$N$869) + SUMIF(Consumo!$C$3:$C$869,tabItens[[#This Row],[CÓDIGO]],Consumo!$O$3:$O$869) + SUMIF(Consumo!$C$3:$C$869,tabItens[[#This Row],[CÓDIGO]],Consumo!$P$3:$P$869) + SUMIF(Consumo!$C$3:$C$869,tabItens[[#This Row],[CÓDIGO]],Consumo!$Q$3:$Q$869)</f>
        <v>9</v>
      </c>
      <c r="AT732" s="316">
        <f>SUMIF(Consumo!$C$3:$C$869,tabItens[[#This Row],[CÓDIGO]],Consumo!$Z$3:$Z$869)</f>
        <v>95</v>
      </c>
      <c r="AU732" s="317">
        <f>SUMIF(Consumo!$C$3:$C$869,tabItens[[#This Row],[CÓDIGO]],Consumo!$AA$3:$AA$869)</f>
        <v>16</v>
      </c>
      <c r="AV732" s="318">
        <f>SUMIF(Consumo!$C$3:$C$869,tabItens[[#This Row],[CÓDIGO]],Consumo!$Y$3:$Y$869)</f>
        <v>7.916666666666667</v>
      </c>
      <c r="AW732" s="401">
        <f>tabItens[[#This Row],[QTDE ATUAL]] + tabItens[[#This Row],[RC QTDE]] + tabItens[[#This Row],[AF SALDO]] + tabItens[[#This Row],[Recentes]]</f>
        <v>100</v>
      </c>
      <c r="AX732" s="420">
        <v>0</v>
      </c>
      <c r="AY732" s="420">
        <v>0</v>
      </c>
      <c r="AZ732" s="420">
        <f>IF(ISBLANK(tabItens[[#This Row],[CÓDIGO]]),"",tabItens[[#This Row],[PontoMês]] * (AZ$2+tabItens[[#This Row],[PontoQtM]]))</f>
        <v>0</v>
      </c>
      <c r="BA732" s="421">
        <f>tabItens[[#This Row],[PontoPed]] - tabItens[[#This Row],[Saldo]] + (1/10)</f>
        <v>-99.9</v>
      </c>
      <c r="BB732" s="421">
        <f xml:space="preserve"> tabItens[[#This Row],[PontoMês]] * BB$2 - tabItens[[#This Row],[QTDE ATUAL]] - (1/10)</f>
        <v>-0.1</v>
      </c>
      <c r="BC732" s="320">
        <f>IF( tabItens[[#This Row],[PontoPed]]&gt;0, IF(tabItens[[#This Row],[PontoPed]]&lt;1, 1, IF( tabItens[[#This Row],[Saldo]]&gt;tabItens[[#This Row],[PontoPed]], 0, (tabItens[[#This Row],[PontoPed]]-tabItens[[#This Row],[Saldo]])/tabItens[[#This Row],[PontoPed]] ) ), 0 )</f>
        <v>0</v>
      </c>
      <c r="BD732" s="422">
        <f>ROUNDDOWN(IF( OR( AND(tabItens[[#This Row],[PontoPed]]&lt;tabItens[[#This Row],[Saldo]],tabItens[[#This Row],[Saldo]]&gt;0), tabItens[[#This Row],[PontoPed]]=0), 99, IF(AND(tabItens[[#This Row],[Saldo]]=0,tabItens[[#This Row],[PontoPed]]&gt;0), 0, (1-tabItens[[#This Row],[PctAb]])*10 ) ),0)</f>
        <v>99</v>
      </c>
      <c r="BE732" s="423">
        <f>MAX(ROUNDDOWN( IF(tabItens[[#This Row],[Abaixo]] &gt; 0,   tabItens[[#This Row],[Abaixo]] + (tabItens[[#This Row],[PontoMês]] * IF( OR( ISBLANK(tabItens[[#This Row],[ATA Nº/ANO]]), tabItens[[#This Row],[ATA Nº/ANO]] = ""),BE$2,BE$1)),0),0),0)</f>
        <v>0</v>
      </c>
      <c r="BF732"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23">
        <f>SUMIF(Consumo!$C$3:$C$869,tabItens[[#This Row],[CÓDIGO]],Consumo!$E$3:$E$869)</f>
        <v>16</v>
      </c>
      <c r="BH732" s="324">
        <f>IF(AND(tabItens[[#This Row],[Pend]] &gt; 0,tabItens[[#This Row],[Consumo]] &lt;&gt; 0), tabItens[[#This Row],[Pend]] / tabItens[[#This Row],[Consumo]], 0 )</f>
        <v>0.16842105263157894</v>
      </c>
      <c r="BI732" s="323"/>
      <c r="BJ732" s="424"/>
      <c r="BK732" s="425" t="s">
        <v>2064</v>
      </c>
    </row>
    <row r="733" spans="1:63" hidden="1" x14ac:dyDescent="0.3">
      <c r="A733" s="286">
        <v>45637</v>
      </c>
      <c r="B733" s="287" t="s">
        <v>1284</v>
      </c>
      <c r="C733" s="288" t="s">
        <v>256</v>
      </c>
      <c r="D733" s="289">
        <v>25.64</v>
      </c>
      <c r="E733" s="290"/>
      <c r="F733" s="290"/>
      <c r="G733" s="290" t="s">
        <v>883</v>
      </c>
      <c r="H733" s="291">
        <v>787</v>
      </c>
      <c r="I733" s="292">
        <v>103003</v>
      </c>
      <c r="J733" s="293">
        <v>11.99437</v>
      </c>
      <c r="K733" s="294"/>
      <c r="L733" s="295">
        <f>IF(tabItens[[#This Row],[Média]] &gt; 0, tabItens[[#This Row],[QTDE ATUAL]] / tabItens[[#This Row],[Média]],999.9)</f>
        <v>999.9</v>
      </c>
      <c r="M733" s="296">
        <v>0</v>
      </c>
      <c r="N733" s="297">
        <f>tabItens[[#This Row],[VALOR UNIT.]] * tabItens[[#This Row],[LC]]</f>
        <v>0</v>
      </c>
      <c r="O733" s="298"/>
      <c r="P733" s="299"/>
      <c r="Q733" s="300"/>
      <c r="R733" s="297"/>
      <c r="S733" s="301"/>
      <c r="T733" s="302">
        <f>ROUNDDOWN(IFERROR(tabItens[[#This Row],[ATA DT.VALID.]] - $D$1,0) / 30,0)</f>
        <v>-1504</v>
      </c>
      <c r="U733" s="287" t="s">
        <v>1285</v>
      </c>
      <c r="V733" s="303">
        <v>1</v>
      </c>
      <c r="W733" s="304" t="s">
        <v>2055</v>
      </c>
      <c r="X733" s="305">
        <v>55</v>
      </c>
      <c r="Y733" s="306">
        <v>9</v>
      </c>
      <c r="Z733" s="307"/>
      <c r="AA733" s="308"/>
      <c r="AB733" s="309"/>
      <c r="AC733" s="309"/>
      <c r="AD733" s="308"/>
      <c r="AE733" s="309"/>
      <c r="AF733" s="302"/>
      <c r="AG733" s="310" t="s">
        <v>2050</v>
      </c>
      <c r="AH733" s="311"/>
      <c r="AI733" s="302">
        <v>0</v>
      </c>
      <c r="AJ733" s="311">
        <v>39846</v>
      </c>
      <c r="AK733" s="311" t="s">
        <v>883</v>
      </c>
      <c r="AL733" s="311">
        <v>39798</v>
      </c>
      <c r="AM733" s="301"/>
      <c r="AN733" s="290"/>
      <c r="AO733" s="312" t="str">
        <f>_xlfn.IFNA(IF(VLOOKUP(tabItens[[#This Row],[CÓDIGO]],tabExcluirDoEstoque[#Data],1,FALSE),"sim",""),"")</f>
        <v/>
      </c>
      <c r="AP733" s="313" t="str">
        <f ca="1">IF(OR(ISBLANK(tabItens[[#This Row],[ATA DT.VALID.]]),tabItens[[#This Row],[ATA DT.VALID.]]="",tabItens[[#This Row],[ATA DT.VALID.]]=" "),"",IF(TYPE(tabItens[[#This Row],[ATA DT.VALID.]])=1,ROUNDUP((tabItens[[#This Row],[ATA DT.VALID.]]-TODAY())/7,0),""))</f>
        <v/>
      </c>
      <c r="AQ733" s="314"/>
      <c r="AR733" s="315">
        <f>IF(ISBLANK(tabItens[[#This Row],[CÓDIGO]]),"",IFERROR(VLOOKUP(tabItens[[#This Row],[CÓDIGO]],Consumo!$C$2:$AC$869,26,FALSE),0))</f>
        <v>0</v>
      </c>
      <c r="AS733" s="316">
        <f>SUMIF(Consumo!$C$3:$C$869,tabItens[[#This Row],[CÓDIGO]],Consumo!$N$3:$N$869) + SUMIF(Consumo!$C$3:$C$869,tabItens[[#This Row],[CÓDIGO]],Consumo!$O$3:$O$869) + SUMIF(Consumo!$C$3:$C$869,tabItens[[#This Row],[CÓDIGO]],Consumo!$P$3:$P$869) + SUMIF(Consumo!$C$3:$C$869,tabItens[[#This Row],[CÓDIGO]],Consumo!$Q$3:$Q$869)</f>
        <v>0</v>
      </c>
      <c r="AT733" s="316">
        <f>SUMIF(Consumo!$C$3:$C$869,tabItens[[#This Row],[CÓDIGO]],Consumo!$Z$3:$Z$869)</f>
        <v>0</v>
      </c>
      <c r="AU733" s="317">
        <f>SUMIF(Consumo!$C$3:$C$869,tabItens[[#This Row],[CÓDIGO]],Consumo!$AA$3:$AA$869)</f>
        <v>0</v>
      </c>
      <c r="AV733" s="318">
        <f>SUMIF(Consumo!$C$3:$C$869,tabItens[[#This Row],[CÓDIGO]],Consumo!$Y$3:$Y$869)</f>
        <v>0</v>
      </c>
      <c r="AW733" s="291">
        <f>tabItens[[#This Row],[QTDE ATUAL]] + tabItens[[#This Row],[RC QTDE]] + tabItens[[#This Row],[AF SALDO]] + tabItens[[#This Row],[Recentes]]</f>
        <v>787</v>
      </c>
      <c r="AX733" s="319">
        <v>2</v>
      </c>
      <c r="AY733" s="319">
        <v>4</v>
      </c>
      <c r="AZ733" s="319">
        <f>IF(ISBLANK(tabItens[[#This Row],[CÓDIGO]]),"",tabItens[[#This Row],[PontoMês]] * (AZ$2+tabItens[[#This Row],[PontoQtM]]))</f>
        <v>8</v>
      </c>
      <c r="BA733" s="318">
        <f>tabItens[[#This Row],[PontoPed]] - tabItens[[#This Row],[Saldo]] + (1/10)</f>
        <v>-778.9</v>
      </c>
      <c r="BB733" s="318">
        <f xml:space="preserve"> tabItens[[#This Row],[PontoMês]] * BB$2 - tabItens[[#This Row],[QTDE ATUAL]] - (1/10)</f>
        <v>-785.1</v>
      </c>
      <c r="BC733" s="320">
        <f>IF( tabItens[[#This Row],[PontoPed]]&gt;0, IF(tabItens[[#This Row],[PontoPed]]&lt;1, 1, IF( tabItens[[#This Row],[Saldo]]&gt;tabItens[[#This Row],[PontoPed]], 0, (tabItens[[#This Row],[PontoPed]]-tabItens[[#This Row],[Saldo]])/tabItens[[#This Row],[PontoPed]] ) ), 0 )</f>
        <v>0</v>
      </c>
      <c r="BD733" s="321">
        <f>ROUNDDOWN(IF( OR( AND(tabItens[[#This Row],[PontoPed]]&lt;tabItens[[#This Row],[Saldo]],tabItens[[#This Row],[Saldo]]&gt;0), tabItens[[#This Row],[PontoPed]]=0), 99, IF(AND(tabItens[[#This Row],[Saldo]]=0,tabItens[[#This Row],[PontoPed]]&gt;0), 0, (1-tabItens[[#This Row],[PctAb]])*10 ) ),0)</f>
        <v>99</v>
      </c>
      <c r="BE733" s="322">
        <f>MAX(ROUNDDOWN( IF(tabItens[[#This Row],[Abaixo]] &gt; 0,   tabItens[[#This Row],[Abaixo]] + (tabItens[[#This Row],[PontoMês]] * IF( OR( ISBLANK(tabItens[[#This Row],[ATA Nº/ANO]]), tabItens[[#This Row],[ATA Nº/ANO]] = ""),BE$2,BE$1)),0),0),0)</f>
        <v>0</v>
      </c>
      <c r="BF73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23">
        <f>SUMIF(Consumo!$C$3:$C$869,tabItens[[#This Row],[CÓDIGO]],Consumo!$E$3:$E$869)</f>
        <v>0</v>
      </c>
      <c r="BH733" s="324">
        <f>IF(AND(tabItens[[#This Row],[Pend]] &gt; 0,tabItens[[#This Row],[Consumo]] &lt;&gt; 0), tabItens[[#This Row],[Pend]] / tabItens[[#This Row],[Consumo]], 0 )</f>
        <v>0</v>
      </c>
      <c r="BI733" s="323"/>
      <c r="BJ733" s="323"/>
      <c r="BK733" s="325" t="s">
        <v>2064</v>
      </c>
    </row>
    <row r="734" spans="1:63" hidden="1" x14ac:dyDescent="0.3">
      <c r="A734" s="286">
        <v>72184</v>
      </c>
      <c r="B734" s="287" t="s">
        <v>1399</v>
      </c>
      <c r="C734" s="288" t="s">
        <v>256</v>
      </c>
      <c r="D734" s="289">
        <v>1.75</v>
      </c>
      <c r="E734" s="290"/>
      <c r="F734" s="290"/>
      <c r="G734" s="290" t="s">
        <v>883</v>
      </c>
      <c r="H734" s="291">
        <v>5149</v>
      </c>
      <c r="I734" s="292">
        <v>103003</v>
      </c>
      <c r="J734" s="293">
        <v>1.75</v>
      </c>
      <c r="K734" s="294">
        <v>853</v>
      </c>
      <c r="L734" s="295">
        <f>IF(tabItens[[#This Row],[Média]] &gt; 0, tabItens[[#This Row],[QTDE ATUAL]] / tabItens[[#This Row],[Média]],999.9)</f>
        <v>62.728934010152287</v>
      </c>
      <c r="M734" s="296">
        <v>0</v>
      </c>
      <c r="N734" s="297">
        <f>tabItens[[#This Row],[VALOR UNIT.]] * tabItens[[#This Row],[LC]]</f>
        <v>0</v>
      </c>
      <c r="O734" s="298"/>
      <c r="P734" s="299"/>
      <c r="Q734" s="300"/>
      <c r="R734" s="297"/>
      <c r="S734" s="301"/>
      <c r="T734" s="302">
        <f>ROUNDDOWN(IFERROR(tabItens[[#This Row],[ATA DT.VALID.]] - $D$1,0) / 30,0)</f>
        <v>-1504</v>
      </c>
      <c r="U734" s="287" t="s">
        <v>1400</v>
      </c>
      <c r="V734" s="303">
        <v>1</v>
      </c>
      <c r="W734" s="304" t="s">
        <v>2051</v>
      </c>
      <c r="X734" s="305">
        <v>55</v>
      </c>
      <c r="Y734" s="306">
        <v>16</v>
      </c>
      <c r="Z734" s="307">
        <v>2828</v>
      </c>
      <c r="AA734" s="308">
        <v>2023</v>
      </c>
      <c r="AB734" s="309">
        <v>840</v>
      </c>
      <c r="AC734" s="309"/>
      <c r="AD734" s="308"/>
      <c r="AE734" s="309"/>
      <c r="AF734" s="302"/>
      <c r="AG734" s="310" t="s">
        <v>2050</v>
      </c>
      <c r="AH734" s="311"/>
      <c r="AI734" s="302">
        <v>284</v>
      </c>
      <c r="AJ734" s="311">
        <v>45005</v>
      </c>
      <c r="AK734" s="311" t="s">
        <v>883</v>
      </c>
      <c r="AL734" s="311">
        <v>44988</v>
      </c>
      <c r="AM734" s="301"/>
      <c r="AN734" s="290"/>
      <c r="AO734" s="312" t="str">
        <f>_xlfn.IFNA(IF(VLOOKUP(tabItens[[#This Row],[CÓDIGO]],tabExcluirDoEstoque[#Data],1,FALSE),"sim",""),"")</f>
        <v/>
      </c>
      <c r="AP734" s="313" t="str">
        <f ca="1">IF(OR(ISBLANK(tabItens[[#This Row],[ATA DT.VALID.]]),tabItens[[#This Row],[ATA DT.VALID.]]="",tabItens[[#This Row],[ATA DT.VALID.]]=" "),"",IF(TYPE(tabItens[[#This Row],[ATA DT.VALID.]])=1,ROUNDUP((tabItens[[#This Row],[ATA DT.VALID.]]-TODAY())/7,0),""))</f>
        <v/>
      </c>
      <c r="AQ734" s="314"/>
      <c r="AR734" s="315" t="str">
        <f>IF(ISBLANK(tabItens[[#This Row],[CÓDIGO]]),"",IFERROR(VLOOKUP(tabItens[[#This Row],[CÓDIGO]],Consumo!$C$2:$AC$869,26,FALSE),0))</f>
        <v>07.2023</v>
      </c>
      <c r="AS734" s="316">
        <f>SUMIF(Consumo!$C$3:$C$869,tabItens[[#This Row],[CÓDIGO]],Consumo!$N$3:$N$869) + SUMIF(Consumo!$C$3:$C$869,tabItens[[#This Row],[CÓDIGO]],Consumo!$O$3:$O$869) + SUMIF(Consumo!$C$3:$C$869,tabItens[[#This Row],[CÓDIGO]],Consumo!$P$3:$P$869) + SUMIF(Consumo!$C$3:$C$869,tabItens[[#This Row],[CÓDIGO]],Consumo!$Q$3:$Q$869)</f>
        <v>463</v>
      </c>
      <c r="AT734" s="316">
        <f>SUMIF(Consumo!$C$3:$C$869,tabItens[[#This Row],[CÓDIGO]],Consumo!$Z$3:$Z$869)</f>
        <v>999</v>
      </c>
      <c r="AU734" s="317">
        <f>SUMIF(Consumo!$C$3:$C$869,tabItens[[#This Row],[CÓDIGO]],Consumo!$AA$3:$AA$869)</f>
        <v>290</v>
      </c>
      <c r="AV734" s="318">
        <f>SUMIF(Consumo!$C$3:$C$869,tabItens[[#This Row],[CÓDIGO]],Consumo!$Y$3:$Y$869)</f>
        <v>82.083333333333329</v>
      </c>
      <c r="AW734" s="291">
        <f>tabItens[[#This Row],[QTDE ATUAL]] + tabItens[[#This Row],[RC QTDE]] + tabItens[[#This Row],[AF SALDO]] + tabItens[[#This Row],[Recentes]]</f>
        <v>5989</v>
      </c>
      <c r="AX734" s="319">
        <v>41</v>
      </c>
      <c r="AY734" s="319">
        <v>4</v>
      </c>
      <c r="AZ734" s="319">
        <f>IF(ISBLANK(tabItens[[#This Row],[CÓDIGO]]),"",tabItens[[#This Row],[PontoMês]] * (AZ$2+tabItens[[#This Row],[PontoQtM]]))</f>
        <v>164</v>
      </c>
      <c r="BA734" s="318">
        <f>tabItens[[#This Row],[PontoPed]] - tabItens[[#This Row],[Saldo]] + (1/10)</f>
        <v>-5824.9</v>
      </c>
      <c r="BB734" s="318">
        <f xml:space="preserve"> tabItens[[#This Row],[PontoMês]] * BB$2 - tabItens[[#This Row],[QTDE ATUAL]] - (1/10)</f>
        <v>-5108.1000000000004</v>
      </c>
      <c r="BC734" s="320">
        <f>IF( tabItens[[#This Row],[PontoPed]]&gt;0, IF(tabItens[[#This Row],[PontoPed]]&lt;1, 1, IF( tabItens[[#This Row],[Saldo]]&gt;tabItens[[#This Row],[PontoPed]], 0, (tabItens[[#This Row],[PontoPed]]-tabItens[[#This Row],[Saldo]])/tabItens[[#This Row],[PontoPed]] ) ), 0 )</f>
        <v>0</v>
      </c>
      <c r="BD734" s="321">
        <f>ROUNDDOWN(IF( OR( AND(tabItens[[#This Row],[PontoPed]]&lt;tabItens[[#This Row],[Saldo]],tabItens[[#This Row],[Saldo]]&gt;0), tabItens[[#This Row],[PontoPed]]=0), 99, IF(AND(tabItens[[#This Row],[Saldo]]=0,tabItens[[#This Row],[PontoPed]]&gt;0), 0, (1-tabItens[[#This Row],[PctAb]])*10 ) ),0)</f>
        <v>99</v>
      </c>
      <c r="BE734" s="322">
        <f>MAX(ROUNDDOWN( IF(tabItens[[#This Row],[Abaixo]] &gt; 0,   tabItens[[#This Row],[Abaixo]] + (tabItens[[#This Row],[PontoMês]] * IF( OR( ISBLANK(tabItens[[#This Row],[ATA Nº/ANO]]), tabItens[[#This Row],[ATA Nº/ANO]] = ""),BE$2,BE$1)),0),0),0)</f>
        <v>0</v>
      </c>
      <c r="BF73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23">
        <f>SUMIF(Consumo!$C$3:$C$869,tabItens[[#This Row],[CÓDIGO]],Consumo!$E$3:$E$869)</f>
        <v>146</v>
      </c>
      <c r="BH734" s="324">
        <f>IF(AND(tabItens[[#This Row],[Pend]] &gt; 0,tabItens[[#This Row],[Consumo]] &lt;&gt; 0), tabItens[[#This Row],[Pend]] / tabItens[[#This Row],[Consumo]], 0 )</f>
        <v>0.14614614614614616</v>
      </c>
      <c r="BI734" s="323"/>
      <c r="BJ734" s="323"/>
      <c r="BK734" s="325" t="s">
        <v>2064</v>
      </c>
    </row>
    <row r="735" spans="1:63" hidden="1" x14ac:dyDescent="0.3">
      <c r="A735" s="286">
        <v>110889</v>
      </c>
      <c r="B735" s="287" t="s">
        <v>1665</v>
      </c>
      <c r="C735" s="288" t="s">
        <v>331</v>
      </c>
      <c r="D735" s="289">
        <v>27.99</v>
      </c>
      <c r="E735" s="290"/>
      <c r="F735" s="290"/>
      <c r="G735" s="290" t="s">
        <v>883</v>
      </c>
      <c r="H735" s="291">
        <v>80</v>
      </c>
      <c r="I735" s="292">
        <v>103003</v>
      </c>
      <c r="J735" s="293">
        <v>27.99</v>
      </c>
      <c r="K735" s="294">
        <v>220</v>
      </c>
      <c r="L735" s="295">
        <f>IF(tabItens[[#This Row],[Média]] &gt; 0, tabItens[[#This Row],[QTDE ATUAL]] / tabItens[[#This Row],[Média]],999.9)</f>
        <v>6.6206896551724137</v>
      </c>
      <c r="M735" s="296">
        <v>0</v>
      </c>
      <c r="N735" s="297">
        <f>tabItens[[#This Row],[VALOR UNIT.]] * tabItens[[#This Row],[LC]]</f>
        <v>0</v>
      </c>
      <c r="O735" s="298"/>
      <c r="P735" s="299"/>
      <c r="Q735" s="300"/>
      <c r="R735" s="297"/>
      <c r="S735" s="301"/>
      <c r="T735" s="302">
        <f>ROUNDDOWN(IFERROR(tabItens[[#This Row],[ATA DT.VALID.]] - $D$1,0) / 30,0)</f>
        <v>-1504</v>
      </c>
      <c r="U735" s="287" t="s">
        <v>1666</v>
      </c>
      <c r="V735" s="303">
        <v>1</v>
      </c>
      <c r="W735" s="304" t="s">
        <v>2055</v>
      </c>
      <c r="X735" s="305">
        <v>55</v>
      </c>
      <c r="Y735" s="306">
        <v>19</v>
      </c>
      <c r="Z735" s="307" t="s">
        <v>2062</v>
      </c>
      <c r="AA735" s="308">
        <v>2023</v>
      </c>
      <c r="AB735" s="309">
        <v>300</v>
      </c>
      <c r="AC735" s="309"/>
      <c r="AD735" s="308"/>
      <c r="AE735" s="309"/>
      <c r="AF735" s="302"/>
      <c r="AG735" s="310" t="s">
        <v>2050</v>
      </c>
      <c r="AH735" s="311"/>
      <c r="AI735" s="302">
        <v>74</v>
      </c>
      <c r="AJ735" s="311">
        <v>40288</v>
      </c>
      <c r="AK735" s="311">
        <v>39944</v>
      </c>
      <c r="AL735" s="311">
        <v>40252</v>
      </c>
      <c r="AM735" s="301"/>
      <c r="AN735" s="290"/>
      <c r="AO735" s="312" t="str">
        <f>_xlfn.IFNA(IF(VLOOKUP(tabItens[[#This Row],[CÓDIGO]],tabExcluirDoEstoque[#Data],1,FALSE),"sim",""),"")</f>
        <v/>
      </c>
      <c r="AP735" s="313" t="str">
        <f ca="1">IF(OR(ISBLANK(tabItens[[#This Row],[ATA DT.VALID.]]),tabItens[[#This Row],[ATA DT.VALID.]]="",tabItens[[#This Row],[ATA DT.VALID.]]=" "),"",IF(TYPE(tabItens[[#This Row],[ATA DT.VALID.]])=1,ROUNDUP((tabItens[[#This Row],[ATA DT.VALID.]]-TODAY())/7,0),""))</f>
        <v/>
      </c>
      <c r="AQ735" s="314"/>
      <c r="AR735" s="315" t="str">
        <f>IF(ISBLANK(tabItens[[#This Row],[CÓDIGO]]),"",IFERROR(VLOOKUP(tabItens[[#This Row],[CÓDIGO]],Consumo!$C$2:$AC$869,26,FALSE),0))</f>
        <v>11.2022</v>
      </c>
      <c r="AS735" s="316">
        <f>SUMIF(Consumo!$C$3:$C$869,tabItens[[#This Row],[CÓDIGO]],Consumo!$N$3:$N$869) + SUMIF(Consumo!$C$3:$C$869,tabItens[[#This Row],[CÓDIGO]],Consumo!$O$3:$O$869) + SUMIF(Consumo!$C$3:$C$869,tabItens[[#This Row],[CÓDIGO]],Consumo!$P$3:$P$869) + SUMIF(Consumo!$C$3:$C$869,tabItens[[#This Row],[CÓDIGO]],Consumo!$Q$3:$Q$869)</f>
        <v>0</v>
      </c>
      <c r="AT735" s="316">
        <f>SUMIF(Consumo!$C$3:$C$869,tabItens[[#This Row],[CÓDIGO]],Consumo!$Z$3:$Z$869)</f>
        <v>220</v>
      </c>
      <c r="AU735" s="317">
        <f>SUMIF(Consumo!$C$3:$C$869,tabItens[[#This Row],[CÓDIGO]],Consumo!$AA$3:$AA$869)</f>
        <v>220</v>
      </c>
      <c r="AV735" s="318">
        <f>SUMIF(Consumo!$C$3:$C$869,tabItens[[#This Row],[CÓDIGO]],Consumo!$Y$3:$Y$869)</f>
        <v>12.083333333333334</v>
      </c>
      <c r="AW735" s="291">
        <f>tabItens[[#This Row],[QTDE ATUAL]] + tabItens[[#This Row],[RC QTDE]] + tabItens[[#This Row],[AF SALDO]] + tabItens[[#This Row],[Recentes]]</f>
        <v>380</v>
      </c>
      <c r="AX735" s="319">
        <v>0</v>
      </c>
      <c r="AY735" s="319">
        <v>4</v>
      </c>
      <c r="AZ735" s="319">
        <f>IF(ISBLANK(tabItens[[#This Row],[CÓDIGO]]),"",tabItens[[#This Row],[PontoMês]] * (AZ$2+tabItens[[#This Row],[PontoQtM]]))</f>
        <v>0</v>
      </c>
      <c r="BA735" s="318">
        <f>tabItens[[#This Row],[PontoPed]] - tabItens[[#This Row],[Saldo]] + (1/10)</f>
        <v>-379.9</v>
      </c>
      <c r="BB735" s="318">
        <f xml:space="preserve"> tabItens[[#This Row],[PontoMês]] * BB$2 - tabItens[[#This Row],[QTDE ATUAL]] - (1/10)</f>
        <v>-80.099999999999994</v>
      </c>
      <c r="BC735" s="320">
        <f>IF( tabItens[[#This Row],[PontoPed]]&gt;0, IF(tabItens[[#This Row],[PontoPed]]&lt;1, 1, IF( tabItens[[#This Row],[Saldo]]&gt;tabItens[[#This Row],[PontoPed]], 0, (tabItens[[#This Row],[PontoPed]]-tabItens[[#This Row],[Saldo]])/tabItens[[#This Row],[PontoPed]] ) ), 0 )</f>
        <v>0</v>
      </c>
      <c r="BD735" s="321">
        <f>ROUNDDOWN(IF( OR( AND(tabItens[[#This Row],[PontoPed]]&lt;tabItens[[#This Row],[Saldo]],tabItens[[#This Row],[Saldo]]&gt;0), tabItens[[#This Row],[PontoPed]]=0), 99, IF(AND(tabItens[[#This Row],[Saldo]]=0,tabItens[[#This Row],[PontoPed]]&gt;0), 0, (1-tabItens[[#This Row],[PctAb]])*10 ) ),0)</f>
        <v>99</v>
      </c>
      <c r="BE735" s="322">
        <f>MAX(ROUNDDOWN( IF(tabItens[[#This Row],[Abaixo]] &gt; 0,   tabItens[[#This Row],[Abaixo]] + (tabItens[[#This Row],[PontoMês]] * IF( OR( ISBLANK(tabItens[[#This Row],[ATA Nº/ANO]]), tabItens[[#This Row],[ATA Nº/ANO]] = ""),BE$2,BE$1)),0),0),0)</f>
        <v>0</v>
      </c>
      <c r="BF73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23">
        <f>SUMIF(Consumo!$C$3:$C$869,tabItens[[#This Row],[CÓDIGO]],Consumo!$E$3:$E$869)</f>
        <v>0</v>
      </c>
      <c r="BH735" s="324">
        <f>IF(AND(tabItens[[#This Row],[Pend]] &gt; 0,tabItens[[#This Row],[Consumo]] &lt;&gt; 0), tabItens[[#This Row],[Pend]] / tabItens[[#This Row],[Consumo]], 0 )</f>
        <v>0</v>
      </c>
      <c r="BI735" s="323"/>
      <c r="BJ735" s="323"/>
      <c r="BK735" s="325" t="s">
        <v>2064</v>
      </c>
    </row>
    <row r="736" spans="1:63" hidden="1" x14ac:dyDescent="0.3">
      <c r="A736" s="286">
        <v>123370</v>
      </c>
      <c r="B736" s="287" t="s">
        <v>1750</v>
      </c>
      <c r="C736" s="288" t="s">
        <v>331</v>
      </c>
      <c r="D736" s="289">
        <v>65.45</v>
      </c>
      <c r="E736" s="290"/>
      <c r="F736" s="290"/>
      <c r="G736" s="290" t="s">
        <v>883</v>
      </c>
      <c r="H736" s="291">
        <v>49</v>
      </c>
      <c r="I736" s="292">
        <v>103003</v>
      </c>
      <c r="J736" s="293">
        <v>65.45</v>
      </c>
      <c r="K736" s="294">
        <v>120</v>
      </c>
      <c r="L736" s="295">
        <f>IF(tabItens[[#This Row],[Média]] &gt; 0, tabItens[[#This Row],[QTDE ATUAL]] / tabItens[[#This Row],[Média]],999.9)</f>
        <v>6.7586206896551726</v>
      </c>
      <c r="M736" s="296"/>
      <c r="N736" s="297">
        <f>tabItens[[#This Row],[VALOR UNIT.]] * tabItens[[#This Row],[LC]]</f>
        <v>0</v>
      </c>
      <c r="O736" s="298"/>
      <c r="P736" s="299"/>
      <c r="Q736" s="300"/>
      <c r="R736" s="297"/>
      <c r="S736" s="301"/>
      <c r="T736" s="302">
        <f>ROUNDDOWN(IFERROR(tabItens[[#This Row],[ATA DT.VALID.]] - $D$1,0) / 30,0)</f>
        <v>-1504</v>
      </c>
      <c r="U736" s="287" t="s">
        <v>1666</v>
      </c>
      <c r="V736" s="303">
        <v>1</v>
      </c>
      <c r="W736" s="304" t="s">
        <v>2055</v>
      </c>
      <c r="X736" s="305">
        <v>55</v>
      </c>
      <c r="Y736" s="306">
        <v>19</v>
      </c>
      <c r="Z736" s="307"/>
      <c r="AA736" s="308"/>
      <c r="AB736" s="309"/>
      <c r="AC736" s="309"/>
      <c r="AD736" s="308"/>
      <c r="AE736" s="309"/>
      <c r="AF736" s="302"/>
      <c r="AG736" s="310" t="s">
        <v>2050</v>
      </c>
      <c r="AH736" s="311"/>
      <c r="AI736" s="302">
        <v>0</v>
      </c>
      <c r="AJ736" s="311">
        <v>42643</v>
      </c>
      <c r="AK736" s="311">
        <v>41101</v>
      </c>
      <c r="AL736" s="311">
        <v>42577</v>
      </c>
      <c r="AM736" s="301"/>
      <c r="AN736" s="290"/>
      <c r="AO736" s="312" t="str">
        <f>_xlfn.IFNA(IF(VLOOKUP(tabItens[[#This Row],[CÓDIGO]],tabExcluirDoEstoque[#Data],1,FALSE),"sim",""),"")</f>
        <v/>
      </c>
      <c r="AP736" s="313" t="str">
        <f ca="1">IF(OR(ISBLANK(tabItens[[#This Row],[ATA DT.VALID.]]),tabItens[[#This Row],[ATA DT.VALID.]]="",tabItens[[#This Row],[ATA DT.VALID.]]=" "),"",IF(TYPE(tabItens[[#This Row],[ATA DT.VALID.]])=1,ROUNDUP((tabItens[[#This Row],[ATA DT.VALID.]]-TODAY())/7,0),""))</f>
        <v/>
      </c>
      <c r="AQ736" s="314"/>
      <c r="AR736" s="315" t="str">
        <f>IF(ISBLANK(tabItens[[#This Row],[CÓDIGO]]),"",IFERROR(VLOOKUP(tabItens[[#This Row],[CÓDIGO]],Consumo!$C$2:$AC$869,26,FALSE),0))</f>
        <v>07.2023</v>
      </c>
      <c r="AS736" s="316">
        <f>SUMIF(Consumo!$C$3:$C$869,tabItens[[#This Row],[CÓDIGO]],Consumo!$N$3:$N$869) + SUMIF(Consumo!$C$3:$C$869,tabItens[[#This Row],[CÓDIGO]],Consumo!$O$3:$O$869) + SUMIF(Consumo!$C$3:$C$869,tabItens[[#This Row],[CÓDIGO]],Consumo!$P$3:$P$869) + SUMIF(Consumo!$C$3:$C$869,tabItens[[#This Row],[CÓDIGO]],Consumo!$Q$3:$Q$869)</f>
        <v>120</v>
      </c>
      <c r="AT736" s="316">
        <f>SUMIF(Consumo!$C$3:$C$869,tabItens[[#This Row],[CÓDIGO]],Consumo!$Z$3:$Z$869)</f>
        <v>120</v>
      </c>
      <c r="AU736" s="317">
        <f>SUMIF(Consumo!$C$3:$C$869,tabItens[[#This Row],[CÓDIGO]],Consumo!$AA$3:$AA$869)</f>
        <v>100</v>
      </c>
      <c r="AV736" s="318">
        <f>SUMIF(Consumo!$C$3:$C$869,tabItens[[#This Row],[CÓDIGO]],Consumo!$Y$3:$Y$869)</f>
        <v>7.25</v>
      </c>
      <c r="AW736" s="291">
        <f>tabItens[[#This Row],[QTDE ATUAL]] + tabItens[[#This Row],[RC QTDE]] + tabItens[[#This Row],[AF SALDO]] + tabItens[[#This Row],[Recentes]]</f>
        <v>49</v>
      </c>
      <c r="AX736" s="319">
        <v>0</v>
      </c>
      <c r="AY736" s="319">
        <v>4</v>
      </c>
      <c r="AZ736" s="319">
        <f>IF(ISBLANK(tabItens[[#This Row],[CÓDIGO]]),"",tabItens[[#This Row],[PontoMês]] * (AZ$2+tabItens[[#This Row],[PontoQtM]]))</f>
        <v>0</v>
      </c>
      <c r="BA736" s="318">
        <f>tabItens[[#This Row],[PontoPed]] - tabItens[[#This Row],[Saldo]] + (1/10)</f>
        <v>-48.9</v>
      </c>
      <c r="BB736" s="318">
        <f xml:space="preserve"> tabItens[[#This Row],[PontoMês]] * BB$2 - tabItens[[#This Row],[QTDE ATUAL]] - (1/10)</f>
        <v>-49.1</v>
      </c>
      <c r="BC736" s="320">
        <f>IF( tabItens[[#This Row],[PontoPed]]&gt;0, IF(tabItens[[#This Row],[PontoPed]]&lt;1, 1, IF( tabItens[[#This Row],[Saldo]]&gt;tabItens[[#This Row],[PontoPed]], 0, (tabItens[[#This Row],[PontoPed]]-tabItens[[#This Row],[Saldo]])/tabItens[[#This Row],[PontoPed]] ) ), 0 )</f>
        <v>0</v>
      </c>
      <c r="BD736" s="321">
        <f>ROUNDDOWN(IF( OR( AND(tabItens[[#This Row],[PontoPed]]&lt;tabItens[[#This Row],[Saldo]],tabItens[[#This Row],[Saldo]]&gt;0), tabItens[[#This Row],[PontoPed]]=0), 99, IF(AND(tabItens[[#This Row],[Saldo]]=0,tabItens[[#This Row],[PontoPed]]&gt;0), 0, (1-tabItens[[#This Row],[PctAb]])*10 ) ),0)</f>
        <v>99</v>
      </c>
      <c r="BE736" s="322">
        <f>MAX(ROUNDDOWN( IF(tabItens[[#This Row],[Abaixo]] &gt; 0,   tabItens[[#This Row],[Abaixo]] + (tabItens[[#This Row],[PontoMês]] * IF( OR( ISBLANK(tabItens[[#This Row],[ATA Nº/ANO]]), tabItens[[#This Row],[ATA Nº/ANO]] = ""),BE$2,BE$1)),0),0),0)</f>
        <v>0</v>
      </c>
      <c r="BF73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23">
        <f>SUMIF(Consumo!$C$3:$C$869,tabItens[[#This Row],[CÓDIGO]],Consumo!$E$3:$E$869)</f>
        <v>0</v>
      </c>
      <c r="BH736" s="324">
        <f>IF(AND(tabItens[[#This Row],[Pend]] &gt; 0,tabItens[[#This Row],[Consumo]] &lt;&gt; 0), tabItens[[#This Row],[Pend]] / tabItens[[#This Row],[Consumo]], 0 )</f>
        <v>0</v>
      </c>
      <c r="BI736" s="323"/>
      <c r="BJ736" s="323"/>
      <c r="BK736" s="325" t="s">
        <v>2064</v>
      </c>
    </row>
    <row r="737" spans="1:63" hidden="1" x14ac:dyDescent="0.3">
      <c r="A737" s="286">
        <v>132229</v>
      </c>
      <c r="B737" s="287" t="s">
        <v>1812</v>
      </c>
      <c r="C737" s="288" t="s">
        <v>331</v>
      </c>
      <c r="D737" s="289">
        <v>0</v>
      </c>
      <c r="E737" s="290"/>
      <c r="F737" s="290"/>
      <c r="G737" s="290" t="s">
        <v>883</v>
      </c>
      <c r="H737" s="291">
        <v>970.5</v>
      </c>
      <c r="I737" s="292">
        <v>103003</v>
      </c>
      <c r="J737" s="293">
        <v>0</v>
      </c>
      <c r="K737" s="294">
        <v>316</v>
      </c>
      <c r="L737" s="295">
        <f>IF(tabItens[[#This Row],[Média]] &gt; 0, tabItens[[#This Row],[QTDE ATUAL]] / tabItens[[#This Row],[Média]],999.9)</f>
        <v>36.854430379746837</v>
      </c>
      <c r="M737" s="296">
        <v>0</v>
      </c>
      <c r="N737" s="297">
        <f>tabItens[[#This Row],[VALOR UNIT.]] * tabItens[[#This Row],[LC]]</f>
        <v>0</v>
      </c>
      <c r="O737" s="298"/>
      <c r="P737" s="299"/>
      <c r="Q737" s="300"/>
      <c r="R737" s="297"/>
      <c r="S737" s="301"/>
      <c r="T737" s="302">
        <f>ROUNDDOWN(IFERROR(tabItens[[#This Row],[ATA DT.VALID.]] - $D$1,0) / 30,0)</f>
        <v>-1504</v>
      </c>
      <c r="U737" s="287" t="s">
        <v>1666</v>
      </c>
      <c r="V737" s="303">
        <v>1</v>
      </c>
      <c r="W737" s="304" t="s">
        <v>2055</v>
      </c>
      <c r="X737" s="305">
        <v>55</v>
      </c>
      <c r="Y737" s="306">
        <v>19</v>
      </c>
      <c r="Z737" s="307"/>
      <c r="AA737" s="308"/>
      <c r="AB737" s="309"/>
      <c r="AC737" s="309"/>
      <c r="AD737" s="308"/>
      <c r="AE737" s="309"/>
      <c r="AF737" s="302"/>
      <c r="AG737" s="310" t="s">
        <v>2050</v>
      </c>
      <c r="AH737" s="311"/>
      <c r="AI737" s="302">
        <v>106</v>
      </c>
      <c r="AJ737" s="311" t="s">
        <v>883</v>
      </c>
      <c r="AK737" s="311">
        <v>42656</v>
      </c>
      <c r="AL737" s="311" t="s">
        <v>883</v>
      </c>
      <c r="AM737" s="301"/>
      <c r="AN737" s="290"/>
      <c r="AO737" s="312" t="str">
        <f>_xlfn.IFNA(IF(VLOOKUP(tabItens[[#This Row],[CÓDIGO]],tabExcluirDoEstoque[#Data],1,FALSE),"sim",""),"")</f>
        <v/>
      </c>
      <c r="AP737" s="313" t="str">
        <f ca="1">IF(OR(ISBLANK(tabItens[[#This Row],[ATA DT.VALID.]]),tabItens[[#This Row],[ATA DT.VALID.]]="",tabItens[[#This Row],[ATA DT.VALID.]]=" "),"",IF(TYPE(tabItens[[#This Row],[ATA DT.VALID.]])=1,ROUNDUP((tabItens[[#This Row],[ATA DT.VALID.]]-TODAY())/7,0),""))</f>
        <v/>
      </c>
      <c r="AQ737" s="314"/>
      <c r="AR737" s="315" t="str">
        <f>IF(ISBLANK(tabItens[[#This Row],[CÓDIGO]]),"",IFERROR(VLOOKUP(tabItens[[#This Row],[CÓDIGO]],Consumo!$C$2:$AC$869,26,FALSE),0))</f>
        <v>07.2023</v>
      </c>
      <c r="AS737" s="316">
        <f>SUMIF(Consumo!$C$3:$C$869,tabItens[[#This Row],[CÓDIGO]],Consumo!$N$3:$N$869) + SUMIF(Consumo!$C$3:$C$869,tabItens[[#This Row],[CÓDIGO]],Consumo!$O$3:$O$869) + SUMIF(Consumo!$C$3:$C$869,tabItens[[#This Row],[CÓDIGO]],Consumo!$P$3:$P$869) + SUMIF(Consumo!$C$3:$C$869,tabItens[[#This Row],[CÓDIGO]],Consumo!$Q$3:$Q$869)</f>
        <v>116</v>
      </c>
      <c r="AT737" s="316">
        <f>SUMIF(Consumo!$C$3:$C$869,tabItens[[#This Row],[CÓDIGO]],Consumo!$Z$3:$Z$869)</f>
        <v>316</v>
      </c>
      <c r="AU737" s="317">
        <f>SUMIF(Consumo!$C$3:$C$869,tabItens[[#This Row],[CÓDIGO]],Consumo!$AA$3:$AA$869)</f>
        <v>110</v>
      </c>
      <c r="AV737" s="318">
        <f>SUMIF(Consumo!$C$3:$C$869,tabItens[[#This Row],[CÓDIGO]],Consumo!$Y$3:$Y$869)</f>
        <v>26.333333333333332</v>
      </c>
      <c r="AW737" s="291">
        <f>tabItens[[#This Row],[QTDE ATUAL]] + tabItens[[#This Row],[RC QTDE]] + tabItens[[#This Row],[AF SALDO]] + tabItens[[#This Row],[Recentes]]</f>
        <v>970.5</v>
      </c>
      <c r="AX737" s="319">
        <v>10</v>
      </c>
      <c r="AY737" s="319">
        <v>4</v>
      </c>
      <c r="AZ737" s="319">
        <f>IF(ISBLANK(tabItens[[#This Row],[CÓDIGO]]),"",tabItens[[#This Row],[PontoMês]] * (AZ$2+tabItens[[#This Row],[PontoQtM]]))</f>
        <v>40</v>
      </c>
      <c r="BA737" s="318">
        <f>tabItens[[#This Row],[PontoPed]] - tabItens[[#This Row],[Saldo]] + (1/10)</f>
        <v>-930.4</v>
      </c>
      <c r="BB737" s="318">
        <f xml:space="preserve"> tabItens[[#This Row],[PontoMês]] * BB$2 - tabItens[[#This Row],[QTDE ATUAL]] - (1/10)</f>
        <v>-960.6</v>
      </c>
      <c r="BC737" s="320">
        <f>IF( tabItens[[#This Row],[PontoPed]]&gt;0, IF(tabItens[[#This Row],[PontoPed]]&lt;1, 1, IF( tabItens[[#This Row],[Saldo]]&gt;tabItens[[#This Row],[PontoPed]], 0, (tabItens[[#This Row],[PontoPed]]-tabItens[[#This Row],[Saldo]])/tabItens[[#This Row],[PontoPed]] ) ), 0 )</f>
        <v>0</v>
      </c>
      <c r="BD737" s="321">
        <f>ROUNDDOWN(IF( OR( AND(tabItens[[#This Row],[PontoPed]]&lt;tabItens[[#This Row],[Saldo]],tabItens[[#This Row],[Saldo]]&gt;0), tabItens[[#This Row],[PontoPed]]=0), 99, IF(AND(tabItens[[#This Row],[Saldo]]=0,tabItens[[#This Row],[PontoPed]]&gt;0), 0, (1-tabItens[[#This Row],[PctAb]])*10 ) ),0)</f>
        <v>99</v>
      </c>
      <c r="BE737" s="322">
        <f>MAX(ROUNDDOWN( IF(tabItens[[#This Row],[Abaixo]] &gt; 0,   tabItens[[#This Row],[Abaixo]] + (tabItens[[#This Row],[PontoMês]] * IF( OR( ISBLANK(tabItens[[#This Row],[ATA Nº/ANO]]), tabItens[[#This Row],[ATA Nº/ANO]] = ""),BE$2,BE$1)),0),0),0)</f>
        <v>0</v>
      </c>
      <c r="BF73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23">
        <f>SUMIF(Consumo!$C$3:$C$869,tabItens[[#This Row],[CÓDIGO]],Consumo!$E$3:$E$869)</f>
        <v>0</v>
      </c>
      <c r="BH737" s="324">
        <f>IF(AND(tabItens[[#This Row],[Pend]] &gt; 0,tabItens[[#This Row],[Consumo]] &lt;&gt; 0), tabItens[[#This Row],[Pend]] / tabItens[[#This Row],[Consumo]], 0 )</f>
        <v>0</v>
      </c>
      <c r="BI737" s="323"/>
      <c r="BJ737" s="323"/>
      <c r="BK737" s="325" t="s">
        <v>2064</v>
      </c>
    </row>
    <row r="738" spans="1:63" hidden="1" x14ac:dyDescent="0.3">
      <c r="A738" s="286">
        <v>140125</v>
      </c>
      <c r="B738" s="287" t="s">
        <v>2006</v>
      </c>
      <c r="C738" s="288" t="s">
        <v>331</v>
      </c>
      <c r="D738" s="289">
        <v>87.79</v>
      </c>
      <c r="E738" s="290"/>
      <c r="F738" s="290"/>
      <c r="G738" s="290" t="s">
        <v>883</v>
      </c>
      <c r="H738" s="291">
        <v>550</v>
      </c>
      <c r="I738" s="292">
        <v>103003</v>
      </c>
      <c r="J738" s="293">
        <v>87.79</v>
      </c>
      <c r="K738" s="294"/>
      <c r="L738" s="295">
        <f>IF(tabItens[[#This Row],[Média]] &gt; 0, tabItens[[#This Row],[QTDE ATUAL]] / tabItens[[#This Row],[Média]],999.9)</f>
        <v>999.9</v>
      </c>
      <c r="M738" s="296">
        <v>0</v>
      </c>
      <c r="N738" s="297">
        <f>tabItens[[#This Row],[VALOR UNIT.]] * tabItens[[#This Row],[LC]]</f>
        <v>0</v>
      </c>
      <c r="O738" s="298"/>
      <c r="P738" s="299"/>
      <c r="Q738" s="300"/>
      <c r="R738" s="297"/>
      <c r="S738" s="301"/>
      <c r="T738" s="302">
        <f>ROUNDDOWN(IFERROR(tabItens[[#This Row],[ATA DT.VALID.]] - $D$1,0) / 30,0)</f>
        <v>-1504</v>
      </c>
      <c r="U738" s="287" t="s">
        <v>1666</v>
      </c>
      <c r="V738" s="303">
        <v>1</v>
      </c>
      <c r="W738" s="304" t="s">
        <v>2055</v>
      </c>
      <c r="X738" s="305">
        <v>55</v>
      </c>
      <c r="Y738" s="306">
        <v>19</v>
      </c>
      <c r="Z738" s="307"/>
      <c r="AA738" s="308"/>
      <c r="AB738" s="309"/>
      <c r="AC738" s="309"/>
      <c r="AD738" s="308"/>
      <c r="AE738" s="309"/>
      <c r="AF738" s="302"/>
      <c r="AG738" s="310" t="s">
        <v>2050</v>
      </c>
      <c r="AH738" s="311"/>
      <c r="AI738" s="302">
        <v>0</v>
      </c>
      <c r="AJ738" s="311">
        <v>44211</v>
      </c>
      <c r="AK738" s="311">
        <v>44109</v>
      </c>
      <c r="AL738" s="311">
        <v>44167</v>
      </c>
      <c r="AM738" s="301"/>
      <c r="AN738" s="290"/>
      <c r="AO738" s="312" t="str">
        <f>_xlfn.IFNA(IF(VLOOKUP(tabItens[[#This Row],[CÓDIGO]],tabExcluirDoEstoque[#Data],1,FALSE),"sim",""),"")</f>
        <v/>
      </c>
      <c r="AP738" s="313" t="str">
        <f ca="1">IF(OR(ISBLANK(tabItens[[#This Row],[ATA DT.VALID.]]),tabItens[[#This Row],[ATA DT.VALID.]]="",tabItens[[#This Row],[ATA DT.VALID.]]=" "),"",IF(TYPE(tabItens[[#This Row],[ATA DT.VALID.]])=1,ROUNDUP((tabItens[[#This Row],[ATA DT.VALID.]]-TODAY())/7,0),""))</f>
        <v/>
      </c>
      <c r="AQ738" s="314"/>
      <c r="AR738" s="315">
        <f>IF(ISBLANK(tabItens[[#This Row],[CÓDIGO]]),"",IFERROR(VLOOKUP(tabItens[[#This Row],[CÓDIGO]],Consumo!$C$2:$AC$869,26,FALSE),0))</f>
        <v>0</v>
      </c>
      <c r="AS738" s="316">
        <f>SUMIF(Consumo!$C$3:$C$869,tabItens[[#This Row],[CÓDIGO]],Consumo!$N$3:$N$869) + SUMIF(Consumo!$C$3:$C$869,tabItens[[#This Row],[CÓDIGO]],Consumo!$O$3:$O$869) + SUMIF(Consumo!$C$3:$C$869,tabItens[[#This Row],[CÓDIGO]],Consumo!$P$3:$P$869) + SUMIF(Consumo!$C$3:$C$869,tabItens[[#This Row],[CÓDIGO]],Consumo!$Q$3:$Q$869)</f>
        <v>0</v>
      </c>
      <c r="AT738" s="316">
        <f>SUMIF(Consumo!$C$3:$C$869,tabItens[[#This Row],[CÓDIGO]],Consumo!$Z$3:$Z$869)</f>
        <v>0</v>
      </c>
      <c r="AU738" s="317">
        <f>SUMIF(Consumo!$C$3:$C$869,tabItens[[#This Row],[CÓDIGO]],Consumo!$AA$3:$AA$869)</f>
        <v>0</v>
      </c>
      <c r="AV738" s="318">
        <f>SUMIF(Consumo!$C$3:$C$869,tabItens[[#This Row],[CÓDIGO]],Consumo!$Y$3:$Y$869)</f>
        <v>0</v>
      </c>
      <c r="AW738" s="291">
        <f>tabItens[[#This Row],[QTDE ATUAL]] + tabItens[[#This Row],[RC QTDE]] + tabItens[[#This Row],[AF SALDO]] + tabItens[[#This Row],[Recentes]]</f>
        <v>550</v>
      </c>
      <c r="AX738" s="319">
        <v>0</v>
      </c>
      <c r="AY738" s="319">
        <v>4</v>
      </c>
      <c r="AZ738" s="319">
        <f>IF(ISBLANK(tabItens[[#This Row],[CÓDIGO]]),"",tabItens[[#This Row],[PontoMês]] * (AZ$2+tabItens[[#This Row],[PontoQtM]]))</f>
        <v>0</v>
      </c>
      <c r="BA738" s="318">
        <f>tabItens[[#This Row],[PontoPed]] - tabItens[[#This Row],[Saldo]] + (1/10)</f>
        <v>-549.9</v>
      </c>
      <c r="BB738" s="318">
        <f xml:space="preserve"> tabItens[[#This Row],[PontoMês]] * BB$2 - tabItens[[#This Row],[QTDE ATUAL]] - (1/10)</f>
        <v>-550.1</v>
      </c>
      <c r="BC738" s="320">
        <f>IF( tabItens[[#This Row],[PontoPed]]&gt;0, IF(tabItens[[#This Row],[PontoPed]]&lt;1, 1, IF( tabItens[[#This Row],[Saldo]]&gt;tabItens[[#This Row],[PontoPed]], 0, (tabItens[[#This Row],[PontoPed]]-tabItens[[#This Row],[Saldo]])/tabItens[[#This Row],[PontoPed]] ) ), 0 )</f>
        <v>0</v>
      </c>
      <c r="BD738" s="321">
        <f>ROUNDDOWN(IF( OR( AND(tabItens[[#This Row],[PontoPed]]&lt;tabItens[[#This Row],[Saldo]],tabItens[[#This Row],[Saldo]]&gt;0), tabItens[[#This Row],[PontoPed]]=0), 99, IF(AND(tabItens[[#This Row],[Saldo]]=0,tabItens[[#This Row],[PontoPed]]&gt;0), 0, (1-tabItens[[#This Row],[PctAb]])*10 ) ),0)</f>
        <v>99</v>
      </c>
      <c r="BE738" s="322">
        <f>MAX(ROUNDDOWN( IF(tabItens[[#This Row],[Abaixo]] &gt; 0,   tabItens[[#This Row],[Abaixo]] + (tabItens[[#This Row],[PontoMês]] * IF( OR( ISBLANK(tabItens[[#This Row],[ATA Nº/ANO]]), tabItens[[#This Row],[ATA Nº/ANO]] = ""),BE$2,BE$1)),0),0),0)</f>
        <v>0</v>
      </c>
      <c r="BF73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23">
        <f>SUMIF(Consumo!$C$3:$C$869,tabItens[[#This Row],[CÓDIGO]],Consumo!$E$3:$E$869)</f>
        <v>0</v>
      </c>
      <c r="BH738" s="324">
        <f>IF(AND(tabItens[[#This Row],[Pend]] &gt; 0,tabItens[[#This Row],[Consumo]] &lt;&gt; 0), tabItens[[#This Row],[Pend]] / tabItens[[#This Row],[Consumo]], 0 )</f>
        <v>0</v>
      </c>
      <c r="BI738" s="323"/>
      <c r="BJ738" s="323"/>
      <c r="BK738" s="325" t="s">
        <v>2064</v>
      </c>
    </row>
    <row r="739" spans="1:63" hidden="1" x14ac:dyDescent="0.3">
      <c r="A739" s="286">
        <v>140126</v>
      </c>
      <c r="B739" s="287" t="s">
        <v>2007</v>
      </c>
      <c r="C739" s="288" t="s">
        <v>331</v>
      </c>
      <c r="D739" s="289">
        <v>34.54</v>
      </c>
      <c r="E739" s="290"/>
      <c r="F739" s="290"/>
      <c r="G739" s="290" t="s">
        <v>883</v>
      </c>
      <c r="H739" s="291">
        <v>891</v>
      </c>
      <c r="I739" s="292">
        <v>103003</v>
      </c>
      <c r="J739" s="293">
        <v>34.54</v>
      </c>
      <c r="K739" s="294">
        <v>491</v>
      </c>
      <c r="L739" s="295">
        <f>IF(tabItens[[#This Row],[Média]] &gt; 0, tabItens[[#This Row],[QTDE ATUAL]] / tabItens[[#This Row],[Média]],999.9)</f>
        <v>21.556451612903224</v>
      </c>
      <c r="M739" s="296">
        <v>0</v>
      </c>
      <c r="N739" s="297">
        <f>tabItens[[#This Row],[VALOR UNIT.]] * tabItens[[#This Row],[LC]]</f>
        <v>0</v>
      </c>
      <c r="O739" s="298"/>
      <c r="P739" s="299"/>
      <c r="Q739" s="300"/>
      <c r="R739" s="297"/>
      <c r="S739" s="301"/>
      <c r="T739" s="302">
        <f>ROUNDDOWN(IFERROR(tabItens[[#This Row],[ATA DT.VALID.]] - $D$1,0) / 30,0)</f>
        <v>-1504</v>
      </c>
      <c r="U739" s="287" t="s">
        <v>1666</v>
      </c>
      <c r="V739" s="303">
        <v>1</v>
      </c>
      <c r="W739" s="304" t="s">
        <v>2055</v>
      </c>
      <c r="X739" s="305">
        <v>55</v>
      </c>
      <c r="Y739" s="306">
        <v>19</v>
      </c>
      <c r="Z739" s="307"/>
      <c r="AA739" s="308"/>
      <c r="AB739" s="309"/>
      <c r="AC739" s="309"/>
      <c r="AD739" s="308"/>
      <c r="AE739" s="309"/>
      <c r="AF739" s="302"/>
      <c r="AG739" s="310" t="s">
        <v>2050</v>
      </c>
      <c r="AH739" s="311"/>
      <c r="AI739" s="302">
        <v>166</v>
      </c>
      <c r="AJ739" s="311">
        <v>44876</v>
      </c>
      <c r="AK739" s="311">
        <v>44109</v>
      </c>
      <c r="AL739" s="311">
        <v>44923</v>
      </c>
      <c r="AM739" s="301"/>
      <c r="AN739" s="290"/>
      <c r="AO739" s="312" t="str">
        <f>_xlfn.IFNA(IF(VLOOKUP(tabItens[[#This Row],[CÓDIGO]],tabExcluirDoEstoque[#Data],1,FALSE),"sim",""),"")</f>
        <v/>
      </c>
      <c r="AP739" s="313" t="str">
        <f ca="1">IF(OR(ISBLANK(tabItens[[#This Row],[ATA DT.VALID.]]),tabItens[[#This Row],[ATA DT.VALID.]]="",tabItens[[#This Row],[ATA DT.VALID.]]=" "),"",IF(TYPE(tabItens[[#This Row],[ATA DT.VALID.]])=1,ROUNDUP((tabItens[[#This Row],[ATA DT.VALID.]]-TODAY())/7,0),""))</f>
        <v/>
      </c>
      <c r="AQ739" s="314"/>
      <c r="AR739" s="315" t="str">
        <f>IF(ISBLANK(tabItens[[#This Row],[CÓDIGO]]),"",IFERROR(VLOOKUP(tabItens[[#This Row],[CÓDIGO]],Consumo!$C$2:$AC$869,26,FALSE),0))</f>
        <v>07.2023</v>
      </c>
      <c r="AS739" s="316">
        <f>SUMIF(Consumo!$C$3:$C$869,tabItens[[#This Row],[CÓDIGO]],Consumo!$N$3:$N$869) + SUMIF(Consumo!$C$3:$C$869,tabItens[[#This Row],[CÓDIGO]],Consumo!$O$3:$O$869) + SUMIF(Consumo!$C$3:$C$869,tabItens[[#This Row],[CÓDIGO]],Consumo!$P$3:$P$869) + SUMIF(Consumo!$C$3:$C$869,tabItens[[#This Row],[CÓDIGO]],Consumo!$Q$3:$Q$869)</f>
        <v>141</v>
      </c>
      <c r="AT739" s="316">
        <f>SUMIF(Consumo!$C$3:$C$869,tabItens[[#This Row],[CÓDIGO]],Consumo!$Z$3:$Z$869)</f>
        <v>496</v>
      </c>
      <c r="AU739" s="317">
        <f>SUMIF(Consumo!$C$3:$C$869,tabItens[[#This Row],[CÓDIGO]],Consumo!$AA$3:$AA$869)</f>
        <v>130</v>
      </c>
      <c r="AV739" s="318">
        <f>SUMIF(Consumo!$C$3:$C$869,tabItens[[#This Row],[CÓDIGO]],Consumo!$Y$3:$Y$869)</f>
        <v>41.333333333333336</v>
      </c>
      <c r="AW739" s="291">
        <f>tabItens[[#This Row],[QTDE ATUAL]] + tabItens[[#This Row],[RC QTDE]] + tabItens[[#This Row],[AF SALDO]] + tabItens[[#This Row],[Recentes]]</f>
        <v>891</v>
      </c>
      <c r="AX739" s="319">
        <v>1</v>
      </c>
      <c r="AY739" s="319">
        <v>4</v>
      </c>
      <c r="AZ739" s="319">
        <f>IF(ISBLANK(tabItens[[#This Row],[CÓDIGO]]),"",tabItens[[#This Row],[PontoMês]] * (AZ$2+tabItens[[#This Row],[PontoQtM]]))</f>
        <v>4</v>
      </c>
      <c r="BA739" s="318">
        <f>tabItens[[#This Row],[PontoPed]] - tabItens[[#This Row],[Saldo]] + (1/10)</f>
        <v>-886.9</v>
      </c>
      <c r="BB739" s="318">
        <f xml:space="preserve"> tabItens[[#This Row],[PontoMês]] * BB$2 - tabItens[[#This Row],[QTDE ATUAL]] - (1/10)</f>
        <v>-890.1</v>
      </c>
      <c r="BC739" s="320">
        <f>IF( tabItens[[#This Row],[PontoPed]]&gt;0, IF(tabItens[[#This Row],[PontoPed]]&lt;1, 1, IF( tabItens[[#This Row],[Saldo]]&gt;tabItens[[#This Row],[PontoPed]], 0, (tabItens[[#This Row],[PontoPed]]-tabItens[[#This Row],[Saldo]])/tabItens[[#This Row],[PontoPed]] ) ), 0 )</f>
        <v>0</v>
      </c>
      <c r="BD739" s="321">
        <f>ROUNDDOWN(IF( OR( AND(tabItens[[#This Row],[PontoPed]]&lt;tabItens[[#This Row],[Saldo]],tabItens[[#This Row],[Saldo]]&gt;0), tabItens[[#This Row],[PontoPed]]=0), 99, IF(AND(tabItens[[#This Row],[Saldo]]=0,tabItens[[#This Row],[PontoPed]]&gt;0), 0, (1-tabItens[[#This Row],[PctAb]])*10 ) ),0)</f>
        <v>99</v>
      </c>
      <c r="BE739" s="322">
        <f>MAX(ROUNDDOWN( IF(tabItens[[#This Row],[Abaixo]] &gt; 0,   tabItens[[#This Row],[Abaixo]] + (tabItens[[#This Row],[PontoMês]] * IF( OR( ISBLANK(tabItens[[#This Row],[ATA Nº/ANO]]), tabItens[[#This Row],[ATA Nº/ANO]] = ""),BE$2,BE$1)),0),0),0)</f>
        <v>0</v>
      </c>
      <c r="BF73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23">
        <f>SUMIF(Consumo!$C$3:$C$869,tabItens[[#This Row],[CÓDIGO]],Consumo!$E$3:$E$869)</f>
        <v>0</v>
      </c>
      <c r="BH739" s="324">
        <f>IF(AND(tabItens[[#This Row],[Pend]] &gt; 0,tabItens[[#This Row],[Consumo]] &lt;&gt; 0), tabItens[[#This Row],[Pend]] / tabItens[[#This Row],[Consumo]], 0 )</f>
        <v>0</v>
      </c>
      <c r="BI739" s="323"/>
      <c r="BJ739" s="323"/>
      <c r="BK739" s="325" t="s">
        <v>2064</v>
      </c>
    </row>
    <row r="740" spans="1:63" hidden="1" x14ac:dyDescent="0.3">
      <c r="A740" s="286">
        <v>88731</v>
      </c>
      <c r="B740" s="287" t="s">
        <v>1497</v>
      </c>
      <c r="C740" s="288" t="s">
        <v>256</v>
      </c>
      <c r="D740" s="289">
        <v>15.28</v>
      </c>
      <c r="E740" s="290"/>
      <c r="F740" s="290"/>
      <c r="G740" s="290" t="s">
        <v>883</v>
      </c>
      <c r="H740" s="291">
        <v>40</v>
      </c>
      <c r="I740" s="292">
        <v>103003</v>
      </c>
      <c r="J740" s="293">
        <v>15.28</v>
      </c>
      <c r="K740" s="294">
        <v>1</v>
      </c>
      <c r="L740" s="295">
        <f>IF(tabItens[[#This Row],[Média]] &gt; 0, tabItens[[#This Row],[QTDE ATUAL]] / tabItens[[#This Row],[Média]],999.9)</f>
        <v>999.9</v>
      </c>
      <c r="M740" s="296">
        <v>0</v>
      </c>
      <c r="N740" s="297">
        <f>tabItens[[#This Row],[VALOR UNIT.]] * tabItens[[#This Row],[LC]]</f>
        <v>0</v>
      </c>
      <c r="O740" s="298"/>
      <c r="P740" s="299"/>
      <c r="Q740" s="300"/>
      <c r="R740" s="297"/>
      <c r="S740" s="301"/>
      <c r="T740" s="302">
        <f>ROUNDDOWN(IFERROR(tabItens[[#This Row],[ATA DT.VALID.]] - $D$1,0) / 30,0)</f>
        <v>-1504</v>
      </c>
      <c r="U740" s="287" t="s">
        <v>1491</v>
      </c>
      <c r="V740" s="303">
        <v>1</v>
      </c>
      <c r="W740" s="304" t="s">
        <v>2055</v>
      </c>
      <c r="X740" s="305">
        <v>55</v>
      </c>
      <c r="Y740" s="306">
        <v>26</v>
      </c>
      <c r="Z740" s="307"/>
      <c r="AA740" s="308"/>
      <c r="AB740" s="309"/>
      <c r="AC740" s="309"/>
      <c r="AD740" s="308"/>
      <c r="AE740" s="309"/>
      <c r="AF740" s="302"/>
      <c r="AG740" s="310" t="s">
        <v>2050</v>
      </c>
      <c r="AH740" s="311"/>
      <c r="AI740" s="302">
        <v>0</v>
      </c>
      <c r="AJ740" s="311">
        <v>40200</v>
      </c>
      <c r="AK740" s="311">
        <v>38656</v>
      </c>
      <c r="AL740" s="311">
        <v>41040</v>
      </c>
      <c r="AM740" s="301"/>
      <c r="AN740" s="290"/>
      <c r="AO740" s="312" t="str">
        <f>_xlfn.IFNA(IF(VLOOKUP(tabItens[[#This Row],[CÓDIGO]],tabExcluirDoEstoque[#Data],1,FALSE),"sim",""),"")</f>
        <v/>
      </c>
      <c r="AP740" s="313" t="str">
        <f ca="1">IF(OR(ISBLANK(tabItens[[#This Row],[ATA DT.VALID.]]),tabItens[[#This Row],[ATA DT.VALID.]]="",tabItens[[#This Row],[ATA DT.VALID.]]=" "),"",IF(TYPE(tabItens[[#This Row],[ATA DT.VALID.]])=1,ROUNDUP((tabItens[[#This Row],[ATA DT.VALID.]]-TODAY())/7,0),""))</f>
        <v/>
      </c>
      <c r="AQ740" s="314"/>
      <c r="AR740" s="315" t="str">
        <f>IF(ISBLANK(tabItens[[#This Row],[CÓDIGO]]),"",IFERROR(VLOOKUP(tabItens[[#This Row],[CÓDIGO]],Consumo!$C$2:$AC$869,26,FALSE),0))</f>
        <v>02.2023</v>
      </c>
      <c r="AS740" s="316">
        <f>SUMIF(Consumo!$C$3:$C$869,tabItens[[#This Row],[CÓDIGO]],Consumo!$N$3:$N$869) + SUMIF(Consumo!$C$3:$C$869,tabItens[[#This Row],[CÓDIGO]],Consumo!$O$3:$O$869) + SUMIF(Consumo!$C$3:$C$869,tabItens[[#This Row],[CÓDIGO]],Consumo!$P$3:$P$869) + SUMIF(Consumo!$C$3:$C$869,tabItens[[#This Row],[CÓDIGO]],Consumo!$Q$3:$Q$869)</f>
        <v>0</v>
      </c>
      <c r="AT740" s="316">
        <f>SUMIF(Consumo!$C$3:$C$869,tabItens[[#This Row],[CÓDIGO]],Consumo!$Z$3:$Z$869)</f>
        <v>1</v>
      </c>
      <c r="AU740" s="317">
        <f>SUMIF(Consumo!$C$3:$C$869,tabItens[[#This Row],[CÓDIGO]],Consumo!$AA$3:$AA$869)</f>
        <v>1</v>
      </c>
      <c r="AV740" s="318">
        <f>SUMIF(Consumo!$C$3:$C$869,tabItens[[#This Row],[CÓDIGO]],Consumo!$Y$3:$Y$869)</f>
        <v>0</v>
      </c>
      <c r="AW740" s="291">
        <f>tabItens[[#This Row],[QTDE ATUAL]] + tabItens[[#This Row],[RC QTDE]] + tabItens[[#This Row],[AF SALDO]] + tabItens[[#This Row],[Recentes]]</f>
        <v>40</v>
      </c>
      <c r="AX740" s="319">
        <v>0</v>
      </c>
      <c r="AY740" s="319">
        <v>4</v>
      </c>
      <c r="AZ740" s="319">
        <f>IF(ISBLANK(tabItens[[#This Row],[CÓDIGO]]),"",tabItens[[#This Row],[PontoMês]] * (AZ$2+tabItens[[#This Row],[PontoQtM]]))</f>
        <v>0</v>
      </c>
      <c r="BA740" s="318">
        <f>tabItens[[#This Row],[PontoPed]] - tabItens[[#This Row],[Saldo]] + (1/10)</f>
        <v>-39.9</v>
      </c>
      <c r="BB740" s="318">
        <f xml:space="preserve"> tabItens[[#This Row],[PontoMês]] * BB$2 - tabItens[[#This Row],[QTDE ATUAL]] - (1/10)</f>
        <v>-40.1</v>
      </c>
      <c r="BC740" s="320">
        <f>IF( tabItens[[#This Row],[PontoPed]]&gt;0, IF(tabItens[[#This Row],[PontoPed]]&lt;1, 1, IF( tabItens[[#This Row],[Saldo]]&gt;tabItens[[#This Row],[PontoPed]], 0, (tabItens[[#This Row],[PontoPed]]-tabItens[[#This Row],[Saldo]])/tabItens[[#This Row],[PontoPed]] ) ), 0 )</f>
        <v>0</v>
      </c>
      <c r="BD740" s="321">
        <f>ROUNDDOWN(IF( OR( AND(tabItens[[#This Row],[PontoPed]]&lt;tabItens[[#This Row],[Saldo]],tabItens[[#This Row],[Saldo]]&gt;0), tabItens[[#This Row],[PontoPed]]=0), 99, IF(AND(tabItens[[#This Row],[Saldo]]=0,tabItens[[#This Row],[PontoPed]]&gt;0), 0, (1-tabItens[[#This Row],[PctAb]])*10 ) ),0)</f>
        <v>99</v>
      </c>
      <c r="BE740" s="322">
        <f>MAX(ROUNDDOWN( IF(tabItens[[#This Row],[Abaixo]] &gt; 0,   tabItens[[#This Row],[Abaixo]] + (tabItens[[#This Row],[PontoMês]] * IF( OR( ISBLANK(tabItens[[#This Row],[ATA Nº/ANO]]), tabItens[[#This Row],[ATA Nº/ANO]] = ""),BE$2,BE$1)),0),0),0)</f>
        <v>0</v>
      </c>
      <c r="BF7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23">
        <f>SUMIF(Consumo!$C$3:$C$869,tabItens[[#This Row],[CÓDIGO]],Consumo!$E$3:$E$869)</f>
        <v>0</v>
      </c>
      <c r="BH740" s="324">
        <f>IF(AND(tabItens[[#This Row],[Pend]] &gt; 0,tabItens[[#This Row],[Consumo]] &lt;&gt; 0), tabItens[[#This Row],[Pend]] / tabItens[[#This Row],[Consumo]], 0 )</f>
        <v>0</v>
      </c>
      <c r="BI740" s="323"/>
      <c r="BJ740" s="323"/>
      <c r="BK740" s="325" t="s">
        <v>2064</v>
      </c>
    </row>
    <row r="741" spans="1:63" hidden="1" x14ac:dyDescent="0.3">
      <c r="A741" s="286">
        <v>93486</v>
      </c>
      <c r="B741" s="287" t="s">
        <v>1539</v>
      </c>
      <c r="C741" s="288" t="s">
        <v>256</v>
      </c>
      <c r="D741" s="289">
        <v>50.5</v>
      </c>
      <c r="E741" s="290"/>
      <c r="F741" s="290"/>
      <c r="G741" s="290" t="s">
        <v>883</v>
      </c>
      <c r="H741" s="291">
        <v>87</v>
      </c>
      <c r="I741" s="292">
        <v>103003</v>
      </c>
      <c r="J741" s="293">
        <v>50.5</v>
      </c>
      <c r="K741" s="294">
        <v>3</v>
      </c>
      <c r="L741" s="295">
        <f>IF(tabItens[[#This Row],[Média]] &gt; 0, tabItens[[#This Row],[QTDE ATUAL]] / tabItens[[#This Row],[Média]],999.9)</f>
        <v>522</v>
      </c>
      <c r="M741" s="296">
        <v>0</v>
      </c>
      <c r="N741" s="297">
        <f>tabItens[[#This Row],[VALOR UNIT.]] * tabItens[[#This Row],[LC]]</f>
        <v>0</v>
      </c>
      <c r="O741" s="298"/>
      <c r="P741" s="299"/>
      <c r="Q741" s="300"/>
      <c r="R741" s="297"/>
      <c r="S741" s="301"/>
      <c r="T741" s="302">
        <f>ROUNDDOWN(IFERROR(tabItens[[#This Row],[ATA DT.VALID.]] - $D$1,0) / 30,0)</f>
        <v>-1504</v>
      </c>
      <c r="U741" s="287" t="s">
        <v>1491</v>
      </c>
      <c r="V741" s="303">
        <v>1</v>
      </c>
      <c r="W741" s="304" t="s">
        <v>2055</v>
      </c>
      <c r="X741" s="305">
        <v>55</v>
      </c>
      <c r="Y741" s="306">
        <v>26</v>
      </c>
      <c r="Z741" s="307"/>
      <c r="AA741" s="308"/>
      <c r="AB741" s="309"/>
      <c r="AC741" s="309"/>
      <c r="AD741" s="308"/>
      <c r="AE741" s="309"/>
      <c r="AF741" s="302"/>
      <c r="AG741" s="310" t="s">
        <v>2050</v>
      </c>
      <c r="AH741" s="311"/>
      <c r="AI741" s="302">
        <v>2</v>
      </c>
      <c r="AJ741" s="311">
        <v>43641</v>
      </c>
      <c r="AK741" s="311">
        <v>38930</v>
      </c>
      <c r="AL741" s="311">
        <v>43623</v>
      </c>
      <c r="AM741" s="301"/>
      <c r="AN741" s="290"/>
      <c r="AO741" s="312" t="str">
        <f>_xlfn.IFNA(IF(VLOOKUP(tabItens[[#This Row],[CÓDIGO]],tabExcluirDoEstoque[#Data],1,FALSE),"sim",""),"")</f>
        <v/>
      </c>
      <c r="AP741" s="313" t="str">
        <f ca="1">IF(OR(ISBLANK(tabItens[[#This Row],[ATA DT.VALID.]]),tabItens[[#This Row],[ATA DT.VALID.]]="",tabItens[[#This Row],[ATA DT.VALID.]]=" "),"",IF(TYPE(tabItens[[#This Row],[ATA DT.VALID.]])=1,ROUNDUP((tabItens[[#This Row],[ATA DT.VALID.]]-TODAY())/7,0),""))</f>
        <v/>
      </c>
      <c r="AQ741" s="314"/>
      <c r="AR741" s="315" t="str">
        <f>IF(ISBLANK(tabItens[[#This Row],[CÓDIGO]]),"",IFERROR(VLOOKUP(tabItens[[#This Row],[CÓDIGO]],Consumo!$C$2:$AC$869,26,FALSE),0))</f>
        <v>04.2023</v>
      </c>
      <c r="AS741" s="316">
        <f>SUMIF(Consumo!$C$3:$C$869,tabItens[[#This Row],[CÓDIGO]],Consumo!$N$3:$N$869) + SUMIF(Consumo!$C$3:$C$869,tabItens[[#This Row],[CÓDIGO]],Consumo!$O$3:$O$869) + SUMIF(Consumo!$C$3:$C$869,tabItens[[#This Row],[CÓDIGO]],Consumo!$P$3:$P$869) + SUMIF(Consumo!$C$3:$C$869,tabItens[[#This Row],[CÓDIGO]],Consumo!$Q$3:$Q$869)</f>
        <v>1</v>
      </c>
      <c r="AT741" s="316">
        <f>SUMIF(Consumo!$C$3:$C$869,tabItens[[#This Row],[CÓDIGO]],Consumo!$Z$3:$Z$869)</f>
        <v>3</v>
      </c>
      <c r="AU741" s="317">
        <f>SUMIF(Consumo!$C$3:$C$869,tabItens[[#This Row],[CÓDIGO]],Consumo!$AA$3:$AA$869)</f>
        <v>2</v>
      </c>
      <c r="AV741" s="318">
        <f>SUMIF(Consumo!$C$3:$C$869,tabItens[[#This Row],[CÓDIGO]],Consumo!$Y$3:$Y$869)</f>
        <v>0.16666666666666666</v>
      </c>
      <c r="AW741" s="291">
        <f>tabItens[[#This Row],[QTDE ATUAL]] + tabItens[[#This Row],[RC QTDE]] + tabItens[[#This Row],[AF SALDO]] + tabItens[[#This Row],[Recentes]]</f>
        <v>87</v>
      </c>
      <c r="AX741" s="319">
        <v>1</v>
      </c>
      <c r="AY741" s="319">
        <v>4</v>
      </c>
      <c r="AZ741" s="319">
        <f>IF(ISBLANK(tabItens[[#This Row],[CÓDIGO]]),"",tabItens[[#This Row],[PontoMês]] * (AZ$2+tabItens[[#This Row],[PontoQtM]]))</f>
        <v>4</v>
      </c>
      <c r="BA741" s="318">
        <f>tabItens[[#This Row],[PontoPed]] - tabItens[[#This Row],[Saldo]] + (1/10)</f>
        <v>-82.9</v>
      </c>
      <c r="BB741" s="318">
        <f xml:space="preserve"> tabItens[[#This Row],[PontoMês]] * BB$2 - tabItens[[#This Row],[QTDE ATUAL]] - (1/10)</f>
        <v>-86.1</v>
      </c>
      <c r="BC741" s="320">
        <f>IF( tabItens[[#This Row],[PontoPed]]&gt;0, IF(tabItens[[#This Row],[PontoPed]]&lt;1, 1, IF( tabItens[[#This Row],[Saldo]]&gt;tabItens[[#This Row],[PontoPed]], 0, (tabItens[[#This Row],[PontoPed]]-tabItens[[#This Row],[Saldo]])/tabItens[[#This Row],[PontoPed]] ) ), 0 )</f>
        <v>0</v>
      </c>
      <c r="BD741" s="321">
        <f>ROUNDDOWN(IF( OR( AND(tabItens[[#This Row],[PontoPed]]&lt;tabItens[[#This Row],[Saldo]],tabItens[[#This Row],[Saldo]]&gt;0), tabItens[[#This Row],[PontoPed]]=0), 99, IF(AND(tabItens[[#This Row],[Saldo]]=0,tabItens[[#This Row],[PontoPed]]&gt;0), 0, (1-tabItens[[#This Row],[PctAb]])*10 ) ),0)</f>
        <v>99</v>
      </c>
      <c r="BE741" s="322">
        <f>MAX(ROUNDDOWN( IF(tabItens[[#This Row],[Abaixo]] &gt; 0,   tabItens[[#This Row],[Abaixo]] + (tabItens[[#This Row],[PontoMês]] * IF( OR( ISBLANK(tabItens[[#This Row],[ATA Nº/ANO]]), tabItens[[#This Row],[ATA Nº/ANO]] = ""),BE$2,BE$1)),0),0),0)</f>
        <v>0</v>
      </c>
      <c r="BF7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23">
        <f>SUMIF(Consumo!$C$3:$C$869,tabItens[[#This Row],[CÓDIGO]],Consumo!$E$3:$E$869)</f>
        <v>0</v>
      </c>
      <c r="BH741" s="324">
        <f>IF(AND(tabItens[[#This Row],[Pend]] &gt; 0,tabItens[[#This Row],[Consumo]] &lt;&gt; 0), tabItens[[#This Row],[Pend]] / tabItens[[#This Row],[Consumo]], 0 )</f>
        <v>0</v>
      </c>
      <c r="BI741" s="323"/>
      <c r="BJ741" s="323"/>
      <c r="BK741" s="325" t="s">
        <v>2064</v>
      </c>
    </row>
    <row r="742" spans="1:63" hidden="1" x14ac:dyDescent="0.3">
      <c r="A742" s="286">
        <v>93487</v>
      </c>
      <c r="B742" s="287" t="s">
        <v>1540</v>
      </c>
      <c r="C742" s="288" t="s">
        <v>256</v>
      </c>
      <c r="D742" s="289">
        <v>66.900000000000006</v>
      </c>
      <c r="E742" s="290"/>
      <c r="F742" s="290"/>
      <c r="G742" s="290" t="s">
        <v>883</v>
      </c>
      <c r="H742" s="291">
        <v>7</v>
      </c>
      <c r="I742" s="292">
        <v>103003</v>
      </c>
      <c r="J742" s="293">
        <v>66.900000000000006</v>
      </c>
      <c r="K742" s="294"/>
      <c r="L742" s="295">
        <f>IF(tabItens[[#This Row],[Média]] &gt; 0, tabItens[[#This Row],[QTDE ATUAL]] / tabItens[[#This Row],[Média]],999.9)</f>
        <v>999.9</v>
      </c>
      <c r="M742" s="296">
        <v>0</v>
      </c>
      <c r="N742" s="297">
        <f>tabItens[[#This Row],[VALOR UNIT.]] * tabItens[[#This Row],[LC]]</f>
        <v>0</v>
      </c>
      <c r="O742" s="298"/>
      <c r="P742" s="299"/>
      <c r="Q742" s="300"/>
      <c r="R742" s="297"/>
      <c r="S742" s="301"/>
      <c r="T742" s="302">
        <f>ROUNDDOWN(IFERROR(tabItens[[#This Row],[ATA DT.VALID.]] - $D$1,0) / 30,0)</f>
        <v>-1504</v>
      </c>
      <c r="U742" s="287" t="s">
        <v>1491</v>
      </c>
      <c r="V742" s="303">
        <v>1</v>
      </c>
      <c r="W742" s="304" t="s">
        <v>2055</v>
      </c>
      <c r="X742" s="305">
        <v>55</v>
      </c>
      <c r="Y742" s="306">
        <v>26</v>
      </c>
      <c r="Z742" s="307"/>
      <c r="AA742" s="308"/>
      <c r="AB742" s="309"/>
      <c r="AC742" s="309"/>
      <c r="AD742" s="308"/>
      <c r="AE742" s="309"/>
      <c r="AF742" s="302"/>
      <c r="AG742" s="310" t="s">
        <v>2050</v>
      </c>
      <c r="AH742" s="311"/>
      <c r="AI742" s="302">
        <v>0</v>
      </c>
      <c r="AJ742" s="311">
        <v>43440</v>
      </c>
      <c r="AK742" s="311">
        <v>38930</v>
      </c>
      <c r="AL742" s="311">
        <v>43411</v>
      </c>
      <c r="AM742" s="301"/>
      <c r="AN742" s="290"/>
      <c r="AO742" s="312" t="str">
        <f>_xlfn.IFNA(IF(VLOOKUP(tabItens[[#This Row],[CÓDIGO]],tabExcluirDoEstoque[#Data],1,FALSE),"sim",""),"")</f>
        <v/>
      </c>
      <c r="AP742" s="313" t="str">
        <f ca="1">IF(OR(ISBLANK(tabItens[[#This Row],[ATA DT.VALID.]]),tabItens[[#This Row],[ATA DT.VALID.]]="",tabItens[[#This Row],[ATA DT.VALID.]]=" "),"",IF(TYPE(tabItens[[#This Row],[ATA DT.VALID.]])=1,ROUNDUP((tabItens[[#This Row],[ATA DT.VALID.]]-TODAY())/7,0),""))</f>
        <v/>
      </c>
      <c r="AQ742" s="314"/>
      <c r="AR742" s="315">
        <f>IF(ISBLANK(tabItens[[#This Row],[CÓDIGO]]),"",IFERROR(VLOOKUP(tabItens[[#This Row],[CÓDIGO]],Consumo!$C$2:$AC$869,26,FALSE),0))</f>
        <v>0</v>
      </c>
      <c r="AS742" s="316">
        <f>SUMIF(Consumo!$C$3:$C$869,tabItens[[#This Row],[CÓDIGO]],Consumo!$N$3:$N$869) + SUMIF(Consumo!$C$3:$C$869,tabItens[[#This Row],[CÓDIGO]],Consumo!$O$3:$O$869) + SUMIF(Consumo!$C$3:$C$869,tabItens[[#This Row],[CÓDIGO]],Consumo!$P$3:$P$869) + SUMIF(Consumo!$C$3:$C$869,tabItens[[#This Row],[CÓDIGO]],Consumo!$Q$3:$Q$869)</f>
        <v>0</v>
      </c>
      <c r="AT742" s="316">
        <f>SUMIF(Consumo!$C$3:$C$869,tabItens[[#This Row],[CÓDIGO]],Consumo!$Z$3:$Z$869)</f>
        <v>0</v>
      </c>
      <c r="AU742" s="317">
        <f>SUMIF(Consumo!$C$3:$C$869,tabItens[[#This Row],[CÓDIGO]],Consumo!$AA$3:$AA$869)</f>
        <v>0</v>
      </c>
      <c r="AV742" s="318">
        <f>SUMIF(Consumo!$C$3:$C$869,tabItens[[#This Row],[CÓDIGO]],Consumo!$Y$3:$Y$869)</f>
        <v>0</v>
      </c>
      <c r="AW742" s="291">
        <f>tabItens[[#This Row],[QTDE ATUAL]] + tabItens[[#This Row],[RC QTDE]] + tabItens[[#This Row],[AF SALDO]] + tabItens[[#This Row],[Recentes]]</f>
        <v>7</v>
      </c>
      <c r="AX742" s="319">
        <v>1</v>
      </c>
      <c r="AY742" s="319">
        <v>4</v>
      </c>
      <c r="AZ742" s="319">
        <f>IF(ISBLANK(tabItens[[#This Row],[CÓDIGO]]),"",tabItens[[#This Row],[PontoMês]] * (AZ$2+tabItens[[#This Row],[PontoQtM]]))</f>
        <v>4</v>
      </c>
      <c r="BA742" s="318">
        <f>tabItens[[#This Row],[PontoPed]] - tabItens[[#This Row],[Saldo]] + (1/10)</f>
        <v>-2.9</v>
      </c>
      <c r="BB742" s="318">
        <f xml:space="preserve"> tabItens[[#This Row],[PontoMês]] * BB$2 - tabItens[[#This Row],[QTDE ATUAL]] - (1/10)</f>
        <v>-6.1</v>
      </c>
      <c r="BC742" s="320">
        <f>IF( tabItens[[#This Row],[PontoPed]]&gt;0, IF(tabItens[[#This Row],[PontoPed]]&lt;1, 1, IF( tabItens[[#This Row],[Saldo]]&gt;tabItens[[#This Row],[PontoPed]], 0, (tabItens[[#This Row],[PontoPed]]-tabItens[[#This Row],[Saldo]])/tabItens[[#This Row],[PontoPed]] ) ), 0 )</f>
        <v>0</v>
      </c>
      <c r="BD742" s="321">
        <f>ROUNDDOWN(IF( OR( AND(tabItens[[#This Row],[PontoPed]]&lt;tabItens[[#This Row],[Saldo]],tabItens[[#This Row],[Saldo]]&gt;0), tabItens[[#This Row],[PontoPed]]=0), 99, IF(AND(tabItens[[#This Row],[Saldo]]=0,tabItens[[#This Row],[PontoPed]]&gt;0), 0, (1-tabItens[[#This Row],[PctAb]])*10 ) ),0)</f>
        <v>99</v>
      </c>
      <c r="BE742" s="322">
        <f>MAX(ROUNDDOWN( IF(tabItens[[#This Row],[Abaixo]] &gt; 0,   tabItens[[#This Row],[Abaixo]] + (tabItens[[#This Row],[PontoMês]] * IF( OR( ISBLANK(tabItens[[#This Row],[ATA Nº/ANO]]), tabItens[[#This Row],[ATA Nº/ANO]] = ""),BE$2,BE$1)),0),0),0)</f>
        <v>0</v>
      </c>
      <c r="BF7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23">
        <f>SUMIF(Consumo!$C$3:$C$869,tabItens[[#This Row],[CÓDIGO]],Consumo!$E$3:$E$869)</f>
        <v>0</v>
      </c>
      <c r="BH742" s="324">
        <f>IF(AND(tabItens[[#This Row],[Pend]] &gt; 0,tabItens[[#This Row],[Consumo]] &lt;&gt; 0), tabItens[[#This Row],[Pend]] / tabItens[[#This Row],[Consumo]], 0 )</f>
        <v>0</v>
      </c>
      <c r="BI742" s="323"/>
      <c r="BJ742" s="323"/>
      <c r="BK742" s="325" t="s">
        <v>2064</v>
      </c>
    </row>
    <row r="743" spans="1:63" hidden="1" x14ac:dyDescent="0.3">
      <c r="A743" s="286">
        <v>93488</v>
      </c>
      <c r="B743" s="287" t="s">
        <v>1541</v>
      </c>
      <c r="C743" s="288" t="s">
        <v>256</v>
      </c>
      <c r="D743" s="289">
        <v>78.400000000000006</v>
      </c>
      <c r="E743" s="290"/>
      <c r="F743" s="290"/>
      <c r="G743" s="290" t="s">
        <v>883</v>
      </c>
      <c r="H743" s="291">
        <v>17</v>
      </c>
      <c r="I743" s="292">
        <v>103003</v>
      </c>
      <c r="J743" s="293">
        <v>78.400000000000006</v>
      </c>
      <c r="K743" s="294">
        <v>5</v>
      </c>
      <c r="L743" s="295">
        <f>IF(tabItens[[#This Row],[Média]] &gt; 0, tabItens[[#This Row],[QTDE ATUAL]] / tabItens[[#This Row],[Média]],999.9)</f>
        <v>68</v>
      </c>
      <c r="M743" s="296">
        <v>0</v>
      </c>
      <c r="N743" s="297">
        <f>tabItens[[#This Row],[VALOR UNIT.]] * tabItens[[#This Row],[LC]]</f>
        <v>0</v>
      </c>
      <c r="O743" s="298"/>
      <c r="P743" s="299"/>
      <c r="Q743" s="300"/>
      <c r="R743" s="297"/>
      <c r="S743" s="301"/>
      <c r="T743" s="302">
        <f>ROUNDDOWN(IFERROR(tabItens[[#This Row],[ATA DT.VALID.]] - $D$1,0) / 30,0)</f>
        <v>-1504</v>
      </c>
      <c r="U743" s="287" t="s">
        <v>1491</v>
      </c>
      <c r="V743" s="303">
        <v>1</v>
      </c>
      <c r="W743" s="304" t="s">
        <v>2055</v>
      </c>
      <c r="X743" s="305">
        <v>55</v>
      </c>
      <c r="Y743" s="306">
        <v>26</v>
      </c>
      <c r="Z743" s="307"/>
      <c r="AA743" s="308"/>
      <c r="AB743" s="309"/>
      <c r="AC743" s="309"/>
      <c r="AD743" s="308"/>
      <c r="AE743" s="309"/>
      <c r="AF743" s="302"/>
      <c r="AG743" s="310" t="s">
        <v>2050</v>
      </c>
      <c r="AH743" s="311"/>
      <c r="AI743" s="302">
        <v>2</v>
      </c>
      <c r="AJ743" s="311">
        <v>43424</v>
      </c>
      <c r="AK743" s="311">
        <v>38930</v>
      </c>
      <c r="AL743" s="311">
        <v>43411</v>
      </c>
      <c r="AM743" s="301"/>
      <c r="AN743" s="290"/>
      <c r="AO743" s="312" t="str">
        <f>_xlfn.IFNA(IF(VLOOKUP(tabItens[[#This Row],[CÓDIGO]],tabExcluirDoEstoque[#Data],1,FALSE),"sim",""),"")</f>
        <v/>
      </c>
      <c r="AP743" s="313" t="str">
        <f ca="1">IF(OR(ISBLANK(tabItens[[#This Row],[ATA DT.VALID.]]),tabItens[[#This Row],[ATA DT.VALID.]]="",tabItens[[#This Row],[ATA DT.VALID.]]=" "),"",IF(TYPE(tabItens[[#This Row],[ATA DT.VALID.]])=1,ROUNDUP((tabItens[[#This Row],[ATA DT.VALID.]]-TODAY())/7,0),""))</f>
        <v/>
      </c>
      <c r="AQ743" s="314"/>
      <c r="AR743" s="315" t="str">
        <f>IF(ISBLANK(tabItens[[#This Row],[CÓDIGO]]),"",IFERROR(VLOOKUP(tabItens[[#This Row],[CÓDIGO]],Consumo!$C$2:$AC$869,26,FALSE),0))</f>
        <v>04.2023</v>
      </c>
      <c r="AS743" s="316">
        <f>SUMIF(Consumo!$C$3:$C$869,tabItens[[#This Row],[CÓDIGO]],Consumo!$N$3:$N$869) + SUMIF(Consumo!$C$3:$C$869,tabItens[[#This Row],[CÓDIGO]],Consumo!$O$3:$O$869) + SUMIF(Consumo!$C$3:$C$869,tabItens[[#This Row],[CÓDIGO]],Consumo!$P$3:$P$869) + SUMIF(Consumo!$C$3:$C$869,tabItens[[#This Row],[CÓDIGO]],Consumo!$Q$3:$Q$869)</f>
        <v>4</v>
      </c>
      <c r="AT743" s="316">
        <f>SUMIF(Consumo!$C$3:$C$869,tabItens[[#This Row],[CÓDIGO]],Consumo!$Z$3:$Z$869)</f>
        <v>5</v>
      </c>
      <c r="AU743" s="317">
        <f>SUMIF(Consumo!$C$3:$C$869,tabItens[[#This Row],[CÓDIGO]],Consumo!$AA$3:$AA$869)</f>
        <v>4</v>
      </c>
      <c r="AV743" s="318">
        <f>SUMIF(Consumo!$C$3:$C$869,tabItens[[#This Row],[CÓDIGO]],Consumo!$Y$3:$Y$869)</f>
        <v>0.25</v>
      </c>
      <c r="AW743" s="291">
        <f>tabItens[[#This Row],[QTDE ATUAL]] + tabItens[[#This Row],[RC QTDE]] + tabItens[[#This Row],[AF SALDO]] + tabItens[[#This Row],[Recentes]]</f>
        <v>17</v>
      </c>
      <c r="AX743" s="319">
        <v>1</v>
      </c>
      <c r="AY743" s="319">
        <v>4</v>
      </c>
      <c r="AZ743" s="319">
        <f>IF(ISBLANK(tabItens[[#This Row],[CÓDIGO]]),"",tabItens[[#This Row],[PontoMês]] * (AZ$2+tabItens[[#This Row],[PontoQtM]]))</f>
        <v>4</v>
      </c>
      <c r="BA743" s="318">
        <f>tabItens[[#This Row],[PontoPed]] - tabItens[[#This Row],[Saldo]] + (1/10)</f>
        <v>-12.9</v>
      </c>
      <c r="BB743" s="318">
        <f xml:space="preserve"> tabItens[[#This Row],[PontoMês]] * BB$2 - tabItens[[#This Row],[QTDE ATUAL]] - (1/10)</f>
        <v>-16.100000000000001</v>
      </c>
      <c r="BC743" s="320">
        <f>IF( tabItens[[#This Row],[PontoPed]]&gt;0, IF(tabItens[[#This Row],[PontoPed]]&lt;1, 1, IF( tabItens[[#This Row],[Saldo]]&gt;tabItens[[#This Row],[PontoPed]], 0, (tabItens[[#This Row],[PontoPed]]-tabItens[[#This Row],[Saldo]])/tabItens[[#This Row],[PontoPed]] ) ), 0 )</f>
        <v>0</v>
      </c>
      <c r="BD743" s="321">
        <f>ROUNDDOWN(IF( OR( AND(tabItens[[#This Row],[PontoPed]]&lt;tabItens[[#This Row],[Saldo]],tabItens[[#This Row],[Saldo]]&gt;0), tabItens[[#This Row],[PontoPed]]=0), 99, IF(AND(tabItens[[#This Row],[Saldo]]=0,tabItens[[#This Row],[PontoPed]]&gt;0), 0, (1-tabItens[[#This Row],[PctAb]])*10 ) ),0)</f>
        <v>99</v>
      </c>
      <c r="BE743" s="322">
        <f>MAX(ROUNDDOWN( IF(tabItens[[#This Row],[Abaixo]] &gt; 0,   tabItens[[#This Row],[Abaixo]] + (tabItens[[#This Row],[PontoMês]] * IF( OR( ISBLANK(tabItens[[#This Row],[ATA Nº/ANO]]), tabItens[[#This Row],[ATA Nº/ANO]] = ""),BE$2,BE$1)),0),0),0)</f>
        <v>0</v>
      </c>
      <c r="BF7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23">
        <f>SUMIF(Consumo!$C$3:$C$869,tabItens[[#This Row],[CÓDIGO]],Consumo!$E$3:$E$869)</f>
        <v>0</v>
      </c>
      <c r="BH743" s="324">
        <f>IF(AND(tabItens[[#This Row],[Pend]] &gt; 0,tabItens[[#This Row],[Consumo]] &lt;&gt; 0), tabItens[[#This Row],[Pend]] / tabItens[[#This Row],[Consumo]], 0 )</f>
        <v>0</v>
      </c>
      <c r="BI743" s="323"/>
      <c r="BJ743" s="323"/>
      <c r="BK743" s="325" t="s">
        <v>2064</v>
      </c>
    </row>
    <row r="744" spans="1:63" hidden="1" x14ac:dyDescent="0.3">
      <c r="A744" s="286">
        <v>102822</v>
      </c>
      <c r="B744" s="287" t="s">
        <v>1584</v>
      </c>
      <c r="C744" s="288" t="s">
        <v>256</v>
      </c>
      <c r="D744" s="289">
        <v>4.0999999999999996</v>
      </c>
      <c r="E744" s="290"/>
      <c r="F744" s="290"/>
      <c r="G744" s="290" t="s">
        <v>883</v>
      </c>
      <c r="H744" s="291">
        <v>60</v>
      </c>
      <c r="I744" s="292">
        <v>103003</v>
      </c>
      <c r="J744" s="293">
        <v>4.0999999999999996</v>
      </c>
      <c r="K744" s="294">
        <v>7</v>
      </c>
      <c r="L744" s="295">
        <f>IF(tabItens[[#This Row],[Média]] &gt; 0, tabItens[[#This Row],[QTDE ATUAL]] / tabItens[[#This Row],[Média]],999.9)</f>
        <v>120</v>
      </c>
      <c r="M744" s="296">
        <v>0</v>
      </c>
      <c r="N744" s="297">
        <f>tabItens[[#This Row],[VALOR UNIT.]] * tabItens[[#This Row],[LC]]</f>
        <v>0</v>
      </c>
      <c r="O744" s="298"/>
      <c r="P744" s="299"/>
      <c r="Q744" s="300"/>
      <c r="R744" s="297"/>
      <c r="S744" s="301"/>
      <c r="T744" s="302">
        <f>ROUNDDOWN(IFERROR(tabItens[[#This Row],[ATA DT.VALID.]] - $D$1,0) / 30,0)</f>
        <v>-1504</v>
      </c>
      <c r="U744" s="287" t="s">
        <v>1491</v>
      </c>
      <c r="V744" s="303">
        <v>1</v>
      </c>
      <c r="W744" s="304" t="s">
        <v>2055</v>
      </c>
      <c r="X744" s="305">
        <v>55</v>
      </c>
      <c r="Y744" s="306">
        <v>26</v>
      </c>
      <c r="Z744" s="307"/>
      <c r="AA744" s="308"/>
      <c r="AB744" s="309"/>
      <c r="AC744" s="309"/>
      <c r="AD744" s="308"/>
      <c r="AE744" s="309"/>
      <c r="AF744" s="302"/>
      <c r="AG744" s="310" t="s">
        <v>2050</v>
      </c>
      <c r="AH744" s="311"/>
      <c r="AI744" s="302">
        <v>2</v>
      </c>
      <c r="AJ744" s="311">
        <v>40263</v>
      </c>
      <c r="AK744" s="311">
        <v>39374</v>
      </c>
      <c r="AL744" s="311">
        <v>42968</v>
      </c>
      <c r="AM744" s="301"/>
      <c r="AN744" s="290"/>
      <c r="AO744" s="312" t="str">
        <f>_xlfn.IFNA(IF(VLOOKUP(tabItens[[#This Row],[CÓDIGO]],tabExcluirDoEstoque[#Data],1,FALSE),"sim",""),"")</f>
        <v/>
      </c>
      <c r="AP744" s="313" t="str">
        <f ca="1">IF(OR(ISBLANK(tabItens[[#This Row],[ATA DT.VALID.]]),tabItens[[#This Row],[ATA DT.VALID.]]="",tabItens[[#This Row],[ATA DT.VALID.]]=" "),"",IF(TYPE(tabItens[[#This Row],[ATA DT.VALID.]])=1,ROUNDUP((tabItens[[#This Row],[ATA DT.VALID.]]-TODAY())/7,0),""))</f>
        <v/>
      </c>
      <c r="AQ744" s="314"/>
      <c r="AR744" s="315" t="str">
        <f>IF(ISBLANK(tabItens[[#This Row],[CÓDIGO]]),"",IFERROR(VLOOKUP(tabItens[[#This Row],[CÓDIGO]],Consumo!$C$2:$AC$869,26,FALSE),0))</f>
        <v>02.2023</v>
      </c>
      <c r="AS744" s="316">
        <f>SUMIF(Consumo!$C$3:$C$869,tabItens[[#This Row],[CÓDIGO]],Consumo!$N$3:$N$869) + SUMIF(Consumo!$C$3:$C$869,tabItens[[#This Row],[CÓDIGO]],Consumo!$O$3:$O$869) + SUMIF(Consumo!$C$3:$C$869,tabItens[[#This Row],[CÓDIGO]],Consumo!$P$3:$P$869) + SUMIF(Consumo!$C$3:$C$869,tabItens[[#This Row],[CÓDIGO]],Consumo!$Q$3:$Q$869)</f>
        <v>0</v>
      </c>
      <c r="AT744" s="316">
        <f>SUMIF(Consumo!$C$3:$C$869,tabItens[[#This Row],[CÓDIGO]],Consumo!$Z$3:$Z$869)</f>
        <v>7</v>
      </c>
      <c r="AU744" s="317">
        <f>SUMIF(Consumo!$C$3:$C$869,tabItens[[#This Row],[CÓDIGO]],Consumo!$AA$3:$AA$869)</f>
        <v>3</v>
      </c>
      <c r="AV744" s="318">
        <f>SUMIF(Consumo!$C$3:$C$869,tabItens[[#This Row],[CÓDIGO]],Consumo!$Y$3:$Y$869)</f>
        <v>0.5</v>
      </c>
      <c r="AW744" s="291">
        <f>tabItens[[#This Row],[QTDE ATUAL]] + tabItens[[#This Row],[RC QTDE]] + tabItens[[#This Row],[AF SALDO]] + tabItens[[#This Row],[Recentes]]</f>
        <v>60</v>
      </c>
      <c r="AX744" s="319">
        <v>1</v>
      </c>
      <c r="AY744" s="319">
        <v>4</v>
      </c>
      <c r="AZ744" s="319">
        <f>IF(ISBLANK(tabItens[[#This Row],[CÓDIGO]]),"",tabItens[[#This Row],[PontoMês]] * (AZ$2+tabItens[[#This Row],[PontoQtM]]))</f>
        <v>4</v>
      </c>
      <c r="BA744" s="318">
        <f>tabItens[[#This Row],[PontoPed]] - tabItens[[#This Row],[Saldo]] + (1/10)</f>
        <v>-55.9</v>
      </c>
      <c r="BB744" s="318">
        <f xml:space="preserve"> tabItens[[#This Row],[PontoMês]] * BB$2 - tabItens[[#This Row],[QTDE ATUAL]] - (1/10)</f>
        <v>-59.1</v>
      </c>
      <c r="BC744" s="320">
        <f>IF( tabItens[[#This Row],[PontoPed]]&gt;0, IF(tabItens[[#This Row],[PontoPed]]&lt;1, 1, IF( tabItens[[#This Row],[Saldo]]&gt;tabItens[[#This Row],[PontoPed]], 0, (tabItens[[#This Row],[PontoPed]]-tabItens[[#This Row],[Saldo]])/tabItens[[#This Row],[PontoPed]] ) ), 0 )</f>
        <v>0</v>
      </c>
      <c r="BD744" s="321">
        <f>ROUNDDOWN(IF( OR( AND(tabItens[[#This Row],[PontoPed]]&lt;tabItens[[#This Row],[Saldo]],tabItens[[#This Row],[Saldo]]&gt;0), tabItens[[#This Row],[PontoPed]]=0), 99, IF(AND(tabItens[[#This Row],[Saldo]]=0,tabItens[[#This Row],[PontoPed]]&gt;0), 0, (1-tabItens[[#This Row],[PctAb]])*10 ) ),0)</f>
        <v>99</v>
      </c>
      <c r="BE744" s="322">
        <f>MAX(ROUNDDOWN( IF(tabItens[[#This Row],[Abaixo]] &gt; 0,   tabItens[[#This Row],[Abaixo]] + (tabItens[[#This Row],[PontoMês]] * IF( OR( ISBLANK(tabItens[[#This Row],[ATA Nº/ANO]]), tabItens[[#This Row],[ATA Nº/ANO]] = ""),BE$2,BE$1)),0),0),0)</f>
        <v>0</v>
      </c>
      <c r="BF74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23">
        <f>SUMIF(Consumo!$C$3:$C$869,tabItens[[#This Row],[CÓDIGO]],Consumo!$E$3:$E$869)</f>
        <v>0</v>
      </c>
      <c r="BH744" s="324">
        <f>IF(AND(tabItens[[#This Row],[Pend]] &gt; 0,tabItens[[#This Row],[Consumo]] &lt;&gt; 0), tabItens[[#This Row],[Pend]] / tabItens[[#This Row],[Consumo]], 0 )</f>
        <v>0</v>
      </c>
      <c r="BI744" s="323"/>
      <c r="BJ744" s="323"/>
      <c r="BK744" s="325" t="s">
        <v>2064</v>
      </c>
    </row>
    <row r="745" spans="1:63" hidden="1" x14ac:dyDescent="0.3">
      <c r="A745" s="286">
        <v>37518</v>
      </c>
      <c r="B745" s="287" t="s">
        <v>1266</v>
      </c>
      <c r="C745" s="288" t="s">
        <v>256</v>
      </c>
      <c r="D745" s="289">
        <v>0.11</v>
      </c>
      <c r="E745" s="290"/>
      <c r="F745" s="290"/>
      <c r="G745" s="290" t="s">
        <v>883</v>
      </c>
      <c r="H745" s="291">
        <v>350</v>
      </c>
      <c r="I745" s="292">
        <v>103003</v>
      </c>
      <c r="J745" s="293">
        <v>0.11</v>
      </c>
      <c r="K745" s="294"/>
      <c r="L745" s="295">
        <f>IF(tabItens[[#This Row],[Média]] &gt; 0, tabItens[[#This Row],[QTDE ATUAL]] / tabItens[[#This Row],[Média]],999.9)</f>
        <v>999.9</v>
      </c>
      <c r="M745" s="296">
        <v>0</v>
      </c>
      <c r="N745" s="297">
        <f>tabItens[[#This Row],[VALOR UNIT.]] * tabItens[[#This Row],[LC]]</f>
        <v>0</v>
      </c>
      <c r="O745" s="298"/>
      <c r="P745" s="299"/>
      <c r="Q745" s="300"/>
      <c r="R745" s="297"/>
      <c r="S745" s="301"/>
      <c r="T745" s="302">
        <f>ROUNDDOWN(IFERROR(tabItens[[#This Row],[ATA DT.VALID.]] - $D$1,0) / 30,0)</f>
        <v>-1504</v>
      </c>
      <c r="U745" s="287" t="s">
        <v>1073</v>
      </c>
      <c r="V745" s="303">
        <v>1</v>
      </c>
      <c r="W745" s="304" t="s">
        <v>2055</v>
      </c>
      <c r="X745" s="305">
        <v>55</v>
      </c>
      <c r="Y745" s="306">
        <v>27</v>
      </c>
      <c r="Z745" s="307"/>
      <c r="AA745" s="308"/>
      <c r="AB745" s="309"/>
      <c r="AC745" s="309"/>
      <c r="AD745" s="308"/>
      <c r="AE745" s="309"/>
      <c r="AF745" s="302"/>
      <c r="AG745" s="310" t="s">
        <v>2050</v>
      </c>
      <c r="AH745" s="311"/>
      <c r="AI745" s="302">
        <v>0</v>
      </c>
      <c r="AJ745" s="311">
        <v>41970</v>
      </c>
      <c r="AK745" s="311" t="s">
        <v>883</v>
      </c>
      <c r="AL745" s="311">
        <v>42142</v>
      </c>
      <c r="AM745" s="301"/>
      <c r="AN745" s="290"/>
      <c r="AO745" s="312" t="str">
        <f>_xlfn.IFNA(IF(VLOOKUP(tabItens[[#This Row],[CÓDIGO]],tabExcluirDoEstoque[#Data],1,FALSE),"sim",""),"")</f>
        <v/>
      </c>
      <c r="AP745" s="313" t="str">
        <f ca="1">IF(OR(ISBLANK(tabItens[[#This Row],[ATA DT.VALID.]]),tabItens[[#This Row],[ATA DT.VALID.]]="",tabItens[[#This Row],[ATA DT.VALID.]]=" "),"",IF(TYPE(tabItens[[#This Row],[ATA DT.VALID.]])=1,ROUNDUP((tabItens[[#This Row],[ATA DT.VALID.]]-TODAY())/7,0),""))</f>
        <v/>
      </c>
      <c r="AQ745" s="314"/>
      <c r="AR745" s="315">
        <f>IF(ISBLANK(tabItens[[#This Row],[CÓDIGO]]),"",IFERROR(VLOOKUP(tabItens[[#This Row],[CÓDIGO]],Consumo!$C$2:$AC$869,26,FALSE),0))</f>
        <v>0</v>
      </c>
      <c r="AS745" s="316">
        <f>SUMIF(Consumo!$C$3:$C$869,tabItens[[#This Row],[CÓDIGO]],Consumo!$N$3:$N$869) + SUMIF(Consumo!$C$3:$C$869,tabItens[[#This Row],[CÓDIGO]],Consumo!$O$3:$O$869) + SUMIF(Consumo!$C$3:$C$869,tabItens[[#This Row],[CÓDIGO]],Consumo!$P$3:$P$869) + SUMIF(Consumo!$C$3:$C$869,tabItens[[#This Row],[CÓDIGO]],Consumo!$Q$3:$Q$869)</f>
        <v>0</v>
      </c>
      <c r="AT745" s="316">
        <f>SUMIF(Consumo!$C$3:$C$869,tabItens[[#This Row],[CÓDIGO]],Consumo!$Z$3:$Z$869)</f>
        <v>0</v>
      </c>
      <c r="AU745" s="317">
        <f>SUMIF(Consumo!$C$3:$C$869,tabItens[[#This Row],[CÓDIGO]],Consumo!$AA$3:$AA$869)</f>
        <v>0</v>
      </c>
      <c r="AV745" s="318">
        <f>SUMIF(Consumo!$C$3:$C$869,tabItens[[#This Row],[CÓDIGO]],Consumo!$Y$3:$Y$869)</f>
        <v>0</v>
      </c>
      <c r="AW745" s="291">
        <f>tabItens[[#This Row],[QTDE ATUAL]] + tabItens[[#This Row],[RC QTDE]] + tabItens[[#This Row],[AF SALDO]] + tabItens[[#This Row],[Recentes]]</f>
        <v>350</v>
      </c>
      <c r="AX745" s="319">
        <v>5</v>
      </c>
      <c r="AY745" s="319">
        <v>4</v>
      </c>
      <c r="AZ745" s="319">
        <f>IF(ISBLANK(tabItens[[#This Row],[CÓDIGO]]),"",tabItens[[#This Row],[PontoMês]] * (AZ$2+tabItens[[#This Row],[PontoQtM]]))</f>
        <v>20</v>
      </c>
      <c r="BA745" s="318">
        <f>tabItens[[#This Row],[PontoPed]] - tabItens[[#This Row],[Saldo]] + (1/10)</f>
        <v>-329.9</v>
      </c>
      <c r="BB745" s="318">
        <f xml:space="preserve"> tabItens[[#This Row],[PontoMês]] * BB$2 - tabItens[[#This Row],[QTDE ATUAL]] - (1/10)</f>
        <v>-345.1</v>
      </c>
      <c r="BC745" s="320">
        <f>IF( tabItens[[#This Row],[PontoPed]]&gt;0, IF(tabItens[[#This Row],[PontoPed]]&lt;1, 1, IF( tabItens[[#This Row],[Saldo]]&gt;tabItens[[#This Row],[PontoPed]], 0, (tabItens[[#This Row],[PontoPed]]-tabItens[[#This Row],[Saldo]])/tabItens[[#This Row],[PontoPed]] ) ), 0 )</f>
        <v>0</v>
      </c>
      <c r="BD745" s="321">
        <f>ROUNDDOWN(IF( OR( AND(tabItens[[#This Row],[PontoPed]]&lt;tabItens[[#This Row],[Saldo]],tabItens[[#This Row],[Saldo]]&gt;0), tabItens[[#This Row],[PontoPed]]=0), 99, IF(AND(tabItens[[#This Row],[Saldo]]=0,tabItens[[#This Row],[PontoPed]]&gt;0), 0, (1-tabItens[[#This Row],[PctAb]])*10 ) ),0)</f>
        <v>99</v>
      </c>
      <c r="BE745" s="322">
        <f>MAX(ROUNDDOWN( IF(tabItens[[#This Row],[Abaixo]] &gt; 0,   tabItens[[#This Row],[Abaixo]] + (tabItens[[#This Row],[PontoMês]] * IF( OR( ISBLANK(tabItens[[#This Row],[ATA Nº/ANO]]), tabItens[[#This Row],[ATA Nº/ANO]] = ""),BE$2,BE$1)),0),0),0)</f>
        <v>0</v>
      </c>
      <c r="BF74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23">
        <f>SUMIF(Consumo!$C$3:$C$869,tabItens[[#This Row],[CÓDIGO]],Consumo!$E$3:$E$869)</f>
        <v>0</v>
      </c>
      <c r="BH745" s="324">
        <f>IF(AND(tabItens[[#This Row],[Pend]] &gt; 0,tabItens[[#This Row],[Consumo]] &lt;&gt; 0), tabItens[[#This Row],[Pend]] / tabItens[[#This Row],[Consumo]], 0 )</f>
        <v>0</v>
      </c>
      <c r="BI745" s="323"/>
      <c r="BJ745" s="323"/>
      <c r="BK745" s="325" t="s">
        <v>2064</v>
      </c>
    </row>
    <row r="746" spans="1:63" hidden="1" x14ac:dyDescent="0.3">
      <c r="A746" s="286">
        <v>37519</v>
      </c>
      <c r="B746" s="287" t="s">
        <v>1267</v>
      </c>
      <c r="C746" s="288" t="s">
        <v>256</v>
      </c>
      <c r="D746" s="289">
        <v>0.25</v>
      </c>
      <c r="E746" s="290"/>
      <c r="F746" s="290"/>
      <c r="G746" s="290" t="s">
        <v>883</v>
      </c>
      <c r="H746" s="291">
        <v>2345</v>
      </c>
      <c r="I746" s="292">
        <v>103003</v>
      </c>
      <c r="J746" s="293">
        <v>0.25</v>
      </c>
      <c r="K746" s="294"/>
      <c r="L746" s="295">
        <f>IF(tabItens[[#This Row],[Média]] &gt; 0, tabItens[[#This Row],[QTDE ATUAL]] / tabItens[[#This Row],[Média]],999.9)</f>
        <v>999.9</v>
      </c>
      <c r="M746" s="296">
        <v>0</v>
      </c>
      <c r="N746" s="297">
        <f>tabItens[[#This Row],[VALOR UNIT.]] * tabItens[[#This Row],[LC]]</f>
        <v>0</v>
      </c>
      <c r="O746" s="298"/>
      <c r="P746" s="299"/>
      <c r="Q746" s="300"/>
      <c r="R746" s="297"/>
      <c r="S746" s="301"/>
      <c r="T746" s="302">
        <f>ROUNDDOWN(IFERROR(tabItens[[#This Row],[ATA DT.VALID.]] - $D$1,0) / 30,0)</f>
        <v>-1504</v>
      </c>
      <c r="U746" s="287" t="s">
        <v>1073</v>
      </c>
      <c r="V746" s="303">
        <v>1</v>
      </c>
      <c r="W746" s="304" t="s">
        <v>2055</v>
      </c>
      <c r="X746" s="305">
        <v>55</v>
      </c>
      <c r="Y746" s="306">
        <v>27</v>
      </c>
      <c r="Z746" s="307"/>
      <c r="AA746" s="308"/>
      <c r="AB746" s="309"/>
      <c r="AC746" s="309"/>
      <c r="AD746" s="308"/>
      <c r="AE746" s="309"/>
      <c r="AF746" s="302"/>
      <c r="AG746" s="310" t="s">
        <v>2050</v>
      </c>
      <c r="AH746" s="311"/>
      <c r="AI746" s="302">
        <v>0</v>
      </c>
      <c r="AJ746" s="311">
        <v>41577</v>
      </c>
      <c r="AK746" s="311" t="s">
        <v>883</v>
      </c>
      <c r="AL746" s="311">
        <v>44027</v>
      </c>
      <c r="AM746" s="301"/>
      <c r="AN746" s="290"/>
      <c r="AO746" s="312" t="str">
        <f>_xlfn.IFNA(IF(VLOOKUP(tabItens[[#This Row],[CÓDIGO]],tabExcluirDoEstoque[#Data],1,FALSE),"sim",""),"")</f>
        <v/>
      </c>
      <c r="AP746" s="313" t="str">
        <f ca="1">IF(OR(ISBLANK(tabItens[[#This Row],[ATA DT.VALID.]]),tabItens[[#This Row],[ATA DT.VALID.]]="",tabItens[[#This Row],[ATA DT.VALID.]]=" "),"",IF(TYPE(tabItens[[#This Row],[ATA DT.VALID.]])=1,ROUNDUP((tabItens[[#This Row],[ATA DT.VALID.]]-TODAY())/7,0),""))</f>
        <v/>
      </c>
      <c r="AQ746" s="314"/>
      <c r="AR746" s="315">
        <f>IF(ISBLANK(tabItens[[#This Row],[CÓDIGO]]),"",IFERROR(VLOOKUP(tabItens[[#This Row],[CÓDIGO]],Consumo!$C$2:$AC$869,26,FALSE),0))</f>
        <v>0</v>
      </c>
      <c r="AS746" s="316">
        <f>SUMIF(Consumo!$C$3:$C$869,tabItens[[#This Row],[CÓDIGO]],Consumo!$N$3:$N$869) + SUMIF(Consumo!$C$3:$C$869,tabItens[[#This Row],[CÓDIGO]],Consumo!$O$3:$O$869) + SUMIF(Consumo!$C$3:$C$869,tabItens[[#This Row],[CÓDIGO]],Consumo!$P$3:$P$869) + SUMIF(Consumo!$C$3:$C$869,tabItens[[#This Row],[CÓDIGO]],Consumo!$Q$3:$Q$869)</f>
        <v>0</v>
      </c>
      <c r="AT746" s="316">
        <f>SUMIF(Consumo!$C$3:$C$869,tabItens[[#This Row],[CÓDIGO]],Consumo!$Z$3:$Z$869)</f>
        <v>0</v>
      </c>
      <c r="AU746" s="317">
        <f>SUMIF(Consumo!$C$3:$C$869,tabItens[[#This Row],[CÓDIGO]],Consumo!$AA$3:$AA$869)</f>
        <v>0</v>
      </c>
      <c r="AV746" s="318">
        <f>SUMIF(Consumo!$C$3:$C$869,tabItens[[#This Row],[CÓDIGO]],Consumo!$Y$3:$Y$869)</f>
        <v>0</v>
      </c>
      <c r="AW746" s="291">
        <f>tabItens[[#This Row],[QTDE ATUAL]] + tabItens[[#This Row],[RC QTDE]] + tabItens[[#This Row],[AF SALDO]] + tabItens[[#This Row],[Recentes]]</f>
        <v>2345</v>
      </c>
      <c r="AX746" s="319">
        <v>0</v>
      </c>
      <c r="AY746" s="319">
        <v>4</v>
      </c>
      <c r="AZ746" s="319">
        <f>IF(ISBLANK(tabItens[[#This Row],[CÓDIGO]]),"",tabItens[[#This Row],[PontoMês]] * (AZ$2+tabItens[[#This Row],[PontoQtM]]))</f>
        <v>0</v>
      </c>
      <c r="BA746" s="318">
        <f>tabItens[[#This Row],[PontoPed]] - tabItens[[#This Row],[Saldo]] + (1/10)</f>
        <v>-2344.9</v>
      </c>
      <c r="BB746" s="318">
        <f xml:space="preserve"> tabItens[[#This Row],[PontoMês]] * BB$2 - tabItens[[#This Row],[QTDE ATUAL]] - (1/10)</f>
        <v>-2345.1</v>
      </c>
      <c r="BC746" s="320">
        <f>IF( tabItens[[#This Row],[PontoPed]]&gt;0, IF(tabItens[[#This Row],[PontoPed]]&lt;1, 1, IF( tabItens[[#This Row],[Saldo]]&gt;tabItens[[#This Row],[PontoPed]], 0, (tabItens[[#This Row],[PontoPed]]-tabItens[[#This Row],[Saldo]])/tabItens[[#This Row],[PontoPed]] ) ), 0 )</f>
        <v>0</v>
      </c>
      <c r="BD746" s="321">
        <f>ROUNDDOWN(IF( OR( AND(tabItens[[#This Row],[PontoPed]]&lt;tabItens[[#This Row],[Saldo]],tabItens[[#This Row],[Saldo]]&gt;0), tabItens[[#This Row],[PontoPed]]=0), 99, IF(AND(tabItens[[#This Row],[Saldo]]=0,tabItens[[#This Row],[PontoPed]]&gt;0), 0, (1-tabItens[[#This Row],[PctAb]])*10 ) ),0)</f>
        <v>99</v>
      </c>
      <c r="BE746" s="322">
        <f>MAX(ROUNDDOWN( IF(tabItens[[#This Row],[Abaixo]] &gt; 0,   tabItens[[#This Row],[Abaixo]] + (tabItens[[#This Row],[PontoMês]] * IF( OR( ISBLANK(tabItens[[#This Row],[ATA Nº/ANO]]), tabItens[[#This Row],[ATA Nº/ANO]] = ""),BE$2,BE$1)),0),0),0)</f>
        <v>0</v>
      </c>
      <c r="BF74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23">
        <f>SUMIF(Consumo!$C$3:$C$869,tabItens[[#This Row],[CÓDIGO]],Consumo!$E$3:$E$869)</f>
        <v>0</v>
      </c>
      <c r="BH746" s="324">
        <f>IF(AND(tabItens[[#This Row],[Pend]] &gt; 0,tabItens[[#This Row],[Consumo]] &lt;&gt; 0), tabItens[[#This Row],[Pend]] / tabItens[[#This Row],[Consumo]], 0 )</f>
        <v>0</v>
      </c>
      <c r="BI746" s="323"/>
      <c r="BJ746" s="323"/>
      <c r="BK746" s="325" t="s">
        <v>2064</v>
      </c>
    </row>
    <row r="747" spans="1:63" hidden="1" x14ac:dyDescent="0.3">
      <c r="A747" s="286">
        <v>104665</v>
      </c>
      <c r="B747" s="287" t="s">
        <v>1594</v>
      </c>
      <c r="C747" s="288" t="s">
        <v>1595</v>
      </c>
      <c r="D747" s="289">
        <v>485</v>
      </c>
      <c r="E747" s="290"/>
      <c r="F747" s="290"/>
      <c r="G747" s="290" t="s">
        <v>883</v>
      </c>
      <c r="H747" s="291">
        <v>108</v>
      </c>
      <c r="I747" s="292">
        <v>103003</v>
      </c>
      <c r="J747" s="293">
        <v>485</v>
      </c>
      <c r="K747" s="294">
        <v>13</v>
      </c>
      <c r="L747" s="295">
        <f>IF(tabItens[[#This Row],[Média]] &gt; 0, tabItens[[#This Row],[QTDE ATUAL]] / tabItens[[#This Row],[Média]],999.9)</f>
        <v>117.81818181818183</v>
      </c>
      <c r="M747" s="296">
        <v>0</v>
      </c>
      <c r="N747" s="297">
        <f>tabItens[[#This Row],[VALOR UNIT.]] * tabItens[[#This Row],[LC]]</f>
        <v>0</v>
      </c>
      <c r="O747" s="298"/>
      <c r="P747" s="299"/>
      <c r="Q747" s="300"/>
      <c r="R747" s="297"/>
      <c r="S747" s="301"/>
      <c r="T747" s="302">
        <f>ROUNDDOWN(IFERROR(tabItens[[#This Row],[ATA DT.VALID.]] - $D$1,0) / 30,0)</f>
        <v>-1504</v>
      </c>
      <c r="U747" s="287" t="s">
        <v>1073</v>
      </c>
      <c r="V747" s="303">
        <v>1</v>
      </c>
      <c r="W747" s="304" t="s">
        <v>2055</v>
      </c>
      <c r="X747" s="305">
        <v>55</v>
      </c>
      <c r="Y747" s="306">
        <v>27</v>
      </c>
      <c r="Z747" s="307"/>
      <c r="AA747" s="308"/>
      <c r="AB747" s="309"/>
      <c r="AC747" s="309"/>
      <c r="AD747" s="308"/>
      <c r="AE747" s="309"/>
      <c r="AF747" s="302"/>
      <c r="AG747" s="310" t="s">
        <v>2050</v>
      </c>
      <c r="AH747" s="311"/>
      <c r="AI747" s="302">
        <v>4</v>
      </c>
      <c r="AJ747" s="311">
        <v>40305</v>
      </c>
      <c r="AK747" s="311">
        <v>39472</v>
      </c>
      <c r="AL747" s="311">
        <v>44126</v>
      </c>
      <c r="AM747" s="301"/>
      <c r="AN747" s="290"/>
      <c r="AO747" s="312" t="str">
        <f>_xlfn.IFNA(IF(VLOOKUP(tabItens[[#This Row],[CÓDIGO]],tabExcluirDoEstoque[#Data],1,FALSE),"sim",""),"")</f>
        <v/>
      </c>
      <c r="AP747" s="313" t="str">
        <f ca="1">IF(OR(ISBLANK(tabItens[[#This Row],[ATA DT.VALID.]]),tabItens[[#This Row],[ATA DT.VALID.]]="",tabItens[[#This Row],[ATA DT.VALID.]]=" "),"",IF(TYPE(tabItens[[#This Row],[ATA DT.VALID.]])=1,ROUNDUP((tabItens[[#This Row],[ATA DT.VALID.]]-TODAY())/7,0),""))</f>
        <v/>
      </c>
      <c r="AQ747" s="314"/>
      <c r="AR747" s="315" t="str">
        <f>IF(ISBLANK(tabItens[[#This Row],[CÓDIGO]]),"",IFERROR(VLOOKUP(tabItens[[#This Row],[CÓDIGO]],Consumo!$C$2:$AC$869,26,FALSE),0))</f>
        <v>06.2023</v>
      </c>
      <c r="AS747" s="316">
        <f>SUMIF(Consumo!$C$3:$C$869,tabItens[[#This Row],[CÓDIGO]],Consumo!$N$3:$N$869) + SUMIF(Consumo!$C$3:$C$869,tabItens[[#This Row],[CÓDIGO]],Consumo!$O$3:$O$869) + SUMIF(Consumo!$C$3:$C$869,tabItens[[#This Row],[CÓDIGO]],Consumo!$P$3:$P$869) + SUMIF(Consumo!$C$3:$C$869,tabItens[[#This Row],[CÓDIGO]],Consumo!$Q$3:$Q$869)</f>
        <v>7</v>
      </c>
      <c r="AT747" s="316">
        <f>SUMIF(Consumo!$C$3:$C$869,tabItens[[#This Row],[CÓDIGO]],Consumo!$Z$3:$Z$869)</f>
        <v>13</v>
      </c>
      <c r="AU747" s="317">
        <f>SUMIF(Consumo!$C$3:$C$869,tabItens[[#This Row],[CÓDIGO]],Consumo!$AA$3:$AA$869)</f>
        <v>7</v>
      </c>
      <c r="AV747" s="318">
        <f>SUMIF(Consumo!$C$3:$C$869,tabItens[[#This Row],[CÓDIGO]],Consumo!$Y$3:$Y$869)</f>
        <v>0.91666666666666663</v>
      </c>
      <c r="AW747" s="291">
        <f>tabItens[[#This Row],[QTDE ATUAL]] + tabItens[[#This Row],[RC QTDE]] + tabItens[[#This Row],[AF SALDO]] + tabItens[[#This Row],[Recentes]]</f>
        <v>108</v>
      </c>
      <c r="AX747" s="319">
        <v>1</v>
      </c>
      <c r="AY747" s="319">
        <v>4</v>
      </c>
      <c r="AZ747" s="319">
        <f>IF(ISBLANK(tabItens[[#This Row],[CÓDIGO]]),"",tabItens[[#This Row],[PontoMês]] * (AZ$2+tabItens[[#This Row],[PontoQtM]]))</f>
        <v>4</v>
      </c>
      <c r="BA747" s="318">
        <f>tabItens[[#This Row],[PontoPed]] - tabItens[[#This Row],[Saldo]] + (1/10)</f>
        <v>-103.9</v>
      </c>
      <c r="BB747" s="318">
        <f xml:space="preserve"> tabItens[[#This Row],[PontoMês]] * BB$2 - tabItens[[#This Row],[QTDE ATUAL]] - (1/10)</f>
        <v>-107.1</v>
      </c>
      <c r="BC747" s="320">
        <f>IF( tabItens[[#This Row],[PontoPed]]&gt;0, IF(tabItens[[#This Row],[PontoPed]]&lt;1, 1, IF( tabItens[[#This Row],[Saldo]]&gt;tabItens[[#This Row],[PontoPed]], 0, (tabItens[[#This Row],[PontoPed]]-tabItens[[#This Row],[Saldo]])/tabItens[[#This Row],[PontoPed]] ) ), 0 )</f>
        <v>0</v>
      </c>
      <c r="BD747" s="321">
        <f>ROUNDDOWN(IF( OR( AND(tabItens[[#This Row],[PontoPed]]&lt;tabItens[[#This Row],[Saldo]],tabItens[[#This Row],[Saldo]]&gt;0), tabItens[[#This Row],[PontoPed]]=0), 99, IF(AND(tabItens[[#This Row],[Saldo]]=0,tabItens[[#This Row],[PontoPed]]&gt;0), 0, (1-tabItens[[#This Row],[PctAb]])*10 ) ),0)</f>
        <v>99</v>
      </c>
      <c r="BE747" s="322">
        <f>MAX(ROUNDDOWN( IF(tabItens[[#This Row],[Abaixo]] &gt; 0,   tabItens[[#This Row],[Abaixo]] + (tabItens[[#This Row],[PontoMês]] * IF( OR( ISBLANK(tabItens[[#This Row],[ATA Nº/ANO]]), tabItens[[#This Row],[ATA Nº/ANO]] = ""),BE$2,BE$1)),0),0),0)</f>
        <v>0</v>
      </c>
      <c r="BF74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23">
        <f>SUMIF(Consumo!$C$3:$C$869,tabItens[[#This Row],[CÓDIGO]],Consumo!$E$3:$E$869)</f>
        <v>0</v>
      </c>
      <c r="BH747" s="324">
        <f>IF(AND(tabItens[[#This Row],[Pend]] &gt; 0,tabItens[[#This Row],[Consumo]] &lt;&gt; 0), tabItens[[#This Row],[Pend]] / tabItens[[#This Row],[Consumo]], 0 )</f>
        <v>0</v>
      </c>
      <c r="BI747" s="323"/>
      <c r="BJ747" s="323"/>
      <c r="BK747" s="325" t="s">
        <v>2064</v>
      </c>
    </row>
    <row r="748" spans="1:63" hidden="1" x14ac:dyDescent="0.3">
      <c r="A748" s="286">
        <v>113238</v>
      </c>
      <c r="B748" s="287" t="s">
        <v>1686</v>
      </c>
      <c r="C748" s="288" t="s">
        <v>1595</v>
      </c>
      <c r="D748" s="289">
        <v>1166.6600000000001</v>
      </c>
      <c r="E748" s="290"/>
      <c r="F748" s="290"/>
      <c r="G748" s="290" t="s">
        <v>883</v>
      </c>
      <c r="H748" s="291">
        <v>49</v>
      </c>
      <c r="I748" s="292">
        <v>103003</v>
      </c>
      <c r="J748" s="293">
        <v>1166.6600000000001</v>
      </c>
      <c r="K748" s="294">
        <v>12</v>
      </c>
      <c r="L748" s="295">
        <f>IF(tabItens[[#This Row],[Média]] &gt; 0, tabItens[[#This Row],[QTDE ATUAL]] / tabItens[[#This Row],[Média]],999.9)</f>
        <v>53.454545454545453</v>
      </c>
      <c r="M748" s="296">
        <v>0</v>
      </c>
      <c r="N748" s="297">
        <f>tabItens[[#This Row],[VALOR UNIT.]] * tabItens[[#This Row],[LC]]</f>
        <v>0</v>
      </c>
      <c r="O748" s="298"/>
      <c r="P748" s="299"/>
      <c r="Q748" s="300"/>
      <c r="R748" s="297"/>
      <c r="S748" s="301"/>
      <c r="T748" s="302">
        <f>ROUNDDOWN(IFERROR(tabItens[[#This Row],[ATA DT.VALID.]] - $D$1,0) / 30,0)</f>
        <v>-1504</v>
      </c>
      <c r="U748" s="287" t="s">
        <v>1073</v>
      </c>
      <c r="V748" s="303">
        <v>1</v>
      </c>
      <c r="W748" s="304" t="s">
        <v>2055</v>
      </c>
      <c r="X748" s="305">
        <v>55</v>
      </c>
      <c r="Y748" s="306">
        <v>27</v>
      </c>
      <c r="Z748" s="307"/>
      <c r="AA748" s="308"/>
      <c r="AB748" s="309"/>
      <c r="AC748" s="309"/>
      <c r="AD748" s="308"/>
      <c r="AE748" s="309"/>
      <c r="AF748" s="302"/>
      <c r="AG748" s="310" t="s">
        <v>2050</v>
      </c>
      <c r="AH748" s="311"/>
      <c r="AI748" s="302">
        <v>4</v>
      </c>
      <c r="AJ748" s="311">
        <v>44536</v>
      </c>
      <c r="AK748" s="311">
        <v>40113</v>
      </c>
      <c r="AL748" s="311">
        <v>44516</v>
      </c>
      <c r="AM748" s="301"/>
      <c r="AN748" s="290"/>
      <c r="AO748" s="312" t="str">
        <f>_xlfn.IFNA(IF(VLOOKUP(tabItens[[#This Row],[CÓDIGO]],tabExcluirDoEstoque[#Data],1,FALSE),"sim",""),"")</f>
        <v/>
      </c>
      <c r="AP748" s="313" t="str">
        <f ca="1">IF(OR(ISBLANK(tabItens[[#This Row],[ATA DT.VALID.]]),tabItens[[#This Row],[ATA DT.VALID.]]="",tabItens[[#This Row],[ATA DT.VALID.]]=" "),"",IF(TYPE(tabItens[[#This Row],[ATA DT.VALID.]])=1,ROUNDUP((tabItens[[#This Row],[ATA DT.VALID.]]-TODAY())/7,0),""))</f>
        <v/>
      </c>
      <c r="AQ748" s="314"/>
      <c r="AR748" s="315" t="str">
        <f>IF(ISBLANK(tabItens[[#This Row],[CÓDIGO]]),"",IFERROR(VLOOKUP(tabItens[[#This Row],[CÓDIGO]],Consumo!$C$2:$AC$869,26,FALSE),0))</f>
        <v>07.2023</v>
      </c>
      <c r="AS748" s="316">
        <f>SUMIF(Consumo!$C$3:$C$869,tabItens[[#This Row],[CÓDIGO]],Consumo!$N$3:$N$869) + SUMIF(Consumo!$C$3:$C$869,tabItens[[#This Row],[CÓDIGO]],Consumo!$O$3:$O$869) + SUMIF(Consumo!$C$3:$C$869,tabItens[[#This Row],[CÓDIGO]],Consumo!$P$3:$P$869) + SUMIF(Consumo!$C$3:$C$869,tabItens[[#This Row],[CÓDIGO]],Consumo!$Q$3:$Q$869)</f>
        <v>6</v>
      </c>
      <c r="AT748" s="316">
        <f>SUMIF(Consumo!$C$3:$C$869,tabItens[[#This Row],[CÓDIGO]],Consumo!$Z$3:$Z$869)</f>
        <v>13</v>
      </c>
      <c r="AU748" s="317">
        <f>SUMIF(Consumo!$C$3:$C$869,tabItens[[#This Row],[CÓDIGO]],Consumo!$AA$3:$AA$869)</f>
        <v>4</v>
      </c>
      <c r="AV748" s="318">
        <f>SUMIF(Consumo!$C$3:$C$869,tabItens[[#This Row],[CÓDIGO]],Consumo!$Y$3:$Y$869)</f>
        <v>0.91666666666666663</v>
      </c>
      <c r="AW748" s="291">
        <f>tabItens[[#This Row],[QTDE ATUAL]] + tabItens[[#This Row],[RC QTDE]] + tabItens[[#This Row],[AF SALDO]] + tabItens[[#This Row],[Recentes]]</f>
        <v>49</v>
      </c>
      <c r="AX748" s="319">
        <v>0</v>
      </c>
      <c r="AY748" s="319">
        <v>4</v>
      </c>
      <c r="AZ748" s="319">
        <f>IF(ISBLANK(tabItens[[#This Row],[CÓDIGO]]),"",tabItens[[#This Row],[PontoMês]] * (AZ$2+tabItens[[#This Row],[PontoQtM]]))</f>
        <v>0</v>
      </c>
      <c r="BA748" s="318">
        <f>tabItens[[#This Row],[PontoPed]] - tabItens[[#This Row],[Saldo]] + (1/10)</f>
        <v>-48.9</v>
      </c>
      <c r="BB748" s="318">
        <f xml:space="preserve"> tabItens[[#This Row],[PontoMês]] * BB$2 - tabItens[[#This Row],[QTDE ATUAL]] - (1/10)</f>
        <v>-49.1</v>
      </c>
      <c r="BC748" s="320">
        <f>IF( tabItens[[#This Row],[PontoPed]]&gt;0, IF(tabItens[[#This Row],[PontoPed]]&lt;1, 1, IF( tabItens[[#This Row],[Saldo]]&gt;tabItens[[#This Row],[PontoPed]], 0, (tabItens[[#This Row],[PontoPed]]-tabItens[[#This Row],[Saldo]])/tabItens[[#This Row],[PontoPed]] ) ), 0 )</f>
        <v>0</v>
      </c>
      <c r="BD748" s="321">
        <f>ROUNDDOWN(IF( OR( AND(tabItens[[#This Row],[PontoPed]]&lt;tabItens[[#This Row],[Saldo]],tabItens[[#This Row],[Saldo]]&gt;0), tabItens[[#This Row],[PontoPed]]=0), 99, IF(AND(tabItens[[#This Row],[Saldo]]=0,tabItens[[#This Row],[PontoPed]]&gt;0), 0, (1-tabItens[[#This Row],[PctAb]])*10 ) ),0)</f>
        <v>99</v>
      </c>
      <c r="BE748" s="322">
        <f>MAX(ROUNDDOWN( IF(tabItens[[#This Row],[Abaixo]] &gt; 0,   tabItens[[#This Row],[Abaixo]] + (tabItens[[#This Row],[PontoMês]] * IF( OR( ISBLANK(tabItens[[#This Row],[ATA Nº/ANO]]), tabItens[[#This Row],[ATA Nº/ANO]] = ""),BE$2,BE$1)),0),0),0)</f>
        <v>0</v>
      </c>
      <c r="BF74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23">
        <f>SUMIF(Consumo!$C$3:$C$869,tabItens[[#This Row],[CÓDIGO]],Consumo!$E$3:$E$869)</f>
        <v>0</v>
      </c>
      <c r="BH748" s="324">
        <f>IF(AND(tabItens[[#This Row],[Pend]] &gt; 0,tabItens[[#This Row],[Consumo]] &lt;&gt; 0), tabItens[[#This Row],[Pend]] / tabItens[[#This Row],[Consumo]], 0 )</f>
        <v>0</v>
      </c>
      <c r="BI748" s="323"/>
      <c r="BJ748" s="323"/>
      <c r="BK748" s="325" t="s">
        <v>2064</v>
      </c>
    </row>
    <row r="749" spans="1:63" hidden="1" x14ac:dyDescent="0.3">
      <c r="A749" s="286">
        <v>108398</v>
      </c>
      <c r="B749" s="287" t="s">
        <v>1647</v>
      </c>
      <c r="C749" s="288" t="s">
        <v>256</v>
      </c>
      <c r="D749" s="289">
        <v>588</v>
      </c>
      <c r="E749" s="290"/>
      <c r="F749" s="290"/>
      <c r="G749" s="290" t="s">
        <v>883</v>
      </c>
      <c r="H749" s="291">
        <v>5</v>
      </c>
      <c r="I749" s="292">
        <v>103003</v>
      </c>
      <c r="J749" s="293">
        <v>588</v>
      </c>
      <c r="K749" s="294">
        <v>5</v>
      </c>
      <c r="L749" s="295">
        <f>IF(tabItens[[#This Row],[Média]] &gt; 0, tabItens[[#This Row],[QTDE ATUAL]] / tabItens[[#This Row],[Média]],999.9)</f>
        <v>15</v>
      </c>
      <c r="M749" s="296">
        <v>0</v>
      </c>
      <c r="N749" s="297">
        <f>tabItens[[#This Row],[VALOR UNIT.]] * tabItens[[#This Row],[LC]]</f>
        <v>0</v>
      </c>
      <c r="O749" s="298"/>
      <c r="P749" s="299"/>
      <c r="Q749" s="300"/>
      <c r="R749" s="297"/>
      <c r="S749" s="301"/>
      <c r="T749" s="302">
        <f>ROUNDDOWN(IFERROR(tabItens[[#This Row],[ATA DT.VALID.]] - $D$1,0) / 30,0)</f>
        <v>-1504</v>
      </c>
      <c r="U749" s="287" t="s">
        <v>1648</v>
      </c>
      <c r="V749" s="303">
        <v>1</v>
      </c>
      <c r="W749" s="304" t="s">
        <v>2055</v>
      </c>
      <c r="X749" s="305">
        <v>55</v>
      </c>
      <c r="Y749" s="306">
        <v>30</v>
      </c>
      <c r="Z749" s="307">
        <v>2446</v>
      </c>
      <c r="AA749" s="308">
        <v>2023</v>
      </c>
      <c r="AB749" s="309">
        <v>20</v>
      </c>
      <c r="AC749" s="309"/>
      <c r="AD749" s="308"/>
      <c r="AE749" s="309"/>
      <c r="AF749" s="302"/>
      <c r="AG749" s="310" t="s">
        <v>2050</v>
      </c>
      <c r="AH749" s="311"/>
      <c r="AI749" s="302">
        <v>2</v>
      </c>
      <c r="AJ749" s="311">
        <v>42192</v>
      </c>
      <c r="AK749" s="311">
        <v>39737</v>
      </c>
      <c r="AL749" s="311">
        <v>42167</v>
      </c>
      <c r="AM749" s="301"/>
      <c r="AN749" s="290"/>
      <c r="AO749" s="312" t="str">
        <f>_xlfn.IFNA(IF(VLOOKUP(tabItens[[#This Row],[CÓDIGO]],tabExcluirDoEstoque[#Data],1,FALSE),"sim",""),"")</f>
        <v/>
      </c>
      <c r="AP749" s="313" t="str">
        <f ca="1">IF(OR(ISBLANK(tabItens[[#This Row],[ATA DT.VALID.]]),tabItens[[#This Row],[ATA DT.VALID.]]="",tabItens[[#This Row],[ATA DT.VALID.]]=" "),"",IF(TYPE(tabItens[[#This Row],[ATA DT.VALID.]])=1,ROUNDUP((tabItens[[#This Row],[ATA DT.VALID.]]-TODAY())/7,0),""))</f>
        <v/>
      </c>
      <c r="AQ749" s="314"/>
      <c r="AR749" s="315" t="str">
        <f>IF(ISBLANK(tabItens[[#This Row],[CÓDIGO]]),"",IFERROR(VLOOKUP(tabItens[[#This Row],[CÓDIGO]],Consumo!$C$2:$AC$869,26,FALSE),0))</f>
        <v>06.2023</v>
      </c>
      <c r="AS749" s="316">
        <f>SUMIF(Consumo!$C$3:$C$869,tabItens[[#This Row],[CÓDIGO]],Consumo!$N$3:$N$869) + SUMIF(Consumo!$C$3:$C$869,tabItens[[#This Row],[CÓDIGO]],Consumo!$O$3:$O$869) + SUMIF(Consumo!$C$3:$C$869,tabItens[[#This Row],[CÓDIGO]],Consumo!$P$3:$P$869) + SUMIF(Consumo!$C$3:$C$869,tabItens[[#This Row],[CÓDIGO]],Consumo!$Q$3:$Q$869)</f>
        <v>2</v>
      </c>
      <c r="AT749" s="316">
        <f>SUMIF(Consumo!$C$3:$C$869,tabItens[[#This Row],[CÓDIGO]],Consumo!$Z$3:$Z$869)</f>
        <v>5</v>
      </c>
      <c r="AU749" s="317">
        <f>SUMIF(Consumo!$C$3:$C$869,tabItens[[#This Row],[CÓDIGO]],Consumo!$AA$3:$AA$869)</f>
        <v>2</v>
      </c>
      <c r="AV749" s="318">
        <f>SUMIF(Consumo!$C$3:$C$869,tabItens[[#This Row],[CÓDIGO]],Consumo!$Y$3:$Y$869)</f>
        <v>0.33333333333333331</v>
      </c>
      <c r="AW749" s="291">
        <f>tabItens[[#This Row],[QTDE ATUAL]] + tabItens[[#This Row],[RC QTDE]] + tabItens[[#This Row],[AF SALDO]] + tabItens[[#This Row],[Recentes]]</f>
        <v>25</v>
      </c>
      <c r="AX749" s="319">
        <v>1</v>
      </c>
      <c r="AY749" s="319">
        <v>4</v>
      </c>
      <c r="AZ749" s="319">
        <f>IF(ISBLANK(tabItens[[#This Row],[CÓDIGO]]),"",tabItens[[#This Row],[PontoMês]] * (AZ$2+tabItens[[#This Row],[PontoQtM]]))</f>
        <v>4</v>
      </c>
      <c r="BA749" s="318">
        <f>tabItens[[#This Row],[PontoPed]] - tabItens[[#This Row],[Saldo]] + (1/10)</f>
        <v>-20.9</v>
      </c>
      <c r="BB749" s="318">
        <f xml:space="preserve"> tabItens[[#This Row],[PontoMês]] * BB$2 - tabItens[[#This Row],[QTDE ATUAL]] - (1/10)</f>
        <v>-4.0999999999999996</v>
      </c>
      <c r="BC749" s="320">
        <f>IF( tabItens[[#This Row],[PontoPed]]&gt;0, IF(tabItens[[#This Row],[PontoPed]]&lt;1, 1, IF( tabItens[[#This Row],[Saldo]]&gt;tabItens[[#This Row],[PontoPed]], 0, (tabItens[[#This Row],[PontoPed]]-tabItens[[#This Row],[Saldo]])/tabItens[[#This Row],[PontoPed]] ) ), 0 )</f>
        <v>0</v>
      </c>
      <c r="BD749" s="321">
        <f>ROUNDDOWN(IF( OR( AND(tabItens[[#This Row],[PontoPed]]&lt;tabItens[[#This Row],[Saldo]],tabItens[[#This Row],[Saldo]]&gt;0), tabItens[[#This Row],[PontoPed]]=0), 99, IF(AND(tabItens[[#This Row],[Saldo]]=0,tabItens[[#This Row],[PontoPed]]&gt;0), 0, (1-tabItens[[#This Row],[PctAb]])*10 ) ),0)</f>
        <v>99</v>
      </c>
      <c r="BE749" s="322">
        <f>MAX(ROUNDDOWN( IF(tabItens[[#This Row],[Abaixo]] &gt; 0,   tabItens[[#This Row],[Abaixo]] + (tabItens[[#This Row],[PontoMês]] * IF( OR( ISBLANK(tabItens[[#This Row],[ATA Nº/ANO]]), tabItens[[#This Row],[ATA Nº/ANO]] = ""),BE$2,BE$1)),0),0),0)</f>
        <v>0</v>
      </c>
      <c r="BF74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23">
        <f>SUMIF(Consumo!$C$3:$C$869,tabItens[[#This Row],[CÓDIGO]],Consumo!$E$3:$E$869)</f>
        <v>0</v>
      </c>
      <c r="BH749" s="324">
        <f>IF(AND(tabItens[[#This Row],[Pend]] &gt; 0,tabItens[[#This Row],[Consumo]] &lt;&gt; 0), tabItens[[#This Row],[Pend]] / tabItens[[#This Row],[Consumo]], 0 )</f>
        <v>0</v>
      </c>
      <c r="BI749" s="323"/>
      <c r="BJ749" s="323"/>
      <c r="BK749" s="325" t="s">
        <v>2064</v>
      </c>
    </row>
    <row r="750" spans="1:63" hidden="1" x14ac:dyDescent="0.3">
      <c r="A750" s="286">
        <v>111841</v>
      </c>
      <c r="B750" s="287" t="s">
        <v>1674</v>
      </c>
      <c r="C750" s="288" t="s">
        <v>31</v>
      </c>
      <c r="D750" s="289">
        <v>379.88</v>
      </c>
      <c r="E750" s="290"/>
      <c r="F750" s="290"/>
      <c r="G750" s="290" t="s">
        <v>883</v>
      </c>
      <c r="H750" s="291">
        <v>21</v>
      </c>
      <c r="I750" s="292">
        <v>103003</v>
      </c>
      <c r="J750" s="293">
        <v>379.88</v>
      </c>
      <c r="K750" s="294">
        <v>8</v>
      </c>
      <c r="L750" s="295">
        <f>IF(tabItens[[#This Row],[Média]] &gt; 0, tabItens[[#This Row],[QTDE ATUAL]] / tabItens[[#This Row],[Média]],999.9)</f>
        <v>28</v>
      </c>
      <c r="M750" s="296">
        <v>0</v>
      </c>
      <c r="N750" s="297">
        <f>tabItens[[#This Row],[VALOR UNIT.]] * tabItens[[#This Row],[LC]]</f>
        <v>0</v>
      </c>
      <c r="O750" s="298"/>
      <c r="P750" s="299"/>
      <c r="Q750" s="300"/>
      <c r="R750" s="297"/>
      <c r="S750" s="301"/>
      <c r="T750" s="302">
        <f>ROUNDDOWN(IFERROR(tabItens[[#This Row],[ATA DT.VALID.]] - $D$1,0) / 30,0)</f>
        <v>-1504</v>
      </c>
      <c r="U750" s="287" t="s">
        <v>1648</v>
      </c>
      <c r="V750" s="303">
        <v>1</v>
      </c>
      <c r="W750" s="304" t="s">
        <v>2055</v>
      </c>
      <c r="X750" s="305">
        <v>55</v>
      </c>
      <c r="Y750" s="306">
        <v>30</v>
      </c>
      <c r="Z750" s="307"/>
      <c r="AA750" s="308"/>
      <c r="AB750" s="309"/>
      <c r="AC750" s="309"/>
      <c r="AD750" s="308"/>
      <c r="AE750" s="309"/>
      <c r="AF750" s="302"/>
      <c r="AG750" s="310" t="s">
        <v>2050</v>
      </c>
      <c r="AH750" s="311"/>
      <c r="AI750" s="302">
        <v>4</v>
      </c>
      <c r="AJ750" s="311">
        <v>44043</v>
      </c>
      <c r="AK750" s="311">
        <v>40015</v>
      </c>
      <c r="AL750" s="311">
        <v>44028</v>
      </c>
      <c r="AM750" s="301"/>
      <c r="AN750" s="290"/>
      <c r="AO750" s="312" t="str">
        <f>_xlfn.IFNA(IF(VLOOKUP(tabItens[[#This Row],[CÓDIGO]],tabExcluirDoEstoque[#Data],1,FALSE),"sim",""),"")</f>
        <v/>
      </c>
      <c r="AP750" s="313" t="str">
        <f ca="1">IF(OR(ISBLANK(tabItens[[#This Row],[ATA DT.VALID.]]),tabItens[[#This Row],[ATA DT.VALID.]]="",tabItens[[#This Row],[ATA DT.VALID.]]=" "),"",IF(TYPE(tabItens[[#This Row],[ATA DT.VALID.]])=1,ROUNDUP((tabItens[[#This Row],[ATA DT.VALID.]]-TODAY())/7,0),""))</f>
        <v/>
      </c>
      <c r="AQ750" s="314"/>
      <c r="AR750" s="315" t="str">
        <f>IF(ISBLANK(tabItens[[#This Row],[CÓDIGO]]),"",IFERROR(VLOOKUP(tabItens[[#This Row],[CÓDIGO]],Consumo!$C$2:$AC$869,26,FALSE),0))</f>
        <v>07.2023</v>
      </c>
      <c r="AS750" s="316">
        <f>SUMIF(Consumo!$C$3:$C$869,tabItens[[#This Row],[CÓDIGO]],Consumo!$N$3:$N$869) + SUMIF(Consumo!$C$3:$C$869,tabItens[[#This Row],[CÓDIGO]],Consumo!$O$3:$O$869) + SUMIF(Consumo!$C$3:$C$869,tabItens[[#This Row],[CÓDIGO]],Consumo!$P$3:$P$869) + SUMIF(Consumo!$C$3:$C$869,tabItens[[#This Row],[CÓDIGO]],Consumo!$Q$3:$Q$869)</f>
        <v>3</v>
      </c>
      <c r="AT750" s="316">
        <f>SUMIF(Consumo!$C$3:$C$869,tabItens[[#This Row],[CÓDIGO]],Consumo!$Z$3:$Z$869)</f>
        <v>9</v>
      </c>
      <c r="AU750" s="317">
        <f>SUMIF(Consumo!$C$3:$C$869,tabItens[[#This Row],[CÓDIGO]],Consumo!$AA$3:$AA$869)</f>
        <v>2</v>
      </c>
      <c r="AV750" s="318">
        <f>SUMIF(Consumo!$C$3:$C$869,tabItens[[#This Row],[CÓDIGO]],Consumo!$Y$3:$Y$869)</f>
        <v>0.75</v>
      </c>
      <c r="AW750" s="291">
        <f>tabItens[[#This Row],[QTDE ATUAL]] + tabItens[[#This Row],[RC QTDE]] + tabItens[[#This Row],[AF SALDO]] + tabItens[[#This Row],[Recentes]]</f>
        <v>21</v>
      </c>
      <c r="AX750" s="319">
        <v>1</v>
      </c>
      <c r="AY750" s="319">
        <v>4</v>
      </c>
      <c r="AZ750" s="319">
        <f>IF(ISBLANK(tabItens[[#This Row],[CÓDIGO]]),"",tabItens[[#This Row],[PontoMês]] * (AZ$2+tabItens[[#This Row],[PontoQtM]]))</f>
        <v>4</v>
      </c>
      <c r="BA750" s="318">
        <f>tabItens[[#This Row],[PontoPed]] - tabItens[[#This Row],[Saldo]] + (1/10)</f>
        <v>-16.899999999999999</v>
      </c>
      <c r="BB750" s="318">
        <f xml:space="preserve"> tabItens[[#This Row],[PontoMês]] * BB$2 - tabItens[[#This Row],[QTDE ATUAL]] - (1/10)</f>
        <v>-20.100000000000001</v>
      </c>
      <c r="BC750" s="320">
        <f>IF( tabItens[[#This Row],[PontoPed]]&gt;0, IF(tabItens[[#This Row],[PontoPed]]&lt;1, 1, IF( tabItens[[#This Row],[Saldo]]&gt;tabItens[[#This Row],[PontoPed]], 0, (tabItens[[#This Row],[PontoPed]]-tabItens[[#This Row],[Saldo]])/tabItens[[#This Row],[PontoPed]] ) ), 0 )</f>
        <v>0</v>
      </c>
      <c r="BD750" s="321">
        <f>ROUNDDOWN(IF( OR( AND(tabItens[[#This Row],[PontoPed]]&lt;tabItens[[#This Row],[Saldo]],tabItens[[#This Row],[Saldo]]&gt;0), tabItens[[#This Row],[PontoPed]]=0), 99, IF(AND(tabItens[[#This Row],[Saldo]]=0,tabItens[[#This Row],[PontoPed]]&gt;0), 0, (1-tabItens[[#This Row],[PctAb]])*10 ) ),0)</f>
        <v>99</v>
      </c>
      <c r="BE750" s="322">
        <f>MAX(ROUNDDOWN( IF(tabItens[[#This Row],[Abaixo]] &gt; 0,   tabItens[[#This Row],[Abaixo]] + (tabItens[[#This Row],[PontoMês]] * IF( OR( ISBLANK(tabItens[[#This Row],[ATA Nº/ANO]]), tabItens[[#This Row],[ATA Nº/ANO]] = ""),BE$2,BE$1)),0),0),0)</f>
        <v>0</v>
      </c>
      <c r="BF75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23">
        <f>SUMIF(Consumo!$C$3:$C$869,tabItens[[#This Row],[CÓDIGO]],Consumo!$E$3:$E$869)</f>
        <v>0</v>
      </c>
      <c r="BH750" s="324">
        <f>IF(AND(tabItens[[#This Row],[Pend]] &gt; 0,tabItens[[#This Row],[Consumo]] &lt;&gt; 0), tabItens[[#This Row],[Pend]] / tabItens[[#This Row],[Consumo]], 0 )</f>
        <v>0</v>
      </c>
      <c r="BI750" s="323"/>
      <c r="BJ750" s="323"/>
      <c r="BK750" s="325" t="s">
        <v>2064</v>
      </c>
    </row>
    <row r="751" spans="1:63" hidden="1" x14ac:dyDescent="0.3">
      <c r="A751" s="286">
        <v>114773</v>
      </c>
      <c r="B751" s="287" t="s">
        <v>1697</v>
      </c>
      <c r="C751" s="288" t="s">
        <v>256</v>
      </c>
      <c r="D751" s="289">
        <v>151.62</v>
      </c>
      <c r="E751" s="290"/>
      <c r="F751" s="290"/>
      <c r="G751" s="290" t="s">
        <v>883</v>
      </c>
      <c r="H751" s="291">
        <v>17</v>
      </c>
      <c r="I751" s="292">
        <v>103003</v>
      </c>
      <c r="J751" s="293">
        <v>151.62</v>
      </c>
      <c r="K751" s="294">
        <v>7</v>
      </c>
      <c r="L751" s="295">
        <f>IF(tabItens[[#This Row],[Média]] &gt; 0, tabItens[[#This Row],[QTDE ATUAL]] / tabItens[[#This Row],[Média]],999.9)</f>
        <v>29.142857142857142</v>
      </c>
      <c r="M751" s="296">
        <v>0</v>
      </c>
      <c r="N751" s="297">
        <f>tabItens[[#This Row],[VALOR UNIT.]] * tabItens[[#This Row],[LC]]</f>
        <v>0</v>
      </c>
      <c r="O751" s="298"/>
      <c r="P751" s="299"/>
      <c r="Q751" s="300"/>
      <c r="R751" s="297"/>
      <c r="S751" s="301"/>
      <c r="T751" s="302">
        <f>ROUNDDOWN(IFERROR(tabItens[[#This Row],[ATA DT.VALID.]] - $D$1,0) / 30,0)</f>
        <v>-1504</v>
      </c>
      <c r="U751" s="287" t="s">
        <v>1648</v>
      </c>
      <c r="V751" s="303">
        <v>1</v>
      </c>
      <c r="W751" s="304" t="s">
        <v>2055</v>
      </c>
      <c r="X751" s="305">
        <v>55</v>
      </c>
      <c r="Y751" s="306">
        <v>30</v>
      </c>
      <c r="Z751" s="307">
        <v>2956</v>
      </c>
      <c r="AA751" s="308">
        <v>2023</v>
      </c>
      <c r="AB751" s="309">
        <v>5</v>
      </c>
      <c r="AC751" s="309"/>
      <c r="AD751" s="308"/>
      <c r="AE751" s="309"/>
      <c r="AF751" s="302"/>
      <c r="AG751" s="310" t="s">
        <v>2050</v>
      </c>
      <c r="AH751" s="311"/>
      <c r="AI751" s="302">
        <v>2</v>
      </c>
      <c r="AJ751" s="311">
        <v>44628</v>
      </c>
      <c r="AK751" s="311">
        <v>40275</v>
      </c>
      <c r="AL751" s="311">
        <v>44616</v>
      </c>
      <c r="AM751" s="301"/>
      <c r="AN751" s="290"/>
      <c r="AO751" s="312" t="str">
        <f>_xlfn.IFNA(IF(VLOOKUP(tabItens[[#This Row],[CÓDIGO]],tabExcluirDoEstoque[#Data],1,FALSE),"sim",""),"")</f>
        <v/>
      </c>
      <c r="AP751" s="313" t="str">
        <f ca="1">IF(OR(ISBLANK(tabItens[[#This Row],[ATA DT.VALID.]]),tabItens[[#This Row],[ATA DT.VALID.]]="",tabItens[[#This Row],[ATA DT.VALID.]]=" "),"",IF(TYPE(tabItens[[#This Row],[ATA DT.VALID.]])=1,ROUNDUP((tabItens[[#This Row],[ATA DT.VALID.]]-TODAY())/7,0),""))</f>
        <v/>
      </c>
      <c r="AQ751" s="314"/>
      <c r="AR751" s="315" t="str">
        <f>IF(ISBLANK(tabItens[[#This Row],[CÓDIGO]]),"",IFERROR(VLOOKUP(tabItens[[#This Row],[CÓDIGO]],Consumo!$C$2:$AC$869,26,FALSE),0))</f>
        <v>06.2023</v>
      </c>
      <c r="AS751" s="316">
        <f>SUMIF(Consumo!$C$3:$C$869,tabItens[[#This Row],[CÓDIGO]],Consumo!$N$3:$N$869) + SUMIF(Consumo!$C$3:$C$869,tabItens[[#This Row],[CÓDIGO]],Consumo!$O$3:$O$869) + SUMIF(Consumo!$C$3:$C$869,tabItens[[#This Row],[CÓDIGO]],Consumo!$P$3:$P$869) + SUMIF(Consumo!$C$3:$C$869,tabItens[[#This Row],[CÓDIGO]],Consumo!$Q$3:$Q$869)</f>
        <v>2</v>
      </c>
      <c r="AT751" s="316">
        <f>SUMIF(Consumo!$C$3:$C$869,tabItens[[#This Row],[CÓDIGO]],Consumo!$Z$3:$Z$869)</f>
        <v>7</v>
      </c>
      <c r="AU751" s="317">
        <f>SUMIF(Consumo!$C$3:$C$869,tabItens[[#This Row],[CÓDIGO]],Consumo!$AA$3:$AA$869)</f>
        <v>2</v>
      </c>
      <c r="AV751" s="318">
        <f>SUMIF(Consumo!$C$3:$C$869,tabItens[[#This Row],[CÓDIGO]],Consumo!$Y$3:$Y$869)</f>
        <v>0.58333333333333337</v>
      </c>
      <c r="AW751" s="291">
        <f>tabItens[[#This Row],[QTDE ATUAL]] + tabItens[[#This Row],[RC QTDE]] + tabItens[[#This Row],[AF SALDO]] + tabItens[[#This Row],[Recentes]]</f>
        <v>22</v>
      </c>
      <c r="AX751" s="319">
        <v>1</v>
      </c>
      <c r="AY751" s="319">
        <v>4</v>
      </c>
      <c r="AZ751" s="319">
        <f>IF(ISBLANK(tabItens[[#This Row],[CÓDIGO]]),"",tabItens[[#This Row],[PontoMês]] * (AZ$2+tabItens[[#This Row],[PontoQtM]]))</f>
        <v>4</v>
      </c>
      <c r="BA751" s="318">
        <f>tabItens[[#This Row],[PontoPed]] - tabItens[[#This Row],[Saldo]] + (1/10)</f>
        <v>-17.899999999999999</v>
      </c>
      <c r="BB751" s="318">
        <f xml:space="preserve"> tabItens[[#This Row],[PontoMês]] * BB$2 - tabItens[[#This Row],[QTDE ATUAL]] - (1/10)</f>
        <v>-16.100000000000001</v>
      </c>
      <c r="BC751" s="320">
        <f>IF( tabItens[[#This Row],[PontoPed]]&gt;0, IF(tabItens[[#This Row],[PontoPed]]&lt;1, 1, IF( tabItens[[#This Row],[Saldo]]&gt;tabItens[[#This Row],[PontoPed]], 0, (tabItens[[#This Row],[PontoPed]]-tabItens[[#This Row],[Saldo]])/tabItens[[#This Row],[PontoPed]] ) ), 0 )</f>
        <v>0</v>
      </c>
      <c r="BD751" s="321">
        <f>ROUNDDOWN(IF( OR( AND(tabItens[[#This Row],[PontoPed]]&lt;tabItens[[#This Row],[Saldo]],tabItens[[#This Row],[Saldo]]&gt;0), tabItens[[#This Row],[PontoPed]]=0), 99, IF(AND(tabItens[[#This Row],[Saldo]]=0,tabItens[[#This Row],[PontoPed]]&gt;0), 0, (1-tabItens[[#This Row],[PctAb]])*10 ) ),0)</f>
        <v>99</v>
      </c>
      <c r="BE751" s="322">
        <f>MAX(ROUNDDOWN( IF(tabItens[[#This Row],[Abaixo]] &gt; 0,   tabItens[[#This Row],[Abaixo]] + (tabItens[[#This Row],[PontoMês]] * IF( OR( ISBLANK(tabItens[[#This Row],[ATA Nº/ANO]]), tabItens[[#This Row],[ATA Nº/ANO]] = ""),BE$2,BE$1)),0),0),0)</f>
        <v>0</v>
      </c>
      <c r="BF75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23">
        <f>SUMIF(Consumo!$C$3:$C$869,tabItens[[#This Row],[CÓDIGO]],Consumo!$E$3:$E$869)</f>
        <v>0</v>
      </c>
      <c r="BH751" s="324">
        <f>IF(AND(tabItens[[#This Row],[Pend]] &gt; 0,tabItens[[#This Row],[Consumo]] &lt;&gt; 0), tabItens[[#This Row],[Pend]] / tabItens[[#This Row],[Consumo]], 0 )</f>
        <v>0</v>
      </c>
      <c r="BI751" s="323"/>
      <c r="BJ751" s="323"/>
      <c r="BK751" s="325" t="s">
        <v>2064</v>
      </c>
    </row>
    <row r="752" spans="1:63" hidden="1" x14ac:dyDescent="0.3">
      <c r="A752" s="286">
        <v>114771</v>
      </c>
      <c r="B752" s="287" t="s">
        <v>1695</v>
      </c>
      <c r="C752" s="288" t="s">
        <v>256</v>
      </c>
      <c r="D752" s="289">
        <v>40.35</v>
      </c>
      <c r="E752" s="290"/>
      <c r="F752" s="290"/>
      <c r="G752" s="290" t="s">
        <v>883</v>
      </c>
      <c r="H752" s="291">
        <v>105</v>
      </c>
      <c r="I752" s="292">
        <v>103003</v>
      </c>
      <c r="J752" s="293">
        <v>40.35</v>
      </c>
      <c r="K752" s="294"/>
      <c r="L752" s="295">
        <f>IF(tabItens[[#This Row],[Média]] &gt; 0, tabItens[[#This Row],[QTDE ATUAL]] / tabItens[[#This Row],[Média]],999.9)</f>
        <v>999.9</v>
      </c>
      <c r="M752" s="296">
        <v>0</v>
      </c>
      <c r="N752" s="297">
        <f>tabItens[[#This Row],[VALOR UNIT.]] * tabItens[[#This Row],[LC]]</f>
        <v>0</v>
      </c>
      <c r="O752" s="298"/>
      <c r="P752" s="299"/>
      <c r="Q752" s="300"/>
      <c r="R752" s="297"/>
      <c r="S752" s="301"/>
      <c r="T752" s="302">
        <f>ROUNDDOWN(IFERROR(tabItens[[#This Row],[ATA DT.VALID.]] - $D$1,0) / 30,0)</f>
        <v>-1504</v>
      </c>
      <c r="U752" s="287" t="s">
        <v>983</v>
      </c>
      <c r="V752" s="303">
        <v>1</v>
      </c>
      <c r="W752" s="304" t="s">
        <v>2055</v>
      </c>
      <c r="X752" s="305">
        <v>55</v>
      </c>
      <c r="Y752" s="306">
        <v>31</v>
      </c>
      <c r="Z752" s="307"/>
      <c r="AA752" s="308"/>
      <c r="AB752" s="309"/>
      <c r="AC752" s="309"/>
      <c r="AD752" s="308"/>
      <c r="AE752" s="309"/>
      <c r="AF752" s="302"/>
      <c r="AG752" s="310" t="s">
        <v>2050</v>
      </c>
      <c r="AH752" s="311"/>
      <c r="AI752" s="302">
        <v>0</v>
      </c>
      <c r="AJ752" s="311">
        <v>40581</v>
      </c>
      <c r="AK752" s="311">
        <v>40275</v>
      </c>
      <c r="AL752" s="311">
        <v>40527</v>
      </c>
      <c r="AM752" s="301"/>
      <c r="AN752" s="290"/>
      <c r="AO752" s="312" t="str">
        <f>_xlfn.IFNA(IF(VLOOKUP(tabItens[[#This Row],[CÓDIGO]],tabExcluirDoEstoque[#Data],1,FALSE),"sim",""),"")</f>
        <v/>
      </c>
      <c r="AP752" s="313" t="str">
        <f ca="1">IF(OR(ISBLANK(tabItens[[#This Row],[ATA DT.VALID.]]),tabItens[[#This Row],[ATA DT.VALID.]]="",tabItens[[#This Row],[ATA DT.VALID.]]=" "),"",IF(TYPE(tabItens[[#This Row],[ATA DT.VALID.]])=1,ROUNDUP((tabItens[[#This Row],[ATA DT.VALID.]]-TODAY())/7,0),""))</f>
        <v/>
      </c>
      <c r="AQ752" s="314"/>
      <c r="AR752" s="315">
        <f>IF(ISBLANK(tabItens[[#This Row],[CÓDIGO]]),"",IFERROR(VLOOKUP(tabItens[[#This Row],[CÓDIGO]],Consumo!$C$2:$AC$869,26,FALSE),0))</f>
        <v>0</v>
      </c>
      <c r="AS752" s="316">
        <f>SUMIF(Consumo!$C$3:$C$869,tabItens[[#This Row],[CÓDIGO]],Consumo!$N$3:$N$869) + SUMIF(Consumo!$C$3:$C$869,tabItens[[#This Row],[CÓDIGO]],Consumo!$O$3:$O$869) + SUMIF(Consumo!$C$3:$C$869,tabItens[[#This Row],[CÓDIGO]],Consumo!$P$3:$P$869) + SUMIF(Consumo!$C$3:$C$869,tabItens[[#This Row],[CÓDIGO]],Consumo!$Q$3:$Q$869)</f>
        <v>0</v>
      </c>
      <c r="AT752" s="316">
        <f>SUMIF(Consumo!$C$3:$C$869,tabItens[[#This Row],[CÓDIGO]],Consumo!$Z$3:$Z$869)</f>
        <v>0</v>
      </c>
      <c r="AU752" s="317">
        <f>SUMIF(Consumo!$C$3:$C$869,tabItens[[#This Row],[CÓDIGO]],Consumo!$AA$3:$AA$869)</f>
        <v>0</v>
      </c>
      <c r="AV752" s="318">
        <f>SUMIF(Consumo!$C$3:$C$869,tabItens[[#This Row],[CÓDIGO]],Consumo!$Y$3:$Y$869)</f>
        <v>0</v>
      </c>
      <c r="AW752" s="291">
        <f>tabItens[[#This Row],[QTDE ATUAL]] + tabItens[[#This Row],[RC QTDE]] + tabItens[[#This Row],[AF SALDO]] + tabItens[[#This Row],[Recentes]]</f>
        <v>105</v>
      </c>
      <c r="AX752" s="319">
        <v>1</v>
      </c>
      <c r="AY752" s="319">
        <v>4</v>
      </c>
      <c r="AZ752" s="319">
        <f>IF(ISBLANK(tabItens[[#This Row],[CÓDIGO]]),"",tabItens[[#This Row],[PontoMês]] * (AZ$2+tabItens[[#This Row],[PontoQtM]]))</f>
        <v>4</v>
      </c>
      <c r="BA752" s="318">
        <f>tabItens[[#This Row],[PontoPed]] - tabItens[[#This Row],[Saldo]] + (1/10)</f>
        <v>-100.9</v>
      </c>
      <c r="BB752" s="318">
        <f xml:space="preserve"> tabItens[[#This Row],[PontoMês]] * BB$2 - tabItens[[#This Row],[QTDE ATUAL]] - (1/10)</f>
        <v>-104.1</v>
      </c>
      <c r="BC752" s="320">
        <f>IF( tabItens[[#This Row],[PontoPed]]&gt;0, IF(tabItens[[#This Row],[PontoPed]]&lt;1, 1, IF( tabItens[[#This Row],[Saldo]]&gt;tabItens[[#This Row],[PontoPed]], 0, (tabItens[[#This Row],[PontoPed]]-tabItens[[#This Row],[Saldo]])/tabItens[[#This Row],[PontoPed]] ) ), 0 )</f>
        <v>0</v>
      </c>
      <c r="BD752" s="321">
        <f>ROUNDDOWN(IF( OR( AND(tabItens[[#This Row],[PontoPed]]&lt;tabItens[[#This Row],[Saldo]],tabItens[[#This Row],[Saldo]]&gt;0), tabItens[[#This Row],[PontoPed]]=0), 99, IF(AND(tabItens[[#This Row],[Saldo]]=0,tabItens[[#This Row],[PontoPed]]&gt;0), 0, (1-tabItens[[#This Row],[PctAb]])*10 ) ),0)</f>
        <v>99</v>
      </c>
      <c r="BE752" s="322">
        <f>MAX(ROUNDDOWN( IF(tabItens[[#This Row],[Abaixo]] &gt; 0,   tabItens[[#This Row],[Abaixo]] + (tabItens[[#This Row],[PontoMês]] * IF( OR( ISBLANK(tabItens[[#This Row],[ATA Nº/ANO]]), tabItens[[#This Row],[ATA Nº/ANO]] = ""),BE$2,BE$1)),0),0),0)</f>
        <v>0</v>
      </c>
      <c r="BF75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23">
        <f>SUMIF(Consumo!$C$3:$C$869,tabItens[[#This Row],[CÓDIGO]],Consumo!$E$3:$E$869)</f>
        <v>0</v>
      </c>
      <c r="BH752" s="324">
        <f>IF(AND(tabItens[[#This Row],[Pend]] &gt; 0,tabItens[[#This Row],[Consumo]] &lt;&gt; 0), tabItens[[#This Row],[Pend]] / tabItens[[#This Row],[Consumo]], 0 )</f>
        <v>0</v>
      </c>
      <c r="BI752" s="323"/>
      <c r="BJ752" s="323"/>
      <c r="BK752" s="325" t="s">
        <v>2064</v>
      </c>
    </row>
    <row r="753" spans="1:63" hidden="1" x14ac:dyDescent="0.3">
      <c r="A753" s="286">
        <v>117734</v>
      </c>
      <c r="B753" s="287" t="s">
        <v>1717</v>
      </c>
      <c r="C753" s="288" t="s">
        <v>256</v>
      </c>
      <c r="D753" s="289">
        <v>25.62</v>
      </c>
      <c r="E753" s="290"/>
      <c r="F753" s="290"/>
      <c r="G753" s="290" t="s">
        <v>883</v>
      </c>
      <c r="H753" s="291">
        <v>114</v>
      </c>
      <c r="I753" s="292">
        <v>103003</v>
      </c>
      <c r="J753" s="293">
        <v>25.62</v>
      </c>
      <c r="K753" s="294">
        <v>4</v>
      </c>
      <c r="L753" s="295">
        <f>IF(tabItens[[#This Row],[Média]] &gt; 0, tabItens[[#This Row],[QTDE ATUAL]] / tabItens[[#This Row],[Média]],999.9)</f>
        <v>684</v>
      </c>
      <c r="M753" s="296">
        <v>0</v>
      </c>
      <c r="N753" s="297">
        <f>tabItens[[#This Row],[VALOR UNIT.]] * tabItens[[#This Row],[LC]]</f>
        <v>0</v>
      </c>
      <c r="O753" s="298"/>
      <c r="P753" s="299"/>
      <c r="Q753" s="300"/>
      <c r="R753" s="297"/>
      <c r="S753" s="301"/>
      <c r="T753" s="302">
        <f>ROUNDDOWN(IFERROR(tabItens[[#This Row],[ATA DT.VALID.]] - $D$1,0) / 30,0)</f>
        <v>-1504</v>
      </c>
      <c r="U753" s="287" t="s">
        <v>983</v>
      </c>
      <c r="V753" s="303">
        <v>1</v>
      </c>
      <c r="W753" s="304" t="s">
        <v>2055</v>
      </c>
      <c r="X753" s="305">
        <v>55</v>
      </c>
      <c r="Y753" s="306">
        <v>31</v>
      </c>
      <c r="Z753" s="307"/>
      <c r="AA753" s="308"/>
      <c r="AB753" s="309"/>
      <c r="AC753" s="309"/>
      <c r="AD753" s="308"/>
      <c r="AE753" s="309"/>
      <c r="AF753" s="302"/>
      <c r="AG753" s="310" t="s">
        <v>2050</v>
      </c>
      <c r="AH753" s="311"/>
      <c r="AI753" s="302">
        <v>2</v>
      </c>
      <c r="AJ753" s="311">
        <v>43892</v>
      </c>
      <c r="AK753" s="311">
        <v>40438</v>
      </c>
      <c r="AL753" s="311">
        <v>43865</v>
      </c>
      <c r="AM753" s="301"/>
      <c r="AN753" s="290"/>
      <c r="AO753" s="312" t="str">
        <f>_xlfn.IFNA(IF(VLOOKUP(tabItens[[#This Row],[CÓDIGO]],tabExcluirDoEstoque[#Data],1,FALSE),"sim",""),"")</f>
        <v/>
      </c>
      <c r="AP753" s="313" t="str">
        <f ca="1">IF(OR(ISBLANK(tabItens[[#This Row],[ATA DT.VALID.]]),tabItens[[#This Row],[ATA DT.VALID.]]="",tabItens[[#This Row],[ATA DT.VALID.]]=" "),"",IF(TYPE(tabItens[[#This Row],[ATA DT.VALID.]])=1,ROUNDUP((tabItens[[#This Row],[ATA DT.VALID.]]-TODAY())/7,0),""))</f>
        <v/>
      </c>
      <c r="AQ753" s="314"/>
      <c r="AR753" s="315" t="str">
        <f>IF(ISBLANK(tabItens[[#This Row],[CÓDIGO]]),"",IFERROR(VLOOKUP(tabItens[[#This Row],[CÓDIGO]],Consumo!$C$2:$AC$869,26,FALSE),0))</f>
        <v>01.2023</v>
      </c>
      <c r="AS753" s="316">
        <f>SUMIF(Consumo!$C$3:$C$869,tabItens[[#This Row],[CÓDIGO]],Consumo!$N$3:$N$869) + SUMIF(Consumo!$C$3:$C$869,tabItens[[#This Row],[CÓDIGO]],Consumo!$O$3:$O$869) + SUMIF(Consumo!$C$3:$C$869,tabItens[[#This Row],[CÓDIGO]],Consumo!$P$3:$P$869) + SUMIF(Consumo!$C$3:$C$869,tabItens[[#This Row],[CÓDIGO]],Consumo!$Q$3:$Q$869)</f>
        <v>0</v>
      </c>
      <c r="AT753" s="316">
        <f>SUMIF(Consumo!$C$3:$C$869,tabItens[[#This Row],[CÓDIGO]],Consumo!$Z$3:$Z$869)</f>
        <v>4</v>
      </c>
      <c r="AU753" s="317">
        <f>SUMIF(Consumo!$C$3:$C$869,tabItens[[#This Row],[CÓDIGO]],Consumo!$AA$3:$AA$869)</f>
        <v>2</v>
      </c>
      <c r="AV753" s="318">
        <f>SUMIF(Consumo!$C$3:$C$869,tabItens[[#This Row],[CÓDIGO]],Consumo!$Y$3:$Y$869)</f>
        <v>0.16666666666666666</v>
      </c>
      <c r="AW753" s="291">
        <f>tabItens[[#This Row],[QTDE ATUAL]] + tabItens[[#This Row],[RC QTDE]] + tabItens[[#This Row],[AF SALDO]] + tabItens[[#This Row],[Recentes]]</f>
        <v>114</v>
      </c>
      <c r="AX753" s="319">
        <v>2</v>
      </c>
      <c r="AY753" s="319">
        <v>4</v>
      </c>
      <c r="AZ753" s="319">
        <f>IF(ISBLANK(tabItens[[#This Row],[CÓDIGO]]),"",tabItens[[#This Row],[PontoMês]] * (AZ$2+tabItens[[#This Row],[PontoQtM]]))</f>
        <v>8</v>
      </c>
      <c r="BA753" s="318">
        <f>tabItens[[#This Row],[PontoPed]] - tabItens[[#This Row],[Saldo]] + (1/10)</f>
        <v>-105.9</v>
      </c>
      <c r="BB753" s="318">
        <f xml:space="preserve"> tabItens[[#This Row],[PontoMês]] * BB$2 - tabItens[[#This Row],[QTDE ATUAL]] - (1/10)</f>
        <v>-112.1</v>
      </c>
      <c r="BC753" s="320">
        <f>IF( tabItens[[#This Row],[PontoPed]]&gt;0, IF(tabItens[[#This Row],[PontoPed]]&lt;1, 1, IF( tabItens[[#This Row],[Saldo]]&gt;tabItens[[#This Row],[PontoPed]], 0, (tabItens[[#This Row],[PontoPed]]-tabItens[[#This Row],[Saldo]])/tabItens[[#This Row],[PontoPed]] ) ), 0 )</f>
        <v>0</v>
      </c>
      <c r="BD753" s="321">
        <f>ROUNDDOWN(IF( OR( AND(tabItens[[#This Row],[PontoPed]]&lt;tabItens[[#This Row],[Saldo]],tabItens[[#This Row],[Saldo]]&gt;0), tabItens[[#This Row],[PontoPed]]=0), 99, IF(AND(tabItens[[#This Row],[Saldo]]=0,tabItens[[#This Row],[PontoPed]]&gt;0), 0, (1-tabItens[[#This Row],[PctAb]])*10 ) ),0)</f>
        <v>99</v>
      </c>
      <c r="BE753" s="322">
        <f>MAX(ROUNDDOWN( IF(tabItens[[#This Row],[Abaixo]] &gt; 0,   tabItens[[#This Row],[Abaixo]] + (tabItens[[#This Row],[PontoMês]] * IF( OR( ISBLANK(tabItens[[#This Row],[ATA Nº/ANO]]), tabItens[[#This Row],[ATA Nº/ANO]] = ""),BE$2,BE$1)),0),0),0)</f>
        <v>0</v>
      </c>
      <c r="BF75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23">
        <f>SUMIF(Consumo!$C$3:$C$869,tabItens[[#This Row],[CÓDIGO]],Consumo!$E$3:$E$869)</f>
        <v>0</v>
      </c>
      <c r="BH753" s="324">
        <f>IF(AND(tabItens[[#This Row],[Pend]] &gt; 0,tabItens[[#This Row],[Consumo]] &lt;&gt; 0), tabItens[[#This Row],[Pend]] / tabItens[[#This Row],[Consumo]], 0 )</f>
        <v>0</v>
      </c>
      <c r="BI753" s="323"/>
      <c r="BJ753" s="323"/>
      <c r="BK753" s="325" t="s">
        <v>2064</v>
      </c>
    </row>
    <row r="754" spans="1:63" hidden="1" x14ac:dyDescent="0.3">
      <c r="A754" s="286">
        <v>13009</v>
      </c>
      <c r="B754" s="287" t="s">
        <v>987</v>
      </c>
      <c r="C754" s="288" t="s">
        <v>331</v>
      </c>
      <c r="D754" s="289">
        <v>1</v>
      </c>
      <c r="E754" s="290"/>
      <c r="F754" s="290"/>
      <c r="G754" s="290" t="s">
        <v>883</v>
      </c>
      <c r="H754" s="291">
        <v>606</v>
      </c>
      <c r="I754" s="292">
        <v>103003</v>
      </c>
      <c r="J754" s="293">
        <v>1</v>
      </c>
      <c r="K754" s="294">
        <v>345</v>
      </c>
      <c r="L754" s="295">
        <f>IF(tabItens[[#This Row],[Média]] &gt; 0, tabItens[[#This Row],[QTDE ATUAL]] / tabItens[[#This Row],[Média]],999.9)</f>
        <v>23.307692307692307</v>
      </c>
      <c r="M754" s="296">
        <v>0</v>
      </c>
      <c r="N754" s="297">
        <f>tabItens[[#This Row],[VALOR UNIT.]] * tabItens[[#This Row],[LC]]</f>
        <v>0</v>
      </c>
      <c r="O754" s="298"/>
      <c r="P754" s="299"/>
      <c r="Q754" s="300"/>
      <c r="R754" s="297"/>
      <c r="S754" s="301"/>
      <c r="T754" s="302">
        <f>ROUNDDOWN(IFERROR(tabItens[[#This Row],[ATA DT.VALID.]] - $D$1,0) / 30,0)</f>
        <v>-1504</v>
      </c>
      <c r="U754" s="287" t="s">
        <v>988</v>
      </c>
      <c r="V754" s="303">
        <v>1</v>
      </c>
      <c r="W754" s="304" t="s">
        <v>2055</v>
      </c>
      <c r="X754" s="305">
        <v>55</v>
      </c>
      <c r="Y754" s="306">
        <v>32</v>
      </c>
      <c r="Z754" s="307"/>
      <c r="AA754" s="308"/>
      <c r="AB754" s="309"/>
      <c r="AC754" s="309"/>
      <c r="AD754" s="308"/>
      <c r="AE754" s="309"/>
      <c r="AF754" s="302"/>
      <c r="AG754" s="310" t="s">
        <v>2050</v>
      </c>
      <c r="AH754" s="311"/>
      <c r="AI754" s="302">
        <v>116</v>
      </c>
      <c r="AJ754" s="311">
        <v>43837</v>
      </c>
      <c r="AK754" s="311" t="s">
        <v>883</v>
      </c>
      <c r="AL754" s="311">
        <v>44655</v>
      </c>
      <c r="AM754" s="301"/>
      <c r="AN754" s="290"/>
      <c r="AO754" s="312" t="str">
        <f>_xlfn.IFNA(IF(VLOOKUP(tabItens[[#This Row],[CÓDIGO]],tabExcluirDoEstoque[#Data],1,FALSE),"sim",""),"")</f>
        <v/>
      </c>
      <c r="AP754" s="313" t="str">
        <f ca="1">IF(OR(ISBLANK(tabItens[[#This Row],[ATA DT.VALID.]]),tabItens[[#This Row],[ATA DT.VALID.]]="",tabItens[[#This Row],[ATA DT.VALID.]]=" "),"",IF(TYPE(tabItens[[#This Row],[ATA DT.VALID.]])=1,ROUNDUP((tabItens[[#This Row],[ATA DT.VALID.]]-TODAY())/7,0),""))</f>
        <v/>
      </c>
      <c r="AQ754" s="314"/>
      <c r="AR754" s="315" t="str">
        <f>IF(ISBLANK(tabItens[[#This Row],[CÓDIGO]]),"",IFERROR(VLOOKUP(tabItens[[#This Row],[CÓDIGO]],Consumo!$C$2:$AC$869,26,FALSE),0))</f>
        <v>05.2023</v>
      </c>
      <c r="AS754" s="316">
        <f>SUMIF(Consumo!$C$3:$C$869,tabItens[[#This Row],[CÓDIGO]],Consumo!$N$3:$N$869) + SUMIF(Consumo!$C$3:$C$869,tabItens[[#This Row],[CÓDIGO]],Consumo!$O$3:$O$869) + SUMIF(Consumo!$C$3:$C$869,tabItens[[#This Row],[CÓDIGO]],Consumo!$P$3:$P$869) + SUMIF(Consumo!$C$3:$C$869,tabItens[[#This Row],[CÓDIGO]],Consumo!$Q$3:$Q$869)</f>
        <v>150</v>
      </c>
      <c r="AT754" s="316">
        <f>SUMIF(Consumo!$C$3:$C$869,tabItens[[#This Row],[CÓDIGO]],Consumo!$Z$3:$Z$869)</f>
        <v>345</v>
      </c>
      <c r="AU754" s="317">
        <f>SUMIF(Consumo!$C$3:$C$869,tabItens[[#This Row],[CÓDIGO]],Consumo!$AA$3:$AA$869)</f>
        <v>150</v>
      </c>
      <c r="AV754" s="318">
        <f>SUMIF(Consumo!$C$3:$C$869,tabItens[[#This Row],[CÓDIGO]],Consumo!$Y$3:$Y$869)</f>
        <v>26</v>
      </c>
      <c r="AW754" s="291">
        <f>tabItens[[#This Row],[QTDE ATUAL]] + tabItens[[#This Row],[RC QTDE]] + tabItens[[#This Row],[AF SALDO]] + tabItens[[#This Row],[Recentes]]</f>
        <v>606</v>
      </c>
      <c r="AX754" s="319">
        <v>24</v>
      </c>
      <c r="AY754" s="319">
        <v>4</v>
      </c>
      <c r="AZ754" s="319">
        <f>IF(ISBLANK(tabItens[[#This Row],[CÓDIGO]]),"",tabItens[[#This Row],[PontoMês]] * (AZ$2+tabItens[[#This Row],[PontoQtM]]))</f>
        <v>96</v>
      </c>
      <c r="BA754" s="318">
        <f>tabItens[[#This Row],[PontoPed]] - tabItens[[#This Row],[Saldo]] + (1/10)</f>
        <v>-509.9</v>
      </c>
      <c r="BB754" s="318">
        <f xml:space="preserve"> tabItens[[#This Row],[PontoMês]] * BB$2 - tabItens[[#This Row],[QTDE ATUAL]] - (1/10)</f>
        <v>-582.1</v>
      </c>
      <c r="BC754" s="320">
        <f>IF( tabItens[[#This Row],[PontoPed]]&gt;0, IF(tabItens[[#This Row],[PontoPed]]&lt;1, 1, IF( tabItens[[#This Row],[Saldo]]&gt;tabItens[[#This Row],[PontoPed]], 0, (tabItens[[#This Row],[PontoPed]]-tabItens[[#This Row],[Saldo]])/tabItens[[#This Row],[PontoPed]] ) ), 0 )</f>
        <v>0</v>
      </c>
      <c r="BD754" s="321">
        <f>ROUNDDOWN(IF( OR( AND(tabItens[[#This Row],[PontoPed]]&lt;tabItens[[#This Row],[Saldo]],tabItens[[#This Row],[Saldo]]&gt;0), tabItens[[#This Row],[PontoPed]]=0), 99, IF(AND(tabItens[[#This Row],[Saldo]]=0,tabItens[[#This Row],[PontoPed]]&gt;0), 0, (1-tabItens[[#This Row],[PctAb]])*10 ) ),0)</f>
        <v>99</v>
      </c>
      <c r="BE754" s="322">
        <f>MAX(ROUNDDOWN( IF(tabItens[[#This Row],[Abaixo]] &gt; 0,   tabItens[[#This Row],[Abaixo]] + (tabItens[[#This Row],[PontoMês]] * IF( OR( ISBLANK(tabItens[[#This Row],[ATA Nº/ANO]]), tabItens[[#This Row],[ATA Nº/ANO]] = ""),BE$2,BE$1)),0),0),0)</f>
        <v>0</v>
      </c>
      <c r="BF75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23">
        <f>SUMIF(Consumo!$C$3:$C$869,tabItens[[#This Row],[CÓDIGO]],Consumo!$E$3:$E$869)</f>
        <v>0</v>
      </c>
      <c r="BH754" s="324">
        <f>IF(AND(tabItens[[#This Row],[Pend]] &gt; 0,tabItens[[#This Row],[Consumo]] &lt;&gt; 0), tabItens[[#This Row],[Pend]] / tabItens[[#This Row],[Consumo]], 0 )</f>
        <v>0</v>
      </c>
      <c r="BI754" s="323"/>
      <c r="BJ754" s="323"/>
      <c r="BK754" s="325" t="s">
        <v>2064</v>
      </c>
    </row>
    <row r="755" spans="1:63" hidden="1" x14ac:dyDescent="0.3">
      <c r="A755" s="286">
        <v>31580</v>
      </c>
      <c r="B755" s="287" t="s">
        <v>1246</v>
      </c>
      <c r="C755" s="288" t="s">
        <v>256</v>
      </c>
      <c r="D755" s="289">
        <v>2.8</v>
      </c>
      <c r="E755" s="290"/>
      <c r="F755" s="290"/>
      <c r="G755" s="290" t="s">
        <v>883</v>
      </c>
      <c r="H755" s="291">
        <v>88</v>
      </c>
      <c r="I755" s="292">
        <v>103003</v>
      </c>
      <c r="J755" s="293">
        <v>2.8</v>
      </c>
      <c r="K755" s="294"/>
      <c r="L755" s="295">
        <f>IF(tabItens[[#This Row],[Média]] &gt; 0, tabItens[[#This Row],[QTDE ATUAL]] / tabItens[[#This Row],[Média]],999.9)</f>
        <v>999.9</v>
      </c>
      <c r="M755" s="296">
        <v>0</v>
      </c>
      <c r="N755" s="297">
        <f>tabItens[[#This Row],[VALOR UNIT.]] * tabItens[[#This Row],[LC]]</f>
        <v>0</v>
      </c>
      <c r="O755" s="298"/>
      <c r="P755" s="299"/>
      <c r="Q755" s="300"/>
      <c r="R755" s="297"/>
      <c r="S755" s="301"/>
      <c r="T755" s="302">
        <f>ROUNDDOWN(IFERROR(tabItens[[#This Row],[ATA DT.VALID.]] - $D$1,0) / 30,0)</f>
        <v>-1504</v>
      </c>
      <c r="U755" s="287" t="s">
        <v>988</v>
      </c>
      <c r="V755" s="303">
        <v>1</v>
      </c>
      <c r="W755" s="304" t="s">
        <v>2055</v>
      </c>
      <c r="X755" s="305">
        <v>55</v>
      </c>
      <c r="Y755" s="306">
        <v>32</v>
      </c>
      <c r="Z755" s="307"/>
      <c r="AA755" s="308"/>
      <c r="AB755" s="309"/>
      <c r="AC755" s="309"/>
      <c r="AD755" s="308"/>
      <c r="AE755" s="309"/>
      <c r="AF755" s="302"/>
      <c r="AG755" s="310" t="s">
        <v>2050</v>
      </c>
      <c r="AH755" s="311"/>
      <c r="AI755" s="302">
        <v>0</v>
      </c>
      <c r="AJ755" s="311">
        <v>41879</v>
      </c>
      <c r="AK755" s="311" t="s">
        <v>883</v>
      </c>
      <c r="AL755" s="311">
        <v>41823</v>
      </c>
      <c r="AM755" s="301"/>
      <c r="AN755" s="290"/>
      <c r="AO755" s="312" t="str">
        <f>_xlfn.IFNA(IF(VLOOKUP(tabItens[[#This Row],[CÓDIGO]],tabExcluirDoEstoque[#Data],1,FALSE),"sim",""),"")</f>
        <v/>
      </c>
      <c r="AP755" s="313" t="str">
        <f ca="1">IF(OR(ISBLANK(tabItens[[#This Row],[ATA DT.VALID.]]),tabItens[[#This Row],[ATA DT.VALID.]]="",tabItens[[#This Row],[ATA DT.VALID.]]=" "),"",IF(TYPE(tabItens[[#This Row],[ATA DT.VALID.]])=1,ROUNDUP((tabItens[[#This Row],[ATA DT.VALID.]]-TODAY())/7,0),""))</f>
        <v/>
      </c>
      <c r="AQ755" s="314"/>
      <c r="AR755" s="315">
        <f>IF(ISBLANK(tabItens[[#This Row],[CÓDIGO]]),"",IFERROR(VLOOKUP(tabItens[[#This Row],[CÓDIGO]],Consumo!$C$2:$AC$869,26,FALSE),0))</f>
        <v>0</v>
      </c>
      <c r="AS755" s="316">
        <f>SUMIF(Consumo!$C$3:$C$869,tabItens[[#This Row],[CÓDIGO]],Consumo!$N$3:$N$869) + SUMIF(Consumo!$C$3:$C$869,tabItens[[#This Row],[CÓDIGO]],Consumo!$O$3:$O$869) + SUMIF(Consumo!$C$3:$C$869,tabItens[[#This Row],[CÓDIGO]],Consumo!$P$3:$P$869) + SUMIF(Consumo!$C$3:$C$869,tabItens[[#This Row],[CÓDIGO]],Consumo!$Q$3:$Q$869)</f>
        <v>0</v>
      </c>
      <c r="AT755" s="316">
        <f>SUMIF(Consumo!$C$3:$C$869,tabItens[[#This Row],[CÓDIGO]],Consumo!$Z$3:$Z$869)</f>
        <v>0</v>
      </c>
      <c r="AU755" s="317">
        <f>SUMIF(Consumo!$C$3:$C$869,tabItens[[#This Row],[CÓDIGO]],Consumo!$AA$3:$AA$869)</f>
        <v>0</v>
      </c>
      <c r="AV755" s="318">
        <f>SUMIF(Consumo!$C$3:$C$869,tabItens[[#This Row],[CÓDIGO]],Consumo!$Y$3:$Y$869)</f>
        <v>0</v>
      </c>
      <c r="AW755" s="291">
        <f>tabItens[[#This Row],[QTDE ATUAL]] + tabItens[[#This Row],[RC QTDE]] + tabItens[[#This Row],[AF SALDO]] + tabItens[[#This Row],[Recentes]]</f>
        <v>88</v>
      </c>
      <c r="AX755" s="319">
        <v>0</v>
      </c>
      <c r="AY755" s="319">
        <v>4</v>
      </c>
      <c r="AZ755" s="319">
        <f>IF(ISBLANK(tabItens[[#This Row],[CÓDIGO]]),"",tabItens[[#This Row],[PontoMês]] * (AZ$2+tabItens[[#This Row],[PontoQtM]]))</f>
        <v>0</v>
      </c>
      <c r="BA755" s="318">
        <f>tabItens[[#This Row],[PontoPed]] - tabItens[[#This Row],[Saldo]] + (1/10)</f>
        <v>-87.9</v>
      </c>
      <c r="BB755" s="318">
        <f xml:space="preserve"> tabItens[[#This Row],[PontoMês]] * BB$2 - tabItens[[#This Row],[QTDE ATUAL]] - (1/10)</f>
        <v>-88.1</v>
      </c>
      <c r="BC755" s="320">
        <f>IF( tabItens[[#This Row],[PontoPed]]&gt;0, IF(tabItens[[#This Row],[PontoPed]]&lt;1, 1, IF( tabItens[[#This Row],[Saldo]]&gt;tabItens[[#This Row],[PontoPed]], 0, (tabItens[[#This Row],[PontoPed]]-tabItens[[#This Row],[Saldo]])/tabItens[[#This Row],[PontoPed]] ) ), 0 )</f>
        <v>0</v>
      </c>
      <c r="BD755" s="321">
        <f>ROUNDDOWN(IF( OR( AND(tabItens[[#This Row],[PontoPed]]&lt;tabItens[[#This Row],[Saldo]],tabItens[[#This Row],[Saldo]]&gt;0), tabItens[[#This Row],[PontoPed]]=0), 99, IF(AND(tabItens[[#This Row],[Saldo]]=0,tabItens[[#This Row],[PontoPed]]&gt;0), 0, (1-tabItens[[#This Row],[PctAb]])*10 ) ),0)</f>
        <v>99</v>
      </c>
      <c r="BE755" s="322">
        <f>MAX(ROUNDDOWN( IF(tabItens[[#This Row],[Abaixo]] &gt; 0,   tabItens[[#This Row],[Abaixo]] + (tabItens[[#This Row],[PontoMês]] * IF( OR( ISBLANK(tabItens[[#This Row],[ATA Nº/ANO]]), tabItens[[#This Row],[ATA Nº/ANO]] = ""),BE$2,BE$1)),0),0),0)</f>
        <v>0</v>
      </c>
      <c r="BF75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23">
        <f>SUMIF(Consumo!$C$3:$C$869,tabItens[[#This Row],[CÓDIGO]],Consumo!$E$3:$E$869)</f>
        <v>0</v>
      </c>
      <c r="BH755" s="324">
        <f>IF(AND(tabItens[[#This Row],[Pend]] &gt; 0,tabItens[[#This Row],[Consumo]] &lt;&gt; 0), tabItens[[#This Row],[Pend]] / tabItens[[#This Row],[Consumo]], 0 )</f>
        <v>0</v>
      </c>
      <c r="BI755" s="323"/>
      <c r="BJ755" s="323"/>
      <c r="BK755" s="325" t="s">
        <v>2064</v>
      </c>
    </row>
    <row r="756" spans="1:63" x14ac:dyDescent="0.3">
      <c r="A756" s="396">
        <v>54017</v>
      </c>
      <c r="B756" s="397" t="s">
        <v>1309</v>
      </c>
      <c r="C756" s="398" t="s">
        <v>31</v>
      </c>
      <c r="D756" s="399">
        <v>4.2</v>
      </c>
      <c r="E756" s="290"/>
      <c r="F756" s="400"/>
      <c r="G756" s="400" t="s">
        <v>883</v>
      </c>
      <c r="H756" s="401">
        <v>0</v>
      </c>
      <c r="I756" s="292">
        <v>103003</v>
      </c>
      <c r="J756" s="293">
        <v>4.2</v>
      </c>
      <c r="K756" s="402">
        <v>174</v>
      </c>
      <c r="L756" s="403">
        <f>IF(tabItens[[#This Row],[Média]] &gt; 0, tabItens[[#This Row],[QTDE ATUAL]] / tabItens[[#This Row],[Média]],999.9)</f>
        <v>0</v>
      </c>
      <c r="M756" s="404">
        <v>0</v>
      </c>
      <c r="N756" s="405">
        <f>tabItens[[#This Row],[VALOR UNIT.]] * tabItens[[#This Row],[LC]]</f>
        <v>0</v>
      </c>
      <c r="O756" s="406"/>
      <c r="P756" s="407"/>
      <c r="Q756" s="408"/>
      <c r="R756" s="297"/>
      <c r="S756" s="409"/>
      <c r="T756" s="410">
        <f>ROUNDDOWN(IFERROR(tabItens[[#This Row],[ATA DT.VALID.]] - $D$1,0) / 30,0)</f>
        <v>-1504</v>
      </c>
      <c r="U756" s="287" t="s">
        <v>988</v>
      </c>
      <c r="V756" s="303">
        <v>1</v>
      </c>
      <c r="W756" s="411" t="s">
        <v>2055</v>
      </c>
      <c r="X756" s="412">
        <v>55</v>
      </c>
      <c r="Y756" s="413">
        <v>32</v>
      </c>
      <c r="Z756" s="414">
        <v>2442</v>
      </c>
      <c r="AA756" s="415">
        <v>2023</v>
      </c>
      <c r="AB756" s="416">
        <v>60</v>
      </c>
      <c r="AC756" s="416"/>
      <c r="AD756" s="415"/>
      <c r="AE756" s="416"/>
      <c r="AF756" s="302"/>
      <c r="AG756" s="417" t="s">
        <v>2050</v>
      </c>
      <c r="AH756" s="418"/>
      <c r="AI756" s="302">
        <v>60</v>
      </c>
      <c r="AJ756" s="418">
        <v>44530</v>
      </c>
      <c r="AK756" s="311" t="s">
        <v>883</v>
      </c>
      <c r="AL756" s="311">
        <v>44516</v>
      </c>
      <c r="AM756" s="301"/>
      <c r="AN756" s="290"/>
      <c r="AO756" s="312" t="str">
        <f>_xlfn.IFNA(IF(VLOOKUP(tabItens[[#This Row],[CÓDIGO]],tabExcluirDoEstoque[#Data],1,FALSE),"sim",""),"")</f>
        <v/>
      </c>
      <c r="AP756" s="419" t="str">
        <f ca="1">IF(OR(ISBLANK(tabItens[[#This Row],[ATA DT.VALID.]]),tabItens[[#This Row],[ATA DT.VALID.]]="",tabItens[[#This Row],[ATA DT.VALID.]]=" "),"",IF(TYPE(tabItens[[#This Row],[ATA DT.VALID.]])=1,ROUNDUP((tabItens[[#This Row],[ATA DT.VALID.]]-TODAY())/7,0),""))</f>
        <v/>
      </c>
      <c r="AQ756" s="314"/>
      <c r="AR756" s="315" t="str">
        <f>IF(ISBLANK(tabItens[[#This Row],[CÓDIGO]]),"",IFERROR(VLOOKUP(tabItens[[#This Row],[CÓDIGO]],Consumo!$C$2:$AC$869,26,FALSE),0))</f>
        <v>04.2023</v>
      </c>
      <c r="AS756" s="316">
        <f>SUMIF(Consumo!$C$3:$C$869,tabItens[[#This Row],[CÓDIGO]],Consumo!$N$3:$N$869) + SUMIF(Consumo!$C$3:$C$869,tabItens[[#This Row],[CÓDIGO]],Consumo!$O$3:$O$869) + SUMIF(Consumo!$C$3:$C$869,tabItens[[#This Row],[CÓDIGO]],Consumo!$P$3:$P$869) + SUMIF(Consumo!$C$3:$C$869,tabItens[[#This Row],[CÓDIGO]],Consumo!$Q$3:$Q$869)</f>
        <v>4</v>
      </c>
      <c r="AT756" s="316">
        <f>SUMIF(Consumo!$C$3:$C$869,tabItens[[#This Row],[CÓDIGO]],Consumo!$Z$3:$Z$869)</f>
        <v>182</v>
      </c>
      <c r="AU756" s="317">
        <f>SUMIF(Consumo!$C$3:$C$869,tabItens[[#This Row],[CÓDIGO]],Consumo!$AA$3:$AA$869)</f>
        <v>50</v>
      </c>
      <c r="AV756" s="318">
        <f>SUMIF(Consumo!$C$3:$C$869,tabItens[[#This Row],[CÓDIGO]],Consumo!$Y$3:$Y$869)</f>
        <v>15.166666666666666</v>
      </c>
      <c r="AW756" s="401">
        <f>tabItens[[#This Row],[QTDE ATUAL]] + tabItens[[#This Row],[RC QTDE]] + tabItens[[#This Row],[AF SALDO]] + tabItens[[#This Row],[Recentes]]</f>
        <v>60</v>
      </c>
      <c r="AX756" s="420">
        <v>3</v>
      </c>
      <c r="AY756" s="420">
        <v>4</v>
      </c>
      <c r="AZ756" s="420">
        <f>IF(ISBLANK(tabItens[[#This Row],[CÓDIGO]]),"",tabItens[[#This Row],[PontoMês]] * (AZ$2+tabItens[[#This Row],[PontoQtM]]))</f>
        <v>12</v>
      </c>
      <c r="BA756" s="421">
        <f>tabItens[[#This Row],[PontoPed]] - tabItens[[#This Row],[Saldo]] + (1/10)</f>
        <v>-47.9</v>
      </c>
      <c r="BB756" s="421">
        <f xml:space="preserve"> tabItens[[#This Row],[PontoMês]] * BB$2 - tabItens[[#This Row],[QTDE ATUAL]] - (1/10)</f>
        <v>2.9</v>
      </c>
      <c r="BC756" s="320">
        <f>IF( tabItens[[#This Row],[PontoPed]]&gt;0, IF(tabItens[[#This Row],[PontoPed]]&lt;1, 1, IF( tabItens[[#This Row],[Saldo]]&gt;tabItens[[#This Row],[PontoPed]], 0, (tabItens[[#This Row],[PontoPed]]-tabItens[[#This Row],[Saldo]])/tabItens[[#This Row],[PontoPed]] ) ), 0 )</f>
        <v>0</v>
      </c>
      <c r="BD756" s="422">
        <f>ROUNDDOWN(IF( OR( AND(tabItens[[#This Row],[PontoPed]]&lt;tabItens[[#This Row],[Saldo]],tabItens[[#This Row],[Saldo]]&gt;0), tabItens[[#This Row],[PontoPed]]=0), 99, IF(AND(tabItens[[#This Row],[Saldo]]=0,tabItens[[#This Row],[PontoPed]]&gt;0), 0, (1-tabItens[[#This Row],[PctAb]])*10 ) ),0)</f>
        <v>99</v>
      </c>
      <c r="BE756" s="423">
        <f>MAX(ROUNDDOWN( IF(tabItens[[#This Row],[Abaixo]] &gt; 0,   tabItens[[#This Row],[Abaixo]] + (tabItens[[#This Row],[PontoMês]] * IF( OR( ISBLANK(tabItens[[#This Row],[ATA Nº/ANO]]), tabItens[[#This Row],[ATA Nº/ANO]] = ""),BE$2,BE$1)),0),0),0)</f>
        <v>0</v>
      </c>
      <c r="BF756"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23">
        <f>SUMIF(Consumo!$C$3:$C$869,tabItens[[#This Row],[CÓDIGO]],Consumo!$E$3:$E$869)</f>
        <v>6</v>
      </c>
      <c r="BH756" s="324">
        <f>IF(AND(tabItens[[#This Row],[Pend]] &gt; 0,tabItens[[#This Row],[Consumo]] &lt;&gt; 0), tabItens[[#This Row],[Pend]] / tabItens[[#This Row],[Consumo]], 0 )</f>
        <v>3.2967032967032968E-2</v>
      </c>
      <c r="BI756" s="323"/>
      <c r="BJ756" s="424"/>
      <c r="BK756" s="425" t="s">
        <v>2064</v>
      </c>
    </row>
    <row r="757" spans="1:63" hidden="1" x14ac:dyDescent="0.3">
      <c r="A757" s="286">
        <v>54018</v>
      </c>
      <c r="B757" s="287" t="s">
        <v>1310</v>
      </c>
      <c r="C757" s="288" t="s">
        <v>31</v>
      </c>
      <c r="D757" s="289">
        <v>2.5499999999999998</v>
      </c>
      <c r="E757" s="290"/>
      <c r="F757" s="290"/>
      <c r="G757" s="290" t="s">
        <v>883</v>
      </c>
      <c r="H757" s="291">
        <v>480</v>
      </c>
      <c r="I757" s="292">
        <v>103003</v>
      </c>
      <c r="J757" s="293">
        <v>2.5499999999999998</v>
      </c>
      <c r="K757" s="294">
        <v>110</v>
      </c>
      <c r="L757" s="295">
        <f>IF(tabItens[[#This Row],[Média]] &gt; 0, tabItens[[#This Row],[QTDE ATUAL]] / tabItens[[#This Row],[Média]],999.9)</f>
        <v>58.775510204081634</v>
      </c>
      <c r="M757" s="296">
        <v>0</v>
      </c>
      <c r="N757" s="297">
        <f>tabItens[[#This Row],[VALOR UNIT.]] * tabItens[[#This Row],[LC]]</f>
        <v>0</v>
      </c>
      <c r="O757" s="298"/>
      <c r="P757" s="299"/>
      <c r="Q757" s="300"/>
      <c r="R757" s="297"/>
      <c r="S757" s="301"/>
      <c r="T757" s="302">
        <f>ROUNDDOWN(IFERROR(tabItens[[#This Row],[ATA DT.VALID.]] - $D$1,0) / 30,0)</f>
        <v>-1504</v>
      </c>
      <c r="U757" s="287" t="s">
        <v>988</v>
      </c>
      <c r="V757" s="303">
        <v>1</v>
      </c>
      <c r="W757" s="304" t="s">
        <v>2055</v>
      </c>
      <c r="X757" s="305">
        <v>55</v>
      </c>
      <c r="Y757" s="306">
        <v>32</v>
      </c>
      <c r="Z757" s="307"/>
      <c r="AA757" s="308"/>
      <c r="AB757" s="309"/>
      <c r="AC757" s="309"/>
      <c r="AD757" s="308"/>
      <c r="AE757" s="309"/>
      <c r="AF757" s="302"/>
      <c r="AG757" s="310" t="s">
        <v>2050</v>
      </c>
      <c r="AH757" s="311"/>
      <c r="AI757" s="302">
        <v>36</v>
      </c>
      <c r="AJ757" s="311">
        <v>44649</v>
      </c>
      <c r="AK757" s="311" t="s">
        <v>883</v>
      </c>
      <c r="AL757" s="311">
        <v>44616</v>
      </c>
      <c r="AM757" s="301"/>
      <c r="AN757" s="290"/>
      <c r="AO757" s="312" t="str">
        <f>_xlfn.IFNA(IF(VLOOKUP(tabItens[[#This Row],[CÓDIGO]],tabExcluirDoEstoque[#Data],1,FALSE),"sim",""),"")</f>
        <v/>
      </c>
      <c r="AP757" s="313" t="str">
        <f ca="1">IF(OR(ISBLANK(tabItens[[#This Row],[ATA DT.VALID.]]),tabItens[[#This Row],[ATA DT.VALID.]]="",tabItens[[#This Row],[ATA DT.VALID.]]=" "),"",IF(TYPE(tabItens[[#This Row],[ATA DT.VALID.]])=1,ROUNDUP((tabItens[[#This Row],[ATA DT.VALID.]]-TODAY())/7,0),""))</f>
        <v/>
      </c>
      <c r="AQ757" s="314"/>
      <c r="AR757" s="315" t="str">
        <f>IF(ISBLANK(tabItens[[#This Row],[CÓDIGO]]),"",IFERROR(VLOOKUP(tabItens[[#This Row],[CÓDIGO]],Consumo!$C$2:$AC$869,26,FALSE),0))</f>
        <v>04.2023</v>
      </c>
      <c r="AS757" s="316">
        <f>SUMIF(Consumo!$C$3:$C$869,tabItens[[#This Row],[CÓDIGO]],Consumo!$N$3:$N$869) + SUMIF(Consumo!$C$3:$C$869,tabItens[[#This Row],[CÓDIGO]],Consumo!$O$3:$O$869) + SUMIF(Consumo!$C$3:$C$869,tabItens[[#This Row],[CÓDIGO]],Consumo!$P$3:$P$869) + SUMIF(Consumo!$C$3:$C$869,tabItens[[#This Row],[CÓDIGO]],Consumo!$Q$3:$Q$869)</f>
        <v>10</v>
      </c>
      <c r="AT757" s="316">
        <f>SUMIF(Consumo!$C$3:$C$869,tabItens[[#This Row],[CÓDIGO]],Consumo!$Z$3:$Z$869)</f>
        <v>110</v>
      </c>
      <c r="AU757" s="317">
        <f>SUMIF(Consumo!$C$3:$C$869,tabItens[[#This Row],[CÓDIGO]],Consumo!$AA$3:$AA$869)</f>
        <v>50</v>
      </c>
      <c r="AV757" s="318">
        <f>SUMIF(Consumo!$C$3:$C$869,tabItens[[#This Row],[CÓDIGO]],Consumo!$Y$3:$Y$869)</f>
        <v>8.1666666666666661</v>
      </c>
      <c r="AW757" s="291">
        <f>tabItens[[#This Row],[QTDE ATUAL]] + tabItens[[#This Row],[RC QTDE]] + tabItens[[#This Row],[AF SALDO]] + tabItens[[#This Row],[Recentes]]</f>
        <v>480</v>
      </c>
      <c r="AX757" s="319">
        <v>2</v>
      </c>
      <c r="AY757" s="319">
        <v>4</v>
      </c>
      <c r="AZ757" s="319">
        <f>IF(ISBLANK(tabItens[[#This Row],[CÓDIGO]]),"",tabItens[[#This Row],[PontoMês]] * (AZ$2+tabItens[[#This Row],[PontoQtM]]))</f>
        <v>8</v>
      </c>
      <c r="BA757" s="318">
        <f>tabItens[[#This Row],[PontoPed]] - tabItens[[#This Row],[Saldo]] + (1/10)</f>
        <v>-471.9</v>
      </c>
      <c r="BB757" s="318">
        <f xml:space="preserve"> tabItens[[#This Row],[PontoMês]] * BB$2 - tabItens[[#This Row],[QTDE ATUAL]] - (1/10)</f>
        <v>-478.1</v>
      </c>
      <c r="BC757" s="320">
        <f>IF( tabItens[[#This Row],[PontoPed]]&gt;0, IF(tabItens[[#This Row],[PontoPed]]&lt;1, 1, IF( tabItens[[#This Row],[Saldo]]&gt;tabItens[[#This Row],[PontoPed]], 0, (tabItens[[#This Row],[PontoPed]]-tabItens[[#This Row],[Saldo]])/tabItens[[#This Row],[PontoPed]] ) ), 0 )</f>
        <v>0</v>
      </c>
      <c r="BD757" s="321">
        <f>ROUNDDOWN(IF( OR( AND(tabItens[[#This Row],[PontoPed]]&lt;tabItens[[#This Row],[Saldo]],tabItens[[#This Row],[Saldo]]&gt;0), tabItens[[#This Row],[PontoPed]]=0), 99, IF(AND(tabItens[[#This Row],[Saldo]]=0,tabItens[[#This Row],[PontoPed]]&gt;0), 0, (1-tabItens[[#This Row],[PctAb]])*10 ) ),0)</f>
        <v>99</v>
      </c>
      <c r="BE757" s="322">
        <f>MAX(ROUNDDOWN( IF(tabItens[[#This Row],[Abaixo]] &gt; 0,   tabItens[[#This Row],[Abaixo]] + (tabItens[[#This Row],[PontoMês]] * IF( OR( ISBLANK(tabItens[[#This Row],[ATA Nº/ANO]]), tabItens[[#This Row],[ATA Nº/ANO]] = ""),BE$2,BE$1)),0),0),0)</f>
        <v>0</v>
      </c>
      <c r="BF75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23">
        <f>SUMIF(Consumo!$C$3:$C$869,tabItens[[#This Row],[CÓDIGO]],Consumo!$E$3:$E$869)</f>
        <v>0</v>
      </c>
      <c r="BH757" s="324">
        <f>IF(AND(tabItens[[#This Row],[Pend]] &gt; 0,tabItens[[#This Row],[Consumo]] &lt;&gt; 0), tabItens[[#This Row],[Pend]] / tabItens[[#This Row],[Consumo]], 0 )</f>
        <v>0</v>
      </c>
      <c r="BI757" s="323"/>
      <c r="BJ757" s="323"/>
      <c r="BK757" s="325" t="s">
        <v>2064</v>
      </c>
    </row>
    <row r="758" spans="1:63" hidden="1" x14ac:dyDescent="0.3">
      <c r="A758" s="286">
        <v>54026</v>
      </c>
      <c r="B758" s="287" t="s">
        <v>1313</v>
      </c>
      <c r="C758" s="288" t="s">
        <v>294</v>
      </c>
      <c r="D758" s="289">
        <v>13.4</v>
      </c>
      <c r="E758" s="290"/>
      <c r="F758" s="290"/>
      <c r="G758" s="290" t="s">
        <v>883</v>
      </c>
      <c r="H758" s="291">
        <v>125</v>
      </c>
      <c r="I758" s="292">
        <v>103003</v>
      </c>
      <c r="J758" s="293">
        <v>13.4</v>
      </c>
      <c r="K758" s="294">
        <v>55</v>
      </c>
      <c r="L758" s="295">
        <f>IF(tabItens[[#This Row],[Média]] &gt; 0, tabItens[[#This Row],[QTDE ATUAL]] / tabItens[[#This Row],[Média]],999.9)</f>
        <v>25.423728813559322</v>
      </c>
      <c r="M758" s="296">
        <v>0</v>
      </c>
      <c r="N758" s="297">
        <f>tabItens[[#This Row],[VALOR UNIT.]] * tabItens[[#This Row],[LC]]</f>
        <v>0</v>
      </c>
      <c r="O758" s="298"/>
      <c r="P758" s="299"/>
      <c r="Q758" s="300"/>
      <c r="R758" s="297"/>
      <c r="S758" s="301"/>
      <c r="T758" s="302">
        <f>ROUNDDOWN(IFERROR(tabItens[[#This Row],[ATA DT.VALID.]] - $D$1,0) / 30,0)</f>
        <v>-1504</v>
      </c>
      <c r="U758" s="287" t="s">
        <v>988</v>
      </c>
      <c r="V758" s="303">
        <v>1</v>
      </c>
      <c r="W758" s="304" t="s">
        <v>2055</v>
      </c>
      <c r="X758" s="305">
        <v>55</v>
      </c>
      <c r="Y758" s="306">
        <v>32</v>
      </c>
      <c r="Z758" s="307"/>
      <c r="AA758" s="308"/>
      <c r="AB758" s="309"/>
      <c r="AC758" s="309"/>
      <c r="AD758" s="308"/>
      <c r="AE758" s="309"/>
      <c r="AF758" s="302"/>
      <c r="AG758" s="310" t="s">
        <v>2050</v>
      </c>
      <c r="AH758" s="311"/>
      <c r="AI758" s="302">
        <v>20</v>
      </c>
      <c r="AJ758" s="311">
        <v>44965</v>
      </c>
      <c r="AK758" s="311" t="s">
        <v>883</v>
      </c>
      <c r="AL758" s="311">
        <v>44917</v>
      </c>
      <c r="AM758" s="301"/>
      <c r="AN758" s="290"/>
      <c r="AO758" s="312" t="str">
        <f>_xlfn.IFNA(IF(VLOOKUP(tabItens[[#This Row],[CÓDIGO]],tabExcluirDoEstoque[#Data],1,FALSE),"sim",""),"")</f>
        <v/>
      </c>
      <c r="AP758" s="313" t="str">
        <f ca="1">IF(OR(ISBLANK(tabItens[[#This Row],[ATA DT.VALID.]]),tabItens[[#This Row],[ATA DT.VALID.]]="",tabItens[[#This Row],[ATA DT.VALID.]]=" "),"",IF(TYPE(tabItens[[#This Row],[ATA DT.VALID.]])=1,ROUNDUP((tabItens[[#This Row],[ATA DT.VALID.]]-TODAY())/7,0),""))</f>
        <v/>
      </c>
      <c r="AQ758" s="314"/>
      <c r="AR758" s="315" t="str">
        <f>IF(ISBLANK(tabItens[[#This Row],[CÓDIGO]]),"",IFERROR(VLOOKUP(tabItens[[#This Row],[CÓDIGO]],Consumo!$C$2:$AC$869,26,FALSE),0))</f>
        <v>05.2023</v>
      </c>
      <c r="AS758" s="316">
        <f>SUMIF(Consumo!$C$3:$C$869,tabItens[[#This Row],[CÓDIGO]],Consumo!$N$3:$N$869) + SUMIF(Consumo!$C$3:$C$869,tabItens[[#This Row],[CÓDIGO]],Consumo!$O$3:$O$869) + SUMIF(Consumo!$C$3:$C$869,tabItens[[#This Row],[CÓDIGO]],Consumo!$P$3:$P$869) + SUMIF(Consumo!$C$3:$C$869,tabItens[[#This Row],[CÓDIGO]],Consumo!$Q$3:$Q$869)</f>
        <v>18</v>
      </c>
      <c r="AT758" s="316">
        <f>SUMIF(Consumo!$C$3:$C$869,tabItens[[#This Row],[CÓDIGO]],Consumo!$Z$3:$Z$869)</f>
        <v>59</v>
      </c>
      <c r="AU758" s="317">
        <f>SUMIF(Consumo!$C$3:$C$869,tabItens[[#This Row],[CÓDIGO]],Consumo!$AA$3:$AA$869)</f>
        <v>12</v>
      </c>
      <c r="AV758" s="318">
        <f>SUMIF(Consumo!$C$3:$C$869,tabItens[[#This Row],[CÓDIGO]],Consumo!$Y$3:$Y$869)</f>
        <v>4.916666666666667</v>
      </c>
      <c r="AW758" s="291">
        <f>tabItens[[#This Row],[QTDE ATUAL]] + tabItens[[#This Row],[RC QTDE]] + tabItens[[#This Row],[AF SALDO]] + tabItens[[#This Row],[Recentes]]</f>
        <v>125</v>
      </c>
      <c r="AX758" s="319">
        <v>1</v>
      </c>
      <c r="AY758" s="319">
        <v>4</v>
      </c>
      <c r="AZ758" s="319">
        <f>IF(ISBLANK(tabItens[[#This Row],[CÓDIGO]]),"",tabItens[[#This Row],[PontoMês]] * (AZ$2+tabItens[[#This Row],[PontoQtM]]))</f>
        <v>4</v>
      </c>
      <c r="BA758" s="318">
        <f>tabItens[[#This Row],[PontoPed]] - tabItens[[#This Row],[Saldo]] + (1/10)</f>
        <v>-120.9</v>
      </c>
      <c r="BB758" s="318">
        <f xml:space="preserve"> tabItens[[#This Row],[PontoMês]] * BB$2 - tabItens[[#This Row],[QTDE ATUAL]] - (1/10)</f>
        <v>-124.1</v>
      </c>
      <c r="BC758" s="320">
        <f>IF( tabItens[[#This Row],[PontoPed]]&gt;0, IF(tabItens[[#This Row],[PontoPed]]&lt;1, 1, IF( tabItens[[#This Row],[Saldo]]&gt;tabItens[[#This Row],[PontoPed]], 0, (tabItens[[#This Row],[PontoPed]]-tabItens[[#This Row],[Saldo]])/tabItens[[#This Row],[PontoPed]] ) ), 0 )</f>
        <v>0</v>
      </c>
      <c r="BD758" s="321">
        <f>ROUNDDOWN(IF( OR( AND(tabItens[[#This Row],[PontoPed]]&lt;tabItens[[#This Row],[Saldo]],tabItens[[#This Row],[Saldo]]&gt;0), tabItens[[#This Row],[PontoPed]]=0), 99, IF(AND(tabItens[[#This Row],[Saldo]]=0,tabItens[[#This Row],[PontoPed]]&gt;0), 0, (1-tabItens[[#This Row],[PctAb]])*10 ) ),0)</f>
        <v>99</v>
      </c>
      <c r="BE758" s="322">
        <f>MAX(ROUNDDOWN( IF(tabItens[[#This Row],[Abaixo]] &gt; 0,   tabItens[[#This Row],[Abaixo]] + (tabItens[[#This Row],[PontoMês]] * IF( OR( ISBLANK(tabItens[[#This Row],[ATA Nº/ANO]]), tabItens[[#This Row],[ATA Nº/ANO]] = ""),BE$2,BE$1)),0),0),0)</f>
        <v>0</v>
      </c>
      <c r="BF75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23">
        <f>SUMIF(Consumo!$C$3:$C$869,tabItens[[#This Row],[CÓDIGO]],Consumo!$E$3:$E$869)</f>
        <v>0</v>
      </c>
      <c r="BH758" s="324">
        <f>IF(AND(tabItens[[#This Row],[Pend]] &gt; 0,tabItens[[#This Row],[Consumo]] &lt;&gt; 0), tabItens[[#This Row],[Pend]] / tabItens[[#This Row],[Consumo]], 0 )</f>
        <v>0</v>
      </c>
      <c r="BI758" s="323"/>
      <c r="BJ758" s="323"/>
      <c r="BK758" s="325" t="s">
        <v>2064</v>
      </c>
    </row>
    <row r="759" spans="1:63" hidden="1" x14ac:dyDescent="0.3">
      <c r="A759" s="286">
        <v>99788</v>
      </c>
      <c r="B759" s="287" t="s">
        <v>1561</v>
      </c>
      <c r="C759" s="288" t="s">
        <v>256</v>
      </c>
      <c r="D759" s="289">
        <v>1.49</v>
      </c>
      <c r="E759" s="290"/>
      <c r="F759" s="290"/>
      <c r="G759" s="290" t="s">
        <v>883</v>
      </c>
      <c r="H759" s="291">
        <v>150</v>
      </c>
      <c r="I759" s="292">
        <v>103003</v>
      </c>
      <c r="J759" s="293">
        <v>1.49</v>
      </c>
      <c r="K759" s="294"/>
      <c r="L759" s="295">
        <f>IF(tabItens[[#This Row],[Média]] &gt; 0, tabItens[[#This Row],[QTDE ATUAL]] / tabItens[[#This Row],[Média]],999.9)</f>
        <v>999.9</v>
      </c>
      <c r="M759" s="296">
        <v>0</v>
      </c>
      <c r="N759" s="297">
        <f>tabItens[[#This Row],[VALOR UNIT.]] * tabItens[[#This Row],[LC]]</f>
        <v>0</v>
      </c>
      <c r="O759" s="298"/>
      <c r="P759" s="299"/>
      <c r="Q759" s="300"/>
      <c r="R759" s="297"/>
      <c r="S759" s="301"/>
      <c r="T759" s="302">
        <f>ROUNDDOWN(IFERROR(tabItens[[#This Row],[ATA DT.VALID.]] - $D$1,0) / 30,0)</f>
        <v>-1504</v>
      </c>
      <c r="U759" s="287" t="s">
        <v>988</v>
      </c>
      <c r="V759" s="303">
        <v>1</v>
      </c>
      <c r="W759" s="304" t="s">
        <v>2055</v>
      </c>
      <c r="X759" s="305">
        <v>55</v>
      </c>
      <c r="Y759" s="306">
        <v>32</v>
      </c>
      <c r="Z759" s="307"/>
      <c r="AA759" s="308"/>
      <c r="AB759" s="309"/>
      <c r="AC759" s="309"/>
      <c r="AD759" s="308"/>
      <c r="AE759" s="309"/>
      <c r="AF759" s="302"/>
      <c r="AG759" s="310" t="s">
        <v>2050</v>
      </c>
      <c r="AH759" s="311"/>
      <c r="AI759" s="302">
        <v>0</v>
      </c>
      <c r="AJ759" s="311">
        <v>39741</v>
      </c>
      <c r="AK759" s="311">
        <v>39227</v>
      </c>
      <c r="AL759" s="311">
        <v>39729</v>
      </c>
      <c r="AM759" s="301"/>
      <c r="AN759" s="290"/>
      <c r="AO759" s="312" t="str">
        <f>_xlfn.IFNA(IF(VLOOKUP(tabItens[[#This Row],[CÓDIGO]],tabExcluirDoEstoque[#Data],1,FALSE),"sim",""),"")</f>
        <v/>
      </c>
      <c r="AP759" s="313" t="str">
        <f ca="1">IF(OR(ISBLANK(tabItens[[#This Row],[ATA DT.VALID.]]),tabItens[[#This Row],[ATA DT.VALID.]]="",tabItens[[#This Row],[ATA DT.VALID.]]=" "),"",IF(TYPE(tabItens[[#This Row],[ATA DT.VALID.]])=1,ROUNDUP((tabItens[[#This Row],[ATA DT.VALID.]]-TODAY())/7,0),""))</f>
        <v/>
      </c>
      <c r="AQ759" s="314"/>
      <c r="AR759" s="315">
        <f>IF(ISBLANK(tabItens[[#This Row],[CÓDIGO]]),"",IFERROR(VLOOKUP(tabItens[[#This Row],[CÓDIGO]],Consumo!$C$2:$AC$869,26,FALSE),0))</f>
        <v>0</v>
      </c>
      <c r="AS759" s="316">
        <f>SUMIF(Consumo!$C$3:$C$869,tabItens[[#This Row],[CÓDIGO]],Consumo!$N$3:$N$869) + SUMIF(Consumo!$C$3:$C$869,tabItens[[#This Row],[CÓDIGO]],Consumo!$O$3:$O$869) + SUMIF(Consumo!$C$3:$C$869,tabItens[[#This Row],[CÓDIGO]],Consumo!$P$3:$P$869) + SUMIF(Consumo!$C$3:$C$869,tabItens[[#This Row],[CÓDIGO]],Consumo!$Q$3:$Q$869)</f>
        <v>0</v>
      </c>
      <c r="AT759" s="316">
        <f>SUMIF(Consumo!$C$3:$C$869,tabItens[[#This Row],[CÓDIGO]],Consumo!$Z$3:$Z$869)</f>
        <v>0</v>
      </c>
      <c r="AU759" s="317">
        <f>SUMIF(Consumo!$C$3:$C$869,tabItens[[#This Row],[CÓDIGO]],Consumo!$AA$3:$AA$869)</f>
        <v>0</v>
      </c>
      <c r="AV759" s="318">
        <f>SUMIF(Consumo!$C$3:$C$869,tabItens[[#This Row],[CÓDIGO]],Consumo!$Y$3:$Y$869)</f>
        <v>0</v>
      </c>
      <c r="AW759" s="291">
        <f>tabItens[[#This Row],[QTDE ATUAL]] + tabItens[[#This Row],[RC QTDE]] + tabItens[[#This Row],[AF SALDO]] + tabItens[[#This Row],[Recentes]]</f>
        <v>150</v>
      </c>
      <c r="AX759" s="319">
        <v>0</v>
      </c>
      <c r="AY759" s="319">
        <v>4</v>
      </c>
      <c r="AZ759" s="319">
        <f>IF(ISBLANK(tabItens[[#This Row],[CÓDIGO]]),"",tabItens[[#This Row],[PontoMês]] * (AZ$2+tabItens[[#This Row],[PontoQtM]]))</f>
        <v>0</v>
      </c>
      <c r="BA759" s="318">
        <f>tabItens[[#This Row],[PontoPed]] - tabItens[[#This Row],[Saldo]] + (1/10)</f>
        <v>-149.9</v>
      </c>
      <c r="BB759" s="318">
        <f xml:space="preserve"> tabItens[[#This Row],[PontoMês]] * BB$2 - tabItens[[#This Row],[QTDE ATUAL]] - (1/10)</f>
        <v>-150.1</v>
      </c>
      <c r="BC759" s="320">
        <f>IF( tabItens[[#This Row],[PontoPed]]&gt;0, IF(tabItens[[#This Row],[PontoPed]]&lt;1, 1, IF( tabItens[[#This Row],[Saldo]]&gt;tabItens[[#This Row],[PontoPed]], 0, (tabItens[[#This Row],[PontoPed]]-tabItens[[#This Row],[Saldo]])/tabItens[[#This Row],[PontoPed]] ) ), 0 )</f>
        <v>0</v>
      </c>
      <c r="BD759" s="321">
        <f>ROUNDDOWN(IF( OR( AND(tabItens[[#This Row],[PontoPed]]&lt;tabItens[[#This Row],[Saldo]],tabItens[[#This Row],[Saldo]]&gt;0), tabItens[[#This Row],[PontoPed]]=0), 99, IF(AND(tabItens[[#This Row],[Saldo]]=0,tabItens[[#This Row],[PontoPed]]&gt;0), 0, (1-tabItens[[#This Row],[PctAb]])*10 ) ),0)</f>
        <v>99</v>
      </c>
      <c r="BE759" s="322">
        <f>MAX(ROUNDDOWN( IF(tabItens[[#This Row],[Abaixo]] &gt; 0,   tabItens[[#This Row],[Abaixo]] + (tabItens[[#This Row],[PontoMês]] * IF( OR( ISBLANK(tabItens[[#This Row],[ATA Nº/ANO]]), tabItens[[#This Row],[ATA Nº/ANO]] = ""),BE$2,BE$1)),0),0),0)</f>
        <v>0</v>
      </c>
      <c r="BF75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23">
        <f>SUMIF(Consumo!$C$3:$C$869,tabItens[[#This Row],[CÓDIGO]],Consumo!$E$3:$E$869)</f>
        <v>0</v>
      </c>
      <c r="BH759" s="324">
        <f>IF(AND(tabItens[[#This Row],[Pend]] &gt; 0,tabItens[[#This Row],[Consumo]] &lt;&gt; 0), tabItens[[#This Row],[Pend]] / tabItens[[#This Row],[Consumo]], 0 )</f>
        <v>0</v>
      </c>
      <c r="BI759" s="323"/>
      <c r="BJ759" s="323"/>
      <c r="BK759" s="325" t="s">
        <v>2064</v>
      </c>
    </row>
    <row r="760" spans="1:63" hidden="1" x14ac:dyDescent="0.3">
      <c r="A760" s="286">
        <v>102776</v>
      </c>
      <c r="B760" s="287" t="s">
        <v>1581</v>
      </c>
      <c r="C760" s="288" t="s">
        <v>256</v>
      </c>
      <c r="D760" s="289">
        <v>16</v>
      </c>
      <c r="E760" s="290"/>
      <c r="F760" s="290"/>
      <c r="G760" s="290" t="s">
        <v>883</v>
      </c>
      <c r="H760" s="291">
        <v>40</v>
      </c>
      <c r="I760" s="292">
        <v>103003</v>
      </c>
      <c r="J760" s="293">
        <v>16</v>
      </c>
      <c r="K760" s="294"/>
      <c r="L760" s="295">
        <f>IF(tabItens[[#This Row],[Média]] &gt; 0, tabItens[[#This Row],[QTDE ATUAL]] / tabItens[[#This Row],[Média]],999.9)</f>
        <v>999.9</v>
      </c>
      <c r="M760" s="296">
        <v>0</v>
      </c>
      <c r="N760" s="297">
        <f>tabItens[[#This Row],[VALOR UNIT.]] * tabItens[[#This Row],[LC]]</f>
        <v>0</v>
      </c>
      <c r="O760" s="298"/>
      <c r="P760" s="299"/>
      <c r="Q760" s="300"/>
      <c r="R760" s="297"/>
      <c r="S760" s="301"/>
      <c r="T760" s="302">
        <f>ROUNDDOWN(IFERROR(tabItens[[#This Row],[ATA DT.VALID.]] - $D$1,0) / 30,0)</f>
        <v>-1504</v>
      </c>
      <c r="U760" s="287" t="s">
        <v>988</v>
      </c>
      <c r="V760" s="303">
        <v>1</v>
      </c>
      <c r="W760" s="304" t="s">
        <v>2055</v>
      </c>
      <c r="X760" s="305">
        <v>55</v>
      </c>
      <c r="Y760" s="306">
        <v>32</v>
      </c>
      <c r="Z760" s="307"/>
      <c r="AA760" s="308"/>
      <c r="AB760" s="309"/>
      <c r="AC760" s="309"/>
      <c r="AD760" s="308"/>
      <c r="AE760" s="309"/>
      <c r="AF760" s="302"/>
      <c r="AG760" s="310" t="s">
        <v>2050</v>
      </c>
      <c r="AH760" s="311"/>
      <c r="AI760" s="302">
        <v>0</v>
      </c>
      <c r="AJ760" s="311">
        <v>42534</v>
      </c>
      <c r="AK760" s="311">
        <v>39373</v>
      </c>
      <c r="AL760" s="311">
        <v>42494</v>
      </c>
      <c r="AM760" s="301"/>
      <c r="AN760" s="290"/>
      <c r="AO760" s="312" t="str">
        <f>_xlfn.IFNA(IF(VLOOKUP(tabItens[[#This Row],[CÓDIGO]],tabExcluirDoEstoque[#Data],1,FALSE),"sim",""),"")</f>
        <v/>
      </c>
      <c r="AP760" s="313" t="str">
        <f ca="1">IF(OR(ISBLANK(tabItens[[#This Row],[ATA DT.VALID.]]),tabItens[[#This Row],[ATA DT.VALID.]]="",tabItens[[#This Row],[ATA DT.VALID.]]=" "),"",IF(TYPE(tabItens[[#This Row],[ATA DT.VALID.]])=1,ROUNDUP((tabItens[[#This Row],[ATA DT.VALID.]]-TODAY())/7,0),""))</f>
        <v/>
      </c>
      <c r="AQ760" s="314"/>
      <c r="AR760" s="315">
        <f>IF(ISBLANK(tabItens[[#This Row],[CÓDIGO]]),"",IFERROR(VLOOKUP(tabItens[[#This Row],[CÓDIGO]],Consumo!$C$2:$AC$869,26,FALSE),0))</f>
        <v>0</v>
      </c>
      <c r="AS760" s="316">
        <f>SUMIF(Consumo!$C$3:$C$869,tabItens[[#This Row],[CÓDIGO]],Consumo!$N$3:$N$869) + SUMIF(Consumo!$C$3:$C$869,tabItens[[#This Row],[CÓDIGO]],Consumo!$O$3:$O$869) + SUMIF(Consumo!$C$3:$C$869,tabItens[[#This Row],[CÓDIGO]],Consumo!$P$3:$P$869) + SUMIF(Consumo!$C$3:$C$869,tabItens[[#This Row],[CÓDIGO]],Consumo!$Q$3:$Q$869)</f>
        <v>0</v>
      </c>
      <c r="AT760" s="316">
        <f>SUMIF(Consumo!$C$3:$C$869,tabItens[[#This Row],[CÓDIGO]],Consumo!$Z$3:$Z$869)</f>
        <v>0</v>
      </c>
      <c r="AU760" s="317">
        <f>SUMIF(Consumo!$C$3:$C$869,tabItens[[#This Row],[CÓDIGO]],Consumo!$AA$3:$AA$869)</f>
        <v>0</v>
      </c>
      <c r="AV760" s="318">
        <f>SUMIF(Consumo!$C$3:$C$869,tabItens[[#This Row],[CÓDIGO]],Consumo!$Y$3:$Y$869)</f>
        <v>0</v>
      </c>
      <c r="AW760" s="291">
        <f>tabItens[[#This Row],[QTDE ATUAL]] + tabItens[[#This Row],[RC QTDE]] + tabItens[[#This Row],[AF SALDO]] + tabItens[[#This Row],[Recentes]]</f>
        <v>40</v>
      </c>
      <c r="AX760" s="319">
        <v>0</v>
      </c>
      <c r="AY760" s="319">
        <v>4</v>
      </c>
      <c r="AZ760" s="319">
        <f>IF(ISBLANK(tabItens[[#This Row],[CÓDIGO]]),"",tabItens[[#This Row],[PontoMês]] * (AZ$2+tabItens[[#This Row],[PontoQtM]]))</f>
        <v>0</v>
      </c>
      <c r="BA760" s="318">
        <f>tabItens[[#This Row],[PontoPed]] - tabItens[[#This Row],[Saldo]] + (1/10)</f>
        <v>-39.9</v>
      </c>
      <c r="BB760" s="318">
        <f xml:space="preserve"> tabItens[[#This Row],[PontoMês]] * BB$2 - tabItens[[#This Row],[QTDE ATUAL]] - (1/10)</f>
        <v>-40.1</v>
      </c>
      <c r="BC760" s="320">
        <f>IF( tabItens[[#This Row],[PontoPed]]&gt;0, IF(tabItens[[#This Row],[PontoPed]]&lt;1, 1, IF( tabItens[[#This Row],[Saldo]]&gt;tabItens[[#This Row],[PontoPed]], 0, (tabItens[[#This Row],[PontoPed]]-tabItens[[#This Row],[Saldo]])/tabItens[[#This Row],[PontoPed]] ) ), 0 )</f>
        <v>0</v>
      </c>
      <c r="BD760" s="321">
        <f>ROUNDDOWN(IF( OR( AND(tabItens[[#This Row],[PontoPed]]&lt;tabItens[[#This Row],[Saldo]],tabItens[[#This Row],[Saldo]]&gt;0), tabItens[[#This Row],[PontoPed]]=0), 99, IF(AND(tabItens[[#This Row],[Saldo]]=0,tabItens[[#This Row],[PontoPed]]&gt;0), 0, (1-tabItens[[#This Row],[PctAb]])*10 ) ),0)</f>
        <v>99</v>
      </c>
      <c r="BE760" s="322">
        <f>MAX(ROUNDDOWN( IF(tabItens[[#This Row],[Abaixo]] &gt; 0,   tabItens[[#This Row],[Abaixo]] + (tabItens[[#This Row],[PontoMês]] * IF( OR( ISBLANK(tabItens[[#This Row],[ATA Nº/ANO]]), tabItens[[#This Row],[ATA Nº/ANO]] = ""),BE$2,BE$1)),0),0),0)</f>
        <v>0</v>
      </c>
      <c r="BF76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323">
        <f>SUMIF(Consumo!$C$3:$C$869,tabItens[[#This Row],[CÓDIGO]],Consumo!$E$3:$E$869)</f>
        <v>0</v>
      </c>
      <c r="BH760" s="324">
        <f>IF(AND(tabItens[[#This Row],[Pend]] &gt; 0,tabItens[[#This Row],[Consumo]] &lt;&gt; 0), tabItens[[#This Row],[Pend]] / tabItens[[#This Row],[Consumo]], 0 )</f>
        <v>0</v>
      </c>
      <c r="BI760" s="323"/>
      <c r="BJ760" s="323"/>
      <c r="BK760" s="325" t="s">
        <v>2064</v>
      </c>
    </row>
    <row r="761" spans="1:63" hidden="1" x14ac:dyDescent="0.3">
      <c r="A761" s="286">
        <v>106408</v>
      </c>
      <c r="B761" s="287" t="s">
        <v>1625</v>
      </c>
      <c r="C761" s="288" t="s">
        <v>256</v>
      </c>
      <c r="D761" s="289">
        <v>8.3000000000000007</v>
      </c>
      <c r="E761" s="290"/>
      <c r="F761" s="290"/>
      <c r="G761" s="290" t="s">
        <v>883</v>
      </c>
      <c r="H761" s="291">
        <v>54</v>
      </c>
      <c r="I761" s="292">
        <v>103003</v>
      </c>
      <c r="J761" s="293">
        <v>8.3000000000000007</v>
      </c>
      <c r="K761" s="294">
        <v>123</v>
      </c>
      <c r="L761" s="295">
        <f>IF(tabItens[[#This Row],[Média]] &gt; 0, tabItens[[#This Row],[QTDE ATUAL]] / tabItens[[#This Row],[Média]],999.9)</f>
        <v>5.5862068965517242</v>
      </c>
      <c r="M761" s="296">
        <v>0</v>
      </c>
      <c r="N761" s="297">
        <f>tabItens[[#This Row],[VALOR UNIT.]] * tabItens[[#This Row],[LC]]</f>
        <v>0</v>
      </c>
      <c r="O761" s="298"/>
      <c r="P761" s="299"/>
      <c r="Q761" s="300"/>
      <c r="R761" s="297"/>
      <c r="S761" s="301"/>
      <c r="T761" s="302">
        <f>ROUNDDOWN(IFERROR(tabItens[[#This Row],[ATA DT.VALID.]] - $D$1,0) / 30,0)</f>
        <v>-1504</v>
      </c>
      <c r="U761" s="287" t="s">
        <v>988</v>
      </c>
      <c r="V761" s="303">
        <v>1</v>
      </c>
      <c r="W761" s="304" t="s">
        <v>2055</v>
      </c>
      <c r="X761" s="305">
        <v>55</v>
      </c>
      <c r="Y761" s="306">
        <v>32</v>
      </c>
      <c r="Z761" s="307">
        <v>2442</v>
      </c>
      <c r="AA761" s="308">
        <v>2023</v>
      </c>
      <c r="AB761" s="309">
        <v>50</v>
      </c>
      <c r="AC761" s="309"/>
      <c r="AD761" s="308"/>
      <c r="AE761" s="309"/>
      <c r="AF761" s="302"/>
      <c r="AG761" s="310" t="s">
        <v>2050</v>
      </c>
      <c r="AH761" s="311"/>
      <c r="AI761" s="302">
        <v>44</v>
      </c>
      <c r="AJ761" s="311">
        <v>42229</v>
      </c>
      <c r="AK761" s="311">
        <v>39581</v>
      </c>
      <c r="AL761" s="311">
        <v>42205</v>
      </c>
      <c r="AM761" s="301"/>
      <c r="AN761" s="290"/>
      <c r="AO761" s="312" t="str">
        <f>_xlfn.IFNA(IF(VLOOKUP(tabItens[[#This Row],[CÓDIGO]],tabExcluirDoEstoque[#Data],1,FALSE),"sim",""),"")</f>
        <v/>
      </c>
      <c r="AP761" s="313" t="str">
        <f ca="1">IF(OR(ISBLANK(tabItens[[#This Row],[ATA DT.VALID.]]),tabItens[[#This Row],[ATA DT.VALID.]]="",tabItens[[#This Row],[ATA DT.VALID.]]=" "),"",IF(TYPE(tabItens[[#This Row],[ATA DT.VALID.]])=1,ROUNDUP((tabItens[[#This Row],[ATA DT.VALID.]]-TODAY())/7,0),""))</f>
        <v/>
      </c>
      <c r="AQ761" s="314"/>
      <c r="AR761" s="315" t="str">
        <f>IF(ISBLANK(tabItens[[#This Row],[CÓDIGO]]),"",IFERROR(VLOOKUP(tabItens[[#This Row],[CÓDIGO]],Consumo!$C$2:$AC$869,26,FALSE),0))</f>
        <v>07.2023</v>
      </c>
      <c r="AS761" s="316">
        <f>SUMIF(Consumo!$C$3:$C$869,tabItens[[#This Row],[CÓDIGO]],Consumo!$N$3:$N$869) + SUMIF(Consumo!$C$3:$C$869,tabItens[[#This Row],[CÓDIGO]],Consumo!$O$3:$O$869) + SUMIF(Consumo!$C$3:$C$869,tabItens[[#This Row],[CÓDIGO]],Consumo!$P$3:$P$869) + SUMIF(Consumo!$C$3:$C$869,tabItens[[#This Row],[CÓDIGO]],Consumo!$Q$3:$Q$869)</f>
        <v>10</v>
      </c>
      <c r="AT761" s="316">
        <f>SUMIF(Consumo!$C$3:$C$869,tabItens[[#This Row],[CÓDIGO]],Consumo!$Z$3:$Z$869)</f>
        <v>131</v>
      </c>
      <c r="AU761" s="317">
        <f>SUMIF(Consumo!$C$3:$C$869,tabItens[[#This Row],[CÓDIGO]],Consumo!$AA$3:$AA$869)</f>
        <v>59</v>
      </c>
      <c r="AV761" s="318">
        <f>SUMIF(Consumo!$C$3:$C$869,tabItens[[#This Row],[CÓDIGO]],Consumo!$Y$3:$Y$869)</f>
        <v>9.6666666666666661</v>
      </c>
      <c r="AW761" s="291">
        <f>tabItens[[#This Row],[QTDE ATUAL]] + tabItens[[#This Row],[RC QTDE]] + tabItens[[#This Row],[AF SALDO]] + tabItens[[#This Row],[Recentes]]</f>
        <v>104</v>
      </c>
      <c r="AX761" s="319">
        <v>5</v>
      </c>
      <c r="AY761" s="319">
        <v>4</v>
      </c>
      <c r="AZ761" s="319">
        <f>IF(ISBLANK(tabItens[[#This Row],[CÓDIGO]]),"",tabItens[[#This Row],[PontoMês]] * (AZ$2+tabItens[[#This Row],[PontoQtM]]))</f>
        <v>20</v>
      </c>
      <c r="BA761" s="318">
        <f>tabItens[[#This Row],[PontoPed]] - tabItens[[#This Row],[Saldo]] + (1/10)</f>
        <v>-83.9</v>
      </c>
      <c r="BB761" s="318">
        <f xml:space="preserve"> tabItens[[#This Row],[PontoMês]] * BB$2 - tabItens[[#This Row],[QTDE ATUAL]] - (1/10)</f>
        <v>-49.1</v>
      </c>
      <c r="BC761" s="320">
        <f>IF( tabItens[[#This Row],[PontoPed]]&gt;0, IF(tabItens[[#This Row],[PontoPed]]&lt;1, 1, IF( tabItens[[#This Row],[Saldo]]&gt;tabItens[[#This Row],[PontoPed]], 0, (tabItens[[#This Row],[PontoPed]]-tabItens[[#This Row],[Saldo]])/tabItens[[#This Row],[PontoPed]] ) ), 0 )</f>
        <v>0</v>
      </c>
      <c r="BD761" s="321">
        <f>ROUNDDOWN(IF( OR( AND(tabItens[[#This Row],[PontoPed]]&lt;tabItens[[#This Row],[Saldo]],tabItens[[#This Row],[Saldo]]&gt;0), tabItens[[#This Row],[PontoPed]]=0), 99, IF(AND(tabItens[[#This Row],[Saldo]]=0,tabItens[[#This Row],[PontoPed]]&gt;0), 0, (1-tabItens[[#This Row],[PctAb]])*10 ) ),0)</f>
        <v>99</v>
      </c>
      <c r="BE761" s="322">
        <f>MAX(ROUNDDOWN( IF(tabItens[[#This Row],[Abaixo]] &gt; 0,   tabItens[[#This Row],[Abaixo]] + (tabItens[[#This Row],[PontoMês]] * IF( OR( ISBLANK(tabItens[[#This Row],[ATA Nº/ANO]]), tabItens[[#This Row],[ATA Nº/ANO]] = ""),BE$2,BE$1)),0),0),0)</f>
        <v>0</v>
      </c>
      <c r="BF76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323">
        <f>SUMIF(Consumo!$C$3:$C$869,tabItens[[#This Row],[CÓDIGO]],Consumo!$E$3:$E$869)</f>
        <v>0</v>
      </c>
      <c r="BH761" s="324">
        <f>IF(AND(tabItens[[#This Row],[Pend]] &gt; 0,tabItens[[#This Row],[Consumo]] &lt;&gt; 0), tabItens[[#This Row],[Pend]] / tabItens[[#This Row],[Consumo]], 0 )</f>
        <v>0</v>
      </c>
      <c r="BI761" s="323"/>
      <c r="BJ761" s="323"/>
      <c r="BK761" s="325" t="s">
        <v>2064</v>
      </c>
    </row>
    <row r="762" spans="1:63" hidden="1" x14ac:dyDescent="0.3">
      <c r="A762" s="286">
        <v>110702</v>
      </c>
      <c r="B762" s="287" t="s">
        <v>1662</v>
      </c>
      <c r="C762" s="288" t="s">
        <v>256</v>
      </c>
      <c r="D762" s="289">
        <v>16.79</v>
      </c>
      <c r="E762" s="290"/>
      <c r="F762" s="290"/>
      <c r="G762" s="290" t="s">
        <v>883</v>
      </c>
      <c r="H762" s="291">
        <v>136</v>
      </c>
      <c r="I762" s="292">
        <v>103003</v>
      </c>
      <c r="J762" s="293">
        <v>16.79</v>
      </c>
      <c r="K762" s="294">
        <v>27</v>
      </c>
      <c r="L762" s="295">
        <f>IF(tabItens[[#This Row],[Média]] &gt; 0, tabItens[[#This Row],[QTDE ATUAL]] / tabItens[[#This Row],[Média]],999.9)</f>
        <v>65.28</v>
      </c>
      <c r="M762" s="296">
        <v>0</v>
      </c>
      <c r="N762" s="297">
        <f>tabItens[[#This Row],[VALOR UNIT.]] * tabItens[[#This Row],[LC]]</f>
        <v>0</v>
      </c>
      <c r="O762" s="298"/>
      <c r="P762" s="299"/>
      <c r="Q762" s="300"/>
      <c r="R762" s="297"/>
      <c r="S762" s="301"/>
      <c r="T762" s="302">
        <f>ROUNDDOWN(IFERROR(tabItens[[#This Row],[ATA DT.VALID.]] - $D$1,0) / 30,0)</f>
        <v>-1504</v>
      </c>
      <c r="U762" s="287" t="s">
        <v>988</v>
      </c>
      <c r="V762" s="303">
        <v>1</v>
      </c>
      <c r="W762" s="304" t="s">
        <v>2055</v>
      </c>
      <c r="X762" s="305">
        <v>55</v>
      </c>
      <c r="Y762" s="306">
        <v>32</v>
      </c>
      <c r="Z762" s="307">
        <v>2956</v>
      </c>
      <c r="AA762" s="308">
        <v>2023</v>
      </c>
      <c r="AB762" s="309">
        <v>50</v>
      </c>
      <c r="AC762" s="309"/>
      <c r="AD762" s="308"/>
      <c r="AE762" s="309"/>
      <c r="AF762" s="302"/>
      <c r="AG762" s="310" t="s">
        <v>2050</v>
      </c>
      <c r="AH762" s="311"/>
      <c r="AI762" s="302">
        <v>10</v>
      </c>
      <c r="AJ762" s="311">
        <v>42216</v>
      </c>
      <c r="AK762" s="311">
        <v>39927</v>
      </c>
      <c r="AL762" s="311">
        <v>42205</v>
      </c>
      <c r="AM762" s="301"/>
      <c r="AN762" s="290"/>
      <c r="AO762" s="312" t="str">
        <f>_xlfn.IFNA(IF(VLOOKUP(tabItens[[#This Row],[CÓDIGO]],tabExcluirDoEstoque[#Data],1,FALSE),"sim",""),"")</f>
        <v/>
      </c>
      <c r="AP762" s="313" t="str">
        <f ca="1">IF(OR(ISBLANK(tabItens[[#This Row],[ATA DT.VALID.]]),tabItens[[#This Row],[ATA DT.VALID.]]="",tabItens[[#This Row],[ATA DT.VALID.]]=" "),"",IF(TYPE(tabItens[[#This Row],[ATA DT.VALID.]])=1,ROUNDUP((tabItens[[#This Row],[ATA DT.VALID.]]-TODAY())/7,0),""))</f>
        <v/>
      </c>
      <c r="AQ762" s="314"/>
      <c r="AR762" s="315" t="str">
        <f>IF(ISBLANK(tabItens[[#This Row],[CÓDIGO]]),"",IFERROR(VLOOKUP(tabItens[[#This Row],[CÓDIGO]],Consumo!$C$2:$AC$869,26,FALSE),0))</f>
        <v>05.2023</v>
      </c>
      <c r="AS762" s="316">
        <f>SUMIF(Consumo!$C$3:$C$869,tabItens[[#This Row],[CÓDIGO]],Consumo!$N$3:$N$869) + SUMIF(Consumo!$C$3:$C$869,tabItens[[#This Row],[CÓDIGO]],Consumo!$O$3:$O$869) + SUMIF(Consumo!$C$3:$C$869,tabItens[[#This Row],[CÓDIGO]],Consumo!$P$3:$P$869) + SUMIF(Consumo!$C$3:$C$869,tabItens[[#This Row],[CÓDIGO]],Consumo!$Q$3:$Q$869)</f>
        <v>4</v>
      </c>
      <c r="AT762" s="316">
        <f>SUMIF(Consumo!$C$3:$C$869,tabItens[[#This Row],[CÓDIGO]],Consumo!$Z$3:$Z$869)</f>
        <v>27</v>
      </c>
      <c r="AU762" s="317">
        <f>SUMIF(Consumo!$C$3:$C$869,tabItens[[#This Row],[CÓDIGO]],Consumo!$AA$3:$AA$869)</f>
        <v>10</v>
      </c>
      <c r="AV762" s="318">
        <f>SUMIF(Consumo!$C$3:$C$869,tabItens[[#This Row],[CÓDIGO]],Consumo!$Y$3:$Y$869)</f>
        <v>2.0833333333333335</v>
      </c>
      <c r="AW762" s="291">
        <f>tabItens[[#This Row],[QTDE ATUAL]] + tabItens[[#This Row],[RC QTDE]] + tabItens[[#This Row],[AF SALDO]] + tabItens[[#This Row],[Recentes]]</f>
        <v>186</v>
      </c>
      <c r="AX762" s="319">
        <v>6</v>
      </c>
      <c r="AY762" s="319">
        <v>4</v>
      </c>
      <c r="AZ762" s="319">
        <f>IF(ISBLANK(tabItens[[#This Row],[CÓDIGO]]),"",tabItens[[#This Row],[PontoMês]] * (AZ$2+tabItens[[#This Row],[PontoQtM]]))</f>
        <v>24</v>
      </c>
      <c r="BA762" s="318">
        <f>tabItens[[#This Row],[PontoPed]] - tabItens[[#This Row],[Saldo]] + (1/10)</f>
        <v>-161.9</v>
      </c>
      <c r="BB762" s="318">
        <f xml:space="preserve"> tabItens[[#This Row],[PontoMês]] * BB$2 - tabItens[[#This Row],[QTDE ATUAL]] - (1/10)</f>
        <v>-130.1</v>
      </c>
      <c r="BC762" s="320">
        <f>IF( tabItens[[#This Row],[PontoPed]]&gt;0, IF(tabItens[[#This Row],[PontoPed]]&lt;1, 1, IF( tabItens[[#This Row],[Saldo]]&gt;tabItens[[#This Row],[PontoPed]], 0, (tabItens[[#This Row],[PontoPed]]-tabItens[[#This Row],[Saldo]])/tabItens[[#This Row],[PontoPed]] ) ), 0 )</f>
        <v>0</v>
      </c>
      <c r="BD762" s="321">
        <f>ROUNDDOWN(IF( OR( AND(tabItens[[#This Row],[PontoPed]]&lt;tabItens[[#This Row],[Saldo]],tabItens[[#This Row],[Saldo]]&gt;0), tabItens[[#This Row],[PontoPed]]=0), 99, IF(AND(tabItens[[#This Row],[Saldo]]=0,tabItens[[#This Row],[PontoPed]]&gt;0), 0, (1-tabItens[[#This Row],[PctAb]])*10 ) ),0)</f>
        <v>99</v>
      </c>
      <c r="BE762" s="322">
        <f>MAX(ROUNDDOWN( IF(tabItens[[#This Row],[Abaixo]] &gt; 0,   tabItens[[#This Row],[Abaixo]] + (tabItens[[#This Row],[PontoMês]] * IF( OR( ISBLANK(tabItens[[#This Row],[ATA Nº/ANO]]), tabItens[[#This Row],[ATA Nº/ANO]] = ""),BE$2,BE$1)),0),0),0)</f>
        <v>0</v>
      </c>
      <c r="BF76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23">
        <f>SUMIF(Consumo!$C$3:$C$869,tabItens[[#This Row],[CÓDIGO]],Consumo!$E$3:$E$869)</f>
        <v>0</v>
      </c>
      <c r="BH762" s="324">
        <f>IF(AND(tabItens[[#This Row],[Pend]] &gt; 0,tabItens[[#This Row],[Consumo]] &lt;&gt; 0), tabItens[[#This Row],[Pend]] / tabItens[[#This Row],[Consumo]], 0 )</f>
        <v>0</v>
      </c>
      <c r="BI762" s="323"/>
      <c r="BJ762" s="323"/>
      <c r="BK762" s="325" t="s">
        <v>2064</v>
      </c>
    </row>
    <row r="763" spans="1:63" hidden="1" x14ac:dyDescent="0.3">
      <c r="A763" s="286">
        <v>15272</v>
      </c>
      <c r="B763" s="287" t="s">
        <v>1087</v>
      </c>
      <c r="C763" s="288" t="s">
        <v>256</v>
      </c>
      <c r="D763" s="289">
        <v>4.8</v>
      </c>
      <c r="E763" s="290"/>
      <c r="F763" s="290"/>
      <c r="G763" s="290" t="s">
        <v>883</v>
      </c>
      <c r="H763" s="291">
        <v>100</v>
      </c>
      <c r="I763" s="292">
        <v>103003</v>
      </c>
      <c r="J763" s="293">
        <v>4.8</v>
      </c>
      <c r="K763" s="294">
        <v>30</v>
      </c>
      <c r="L763" s="295">
        <f>IF(tabItens[[#This Row],[Média]] &gt; 0, tabItens[[#This Row],[QTDE ATUAL]] / tabItens[[#This Row],[Média]],999.9)</f>
        <v>50</v>
      </c>
      <c r="M763" s="296">
        <v>0</v>
      </c>
      <c r="N763" s="297">
        <f>tabItens[[#This Row],[VALOR UNIT.]] * tabItens[[#This Row],[LC]]</f>
        <v>0</v>
      </c>
      <c r="O763" s="298"/>
      <c r="P763" s="299"/>
      <c r="Q763" s="300"/>
      <c r="R763" s="297"/>
      <c r="S763" s="301"/>
      <c r="T763" s="302">
        <f>ROUNDDOWN(IFERROR(tabItens[[#This Row],[ATA DT.VALID.]] - $D$1,0) / 30,0)</f>
        <v>-1504</v>
      </c>
      <c r="U763" s="287" t="s">
        <v>1085</v>
      </c>
      <c r="V763" s="303">
        <v>1</v>
      </c>
      <c r="W763" s="304" t="s">
        <v>2055</v>
      </c>
      <c r="X763" s="305">
        <v>55</v>
      </c>
      <c r="Y763" s="306">
        <v>34</v>
      </c>
      <c r="Z763" s="307"/>
      <c r="AA763" s="308"/>
      <c r="AB763" s="309"/>
      <c r="AC763" s="309"/>
      <c r="AD763" s="308"/>
      <c r="AE763" s="309"/>
      <c r="AF763" s="302"/>
      <c r="AG763" s="310" t="s">
        <v>2050</v>
      </c>
      <c r="AH763" s="311"/>
      <c r="AI763" s="302">
        <v>10</v>
      </c>
      <c r="AJ763" s="311">
        <v>44855</v>
      </c>
      <c r="AK763" s="311" t="s">
        <v>883</v>
      </c>
      <c r="AL763" s="311">
        <v>44845</v>
      </c>
      <c r="AM763" s="301"/>
      <c r="AN763" s="290"/>
      <c r="AO763" s="312" t="str">
        <f>_xlfn.IFNA(IF(VLOOKUP(tabItens[[#This Row],[CÓDIGO]],tabExcluirDoEstoque[#Data],1,FALSE),"sim",""),"")</f>
        <v/>
      </c>
      <c r="AP763" s="313" t="str">
        <f ca="1">IF(OR(ISBLANK(tabItens[[#This Row],[ATA DT.VALID.]]),tabItens[[#This Row],[ATA DT.VALID.]]="",tabItens[[#This Row],[ATA DT.VALID.]]=" "),"",IF(TYPE(tabItens[[#This Row],[ATA DT.VALID.]])=1,ROUNDUP((tabItens[[#This Row],[ATA DT.VALID.]]-TODAY())/7,0),""))</f>
        <v/>
      </c>
      <c r="AQ763" s="314"/>
      <c r="AR763" s="315" t="str">
        <f>IF(ISBLANK(tabItens[[#This Row],[CÓDIGO]]),"",IFERROR(VLOOKUP(tabItens[[#This Row],[CÓDIGO]],Consumo!$C$2:$AC$869,26,FALSE),0))</f>
        <v>06.2023</v>
      </c>
      <c r="AS763" s="316">
        <f>SUMIF(Consumo!$C$3:$C$869,tabItens[[#This Row],[CÓDIGO]],Consumo!$N$3:$N$869) + SUMIF(Consumo!$C$3:$C$869,tabItens[[#This Row],[CÓDIGO]],Consumo!$O$3:$O$869) + SUMIF(Consumo!$C$3:$C$869,tabItens[[#This Row],[CÓDIGO]],Consumo!$P$3:$P$869) + SUMIF(Consumo!$C$3:$C$869,tabItens[[#This Row],[CÓDIGO]],Consumo!$Q$3:$Q$869)</f>
        <v>20</v>
      </c>
      <c r="AT763" s="316">
        <f>SUMIF(Consumo!$C$3:$C$869,tabItens[[#This Row],[CÓDIGO]],Consumo!$Z$3:$Z$869)</f>
        <v>30</v>
      </c>
      <c r="AU763" s="317">
        <f>SUMIF(Consumo!$C$3:$C$869,tabItens[[#This Row],[CÓDIGO]],Consumo!$AA$3:$AA$869)</f>
        <v>20</v>
      </c>
      <c r="AV763" s="318">
        <f>SUMIF(Consumo!$C$3:$C$869,tabItens[[#This Row],[CÓDIGO]],Consumo!$Y$3:$Y$869)</f>
        <v>2</v>
      </c>
      <c r="AW763" s="291">
        <f>tabItens[[#This Row],[QTDE ATUAL]] + tabItens[[#This Row],[RC QTDE]] + tabItens[[#This Row],[AF SALDO]] + tabItens[[#This Row],[Recentes]]</f>
        <v>100</v>
      </c>
      <c r="AX763" s="319">
        <v>5</v>
      </c>
      <c r="AY763" s="319">
        <v>4</v>
      </c>
      <c r="AZ763" s="319">
        <f>IF(ISBLANK(tabItens[[#This Row],[CÓDIGO]]),"",tabItens[[#This Row],[PontoMês]] * (AZ$2+tabItens[[#This Row],[PontoQtM]]))</f>
        <v>20</v>
      </c>
      <c r="BA763" s="318">
        <f>tabItens[[#This Row],[PontoPed]] - tabItens[[#This Row],[Saldo]] + (1/10)</f>
        <v>-79.900000000000006</v>
      </c>
      <c r="BB763" s="318">
        <f xml:space="preserve"> tabItens[[#This Row],[PontoMês]] * BB$2 - tabItens[[#This Row],[QTDE ATUAL]] - (1/10)</f>
        <v>-95.1</v>
      </c>
      <c r="BC763" s="320">
        <f>IF( tabItens[[#This Row],[PontoPed]]&gt;0, IF(tabItens[[#This Row],[PontoPed]]&lt;1, 1, IF( tabItens[[#This Row],[Saldo]]&gt;tabItens[[#This Row],[PontoPed]], 0, (tabItens[[#This Row],[PontoPed]]-tabItens[[#This Row],[Saldo]])/tabItens[[#This Row],[PontoPed]] ) ), 0 )</f>
        <v>0</v>
      </c>
      <c r="BD763" s="321">
        <f>ROUNDDOWN(IF( OR( AND(tabItens[[#This Row],[PontoPed]]&lt;tabItens[[#This Row],[Saldo]],tabItens[[#This Row],[Saldo]]&gt;0), tabItens[[#This Row],[PontoPed]]=0), 99, IF(AND(tabItens[[#This Row],[Saldo]]=0,tabItens[[#This Row],[PontoPed]]&gt;0), 0, (1-tabItens[[#This Row],[PctAb]])*10 ) ),0)</f>
        <v>99</v>
      </c>
      <c r="BE763" s="322">
        <f>MAX(ROUNDDOWN( IF(tabItens[[#This Row],[Abaixo]] &gt; 0,   tabItens[[#This Row],[Abaixo]] + (tabItens[[#This Row],[PontoMês]] * IF( OR( ISBLANK(tabItens[[#This Row],[ATA Nº/ANO]]), tabItens[[#This Row],[ATA Nº/ANO]] = ""),BE$2,BE$1)),0),0),0)</f>
        <v>0</v>
      </c>
      <c r="BF76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23">
        <f>SUMIF(Consumo!$C$3:$C$869,tabItens[[#This Row],[CÓDIGO]],Consumo!$E$3:$E$869)</f>
        <v>0</v>
      </c>
      <c r="BH763" s="324">
        <f>IF(AND(tabItens[[#This Row],[Pend]] &gt; 0,tabItens[[#This Row],[Consumo]] &lt;&gt; 0), tabItens[[#This Row],[Pend]] / tabItens[[#This Row],[Consumo]], 0 )</f>
        <v>0</v>
      </c>
      <c r="BI763" s="323"/>
      <c r="BJ763" s="323"/>
      <c r="BK763" s="325" t="s">
        <v>2064</v>
      </c>
    </row>
    <row r="764" spans="1:63" hidden="1" x14ac:dyDescent="0.3">
      <c r="A764" s="286">
        <v>15469</v>
      </c>
      <c r="B764" s="287" t="s">
        <v>1094</v>
      </c>
      <c r="C764" s="288" t="s">
        <v>256</v>
      </c>
      <c r="D764" s="289">
        <v>6.12</v>
      </c>
      <c r="E764" s="290"/>
      <c r="F764" s="290"/>
      <c r="G764" s="290" t="s">
        <v>883</v>
      </c>
      <c r="H764" s="291">
        <v>75</v>
      </c>
      <c r="I764" s="292">
        <v>103003</v>
      </c>
      <c r="J764" s="293">
        <v>6.12</v>
      </c>
      <c r="K764" s="294">
        <v>48</v>
      </c>
      <c r="L764" s="295">
        <f>IF(tabItens[[#This Row],[Média]] &gt; 0, tabItens[[#This Row],[QTDE ATUAL]] / tabItens[[#This Row],[Média]],999.9)</f>
        <v>21.428571428571427</v>
      </c>
      <c r="M764" s="296">
        <v>0</v>
      </c>
      <c r="N764" s="297">
        <f>tabItens[[#This Row],[VALOR UNIT.]] * tabItens[[#This Row],[LC]]</f>
        <v>0</v>
      </c>
      <c r="O764" s="298"/>
      <c r="P764" s="299"/>
      <c r="Q764" s="300"/>
      <c r="R764" s="297"/>
      <c r="S764" s="301"/>
      <c r="T764" s="302">
        <f>ROUNDDOWN(IFERROR(tabItens[[#This Row],[ATA DT.VALID.]] - $D$1,0) / 30,0)</f>
        <v>-1504</v>
      </c>
      <c r="U764" s="287" t="s">
        <v>1085</v>
      </c>
      <c r="V764" s="303">
        <v>1</v>
      </c>
      <c r="W764" s="304" t="s">
        <v>2055</v>
      </c>
      <c r="X764" s="305">
        <v>55</v>
      </c>
      <c r="Y764" s="306">
        <v>34</v>
      </c>
      <c r="Z764" s="307"/>
      <c r="AA764" s="308"/>
      <c r="AB764" s="309"/>
      <c r="AC764" s="309"/>
      <c r="AD764" s="308"/>
      <c r="AE764" s="309"/>
      <c r="AF764" s="302"/>
      <c r="AG764" s="310" t="s">
        <v>2050</v>
      </c>
      <c r="AH764" s="311"/>
      <c r="AI764" s="302">
        <v>16</v>
      </c>
      <c r="AJ764" s="311">
        <v>44068</v>
      </c>
      <c r="AK764" s="311" t="s">
        <v>883</v>
      </c>
      <c r="AL764" s="311">
        <v>44028</v>
      </c>
      <c r="AM764" s="301"/>
      <c r="AN764" s="290"/>
      <c r="AO764" s="312" t="str">
        <f>_xlfn.IFNA(IF(VLOOKUP(tabItens[[#This Row],[CÓDIGO]],tabExcluirDoEstoque[#Data],1,FALSE),"sim",""),"")</f>
        <v/>
      </c>
      <c r="AP764" s="313" t="str">
        <f ca="1">IF(OR(ISBLANK(tabItens[[#This Row],[ATA DT.VALID.]]),tabItens[[#This Row],[ATA DT.VALID.]]="",tabItens[[#This Row],[ATA DT.VALID.]]=" "),"",IF(TYPE(tabItens[[#This Row],[ATA DT.VALID.]])=1,ROUNDUP((tabItens[[#This Row],[ATA DT.VALID.]]-TODAY())/7,0),""))</f>
        <v/>
      </c>
      <c r="AQ764" s="314"/>
      <c r="AR764" s="315" t="str">
        <f>IF(ISBLANK(tabItens[[#This Row],[CÓDIGO]]),"",IFERROR(VLOOKUP(tabItens[[#This Row],[CÓDIGO]],Consumo!$C$2:$AC$869,26,FALSE),0))</f>
        <v>06.2023</v>
      </c>
      <c r="AS764" s="316">
        <f>SUMIF(Consumo!$C$3:$C$869,tabItens[[#This Row],[CÓDIGO]],Consumo!$N$3:$N$869) + SUMIF(Consumo!$C$3:$C$869,tabItens[[#This Row],[CÓDIGO]],Consumo!$O$3:$O$869) + SUMIF(Consumo!$C$3:$C$869,tabItens[[#This Row],[CÓDIGO]],Consumo!$P$3:$P$869) + SUMIF(Consumo!$C$3:$C$869,tabItens[[#This Row],[CÓDIGO]],Consumo!$Q$3:$Q$869)</f>
        <v>41</v>
      </c>
      <c r="AT764" s="316">
        <f>SUMIF(Consumo!$C$3:$C$869,tabItens[[#This Row],[CÓDIGO]],Consumo!$Z$3:$Z$869)</f>
        <v>48</v>
      </c>
      <c r="AU764" s="317">
        <f>SUMIF(Consumo!$C$3:$C$869,tabItens[[#This Row],[CÓDIGO]],Consumo!$AA$3:$AA$869)</f>
        <v>26</v>
      </c>
      <c r="AV764" s="318">
        <f>SUMIF(Consumo!$C$3:$C$869,tabItens[[#This Row],[CÓDIGO]],Consumo!$Y$3:$Y$869)</f>
        <v>3.5</v>
      </c>
      <c r="AW764" s="291">
        <f>tabItens[[#This Row],[QTDE ATUAL]] + tabItens[[#This Row],[RC QTDE]] + tabItens[[#This Row],[AF SALDO]] + tabItens[[#This Row],[Recentes]]</f>
        <v>75</v>
      </c>
      <c r="AX764" s="319">
        <v>3</v>
      </c>
      <c r="AY764" s="319">
        <v>4</v>
      </c>
      <c r="AZ764" s="319">
        <f>IF(ISBLANK(tabItens[[#This Row],[CÓDIGO]]),"",tabItens[[#This Row],[PontoMês]] * (AZ$2+tabItens[[#This Row],[PontoQtM]]))</f>
        <v>12</v>
      </c>
      <c r="BA764" s="318">
        <f>tabItens[[#This Row],[PontoPed]] - tabItens[[#This Row],[Saldo]] + (1/10)</f>
        <v>-62.9</v>
      </c>
      <c r="BB764" s="318">
        <f xml:space="preserve"> tabItens[[#This Row],[PontoMês]] * BB$2 - tabItens[[#This Row],[QTDE ATUAL]] - (1/10)</f>
        <v>-72.099999999999994</v>
      </c>
      <c r="BC764" s="320">
        <f>IF( tabItens[[#This Row],[PontoPed]]&gt;0, IF(tabItens[[#This Row],[PontoPed]]&lt;1, 1, IF( tabItens[[#This Row],[Saldo]]&gt;tabItens[[#This Row],[PontoPed]], 0, (tabItens[[#This Row],[PontoPed]]-tabItens[[#This Row],[Saldo]])/tabItens[[#This Row],[PontoPed]] ) ), 0 )</f>
        <v>0</v>
      </c>
      <c r="BD764" s="321">
        <f>ROUNDDOWN(IF( OR( AND(tabItens[[#This Row],[PontoPed]]&lt;tabItens[[#This Row],[Saldo]],tabItens[[#This Row],[Saldo]]&gt;0), tabItens[[#This Row],[PontoPed]]=0), 99, IF(AND(tabItens[[#This Row],[Saldo]]=0,tabItens[[#This Row],[PontoPed]]&gt;0), 0, (1-tabItens[[#This Row],[PctAb]])*10 ) ),0)</f>
        <v>99</v>
      </c>
      <c r="BE764" s="322">
        <f>MAX(ROUNDDOWN( IF(tabItens[[#This Row],[Abaixo]] &gt; 0,   tabItens[[#This Row],[Abaixo]] + (tabItens[[#This Row],[PontoMês]] * IF( OR( ISBLANK(tabItens[[#This Row],[ATA Nº/ANO]]), tabItens[[#This Row],[ATA Nº/ANO]] = ""),BE$2,BE$1)),0),0),0)</f>
        <v>0</v>
      </c>
      <c r="BF76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23">
        <f>SUMIF(Consumo!$C$3:$C$869,tabItens[[#This Row],[CÓDIGO]],Consumo!$E$3:$E$869)</f>
        <v>0</v>
      </c>
      <c r="BH764" s="324">
        <f>IF(AND(tabItens[[#This Row],[Pend]] &gt; 0,tabItens[[#This Row],[Consumo]] &lt;&gt; 0), tabItens[[#This Row],[Pend]] / tabItens[[#This Row],[Consumo]], 0 )</f>
        <v>0</v>
      </c>
      <c r="BI764" s="323"/>
      <c r="BJ764" s="323"/>
      <c r="BK764" s="325" t="s">
        <v>2064</v>
      </c>
    </row>
    <row r="765" spans="1:63" hidden="1" x14ac:dyDescent="0.3">
      <c r="A765" s="286">
        <v>15648</v>
      </c>
      <c r="B765" s="287" t="s">
        <v>1099</v>
      </c>
      <c r="C765" s="288" t="s">
        <v>256</v>
      </c>
      <c r="D765" s="289">
        <v>3.24</v>
      </c>
      <c r="E765" s="290"/>
      <c r="F765" s="290"/>
      <c r="G765" s="290" t="s">
        <v>883</v>
      </c>
      <c r="H765" s="291">
        <v>36</v>
      </c>
      <c r="I765" s="292">
        <v>103003</v>
      </c>
      <c r="J765" s="293">
        <v>3.24</v>
      </c>
      <c r="K765" s="294">
        <v>22</v>
      </c>
      <c r="L765" s="295">
        <f>IF(tabItens[[#This Row],[Média]] &gt; 0, tabItens[[#This Row],[QTDE ATUAL]] / tabItens[[#This Row],[Média]],999.9)</f>
        <v>21.599999999999998</v>
      </c>
      <c r="M765" s="296">
        <v>0</v>
      </c>
      <c r="N765" s="297">
        <f>tabItens[[#This Row],[VALOR UNIT.]] * tabItens[[#This Row],[LC]]</f>
        <v>0</v>
      </c>
      <c r="O765" s="298"/>
      <c r="P765" s="299"/>
      <c r="Q765" s="300"/>
      <c r="R765" s="297"/>
      <c r="S765" s="301"/>
      <c r="T765" s="302">
        <f>ROUNDDOWN(IFERROR(tabItens[[#This Row],[ATA DT.VALID.]] - $D$1,0) / 30,0)</f>
        <v>-1504</v>
      </c>
      <c r="U765" s="287" t="s">
        <v>1100</v>
      </c>
      <c r="V765" s="303">
        <v>1</v>
      </c>
      <c r="W765" s="304" t="s">
        <v>2055</v>
      </c>
      <c r="X765" s="305">
        <v>55</v>
      </c>
      <c r="Y765" s="306">
        <v>35</v>
      </c>
      <c r="Z765" s="307">
        <v>2442</v>
      </c>
      <c r="AA765" s="308">
        <v>2023</v>
      </c>
      <c r="AB765" s="309">
        <v>10</v>
      </c>
      <c r="AC765" s="309"/>
      <c r="AD765" s="308"/>
      <c r="AE765" s="309"/>
      <c r="AF765" s="302"/>
      <c r="AG765" s="310" t="s">
        <v>2050</v>
      </c>
      <c r="AH765" s="311"/>
      <c r="AI765" s="302">
        <v>8</v>
      </c>
      <c r="AJ765" s="311">
        <v>43916</v>
      </c>
      <c r="AK765" s="311" t="s">
        <v>883</v>
      </c>
      <c r="AL765" s="311">
        <v>43865</v>
      </c>
      <c r="AM765" s="301"/>
      <c r="AN765" s="290"/>
      <c r="AO765" s="312" t="str">
        <f>_xlfn.IFNA(IF(VLOOKUP(tabItens[[#This Row],[CÓDIGO]],tabExcluirDoEstoque[#Data],1,FALSE),"sim",""),"")</f>
        <v/>
      </c>
      <c r="AP765" s="313" t="str">
        <f ca="1">IF(OR(ISBLANK(tabItens[[#This Row],[ATA DT.VALID.]]),tabItens[[#This Row],[ATA DT.VALID.]]="",tabItens[[#This Row],[ATA DT.VALID.]]=" "),"",IF(TYPE(tabItens[[#This Row],[ATA DT.VALID.]])=1,ROUNDUP((tabItens[[#This Row],[ATA DT.VALID.]]-TODAY())/7,0),""))</f>
        <v/>
      </c>
      <c r="AQ765" s="314"/>
      <c r="AR765" s="315" t="str">
        <f>IF(ISBLANK(tabItens[[#This Row],[CÓDIGO]]),"",IFERROR(VLOOKUP(tabItens[[#This Row],[CÓDIGO]],Consumo!$C$2:$AC$869,26,FALSE),0))</f>
        <v>01.2023</v>
      </c>
      <c r="AS765" s="316">
        <f>SUMIF(Consumo!$C$3:$C$869,tabItens[[#This Row],[CÓDIGO]],Consumo!$N$3:$N$869) + SUMIF(Consumo!$C$3:$C$869,tabItens[[#This Row],[CÓDIGO]],Consumo!$O$3:$O$869) + SUMIF(Consumo!$C$3:$C$869,tabItens[[#This Row],[CÓDIGO]],Consumo!$P$3:$P$869) + SUMIF(Consumo!$C$3:$C$869,tabItens[[#This Row],[CÓDIGO]],Consumo!$Q$3:$Q$869)</f>
        <v>0</v>
      </c>
      <c r="AT765" s="316">
        <f>SUMIF(Consumo!$C$3:$C$869,tabItens[[#This Row],[CÓDIGO]],Consumo!$Z$3:$Z$869)</f>
        <v>22</v>
      </c>
      <c r="AU765" s="317">
        <f>SUMIF(Consumo!$C$3:$C$869,tabItens[[#This Row],[CÓDIGO]],Consumo!$AA$3:$AA$869)</f>
        <v>12</v>
      </c>
      <c r="AV765" s="318">
        <f>SUMIF(Consumo!$C$3:$C$869,tabItens[[#This Row],[CÓDIGO]],Consumo!$Y$3:$Y$869)</f>
        <v>1.6666666666666667</v>
      </c>
      <c r="AW765" s="291">
        <f>tabItens[[#This Row],[QTDE ATUAL]] + tabItens[[#This Row],[RC QTDE]] + tabItens[[#This Row],[AF SALDO]] + tabItens[[#This Row],[Recentes]]</f>
        <v>46</v>
      </c>
      <c r="AX765" s="319">
        <v>0</v>
      </c>
      <c r="AY765" s="319">
        <v>4</v>
      </c>
      <c r="AZ765" s="319">
        <f>IF(ISBLANK(tabItens[[#This Row],[CÓDIGO]]),"",tabItens[[#This Row],[PontoMês]] * (AZ$2+tabItens[[#This Row],[PontoQtM]]))</f>
        <v>0</v>
      </c>
      <c r="BA765" s="318">
        <f>tabItens[[#This Row],[PontoPed]] - tabItens[[#This Row],[Saldo]] + (1/10)</f>
        <v>-45.9</v>
      </c>
      <c r="BB765" s="318">
        <f xml:space="preserve"> tabItens[[#This Row],[PontoMês]] * BB$2 - tabItens[[#This Row],[QTDE ATUAL]] - (1/10)</f>
        <v>-36.1</v>
      </c>
      <c r="BC765" s="320">
        <f>IF( tabItens[[#This Row],[PontoPed]]&gt;0, IF(tabItens[[#This Row],[PontoPed]]&lt;1, 1, IF( tabItens[[#This Row],[Saldo]]&gt;tabItens[[#This Row],[PontoPed]], 0, (tabItens[[#This Row],[PontoPed]]-tabItens[[#This Row],[Saldo]])/tabItens[[#This Row],[PontoPed]] ) ), 0 )</f>
        <v>0</v>
      </c>
      <c r="BD765" s="321">
        <f>ROUNDDOWN(IF( OR( AND(tabItens[[#This Row],[PontoPed]]&lt;tabItens[[#This Row],[Saldo]],tabItens[[#This Row],[Saldo]]&gt;0), tabItens[[#This Row],[PontoPed]]=0), 99, IF(AND(tabItens[[#This Row],[Saldo]]=0,tabItens[[#This Row],[PontoPed]]&gt;0), 0, (1-tabItens[[#This Row],[PctAb]])*10 ) ),0)</f>
        <v>99</v>
      </c>
      <c r="BE765" s="322">
        <f>MAX(ROUNDDOWN( IF(tabItens[[#This Row],[Abaixo]] &gt; 0,   tabItens[[#This Row],[Abaixo]] + (tabItens[[#This Row],[PontoMês]] * IF( OR( ISBLANK(tabItens[[#This Row],[ATA Nº/ANO]]), tabItens[[#This Row],[ATA Nº/ANO]] = ""),BE$2,BE$1)),0),0),0)</f>
        <v>0</v>
      </c>
      <c r="BF76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23">
        <f>SUMIF(Consumo!$C$3:$C$869,tabItens[[#This Row],[CÓDIGO]],Consumo!$E$3:$E$869)</f>
        <v>0</v>
      </c>
      <c r="BH765" s="324">
        <f>IF(AND(tabItens[[#This Row],[Pend]] &gt; 0,tabItens[[#This Row],[Consumo]] &lt;&gt; 0), tabItens[[#This Row],[Pend]] / tabItens[[#This Row],[Consumo]], 0 )</f>
        <v>0</v>
      </c>
      <c r="BI765" s="323"/>
      <c r="BJ765" s="323"/>
      <c r="BK765" s="325" t="s">
        <v>2064</v>
      </c>
    </row>
    <row r="766" spans="1:63" hidden="1" x14ac:dyDescent="0.3">
      <c r="A766" s="286">
        <v>110892</v>
      </c>
      <c r="B766" s="287" t="s">
        <v>1667</v>
      </c>
      <c r="C766" s="288" t="s">
        <v>256</v>
      </c>
      <c r="D766" s="289">
        <v>9.9</v>
      </c>
      <c r="E766" s="290"/>
      <c r="F766" s="290"/>
      <c r="G766" s="290" t="s">
        <v>883</v>
      </c>
      <c r="H766" s="291">
        <v>154</v>
      </c>
      <c r="I766" s="292">
        <v>103003</v>
      </c>
      <c r="J766" s="293">
        <v>9.9</v>
      </c>
      <c r="K766" s="294">
        <v>35</v>
      </c>
      <c r="L766" s="295">
        <f>IF(tabItens[[#This Row],[Média]] &gt; 0, tabItens[[#This Row],[QTDE ATUAL]] / tabItens[[#This Row],[Média]],999.9)</f>
        <v>61.6</v>
      </c>
      <c r="M766" s="296">
        <v>0</v>
      </c>
      <c r="N766" s="297">
        <f>tabItens[[#This Row],[VALOR UNIT.]] * tabItens[[#This Row],[LC]]</f>
        <v>0</v>
      </c>
      <c r="O766" s="298"/>
      <c r="P766" s="299"/>
      <c r="Q766" s="300"/>
      <c r="R766" s="297"/>
      <c r="S766" s="301"/>
      <c r="T766" s="302">
        <f>ROUNDDOWN(IFERROR(tabItens[[#This Row],[ATA DT.VALID.]] - $D$1,0) / 30,0)</f>
        <v>-1504</v>
      </c>
      <c r="U766" s="287" t="s">
        <v>1100</v>
      </c>
      <c r="V766" s="303">
        <v>1</v>
      </c>
      <c r="W766" s="304" t="s">
        <v>2055</v>
      </c>
      <c r="X766" s="305">
        <v>55</v>
      </c>
      <c r="Y766" s="306">
        <v>35</v>
      </c>
      <c r="Z766" s="307"/>
      <c r="AA766" s="308"/>
      <c r="AB766" s="309"/>
      <c r="AC766" s="309"/>
      <c r="AD766" s="308"/>
      <c r="AE766" s="309"/>
      <c r="AF766" s="302"/>
      <c r="AG766" s="310" t="s">
        <v>2050</v>
      </c>
      <c r="AH766" s="311"/>
      <c r="AI766" s="302">
        <v>12</v>
      </c>
      <c r="AJ766" s="311">
        <v>41577</v>
      </c>
      <c r="AK766" s="311">
        <v>39944</v>
      </c>
      <c r="AL766" s="311">
        <v>43859</v>
      </c>
      <c r="AM766" s="301"/>
      <c r="AN766" s="290"/>
      <c r="AO766" s="312" t="str">
        <f>_xlfn.IFNA(IF(VLOOKUP(tabItens[[#This Row],[CÓDIGO]],tabExcluirDoEstoque[#Data],1,FALSE),"sim",""),"")</f>
        <v/>
      </c>
      <c r="AP766" s="313" t="str">
        <f ca="1">IF(OR(ISBLANK(tabItens[[#This Row],[ATA DT.VALID.]]),tabItens[[#This Row],[ATA DT.VALID.]]="",tabItens[[#This Row],[ATA DT.VALID.]]=" "),"",IF(TYPE(tabItens[[#This Row],[ATA DT.VALID.]])=1,ROUNDUP((tabItens[[#This Row],[ATA DT.VALID.]]-TODAY())/7,0),""))</f>
        <v/>
      </c>
      <c r="AQ766" s="314"/>
      <c r="AR766" s="315" t="str">
        <f>IF(ISBLANK(tabItens[[#This Row],[CÓDIGO]]),"",IFERROR(VLOOKUP(tabItens[[#This Row],[CÓDIGO]],Consumo!$C$2:$AC$869,26,FALSE),0))</f>
        <v>06.2023</v>
      </c>
      <c r="AS766" s="316">
        <f>SUMIF(Consumo!$C$3:$C$869,tabItens[[#This Row],[CÓDIGO]],Consumo!$N$3:$N$869) + SUMIF(Consumo!$C$3:$C$869,tabItens[[#This Row],[CÓDIGO]],Consumo!$O$3:$O$869) + SUMIF(Consumo!$C$3:$C$869,tabItens[[#This Row],[CÓDIGO]],Consumo!$P$3:$P$869) + SUMIF(Consumo!$C$3:$C$869,tabItens[[#This Row],[CÓDIGO]],Consumo!$Q$3:$Q$869)</f>
        <v>10</v>
      </c>
      <c r="AT766" s="316">
        <f>SUMIF(Consumo!$C$3:$C$869,tabItens[[#This Row],[CÓDIGO]],Consumo!$Z$3:$Z$869)</f>
        <v>35</v>
      </c>
      <c r="AU766" s="317">
        <f>SUMIF(Consumo!$C$3:$C$869,tabItens[[#This Row],[CÓDIGO]],Consumo!$AA$3:$AA$869)</f>
        <v>19</v>
      </c>
      <c r="AV766" s="318">
        <f>SUMIF(Consumo!$C$3:$C$869,tabItens[[#This Row],[CÓDIGO]],Consumo!$Y$3:$Y$869)</f>
        <v>2.5</v>
      </c>
      <c r="AW766" s="291">
        <f>tabItens[[#This Row],[QTDE ATUAL]] + tabItens[[#This Row],[RC QTDE]] + tabItens[[#This Row],[AF SALDO]] + tabItens[[#This Row],[Recentes]]</f>
        <v>154</v>
      </c>
      <c r="AX766" s="319">
        <v>0</v>
      </c>
      <c r="AY766" s="319">
        <v>4</v>
      </c>
      <c r="AZ766" s="319">
        <f>IF(ISBLANK(tabItens[[#This Row],[CÓDIGO]]),"",tabItens[[#This Row],[PontoMês]] * (AZ$2+tabItens[[#This Row],[PontoQtM]]))</f>
        <v>0</v>
      </c>
      <c r="BA766" s="318">
        <f>tabItens[[#This Row],[PontoPed]] - tabItens[[#This Row],[Saldo]] + (1/10)</f>
        <v>-153.9</v>
      </c>
      <c r="BB766" s="318">
        <f xml:space="preserve"> tabItens[[#This Row],[PontoMês]] * BB$2 - tabItens[[#This Row],[QTDE ATUAL]] - (1/10)</f>
        <v>-154.1</v>
      </c>
      <c r="BC766" s="320">
        <f>IF( tabItens[[#This Row],[PontoPed]]&gt;0, IF(tabItens[[#This Row],[PontoPed]]&lt;1, 1, IF( tabItens[[#This Row],[Saldo]]&gt;tabItens[[#This Row],[PontoPed]], 0, (tabItens[[#This Row],[PontoPed]]-tabItens[[#This Row],[Saldo]])/tabItens[[#This Row],[PontoPed]] ) ), 0 )</f>
        <v>0</v>
      </c>
      <c r="BD766" s="321">
        <f>ROUNDDOWN(IF( OR( AND(tabItens[[#This Row],[PontoPed]]&lt;tabItens[[#This Row],[Saldo]],tabItens[[#This Row],[Saldo]]&gt;0), tabItens[[#This Row],[PontoPed]]=0), 99, IF(AND(tabItens[[#This Row],[Saldo]]=0,tabItens[[#This Row],[PontoPed]]&gt;0), 0, (1-tabItens[[#This Row],[PctAb]])*10 ) ),0)</f>
        <v>99</v>
      </c>
      <c r="BE766" s="322">
        <f>MAX(ROUNDDOWN( IF(tabItens[[#This Row],[Abaixo]] &gt; 0,   tabItens[[#This Row],[Abaixo]] + (tabItens[[#This Row],[PontoMês]] * IF( OR( ISBLANK(tabItens[[#This Row],[ATA Nº/ANO]]), tabItens[[#This Row],[ATA Nº/ANO]] = ""),BE$2,BE$1)),0),0),0)</f>
        <v>0</v>
      </c>
      <c r="BF76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23">
        <f>SUMIF(Consumo!$C$3:$C$869,tabItens[[#This Row],[CÓDIGO]],Consumo!$E$3:$E$869)</f>
        <v>0</v>
      </c>
      <c r="BH766" s="324">
        <f>IF(AND(tabItens[[#This Row],[Pend]] &gt; 0,tabItens[[#This Row],[Consumo]] &lt;&gt; 0), tabItens[[#This Row],[Pend]] / tabItens[[#This Row],[Consumo]], 0 )</f>
        <v>0</v>
      </c>
      <c r="BI766" s="323"/>
      <c r="BJ766" s="323"/>
      <c r="BK766" s="325" t="s">
        <v>2064</v>
      </c>
    </row>
    <row r="767" spans="1:63" hidden="1" x14ac:dyDescent="0.3">
      <c r="A767" s="286">
        <v>110893</v>
      </c>
      <c r="B767" s="287" t="s">
        <v>1668</v>
      </c>
      <c r="C767" s="288" t="s">
        <v>256</v>
      </c>
      <c r="D767" s="289">
        <v>8</v>
      </c>
      <c r="E767" s="290"/>
      <c r="F767" s="290"/>
      <c r="G767" s="290" t="s">
        <v>883</v>
      </c>
      <c r="H767" s="291">
        <v>119</v>
      </c>
      <c r="I767" s="292">
        <v>103003</v>
      </c>
      <c r="J767" s="293">
        <v>8</v>
      </c>
      <c r="K767" s="294">
        <v>43</v>
      </c>
      <c r="L767" s="295">
        <f>IF(tabItens[[#This Row],[Média]] &gt; 0, tabItens[[#This Row],[QTDE ATUAL]] / tabItens[[#This Row],[Média]],999.9)</f>
        <v>36.615384615384613</v>
      </c>
      <c r="M767" s="296">
        <v>0</v>
      </c>
      <c r="N767" s="297">
        <f>tabItens[[#This Row],[VALOR UNIT.]] * tabItens[[#This Row],[LC]]</f>
        <v>0</v>
      </c>
      <c r="O767" s="298"/>
      <c r="P767" s="299"/>
      <c r="Q767" s="300"/>
      <c r="R767" s="297"/>
      <c r="S767" s="301"/>
      <c r="T767" s="302">
        <f>ROUNDDOWN(IFERROR(tabItens[[#This Row],[ATA DT.VALID.]] - $D$1,0) / 30,0)</f>
        <v>-1504</v>
      </c>
      <c r="U767" s="287" t="s">
        <v>1100</v>
      </c>
      <c r="V767" s="303">
        <v>1</v>
      </c>
      <c r="W767" s="304" t="s">
        <v>2055</v>
      </c>
      <c r="X767" s="305">
        <v>55</v>
      </c>
      <c r="Y767" s="306">
        <v>35</v>
      </c>
      <c r="Z767" s="307">
        <v>2956</v>
      </c>
      <c r="AA767" s="308">
        <v>2023</v>
      </c>
      <c r="AB767" s="309">
        <v>40</v>
      </c>
      <c r="AC767" s="309"/>
      <c r="AD767" s="308"/>
      <c r="AE767" s="309"/>
      <c r="AF767" s="302"/>
      <c r="AG767" s="310" t="s">
        <v>2050</v>
      </c>
      <c r="AH767" s="311"/>
      <c r="AI767" s="302">
        <v>14</v>
      </c>
      <c r="AJ767" s="311">
        <v>44348</v>
      </c>
      <c r="AK767" s="311">
        <v>39944</v>
      </c>
      <c r="AL767" s="311">
        <v>44333</v>
      </c>
      <c r="AM767" s="301"/>
      <c r="AN767" s="290"/>
      <c r="AO767" s="312" t="str">
        <f>_xlfn.IFNA(IF(VLOOKUP(tabItens[[#This Row],[CÓDIGO]],tabExcluirDoEstoque[#Data],1,FALSE),"sim",""),"")</f>
        <v/>
      </c>
      <c r="AP767" s="313" t="str">
        <f ca="1">IF(OR(ISBLANK(tabItens[[#This Row],[ATA DT.VALID.]]),tabItens[[#This Row],[ATA DT.VALID.]]="",tabItens[[#This Row],[ATA DT.VALID.]]=" "),"",IF(TYPE(tabItens[[#This Row],[ATA DT.VALID.]])=1,ROUNDUP((tabItens[[#This Row],[ATA DT.VALID.]]-TODAY())/7,0),""))</f>
        <v/>
      </c>
      <c r="AQ767" s="314"/>
      <c r="AR767" s="315" t="str">
        <f>IF(ISBLANK(tabItens[[#This Row],[CÓDIGO]]),"",IFERROR(VLOOKUP(tabItens[[#This Row],[CÓDIGO]],Consumo!$C$2:$AC$869,26,FALSE),0))</f>
        <v>06.2023</v>
      </c>
      <c r="AS767" s="316">
        <f>SUMIF(Consumo!$C$3:$C$869,tabItens[[#This Row],[CÓDIGO]],Consumo!$N$3:$N$869) + SUMIF(Consumo!$C$3:$C$869,tabItens[[#This Row],[CÓDIGO]],Consumo!$O$3:$O$869) + SUMIF(Consumo!$C$3:$C$869,tabItens[[#This Row],[CÓDIGO]],Consumo!$P$3:$P$869) + SUMIF(Consumo!$C$3:$C$869,tabItens[[#This Row],[CÓDIGO]],Consumo!$Q$3:$Q$869)</f>
        <v>20</v>
      </c>
      <c r="AT767" s="316">
        <f>SUMIF(Consumo!$C$3:$C$869,tabItens[[#This Row],[CÓDIGO]],Consumo!$Z$3:$Z$869)</f>
        <v>43</v>
      </c>
      <c r="AU767" s="317">
        <f>SUMIF(Consumo!$C$3:$C$869,tabItens[[#This Row],[CÓDIGO]],Consumo!$AA$3:$AA$869)</f>
        <v>20</v>
      </c>
      <c r="AV767" s="318">
        <f>SUMIF(Consumo!$C$3:$C$869,tabItens[[#This Row],[CÓDIGO]],Consumo!$Y$3:$Y$869)</f>
        <v>3.25</v>
      </c>
      <c r="AW767" s="291">
        <f>tabItens[[#This Row],[QTDE ATUAL]] + tabItens[[#This Row],[RC QTDE]] + tabItens[[#This Row],[AF SALDO]] + tabItens[[#This Row],[Recentes]]</f>
        <v>159</v>
      </c>
      <c r="AX767" s="319">
        <v>0</v>
      </c>
      <c r="AY767" s="319">
        <v>4</v>
      </c>
      <c r="AZ767" s="319">
        <f>IF(ISBLANK(tabItens[[#This Row],[CÓDIGO]]),"",tabItens[[#This Row],[PontoMês]] * (AZ$2+tabItens[[#This Row],[PontoQtM]]))</f>
        <v>0</v>
      </c>
      <c r="BA767" s="318">
        <f>tabItens[[#This Row],[PontoPed]] - tabItens[[#This Row],[Saldo]] + (1/10)</f>
        <v>-158.9</v>
      </c>
      <c r="BB767" s="318">
        <f xml:space="preserve"> tabItens[[#This Row],[PontoMês]] * BB$2 - tabItens[[#This Row],[QTDE ATUAL]] - (1/10)</f>
        <v>-119.1</v>
      </c>
      <c r="BC767" s="320">
        <f>IF( tabItens[[#This Row],[PontoPed]]&gt;0, IF(tabItens[[#This Row],[PontoPed]]&lt;1, 1, IF( tabItens[[#This Row],[Saldo]]&gt;tabItens[[#This Row],[PontoPed]], 0, (tabItens[[#This Row],[PontoPed]]-tabItens[[#This Row],[Saldo]])/tabItens[[#This Row],[PontoPed]] ) ), 0 )</f>
        <v>0</v>
      </c>
      <c r="BD767" s="321">
        <f>ROUNDDOWN(IF( OR( AND(tabItens[[#This Row],[PontoPed]]&lt;tabItens[[#This Row],[Saldo]],tabItens[[#This Row],[Saldo]]&gt;0), tabItens[[#This Row],[PontoPed]]=0), 99, IF(AND(tabItens[[#This Row],[Saldo]]=0,tabItens[[#This Row],[PontoPed]]&gt;0), 0, (1-tabItens[[#This Row],[PctAb]])*10 ) ),0)</f>
        <v>99</v>
      </c>
      <c r="BE767" s="322">
        <f>MAX(ROUNDDOWN( IF(tabItens[[#This Row],[Abaixo]] &gt; 0,   tabItens[[#This Row],[Abaixo]] + (tabItens[[#This Row],[PontoMês]] * IF( OR( ISBLANK(tabItens[[#This Row],[ATA Nº/ANO]]), tabItens[[#This Row],[ATA Nº/ANO]] = ""),BE$2,BE$1)),0),0),0)</f>
        <v>0</v>
      </c>
      <c r="BF76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23">
        <f>SUMIF(Consumo!$C$3:$C$869,tabItens[[#This Row],[CÓDIGO]],Consumo!$E$3:$E$869)</f>
        <v>0</v>
      </c>
      <c r="BH767" s="324">
        <f>IF(AND(tabItens[[#This Row],[Pend]] &gt; 0,tabItens[[#This Row],[Consumo]] &lt;&gt; 0), tabItens[[#This Row],[Pend]] / tabItens[[#This Row],[Consumo]], 0 )</f>
        <v>0</v>
      </c>
      <c r="BI767" s="323"/>
      <c r="BJ767" s="323"/>
      <c r="BK767" s="325" t="s">
        <v>2064</v>
      </c>
    </row>
    <row r="768" spans="1:63" hidden="1" x14ac:dyDescent="0.3">
      <c r="A768" s="286">
        <v>112494</v>
      </c>
      <c r="B768" s="287" t="s">
        <v>1685</v>
      </c>
      <c r="C768" s="288" t="s">
        <v>31</v>
      </c>
      <c r="D768" s="289">
        <v>4.8</v>
      </c>
      <c r="E768" s="290"/>
      <c r="F768" s="290"/>
      <c r="G768" s="290" t="s">
        <v>883</v>
      </c>
      <c r="H768" s="291">
        <v>376</v>
      </c>
      <c r="I768" s="292">
        <v>103003</v>
      </c>
      <c r="J768" s="293">
        <v>4.8</v>
      </c>
      <c r="K768" s="294">
        <v>62</v>
      </c>
      <c r="L768" s="295">
        <f>IF(tabItens[[#This Row],[Média]] &gt; 0, tabItens[[#This Row],[QTDE ATUAL]] / tabItens[[#This Row],[Média]],999.9)</f>
        <v>79.15789473684211</v>
      </c>
      <c r="M768" s="296">
        <v>0</v>
      </c>
      <c r="N768" s="297">
        <f>tabItens[[#This Row],[VALOR UNIT.]] * tabItens[[#This Row],[LC]]</f>
        <v>0</v>
      </c>
      <c r="O768" s="298"/>
      <c r="P768" s="299"/>
      <c r="Q768" s="300"/>
      <c r="R768" s="297"/>
      <c r="S768" s="301"/>
      <c r="T768" s="302">
        <f>ROUNDDOWN(IFERROR(tabItens[[#This Row],[ATA DT.VALID.]] - $D$1,0) / 30,0)</f>
        <v>-1504</v>
      </c>
      <c r="U768" s="287" t="s">
        <v>1100</v>
      </c>
      <c r="V768" s="303">
        <v>1</v>
      </c>
      <c r="W768" s="304" t="s">
        <v>2055</v>
      </c>
      <c r="X768" s="305">
        <v>55</v>
      </c>
      <c r="Y768" s="306">
        <v>35</v>
      </c>
      <c r="Z768" s="307"/>
      <c r="AA768" s="308"/>
      <c r="AB768" s="309"/>
      <c r="AC768" s="309"/>
      <c r="AD768" s="308"/>
      <c r="AE768" s="309"/>
      <c r="AF768" s="302"/>
      <c r="AG768" s="310" t="s">
        <v>2050</v>
      </c>
      <c r="AH768" s="311"/>
      <c r="AI768" s="302">
        <v>20</v>
      </c>
      <c r="AJ768" s="311">
        <v>44536</v>
      </c>
      <c r="AK768" s="311">
        <v>40064</v>
      </c>
      <c r="AL768" s="311">
        <v>44516</v>
      </c>
      <c r="AM768" s="301"/>
      <c r="AN768" s="290"/>
      <c r="AO768" s="312" t="str">
        <f>_xlfn.IFNA(IF(VLOOKUP(tabItens[[#This Row],[CÓDIGO]],tabExcluirDoEstoque[#Data],1,FALSE),"sim",""),"")</f>
        <v/>
      </c>
      <c r="AP768" s="313" t="str">
        <f ca="1">IF(OR(ISBLANK(tabItens[[#This Row],[ATA DT.VALID.]]),tabItens[[#This Row],[ATA DT.VALID.]]="",tabItens[[#This Row],[ATA DT.VALID.]]=" "),"",IF(TYPE(tabItens[[#This Row],[ATA DT.VALID.]])=1,ROUNDUP((tabItens[[#This Row],[ATA DT.VALID.]]-TODAY())/7,0),""))</f>
        <v/>
      </c>
      <c r="AQ768" s="314"/>
      <c r="AR768" s="315" t="str">
        <f>IF(ISBLANK(tabItens[[#This Row],[CÓDIGO]]),"",IFERROR(VLOOKUP(tabItens[[#This Row],[CÓDIGO]],Consumo!$C$2:$AC$869,26,FALSE),0))</f>
        <v>06.2023</v>
      </c>
      <c r="AS768" s="316">
        <f>SUMIF(Consumo!$C$3:$C$869,tabItens[[#This Row],[CÓDIGO]],Consumo!$N$3:$N$869) + SUMIF(Consumo!$C$3:$C$869,tabItens[[#This Row],[CÓDIGO]],Consumo!$O$3:$O$869) + SUMIF(Consumo!$C$3:$C$869,tabItens[[#This Row],[CÓDIGO]],Consumo!$P$3:$P$869) + SUMIF(Consumo!$C$3:$C$869,tabItens[[#This Row],[CÓDIGO]],Consumo!$Q$3:$Q$869)</f>
        <v>20</v>
      </c>
      <c r="AT768" s="316">
        <f>SUMIF(Consumo!$C$3:$C$869,tabItens[[#This Row],[CÓDIGO]],Consumo!$Z$3:$Z$869)</f>
        <v>62</v>
      </c>
      <c r="AU768" s="317">
        <f>SUMIF(Consumo!$C$3:$C$869,tabItens[[#This Row],[CÓDIGO]],Consumo!$AA$3:$AA$869)</f>
        <v>28</v>
      </c>
      <c r="AV768" s="318">
        <f>SUMIF(Consumo!$C$3:$C$869,tabItens[[#This Row],[CÓDIGO]],Consumo!$Y$3:$Y$869)</f>
        <v>4.75</v>
      </c>
      <c r="AW768" s="291">
        <f>tabItens[[#This Row],[QTDE ATUAL]] + tabItens[[#This Row],[RC QTDE]] + tabItens[[#This Row],[AF SALDO]] + tabItens[[#This Row],[Recentes]]</f>
        <v>376</v>
      </c>
      <c r="AX768" s="319">
        <v>3</v>
      </c>
      <c r="AY768" s="319">
        <v>4</v>
      </c>
      <c r="AZ768" s="319">
        <f>IF(ISBLANK(tabItens[[#This Row],[CÓDIGO]]),"",tabItens[[#This Row],[PontoMês]] * (AZ$2+tabItens[[#This Row],[PontoQtM]]))</f>
        <v>12</v>
      </c>
      <c r="BA768" s="318">
        <f>tabItens[[#This Row],[PontoPed]] - tabItens[[#This Row],[Saldo]] + (1/10)</f>
        <v>-363.9</v>
      </c>
      <c r="BB768" s="318">
        <f xml:space="preserve"> tabItens[[#This Row],[PontoMês]] * BB$2 - tabItens[[#This Row],[QTDE ATUAL]] - (1/10)</f>
        <v>-373.1</v>
      </c>
      <c r="BC768" s="320">
        <f>IF( tabItens[[#This Row],[PontoPed]]&gt;0, IF(tabItens[[#This Row],[PontoPed]]&lt;1, 1, IF( tabItens[[#This Row],[Saldo]]&gt;tabItens[[#This Row],[PontoPed]], 0, (tabItens[[#This Row],[PontoPed]]-tabItens[[#This Row],[Saldo]])/tabItens[[#This Row],[PontoPed]] ) ), 0 )</f>
        <v>0</v>
      </c>
      <c r="BD768" s="321">
        <f>ROUNDDOWN(IF( OR( AND(tabItens[[#This Row],[PontoPed]]&lt;tabItens[[#This Row],[Saldo]],tabItens[[#This Row],[Saldo]]&gt;0), tabItens[[#This Row],[PontoPed]]=0), 99, IF(AND(tabItens[[#This Row],[Saldo]]=0,tabItens[[#This Row],[PontoPed]]&gt;0), 0, (1-tabItens[[#This Row],[PctAb]])*10 ) ),0)</f>
        <v>99</v>
      </c>
      <c r="BE768" s="322">
        <f>MAX(ROUNDDOWN( IF(tabItens[[#This Row],[Abaixo]] &gt; 0,   tabItens[[#This Row],[Abaixo]] + (tabItens[[#This Row],[PontoMês]] * IF( OR( ISBLANK(tabItens[[#This Row],[ATA Nº/ANO]]), tabItens[[#This Row],[ATA Nº/ANO]] = ""),BE$2,BE$1)),0),0),0)</f>
        <v>0</v>
      </c>
      <c r="BF76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23">
        <f>SUMIF(Consumo!$C$3:$C$869,tabItens[[#This Row],[CÓDIGO]],Consumo!$E$3:$E$869)</f>
        <v>0</v>
      </c>
      <c r="BH768" s="324">
        <f>IF(AND(tabItens[[#This Row],[Pend]] &gt; 0,tabItens[[#This Row],[Consumo]] &lt;&gt; 0), tabItens[[#This Row],[Pend]] / tabItens[[#This Row],[Consumo]], 0 )</f>
        <v>0</v>
      </c>
      <c r="BI768" s="323"/>
      <c r="BJ768" s="323"/>
      <c r="BK768" s="325" t="s">
        <v>2064</v>
      </c>
    </row>
    <row r="769" spans="1:63" hidden="1" x14ac:dyDescent="0.3">
      <c r="A769" s="286">
        <v>113242</v>
      </c>
      <c r="B769" s="287" t="s">
        <v>1687</v>
      </c>
      <c r="C769" s="288" t="s">
        <v>31</v>
      </c>
      <c r="D769" s="289">
        <v>6.25</v>
      </c>
      <c r="E769" s="290"/>
      <c r="F769" s="290"/>
      <c r="G769" s="290" t="s">
        <v>883</v>
      </c>
      <c r="H769" s="291">
        <v>100</v>
      </c>
      <c r="I769" s="292">
        <v>103003</v>
      </c>
      <c r="J769" s="293">
        <v>6.25</v>
      </c>
      <c r="K769" s="294">
        <v>67</v>
      </c>
      <c r="L769" s="295">
        <f>IF(tabItens[[#This Row],[Média]] &gt; 0, tabItens[[#This Row],[QTDE ATUAL]] / tabItens[[#This Row],[Média]],999.9)</f>
        <v>19.672131147540984</v>
      </c>
      <c r="M769" s="296">
        <v>0</v>
      </c>
      <c r="N769" s="297">
        <f>tabItens[[#This Row],[VALOR UNIT.]] * tabItens[[#This Row],[LC]]</f>
        <v>0</v>
      </c>
      <c r="O769" s="298"/>
      <c r="P769" s="299"/>
      <c r="Q769" s="300"/>
      <c r="R769" s="297"/>
      <c r="S769" s="301"/>
      <c r="T769" s="302">
        <f>ROUNDDOWN(IFERROR(tabItens[[#This Row],[ATA DT.VALID.]] - $D$1,0) / 30,0)</f>
        <v>-1504</v>
      </c>
      <c r="U769" s="287" t="s">
        <v>1100</v>
      </c>
      <c r="V769" s="303">
        <v>1</v>
      </c>
      <c r="W769" s="304" t="s">
        <v>2055</v>
      </c>
      <c r="X769" s="305">
        <v>55</v>
      </c>
      <c r="Y769" s="306">
        <v>35</v>
      </c>
      <c r="Z769" s="307">
        <v>2956</v>
      </c>
      <c r="AA769" s="308">
        <v>2023</v>
      </c>
      <c r="AB769" s="309">
        <v>50</v>
      </c>
      <c r="AC769" s="309"/>
      <c r="AD769" s="308"/>
      <c r="AE769" s="309"/>
      <c r="AF769" s="302"/>
      <c r="AG769" s="310" t="s">
        <v>2050</v>
      </c>
      <c r="AH769" s="311"/>
      <c r="AI769" s="302">
        <v>22</v>
      </c>
      <c r="AJ769" s="311">
        <v>44530</v>
      </c>
      <c r="AK769" s="311">
        <v>40113</v>
      </c>
      <c r="AL769" s="311">
        <v>44393</v>
      </c>
      <c r="AM769" s="301"/>
      <c r="AN769" s="290"/>
      <c r="AO769" s="312" t="str">
        <f>_xlfn.IFNA(IF(VLOOKUP(tabItens[[#This Row],[CÓDIGO]],tabExcluirDoEstoque[#Data],1,FALSE),"sim",""),"")</f>
        <v/>
      </c>
      <c r="AP769" s="313" t="str">
        <f ca="1">IF(OR(ISBLANK(tabItens[[#This Row],[ATA DT.VALID.]]),tabItens[[#This Row],[ATA DT.VALID.]]="",tabItens[[#This Row],[ATA DT.VALID.]]=" "),"",IF(TYPE(tabItens[[#This Row],[ATA DT.VALID.]])=1,ROUNDUP((tabItens[[#This Row],[ATA DT.VALID.]]-TODAY())/7,0),""))</f>
        <v/>
      </c>
      <c r="AQ769" s="314"/>
      <c r="AR769" s="315" t="str">
        <f>IF(ISBLANK(tabItens[[#This Row],[CÓDIGO]]),"",IFERROR(VLOOKUP(tabItens[[#This Row],[CÓDIGO]],Consumo!$C$2:$AC$869,26,FALSE),0))</f>
        <v>06.2023</v>
      </c>
      <c r="AS769" s="316">
        <f>SUMIF(Consumo!$C$3:$C$869,tabItens[[#This Row],[CÓDIGO]],Consumo!$N$3:$N$869) + SUMIF(Consumo!$C$3:$C$869,tabItens[[#This Row],[CÓDIGO]],Consumo!$O$3:$O$869) + SUMIF(Consumo!$C$3:$C$869,tabItens[[#This Row],[CÓDIGO]],Consumo!$P$3:$P$869) + SUMIF(Consumo!$C$3:$C$869,tabItens[[#This Row],[CÓDIGO]],Consumo!$Q$3:$Q$869)</f>
        <v>32</v>
      </c>
      <c r="AT769" s="316">
        <f>SUMIF(Consumo!$C$3:$C$869,tabItens[[#This Row],[CÓDIGO]],Consumo!$Z$3:$Z$869)</f>
        <v>67</v>
      </c>
      <c r="AU769" s="317">
        <f>SUMIF(Consumo!$C$3:$C$869,tabItens[[#This Row],[CÓDIGO]],Consumo!$AA$3:$AA$869)</f>
        <v>32</v>
      </c>
      <c r="AV769" s="318">
        <f>SUMIF(Consumo!$C$3:$C$869,tabItens[[#This Row],[CÓDIGO]],Consumo!$Y$3:$Y$869)</f>
        <v>5.083333333333333</v>
      </c>
      <c r="AW769" s="291">
        <f>tabItens[[#This Row],[QTDE ATUAL]] + tabItens[[#This Row],[RC QTDE]] + tabItens[[#This Row],[AF SALDO]] + tabItens[[#This Row],[Recentes]]</f>
        <v>150</v>
      </c>
      <c r="AX769" s="319">
        <v>2</v>
      </c>
      <c r="AY769" s="319">
        <v>4</v>
      </c>
      <c r="AZ769" s="319">
        <f>IF(ISBLANK(tabItens[[#This Row],[CÓDIGO]]),"",tabItens[[#This Row],[PontoMês]] * (AZ$2+tabItens[[#This Row],[PontoQtM]]))</f>
        <v>8</v>
      </c>
      <c r="BA769" s="318">
        <f>tabItens[[#This Row],[PontoPed]] - tabItens[[#This Row],[Saldo]] + (1/10)</f>
        <v>-141.9</v>
      </c>
      <c r="BB769" s="318">
        <f xml:space="preserve"> tabItens[[#This Row],[PontoMês]] * BB$2 - tabItens[[#This Row],[QTDE ATUAL]] - (1/10)</f>
        <v>-98.1</v>
      </c>
      <c r="BC769" s="320">
        <f>IF( tabItens[[#This Row],[PontoPed]]&gt;0, IF(tabItens[[#This Row],[PontoPed]]&lt;1, 1, IF( tabItens[[#This Row],[Saldo]]&gt;tabItens[[#This Row],[PontoPed]], 0, (tabItens[[#This Row],[PontoPed]]-tabItens[[#This Row],[Saldo]])/tabItens[[#This Row],[PontoPed]] ) ), 0 )</f>
        <v>0</v>
      </c>
      <c r="BD769" s="321">
        <f>ROUNDDOWN(IF( OR( AND(tabItens[[#This Row],[PontoPed]]&lt;tabItens[[#This Row],[Saldo]],tabItens[[#This Row],[Saldo]]&gt;0), tabItens[[#This Row],[PontoPed]]=0), 99, IF(AND(tabItens[[#This Row],[Saldo]]=0,tabItens[[#This Row],[PontoPed]]&gt;0), 0, (1-tabItens[[#This Row],[PctAb]])*10 ) ),0)</f>
        <v>99</v>
      </c>
      <c r="BE769" s="322">
        <f>MAX(ROUNDDOWN( IF(tabItens[[#This Row],[Abaixo]] &gt; 0,   tabItens[[#This Row],[Abaixo]] + (tabItens[[#This Row],[PontoMês]] * IF( OR( ISBLANK(tabItens[[#This Row],[ATA Nº/ANO]]), tabItens[[#This Row],[ATA Nº/ANO]] = ""),BE$2,BE$1)),0),0),0)</f>
        <v>0</v>
      </c>
      <c r="BF76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23">
        <f>SUMIF(Consumo!$C$3:$C$869,tabItens[[#This Row],[CÓDIGO]],Consumo!$E$3:$E$869)</f>
        <v>0</v>
      </c>
      <c r="BH769" s="324">
        <f>IF(AND(tabItens[[#This Row],[Pend]] &gt; 0,tabItens[[#This Row],[Consumo]] &lt;&gt; 0), tabItens[[#This Row],[Pend]] / tabItens[[#This Row],[Consumo]], 0 )</f>
        <v>0</v>
      </c>
      <c r="BI769" s="323"/>
      <c r="BJ769" s="323"/>
      <c r="BK769" s="325" t="s">
        <v>2064</v>
      </c>
    </row>
    <row r="770" spans="1:63" hidden="1" x14ac:dyDescent="0.3">
      <c r="A770" s="286">
        <v>31555</v>
      </c>
      <c r="B770" s="287" t="s">
        <v>1245</v>
      </c>
      <c r="C770" s="288" t="s">
        <v>256</v>
      </c>
      <c r="D770" s="289">
        <v>33.700000000000003</v>
      </c>
      <c r="E770" s="290"/>
      <c r="F770" s="290"/>
      <c r="G770" s="290" t="s">
        <v>883</v>
      </c>
      <c r="H770" s="291">
        <v>74</v>
      </c>
      <c r="I770" s="292">
        <v>103003</v>
      </c>
      <c r="J770" s="293">
        <v>33.700000000000003</v>
      </c>
      <c r="K770" s="294"/>
      <c r="L770" s="295">
        <f>IF(tabItens[[#This Row],[Média]] &gt; 0, tabItens[[#This Row],[QTDE ATUAL]] / tabItens[[#This Row],[Média]],999.9)</f>
        <v>999.9</v>
      </c>
      <c r="M770" s="296">
        <v>0</v>
      </c>
      <c r="N770" s="297">
        <f>tabItens[[#This Row],[VALOR UNIT.]] * tabItens[[#This Row],[LC]]</f>
        <v>0</v>
      </c>
      <c r="O770" s="298"/>
      <c r="P770" s="299"/>
      <c r="Q770" s="300"/>
      <c r="R770" s="297"/>
      <c r="S770" s="301"/>
      <c r="T770" s="302">
        <f>ROUNDDOWN(IFERROR(tabItens[[#This Row],[ATA DT.VALID.]] - $D$1,0) / 30,0)</f>
        <v>-1504</v>
      </c>
      <c r="U770" s="287" t="s">
        <v>1070</v>
      </c>
      <c r="V770" s="303">
        <v>1</v>
      </c>
      <c r="W770" s="304" t="s">
        <v>2055</v>
      </c>
      <c r="X770" s="305">
        <v>55</v>
      </c>
      <c r="Y770" s="306">
        <v>40</v>
      </c>
      <c r="Z770" s="307"/>
      <c r="AA770" s="308"/>
      <c r="AB770" s="309"/>
      <c r="AC770" s="309"/>
      <c r="AD770" s="308"/>
      <c r="AE770" s="309"/>
      <c r="AF770" s="302"/>
      <c r="AG770" s="310" t="s">
        <v>2050</v>
      </c>
      <c r="AH770" s="311"/>
      <c r="AI770" s="302">
        <v>0</v>
      </c>
      <c r="AJ770" s="311">
        <v>37826</v>
      </c>
      <c r="AK770" s="311" t="s">
        <v>883</v>
      </c>
      <c r="AL770" s="311">
        <v>43865</v>
      </c>
      <c r="AM770" s="301"/>
      <c r="AN770" s="290"/>
      <c r="AO770" s="312" t="str">
        <f>_xlfn.IFNA(IF(VLOOKUP(tabItens[[#This Row],[CÓDIGO]],tabExcluirDoEstoque[#Data],1,FALSE),"sim",""),"")</f>
        <v/>
      </c>
      <c r="AP770" s="313" t="str">
        <f ca="1">IF(OR(ISBLANK(tabItens[[#This Row],[ATA DT.VALID.]]),tabItens[[#This Row],[ATA DT.VALID.]]="",tabItens[[#This Row],[ATA DT.VALID.]]=" "),"",IF(TYPE(tabItens[[#This Row],[ATA DT.VALID.]])=1,ROUNDUP((tabItens[[#This Row],[ATA DT.VALID.]]-TODAY())/7,0),""))</f>
        <v/>
      </c>
      <c r="AQ770" s="314"/>
      <c r="AR770" s="315">
        <f>IF(ISBLANK(tabItens[[#This Row],[CÓDIGO]]),"",IFERROR(VLOOKUP(tabItens[[#This Row],[CÓDIGO]],Consumo!$C$2:$AC$869,26,FALSE),0))</f>
        <v>0</v>
      </c>
      <c r="AS770" s="316">
        <f>SUMIF(Consumo!$C$3:$C$869,tabItens[[#This Row],[CÓDIGO]],Consumo!$N$3:$N$869) + SUMIF(Consumo!$C$3:$C$869,tabItens[[#This Row],[CÓDIGO]],Consumo!$O$3:$O$869) + SUMIF(Consumo!$C$3:$C$869,tabItens[[#This Row],[CÓDIGO]],Consumo!$P$3:$P$869) + SUMIF(Consumo!$C$3:$C$869,tabItens[[#This Row],[CÓDIGO]],Consumo!$Q$3:$Q$869)</f>
        <v>0</v>
      </c>
      <c r="AT770" s="316">
        <f>SUMIF(Consumo!$C$3:$C$869,tabItens[[#This Row],[CÓDIGO]],Consumo!$Z$3:$Z$869)</f>
        <v>0</v>
      </c>
      <c r="AU770" s="317">
        <f>SUMIF(Consumo!$C$3:$C$869,tabItens[[#This Row],[CÓDIGO]],Consumo!$AA$3:$AA$869)</f>
        <v>0</v>
      </c>
      <c r="AV770" s="318">
        <f>SUMIF(Consumo!$C$3:$C$869,tabItens[[#This Row],[CÓDIGO]],Consumo!$Y$3:$Y$869)</f>
        <v>0</v>
      </c>
      <c r="AW770" s="291">
        <f>tabItens[[#This Row],[QTDE ATUAL]] + tabItens[[#This Row],[RC QTDE]] + tabItens[[#This Row],[AF SALDO]] + tabItens[[#This Row],[Recentes]]</f>
        <v>74</v>
      </c>
      <c r="AX770" s="319">
        <v>1</v>
      </c>
      <c r="AY770" s="319">
        <v>4</v>
      </c>
      <c r="AZ770" s="319">
        <f>IF(ISBLANK(tabItens[[#This Row],[CÓDIGO]]),"",tabItens[[#This Row],[PontoMês]] * (AZ$2+tabItens[[#This Row],[PontoQtM]]))</f>
        <v>4</v>
      </c>
      <c r="BA770" s="318">
        <f>tabItens[[#This Row],[PontoPed]] - tabItens[[#This Row],[Saldo]] + (1/10)</f>
        <v>-69.900000000000006</v>
      </c>
      <c r="BB770" s="318">
        <f xml:space="preserve"> tabItens[[#This Row],[PontoMês]] * BB$2 - tabItens[[#This Row],[QTDE ATUAL]] - (1/10)</f>
        <v>-73.099999999999994</v>
      </c>
      <c r="BC770" s="320">
        <f>IF( tabItens[[#This Row],[PontoPed]]&gt;0, IF(tabItens[[#This Row],[PontoPed]]&lt;1, 1, IF( tabItens[[#This Row],[Saldo]]&gt;tabItens[[#This Row],[PontoPed]], 0, (tabItens[[#This Row],[PontoPed]]-tabItens[[#This Row],[Saldo]])/tabItens[[#This Row],[PontoPed]] ) ), 0 )</f>
        <v>0</v>
      </c>
      <c r="BD770" s="321">
        <f>ROUNDDOWN(IF( OR( AND(tabItens[[#This Row],[PontoPed]]&lt;tabItens[[#This Row],[Saldo]],tabItens[[#This Row],[Saldo]]&gt;0), tabItens[[#This Row],[PontoPed]]=0), 99, IF(AND(tabItens[[#This Row],[Saldo]]=0,tabItens[[#This Row],[PontoPed]]&gt;0), 0, (1-tabItens[[#This Row],[PctAb]])*10 ) ),0)</f>
        <v>99</v>
      </c>
      <c r="BE770" s="322">
        <f>MAX(ROUNDDOWN( IF(tabItens[[#This Row],[Abaixo]] &gt; 0,   tabItens[[#This Row],[Abaixo]] + (tabItens[[#This Row],[PontoMês]] * IF( OR( ISBLANK(tabItens[[#This Row],[ATA Nº/ANO]]), tabItens[[#This Row],[ATA Nº/ANO]] = ""),BE$2,BE$1)),0),0),0)</f>
        <v>0</v>
      </c>
      <c r="BF77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23">
        <f>SUMIF(Consumo!$C$3:$C$869,tabItens[[#This Row],[CÓDIGO]],Consumo!$E$3:$E$869)</f>
        <v>0</v>
      </c>
      <c r="BH770" s="324">
        <f>IF(AND(tabItens[[#This Row],[Pend]] &gt; 0,tabItens[[#This Row],[Consumo]] &lt;&gt; 0), tabItens[[#This Row],[Pend]] / tabItens[[#This Row],[Consumo]], 0 )</f>
        <v>0</v>
      </c>
      <c r="BI770" s="323"/>
      <c r="BJ770" s="323"/>
      <c r="BK770" s="325" t="s">
        <v>2064</v>
      </c>
    </row>
    <row r="771" spans="1:63" hidden="1" x14ac:dyDescent="0.3">
      <c r="A771" s="286">
        <v>132751</v>
      </c>
      <c r="B771" s="287" t="s">
        <v>1834</v>
      </c>
      <c r="C771" s="288" t="s">
        <v>281</v>
      </c>
      <c r="D771" s="289">
        <v>217.5</v>
      </c>
      <c r="E771" s="290"/>
      <c r="F771" s="290"/>
      <c r="G771" s="290" t="s">
        <v>883</v>
      </c>
      <c r="H771" s="291">
        <v>3</v>
      </c>
      <c r="I771" s="292">
        <v>103003</v>
      </c>
      <c r="J771" s="293">
        <v>217.5</v>
      </c>
      <c r="K771" s="294">
        <v>2</v>
      </c>
      <c r="L771" s="295">
        <f>IF(tabItens[[#This Row],[Média]] &gt; 0, tabItens[[#This Row],[QTDE ATUAL]] / tabItens[[#This Row],[Média]],999.9)</f>
        <v>999.9</v>
      </c>
      <c r="M771" s="296">
        <v>0</v>
      </c>
      <c r="N771" s="297">
        <f>tabItens[[#This Row],[VALOR UNIT.]] * tabItens[[#This Row],[LC]]</f>
        <v>0</v>
      </c>
      <c r="O771" s="298"/>
      <c r="P771" s="299"/>
      <c r="Q771" s="300"/>
      <c r="R771" s="297"/>
      <c r="S771" s="301"/>
      <c r="T771" s="302">
        <f>ROUNDDOWN(IFERROR(tabItens[[#This Row],[ATA DT.VALID.]] - $D$1,0) / 30,0)</f>
        <v>-1504</v>
      </c>
      <c r="U771" s="287" t="s">
        <v>1070</v>
      </c>
      <c r="V771" s="303">
        <v>1</v>
      </c>
      <c r="W771" s="304" t="s">
        <v>2055</v>
      </c>
      <c r="X771" s="305">
        <v>55</v>
      </c>
      <c r="Y771" s="306">
        <v>40</v>
      </c>
      <c r="Z771" s="307"/>
      <c r="AA771" s="308"/>
      <c r="AB771" s="309"/>
      <c r="AC771" s="309"/>
      <c r="AD771" s="308"/>
      <c r="AE771" s="309"/>
      <c r="AF771" s="302"/>
      <c r="AG771" s="310" t="s">
        <v>2050</v>
      </c>
      <c r="AH771" s="311"/>
      <c r="AI771" s="302">
        <v>0</v>
      </c>
      <c r="AJ771" s="311">
        <v>43763</v>
      </c>
      <c r="AK771" s="311">
        <v>42892</v>
      </c>
      <c r="AL771" s="311">
        <v>43747</v>
      </c>
      <c r="AM771" s="301"/>
      <c r="AN771" s="290"/>
      <c r="AO771" s="312" t="str">
        <f>_xlfn.IFNA(IF(VLOOKUP(tabItens[[#This Row],[CÓDIGO]],tabExcluirDoEstoque[#Data],1,FALSE),"sim",""),"")</f>
        <v/>
      </c>
      <c r="AP771" s="313" t="str">
        <f ca="1">IF(OR(ISBLANK(tabItens[[#This Row],[ATA DT.VALID.]]),tabItens[[#This Row],[ATA DT.VALID.]]="",tabItens[[#This Row],[ATA DT.VALID.]]=" "),"",IF(TYPE(tabItens[[#This Row],[ATA DT.VALID.]])=1,ROUNDUP((tabItens[[#This Row],[ATA DT.VALID.]]-TODAY())/7,0),""))</f>
        <v/>
      </c>
      <c r="AQ771" s="314"/>
      <c r="AR771" s="315" t="str">
        <f>IF(ISBLANK(tabItens[[#This Row],[CÓDIGO]]),"",IFERROR(VLOOKUP(tabItens[[#This Row],[CÓDIGO]],Consumo!$C$2:$AC$869,26,FALSE),0))</f>
        <v>01.2023</v>
      </c>
      <c r="AS771" s="316">
        <f>SUMIF(Consumo!$C$3:$C$869,tabItens[[#This Row],[CÓDIGO]],Consumo!$N$3:$N$869) + SUMIF(Consumo!$C$3:$C$869,tabItens[[#This Row],[CÓDIGO]],Consumo!$O$3:$O$869) + SUMIF(Consumo!$C$3:$C$869,tabItens[[#This Row],[CÓDIGO]],Consumo!$P$3:$P$869) + SUMIF(Consumo!$C$3:$C$869,tabItens[[#This Row],[CÓDIGO]],Consumo!$Q$3:$Q$869)</f>
        <v>0</v>
      </c>
      <c r="AT771" s="316">
        <f>SUMIF(Consumo!$C$3:$C$869,tabItens[[#This Row],[CÓDIGO]],Consumo!$Z$3:$Z$869)</f>
        <v>2</v>
      </c>
      <c r="AU771" s="317">
        <f>SUMIF(Consumo!$C$3:$C$869,tabItens[[#This Row],[CÓDIGO]],Consumo!$AA$3:$AA$869)</f>
        <v>1</v>
      </c>
      <c r="AV771" s="318">
        <f>SUMIF(Consumo!$C$3:$C$869,tabItens[[#This Row],[CÓDIGO]],Consumo!$Y$3:$Y$869)</f>
        <v>0</v>
      </c>
      <c r="AW771" s="291">
        <f>tabItens[[#This Row],[QTDE ATUAL]] + tabItens[[#This Row],[RC QTDE]] + tabItens[[#This Row],[AF SALDO]] + tabItens[[#This Row],[Recentes]]</f>
        <v>3</v>
      </c>
      <c r="AX771" s="319">
        <v>0</v>
      </c>
      <c r="AY771" s="319">
        <v>4</v>
      </c>
      <c r="AZ771" s="319">
        <f>IF(ISBLANK(tabItens[[#This Row],[CÓDIGO]]),"",tabItens[[#This Row],[PontoMês]] * (AZ$2+tabItens[[#This Row],[PontoQtM]]))</f>
        <v>0</v>
      </c>
      <c r="BA771" s="318">
        <f>tabItens[[#This Row],[PontoPed]] - tabItens[[#This Row],[Saldo]] + (1/10)</f>
        <v>-2.9</v>
      </c>
      <c r="BB771" s="318">
        <f xml:space="preserve"> tabItens[[#This Row],[PontoMês]] * BB$2 - tabItens[[#This Row],[QTDE ATUAL]] - (1/10)</f>
        <v>-3.1</v>
      </c>
      <c r="BC771" s="320">
        <f>IF( tabItens[[#This Row],[PontoPed]]&gt;0, IF(tabItens[[#This Row],[PontoPed]]&lt;1, 1, IF( tabItens[[#This Row],[Saldo]]&gt;tabItens[[#This Row],[PontoPed]], 0, (tabItens[[#This Row],[PontoPed]]-tabItens[[#This Row],[Saldo]])/tabItens[[#This Row],[PontoPed]] ) ), 0 )</f>
        <v>0</v>
      </c>
      <c r="BD771" s="321">
        <f>ROUNDDOWN(IF( OR( AND(tabItens[[#This Row],[PontoPed]]&lt;tabItens[[#This Row],[Saldo]],tabItens[[#This Row],[Saldo]]&gt;0), tabItens[[#This Row],[PontoPed]]=0), 99, IF(AND(tabItens[[#This Row],[Saldo]]=0,tabItens[[#This Row],[PontoPed]]&gt;0), 0, (1-tabItens[[#This Row],[PctAb]])*10 ) ),0)</f>
        <v>99</v>
      </c>
      <c r="BE771" s="322">
        <f>MAX(ROUNDDOWN( IF(tabItens[[#This Row],[Abaixo]] &gt; 0,   tabItens[[#This Row],[Abaixo]] + (tabItens[[#This Row],[PontoMês]] * IF( OR( ISBLANK(tabItens[[#This Row],[ATA Nº/ANO]]), tabItens[[#This Row],[ATA Nº/ANO]] = ""),BE$2,BE$1)),0),0),0)</f>
        <v>0</v>
      </c>
      <c r="BF77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23">
        <f>SUMIF(Consumo!$C$3:$C$869,tabItens[[#This Row],[CÓDIGO]],Consumo!$E$3:$E$869)</f>
        <v>0</v>
      </c>
      <c r="BH771" s="324">
        <f>IF(AND(tabItens[[#This Row],[Pend]] &gt; 0,tabItens[[#This Row],[Consumo]] &lt;&gt; 0), tabItens[[#This Row],[Pend]] / tabItens[[#This Row],[Consumo]], 0 )</f>
        <v>0</v>
      </c>
      <c r="BI771" s="323"/>
      <c r="BJ771" s="323"/>
      <c r="BK771" s="325" t="s">
        <v>2064</v>
      </c>
    </row>
    <row r="772" spans="1:63" hidden="1" x14ac:dyDescent="0.3">
      <c r="A772" s="286">
        <v>14012</v>
      </c>
      <c r="B772" s="287" t="s">
        <v>1049</v>
      </c>
      <c r="C772" s="288" t="s">
        <v>256</v>
      </c>
      <c r="D772" s="289">
        <v>0.28000000000000003</v>
      </c>
      <c r="E772" s="290"/>
      <c r="F772" s="290"/>
      <c r="G772" s="290" t="s">
        <v>883</v>
      </c>
      <c r="H772" s="291">
        <v>3516</v>
      </c>
      <c r="I772" s="292">
        <v>103003</v>
      </c>
      <c r="J772" s="293">
        <v>0.28000000000000003</v>
      </c>
      <c r="K772" s="294">
        <v>982</v>
      </c>
      <c r="L772" s="295">
        <f>IF(tabItens[[#This Row],[Média]] &gt; 0, tabItens[[#This Row],[QTDE ATUAL]] / tabItens[[#This Row],[Média]],999.9)</f>
        <v>36.278589853826311</v>
      </c>
      <c r="M772" s="296">
        <v>0</v>
      </c>
      <c r="N772" s="297">
        <f>tabItens[[#This Row],[VALOR UNIT.]] * tabItens[[#This Row],[LC]]</f>
        <v>0</v>
      </c>
      <c r="O772" s="298"/>
      <c r="P772" s="299"/>
      <c r="Q772" s="300"/>
      <c r="R772" s="297"/>
      <c r="S772" s="301"/>
      <c r="T772" s="302">
        <f>ROUNDDOWN(IFERROR(tabItens[[#This Row],[ATA DT.VALID.]] - $D$1,0) / 30,0)</f>
        <v>-1504</v>
      </c>
      <c r="U772" s="287" t="s">
        <v>1050</v>
      </c>
      <c r="V772" s="303">
        <v>1</v>
      </c>
      <c r="W772" s="304" t="s">
        <v>2055</v>
      </c>
      <c r="X772" s="305">
        <v>55</v>
      </c>
      <c r="Y772" s="306">
        <v>46</v>
      </c>
      <c r="Z772" s="307"/>
      <c r="AA772" s="308"/>
      <c r="AB772" s="309"/>
      <c r="AC772" s="309"/>
      <c r="AD772" s="308"/>
      <c r="AE772" s="309"/>
      <c r="AF772" s="302"/>
      <c r="AG772" s="310" t="s">
        <v>2050</v>
      </c>
      <c r="AH772" s="311"/>
      <c r="AI772" s="302">
        <v>398</v>
      </c>
      <c r="AJ772" s="311">
        <v>44649</v>
      </c>
      <c r="AK772" s="311" t="s">
        <v>883</v>
      </c>
      <c r="AL772" s="311">
        <v>44615</v>
      </c>
      <c r="AM772" s="301"/>
      <c r="AN772" s="290"/>
      <c r="AO772" s="312" t="str">
        <f>_xlfn.IFNA(IF(VLOOKUP(tabItens[[#This Row],[CÓDIGO]],tabExcluirDoEstoque[#Data],1,FALSE),"sim",""),"")</f>
        <v/>
      </c>
      <c r="AP772" s="313" t="str">
        <f ca="1">IF(OR(ISBLANK(tabItens[[#This Row],[ATA DT.VALID.]]),tabItens[[#This Row],[ATA DT.VALID.]]="",tabItens[[#This Row],[ATA DT.VALID.]]=" "),"",IF(TYPE(tabItens[[#This Row],[ATA DT.VALID.]])=1,ROUNDUP((tabItens[[#This Row],[ATA DT.VALID.]]-TODAY())/7,0),""))</f>
        <v/>
      </c>
      <c r="AQ772" s="314"/>
      <c r="AR772" s="315" t="str">
        <f>IF(ISBLANK(tabItens[[#This Row],[CÓDIGO]]),"",IFERROR(VLOOKUP(tabItens[[#This Row],[CÓDIGO]],Consumo!$C$2:$AC$869,26,FALSE),0))</f>
        <v>07.2023</v>
      </c>
      <c r="AS772" s="316">
        <f>SUMIF(Consumo!$C$3:$C$869,tabItens[[#This Row],[CÓDIGO]],Consumo!$N$3:$N$869) + SUMIF(Consumo!$C$3:$C$869,tabItens[[#This Row],[CÓDIGO]],Consumo!$O$3:$O$869) + SUMIF(Consumo!$C$3:$C$869,tabItens[[#This Row],[CÓDIGO]],Consumo!$P$3:$P$869) + SUMIF(Consumo!$C$3:$C$869,tabItens[[#This Row],[CÓDIGO]],Consumo!$Q$3:$Q$869)</f>
        <v>242</v>
      </c>
      <c r="AT772" s="316">
        <f>SUMIF(Consumo!$C$3:$C$869,tabItens[[#This Row],[CÓDIGO]],Consumo!$Z$3:$Z$869)</f>
        <v>1192</v>
      </c>
      <c r="AU772" s="317">
        <f>SUMIF(Consumo!$C$3:$C$869,tabItens[[#This Row],[CÓDIGO]],Consumo!$AA$3:$AA$869)</f>
        <v>316</v>
      </c>
      <c r="AV772" s="318">
        <f>SUMIF(Consumo!$C$3:$C$869,tabItens[[#This Row],[CÓDIGO]],Consumo!$Y$3:$Y$869)</f>
        <v>96.916666666666671</v>
      </c>
      <c r="AW772" s="291">
        <f>tabItens[[#This Row],[QTDE ATUAL]] + tabItens[[#This Row],[RC QTDE]] + tabItens[[#This Row],[AF SALDO]] + tabItens[[#This Row],[Recentes]]</f>
        <v>3516</v>
      </c>
      <c r="AX772" s="319">
        <v>119</v>
      </c>
      <c r="AY772" s="319">
        <v>4</v>
      </c>
      <c r="AZ772" s="319">
        <f>IF(ISBLANK(tabItens[[#This Row],[CÓDIGO]]),"",tabItens[[#This Row],[PontoMês]] * (AZ$2+tabItens[[#This Row],[PontoQtM]]))</f>
        <v>476</v>
      </c>
      <c r="BA772" s="318">
        <f>tabItens[[#This Row],[PontoPed]] - tabItens[[#This Row],[Saldo]] + (1/10)</f>
        <v>-3039.9</v>
      </c>
      <c r="BB772" s="318">
        <f xml:space="preserve"> tabItens[[#This Row],[PontoMês]] * BB$2 - tabItens[[#This Row],[QTDE ATUAL]] - (1/10)</f>
        <v>-3397.1</v>
      </c>
      <c r="BC772" s="320">
        <f>IF( tabItens[[#This Row],[PontoPed]]&gt;0, IF(tabItens[[#This Row],[PontoPed]]&lt;1, 1, IF( tabItens[[#This Row],[Saldo]]&gt;tabItens[[#This Row],[PontoPed]], 0, (tabItens[[#This Row],[PontoPed]]-tabItens[[#This Row],[Saldo]])/tabItens[[#This Row],[PontoPed]] ) ), 0 )</f>
        <v>0</v>
      </c>
      <c r="BD772" s="321">
        <f>ROUNDDOWN(IF( OR( AND(tabItens[[#This Row],[PontoPed]]&lt;tabItens[[#This Row],[Saldo]],tabItens[[#This Row],[Saldo]]&gt;0), tabItens[[#This Row],[PontoPed]]=0), 99, IF(AND(tabItens[[#This Row],[Saldo]]=0,tabItens[[#This Row],[PontoPed]]&gt;0), 0, (1-tabItens[[#This Row],[PctAb]])*10 ) ),0)</f>
        <v>99</v>
      </c>
      <c r="BE772" s="322">
        <f>MAX(ROUNDDOWN( IF(tabItens[[#This Row],[Abaixo]] &gt; 0,   tabItens[[#This Row],[Abaixo]] + (tabItens[[#This Row],[PontoMês]] * IF( OR( ISBLANK(tabItens[[#This Row],[ATA Nº/ANO]]), tabItens[[#This Row],[ATA Nº/ANO]] = ""),BE$2,BE$1)),0),0),0)</f>
        <v>0</v>
      </c>
      <c r="BF77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23">
        <f>SUMIF(Consumo!$C$3:$C$869,tabItens[[#This Row],[CÓDIGO]],Consumo!$E$3:$E$869)</f>
        <v>0</v>
      </c>
      <c r="BH772" s="324">
        <f>IF(AND(tabItens[[#This Row],[Pend]] &gt; 0,tabItens[[#This Row],[Consumo]] &lt;&gt; 0), tabItens[[#This Row],[Pend]] / tabItens[[#This Row],[Consumo]], 0 )</f>
        <v>0</v>
      </c>
      <c r="BI772" s="323"/>
      <c r="BJ772" s="323"/>
      <c r="BK772" s="325" t="s">
        <v>2064</v>
      </c>
    </row>
    <row r="773" spans="1:63" hidden="1" x14ac:dyDescent="0.3">
      <c r="A773" s="286">
        <v>95228</v>
      </c>
      <c r="B773" s="287" t="s">
        <v>1544</v>
      </c>
      <c r="C773" s="288" t="s">
        <v>256</v>
      </c>
      <c r="D773" s="289">
        <v>8.2699999999999996E-2</v>
      </c>
      <c r="E773" s="290"/>
      <c r="F773" s="290"/>
      <c r="G773" s="290" t="s">
        <v>883</v>
      </c>
      <c r="H773" s="291">
        <v>1446</v>
      </c>
      <c r="I773" s="292">
        <v>103003</v>
      </c>
      <c r="J773" s="293">
        <v>8.2699999999999996E-2</v>
      </c>
      <c r="K773" s="294">
        <v>5004</v>
      </c>
      <c r="L773" s="295">
        <f>IF(tabItens[[#This Row],[Média]] &gt; 0, tabItens[[#This Row],[QTDE ATUAL]] / tabItens[[#This Row],[Média]],999.9)</f>
        <v>3.3190512624330526</v>
      </c>
      <c r="M773" s="296"/>
      <c r="N773" s="297">
        <f>tabItens[[#This Row],[VALOR UNIT.]] * tabItens[[#This Row],[LC]]</f>
        <v>0</v>
      </c>
      <c r="O773" s="298"/>
      <c r="P773" s="299"/>
      <c r="Q773" s="300"/>
      <c r="R773" s="297"/>
      <c r="S773" s="301"/>
      <c r="T773" s="302">
        <f>ROUNDDOWN(IFERROR(tabItens[[#This Row],[ATA DT.VALID.]] - $D$1,0) / 30,0)</f>
        <v>-1504</v>
      </c>
      <c r="U773" s="287" t="s">
        <v>1050</v>
      </c>
      <c r="V773" s="303">
        <v>1</v>
      </c>
      <c r="W773" s="304" t="s">
        <v>2055</v>
      </c>
      <c r="X773" s="305">
        <v>55</v>
      </c>
      <c r="Y773" s="306">
        <v>46</v>
      </c>
      <c r="Z773" s="307">
        <v>2442</v>
      </c>
      <c r="AA773" s="308">
        <v>2023</v>
      </c>
      <c r="AB773" s="309">
        <v>1000</v>
      </c>
      <c r="AC773" s="309"/>
      <c r="AD773" s="308"/>
      <c r="AE773" s="309"/>
      <c r="AF773" s="302"/>
      <c r="AG773" s="310" t="s">
        <v>2050</v>
      </c>
      <c r="AH773" s="311"/>
      <c r="AI773" s="302">
        <v>1814</v>
      </c>
      <c r="AJ773" s="311">
        <v>44172</v>
      </c>
      <c r="AK773" s="311">
        <v>39007</v>
      </c>
      <c r="AL773" s="311">
        <v>44383</v>
      </c>
      <c r="AM773" s="301"/>
      <c r="AN773" s="290"/>
      <c r="AO773" s="312" t="str">
        <f>_xlfn.IFNA(IF(VLOOKUP(tabItens[[#This Row],[CÓDIGO]],tabExcluirDoEstoque[#Data],1,FALSE),"sim",""),"")</f>
        <v/>
      </c>
      <c r="AP773" s="313" t="str">
        <f ca="1">IF(OR(ISBLANK(tabItens[[#This Row],[ATA DT.VALID.]]),tabItens[[#This Row],[ATA DT.VALID.]]="",tabItens[[#This Row],[ATA DT.VALID.]]=" "),"",IF(TYPE(tabItens[[#This Row],[ATA DT.VALID.]])=1,ROUNDUP((tabItens[[#This Row],[ATA DT.VALID.]]-TODAY())/7,0),""))</f>
        <v/>
      </c>
      <c r="AQ773" s="314"/>
      <c r="AR773" s="315" t="str">
        <f>IF(ISBLANK(tabItens[[#This Row],[CÓDIGO]]),"",IFERROR(VLOOKUP(tabItens[[#This Row],[CÓDIGO]],Consumo!$C$2:$AC$869,26,FALSE),0))</f>
        <v>07.2023</v>
      </c>
      <c r="AS773" s="316">
        <f>SUMIF(Consumo!$C$3:$C$869,tabItens[[#This Row],[CÓDIGO]],Consumo!$N$3:$N$869) + SUMIF(Consumo!$C$3:$C$869,tabItens[[#This Row],[CÓDIGO]],Consumo!$O$3:$O$869) + SUMIF(Consumo!$C$3:$C$869,tabItens[[#This Row],[CÓDIGO]],Consumo!$P$3:$P$869) + SUMIF(Consumo!$C$3:$C$869,tabItens[[#This Row],[CÓDIGO]],Consumo!$Q$3:$Q$869)</f>
        <v>3635</v>
      </c>
      <c r="AT773" s="316">
        <f>SUMIF(Consumo!$C$3:$C$869,tabItens[[#This Row],[CÓDIGO]],Consumo!$Z$3:$Z$869)</f>
        <v>5441</v>
      </c>
      <c r="AU773" s="317">
        <f>SUMIF(Consumo!$C$3:$C$869,tabItens[[#This Row],[CÓDIGO]],Consumo!$AA$3:$AA$869)</f>
        <v>1800</v>
      </c>
      <c r="AV773" s="318">
        <f>SUMIF(Consumo!$C$3:$C$869,tabItens[[#This Row],[CÓDIGO]],Consumo!$Y$3:$Y$869)</f>
        <v>435.66666666666669</v>
      </c>
      <c r="AW773" s="291">
        <f>tabItens[[#This Row],[QTDE ATUAL]] + tabItens[[#This Row],[RC QTDE]] + tabItens[[#This Row],[AF SALDO]] + tabItens[[#This Row],[Recentes]]</f>
        <v>2446</v>
      </c>
      <c r="AX773" s="319">
        <v>75</v>
      </c>
      <c r="AY773" s="319">
        <v>4</v>
      </c>
      <c r="AZ773" s="319">
        <f>IF(ISBLANK(tabItens[[#This Row],[CÓDIGO]]),"",tabItens[[#This Row],[PontoMês]] * (AZ$2+tabItens[[#This Row],[PontoQtM]]))</f>
        <v>300</v>
      </c>
      <c r="BA773" s="318">
        <f>tabItens[[#This Row],[PontoPed]] - tabItens[[#This Row],[Saldo]] + (1/10)</f>
        <v>-2145.9</v>
      </c>
      <c r="BB773" s="318">
        <f xml:space="preserve"> tabItens[[#This Row],[PontoMês]] * BB$2 - tabItens[[#This Row],[QTDE ATUAL]] - (1/10)</f>
        <v>-1371.1</v>
      </c>
      <c r="BC773" s="320">
        <f>IF( tabItens[[#This Row],[PontoPed]]&gt;0, IF(tabItens[[#This Row],[PontoPed]]&lt;1, 1, IF( tabItens[[#This Row],[Saldo]]&gt;tabItens[[#This Row],[PontoPed]], 0, (tabItens[[#This Row],[PontoPed]]-tabItens[[#This Row],[Saldo]])/tabItens[[#This Row],[PontoPed]] ) ), 0 )</f>
        <v>0</v>
      </c>
      <c r="BD773" s="321">
        <f>ROUNDDOWN(IF( OR( AND(tabItens[[#This Row],[PontoPed]]&lt;tabItens[[#This Row],[Saldo]],tabItens[[#This Row],[Saldo]]&gt;0), tabItens[[#This Row],[PontoPed]]=0), 99, IF(AND(tabItens[[#This Row],[Saldo]]=0,tabItens[[#This Row],[PontoPed]]&gt;0), 0, (1-tabItens[[#This Row],[PctAb]])*10 ) ),0)</f>
        <v>99</v>
      </c>
      <c r="BE773" s="322">
        <f>MAX(ROUNDDOWN( IF(tabItens[[#This Row],[Abaixo]] &gt; 0,   tabItens[[#This Row],[Abaixo]] + (tabItens[[#This Row],[PontoMês]] * IF( OR( ISBLANK(tabItens[[#This Row],[ATA Nº/ANO]]), tabItens[[#This Row],[ATA Nº/ANO]] = ""),BE$2,BE$1)),0),0),0)</f>
        <v>0</v>
      </c>
      <c r="BF77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23">
        <f>SUMIF(Consumo!$C$3:$C$869,tabItens[[#This Row],[CÓDIGO]],Consumo!$E$3:$E$869)</f>
        <v>0</v>
      </c>
      <c r="BH773" s="324">
        <f>IF(AND(tabItens[[#This Row],[Pend]] &gt; 0,tabItens[[#This Row],[Consumo]] &lt;&gt; 0), tabItens[[#This Row],[Pend]] / tabItens[[#This Row],[Consumo]], 0 )</f>
        <v>0</v>
      </c>
      <c r="BI773" s="323"/>
      <c r="BJ773" s="323"/>
      <c r="BK773" s="325" t="s">
        <v>2064</v>
      </c>
    </row>
    <row r="774" spans="1:63" hidden="1" x14ac:dyDescent="0.3">
      <c r="A774" s="286">
        <v>108697</v>
      </c>
      <c r="B774" s="287" t="s">
        <v>1649</v>
      </c>
      <c r="C774" s="288" t="s">
        <v>256</v>
      </c>
      <c r="D774" s="289">
        <v>50.85</v>
      </c>
      <c r="E774" s="290"/>
      <c r="F774" s="290"/>
      <c r="G774" s="290" t="s">
        <v>883</v>
      </c>
      <c r="H774" s="291">
        <v>37</v>
      </c>
      <c r="I774" s="292">
        <v>103003</v>
      </c>
      <c r="J774" s="293">
        <v>50.85</v>
      </c>
      <c r="K774" s="294">
        <v>13</v>
      </c>
      <c r="L774" s="295">
        <f>IF(tabItens[[#This Row],[Média]] &gt; 0, tabItens[[#This Row],[QTDE ATUAL]] / tabItens[[#This Row],[Média]],999.9)</f>
        <v>37</v>
      </c>
      <c r="M774" s="296">
        <v>0</v>
      </c>
      <c r="N774" s="297">
        <f>tabItens[[#This Row],[VALOR UNIT.]] * tabItens[[#This Row],[LC]]</f>
        <v>0</v>
      </c>
      <c r="O774" s="298"/>
      <c r="P774" s="299"/>
      <c r="Q774" s="300"/>
      <c r="R774" s="297"/>
      <c r="S774" s="301"/>
      <c r="T774" s="302">
        <f>ROUNDDOWN(IFERROR(tabItens[[#This Row],[ATA DT.VALID.]] - $D$1,0) / 30,0)</f>
        <v>-1504</v>
      </c>
      <c r="U774" s="287" t="s">
        <v>1650</v>
      </c>
      <c r="V774" s="303">
        <v>1</v>
      </c>
      <c r="W774" s="304" t="s">
        <v>2055</v>
      </c>
      <c r="X774" s="305">
        <v>55</v>
      </c>
      <c r="Y774" s="306">
        <v>48</v>
      </c>
      <c r="Z774" s="307"/>
      <c r="AA774" s="308"/>
      <c r="AB774" s="309"/>
      <c r="AC774" s="309"/>
      <c r="AD774" s="308"/>
      <c r="AE774" s="309"/>
      <c r="AF774" s="302"/>
      <c r="AG774" s="310" t="s">
        <v>2050</v>
      </c>
      <c r="AH774" s="311"/>
      <c r="AI774" s="302">
        <v>4</v>
      </c>
      <c r="AJ774" s="311">
        <v>39820</v>
      </c>
      <c r="AK774" s="311">
        <v>39759</v>
      </c>
      <c r="AL774" s="311">
        <v>43402</v>
      </c>
      <c r="AM774" s="301"/>
      <c r="AN774" s="290"/>
      <c r="AO774" s="312" t="str">
        <f>_xlfn.IFNA(IF(VLOOKUP(tabItens[[#This Row],[CÓDIGO]],tabExcluirDoEstoque[#Data],1,FALSE),"sim",""),"")</f>
        <v/>
      </c>
      <c r="AP774" s="313" t="str">
        <f ca="1">IF(OR(ISBLANK(tabItens[[#This Row],[ATA DT.VALID.]]),tabItens[[#This Row],[ATA DT.VALID.]]="",tabItens[[#This Row],[ATA DT.VALID.]]=" "),"",IF(TYPE(tabItens[[#This Row],[ATA DT.VALID.]])=1,ROUNDUP((tabItens[[#This Row],[ATA DT.VALID.]]-TODAY())/7,0),""))</f>
        <v/>
      </c>
      <c r="AQ774" s="314"/>
      <c r="AR774" s="315" t="str">
        <f>IF(ISBLANK(tabItens[[#This Row],[CÓDIGO]]),"",IFERROR(VLOOKUP(tabItens[[#This Row],[CÓDIGO]],Consumo!$C$2:$AC$869,26,FALSE),0))</f>
        <v>06.2023</v>
      </c>
      <c r="AS774" s="316">
        <f>SUMIF(Consumo!$C$3:$C$869,tabItens[[#This Row],[CÓDIGO]],Consumo!$N$3:$N$869) + SUMIF(Consumo!$C$3:$C$869,tabItens[[#This Row],[CÓDIGO]],Consumo!$O$3:$O$869) + SUMIF(Consumo!$C$3:$C$869,tabItens[[#This Row],[CÓDIGO]],Consumo!$P$3:$P$869) + SUMIF(Consumo!$C$3:$C$869,tabItens[[#This Row],[CÓDIGO]],Consumo!$Q$3:$Q$869)</f>
        <v>11</v>
      </c>
      <c r="AT774" s="316">
        <f>SUMIF(Consumo!$C$3:$C$869,tabItens[[#This Row],[CÓDIGO]],Consumo!$Z$3:$Z$869)</f>
        <v>13</v>
      </c>
      <c r="AU774" s="317">
        <f>SUMIF(Consumo!$C$3:$C$869,tabItens[[#This Row],[CÓDIGO]],Consumo!$AA$3:$AA$869)</f>
        <v>6</v>
      </c>
      <c r="AV774" s="318">
        <f>SUMIF(Consumo!$C$3:$C$869,tabItens[[#This Row],[CÓDIGO]],Consumo!$Y$3:$Y$869)</f>
        <v>1</v>
      </c>
      <c r="AW774" s="291">
        <f>tabItens[[#This Row],[QTDE ATUAL]] + tabItens[[#This Row],[RC QTDE]] + tabItens[[#This Row],[AF SALDO]] + tabItens[[#This Row],[Recentes]]</f>
        <v>37</v>
      </c>
      <c r="AX774" s="319">
        <v>1</v>
      </c>
      <c r="AY774" s="319">
        <v>4</v>
      </c>
      <c r="AZ774" s="319">
        <f>IF(ISBLANK(tabItens[[#This Row],[CÓDIGO]]),"",tabItens[[#This Row],[PontoMês]] * (AZ$2+tabItens[[#This Row],[PontoQtM]]))</f>
        <v>4</v>
      </c>
      <c r="BA774" s="318">
        <f>tabItens[[#This Row],[PontoPed]] - tabItens[[#This Row],[Saldo]] + (1/10)</f>
        <v>-32.9</v>
      </c>
      <c r="BB774" s="318">
        <f xml:space="preserve"> tabItens[[#This Row],[PontoMês]] * BB$2 - tabItens[[#This Row],[QTDE ATUAL]] - (1/10)</f>
        <v>-36.1</v>
      </c>
      <c r="BC774" s="320">
        <f>IF( tabItens[[#This Row],[PontoPed]]&gt;0, IF(tabItens[[#This Row],[PontoPed]]&lt;1, 1, IF( tabItens[[#This Row],[Saldo]]&gt;tabItens[[#This Row],[PontoPed]], 0, (tabItens[[#This Row],[PontoPed]]-tabItens[[#This Row],[Saldo]])/tabItens[[#This Row],[PontoPed]] ) ), 0 )</f>
        <v>0</v>
      </c>
      <c r="BD774" s="321">
        <f>ROUNDDOWN(IF( OR( AND(tabItens[[#This Row],[PontoPed]]&lt;tabItens[[#This Row],[Saldo]],tabItens[[#This Row],[Saldo]]&gt;0), tabItens[[#This Row],[PontoPed]]=0), 99, IF(AND(tabItens[[#This Row],[Saldo]]=0,tabItens[[#This Row],[PontoPed]]&gt;0), 0, (1-tabItens[[#This Row],[PctAb]])*10 ) ),0)</f>
        <v>99</v>
      </c>
      <c r="BE774" s="322">
        <f>MAX(ROUNDDOWN( IF(tabItens[[#This Row],[Abaixo]] &gt; 0,   tabItens[[#This Row],[Abaixo]] + (tabItens[[#This Row],[PontoMês]] * IF( OR( ISBLANK(tabItens[[#This Row],[ATA Nº/ANO]]), tabItens[[#This Row],[ATA Nº/ANO]] = ""),BE$2,BE$1)),0),0),0)</f>
        <v>0</v>
      </c>
      <c r="BF77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23">
        <f>SUMIF(Consumo!$C$3:$C$869,tabItens[[#This Row],[CÓDIGO]],Consumo!$E$3:$E$869)</f>
        <v>0</v>
      </c>
      <c r="BH774" s="324">
        <f>IF(AND(tabItens[[#This Row],[Pend]] &gt; 0,tabItens[[#This Row],[Consumo]] &lt;&gt; 0), tabItens[[#This Row],[Pend]] / tabItens[[#This Row],[Consumo]], 0 )</f>
        <v>0</v>
      </c>
      <c r="BI774" s="323"/>
      <c r="BJ774" s="323"/>
      <c r="BK774" s="325" t="s">
        <v>2064</v>
      </c>
    </row>
    <row r="775" spans="1:63" hidden="1" x14ac:dyDescent="0.3">
      <c r="A775" s="286">
        <v>51222</v>
      </c>
      <c r="B775" s="287" t="s">
        <v>1298</v>
      </c>
      <c r="C775" s="288" t="s">
        <v>256</v>
      </c>
      <c r="D775" s="289">
        <v>14.25</v>
      </c>
      <c r="E775" s="290"/>
      <c r="F775" s="290"/>
      <c r="G775" s="290" t="s">
        <v>883</v>
      </c>
      <c r="H775" s="291">
        <v>81</v>
      </c>
      <c r="I775" s="292">
        <v>103003</v>
      </c>
      <c r="J775" s="293">
        <v>14.25</v>
      </c>
      <c r="K775" s="294">
        <v>10</v>
      </c>
      <c r="L775" s="295">
        <f>IF(tabItens[[#This Row],[Média]] &gt; 0, tabItens[[#This Row],[QTDE ATUAL]] / tabItens[[#This Row],[Média]],999.9)</f>
        <v>162</v>
      </c>
      <c r="M775" s="296">
        <v>0</v>
      </c>
      <c r="N775" s="297">
        <f>tabItens[[#This Row],[VALOR UNIT.]] * tabItens[[#This Row],[LC]]</f>
        <v>0</v>
      </c>
      <c r="O775" s="298"/>
      <c r="P775" s="299"/>
      <c r="Q775" s="300"/>
      <c r="R775" s="297"/>
      <c r="S775" s="301"/>
      <c r="T775" s="302">
        <f>ROUNDDOWN(IFERROR(tabItens[[#This Row],[ATA DT.VALID.]] - $D$1,0) / 30,0)</f>
        <v>-1504</v>
      </c>
      <c r="U775" s="287" t="s">
        <v>1083</v>
      </c>
      <c r="V775" s="303">
        <v>1</v>
      </c>
      <c r="W775" s="304" t="s">
        <v>2055</v>
      </c>
      <c r="X775" s="305">
        <v>55</v>
      </c>
      <c r="Y775" s="306">
        <v>49</v>
      </c>
      <c r="Z775" s="307"/>
      <c r="AA775" s="308"/>
      <c r="AB775" s="309"/>
      <c r="AC775" s="309"/>
      <c r="AD775" s="308"/>
      <c r="AE775" s="309"/>
      <c r="AF775" s="302"/>
      <c r="AG775" s="310" t="s">
        <v>2050</v>
      </c>
      <c r="AH775" s="311"/>
      <c r="AI775" s="302">
        <v>4</v>
      </c>
      <c r="AJ775" s="311">
        <v>43635</v>
      </c>
      <c r="AK775" s="311" t="s">
        <v>883</v>
      </c>
      <c r="AL775" s="311">
        <v>43623</v>
      </c>
      <c r="AM775" s="301"/>
      <c r="AN775" s="290"/>
      <c r="AO775" s="312" t="str">
        <f>_xlfn.IFNA(IF(VLOOKUP(tabItens[[#This Row],[CÓDIGO]],tabExcluirDoEstoque[#Data],1,FALSE),"sim",""),"")</f>
        <v/>
      </c>
      <c r="AP775" s="313" t="str">
        <f ca="1">IF(OR(ISBLANK(tabItens[[#This Row],[ATA DT.VALID.]]),tabItens[[#This Row],[ATA DT.VALID.]]="",tabItens[[#This Row],[ATA DT.VALID.]]=" "),"",IF(TYPE(tabItens[[#This Row],[ATA DT.VALID.]])=1,ROUNDUP((tabItens[[#This Row],[ATA DT.VALID.]]-TODAY())/7,0),""))</f>
        <v/>
      </c>
      <c r="AQ775" s="314"/>
      <c r="AR775" s="315" t="str">
        <f>IF(ISBLANK(tabItens[[#This Row],[CÓDIGO]]),"",IFERROR(VLOOKUP(tabItens[[#This Row],[CÓDIGO]],Consumo!$C$2:$AC$869,26,FALSE),0))</f>
        <v>01.2023</v>
      </c>
      <c r="AS775" s="316">
        <f>SUMIF(Consumo!$C$3:$C$869,tabItens[[#This Row],[CÓDIGO]],Consumo!$N$3:$N$869) + SUMIF(Consumo!$C$3:$C$869,tabItens[[#This Row],[CÓDIGO]],Consumo!$O$3:$O$869) + SUMIF(Consumo!$C$3:$C$869,tabItens[[#This Row],[CÓDIGO]],Consumo!$P$3:$P$869) + SUMIF(Consumo!$C$3:$C$869,tabItens[[#This Row],[CÓDIGO]],Consumo!$Q$3:$Q$869)</f>
        <v>0</v>
      </c>
      <c r="AT775" s="316">
        <f>SUMIF(Consumo!$C$3:$C$869,tabItens[[#This Row],[CÓDIGO]],Consumo!$Z$3:$Z$869)</f>
        <v>10</v>
      </c>
      <c r="AU775" s="317">
        <f>SUMIF(Consumo!$C$3:$C$869,tabItens[[#This Row],[CÓDIGO]],Consumo!$AA$3:$AA$869)</f>
        <v>10</v>
      </c>
      <c r="AV775" s="318">
        <f>SUMIF(Consumo!$C$3:$C$869,tabItens[[#This Row],[CÓDIGO]],Consumo!$Y$3:$Y$869)</f>
        <v>0.5</v>
      </c>
      <c r="AW775" s="291">
        <f>tabItens[[#This Row],[QTDE ATUAL]] + tabItens[[#This Row],[RC QTDE]] + tabItens[[#This Row],[AF SALDO]] + tabItens[[#This Row],[Recentes]]</f>
        <v>81</v>
      </c>
      <c r="AX775" s="319">
        <v>2</v>
      </c>
      <c r="AY775" s="319">
        <v>4</v>
      </c>
      <c r="AZ775" s="319">
        <f>IF(ISBLANK(tabItens[[#This Row],[CÓDIGO]]),"",tabItens[[#This Row],[PontoMês]] * (AZ$2+tabItens[[#This Row],[PontoQtM]]))</f>
        <v>8</v>
      </c>
      <c r="BA775" s="318">
        <f>tabItens[[#This Row],[PontoPed]] - tabItens[[#This Row],[Saldo]] + (1/10)</f>
        <v>-72.900000000000006</v>
      </c>
      <c r="BB775" s="318">
        <f xml:space="preserve"> tabItens[[#This Row],[PontoMês]] * BB$2 - tabItens[[#This Row],[QTDE ATUAL]] - (1/10)</f>
        <v>-79.099999999999994</v>
      </c>
      <c r="BC775" s="320">
        <f>IF( tabItens[[#This Row],[PontoPed]]&gt;0, IF(tabItens[[#This Row],[PontoPed]]&lt;1, 1, IF( tabItens[[#This Row],[Saldo]]&gt;tabItens[[#This Row],[PontoPed]], 0, (tabItens[[#This Row],[PontoPed]]-tabItens[[#This Row],[Saldo]])/tabItens[[#This Row],[PontoPed]] ) ), 0 )</f>
        <v>0</v>
      </c>
      <c r="BD775" s="321">
        <f>ROUNDDOWN(IF( OR( AND(tabItens[[#This Row],[PontoPed]]&lt;tabItens[[#This Row],[Saldo]],tabItens[[#This Row],[Saldo]]&gt;0), tabItens[[#This Row],[PontoPed]]=0), 99, IF(AND(tabItens[[#This Row],[Saldo]]=0,tabItens[[#This Row],[PontoPed]]&gt;0), 0, (1-tabItens[[#This Row],[PctAb]])*10 ) ),0)</f>
        <v>99</v>
      </c>
      <c r="BE775" s="322">
        <f>MAX(ROUNDDOWN( IF(tabItens[[#This Row],[Abaixo]] &gt; 0,   tabItens[[#This Row],[Abaixo]] + (tabItens[[#This Row],[PontoMês]] * IF( OR( ISBLANK(tabItens[[#This Row],[ATA Nº/ANO]]), tabItens[[#This Row],[ATA Nº/ANO]] = ""),BE$2,BE$1)),0),0),0)</f>
        <v>0</v>
      </c>
      <c r="BF77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23">
        <f>SUMIF(Consumo!$C$3:$C$869,tabItens[[#This Row],[CÓDIGO]],Consumo!$E$3:$E$869)</f>
        <v>0</v>
      </c>
      <c r="BH775" s="324">
        <f>IF(AND(tabItens[[#This Row],[Pend]] &gt; 0,tabItens[[#This Row],[Consumo]] &lt;&gt; 0), tabItens[[#This Row],[Pend]] / tabItens[[#This Row],[Consumo]], 0 )</f>
        <v>0</v>
      </c>
      <c r="BI775" s="323"/>
      <c r="BJ775" s="323"/>
      <c r="BK775" s="325" t="s">
        <v>2064</v>
      </c>
    </row>
    <row r="776" spans="1:63" hidden="1" x14ac:dyDescent="0.3">
      <c r="A776" s="286">
        <v>105259</v>
      </c>
      <c r="B776" s="287" t="s">
        <v>1610</v>
      </c>
      <c r="C776" s="288" t="s">
        <v>281</v>
      </c>
      <c r="D776" s="289">
        <v>90.87</v>
      </c>
      <c r="E776" s="290"/>
      <c r="F776" s="290"/>
      <c r="G776" s="290" t="s">
        <v>883</v>
      </c>
      <c r="H776" s="291">
        <v>1323</v>
      </c>
      <c r="I776" s="292">
        <v>103003</v>
      </c>
      <c r="J776" s="293">
        <v>90.87</v>
      </c>
      <c r="K776" s="294">
        <v>3624</v>
      </c>
      <c r="L776" s="295">
        <f>IF(tabItens[[#This Row],[Média]] &gt; 0, tabItens[[#This Row],[QTDE ATUAL]] / tabItens[[#This Row],[Média]],999.9)</f>
        <v>4.9768025078369913</v>
      </c>
      <c r="M776" s="296">
        <v>0</v>
      </c>
      <c r="N776" s="297">
        <f>tabItens[[#This Row],[VALOR UNIT.]] * tabItens[[#This Row],[LC]]</f>
        <v>0</v>
      </c>
      <c r="O776" s="298"/>
      <c r="P776" s="299"/>
      <c r="Q776" s="300"/>
      <c r="R776" s="297"/>
      <c r="S776" s="301"/>
      <c r="T776" s="302">
        <f>ROUNDDOWN(IFERROR(tabItens[[#This Row],[ATA DT.VALID.]] - $D$1,0) / 30,0)</f>
        <v>-1504</v>
      </c>
      <c r="U776" s="287" t="s">
        <v>1611</v>
      </c>
      <c r="V776" s="303">
        <v>1</v>
      </c>
      <c r="W776" s="304" t="s">
        <v>2051</v>
      </c>
      <c r="X776" s="305">
        <v>57</v>
      </c>
      <c r="Y776" s="306">
        <v>3</v>
      </c>
      <c r="Z776" s="307">
        <v>6216</v>
      </c>
      <c r="AA776" s="308">
        <v>2023</v>
      </c>
      <c r="AB776" s="309">
        <v>500</v>
      </c>
      <c r="AC776" s="309"/>
      <c r="AD776" s="308"/>
      <c r="AE776" s="309"/>
      <c r="AF776" s="302"/>
      <c r="AG776" s="310" t="s">
        <v>2050</v>
      </c>
      <c r="AH776" s="311"/>
      <c r="AI776" s="302">
        <v>1668</v>
      </c>
      <c r="AJ776" s="311">
        <v>44957</v>
      </c>
      <c r="AK776" s="311">
        <v>39505</v>
      </c>
      <c r="AL776" s="311">
        <v>45070</v>
      </c>
      <c r="AM776" s="301"/>
      <c r="AN776" s="290"/>
      <c r="AO776" s="312" t="str">
        <f>_xlfn.IFNA(IF(VLOOKUP(tabItens[[#This Row],[CÓDIGO]],tabExcluirDoEstoque[#Data],1,FALSE),"sim",""),"")</f>
        <v/>
      </c>
      <c r="AP776" s="313" t="str">
        <f ca="1">IF(OR(ISBLANK(tabItens[[#This Row],[ATA DT.VALID.]]),tabItens[[#This Row],[ATA DT.VALID.]]="",tabItens[[#This Row],[ATA DT.VALID.]]=" "),"",IF(TYPE(tabItens[[#This Row],[ATA DT.VALID.]])=1,ROUNDUP((tabItens[[#This Row],[ATA DT.VALID.]]-TODAY())/7,0),""))</f>
        <v/>
      </c>
      <c r="AQ776" s="314"/>
      <c r="AR776" s="315" t="str">
        <f>IF(ISBLANK(tabItens[[#This Row],[CÓDIGO]]),"",IFERROR(VLOOKUP(tabItens[[#This Row],[CÓDIGO]],Consumo!$C$2:$AC$869,26,FALSE),0))</f>
        <v>07.2023</v>
      </c>
      <c r="AS776" s="316">
        <f>SUMIF(Consumo!$C$3:$C$869,tabItens[[#This Row],[CÓDIGO]],Consumo!$N$3:$N$869) + SUMIF(Consumo!$C$3:$C$869,tabItens[[#This Row],[CÓDIGO]],Consumo!$O$3:$O$869) + SUMIF(Consumo!$C$3:$C$869,tabItens[[#This Row],[CÓDIGO]],Consumo!$P$3:$P$869) + SUMIF(Consumo!$C$3:$C$869,tabItens[[#This Row],[CÓDIGO]],Consumo!$Q$3:$Q$869)</f>
        <v>463</v>
      </c>
      <c r="AT776" s="316">
        <f>SUMIF(Consumo!$C$3:$C$869,tabItens[[#This Row],[CÓDIGO]],Consumo!$Z$3:$Z$869)</f>
        <v>4232</v>
      </c>
      <c r="AU776" s="317">
        <f>SUMIF(Consumo!$C$3:$C$869,tabItens[[#This Row],[CÓDIGO]],Consumo!$AA$3:$AA$869)</f>
        <v>3007</v>
      </c>
      <c r="AV776" s="318">
        <f>SUMIF(Consumo!$C$3:$C$869,tabItens[[#This Row],[CÓDIGO]],Consumo!$Y$3:$Y$869)</f>
        <v>265.83333333333331</v>
      </c>
      <c r="AW776" s="291">
        <f>tabItens[[#This Row],[QTDE ATUAL]] + tabItens[[#This Row],[RC QTDE]] + tabItens[[#This Row],[AF SALDO]] + tabItens[[#This Row],[Recentes]]</f>
        <v>1823</v>
      </c>
      <c r="AX776" s="319">
        <v>408</v>
      </c>
      <c r="AY776" s="319">
        <v>4</v>
      </c>
      <c r="AZ776" s="319">
        <f>IF(ISBLANK(tabItens[[#This Row],[CÓDIGO]]),"",tabItens[[#This Row],[PontoMês]] * (AZ$2+tabItens[[#This Row],[PontoQtM]]))</f>
        <v>1632</v>
      </c>
      <c r="BA776" s="318">
        <f>tabItens[[#This Row],[PontoPed]] - tabItens[[#This Row],[Saldo]] + (1/10)</f>
        <v>-190.9</v>
      </c>
      <c r="BB776" s="318">
        <f xml:space="preserve"> tabItens[[#This Row],[PontoMês]] * BB$2 - tabItens[[#This Row],[QTDE ATUAL]] - (1/10)</f>
        <v>-915.1</v>
      </c>
      <c r="BC776" s="320">
        <f>IF( tabItens[[#This Row],[PontoPed]]&gt;0, IF(tabItens[[#This Row],[PontoPed]]&lt;1, 1, IF( tabItens[[#This Row],[Saldo]]&gt;tabItens[[#This Row],[PontoPed]], 0, (tabItens[[#This Row],[PontoPed]]-tabItens[[#This Row],[Saldo]])/tabItens[[#This Row],[PontoPed]] ) ), 0 )</f>
        <v>0</v>
      </c>
      <c r="BD776" s="321">
        <f>ROUNDDOWN(IF( OR( AND(tabItens[[#This Row],[PontoPed]]&lt;tabItens[[#This Row],[Saldo]],tabItens[[#This Row],[Saldo]]&gt;0), tabItens[[#This Row],[PontoPed]]=0), 99, IF(AND(tabItens[[#This Row],[Saldo]]=0,tabItens[[#This Row],[PontoPed]]&gt;0), 0, (1-tabItens[[#This Row],[PctAb]])*10 ) ),0)</f>
        <v>99</v>
      </c>
      <c r="BE776" s="322">
        <f>MAX(ROUNDDOWN( IF(tabItens[[#This Row],[Abaixo]] &gt; 0,   tabItens[[#This Row],[Abaixo]] + (tabItens[[#This Row],[PontoMês]] * IF( OR( ISBLANK(tabItens[[#This Row],[ATA Nº/ANO]]), tabItens[[#This Row],[ATA Nº/ANO]] = ""),BE$2,BE$1)),0),0),0)</f>
        <v>0</v>
      </c>
      <c r="BF77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23">
        <f>SUMIF(Consumo!$C$3:$C$869,tabItens[[#This Row],[CÓDIGO]],Consumo!$E$3:$E$869)</f>
        <v>8</v>
      </c>
      <c r="BH776" s="324">
        <f>IF(AND(tabItens[[#This Row],[Pend]] &gt; 0,tabItens[[#This Row],[Consumo]] &lt;&gt; 0), tabItens[[#This Row],[Pend]] / tabItens[[#This Row],[Consumo]], 0 )</f>
        <v>1.890359168241966E-3</v>
      </c>
      <c r="BI776" s="323"/>
      <c r="BJ776" s="323"/>
      <c r="BK776" s="325" t="s">
        <v>2064</v>
      </c>
    </row>
    <row r="777" spans="1:63" hidden="1" x14ac:dyDescent="0.3">
      <c r="A777" s="286">
        <v>72222</v>
      </c>
      <c r="B777" s="287" t="s">
        <v>1401</v>
      </c>
      <c r="C777" s="288" t="s">
        <v>268</v>
      </c>
      <c r="D777" s="289">
        <v>7.34</v>
      </c>
      <c r="E777" s="290"/>
      <c r="F777" s="290"/>
      <c r="G777" s="290" t="s">
        <v>883</v>
      </c>
      <c r="H777" s="291">
        <v>1624</v>
      </c>
      <c r="I777" s="292">
        <v>103003</v>
      </c>
      <c r="J777" s="293">
        <v>7.34</v>
      </c>
      <c r="K777" s="294">
        <v>149</v>
      </c>
      <c r="L777" s="295">
        <f>IF(tabItens[[#This Row],[Média]] &gt; 0, tabItens[[#This Row],[QTDE ATUAL]] / tabItens[[#This Row],[Média]],999.9)</f>
        <v>92.8</v>
      </c>
      <c r="M777" s="296">
        <v>0</v>
      </c>
      <c r="N777" s="297">
        <f>tabItens[[#This Row],[VALOR UNIT.]] * tabItens[[#This Row],[LC]]</f>
        <v>0</v>
      </c>
      <c r="O777" s="298"/>
      <c r="P777" s="299"/>
      <c r="Q777" s="300"/>
      <c r="R777" s="297"/>
      <c r="S777" s="301"/>
      <c r="T777" s="302">
        <f>ROUNDDOWN(IFERROR(tabItens[[#This Row],[ATA DT.VALID.]] - $D$1,0) / 30,0)</f>
        <v>-1504</v>
      </c>
      <c r="U777" s="287" t="s">
        <v>1402</v>
      </c>
      <c r="V777" s="303">
        <v>1</v>
      </c>
      <c r="W777" s="304" t="s">
        <v>2052</v>
      </c>
      <c r="X777" s="305">
        <v>57</v>
      </c>
      <c r="Y777" s="306">
        <v>6</v>
      </c>
      <c r="Z777" s="307"/>
      <c r="AA777" s="308"/>
      <c r="AB777" s="309"/>
      <c r="AC777" s="309"/>
      <c r="AD777" s="308"/>
      <c r="AE777" s="309"/>
      <c r="AF777" s="302"/>
      <c r="AG777" s="310" t="s">
        <v>2050</v>
      </c>
      <c r="AH777" s="311"/>
      <c r="AI777" s="302">
        <v>72</v>
      </c>
      <c r="AJ777" s="311">
        <v>43622</v>
      </c>
      <c r="AK777" s="311" t="s">
        <v>883</v>
      </c>
      <c r="AL777" s="311">
        <v>43608</v>
      </c>
      <c r="AM777" s="301"/>
      <c r="AN777" s="290"/>
      <c r="AO777" s="312" t="str">
        <f>_xlfn.IFNA(IF(VLOOKUP(tabItens[[#This Row],[CÓDIGO]],tabExcluirDoEstoque[#Data],1,FALSE),"sim",""),"")</f>
        <v/>
      </c>
      <c r="AP777" s="313" t="str">
        <f ca="1">IF(OR(ISBLANK(tabItens[[#This Row],[ATA DT.VALID.]]),tabItens[[#This Row],[ATA DT.VALID.]]="",tabItens[[#This Row],[ATA DT.VALID.]]=" "),"",IF(TYPE(tabItens[[#This Row],[ATA DT.VALID.]])=1,ROUNDUP((tabItens[[#This Row],[ATA DT.VALID.]]-TODAY())/7,0),""))</f>
        <v/>
      </c>
      <c r="AQ777" s="314"/>
      <c r="AR777" s="315" t="str">
        <f>IF(ISBLANK(tabItens[[#This Row],[CÓDIGO]]),"",IFERROR(VLOOKUP(tabItens[[#This Row],[CÓDIGO]],Consumo!$C$2:$AC$869,26,FALSE),0))</f>
        <v>07.2023</v>
      </c>
      <c r="AS777" s="316">
        <f>SUMIF(Consumo!$C$3:$C$869,tabItens[[#This Row],[CÓDIGO]],Consumo!$N$3:$N$869) + SUMIF(Consumo!$C$3:$C$869,tabItens[[#This Row],[CÓDIGO]],Consumo!$O$3:$O$869) + SUMIF(Consumo!$C$3:$C$869,tabItens[[#This Row],[CÓDIGO]],Consumo!$P$3:$P$869) + SUMIF(Consumo!$C$3:$C$869,tabItens[[#This Row],[CÓDIGO]],Consumo!$Q$3:$Q$869)</f>
        <v>81</v>
      </c>
      <c r="AT777" s="316">
        <f>SUMIF(Consumo!$C$3:$C$869,tabItens[[#This Row],[CÓDIGO]],Consumo!$Z$3:$Z$869)</f>
        <v>216</v>
      </c>
      <c r="AU777" s="317">
        <f>SUMIF(Consumo!$C$3:$C$869,tabItens[[#This Row],[CÓDIGO]],Consumo!$AA$3:$AA$869)</f>
        <v>44</v>
      </c>
      <c r="AV777" s="318">
        <f>SUMIF(Consumo!$C$3:$C$869,tabItens[[#This Row],[CÓDIGO]],Consumo!$Y$3:$Y$869)</f>
        <v>17.5</v>
      </c>
      <c r="AW777" s="291">
        <f>tabItens[[#This Row],[QTDE ATUAL]] + tabItens[[#This Row],[RC QTDE]] + tabItens[[#This Row],[AF SALDO]] + tabItens[[#This Row],[Recentes]]</f>
        <v>1624</v>
      </c>
      <c r="AX777" s="319">
        <v>18</v>
      </c>
      <c r="AY777" s="319">
        <v>4</v>
      </c>
      <c r="AZ777" s="319">
        <f>IF(ISBLANK(tabItens[[#This Row],[CÓDIGO]]),"",tabItens[[#This Row],[PontoMês]] * (AZ$2+tabItens[[#This Row],[PontoQtM]]))</f>
        <v>72</v>
      </c>
      <c r="BA777" s="318">
        <f>tabItens[[#This Row],[PontoPed]] - tabItens[[#This Row],[Saldo]] + (1/10)</f>
        <v>-1551.9</v>
      </c>
      <c r="BB777" s="318">
        <f xml:space="preserve"> tabItens[[#This Row],[PontoMês]] * BB$2 - tabItens[[#This Row],[QTDE ATUAL]] - (1/10)</f>
        <v>-1606.1</v>
      </c>
      <c r="BC777" s="320">
        <f>IF( tabItens[[#This Row],[PontoPed]]&gt;0, IF(tabItens[[#This Row],[PontoPed]]&lt;1, 1, IF( tabItens[[#This Row],[Saldo]]&gt;tabItens[[#This Row],[PontoPed]], 0, (tabItens[[#This Row],[PontoPed]]-tabItens[[#This Row],[Saldo]])/tabItens[[#This Row],[PontoPed]] ) ), 0 )</f>
        <v>0</v>
      </c>
      <c r="BD777" s="321">
        <f>ROUNDDOWN(IF( OR( AND(tabItens[[#This Row],[PontoPed]]&lt;tabItens[[#This Row],[Saldo]],tabItens[[#This Row],[Saldo]]&gt;0), tabItens[[#This Row],[PontoPed]]=0), 99, IF(AND(tabItens[[#This Row],[Saldo]]=0,tabItens[[#This Row],[PontoPed]]&gt;0), 0, (1-tabItens[[#This Row],[PctAb]])*10 ) ),0)</f>
        <v>99</v>
      </c>
      <c r="BE777" s="322">
        <f>MAX(ROUNDDOWN( IF(tabItens[[#This Row],[Abaixo]] &gt; 0,   tabItens[[#This Row],[Abaixo]] + (tabItens[[#This Row],[PontoMês]] * IF( OR( ISBLANK(tabItens[[#This Row],[ATA Nº/ANO]]), tabItens[[#This Row],[ATA Nº/ANO]] = ""),BE$2,BE$1)),0),0),0)</f>
        <v>0</v>
      </c>
      <c r="BF77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23">
        <f>SUMIF(Consumo!$C$3:$C$869,tabItens[[#This Row],[CÓDIGO]],Consumo!$E$3:$E$869)</f>
        <v>0</v>
      </c>
      <c r="BH777" s="324">
        <f>IF(AND(tabItens[[#This Row],[Pend]] &gt; 0,tabItens[[#This Row],[Consumo]] &lt;&gt; 0), tabItens[[#This Row],[Pend]] / tabItens[[#This Row],[Consumo]], 0 )</f>
        <v>0</v>
      </c>
      <c r="BI777" s="323"/>
      <c r="BJ777" s="323"/>
      <c r="BK777" s="325" t="s">
        <v>2064</v>
      </c>
    </row>
    <row r="778" spans="1:63" hidden="1" x14ac:dyDescent="0.3">
      <c r="A778" s="286">
        <v>132405</v>
      </c>
      <c r="B778" s="287" t="s">
        <v>1823</v>
      </c>
      <c r="C778" s="288" t="s">
        <v>268</v>
      </c>
      <c r="D778" s="289">
        <v>4.9000000000000004</v>
      </c>
      <c r="E778" s="290"/>
      <c r="F778" s="290"/>
      <c r="G778" s="290" t="s">
        <v>883</v>
      </c>
      <c r="H778" s="291">
        <v>2281</v>
      </c>
      <c r="I778" s="292">
        <v>103003</v>
      </c>
      <c r="J778" s="293">
        <v>4.9000000000000004</v>
      </c>
      <c r="K778" s="294">
        <v>126</v>
      </c>
      <c r="L778" s="295">
        <f>IF(tabItens[[#This Row],[Média]] &gt; 0, tabItens[[#This Row],[QTDE ATUAL]] / tabItens[[#This Row],[Média]],999.9)</f>
        <v>151.22651933701655</v>
      </c>
      <c r="M778" s="296">
        <v>0</v>
      </c>
      <c r="N778" s="297">
        <f>tabItens[[#This Row],[VALOR UNIT.]] * tabItens[[#This Row],[LC]]</f>
        <v>0</v>
      </c>
      <c r="O778" s="298"/>
      <c r="P778" s="299"/>
      <c r="Q778" s="300"/>
      <c r="R778" s="297"/>
      <c r="S778" s="301"/>
      <c r="T778" s="302">
        <f>ROUNDDOWN(IFERROR(tabItens[[#This Row],[ATA DT.VALID.]] - $D$1,0) / 30,0)</f>
        <v>-1504</v>
      </c>
      <c r="U778" s="287" t="s">
        <v>1402</v>
      </c>
      <c r="V778" s="303">
        <v>1</v>
      </c>
      <c r="W778" s="304" t="s">
        <v>2052</v>
      </c>
      <c r="X778" s="305">
        <v>57</v>
      </c>
      <c r="Y778" s="306">
        <v>6</v>
      </c>
      <c r="Z778" s="307"/>
      <c r="AA778" s="308"/>
      <c r="AB778" s="309"/>
      <c r="AC778" s="309"/>
      <c r="AD778" s="308"/>
      <c r="AE778" s="309"/>
      <c r="AF778" s="302"/>
      <c r="AG778" s="310" t="s">
        <v>2050</v>
      </c>
      <c r="AH778" s="311"/>
      <c r="AI778" s="302">
        <v>60</v>
      </c>
      <c r="AJ778" s="311">
        <v>43628</v>
      </c>
      <c r="AK778" s="311">
        <v>42773</v>
      </c>
      <c r="AL778" s="311">
        <v>43607</v>
      </c>
      <c r="AM778" s="301"/>
      <c r="AN778" s="290"/>
      <c r="AO778" s="312" t="str">
        <f>_xlfn.IFNA(IF(VLOOKUP(tabItens[[#This Row],[CÓDIGO]],tabExcluirDoEstoque[#Data],1,FALSE),"sim",""),"")</f>
        <v/>
      </c>
      <c r="AP778" s="313" t="str">
        <f ca="1">IF(OR(ISBLANK(tabItens[[#This Row],[ATA DT.VALID.]]),tabItens[[#This Row],[ATA DT.VALID.]]="",tabItens[[#This Row],[ATA DT.VALID.]]=" "),"",IF(TYPE(tabItens[[#This Row],[ATA DT.VALID.]])=1,ROUNDUP((tabItens[[#This Row],[ATA DT.VALID.]]-TODAY())/7,0),""))</f>
        <v/>
      </c>
      <c r="AQ778" s="314"/>
      <c r="AR778" s="315" t="str">
        <f>IF(ISBLANK(tabItens[[#This Row],[CÓDIGO]]),"",IFERROR(VLOOKUP(tabItens[[#This Row],[CÓDIGO]],Consumo!$C$2:$AC$869,26,FALSE),0))</f>
        <v>07.2023</v>
      </c>
      <c r="AS778" s="316">
        <f>SUMIF(Consumo!$C$3:$C$869,tabItens[[#This Row],[CÓDIGO]],Consumo!$N$3:$N$869) + SUMIF(Consumo!$C$3:$C$869,tabItens[[#This Row],[CÓDIGO]],Consumo!$O$3:$O$869) + SUMIF(Consumo!$C$3:$C$869,tabItens[[#This Row],[CÓDIGO]],Consumo!$P$3:$P$869) + SUMIF(Consumo!$C$3:$C$869,tabItens[[#This Row],[CÓDIGO]],Consumo!$Q$3:$Q$869)</f>
        <v>77</v>
      </c>
      <c r="AT778" s="316">
        <f>SUMIF(Consumo!$C$3:$C$869,tabItens[[#This Row],[CÓDIGO]],Consumo!$Z$3:$Z$869)</f>
        <v>182</v>
      </c>
      <c r="AU778" s="317">
        <f>SUMIF(Consumo!$C$3:$C$869,tabItens[[#This Row],[CÓDIGO]],Consumo!$AA$3:$AA$869)</f>
        <v>31</v>
      </c>
      <c r="AV778" s="318">
        <f>SUMIF(Consumo!$C$3:$C$869,tabItens[[#This Row],[CÓDIGO]],Consumo!$Y$3:$Y$869)</f>
        <v>15.083333333333334</v>
      </c>
      <c r="AW778" s="291">
        <f>tabItens[[#This Row],[QTDE ATUAL]] + tabItens[[#This Row],[RC QTDE]] + tabItens[[#This Row],[AF SALDO]] + tabItens[[#This Row],[Recentes]]</f>
        <v>2281</v>
      </c>
      <c r="AX778" s="319">
        <v>16</v>
      </c>
      <c r="AY778" s="319">
        <v>4</v>
      </c>
      <c r="AZ778" s="319">
        <f>IF(ISBLANK(tabItens[[#This Row],[CÓDIGO]]),"",tabItens[[#This Row],[PontoMês]] * (AZ$2+tabItens[[#This Row],[PontoQtM]]))</f>
        <v>64</v>
      </c>
      <c r="BA778" s="318">
        <f>tabItens[[#This Row],[PontoPed]] - tabItens[[#This Row],[Saldo]] + (1/10)</f>
        <v>-2216.9</v>
      </c>
      <c r="BB778" s="318">
        <f xml:space="preserve"> tabItens[[#This Row],[PontoMês]] * BB$2 - tabItens[[#This Row],[QTDE ATUAL]] - (1/10)</f>
        <v>-2265.1</v>
      </c>
      <c r="BC778" s="320">
        <f>IF( tabItens[[#This Row],[PontoPed]]&gt;0, IF(tabItens[[#This Row],[PontoPed]]&lt;1, 1, IF( tabItens[[#This Row],[Saldo]]&gt;tabItens[[#This Row],[PontoPed]], 0, (tabItens[[#This Row],[PontoPed]]-tabItens[[#This Row],[Saldo]])/tabItens[[#This Row],[PontoPed]] ) ), 0 )</f>
        <v>0</v>
      </c>
      <c r="BD778" s="321">
        <f>ROUNDDOWN(IF( OR( AND(tabItens[[#This Row],[PontoPed]]&lt;tabItens[[#This Row],[Saldo]],tabItens[[#This Row],[Saldo]]&gt;0), tabItens[[#This Row],[PontoPed]]=0), 99, IF(AND(tabItens[[#This Row],[Saldo]]=0,tabItens[[#This Row],[PontoPed]]&gt;0), 0, (1-tabItens[[#This Row],[PctAb]])*10 ) ),0)</f>
        <v>99</v>
      </c>
      <c r="BE778" s="322">
        <f>MAX(ROUNDDOWN( IF(tabItens[[#This Row],[Abaixo]] &gt; 0,   tabItens[[#This Row],[Abaixo]] + (tabItens[[#This Row],[PontoMês]] * IF( OR( ISBLANK(tabItens[[#This Row],[ATA Nº/ANO]]), tabItens[[#This Row],[ATA Nº/ANO]] = ""),BE$2,BE$1)),0),0),0)</f>
        <v>0</v>
      </c>
      <c r="BF77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23">
        <f>SUMIF(Consumo!$C$3:$C$869,tabItens[[#This Row],[CÓDIGO]],Consumo!$E$3:$E$869)</f>
        <v>0</v>
      </c>
      <c r="BH778" s="324">
        <f>IF(AND(tabItens[[#This Row],[Pend]] &gt; 0,tabItens[[#This Row],[Consumo]] &lt;&gt; 0), tabItens[[#This Row],[Pend]] / tabItens[[#This Row],[Consumo]], 0 )</f>
        <v>0</v>
      </c>
      <c r="BI778" s="323"/>
      <c r="BJ778" s="323"/>
      <c r="BK778" s="325" t="s">
        <v>2064</v>
      </c>
    </row>
    <row r="779" spans="1:63" hidden="1" x14ac:dyDescent="0.3">
      <c r="A779" s="286">
        <v>132407</v>
      </c>
      <c r="B779" s="287" t="s">
        <v>1824</v>
      </c>
      <c r="C779" s="288" t="s">
        <v>268</v>
      </c>
      <c r="D779" s="289">
        <v>9.4700000000000006</v>
      </c>
      <c r="E779" s="290"/>
      <c r="F779" s="290"/>
      <c r="G779" s="290" t="s">
        <v>883</v>
      </c>
      <c r="H779" s="291">
        <v>2290</v>
      </c>
      <c r="I779" s="292">
        <v>103003</v>
      </c>
      <c r="J779" s="293">
        <v>9.4700000000000006</v>
      </c>
      <c r="K779" s="294">
        <v>126</v>
      </c>
      <c r="L779" s="295">
        <f>IF(tabItens[[#This Row],[Média]] &gt; 0, tabItens[[#This Row],[QTDE ATUAL]] / tabItens[[#This Row],[Média]],999.9)</f>
        <v>162.60355029585799</v>
      </c>
      <c r="M779" s="296">
        <v>0</v>
      </c>
      <c r="N779" s="297">
        <f>tabItens[[#This Row],[VALOR UNIT.]] * tabItens[[#This Row],[LC]]</f>
        <v>0</v>
      </c>
      <c r="O779" s="298"/>
      <c r="P779" s="299"/>
      <c r="Q779" s="300"/>
      <c r="R779" s="297"/>
      <c r="S779" s="301"/>
      <c r="T779" s="302">
        <f>ROUNDDOWN(IFERROR(tabItens[[#This Row],[ATA DT.VALID.]] - $D$1,0) / 30,0)</f>
        <v>-1504</v>
      </c>
      <c r="U779" s="287" t="s">
        <v>1402</v>
      </c>
      <c r="V779" s="303">
        <v>1</v>
      </c>
      <c r="W779" s="304" t="s">
        <v>2052</v>
      </c>
      <c r="X779" s="305">
        <v>57</v>
      </c>
      <c r="Y779" s="306">
        <v>6</v>
      </c>
      <c r="Z779" s="307"/>
      <c r="AA779" s="308"/>
      <c r="AB779" s="309"/>
      <c r="AC779" s="309"/>
      <c r="AD779" s="308"/>
      <c r="AE779" s="309"/>
      <c r="AF779" s="302"/>
      <c r="AG779" s="310" t="s">
        <v>2050</v>
      </c>
      <c r="AH779" s="311"/>
      <c r="AI779" s="302">
        <v>58</v>
      </c>
      <c r="AJ779" s="311">
        <v>43627</v>
      </c>
      <c r="AK779" s="311">
        <v>42773</v>
      </c>
      <c r="AL779" s="311">
        <v>43608</v>
      </c>
      <c r="AM779" s="301"/>
      <c r="AN779" s="290"/>
      <c r="AO779" s="312" t="str">
        <f>_xlfn.IFNA(IF(VLOOKUP(tabItens[[#This Row],[CÓDIGO]],tabExcluirDoEstoque[#Data],1,FALSE),"sim",""),"")</f>
        <v/>
      </c>
      <c r="AP779" s="313" t="str">
        <f ca="1">IF(OR(ISBLANK(tabItens[[#This Row],[ATA DT.VALID.]]),tabItens[[#This Row],[ATA DT.VALID.]]="",tabItens[[#This Row],[ATA DT.VALID.]]=" "),"",IF(TYPE(tabItens[[#This Row],[ATA DT.VALID.]])=1,ROUNDUP((tabItens[[#This Row],[ATA DT.VALID.]]-TODAY())/7,0),""))</f>
        <v/>
      </c>
      <c r="AQ779" s="314"/>
      <c r="AR779" s="315" t="str">
        <f>IF(ISBLANK(tabItens[[#This Row],[CÓDIGO]]),"",IFERROR(VLOOKUP(tabItens[[#This Row],[CÓDIGO]],Consumo!$C$2:$AC$869,26,FALSE),0))</f>
        <v>07.2023</v>
      </c>
      <c r="AS779" s="316">
        <f>SUMIF(Consumo!$C$3:$C$869,tabItens[[#This Row],[CÓDIGO]],Consumo!$N$3:$N$869) + SUMIF(Consumo!$C$3:$C$869,tabItens[[#This Row],[CÓDIGO]],Consumo!$O$3:$O$869) + SUMIF(Consumo!$C$3:$C$869,tabItens[[#This Row],[CÓDIGO]],Consumo!$P$3:$P$869) + SUMIF(Consumo!$C$3:$C$869,tabItens[[#This Row],[CÓDIGO]],Consumo!$Q$3:$Q$869)</f>
        <v>67</v>
      </c>
      <c r="AT779" s="316">
        <f>SUMIF(Consumo!$C$3:$C$869,tabItens[[#This Row],[CÓDIGO]],Consumo!$Z$3:$Z$869)</f>
        <v>173</v>
      </c>
      <c r="AU779" s="317">
        <f>SUMIF(Consumo!$C$3:$C$869,tabItens[[#This Row],[CÓDIGO]],Consumo!$AA$3:$AA$869)</f>
        <v>36</v>
      </c>
      <c r="AV779" s="318">
        <f>SUMIF(Consumo!$C$3:$C$869,tabItens[[#This Row],[CÓDIGO]],Consumo!$Y$3:$Y$869)</f>
        <v>14.083333333333334</v>
      </c>
      <c r="AW779" s="291">
        <f>tabItens[[#This Row],[QTDE ATUAL]] + tabItens[[#This Row],[RC QTDE]] + tabItens[[#This Row],[AF SALDO]] + tabItens[[#This Row],[Recentes]]</f>
        <v>2290</v>
      </c>
      <c r="AX779" s="319">
        <v>17</v>
      </c>
      <c r="AY779" s="319">
        <v>4</v>
      </c>
      <c r="AZ779" s="319">
        <f>IF(ISBLANK(tabItens[[#This Row],[CÓDIGO]]),"",tabItens[[#This Row],[PontoMês]] * (AZ$2+tabItens[[#This Row],[PontoQtM]]))</f>
        <v>68</v>
      </c>
      <c r="BA779" s="318">
        <f>tabItens[[#This Row],[PontoPed]] - tabItens[[#This Row],[Saldo]] + (1/10)</f>
        <v>-2221.9</v>
      </c>
      <c r="BB779" s="318">
        <f xml:space="preserve"> tabItens[[#This Row],[PontoMês]] * BB$2 - tabItens[[#This Row],[QTDE ATUAL]] - (1/10)</f>
        <v>-2273.1</v>
      </c>
      <c r="BC779" s="320">
        <f>IF( tabItens[[#This Row],[PontoPed]]&gt;0, IF(tabItens[[#This Row],[PontoPed]]&lt;1, 1, IF( tabItens[[#This Row],[Saldo]]&gt;tabItens[[#This Row],[PontoPed]], 0, (tabItens[[#This Row],[PontoPed]]-tabItens[[#This Row],[Saldo]])/tabItens[[#This Row],[PontoPed]] ) ), 0 )</f>
        <v>0</v>
      </c>
      <c r="BD779" s="321">
        <f>ROUNDDOWN(IF( OR( AND(tabItens[[#This Row],[PontoPed]]&lt;tabItens[[#This Row],[Saldo]],tabItens[[#This Row],[Saldo]]&gt;0), tabItens[[#This Row],[PontoPed]]=0), 99, IF(AND(tabItens[[#This Row],[Saldo]]=0,tabItens[[#This Row],[PontoPed]]&gt;0), 0, (1-tabItens[[#This Row],[PctAb]])*10 ) ),0)</f>
        <v>99</v>
      </c>
      <c r="BE779" s="322">
        <f>MAX(ROUNDDOWN( IF(tabItens[[#This Row],[Abaixo]] &gt; 0,   tabItens[[#This Row],[Abaixo]] + (tabItens[[#This Row],[PontoMês]] * IF( OR( ISBLANK(tabItens[[#This Row],[ATA Nº/ANO]]), tabItens[[#This Row],[ATA Nº/ANO]] = ""),BE$2,BE$1)),0),0),0)</f>
        <v>0</v>
      </c>
      <c r="BF77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23">
        <f>SUMIF(Consumo!$C$3:$C$869,tabItens[[#This Row],[CÓDIGO]],Consumo!$E$3:$E$869)</f>
        <v>0</v>
      </c>
      <c r="BH779" s="324">
        <f>IF(AND(tabItens[[#This Row],[Pend]] &gt; 0,tabItens[[#This Row],[Consumo]] &lt;&gt; 0), tabItens[[#This Row],[Pend]] / tabItens[[#This Row],[Consumo]], 0 )</f>
        <v>0</v>
      </c>
      <c r="BI779" s="323"/>
      <c r="BJ779" s="323"/>
      <c r="BK779" s="325" t="s">
        <v>2064</v>
      </c>
    </row>
    <row r="780" spans="1:63" hidden="1" x14ac:dyDescent="0.3">
      <c r="A780" s="286">
        <v>63991</v>
      </c>
      <c r="B780" s="287" t="s">
        <v>1362</v>
      </c>
      <c r="C780" s="288" t="s">
        <v>395</v>
      </c>
      <c r="D780" s="289">
        <v>4.3</v>
      </c>
      <c r="E780" s="290"/>
      <c r="F780" s="290"/>
      <c r="G780" s="290" t="s">
        <v>883</v>
      </c>
      <c r="H780" s="291">
        <v>4400</v>
      </c>
      <c r="I780" s="292">
        <v>103003</v>
      </c>
      <c r="J780" s="293">
        <v>4.3</v>
      </c>
      <c r="K780" s="294">
        <v>2673</v>
      </c>
      <c r="L780" s="295">
        <f>IF(tabItens[[#This Row],[Média]] &gt; 0, tabItens[[#This Row],[QTDE ATUAL]] / tabItens[[#This Row],[Média]],999.9)</f>
        <v>15.751789976133653</v>
      </c>
      <c r="M780" s="296">
        <v>0</v>
      </c>
      <c r="N780" s="297">
        <f>tabItens[[#This Row],[VALOR UNIT.]] * tabItens[[#This Row],[LC]]</f>
        <v>0</v>
      </c>
      <c r="O780" s="298"/>
      <c r="P780" s="299"/>
      <c r="Q780" s="300"/>
      <c r="R780" s="297"/>
      <c r="S780" s="301"/>
      <c r="T780" s="302">
        <f>ROUNDDOWN(IFERROR(tabItens[[#This Row],[ATA DT.VALID.]] - $D$1,0) / 30,0)</f>
        <v>-1504</v>
      </c>
      <c r="U780" s="287" t="s">
        <v>1363</v>
      </c>
      <c r="V780" s="303">
        <v>1</v>
      </c>
      <c r="W780" s="304" t="s">
        <v>2052</v>
      </c>
      <c r="X780" s="305">
        <v>58</v>
      </c>
      <c r="Y780" s="306">
        <v>8</v>
      </c>
      <c r="Z780" s="307"/>
      <c r="AA780" s="308"/>
      <c r="AB780" s="309"/>
      <c r="AC780" s="309"/>
      <c r="AD780" s="308"/>
      <c r="AE780" s="309"/>
      <c r="AF780" s="302"/>
      <c r="AG780" s="310" t="s">
        <v>2050</v>
      </c>
      <c r="AH780" s="311"/>
      <c r="AI780" s="302">
        <v>1170</v>
      </c>
      <c r="AJ780" s="311">
        <v>45069</v>
      </c>
      <c r="AK780" s="311" t="s">
        <v>883</v>
      </c>
      <c r="AL780" s="311">
        <v>45020</v>
      </c>
      <c r="AM780" s="301"/>
      <c r="AN780" s="290"/>
      <c r="AO780" s="312" t="str">
        <f>_xlfn.IFNA(IF(VLOOKUP(tabItens[[#This Row],[CÓDIGO]],tabExcluirDoEstoque[#Data],1,FALSE),"sim",""),"")</f>
        <v/>
      </c>
      <c r="AP780" s="313" t="str">
        <f ca="1">IF(OR(ISBLANK(tabItens[[#This Row],[ATA DT.VALID.]]),tabItens[[#This Row],[ATA DT.VALID.]]="",tabItens[[#This Row],[ATA DT.VALID.]]=" "),"",IF(TYPE(tabItens[[#This Row],[ATA DT.VALID.]])=1,ROUNDUP((tabItens[[#This Row],[ATA DT.VALID.]]-TODAY())/7,0),""))</f>
        <v/>
      </c>
      <c r="AQ780" s="314"/>
      <c r="AR780" s="315" t="str">
        <f>IF(ISBLANK(tabItens[[#This Row],[CÓDIGO]]),"",IFERROR(VLOOKUP(tabItens[[#This Row],[CÓDIGO]],Consumo!$C$2:$AC$869,26,FALSE),0))</f>
        <v>07.2023</v>
      </c>
      <c r="AS780" s="316">
        <f>SUMIF(Consumo!$C$3:$C$869,tabItens[[#This Row],[CÓDIGO]],Consumo!$N$3:$N$869) + SUMIF(Consumo!$C$3:$C$869,tabItens[[#This Row],[CÓDIGO]],Consumo!$O$3:$O$869) + SUMIF(Consumo!$C$3:$C$869,tabItens[[#This Row],[CÓDIGO]],Consumo!$P$3:$P$869) + SUMIF(Consumo!$C$3:$C$869,tabItens[[#This Row],[CÓDIGO]],Consumo!$Q$3:$Q$869)</f>
        <v>680</v>
      </c>
      <c r="AT780" s="316">
        <f>SUMIF(Consumo!$C$3:$C$869,tabItens[[#This Row],[CÓDIGO]],Consumo!$Z$3:$Z$869)</f>
        <v>3719</v>
      </c>
      <c r="AU780" s="317">
        <f>SUMIF(Consumo!$C$3:$C$869,tabItens[[#This Row],[CÓDIGO]],Consumo!$AA$3:$AA$869)</f>
        <v>1319</v>
      </c>
      <c r="AV780" s="318">
        <f>SUMIF(Consumo!$C$3:$C$869,tabItens[[#This Row],[CÓDIGO]],Consumo!$Y$3:$Y$869)</f>
        <v>279.33333333333331</v>
      </c>
      <c r="AW780" s="291">
        <f>tabItens[[#This Row],[QTDE ATUAL]] + tabItens[[#This Row],[RC QTDE]] + tabItens[[#This Row],[AF SALDO]] + tabItens[[#This Row],[Recentes]]</f>
        <v>4400</v>
      </c>
      <c r="AX780" s="319">
        <v>485</v>
      </c>
      <c r="AY780" s="319">
        <v>4</v>
      </c>
      <c r="AZ780" s="319">
        <f>IF(ISBLANK(tabItens[[#This Row],[CÓDIGO]]),"",tabItens[[#This Row],[PontoMês]] * (AZ$2+tabItens[[#This Row],[PontoQtM]]))</f>
        <v>1940</v>
      </c>
      <c r="BA780" s="318">
        <f>tabItens[[#This Row],[PontoPed]] - tabItens[[#This Row],[Saldo]] + (1/10)</f>
        <v>-2459.9</v>
      </c>
      <c r="BB780" s="318">
        <f xml:space="preserve"> tabItens[[#This Row],[PontoMês]] * BB$2 - tabItens[[#This Row],[QTDE ATUAL]] - (1/10)</f>
        <v>-3915.1</v>
      </c>
      <c r="BC780" s="320">
        <f>IF( tabItens[[#This Row],[PontoPed]]&gt;0, IF(tabItens[[#This Row],[PontoPed]]&lt;1, 1, IF( tabItens[[#This Row],[Saldo]]&gt;tabItens[[#This Row],[PontoPed]], 0, (tabItens[[#This Row],[PontoPed]]-tabItens[[#This Row],[Saldo]])/tabItens[[#This Row],[PontoPed]] ) ), 0 )</f>
        <v>0</v>
      </c>
      <c r="BD780" s="321">
        <f>ROUNDDOWN(IF( OR( AND(tabItens[[#This Row],[PontoPed]]&lt;tabItens[[#This Row],[Saldo]],tabItens[[#This Row],[Saldo]]&gt;0), tabItens[[#This Row],[PontoPed]]=0), 99, IF(AND(tabItens[[#This Row],[Saldo]]=0,tabItens[[#This Row],[PontoPed]]&gt;0), 0, (1-tabItens[[#This Row],[PctAb]])*10 ) ),0)</f>
        <v>99</v>
      </c>
      <c r="BE780" s="322">
        <f>MAX(ROUNDDOWN( IF(tabItens[[#This Row],[Abaixo]] &gt; 0,   tabItens[[#This Row],[Abaixo]] + (tabItens[[#This Row],[PontoMês]] * IF( OR( ISBLANK(tabItens[[#This Row],[ATA Nº/ANO]]), tabItens[[#This Row],[ATA Nº/ANO]] = ""),BE$2,BE$1)),0),0),0)</f>
        <v>0</v>
      </c>
      <c r="BF78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23">
        <f>SUMIF(Consumo!$C$3:$C$869,tabItens[[#This Row],[CÓDIGO]],Consumo!$E$3:$E$869)</f>
        <v>210</v>
      </c>
      <c r="BH780" s="324">
        <f>IF(AND(tabItens[[#This Row],[Pend]] &gt; 0,tabItens[[#This Row],[Consumo]] &lt;&gt; 0), tabItens[[#This Row],[Pend]] / tabItens[[#This Row],[Consumo]], 0 )</f>
        <v>5.6466792148426995E-2</v>
      </c>
      <c r="BI780" s="323"/>
      <c r="BJ780" s="323"/>
      <c r="BK780" s="325" t="s">
        <v>2064</v>
      </c>
    </row>
    <row r="781" spans="1:63" hidden="1" x14ac:dyDescent="0.3">
      <c r="A781" s="286">
        <v>98732</v>
      </c>
      <c r="B781" s="287" t="s">
        <v>1557</v>
      </c>
      <c r="C781" s="288" t="s">
        <v>31</v>
      </c>
      <c r="D781" s="289">
        <v>134</v>
      </c>
      <c r="E781" s="290"/>
      <c r="F781" s="290"/>
      <c r="G781" s="290" t="s">
        <v>883</v>
      </c>
      <c r="H781" s="291">
        <v>55</v>
      </c>
      <c r="I781" s="292">
        <v>103003</v>
      </c>
      <c r="J781" s="293">
        <v>143.14286000000001</v>
      </c>
      <c r="K781" s="294"/>
      <c r="L781" s="295">
        <f>IF(tabItens[[#This Row],[Média]] &gt; 0, tabItens[[#This Row],[QTDE ATUAL]] / tabItens[[#This Row],[Média]],999.9)</f>
        <v>999.9</v>
      </c>
      <c r="M781" s="296">
        <v>0</v>
      </c>
      <c r="N781" s="297">
        <f>tabItens[[#This Row],[VALOR UNIT.]] * tabItens[[#This Row],[LC]]</f>
        <v>0</v>
      </c>
      <c r="O781" s="298"/>
      <c r="P781" s="299"/>
      <c r="Q781" s="300"/>
      <c r="R781" s="297"/>
      <c r="S781" s="301"/>
      <c r="T781" s="302">
        <f>ROUNDDOWN(IFERROR(tabItens[[#This Row],[ATA DT.VALID.]] - $D$1,0) / 30,0)</f>
        <v>-1504</v>
      </c>
      <c r="U781" s="287" t="s">
        <v>1558</v>
      </c>
      <c r="V781" s="303">
        <v>1</v>
      </c>
      <c r="W781" s="304" t="s">
        <v>2060</v>
      </c>
      <c r="X781" s="305">
        <v>58</v>
      </c>
      <c r="Y781" s="306">
        <v>14</v>
      </c>
      <c r="Z781" s="307"/>
      <c r="AA781" s="308"/>
      <c r="AB781" s="309"/>
      <c r="AC781" s="309"/>
      <c r="AD781" s="308"/>
      <c r="AE781" s="309"/>
      <c r="AF781" s="302"/>
      <c r="AG781" s="310" t="s">
        <v>2050</v>
      </c>
      <c r="AH781" s="311"/>
      <c r="AI781" s="302">
        <v>0</v>
      </c>
      <c r="AJ781" s="311">
        <v>43619</v>
      </c>
      <c r="AK781" s="311">
        <v>39184</v>
      </c>
      <c r="AL781" s="311">
        <v>43585</v>
      </c>
      <c r="AM781" s="301"/>
      <c r="AN781" s="290"/>
      <c r="AO781" s="312" t="str">
        <f>_xlfn.IFNA(IF(VLOOKUP(tabItens[[#This Row],[CÓDIGO]],tabExcluirDoEstoque[#Data],1,FALSE),"sim",""),"")</f>
        <v/>
      </c>
      <c r="AP781" s="313" t="str">
        <f ca="1">IF(OR(ISBLANK(tabItens[[#This Row],[ATA DT.VALID.]]),tabItens[[#This Row],[ATA DT.VALID.]]="",tabItens[[#This Row],[ATA DT.VALID.]]=" "),"",IF(TYPE(tabItens[[#This Row],[ATA DT.VALID.]])=1,ROUNDUP((tabItens[[#This Row],[ATA DT.VALID.]]-TODAY())/7,0),""))</f>
        <v/>
      </c>
      <c r="AQ781" s="314"/>
      <c r="AR781" s="315">
        <f>IF(ISBLANK(tabItens[[#This Row],[CÓDIGO]]),"",IFERROR(VLOOKUP(tabItens[[#This Row],[CÓDIGO]],Consumo!$C$2:$AC$869,26,FALSE),0))</f>
        <v>0</v>
      </c>
      <c r="AS781" s="316">
        <f>SUMIF(Consumo!$C$3:$C$869,tabItens[[#This Row],[CÓDIGO]],Consumo!$N$3:$N$869) + SUMIF(Consumo!$C$3:$C$869,tabItens[[#This Row],[CÓDIGO]],Consumo!$O$3:$O$869) + SUMIF(Consumo!$C$3:$C$869,tabItens[[#This Row],[CÓDIGO]],Consumo!$P$3:$P$869) + SUMIF(Consumo!$C$3:$C$869,tabItens[[#This Row],[CÓDIGO]],Consumo!$Q$3:$Q$869)</f>
        <v>0</v>
      </c>
      <c r="AT781" s="316">
        <f>SUMIF(Consumo!$C$3:$C$869,tabItens[[#This Row],[CÓDIGO]],Consumo!$Z$3:$Z$869)</f>
        <v>0</v>
      </c>
      <c r="AU781" s="317">
        <f>SUMIF(Consumo!$C$3:$C$869,tabItens[[#This Row],[CÓDIGO]],Consumo!$AA$3:$AA$869)</f>
        <v>0</v>
      </c>
      <c r="AV781" s="318">
        <f>SUMIF(Consumo!$C$3:$C$869,tabItens[[#This Row],[CÓDIGO]],Consumo!$Y$3:$Y$869)</f>
        <v>0</v>
      </c>
      <c r="AW781" s="291">
        <f>tabItens[[#This Row],[QTDE ATUAL]] + tabItens[[#This Row],[RC QTDE]] + tabItens[[#This Row],[AF SALDO]] + tabItens[[#This Row],[Recentes]]</f>
        <v>55</v>
      </c>
      <c r="AX781" s="319">
        <v>1</v>
      </c>
      <c r="AY781" s="319">
        <v>4</v>
      </c>
      <c r="AZ781" s="319">
        <f>IF(ISBLANK(tabItens[[#This Row],[CÓDIGO]]),"",tabItens[[#This Row],[PontoMês]] * (AZ$2+tabItens[[#This Row],[PontoQtM]]))</f>
        <v>4</v>
      </c>
      <c r="BA781" s="318">
        <f>tabItens[[#This Row],[PontoPed]] - tabItens[[#This Row],[Saldo]] + (1/10)</f>
        <v>-50.9</v>
      </c>
      <c r="BB781" s="318">
        <f xml:space="preserve"> tabItens[[#This Row],[PontoMês]] * BB$2 - tabItens[[#This Row],[QTDE ATUAL]] - (1/10)</f>
        <v>-54.1</v>
      </c>
      <c r="BC781" s="320">
        <f>IF( tabItens[[#This Row],[PontoPed]]&gt;0, IF(tabItens[[#This Row],[PontoPed]]&lt;1, 1, IF( tabItens[[#This Row],[Saldo]]&gt;tabItens[[#This Row],[PontoPed]], 0, (tabItens[[#This Row],[PontoPed]]-tabItens[[#This Row],[Saldo]])/tabItens[[#This Row],[PontoPed]] ) ), 0 )</f>
        <v>0</v>
      </c>
      <c r="BD781" s="321">
        <f>ROUNDDOWN(IF( OR( AND(tabItens[[#This Row],[PontoPed]]&lt;tabItens[[#This Row],[Saldo]],tabItens[[#This Row],[Saldo]]&gt;0), tabItens[[#This Row],[PontoPed]]=0), 99, IF(AND(tabItens[[#This Row],[Saldo]]=0,tabItens[[#This Row],[PontoPed]]&gt;0), 0, (1-tabItens[[#This Row],[PctAb]])*10 ) ),0)</f>
        <v>99</v>
      </c>
      <c r="BE781" s="322">
        <f>MAX(ROUNDDOWN( IF(tabItens[[#This Row],[Abaixo]] &gt; 0,   tabItens[[#This Row],[Abaixo]] + (tabItens[[#This Row],[PontoMês]] * IF( OR( ISBLANK(tabItens[[#This Row],[ATA Nº/ANO]]), tabItens[[#This Row],[ATA Nº/ANO]] = ""),BE$2,BE$1)),0),0),0)</f>
        <v>0</v>
      </c>
      <c r="BF78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23">
        <f>SUMIF(Consumo!$C$3:$C$869,tabItens[[#This Row],[CÓDIGO]],Consumo!$E$3:$E$869)</f>
        <v>0</v>
      </c>
      <c r="BH781" s="324">
        <f>IF(AND(tabItens[[#This Row],[Pend]] &gt; 0,tabItens[[#This Row],[Consumo]] &lt;&gt; 0), tabItens[[#This Row],[Pend]] / tabItens[[#This Row],[Consumo]], 0 )</f>
        <v>0</v>
      </c>
      <c r="BI781" s="323"/>
      <c r="BJ781" s="323"/>
      <c r="BK781" s="325" t="s">
        <v>2064</v>
      </c>
    </row>
    <row r="782" spans="1:63" hidden="1" x14ac:dyDescent="0.3">
      <c r="A782" s="286">
        <v>98733</v>
      </c>
      <c r="B782" s="287" t="s">
        <v>1559</v>
      </c>
      <c r="C782" s="288" t="s">
        <v>31</v>
      </c>
      <c r="D782" s="289">
        <v>134</v>
      </c>
      <c r="E782" s="290"/>
      <c r="F782" s="290"/>
      <c r="G782" s="290" t="s">
        <v>883</v>
      </c>
      <c r="H782" s="291">
        <v>41</v>
      </c>
      <c r="I782" s="292">
        <v>103003</v>
      </c>
      <c r="J782" s="293">
        <v>144.25</v>
      </c>
      <c r="K782" s="294"/>
      <c r="L782" s="295">
        <f>IF(tabItens[[#This Row],[Média]] &gt; 0, tabItens[[#This Row],[QTDE ATUAL]] / tabItens[[#This Row],[Média]],999.9)</f>
        <v>999.9</v>
      </c>
      <c r="M782" s="296">
        <v>0</v>
      </c>
      <c r="N782" s="297">
        <f>tabItens[[#This Row],[VALOR UNIT.]] * tabItens[[#This Row],[LC]]</f>
        <v>0</v>
      </c>
      <c r="O782" s="298"/>
      <c r="P782" s="299"/>
      <c r="Q782" s="300"/>
      <c r="R782" s="297"/>
      <c r="S782" s="301"/>
      <c r="T782" s="302">
        <f>ROUNDDOWN(IFERROR(tabItens[[#This Row],[ATA DT.VALID.]] - $D$1,0) / 30,0)</f>
        <v>-1504</v>
      </c>
      <c r="U782" s="287" t="s">
        <v>1558</v>
      </c>
      <c r="V782" s="303">
        <v>1</v>
      </c>
      <c r="W782" s="304" t="s">
        <v>2060</v>
      </c>
      <c r="X782" s="305">
        <v>58</v>
      </c>
      <c r="Y782" s="306">
        <v>14</v>
      </c>
      <c r="Z782" s="307"/>
      <c r="AA782" s="308"/>
      <c r="AB782" s="309"/>
      <c r="AC782" s="309"/>
      <c r="AD782" s="308"/>
      <c r="AE782" s="309"/>
      <c r="AF782" s="302"/>
      <c r="AG782" s="310" t="s">
        <v>2050</v>
      </c>
      <c r="AH782" s="311"/>
      <c r="AI782" s="302">
        <v>0</v>
      </c>
      <c r="AJ782" s="311">
        <v>43613</v>
      </c>
      <c r="AK782" s="311">
        <v>39184</v>
      </c>
      <c r="AL782" s="311">
        <v>43585</v>
      </c>
      <c r="AM782" s="301"/>
      <c r="AN782" s="290"/>
      <c r="AO782" s="312" t="str">
        <f>_xlfn.IFNA(IF(VLOOKUP(tabItens[[#This Row],[CÓDIGO]],tabExcluirDoEstoque[#Data],1,FALSE),"sim",""),"")</f>
        <v/>
      </c>
      <c r="AP782" s="313" t="str">
        <f ca="1">IF(OR(ISBLANK(tabItens[[#This Row],[ATA DT.VALID.]]),tabItens[[#This Row],[ATA DT.VALID.]]="",tabItens[[#This Row],[ATA DT.VALID.]]=" "),"",IF(TYPE(tabItens[[#This Row],[ATA DT.VALID.]])=1,ROUNDUP((tabItens[[#This Row],[ATA DT.VALID.]]-TODAY())/7,0),""))</f>
        <v/>
      </c>
      <c r="AQ782" s="314"/>
      <c r="AR782" s="315">
        <f>IF(ISBLANK(tabItens[[#This Row],[CÓDIGO]]),"",IFERROR(VLOOKUP(tabItens[[#This Row],[CÓDIGO]],Consumo!$C$2:$AC$869,26,FALSE),0))</f>
        <v>0</v>
      </c>
      <c r="AS782" s="316">
        <f>SUMIF(Consumo!$C$3:$C$869,tabItens[[#This Row],[CÓDIGO]],Consumo!$N$3:$N$869) + SUMIF(Consumo!$C$3:$C$869,tabItens[[#This Row],[CÓDIGO]],Consumo!$O$3:$O$869) + SUMIF(Consumo!$C$3:$C$869,tabItens[[#This Row],[CÓDIGO]],Consumo!$P$3:$P$869) + SUMIF(Consumo!$C$3:$C$869,tabItens[[#This Row],[CÓDIGO]],Consumo!$Q$3:$Q$869)</f>
        <v>0</v>
      </c>
      <c r="AT782" s="316">
        <f>SUMIF(Consumo!$C$3:$C$869,tabItens[[#This Row],[CÓDIGO]],Consumo!$Z$3:$Z$869)</f>
        <v>0</v>
      </c>
      <c r="AU782" s="317">
        <f>SUMIF(Consumo!$C$3:$C$869,tabItens[[#This Row],[CÓDIGO]],Consumo!$AA$3:$AA$869)</f>
        <v>0</v>
      </c>
      <c r="AV782" s="318">
        <f>SUMIF(Consumo!$C$3:$C$869,tabItens[[#This Row],[CÓDIGO]],Consumo!$Y$3:$Y$869)</f>
        <v>0</v>
      </c>
      <c r="AW782" s="291">
        <f>tabItens[[#This Row],[QTDE ATUAL]] + tabItens[[#This Row],[RC QTDE]] + tabItens[[#This Row],[AF SALDO]] + tabItens[[#This Row],[Recentes]]</f>
        <v>41</v>
      </c>
      <c r="AX782" s="319">
        <v>1</v>
      </c>
      <c r="AY782" s="319">
        <v>4</v>
      </c>
      <c r="AZ782" s="319">
        <f>IF(ISBLANK(tabItens[[#This Row],[CÓDIGO]]),"",tabItens[[#This Row],[PontoMês]] * (AZ$2+tabItens[[#This Row],[PontoQtM]]))</f>
        <v>4</v>
      </c>
      <c r="BA782" s="318">
        <f>tabItens[[#This Row],[PontoPed]] - tabItens[[#This Row],[Saldo]] + (1/10)</f>
        <v>-36.9</v>
      </c>
      <c r="BB782" s="318">
        <f xml:space="preserve"> tabItens[[#This Row],[PontoMês]] * BB$2 - tabItens[[#This Row],[QTDE ATUAL]] - (1/10)</f>
        <v>-40.1</v>
      </c>
      <c r="BC782" s="320">
        <f>IF( tabItens[[#This Row],[PontoPed]]&gt;0, IF(tabItens[[#This Row],[PontoPed]]&lt;1, 1, IF( tabItens[[#This Row],[Saldo]]&gt;tabItens[[#This Row],[PontoPed]], 0, (tabItens[[#This Row],[PontoPed]]-tabItens[[#This Row],[Saldo]])/tabItens[[#This Row],[PontoPed]] ) ), 0 )</f>
        <v>0</v>
      </c>
      <c r="BD782" s="321">
        <f>ROUNDDOWN(IF( OR( AND(tabItens[[#This Row],[PontoPed]]&lt;tabItens[[#This Row],[Saldo]],tabItens[[#This Row],[Saldo]]&gt;0), tabItens[[#This Row],[PontoPed]]=0), 99, IF(AND(tabItens[[#This Row],[Saldo]]=0,tabItens[[#This Row],[PontoPed]]&gt;0), 0, (1-tabItens[[#This Row],[PctAb]])*10 ) ),0)</f>
        <v>99</v>
      </c>
      <c r="BE782" s="322">
        <f>MAX(ROUNDDOWN( IF(tabItens[[#This Row],[Abaixo]] &gt; 0,   tabItens[[#This Row],[Abaixo]] + (tabItens[[#This Row],[PontoMês]] * IF( OR( ISBLANK(tabItens[[#This Row],[ATA Nº/ANO]]), tabItens[[#This Row],[ATA Nº/ANO]] = ""),BE$2,BE$1)),0),0),0)</f>
        <v>0</v>
      </c>
      <c r="BF78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23">
        <f>SUMIF(Consumo!$C$3:$C$869,tabItens[[#This Row],[CÓDIGO]],Consumo!$E$3:$E$869)</f>
        <v>0</v>
      </c>
      <c r="BH782" s="324">
        <f>IF(AND(tabItens[[#This Row],[Pend]] &gt; 0,tabItens[[#This Row],[Consumo]] &lt;&gt; 0), tabItens[[#This Row],[Pend]] / tabItens[[#This Row],[Consumo]], 0 )</f>
        <v>0</v>
      </c>
      <c r="BI782" s="323"/>
      <c r="BJ782" s="323"/>
      <c r="BK782" s="325" t="s">
        <v>2064</v>
      </c>
    </row>
    <row r="783" spans="1:63" hidden="1" x14ac:dyDescent="0.3">
      <c r="A783" s="286">
        <v>98734</v>
      </c>
      <c r="B783" s="287" t="s">
        <v>2231</v>
      </c>
      <c r="C783" s="288" t="s">
        <v>31</v>
      </c>
      <c r="D783" s="289">
        <v>134</v>
      </c>
      <c r="E783" s="290"/>
      <c r="F783" s="290"/>
      <c r="G783" s="290" t="s">
        <v>883</v>
      </c>
      <c r="H783" s="291">
        <v>36</v>
      </c>
      <c r="I783" s="292">
        <v>103003</v>
      </c>
      <c r="J783" s="293">
        <v>160.98412999999999</v>
      </c>
      <c r="K783" s="294"/>
      <c r="L783" s="295">
        <f>IF(tabItens[[#This Row],[Média]] &gt; 0, tabItens[[#This Row],[QTDE ATUAL]] / tabItens[[#This Row],[Média]],999.9)</f>
        <v>999.9</v>
      </c>
      <c r="M783" s="296">
        <v>0</v>
      </c>
      <c r="N783" s="297">
        <f>tabItens[[#This Row],[VALOR UNIT.]] * tabItens[[#This Row],[LC]]</f>
        <v>0</v>
      </c>
      <c r="O783" s="298"/>
      <c r="P783" s="299"/>
      <c r="Q783" s="300"/>
      <c r="R783" s="297"/>
      <c r="S783" s="301"/>
      <c r="T783" s="302">
        <f>ROUNDDOWN(IFERROR(tabItens[[#This Row],[ATA DT.VALID.]] - $D$1,0) / 30,0)</f>
        <v>-1504</v>
      </c>
      <c r="U783" s="287" t="s">
        <v>1558</v>
      </c>
      <c r="V783" s="303">
        <v>1</v>
      </c>
      <c r="W783" s="304" t="s">
        <v>2060</v>
      </c>
      <c r="X783" s="305">
        <v>58</v>
      </c>
      <c r="Y783" s="306">
        <v>14</v>
      </c>
      <c r="Z783" s="307"/>
      <c r="AA783" s="308"/>
      <c r="AB783" s="309"/>
      <c r="AC783" s="309"/>
      <c r="AD783" s="308"/>
      <c r="AE783" s="309"/>
      <c r="AF783" s="302"/>
      <c r="AG783" s="310" t="s">
        <v>2050</v>
      </c>
      <c r="AH783" s="311"/>
      <c r="AI783" s="302">
        <v>0</v>
      </c>
      <c r="AJ783" s="311">
        <v>43619</v>
      </c>
      <c r="AK783" s="311">
        <v>39184</v>
      </c>
      <c r="AL783" s="311">
        <v>43585</v>
      </c>
      <c r="AM783" s="301"/>
      <c r="AN783" s="290"/>
      <c r="AO783" s="312" t="str">
        <f>_xlfn.IFNA(IF(VLOOKUP(tabItens[[#This Row],[CÓDIGO]],tabExcluirDoEstoque[#Data],1,FALSE),"sim",""),"")</f>
        <v/>
      </c>
      <c r="AP783" s="313" t="str">
        <f ca="1">IF(OR(ISBLANK(tabItens[[#This Row],[ATA DT.VALID.]]),tabItens[[#This Row],[ATA DT.VALID.]]="",tabItens[[#This Row],[ATA DT.VALID.]]=" "),"",IF(TYPE(tabItens[[#This Row],[ATA DT.VALID.]])=1,ROUNDUP((tabItens[[#This Row],[ATA DT.VALID.]]-TODAY())/7,0),""))</f>
        <v/>
      </c>
      <c r="AQ783" s="314"/>
      <c r="AR783" s="315">
        <f>IF(ISBLANK(tabItens[[#This Row],[CÓDIGO]]),"",IFERROR(VLOOKUP(tabItens[[#This Row],[CÓDIGO]],Consumo!$C$2:$AC$869,26,FALSE),0))</f>
        <v>0</v>
      </c>
      <c r="AS783" s="316">
        <f>SUMIF(Consumo!$C$3:$C$869,tabItens[[#This Row],[CÓDIGO]],Consumo!$N$3:$N$869) + SUMIF(Consumo!$C$3:$C$869,tabItens[[#This Row],[CÓDIGO]],Consumo!$O$3:$O$869) + SUMIF(Consumo!$C$3:$C$869,tabItens[[#This Row],[CÓDIGO]],Consumo!$P$3:$P$869) + SUMIF(Consumo!$C$3:$C$869,tabItens[[#This Row],[CÓDIGO]],Consumo!$Q$3:$Q$869)</f>
        <v>0</v>
      </c>
      <c r="AT783" s="316">
        <f>SUMIF(Consumo!$C$3:$C$869,tabItens[[#This Row],[CÓDIGO]],Consumo!$Z$3:$Z$869)</f>
        <v>0</v>
      </c>
      <c r="AU783" s="317">
        <f>SUMIF(Consumo!$C$3:$C$869,tabItens[[#This Row],[CÓDIGO]],Consumo!$AA$3:$AA$869)</f>
        <v>0</v>
      </c>
      <c r="AV783" s="318">
        <f>SUMIF(Consumo!$C$3:$C$869,tabItens[[#This Row],[CÓDIGO]],Consumo!$Y$3:$Y$869)</f>
        <v>0</v>
      </c>
      <c r="AW783" s="291">
        <f>tabItens[[#This Row],[QTDE ATUAL]] + tabItens[[#This Row],[RC QTDE]] + tabItens[[#This Row],[AF SALDO]] + tabItens[[#This Row],[Recentes]]</f>
        <v>36</v>
      </c>
      <c r="AX783" s="319">
        <v>1</v>
      </c>
      <c r="AY783" s="319">
        <v>4</v>
      </c>
      <c r="AZ783" s="319">
        <f>IF(ISBLANK(tabItens[[#This Row],[CÓDIGO]]),"",tabItens[[#This Row],[PontoMês]] * (AZ$2+tabItens[[#This Row],[PontoQtM]]))</f>
        <v>4</v>
      </c>
      <c r="BA783" s="318">
        <f>tabItens[[#This Row],[PontoPed]] - tabItens[[#This Row],[Saldo]] + (1/10)</f>
        <v>-31.9</v>
      </c>
      <c r="BB783" s="318">
        <f xml:space="preserve"> tabItens[[#This Row],[PontoMês]] * BB$2 - tabItens[[#This Row],[QTDE ATUAL]] - (1/10)</f>
        <v>-35.1</v>
      </c>
      <c r="BC783" s="320">
        <f>IF( tabItens[[#This Row],[PontoPed]]&gt;0, IF(tabItens[[#This Row],[PontoPed]]&lt;1, 1, IF( tabItens[[#This Row],[Saldo]]&gt;tabItens[[#This Row],[PontoPed]], 0, (tabItens[[#This Row],[PontoPed]]-tabItens[[#This Row],[Saldo]])/tabItens[[#This Row],[PontoPed]] ) ), 0 )</f>
        <v>0</v>
      </c>
      <c r="BD783" s="321">
        <f>ROUNDDOWN(IF( OR( AND(tabItens[[#This Row],[PontoPed]]&lt;tabItens[[#This Row],[Saldo]],tabItens[[#This Row],[Saldo]]&gt;0), tabItens[[#This Row],[PontoPed]]=0), 99, IF(AND(tabItens[[#This Row],[Saldo]]=0,tabItens[[#This Row],[PontoPed]]&gt;0), 0, (1-tabItens[[#This Row],[PctAb]])*10 ) ),0)</f>
        <v>99</v>
      </c>
      <c r="BE783" s="322">
        <f>MAX(ROUNDDOWN( IF(tabItens[[#This Row],[Abaixo]] &gt; 0,   tabItens[[#This Row],[Abaixo]] + (tabItens[[#This Row],[PontoMês]] * IF( OR( ISBLANK(tabItens[[#This Row],[ATA Nº/ANO]]), tabItens[[#This Row],[ATA Nº/ANO]] = ""),BE$2,BE$1)),0),0),0)</f>
        <v>0</v>
      </c>
      <c r="BF78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323">
        <f>SUMIF(Consumo!$C$3:$C$869,tabItens[[#This Row],[CÓDIGO]],Consumo!$E$3:$E$869)</f>
        <v>0</v>
      </c>
      <c r="BH783" s="324">
        <f>IF(AND(tabItens[[#This Row],[Pend]] &gt; 0,tabItens[[#This Row],[Consumo]] &lt;&gt; 0), tabItens[[#This Row],[Pend]] / tabItens[[#This Row],[Consumo]], 0 )</f>
        <v>0</v>
      </c>
      <c r="BI783" s="323"/>
      <c r="BJ783" s="323"/>
      <c r="BK783" s="325" t="s">
        <v>2064</v>
      </c>
    </row>
    <row r="784" spans="1:63" x14ac:dyDescent="0.3">
      <c r="A784" s="396">
        <v>106038</v>
      </c>
      <c r="B784" s="397" t="s">
        <v>1617</v>
      </c>
      <c r="C784" s="398" t="s">
        <v>256</v>
      </c>
      <c r="D784" s="399">
        <v>7.85</v>
      </c>
      <c r="E784" s="290"/>
      <c r="F784" s="400"/>
      <c r="G784" s="400" t="s">
        <v>883</v>
      </c>
      <c r="H784" s="401">
        <v>0</v>
      </c>
      <c r="I784" s="292">
        <v>103003</v>
      </c>
      <c r="J784" s="293">
        <v>7.85</v>
      </c>
      <c r="K784" s="402">
        <v>80</v>
      </c>
      <c r="L784" s="403">
        <f>IF(tabItens[[#This Row],[Média]] &gt; 0, tabItens[[#This Row],[QTDE ATUAL]] / tabItens[[#This Row],[Média]],999.9)</f>
        <v>0</v>
      </c>
      <c r="M784" s="404">
        <v>0</v>
      </c>
      <c r="N784" s="405">
        <f>tabItens[[#This Row],[VALOR UNIT.]] * tabItens[[#This Row],[LC]]</f>
        <v>0</v>
      </c>
      <c r="O784" s="406"/>
      <c r="P784" s="407"/>
      <c r="Q784" s="408"/>
      <c r="R784" s="297"/>
      <c r="S784" s="409"/>
      <c r="T784" s="410">
        <f>ROUNDDOWN(IFERROR(tabItens[[#This Row],[ATA DT.VALID.]] - $D$1,0) / 30,0)</f>
        <v>-1504</v>
      </c>
      <c r="U784" s="287" t="s">
        <v>1618</v>
      </c>
      <c r="V784" s="303">
        <v>1</v>
      </c>
      <c r="W784" s="411" t="s">
        <v>2063</v>
      </c>
      <c r="X784" s="412">
        <v>60</v>
      </c>
      <c r="Y784" s="413">
        <v>21</v>
      </c>
      <c r="Z784" s="414">
        <v>2239</v>
      </c>
      <c r="AA784" s="415">
        <v>2023</v>
      </c>
      <c r="AB784" s="416">
        <v>700</v>
      </c>
      <c r="AC784" s="416"/>
      <c r="AD784" s="415"/>
      <c r="AE784" s="416"/>
      <c r="AF784" s="302"/>
      <c r="AG784" s="417" t="s">
        <v>2050</v>
      </c>
      <c r="AH784" s="418"/>
      <c r="AI784" s="302">
        <v>26</v>
      </c>
      <c r="AJ784" s="418">
        <v>44365</v>
      </c>
      <c r="AK784" s="311">
        <v>39554</v>
      </c>
      <c r="AL784" s="311">
        <v>44176</v>
      </c>
      <c r="AM784" s="301"/>
      <c r="AN784" s="290"/>
      <c r="AO784" s="312" t="str">
        <f>_xlfn.IFNA(IF(VLOOKUP(tabItens[[#This Row],[CÓDIGO]],tabExcluirDoEstoque[#Data],1,FALSE),"sim",""),"")</f>
        <v/>
      </c>
      <c r="AP784" s="419" t="str">
        <f ca="1">IF(OR(ISBLANK(tabItens[[#This Row],[ATA DT.VALID.]]),tabItens[[#This Row],[ATA DT.VALID.]]="",tabItens[[#This Row],[ATA DT.VALID.]]=" "),"",IF(TYPE(tabItens[[#This Row],[ATA DT.VALID.]])=1,ROUNDUP((tabItens[[#This Row],[ATA DT.VALID.]]-TODAY())/7,0),""))</f>
        <v/>
      </c>
      <c r="AQ784" s="314">
        <v>0</v>
      </c>
      <c r="AR784" s="315" t="str">
        <f>IF(ISBLANK(tabItens[[#This Row],[CÓDIGO]]),"",IFERROR(VLOOKUP(tabItens[[#This Row],[CÓDIGO]],Consumo!$C$2:$AC$869,26,FALSE),0))</f>
        <v>12.2022</v>
      </c>
      <c r="AS784" s="316">
        <f>SUMIF(Consumo!$C$3:$C$869,tabItens[[#This Row],[CÓDIGO]],Consumo!$N$3:$N$869) + SUMIF(Consumo!$C$3:$C$869,tabItens[[#This Row],[CÓDIGO]],Consumo!$O$3:$O$869) + SUMIF(Consumo!$C$3:$C$869,tabItens[[#This Row],[CÓDIGO]],Consumo!$P$3:$P$869) + SUMIF(Consumo!$C$3:$C$869,tabItens[[#This Row],[CÓDIGO]],Consumo!$Q$3:$Q$869)</f>
        <v>0</v>
      </c>
      <c r="AT784" s="316">
        <f>SUMIF(Consumo!$C$3:$C$869,tabItens[[#This Row],[CÓDIGO]],Consumo!$Z$3:$Z$869)</f>
        <v>100</v>
      </c>
      <c r="AU784" s="317">
        <f>SUMIF(Consumo!$C$3:$C$869,tabItens[[#This Row],[CÓDIGO]],Consumo!$AA$3:$AA$869)</f>
        <v>80</v>
      </c>
      <c r="AV784" s="318">
        <f>SUMIF(Consumo!$C$3:$C$869,tabItens[[#This Row],[CÓDIGO]],Consumo!$Y$3:$Y$869)</f>
        <v>6.083333333333333</v>
      </c>
      <c r="AW784" s="401">
        <f>tabItens[[#This Row],[QTDE ATUAL]] + tabItens[[#This Row],[RC QTDE]] + tabItens[[#This Row],[AF SALDO]] + tabItens[[#This Row],[Recentes]]</f>
        <v>700</v>
      </c>
      <c r="AX784" s="420">
        <v>35</v>
      </c>
      <c r="AY784" s="420">
        <v>4</v>
      </c>
      <c r="AZ784" s="420">
        <f>IF(ISBLANK(tabItens[[#This Row],[CÓDIGO]]),"",tabItens[[#This Row],[PontoMês]] * (AZ$2+tabItens[[#This Row],[PontoQtM]]))</f>
        <v>140</v>
      </c>
      <c r="BA784" s="421">
        <f>tabItens[[#This Row],[PontoPed]] - tabItens[[#This Row],[Saldo]] + (1/10)</f>
        <v>-559.9</v>
      </c>
      <c r="BB784" s="421">
        <f xml:space="preserve"> tabItens[[#This Row],[PontoMês]] * BB$2 - tabItens[[#This Row],[QTDE ATUAL]] - (1/10)</f>
        <v>34.9</v>
      </c>
      <c r="BC784" s="320">
        <f>IF( tabItens[[#This Row],[PontoPed]]&gt;0, IF(tabItens[[#This Row],[PontoPed]]&lt;1, 1, IF( tabItens[[#This Row],[Saldo]]&gt;tabItens[[#This Row],[PontoPed]], 0, (tabItens[[#This Row],[PontoPed]]-tabItens[[#This Row],[Saldo]])/tabItens[[#This Row],[PontoPed]] ) ), 0 )</f>
        <v>0</v>
      </c>
      <c r="BD784" s="422">
        <f>ROUNDDOWN(IF( OR( AND(tabItens[[#This Row],[PontoPed]]&lt;tabItens[[#This Row],[Saldo]],tabItens[[#This Row],[Saldo]]&gt;0), tabItens[[#This Row],[PontoPed]]=0), 99, IF(AND(tabItens[[#This Row],[Saldo]]=0,tabItens[[#This Row],[PontoPed]]&gt;0), 0, (1-tabItens[[#This Row],[PctAb]])*10 ) ),0)</f>
        <v>99</v>
      </c>
      <c r="BE784" s="423">
        <f>MAX(ROUNDDOWN( IF(tabItens[[#This Row],[Abaixo]] &gt; 0,   tabItens[[#This Row],[Abaixo]] + (tabItens[[#This Row],[PontoMês]] * IF( OR( ISBLANK(tabItens[[#This Row],[ATA Nº/ANO]]), tabItens[[#This Row],[ATA Nº/ANO]] = ""),BE$2,BE$1)),0),0),0)</f>
        <v>0</v>
      </c>
      <c r="BF784"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323">
        <f>SUMIF(Consumo!$C$3:$C$869,tabItens[[#This Row],[CÓDIGO]],Consumo!$E$3:$E$869)</f>
        <v>20</v>
      </c>
      <c r="BH784" s="324">
        <f>IF(AND(tabItens[[#This Row],[Pend]] &gt; 0,tabItens[[#This Row],[Consumo]] &lt;&gt; 0), tabItens[[#This Row],[Pend]] / tabItens[[#This Row],[Consumo]], 0 )</f>
        <v>0.2</v>
      </c>
      <c r="BI784" s="323"/>
      <c r="BJ784" s="424"/>
      <c r="BK784" s="425" t="s">
        <v>2064</v>
      </c>
    </row>
    <row r="785" spans="1:63" hidden="1" x14ac:dyDescent="0.3">
      <c r="A785" s="286">
        <v>136564</v>
      </c>
      <c r="B785" s="287" t="s">
        <v>1918</v>
      </c>
      <c r="C785" s="288" t="s">
        <v>331</v>
      </c>
      <c r="D785" s="289">
        <v>2.7</v>
      </c>
      <c r="E785" s="290"/>
      <c r="F785" s="290"/>
      <c r="G785" s="290" t="s">
        <v>883</v>
      </c>
      <c r="H785" s="291">
        <v>17385</v>
      </c>
      <c r="I785" s="292">
        <v>103003</v>
      </c>
      <c r="J785" s="293">
        <v>2.7</v>
      </c>
      <c r="K785" s="294">
        <v>21350</v>
      </c>
      <c r="L785" s="295">
        <f>IF(tabItens[[#This Row],[Média]] &gt; 0, tabItens[[#This Row],[QTDE ATUAL]] / tabItens[[#This Row],[Média]],999.9)</f>
        <v>6.6407766990291268</v>
      </c>
      <c r="M785" s="296">
        <v>0</v>
      </c>
      <c r="N785" s="297">
        <f>tabItens[[#This Row],[VALOR UNIT.]] * tabItens[[#This Row],[LC]]</f>
        <v>0</v>
      </c>
      <c r="O785" s="298"/>
      <c r="P785" s="299"/>
      <c r="Q785" s="300"/>
      <c r="R785" s="297"/>
      <c r="S785" s="301"/>
      <c r="T785" s="302">
        <f>ROUNDDOWN(IFERROR(tabItens[[#This Row],[ATA DT.VALID.]] - $D$1,0) / 30,0)</f>
        <v>-1504</v>
      </c>
      <c r="U785" s="287" t="s">
        <v>1618</v>
      </c>
      <c r="V785" s="303">
        <v>1</v>
      </c>
      <c r="W785" s="304" t="s">
        <v>2063</v>
      </c>
      <c r="X785" s="305">
        <v>60</v>
      </c>
      <c r="Y785" s="306">
        <v>21</v>
      </c>
      <c r="Z785" s="307">
        <v>2773</v>
      </c>
      <c r="AA785" s="308">
        <v>2023</v>
      </c>
      <c r="AB785" s="309">
        <v>1220</v>
      </c>
      <c r="AC785" s="309"/>
      <c r="AD785" s="308"/>
      <c r="AE785" s="309"/>
      <c r="AF785" s="302"/>
      <c r="AG785" s="310" t="s">
        <v>2050</v>
      </c>
      <c r="AH785" s="311"/>
      <c r="AI785" s="302">
        <v>10472</v>
      </c>
      <c r="AJ785" s="311">
        <v>44809</v>
      </c>
      <c r="AK785" s="311">
        <v>43521</v>
      </c>
      <c r="AL785" s="311">
        <v>44803</v>
      </c>
      <c r="AM785" s="301"/>
      <c r="AN785" s="290"/>
      <c r="AO785" s="312" t="str">
        <f>_xlfn.IFNA(IF(VLOOKUP(tabItens[[#This Row],[CÓDIGO]],tabExcluirDoEstoque[#Data],1,FALSE),"sim",""),"")</f>
        <v/>
      </c>
      <c r="AP785" s="313" t="str">
        <f ca="1">IF(OR(ISBLANK(tabItens[[#This Row],[ATA DT.VALID.]]),tabItens[[#This Row],[ATA DT.VALID.]]="",tabItens[[#This Row],[ATA DT.VALID.]]=" "),"",IF(TYPE(tabItens[[#This Row],[ATA DT.VALID.]])=1,ROUNDUP((tabItens[[#This Row],[ATA DT.VALID.]]-TODAY())/7,0),""))</f>
        <v/>
      </c>
      <c r="AQ785" s="314"/>
      <c r="AR785" s="315" t="str">
        <f>IF(ISBLANK(tabItens[[#This Row],[CÓDIGO]]),"",IFERROR(VLOOKUP(tabItens[[#This Row],[CÓDIGO]],Consumo!$C$2:$AC$869,26,FALSE),0))</f>
        <v>07.2023</v>
      </c>
      <c r="AS785" s="316">
        <f>SUMIF(Consumo!$C$3:$C$869,tabItens[[#This Row],[CÓDIGO]],Consumo!$N$3:$N$869) + SUMIF(Consumo!$C$3:$C$869,tabItens[[#This Row],[CÓDIGO]],Consumo!$O$3:$O$869) + SUMIF(Consumo!$C$3:$C$869,tabItens[[#This Row],[CÓDIGO]],Consumo!$P$3:$P$869) + SUMIF(Consumo!$C$3:$C$869,tabItens[[#This Row],[CÓDIGO]],Consumo!$Q$3:$Q$869)</f>
        <v>10370</v>
      </c>
      <c r="AT785" s="316">
        <f>SUMIF(Consumo!$C$3:$C$869,tabItens[[#This Row],[CÓDIGO]],Consumo!$Z$3:$Z$869)</f>
        <v>31415</v>
      </c>
      <c r="AU785" s="317">
        <f>SUMIF(Consumo!$C$3:$C$869,tabItens[[#This Row],[CÓDIGO]],Consumo!$AA$3:$AA$869)</f>
        <v>4575</v>
      </c>
      <c r="AV785" s="318">
        <f>SUMIF(Consumo!$C$3:$C$869,tabItens[[#This Row],[CÓDIGO]],Consumo!$Y$3:$Y$869)</f>
        <v>2617.9166666666665</v>
      </c>
      <c r="AW785" s="291">
        <f>tabItens[[#This Row],[QTDE ATUAL]] + tabItens[[#This Row],[RC QTDE]] + tabItens[[#This Row],[AF SALDO]] + tabItens[[#This Row],[Recentes]]</f>
        <v>18605</v>
      </c>
      <c r="AX785" s="319">
        <v>1466</v>
      </c>
      <c r="AY785" s="319">
        <v>4</v>
      </c>
      <c r="AZ785" s="319">
        <f>IF(ISBLANK(tabItens[[#This Row],[CÓDIGO]]),"",tabItens[[#This Row],[PontoMês]] * (AZ$2+tabItens[[#This Row],[PontoQtM]]))</f>
        <v>5864</v>
      </c>
      <c r="BA785" s="318">
        <f>tabItens[[#This Row],[PontoPed]] - tabItens[[#This Row],[Saldo]] + (1/10)</f>
        <v>-12740.9</v>
      </c>
      <c r="BB785" s="318">
        <f xml:space="preserve"> tabItens[[#This Row],[PontoMês]] * BB$2 - tabItens[[#This Row],[QTDE ATUAL]] - (1/10)</f>
        <v>-15919.1</v>
      </c>
      <c r="BC785" s="320">
        <f>IF( tabItens[[#This Row],[PontoPed]]&gt;0, IF(tabItens[[#This Row],[PontoPed]]&lt;1, 1, IF( tabItens[[#This Row],[Saldo]]&gt;tabItens[[#This Row],[PontoPed]], 0, (tabItens[[#This Row],[PontoPed]]-tabItens[[#This Row],[Saldo]])/tabItens[[#This Row],[PontoPed]] ) ), 0 )</f>
        <v>0</v>
      </c>
      <c r="BD785" s="321">
        <f>ROUNDDOWN(IF( OR( AND(tabItens[[#This Row],[PontoPed]]&lt;tabItens[[#This Row],[Saldo]],tabItens[[#This Row],[Saldo]]&gt;0), tabItens[[#This Row],[PontoPed]]=0), 99, IF(AND(tabItens[[#This Row],[Saldo]]=0,tabItens[[#This Row],[PontoPed]]&gt;0), 0, (1-tabItens[[#This Row],[PctAb]])*10 ) ),0)</f>
        <v>99</v>
      </c>
      <c r="BE785" s="322">
        <f>MAX(ROUNDDOWN( IF(tabItens[[#This Row],[Abaixo]] &gt; 0,   tabItens[[#This Row],[Abaixo]] + (tabItens[[#This Row],[PontoMês]] * IF( OR( ISBLANK(tabItens[[#This Row],[ATA Nº/ANO]]), tabItens[[#This Row],[ATA Nº/ANO]] = ""),BE$2,BE$1)),0),0),0)</f>
        <v>0</v>
      </c>
      <c r="BF78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23">
        <f>SUMIF(Consumo!$C$3:$C$869,tabItens[[#This Row],[CÓDIGO]],Consumo!$E$3:$E$869)</f>
        <v>0</v>
      </c>
      <c r="BH785" s="324">
        <f>IF(AND(tabItens[[#This Row],[Pend]] &gt; 0,tabItens[[#This Row],[Consumo]] &lt;&gt; 0), tabItens[[#This Row],[Pend]] / tabItens[[#This Row],[Consumo]], 0 )</f>
        <v>0</v>
      </c>
      <c r="BI785" s="323"/>
      <c r="BJ785" s="323"/>
      <c r="BK785" s="325" t="s">
        <v>2064</v>
      </c>
    </row>
    <row r="786" spans="1:63" hidden="1" x14ac:dyDescent="0.3">
      <c r="A786" s="286">
        <v>27761</v>
      </c>
      <c r="B786" s="287" t="s">
        <v>1227</v>
      </c>
      <c r="C786" s="288" t="s">
        <v>294</v>
      </c>
      <c r="D786" s="289">
        <v>27.76</v>
      </c>
      <c r="E786" s="290"/>
      <c r="F786" s="290"/>
      <c r="G786" s="290" t="s">
        <v>883</v>
      </c>
      <c r="H786" s="291">
        <v>52</v>
      </c>
      <c r="I786" s="292">
        <v>103003</v>
      </c>
      <c r="J786" s="293">
        <v>27.76</v>
      </c>
      <c r="K786" s="294">
        <v>3</v>
      </c>
      <c r="L786" s="295">
        <f>IF(tabItens[[#This Row],[Média]] &gt; 0, tabItens[[#This Row],[QTDE ATUAL]] / tabItens[[#This Row],[Média]],999.9)</f>
        <v>312</v>
      </c>
      <c r="M786" s="296">
        <v>0</v>
      </c>
      <c r="N786" s="297">
        <f>tabItens[[#This Row],[VALOR UNIT.]] * tabItens[[#This Row],[LC]]</f>
        <v>0</v>
      </c>
      <c r="O786" s="298"/>
      <c r="P786" s="299"/>
      <c r="Q786" s="300"/>
      <c r="R786" s="297"/>
      <c r="S786" s="301"/>
      <c r="T786" s="302">
        <f>ROUNDDOWN(IFERROR(tabItens[[#This Row],[ATA DT.VALID.]] - $D$1,0) / 30,0)</f>
        <v>-1504</v>
      </c>
      <c r="U786" s="287" t="s">
        <v>1039</v>
      </c>
      <c r="V786" s="303">
        <v>1</v>
      </c>
      <c r="W786" s="304" t="s">
        <v>2054</v>
      </c>
      <c r="X786" s="305">
        <v>61</v>
      </c>
      <c r="Y786" s="306">
        <v>2</v>
      </c>
      <c r="Z786" s="307"/>
      <c r="AA786" s="308"/>
      <c r="AB786" s="309"/>
      <c r="AC786" s="309"/>
      <c r="AD786" s="308"/>
      <c r="AE786" s="309"/>
      <c r="AF786" s="302"/>
      <c r="AG786" s="310" t="s">
        <v>2050</v>
      </c>
      <c r="AH786" s="311"/>
      <c r="AI786" s="302">
        <v>0</v>
      </c>
      <c r="AJ786" s="311">
        <v>42647</v>
      </c>
      <c r="AK786" s="311" t="s">
        <v>883</v>
      </c>
      <c r="AL786" s="311">
        <v>42635</v>
      </c>
      <c r="AM786" s="301"/>
      <c r="AN786" s="290"/>
      <c r="AO786" s="312" t="str">
        <f>_xlfn.IFNA(IF(VLOOKUP(tabItens[[#This Row],[CÓDIGO]],tabExcluirDoEstoque[#Data],1,FALSE),"sim",""),"")</f>
        <v/>
      </c>
      <c r="AP786" s="313" t="str">
        <f ca="1">IF(OR(ISBLANK(tabItens[[#This Row],[ATA DT.VALID.]]),tabItens[[#This Row],[ATA DT.VALID.]]="",tabItens[[#This Row],[ATA DT.VALID.]]=" "),"",IF(TYPE(tabItens[[#This Row],[ATA DT.VALID.]])=1,ROUNDUP((tabItens[[#This Row],[ATA DT.VALID.]]-TODAY())/7,0),""))</f>
        <v/>
      </c>
      <c r="AQ786" s="314"/>
      <c r="AR786" s="315" t="str">
        <f>IF(ISBLANK(tabItens[[#This Row],[CÓDIGO]]),"",IFERROR(VLOOKUP(tabItens[[#This Row],[CÓDIGO]],Consumo!$C$2:$AC$869,26,FALSE),0))</f>
        <v>06.2023</v>
      </c>
      <c r="AS786" s="316">
        <f>SUMIF(Consumo!$C$3:$C$869,tabItens[[#This Row],[CÓDIGO]],Consumo!$N$3:$N$869) + SUMIF(Consumo!$C$3:$C$869,tabItens[[#This Row],[CÓDIGO]],Consumo!$O$3:$O$869) + SUMIF(Consumo!$C$3:$C$869,tabItens[[#This Row],[CÓDIGO]],Consumo!$P$3:$P$869) + SUMIF(Consumo!$C$3:$C$869,tabItens[[#This Row],[CÓDIGO]],Consumo!$Q$3:$Q$869)</f>
        <v>2</v>
      </c>
      <c r="AT786" s="316">
        <f>SUMIF(Consumo!$C$3:$C$869,tabItens[[#This Row],[CÓDIGO]],Consumo!$Z$3:$Z$869)</f>
        <v>3</v>
      </c>
      <c r="AU786" s="317">
        <f>SUMIF(Consumo!$C$3:$C$869,tabItens[[#This Row],[CÓDIGO]],Consumo!$AA$3:$AA$869)</f>
        <v>2</v>
      </c>
      <c r="AV786" s="318">
        <f>SUMIF(Consumo!$C$3:$C$869,tabItens[[#This Row],[CÓDIGO]],Consumo!$Y$3:$Y$869)</f>
        <v>0.16666666666666666</v>
      </c>
      <c r="AW786" s="291">
        <f>tabItens[[#This Row],[QTDE ATUAL]] + tabItens[[#This Row],[RC QTDE]] + tabItens[[#This Row],[AF SALDO]] + tabItens[[#This Row],[Recentes]]</f>
        <v>52</v>
      </c>
      <c r="AX786" s="319">
        <v>0</v>
      </c>
      <c r="AY786" s="319">
        <v>4</v>
      </c>
      <c r="AZ786" s="319">
        <f>IF(ISBLANK(tabItens[[#This Row],[CÓDIGO]]),"",tabItens[[#This Row],[PontoMês]] * (AZ$2+tabItens[[#This Row],[PontoQtM]]))</f>
        <v>0</v>
      </c>
      <c r="BA786" s="318">
        <f>tabItens[[#This Row],[PontoPed]] - tabItens[[#This Row],[Saldo]] + (1/10)</f>
        <v>-51.9</v>
      </c>
      <c r="BB786" s="318">
        <f xml:space="preserve"> tabItens[[#This Row],[PontoMês]] * BB$2 - tabItens[[#This Row],[QTDE ATUAL]] - (1/10)</f>
        <v>-52.1</v>
      </c>
      <c r="BC786" s="320">
        <f>IF( tabItens[[#This Row],[PontoPed]]&gt;0, IF(tabItens[[#This Row],[PontoPed]]&lt;1, 1, IF( tabItens[[#This Row],[Saldo]]&gt;tabItens[[#This Row],[PontoPed]], 0, (tabItens[[#This Row],[PontoPed]]-tabItens[[#This Row],[Saldo]])/tabItens[[#This Row],[PontoPed]] ) ), 0 )</f>
        <v>0</v>
      </c>
      <c r="BD786" s="321">
        <f>ROUNDDOWN(IF( OR( AND(tabItens[[#This Row],[PontoPed]]&lt;tabItens[[#This Row],[Saldo]],tabItens[[#This Row],[Saldo]]&gt;0), tabItens[[#This Row],[PontoPed]]=0), 99, IF(AND(tabItens[[#This Row],[Saldo]]=0,tabItens[[#This Row],[PontoPed]]&gt;0), 0, (1-tabItens[[#This Row],[PctAb]])*10 ) ),0)</f>
        <v>99</v>
      </c>
      <c r="BE786" s="322">
        <f>MAX(ROUNDDOWN( IF(tabItens[[#This Row],[Abaixo]] &gt; 0,   tabItens[[#This Row],[Abaixo]] + (tabItens[[#This Row],[PontoMês]] * IF( OR( ISBLANK(tabItens[[#This Row],[ATA Nº/ANO]]), tabItens[[#This Row],[ATA Nº/ANO]] = ""),BE$2,BE$1)),0),0),0)</f>
        <v>0</v>
      </c>
      <c r="BF78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23">
        <f>SUMIF(Consumo!$C$3:$C$869,tabItens[[#This Row],[CÓDIGO]],Consumo!$E$3:$E$869)</f>
        <v>0</v>
      </c>
      <c r="BH786" s="324">
        <f>IF(AND(tabItens[[#This Row],[Pend]] &gt; 0,tabItens[[#This Row],[Consumo]] &lt;&gt; 0), tabItens[[#This Row],[Pend]] / tabItens[[#This Row],[Consumo]], 0 )</f>
        <v>0</v>
      </c>
      <c r="BI786" s="323"/>
      <c r="BJ786" s="323"/>
      <c r="BK786" s="325" t="s">
        <v>2064</v>
      </c>
    </row>
    <row r="787" spans="1:63" hidden="1" x14ac:dyDescent="0.3">
      <c r="A787" s="286">
        <v>27764</v>
      </c>
      <c r="B787" s="287" t="s">
        <v>1228</v>
      </c>
      <c r="C787" s="288" t="s">
        <v>331</v>
      </c>
      <c r="D787" s="289">
        <v>2.58</v>
      </c>
      <c r="E787" s="290"/>
      <c r="F787" s="290"/>
      <c r="G787" s="290" t="s">
        <v>883</v>
      </c>
      <c r="H787" s="291">
        <v>560</v>
      </c>
      <c r="I787" s="292">
        <v>103003</v>
      </c>
      <c r="J787" s="293">
        <v>2.58</v>
      </c>
      <c r="K787" s="294"/>
      <c r="L787" s="295">
        <f>IF(tabItens[[#This Row],[Média]] &gt; 0, tabItens[[#This Row],[QTDE ATUAL]] / tabItens[[#This Row],[Média]],999.9)</f>
        <v>999.9</v>
      </c>
      <c r="M787" s="296">
        <v>0</v>
      </c>
      <c r="N787" s="297">
        <f>tabItens[[#This Row],[VALOR UNIT.]] * tabItens[[#This Row],[LC]]</f>
        <v>0</v>
      </c>
      <c r="O787" s="298"/>
      <c r="P787" s="299"/>
      <c r="Q787" s="300"/>
      <c r="R787" s="297"/>
      <c r="S787" s="301"/>
      <c r="T787" s="302">
        <f>ROUNDDOWN(IFERROR(tabItens[[#This Row],[ATA DT.VALID.]] - $D$1,0) / 30,0)</f>
        <v>-1504</v>
      </c>
      <c r="U787" s="287" t="s">
        <v>1039</v>
      </c>
      <c r="V787" s="303">
        <v>1</v>
      </c>
      <c r="W787" s="304" t="s">
        <v>2054</v>
      </c>
      <c r="X787" s="305">
        <v>61</v>
      </c>
      <c r="Y787" s="306">
        <v>2</v>
      </c>
      <c r="Z787" s="307"/>
      <c r="AA787" s="308"/>
      <c r="AB787" s="309"/>
      <c r="AC787" s="309"/>
      <c r="AD787" s="308"/>
      <c r="AE787" s="309"/>
      <c r="AF787" s="302"/>
      <c r="AG787" s="310" t="s">
        <v>2050</v>
      </c>
      <c r="AH787" s="311"/>
      <c r="AI787" s="302">
        <v>0</v>
      </c>
      <c r="AJ787" s="311">
        <v>44172</v>
      </c>
      <c r="AK787" s="311" t="s">
        <v>883</v>
      </c>
      <c r="AL787" s="311">
        <v>44165</v>
      </c>
      <c r="AM787" s="301"/>
      <c r="AN787" s="290"/>
      <c r="AO787" s="312" t="str">
        <f>_xlfn.IFNA(IF(VLOOKUP(tabItens[[#This Row],[CÓDIGO]],tabExcluirDoEstoque[#Data],1,FALSE),"sim",""),"")</f>
        <v/>
      </c>
      <c r="AP787" s="313" t="str">
        <f ca="1">IF(OR(ISBLANK(tabItens[[#This Row],[ATA DT.VALID.]]),tabItens[[#This Row],[ATA DT.VALID.]]="",tabItens[[#This Row],[ATA DT.VALID.]]=" "),"",IF(TYPE(tabItens[[#This Row],[ATA DT.VALID.]])=1,ROUNDUP((tabItens[[#This Row],[ATA DT.VALID.]]-TODAY())/7,0),""))</f>
        <v/>
      </c>
      <c r="AQ787" s="314"/>
      <c r="AR787" s="315">
        <f>IF(ISBLANK(tabItens[[#This Row],[CÓDIGO]]),"",IFERROR(VLOOKUP(tabItens[[#This Row],[CÓDIGO]],Consumo!$C$2:$AC$869,26,FALSE),0))</f>
        <v>0</v>
      </c>
      <c r="AS787" s="316">
        <f>SUMIF(Consumo!$C$3:$C$869,tabItens[[#This Row],[CÓDIGO]],Consumo!$N$3:$N$869) + SUMIF(Consumo!$C$3:$C$869,tabItens[[#This Row],[CÓDIGO]],Consumo!$O$3:$O$869) + SUMIF(Consumo!$C$3:$C$869,tabItens[[#This Row],[CÓDIGO]],Consumo!$P$3:$P$869) + SUMIF(Consumo!$C$3:$C$869,tabItens[[#This Row],[CÓDIGO]],Consumo!$Q$3:$Q$869)</f>
        <v>0</v>
      </c>
      <c r="AT787" s="316">
        <f>SUMIF(Consumo!$C$3:$C$869,tabItens[[#This Row],[CÓDIGO]],Consumo!$Z$3:$Z$869)</f>
        <v>0</v>
      </c>
      <c r="AU787" s="317">
        <f>SUMIF(Consumo!$C$3:$C$869,tabItens[[#This Row],[CÓDIGO]],Consumo!$AA$3:$AA$869)</f>
        <v>0</v>
      </c>
      <c r="AV787" s="318">
        <f>SUMIF(Consumo!$C$3:$C$869,tabItens[[#This Row],[CÓDIGO]],Consumo!$Y$3:$Y$869)</f>
        <v>0</v>
      </c>
      <c r="AW787" s="291">
        <f>tabItens[[#This Row],[QTDE ATUAL]] + tabItens[[#This Row],[RC QTDE]] + tabItens[[#This Row],[AF SALDO]] + tabItens[[#This Row],[Recentes]]</f>
        <v>560</v>
      </c>
      <c r="AX787" s="319">
        <v>17</v>
      </c>
      <c r="AY787" s="319">
        <v>4</v>
      </c>
      <c r="AZ787" s="319">
        <f>IF(ISBLANK(tabItens[[#This Row],[CÓDIGO]]),"",tabItens[[#This Row],[PontoMês]] * (AZ$2+tabItens[[#This Row],[PontoQtM]]))</f>
        <v>68</v>
      </c>
      <c r="BA787" s="318">
        <f>tabItens[[#This Row],[PontoPed]] - tabItens[[#This Row],[Saldo]] + (1/10)</f>
        <v>-491.9</v>
      </c>
      <c r="BB787" s="318">
        <f xml:space="preserve"> tabItens[[#This Row],[PontoMês]] * BB$2 - tabItens[[#This Row],[QTDE ATUAL]] - (1/10)</f>
        <v>-543.1</v>
      </c>
      <c r="BC787" s="320">
        <f>IF( tabItens[[#This Row],[PontoPed]]&gt;0, IF(tabItens[[#This Row],[PontoPed]]&lt;1, 1, IF( tabItens[[#This Row],[Saldo]]&gt;tabItens[[#This Row],[PontoPed]], 0, (tabItens[[#This Row],[PontoPed]]-tabItens[[#This Row],[Saldo]])/tabItens[[#This Row],[PontoPed]] ) ), 0 )</f>
        <v>0</v>
      </c>
      <c r="BD787" s="321">
        <f>ROUNDDOWN(IF( OR( AND(tabItens[[#This Row],[PontoPed]]&lt;tabItens[[#This Row],[Saldo]],tabItens[[#This Row],[Saldo]]&gt;0), tabItens[[#This Row],[PontoPed]]=0), 99, IF(AND(tabItens[[#This Row],[Saldo]]=0,tabItens[[#This Row],[PontoPed]]&gt;0), 0, (1-tabItens[[#This Row],[PctAb]])*10 ) ),0)</f>
        <v>99</v>
      </c>
      <c r="BE787" s="322">
        <f>MAX(ROUNDDOWN( IF(tabItens[[#This Row],[Abaixo]] &gt; 0,   tabItens[[#This Row],[Abaixo]] + (tabItens[[#This Row],[PontoMês]] * IF( OR( ISBLANK(tabItens[[#This Row],[ATA Nº/ANO]]), tabItens[[#This Row],[ATA Nº/ANO]] = ""),BE$2,BE$1)),0),0),0)</f>
        <v>0</v>
      </c>
      <c r="BF78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23">
        <f>SUMIF(Consumo!$C$3:$C$869,tabItens[[#This Row],[CÓDIGO]],Consumo!$E$3:$E$869)</f>
        <v>0</v>
      </c>
      <c r="BH787" s="324">
        <f>IF(AND(tabItens[[#This Row],[Pend]] &gt; 0,tabItens[[#This Row],[Consumo]] &lt;&gt; 0), tabItens[[#This Row],[Pend]] / tabItens[[#This Row],[Consumo]], 0 )</f>
        <v>0</v>
      </c>
      <c r="BI787" s="323"/>
      <c r="BJ787" s="323"/>
      <c r="BK787" s="325" t="s">
        <v>2064</v>
      </c>
    </row>
    <row r="788" spans="1:63" hidden="1" x14ac:dyDescent="0.3">
      <c r="A788" s="286">
        <v>28512</v>
      </c>
      <c r="B788" s="287" t="s">
        <v>1235</v>
      </c>
      <c r="C788" s="288" t="s">
        <v>331</v>
      </c>
      <c r="D788" s="289">
        <v>2.39</v>
      </c>
      <c r="E788" s="290"/>
      <c r="F788" s="290"/>
      <c r="G788" s="290" t="s">
        <v>883</v>
      </c>
      <c r="H788" s="291">
        <v>104</v>
      </c>
      <c r="I788" s="292">
        <v>103003</v>
      </c>
      <c r="J788" s="293">
        <v>2.39</v>
      </c>
      <c r="K788" s="294">
        <v>50</v>
      </c>
      <c r="L788" s="295">
        <f>IF(tabItens[[#This Row],[Média]] &gt; 0, tabItens[[#This Row],[QTDE ATUAL]] / tabItens[[#This Row],[Média]],999.9)</f>
        <v>37.81818181818182</v>
      </c>
      <c r="M788" s="296">
        <v>0</v>
      </c>
      <c r="N788" s="297">
        <f>tabItens[[#This Row],[VALOR UNIT.]] * tabItens[[#This Row],[LC]]</f>
        <v>0</v>
      </c>
      <c r="O788" s="298"/>
      <c r="P788" s="299"/>
      <c r="Q788" s="300"/>
      <c r="R788" s="297"/>
      <c r="S788" s="301"/>
      <c r="T788" s="302">
        <f>ROUNDDOWN(IFERROR(tabItens[[#This Row],[ATA DT.VALID.]] - $D$1,0) / 30,0)</f>
        <v>-1504</v>
      </c>
      <c r="U788" s="287" t="s">
        <v>1039</v>
      </c>
      <c r="V788" s="303">
        <v>1</v>
      </c>
      <c r="W788" s="304" t="s">
        <v>2054</v>
      </c>
      <c r="X788" s="305">
        <v>61</v>
      </c>
      <c r="Y788" s="306">
        <v>2</v>
      </c>
      <c r="Z788" s="307">
        <v>2453</v>
      </c>
      <c r="AA788" s="308">
        <v>2023</v>
      </c>
      <c r="AB788" s="309">
        <v>300</v>
      </c>
      <c r="AC788" s="309"/>
      <c r="AD788" s="308"/>
      <c r="AE788" s="309"/>
      <c r="AF788" s="302"/>
      <c r="AG788" s="310" t="s">
        <v>2050</v>
      </c>
      <c r="AH788" s="311"/>
      <c r="AI788" s="302">
        <v>16</v>
      </c>
      <c r="AJ788" s="311">
        <v>44634</v>
      </c>
      <c r="AK788" s="311" t="s">
        <v>883</v>
      </c>
      <c r="AL788" s="311">
        <v>44607</v>
      </c>
      <c r="AM788" s="301"/>
      <c r="AN788" s="290"/>
      <c r="AO788" s="312" t="str">
        <f>_xlfn.IFNA(IF(VLOOKUP(tabItens[[#This Row],[CÓDIGO]],tabExcluirDoEstoque[#Data],1,FALSE),"sim",""),"")</f>
        <v/>
      </c>
      <c r="AP788" s="313" t="str">
        <f ca="1">IF(OR(ISBLANK(tabItens[[#This Row],[ATA DT.VALID.]]),tabItens[[#This Row],[ATA DT.VALID.]]="",tabItens[[#This Row],[ATA DT.VALID.]]=" "),"",IF(TYPE(tabItens[[#This Row],[ATA DT.VALID.]])=1,ROUNDUP((tabItens[[#This Row],[ATA DT.VALID.]]-TODAY())/7,0),""))</f>
        <v/>
      </c>
      <c r="AQ788" s="314"/>
      <c r="AR788" s="315" t="str">
        <f>IF(ISBLANK(tabItens[[#This Row],[CÓDIGO]]),"",IFERROR(VLOOKUP(tabItens[[#This Row],[CÓDIGO]],Consumo!$C$2:$AC$869,26,FALSE),0))</f>
        <v>08.2022</v>
      </c>
      <c r="AS788" s="316">
        <f>SUMIF(Consumo!$C$3:$C$869,tabItens[[#This Row],[CÓDIGO]],Consumo!$N$3:$N$869) + SUMIF(Consumo!$C$3:$C$869,tabItens[[#This Row],[CÓDIGO]],Consumo!$O$3:$O$869) + SUMIF(Consumo!$C$3:$C$869,tabItens[[#This Row],[CÓDIGO]],Consumo!$P$3:$P$869) + SUMIF(Consumo!$C$3:$C$869,tabItens[[#This Row],[CÓDIGO]],Consumo!$Q$3:$Q$869)</f>
        <v>0</v>
      </c>
      <c r="AT788" s="316">
        <f>SUMIF(Consumo!$C$3:$C$869,tabItens[[#This Row],[CÓDIGO]],Consumo!$Z$3:$Z$869)</f>
        <v>50</v>
      </c>
      <c r="AU788" s="317">
        <f>SUMIF(Consumo!$C$3:$C$869,tabItens[[#This Row],[CÓDIGO]],Consumo!$AA$3:$AA$869)</f>
        <v>50</v>
      </c>
      <c r="AV788" s="318">
        <f>SUMIF(Consumo!$C$3:$C$869,tabItens[[#This Row],[CÓDIGO]],Consumo!$Y$3:$Y$869)</f>
        <v>2.75</v>
      </c>
      <c r="AW788" s="291">
        <f>tabItens[[#This Row],[QTDE ATUAL]] + tabItens[[#This Row],[RC QTDE]] + tabItens[[#This Row],[AF SALDO]] + tabItens[[#This Row],[Recentes]]</f>
        <v>404</v>
      </c>
      <c r="AX788" s="319">
        <v>18</v>
      </c>
      <c r="AY788" s="319">
        <v>4</v>
      </c>
      <c r="AZ788" s="319">
        <f>IF(ISBLANK(tabItens[[#This Row],[CÓDIGO]]),"",tabItens[[#This Row],[PontoMês]] * (AZ$2+tabItens[[#This Row],[PontoQtM]]))</f>
        <v>72</v>
      </c>
      <c r="BA788" s="318">
        <f>tabItens[[#This Row],[PontoPed]] - tabItens[[#This Row],[Saldo]] + (1/10)</f>
        <v>-331.9</v>
      </c>
      <c r="BB788" s="318">
        <f xml:space="preserve"> tabItens[[#This Row],[PontoMês]] * BB$2 - tabItens[[#This Row],[QTDE ATUAL]] - (1/10)</f>
        <v>-86.1</v>
      </c>
      <c r="BC788" s="320">
        <f>IF( tabItens[[#This Row],[PontoPed]]&gt;0, IF(tabItens[[#This Row],[PontoPed]]&lt;1, 1, IF( tabItens[[#This Row],[Saldo]]&gt;tabItens[[#This Row],[PontoPed]], 0, (tabItens[[#This Row],[PontoPed]]-tabItens[[#This Row],[Saldo]])/tabItens[[#This Row],[PontoPed]] ) ), 0 )</f>
        <v>0</v>
      </c>
      <c r="BD788" s="321">
        <f>ROUNDDOWN(IF( OR( AND(tabItens[[#This Row],[PontoPed]]&lt;tabItens[[#This Row],[Saldo]],tabItens[[#This Row],[Saldo]]&gt;0), tabItens[[#This Row],[PontoPed]]=0), 99, IF(AND(tabItens[[#This Row],[Saldo]]=0,tabItens[[#This Row],[PontoPed]]&gt;0), 0, (1-tabItens[[#This Row],[PctAb]])*10 ) ),0)</f>
        <v>99</v>
      </c>
      <c r="BE788" s="322">
        <f>MAX(ROUNDDOWN( IF(tabItens[[#This Row],[Abaixo]] &gt; 0,   tabItens[[#This Row],[Abaixo]] + (tabItens[[#This Row],[PontoMês]] * IF( OR( ISBLANK(tabItens[[#This Row],[ATA Nº/ANO]]), tabItens[[#This Row],[ATA Nº/ANO]] = ""),BE$2,BE$1)),0),0),0)</f>
        <v>0</v>
      </c>
      <c r="BF78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23">
        <f>SUMIF(Consumo!$C$3:$C$869,tabItens[[#This Row],[CÓDIGO]],Consumo!$E$3:$E$869)</f>
        <v>0</v>
      </c>
      <c r="BH788" s="324">
        <f>IF(AND(tabItens[[#This Row],[Pend]] &gt; 0,tabItens[[#This Row],[Consumo]] &lt;&gt; 0), tabItens[[#This Row],[Pend]] / tabItens[[#This Row],[Consumo]], 0 )</f>
        <v>0</v>
      </c>
      <c r="BI788" s="323"/>
      <c r="BJ788" s="323"/>
      <c r="BK788" s="325" t="s">
        <v>2064</v>
      </c>
    </row>
    <row r="789" spans="1:63" x14ac:dyDescent="0.3">
      <c r="A789" s="396">
        <v>123710</v>
      </c>
      <c r="B789" s="397" t="s">
        <v>1753</v>
      </c>
      <c r="C789" s="398" t="s">
        <v>281</v>
      </c>
      <c r="D789" s="399">
        <v>220</v>
      </c>
      <c r="E789" s="290"/>
      <c r="F789" s="400"/>
      <c r="G789" s="400" t="s">
        <v>883</v>
      </c>
      <c r="H789" s="401">
        <v>0</v>
      </c>
      <c r="I789" s="292">
        <v>103003</v>
      </c>
      <c r="J789" s="293">
        <v>220</v>
      </c>
      <c r="K789" s="402">
        <v>121</v>
      </c>
      <c r="L789" s="403">
        <f>IF(tabItens[[#This Row],[Média]] &gt; 0, tabItens[[#This Row],[QTDE ATUAL]] / tabItens[[#This Row],[Média]],999.9)</f>
        <v>0</v>
      </c>
      <c r="M789" s="404"/>
      <c r="N789" s="405">
        <f>tabItens[[#This Row],[VALOR UNIT.]] * tabItens[[#This Row],[LC]]</f>
        <v>0</v>
      </c>
      <c r="O789" s="406"/>
      <c r="P789" s="407"/>
      <c r="Q789" s="408"/>
      <c r="R789" s="297"/>
      <c r="S789" s="409"/>
      <c r="T789" s="410">
        <f>ROUNDDOWN(IFERROR(tabItens[[#This Row],[ATA DT.VALID.]] - $D$1,0) / 30,0)</f>
        <v>-1504</v>
      </c>
      <c r="U789" s="287" t="s">
        <v>1754</v>
      </c>
      <c r="V789" s="303">
        <v>1</v>
      </c>
      <c r="W789" s="411" t="s">
        <v>2049</v>
      </c>
      <c r="X789" s="412">
        <v>61</v>
      </c>
      <c r="Y789" s="413">
        <v>4</v>
      </c>
      <c r="Z789" s="414">
        <v>2960</v>
      </c>
      <c r="AA789" s="415">
        <v>2023</v>
      </c>
      <c r="AB789" s="416">
        <v>100</v>
      </c>
      <c r="AC789" s="416"/>
      <c r="AD789" s="415"/>
      <c r="AE789" s="416"/>
      <c r="AF789" s="302"/>
      <c r="AG789" s="417" t="s">
        <v>2050</v>
      </c>
      <c r="AH789" s="418"/>
      <c r="AI789" s="302">
        <v>54</v>
      </c>
      <c r="AJ789" s="418">
        <v>44946</v>
      </c>
      <c r="AK789" s="311">
        <v>41143</v>
      </c>
      <c r="AL789" s="311">
        <v>44942</v>
      </c>
      <c r="AM789" s="301"/>
      <c r="AN789" s="290"/>
      <c r="AO789" s="312" t="str">
        <f>_xlfn.IFNA(IF(VLOOKUP(tabItens[[#This Row],[CÓDIGO]],tabExcluirDoEstoque[#Data],1,FALSE),"sim",""),"")</f>
        <v/>
      </c>
      <c r="AP789" s="419" t="str">
        <f ca="1">IF(OR(ISBLANK(tabItens[[#This Row],[ATA DT.VALID.]]),tabItens[[#This Row],[ATA DT.VALID.]]="",tabItens[[#This Row],[ATA DT.VALID.]]=" "),"",IF(TYPE(tabItens[[#This Row],[ATA DT.VALID.]])=1,ROUNDUP((tabItens[[#This Row],[ATA DT.VALID.]]-TODAY())/7,0),""))</f>
        <v/>
      </c>
      <c r="AQ789" s="314"/>
      <c r="AR789" s="315" t="str">
        <f>IF(ISBLANK(tabItens[[#This Row],[CÓDIGO]]),"",IFERROR(VLOOKUP(tabItens[[#This Row],[CÓDIGO]],Consumo!$C$2:$AC$869,26,FALSE),0))</f>
        <v>07.2023</v>
      </c>
      <c r="AS789" s="316">
        <f>SUMIF(Consumo!$C$3:$C$869,tabItens[[#This Row],[CÓDIGO]],Consumo!$N$3:$N$869) + SUMIF(Consumo!$C$3:$C$869,tabItens[[#This Row],[CÓDIGO]],Consumo!$O$3:$O$869) + SUMIF(Consumo!$C$3:$C$869,tabItens[[#This Row],[CÓDIGO]],Consumo!$P$3:$P$869) + SUMIF(Consumo!$C$3:$C$869,tabItens[[#This Row],[CÓDIGO]],Consumo!$Q$3:$Q$869)</f>
        <v>75</v>
      </c>
      <c r="AT789" s="316">
        <f>SUMIF(Consumo!$C$3:$C$869,tabItens[[#This Row],[CÓDIGO]],Consumo!$Z$3:$Z$869)</f>
        <v>164</v>
      </c>
      <c r="AU789" s="317">
        <f>SUMIF(Consumo!$C$3:$C$869,tabItens[[#This Row],[CÓDIGO]],Consumo!$AA$3:$AA$869)</f>
        <v>34</v>
      </c>
      <c r="AV789" s="318">
        <f>SUMIF(Consumo!$C$3:$C$869,tabItens[[#This Row],[CÓDIGO]],Consumo!$Y$3:$Y$869)</f>
        <v>13.416666666666666</v>
      </c>
      <c r="AW789" s="401">
        <f>tabItens[[#This Row],[QTDE ATUAL]] + tabItens[[#This Row],[RC QTDE]] + tabItens[[#This Row],[AF SALDO]] + tabItens[[#This Row],[Recentes]]</f>
        <v>100</v>
      </c>
      <c r="AX789" s="420">
        <v>6</v>
      </c>
      <c r="AY789" s="420">
        <v>4</v>
      </c>
      <c r="AZ789" s="420">
        <f>IF(ISBLANK(tabItens[[#This Row],[CÓDIGO]]),"",tabItens[[#This Row],[PontoMês]] * (AZ$2+tabItens[[#This Row],[PontoQtM]]))</f>
        <v>24</v>
      </c>
      <c r="BA789" s="421">
        <f>tabItens[[#This Row],[PontoPed]] - tabItens[[#This Row],[Saldo]] + (1/10)</f>
        <v>-75.900000000000006</v>
      </c>
      <c r="BB789" s="421">
        <f xml:space="preserve"> tabItens[[#This Row],[PontoMês]] * BB$2 - tabItens[[#This Row],[QTDE ATUAL]] - (1/10)</f>
        <v>5.9</v>
      </c>
      <c r="BC789" s="320">
        <f>IF( tabItens[[#This Row],[PontoPed]]&gt;0, IF(tabItens[[#This Row],[PontoPed]]&lt;1, 1, IF( tabItens[[#This Row],[Saldo]]&gt;tabItens[[#This Row],[PontoPed]], 0, (tabItens[[#This Row],[PontoPed]]-tabItens[[#This Row],[Saldo]])/tabItens[[#This Row],[PontoPed]] ) ), 0 )</f>
        <v>0</v>
      </c>
      <c r="BD789" s="422">
        <f>ROUNDDOWN(IF( OR( AND(tabItens[[#This Row],[PontoPed]]&lt;tabItens[[#This Row],[Saldo]],tabItens[[#This Row],[Saldo]]&gt;0), tabItens[[#This Row],[PontoPed]]=0), 99, IF(AND(tabItens[[#This Row],[Saldo]]=0,tabItens[[#This Row],[PontoPed]]&gt;0), 0, (1-tabItens[[#This Row],[PctAb]])*10 ) ),0)</f>
        <v>99</v>
      </c>
      <c r="BE789" s="423">
        <f>MAX(ROUNDDOWN( IF(tabItens[[#This Row],[Abaixo]] &gt; 0,   tabItens[[#This Row],[Abaixo]] + (tabItens[[#This Row],[PontoMês]] * IF( OR( ISBLANK(tabItens[[#This Row],[ATA Nº/ANO]]), tabItens[[#This Row],[ATA Nº/ANO]] = ""),BE$2,BE$1)),0),0),0)</f>
        <v>0</v>
      </c>
      <c r="BF789"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23">
        <f>SUMIF(Consumo!$C$3:$C$869,tabItens[[#This Row],[CÓDIGO]],Consumo!$E$3:$E$869)</f>
        <v>5</v>
      </c>
      <c r="BH789" s="324">
        <f>IF(AND(tabItens[[#This Row],[Pend]] &gt; 0,tabItens[[#This Row],[Consumo]] &lt;&gt; 0), tabItens[[#This Row],[Pend]] / tabItens[[#This Row],[Consumo]], 0 )</f>
        <v>3.048780487804878E-2</v>
      </c>
      <c r="BI789" s="323"/>
      <c r="BJ789" s="424"/>
      <c r="BK789" s="425" t="s">
        <v>2064</v>
      </c>
    </row>
    <row r="790" spans="1:63" hidden="1" x14ac:dyDescent="0.3">
      <c r="A790" s="286">
        <v>13068</v>
      </c>
      <c r="B790" s="287" t="s">
        <v>995</v>
      </c>
      <c r="C790" s="288" t="s">
        <v>256</v>
      </c>
      <c r="D790" s="289">
        <v>4.3</v>
      </c>
      <c r="E790" s="290"/>
      <c r="F790" s="290"/>
      <c r="G790" s="290" t="s">
        <v>883</v>
      </c>
      <c r="H790" s="291">
        <v>163</v>
      </c>
      <c r="I790" s="292">
        <v>103003</v>
      </c>
      <c r="J790" s="293">
        <v>4.3</v>
      </c>
      <c r="K790" s="294">
        <v>40</v>
      </c>
      <c r="L790" s="295">
        <f>IF(tabItens[[#This Row],[Média]] &gt; 0, tabItens[[#This Row],[QTDE ATUAL]] / tabItens[[#This Row],[Média]],999.9)</f>
        <v>55.885714285714286</v>
      </c>
      <c r="M790" s="296">
        <v>0</v>
      </c>
      <c r="N790" s="297">
        <f>tabItens[[#This Row],[VALOR UNIT.]] * tabItens[[#This Row],[LC]]</f>
        <v>0</v>
      </c>
      <c r="O790" s="298"/>
      <c r="P790" s="299"/>
      <c r="Q790" s="300"/>
      <c r="R790" s="297"/>
      <c r="S790" s="301"/>
      <c r="T790" s="302">
        <f>ROUNDDOWN(IFERROR(tabItens[[#This Row],[ATA DT.VALID.]] - $D$1,0) / 30,0)</f>
        <v>-1504</v>
      </c>
      <c r="U790" s="287" t="s">
        <v>964</v>
      </c>
      <c r="V790" s="303">
        <v>1</v>
      </c>
      <c r="W790" s="304" t="s">
        <v>2054</v>
      </c>
      <c r="X790" s="305">
        <v>61</v>
      </c>
      <c r="Y790" s="306">
        <v>8</v>
      </c>
      <c r="Z790" s="307"/>
      <c r="AA790" s="308"/>
      <c r="AB790" s="309"/>
      <c r="AC790" s="309"/>
      <c r="AD790" s="308"/>
      <c r="AE790" s="309"/>
      <c r="AF790" s="302"/>
      <c r="AG790" s="310" t="s">
        <v>2050</v>
      </c>
      <c r="AH790" s="311"/>
      <c r="AI790" s="302">
        <v>14</v>
      </c>
      <c r="AJ790" s="311">
        <v>44069</v>
      </c>
      <c r="AK790" s="311" t="s">
        <v>883</v>
      </c>
      <c r="AL790" s="311">
        <v>44029</v>
      </c>
      <c r="AM790" s="301"/>
      <c r="AN790" s="290"/>
      <c r="AO790" s="312" t="str">
        <f>_xlfn.IFNA(IF(VLOOKUP(tabItens[[#This Row],[CÓDIGO]],tabExcluirDoEstoque[#Data],1,FALSE),"sim",""),"")</f>
        <v/>
      </c>
      <c r="AP790" s="313" t="str">
        <f ca="1">IF(OR(ISBLANK(tabItens[[#This Row],[ATA DT.VALID.]]),tabItens[[#This Row],[ATA DT.VALID.]]="",tabItens[[#This Row],[ATA DT.VALID.]]=" "),"",IF(TYPE(tabItens[[#This Row],[ATA DT.VALID.]])=1,ROUNDUP((tabItens[[#This Row],[ATA DT.VALID.]]-TODAY())/7,0),""))</f>
        <v/>
      </c>
      <c r="AQ790" s="314"/>
      <c r="AR790" s="315" t="str">
        <f>IF(ISBLANK(tabItens[[#This Row],[CÓDIGO]]),"",IFERROR(VLOOKUP(tabItens[[#This Row],[CÓDIGO]],Consumo!$C$2:$AC$869,26,FALSE),0))</f>
        <v>04.2023</v>
      </c>
      <c r="AS790" s="316">
        <f>SUMIF(Consumo!$C$3:$C$869,tabItens[[#This Row],[CÓDIGO]],Consumo!$N$3:$N$869) + SUMIF(Consumo!$C$3:$C$869,tabItens[[#This Row],[CÓDIGO]],Consumo!$O$3:$O$869) + SUMIF(Consumo!$C$3:$C$869,tabItens[[#This Row],[CÓDIGO]],Consumo!$P$3:$P$869) + SUMIF(Consumo!$C$3:$C$869,tabItens[[#This Row],[CÓDIGO]],Consumo!$Q$3:$Q$869)</f>
        <v>20</v>
      </c>
      <c r="AT790" s="316">
        <f>SUMIF(Consumo!$C$3:$C$869,tabItens[[#This Row],[CÓDIGO]],Consumo!$Z$3:$Z$869)</f>
        <v>41</v>
      </c>
      <c r="AU790" s="317">
        <f>SUMIF(Consumo!$C$3:$C$869,tabItens[[#This Row],[CÓDIGO]],Consumo!$AA$3:$AA$869)</f>
        <v>20</v>
      </c>
      <c r="AV790" s="318">
        <f>SUMIF(Consumo!$C$3:$C$869,tabItens[[#This Row],[CÓDIGO]],Consumo!$Y$3:$Y$869)</f>
        <v>2.9166666666666665</v>
      </c>
      <c r="AW790" s="291">
        <f>tabItens[[#This Row],[QTDE ATUAL]] + tabItens[[#This Row],[RC QTDE]] + tabItens[[#This Row],[AF SALDO]] + tabItens[[#This Row],[Recentes]]</f>
        <v>163</v>
      </c>
      <c r="AX790" s="319">
        <v>8</v>
      </c>
      <c r="AY790" s="319">
        <v>4</v>
      </c>
      <c r="AZ790" s="319">
        <f>IF(ISBLANK(tabItens[[#This Row],[CÓDIGO]]),"",tabItens[[#This Row],[PontoMês]] * (AZ$2+tabItens[[#This Row],[PontoQtM]]))</f>
        <v>32</v>
      </c>
      <c r="BA790" s="318">
        <f>tabItens[[#This Row],[PontoPed]] - tabItens[[#This Row],[Saldo]] + (1/10)</f>
        <v>-130.9</v>
      </c>
      <c r="BB790" s="318">
        <f xml:space="preserve"> tabItens[[#This Row],[PontoMês]] * BB$2 - tabItens[[#This Row],[QTDE ATUAL]] - (1/10)</f>
        <v>-155.1</v>
      </c>
      <c r="BC790" s="320">
        <f>IF( tabItens[[#This Row],[PontoPed]]&gt;0, IF(tabItens[[#This Row],[PontoPed]]&lt;1, 1, IF( tabItens[[#This Row],[Saldo]]&gt;tabItens[[#This Row],[PontoPed]], 0, (tabItens[[#This Row],[PontoPed]]-tabItens[[#This Row],[Saldo]])/tabItens[[#This Row],[PontoPed]] ) ), 0 )</f>
        <v>0</v>
      </c>
      <c r="BD790" s="321">
        <f>ROUNDDOWN(IF( OR( AND(tabItens[[#This Row],[PontoPed]]&lt;tabItens[[#This Row],[Saldo]],tabItens[[#This Row],[Saldo]]&gt;0), tabItens[[#This Row],[PontoPed]]=0), 99, IF(AND(tabItens[[#This Row],[Saldo]]=0,tabItens[[#This Row],[PontoPed]]&gt;0), 0, (1-tabItens[[#This Row],[PctAb]])*10 ) ),0)</f>
        <v>99</v>
      </c>
      <c r="BE790" s="322">
        <f>MAX(ROUNDDOWN( IF(tabItens[[#This Row],[Abaixo]] &gt; 0,   tabItens[[#This Row],[Abaixo]] + (tabItens[[#This Row],[PontoMês]] * IF( OR( ISBLANK(tabItens[[#This Row],[ATA Nº/ANO]]), tabItens[[#This Row],[ATA Nº/ANO]] = ""),BE$2,BE$1)),0),0),0)</f>
        <v>0</v>
      </c>
      <c r="BF79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23">
        <f>SUMIF(Consumo!$C$3:$C$869,tabItens[[#This Row],[CÓDIGO]],Consumo!$E$3:$E$869)</f>
        <v>0</v>
      </c>
      <c r="BH790" s="324">
        <f>IF(AND(tabItens[[#This Row],[Pend]] &gt; 0,tabItens[[#This Row],[Consumo]] &lt;&gt; 0), tabItens[[#This Row],[Pend]] / tabItens[[#This Row],[Consumo]], 0 )</f>
        <v>0</v>
      </c>
      <c r="BI790" s="323"/>
      <c r="BJ790" s="323"/>
      <c r="BK790" s="325" t="s">
        <v>2064</v>
      </c>
    </row>
    <row r="791" spans="1:63" hidden="1" x14ac:dyDescent="0.3">
      <c r="A791" s="286">
        <v>13102</v>
      </c>
      <c r="B791" s="287" t="s">
        <v>1006</v>
      </c>
      <c r="C791" s="288" t="s">
        <v>256</v>
      </c>
      <c r="D791" s="289">
        <v>2.75</v>
      </c>
      <c r="E791" s="290"/>
      <c r="F791" s="290"/>
      <c r="G791" s="290" t="s">
        <v>883</v>
      </c>
      <c r="H791" s="291">
        <v>4</v>
      </c>
      <c r="I791" s="292">
        <v>103003</v>
      </c>
      <c r="J791" s="293">
        <v>2.75</v>
      </c>
      <c r="K791" s="294">
        <v>26</v>
      </c>
      <c r="L791" s="295">
        <f>IF(tabItens[[#This Row],[Média]] &gt; 0, tabItens[[#This Row],[QTDE ATUAL]] / tabItens[[#This Row],[Média]],999.9)</f>
        <v>2.1818181818181821</v>
      </c>
      <c r="M791" s="296">
        <v>0</v>
      </c>
      <c r="N791" s="297">
        <f>tabItens[[#This Row],[VALOR UNIT.]] * tabItens[[#This Row],[LC]]</f>
        <v>0</v>
      </c>
      <c r="O791" s="298"/>
      <c r="P791" s="299"/>
      <c r="Q791" s="300"/>
      <c r="R791" s="297"/>
      <c r="S791" s="301"/>
      <c r="T791" s="302">
        <f>ROUNDDOWN(IFERROR(tabItens[[#This Row],[ATA DT.VALID.]] - $D$1,0) / 30,0)</f>
        <v>-1504</v>
      </c>
      <c r="U791" s="287" t="s">
        <v>964</v>
      </c>
      <c r="V791" s="303">
        <v>1</v>
      </c>
      <c r="W791" s="304" t="s">
        <v>2054</v>
      </c>
      <c r="X791" s="305">
        <v>61</v>
      </c>
      <c r="Y791" s="306">
        <v>8</v>
      </c>
      <c r="Z791" s="307">
        <v>2453</v>
      </c>
      <c r="AA791" s="308">
        <v>2023</v>
      </c>
      <c r="AB791" s="309">
        <v>20</v>
      </c>
      <c r="AC791" s="309"/>
      <c r="AD791" s="308"/>
      <c r="AE791" s="309"/>
      <c r="AF791" s="302"/>
      <c r="AG791" s="310" t="s">
        <v>2050</v>
      </c>
      <c r="AH791" s="311"/>
      <c r="AI791" s="302">
        <v>8</v>
      </c>
      <c r="AJ791" s="311">
        <v>39763</v>
      </c>
      <c r="AK791" s="311" t="s">
        <v>883</v>
      </c>
      <c r="AL791" s="311">
        <v>42153</v>
      </c>
      <c r="AM791" s="301"/>
      <c r="AN791" s="290"/>
      <c r="AO791" s="312" t="str">
        <f>_xlfn.IFNA(IF(VLOOKUP(tabItens[[#This Row],[CÓDIGO]],tabExcluirDoEstoque[#Data],1,FALSE),"sim",""),"")</f>
        <v/>
      </c>
      <c r="AP791" s="313" t="str">
        <f ca="1">IF(OR(ISBLANK(tabItens[[#This Row],[ATA DT.VALID.]]),tabItens[[#This Row],[ATA DT.VALID.]]="",tabItens[[#This Row],[ATA DT.VALID.]]=" "),"",IF(TYPE(tabItens[[#This Row],[ATA DT.VALID.]])=1,ROUNDUP((tabItens[[#This Row],[ATA DT.VALID.]]-TODAY())/7,0),""))</f>
        <v/>
      </c>
      <c r="AQ791" s="314"/>
      <c r="AR791" s="315" t="str">
        <f>IF(ISBLANK(tabItens[[#This Row],[CÓDIGO]]),"",IFERROR(VLOOKUP(tabItens[[#This Row],[CÓDIGO]],Consumo!$C$2:$AC$869,26,FALSE),0))</f>
        <v>04.2023</v>
      </c>
      <c r="AS791" s="316">
        <f>SUMIF(Consumo!$C$3:$C$869,tabItens[[#This Row],[CÓDIGO]],Consumo!$N$3:$N$869) + SUMIF(Consumo!$C$3:$C$869,tabItens[[#This Row],[CÓDIGO]],Consumo!$O$3:$O$869) + SUMIF(Consumo!$C$3:$C$869,tabItens[[#This Row],[CÓDIGO]],Consumo!$P$3:$P$869) + SUMIF(Consumo!$C$3:$C$869,tabItens[[#This Row],[CÓDIGO]],Consumo!$Q$3:$Q$869)</f>
        <v>18</v>
      </c>
      <c r="AT791" s="316">
        <f>SUMIF(Consumo!$C$3:$C$869,tabItens[[#This Row],[CÓDIGO]],Consumo!$Z$3:$Z$869)</f>
        <v>28</v>
      </c>
      <c r="AU791" s="317">
        <f>SUMIF(Consumo!$C$3:$C$869,tabItens[[#This Row],[CÓDIGO]],Consumo!$AA$3:$AA$869)</f>
        <v>18</v>
      </c>
      <c r="AV791" s="318">
        <f>SUMIF(Consumo!$C$3:$C$869,tabItens[[#This Row],[CÓDIGO]],Consumo!$Y$3:$Y$869)</f>
        <v>1.8333333333333333</v>
      </c>
      <c r="AW791" s="291">
        <f>tabItens[[#This Row],[QTDE ATUAL]] + tabItens[[#This Row],[RC QTDE]] + tabItens[[#This Row],[AF SALDO]] + tabItens[[#This Row],[Recentes]]</f>
        <v>24</v>
      </c>
      <c r="AX791" s="319">
        <v>1</v>
      </c>
      <c r="AY791" s="319">
        <v>4</v>
      </c>
      <c r="AZ791" s="319">
        <f>IF(ISBLANK(tabItens[[#This Row],[CÓDIGO]]),"",tabItens[[#This Row],[PontoMês]] * (AZ$2+tabItens[[#This Row],[PontoQtM]]))</f>
        <v>4</v>
      </c>
      <c r="BA791" s="318">
        <f>tabItens[[#This Row],[PontoPed]] - tabItens[[#This Row],[Saldo]] + (1/10)</f>
        <v>-19.899999999999999</v>
      </c>
      <c r="BB791" s="318">
        <f xml:space="preserve"> tabItens[[#This Row],[PontoMês]] * BB$2 - tabItens[[#This Row],[QTDE ATUAL]] - (1/10)</f>
        <v>-3.1</v>
      </c>
      <c r="BC791" s="320">
        <f>IF( tabItens[[#This Row],[PontoPed]]&gt;0, IF(tabItens[[#This Row],[PontoPed]]&lt;1, 1, IF( tabItens[[#This Row],[Saldo]]&gt;tabItens[[#This Row],[PontoPed]], 0, (tabItens[[#This Row],[PontoPed]]-tabItens[[#This Row],[Saldo]])/tabItens[[#This Row],[PontoPed]] ) ), 0 )</f>
        <v>0</v>
      </c>
      <c r="BD791" s="321">
        <f>ROUNDDOWN(IF( OR( AND(tabItens[[#This Row],[PontoPed]]&lt;tabItens[[#This Row],[Saldo]],tabItens[[#This Row],[Saldo]]&gt;0), tabItens[[#This Row],[PontoPed]]=0), 99, IF(AND(tabItens[[#This Row],[Saldo]]=0,tabItens[[#This Row],[PontoPed]]&gt;0), 0, (1-tabItens[[#This Row],[PctAb]])*10 ) ),0)</f>
        <v>99</v>
      </c>
      <c r="BE791" s="322">
        <f>MAX(ROUNDDOWN( IF(tabItens[[#This Row],[Abaixo]] &gt; 0,   tabItens[[#This Row],[Abaixo]] + (tabItens[[#This Row],[PontoMês]] * IF( OR( ISBLANK(tabItens[[#This Row],[ATA Nº/ANO]]), tabItens[[#This Row],[ATA Nº/ANO]] = ""),BE$2,BE$1)),0),0),0)</f>
        <v>0</v>
      </c>
      <c r="BF79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23">
        <f>SUMIF(Consumo!$C$3:$C$869,tabItens[[#This Row],[CÓDIGO]],Consumo!$E$3:$E$869)</f>
        <v>2</v>
      </c>
      <c r="BH791" s="324">
        <f>IF(AND(tabItens[[#This Row],[Pend]] &gt; 0,tabItens[[#This Row],[Consumo]] &lt;&gt; 0), tabItens[[#This Row],[Pend]] / tabItens[[#This Row],[Consumo]], 0 )</f>
        <v>7.1428571428571425E-2</v>
      </c>
      <c r="BI791" s="323"/>
      <c r="BJ791" s="323"/>
      <c r="BK791" s="325" t="s">
        <v>2064</v>
      </c>
    </row>
    <row r="792" spans="1:63" hidden="1" x14ac:dyDescent="0.3">
      <c r="A792" s="286">
        <v>38534</v>
      </c>
      <c r="B792" s="287" t="s">
        <v>1269</v>
      </c>
      <c r="C792" s="288" t="s">
        <v>256</v>
      </c>
      <c r="D792" s="289">
        <v>2.86</v>
      </c>
      <c r="E792" s="290"/>
      <c r="F792" s="290"/>
      <c r="G792" s="290" t="s">
        <v>883</v>
      </c>
      <c r="H792" s="291">
        <v>102</v>
      </c>
      <c r="I792" s="292">
        <v>103003</v>
      </c>
      <c r="J792" s="293">
        <v>2.86</v>
      </c>
      <c r="K792" s="294">
        <v>6</v>
      </c>
      <c r="L792" s="295">
        <f>IF(tabItens[[#This Row],[Média]] &gt; 0, tabItens[[#This Row],[QTDE ATUAL]] / tabItens[[#This Row],[Média]],999.9)</f>
        <v>408</v>
      </c>
      <c r="M792" s="296">
        <v>0</v>
      </c>
      <c r="N792" s="297">
        <f>tabItens[[#This Row],[VALOR UNIT.]] * tabItens[[#This Row],[LC]]</f>
        <v>0</v>
      </c>
      <c r="O792" s="298"/>
      <c r="P792" s="299"/>
      <c r="Q792" s="300"/>
      <c r="R792" s="297"/>
      <c r="S792" s="301"/>
      <c r="T792" s="302">
        <f>ROUNDDOWN(IFERROR(tabItens[[#This Row],[ATA DT.VALID.]] - $D$1,0) / 30,0)</f>
        <v>-1504</v>
      </c>
      <c r="U792" s="287" t="s">
        <v>964</v>
      </c>
      <c r="V792" s="303">
        <v>1</v>
      </c>
      <c r="W792" s="304" t="s">
        <v>2054</v>
      </c>
      <c r="X792" s="305">
        <v>61</v>
      </c>
      <c r="Y792" s="306">
        <v>8</v>
      </c>
      <c r="Z792" s="307"/>
      <c r="AA792" s="308"/>
      <c r="AB792" s="309"/>
      <c r="AC792" s="309"/>
      <c r="AD792" s="308"/>
      <c r="AE792" s="309"/>
      <c r="AF792" s="302"/>
      <c r="AG792" s="310" t="s">
        <v>2050</v>
      </c>
      <c r="AH792" s="311"/>
      <c r="AI792" s="302">
        <v>2</v>
      </c>
      <c r="AJ792" s="311">
        <v>40858</v>
      </c>
      <c r="AK792" s="311" t="s">
        <v>883</v>
      </c>
      <c r="AL792" s="311">
        <v>44291</v>
      </c>
      <c r="AM792" s="301"/>
      <c r="AN792" s="290"/>
      <c r="AO792" s="312" t="str">
        <f>_xlfn.IFNA(IF(VLOOKUP(tabItens[[#This Row],[CÓDIGO]],tabExcluirDoEstoque[#Data],1,FALSE),"sim",""),"")</f>
        <v/>
      </c>
      <c r="AP792" s="313" t="str">
        <f ca="1">IF(OR(ISBLANK(tabItens[[#This Row],[ATA DT.VALID.]]),tabItens[[#This Row],[ATA DT.VALID.]]="",tabItens[[#This Row],[ATA DT.VALID.]]=" "),"",IF(TYPE(tabItens[[#This Row],[ATA DT.VALID.]])=1,ROUNDUP((tabItens[[#This Row],[ATA DT.VALID.]]-TODAY())/7,0),""))</f>
        <v/>
      </c>
      <c r="AQ792" s="314"/>
      <c r="AR792" s="315" t="str">
        <f>IF(ISBLANK(tabItens[[#This Row],[CÓDIGO]]),"",IFERROR(VLOOKUP(tabItens[[#This Row],[CÓDIGO]],Consumo!$C$2:$AC$869,26,FALSE),0))</f>
        <v>04.2023</v>
      </c>
      <c r="AS792" s="316">
        <f>SUMIF(Consumo!$C$3:$C$869,tabItens[[#This Row],[CÓDIGO]],Consumo!$N$3:$N$869) + SUMIF(Consumo!$C$3:$C$869,tabItens[[#This Row],[CÓDIGO]],Consumo!$O$3:$O$869) + SUMIF(Consumo!$C$3:$C$869,tabItens[[#This Row],[CÓDIGO]],Consumo!$P$3:$P$869) + SUMIF(Consumo!$C$3:$C$869,tabItens[[#This Row],[CÓDIGO]],Consumo!$Q$3:$Q$869)</f>
        <v>6</v>
      </c>
      <c r="AT792" s="316">
        <f>SUMIF(Consumo!$C$3:$C$869,tabItens[[#This Row],[CÓDIGO]],Consumo!$Z$3:$Z$869)</f>
        <v>6</v>
      </c>
      <c r="AU792" s="317">
        <f>SUMIF(Consumo!$C$3:$C$869,tabItens[[#This Row],[CÓDIGO]],Consumo!$AA$3:$AA$869)</f>
        <v>6</v>
      </c>
      <c r="AV792" s="318">
        <f>SUMIF(Consumo!$C$3:$C$869,tabItens[[#This Row],[CÓDIGO]],Consumo!$Y$3:$Y$869)</f>
        <v>0.25</v>
      </c>
      <c r="AW792" s="291">
        <f>tabItens[[#This Row],[QTDE ATUAL]] + tabItens[[#This Row],[RC QTDE]] + tabItens[[#This Row],[AF SALDO]] + tabItens[[#This Row],[Recentes]]</f>
        <v>102</v>
      </c>
      <c r="AX792" s="319">
        <v>1</v>
      </c>
      <c r="AY792" s="319">
        <v>4</v>
      </c>
      <c r="AZ792" s="319">
        <f>IF(ISBLANK(tabItens[[#This Row],[CÓDIGO]]),"",tabItens[[#This Row],[PontoMês]] * (AZ$2+tabItens[[#This Row],[PontoQtM]]))</f>
        <v>4</v>
      </c>
      <c r="BA792" s="318">
        <f>tabItens[[#This Row],[PontoPed]] - tabItens[[#This Row],[Saldo]] + (1/10)</f>
        <v>-97.9</v>
      </c>
      <c r="BB792" s="318">
        <f xml:space="preserve"> tabItens[[#This Row],[PontoMês]] * BB$2 - tabItens[[#This Row],[QTDE ATUAL]] - (1/10)</f>
        <v>-101.1</v>
      </c>
      <c r="BC792" s="320">
        <f>IF( tabItens[[#This Row],[PontoPed]]&gt;0, IF(tabItens[[#This Row],[PontoPed]]&lt;1, 1, IF( tabItens[[#This Row],[Saldo]]&gt;tabItens[[#This Row],[PontoPed]], 0, (tabItens[[#This Row],[PontoPed]]-tabItens[[#This Row],[Saldo]])/tabItens[[#This Row],[PontoPed]] ) ), 0 )</f>
        <v>0</v>
      </c>
      <c r="BD792" s="321">
        <f>ROUNDDOWN(IF( OR( AND(tabItens[[#This Row],[PontoPed]]&lt;tabItens[[#This Row],[Saldo]],tabItens[[#This Row],[Saldo]]&gt;0), tabItens[[#This Row],[PontoPed]]=0), 99, IF(AND(tabItens[[#This Row],[Saldo]]=0,tabItens[[#This Row],[PontoPed]]&gt;0), 0, (1-tabItens[[#This Row],[PctAb]])*10 ) ),0)</f>
        <v>99</v>
      </c>
      <c r="BE792" s="322">
        <f>MAX(ROUNDDOWN( IF(tabItens[[#This Row],[Abaixo]] &gt; 0,   tabItens[[#This Row],[Abaixo]] + (tabItens[[#This Row],[PontoMês]] * IF( OR( ISBLANK(tabItens[[#This Row],[ATA Nº/ANO]]), tabItens[[#This Row],[ATA Nº/ANO]] = ""),BE$2,BE$1)),0),0),0)</f>
        <v>0</v>
      </c>
      <c r="BF79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23">
        <f>SUMIF(Consumo!$C$3:$C$869,tabItens[[#This Row],[CÓDIGO]],Consumo!$E$3:$E$869)</f>
        <v>0</v>
      </c>
      <c r="BH792" s="324">
        <f>IF(AND(tabItens[[#This Row],[Pend]] &gt; 0,tabItens[[#This Row],[Consumo]] &lt;&gt; 0), tabItens[[#This Row],[Pend]] / tabItens[[#This Row],[Consumo]], 0 )</f>
        <v>0</v>
      </c>
      <c r="BI792" s="323"/>
      <c r="BJ792" s="323"/>
      <c r="BK792" s="325" t="s">
        <v>2064</v>
      </c>
    </row>
    <row r="793" spans="1:63" hidden="1" x14ac:dyDescent="0.3">
      <c r="A793" s="286">
        <v>40772</v>
      </c>
      <c r="B793" s="287" t="s">
        <v>1276</v>
      </c>
      <c r="C793" s="288" t="s">
        <v>256</v>
      </c>
      <c r="D793" s="289">
        <v>2.17</v>
      </c>
      <c r="E793" s="290"/>
      <c r="F793" s="290"/>
      <c r="G793" s="290" t="s">
        <v>883</v>
      </c>
      <c r="H793" s="291">
        <v>163</v>
      </c>
      <c r="I793" s="292">
        <v>103003</v>
      </c>
      <c r="J793" s="293">
        <v>2.17</v>
      </c>
      <c r="K793" s="294">
        <v>13</v>
      </c>
      <c r="L793" s="295">
        <f>IF(tabItens[[#This Row],[Média]] &gt; 0, tabItens[[#This Row],[QTDE ATUAL]] / tabItens[[#This Row],[Média]],999.9)</f>
        <v>217.33333333333334</v>
      </c>
      <c r="M793" s="296">
        <v>0</v>
      </c>
      <c r="N793" s="297">
        <f>tabItens[[#This Row],[VALOR UNIT.]] * tabItens[[#This Row],[LC]]</f>
        <v>0</v>
      </c>
      <c r="O793" s="298"/>
      <c r="P793" s="299"/>
      <c r="Q793" s="300"/>
      <c r="R793" s="297"/>
      <c r="S793" s="301"/>
      <c r="T793" s="302">
        <f>ROUNDDOWN(IFERROR(tabItens[[#This Row],[ATA DT.VALID.]] - $D$1,0) / 30,0)</f>
        <v>-1504</v>
      </c>
      <c r="U793" s="287" t="s">
        <v>964</v>
      </c>
      <c r="V793" s="303">
        <v>1</v>
      </c>
      <c r="W793" s="304" t="s">
        <v>2054</v>
      </c>
      <c r="X793" s="305">
        <v>61</v>
      </c>
      <c r="Y793" s="306">
        <v>8</v>
      </c>
      <c r="Z793" s="307"/>
      <c r="AA793" s="308"/>
      <c r="AB793" s="309"/>
      <c r="AC793" s="309"/>
      <c r="AD793" s="308"/>
      <c r="AE793" s="309"/>
      <c r="AF793" s="302"/>
      <c r="AG793" s="310" t="s">
        <v>2050</v>
      </c>
      <c r="AH793" s="311"/>
      <c r="AI793" s="302">
        <v>4</v>
      </c>
      <c r="AJ793" s="311">
        <v>42654</v>
      </c>
      <c r="AK793" s="311" t="s">
        <v>883</v>
      </c>
      <c r="AL793" s="311">
        <v>42948</v>
      </c>
      <c r="AM793" s="301"/>
      <c r="AN793" s="290"/>
      <c r="AO793" s="312" t="str">
        <f>_xlfn.IFNA(IF(VLOOKUP(tabItens[[#This Row],[CÓDIGO]],tabExcluirDoEstoque[#Data],1,FALSE),"sim",""),"")</f>
        <v/>
      </c>
      <c r="AP793" s="313" t="str">
        <f ca="1">IF(OR(ISBLANK(tabItens[[#This Row],[ATA DT.VALID.]]),tabItens[[#This Row],[ATA DT.VALID.]]="",tabItens[[#This Row],[ATA DT.VALID.]]=" "),"",IF(TYPE(tabItens[[#This Row],[ATA DT.VALID.]])=1,ROUNDUP((tabItens[[#This Row],[ATA DT.VALID.]]-TODAY())/7,0),""))</f>
        <v/>
      </c>
      <c r="AQ793" s="314"/>
      <c r="AR793" s="315" t="str">
        <f>IF(ISBLANK(tabItens[[#This Row],[CÓDIGO]]),"",IFERROR(VLOOKUP(tabItens[[#This Row],[CÓDIGO]],Consumo!$C$2:$AC$869,26,FALSE),0))</f>
        <v>04.2023</v>
      </c>
      <c r="AS793" s="316">
        <f>SUMIF(Consumo!$C$3:$C$869,tabItens[[#This Row],[CÓDIGO]],Consumo!$N$3:$N$869) + SUMIF(Consumo!$C$3:$C$869,tabItens[[#This Row],[CÓDIGO]],Consumo!$O$3:$O$869) + SUMIF(Consumo!$C$3:$C$869,tabItens[[#This Row],[CÓDIGO]],Consumo!$P$3:$P$869) + SUMIF(Consumo!$C$3:$C$869,tabItens[[#This Row],[CÓDIGO]],Consumo!$Q$3:$Q$869)</f>
        <v>10</v>
      </c>
      <c r="AT793" s="316">
        <f>SUMIF(Consumo!$C$3:$C$869,tabItens[[#This Row],[CÓDIGO]],Consumo!$Z$3:$Z$869)</f>
        <v>13</v>
      </c>
      <c r="AU793" s="317">
        <f>SUMIF(Consumo!$C$3:$C$869,tabItens[[#This Row],[CÓDIGO]],Consumo!$AA$3:$AA$869)</f>
        <v>10</v>
      </c>
      <c r="AV793" s="318">
        <f>SUMIF(Consumo!$C$3:$C$869,tabItens[[#This Row],[CÓDIGO]],Consumo!$Y$3:$Y$869)</f>
        <v>0.75</v>
      </c>
      <c r="AW793" s="291">
        <f>tabItens[[#This Row],[QTDE ATUAL]] + tabItens[[#This Row],[RC QTDE]] + tabItens[[#This Row],[AF SALDO]] + tabItens[[#This Row],[Recentes]]</f>
        <v>163</v>
      </c>
      <c r="AX793" s="319">
        <v>0</v>
      </c>
      <c r="AY793" s="319">
        <v>4</v>
      </c>
      <c r="AZ793" s="319">
        <f>IF(ISBLANK(tabItens[[#This Row],[CÓDIGO]]),"",tabItens[[#This Row],[PontoMês]] * (AZ$2+tabItens[[#This Row],[PontoQtM]]))</f>
        <v>0</v>
      </c>
      <c r="BA793" s="318">
        <f>tabItens[[#This Row],[PontoPed]] - tabItens[[#This Row],[Saldo]] + (1/10)</f>
        <v>-162.9</v>
      </c>
      <c r="BB793" s="318">
        <f xml:space="preserve"> tabItens[[#This Row],[PontoMês]] * BB$2 - tabItens[[#This Row],[QTDE ATUAL]] - (1/10)</f>
        <v>-163.1</v>
      </c>
      <c r="BC793" s="320">
        <f>IF( tabItens[[#This Row],[PontoPed]]&gt;0, IF(tabItens[[#This Row],[PontoPed]]&lt;1, 1, IF( tabItens[[#This Row],[Saldo]]&gt;tabItens[[#This Row],[PontoPed]], 0, (tabItens[[#This Row],[PontoPed]]-tabItens[[#This Row],[Saldo]])/tabItens[[#This Row],[PontoPed]] ) ), 0 )</f>
        <v>0</v>
      </c>
      <c r="BD793" s="321">
        <f>ROUNDDOWN(IF( OR( AND(tabItens[[#This Row],[PontoPed]]&lt;tabItens[[#This Row],[Saldo]],tabItens[[#This Row],[Saldo]]&gt;0), tabItens[[#This Row],[PontoPed]]=0), 99, IF(AND(tabItens[[#This Row],[Saldo]]=0,tabItens[[#This Row],[PontoPed]]&gt;0), 0, (1-tabItens[[#This Row],[PctAb]])*10 ) ),0)</f>
        <v>99</v>
      </c>
      <c r="BE793" s="322">
        <f>MAX(ROUNDDOWN( IF(tabItens[[#This Row],[Abaixo]] &gt; 0,   tabItens[[#This Row],[Abaixo]] + (tabItens[[#This Row],[PontoMês]] * IF( OR( ISBLANK(tabItens[[#This Row],[ATA Nº/ANO]]), tabItens[[#This Row],[ATA Nº/ANO]] = ""),BE$2,BE$1)),0),0),0)</f>
        <v>0</v>
      </c>
      <c r="BF79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23">
        <f>SUMIF(Consumo!$C$3:$C$869,tabItens[[#This Row],[CÓDIGO]],Consumo!$E$3:$E$869)</f>
        <v>0</v>
      </c>
      <c r="BH793" s="324">
        <f>IF(AND(tabItens[[#This Row],[Pend]] &gt; 0,tabItens[[#This Row],[Consumo]] &lt;&gt; 0), tabItens[[#This Row],[Pend]] / tabItens[[#This Row],[Consumo]], 0 )</f>
        <v>0</v>
      </c>
      <c r="BI793" s="323"/>
      <c r="BJ793" s="323"/>
      <c r="BK793" s="325" t="s">
        <v>2064</v>
      </c>
    </row>
    <row r="794" spans="1:63" hidden="1" x14ac:dyDescent="0.3">
      <c r="A794" s="286">
        <v>44789</v>
      </c>
      <c r="B794" s="287" t="s">
        <v>1282</v>
      </c>
      <c r="C794" s="288" t="s">
        <v>256</v>
      </c>
      <c r="D794" s="289">
        <v>3.65</v>
      </c>
      <c r="E794" s="290"/>
      <c r="F794" s="290"/>
      <c r="G794" s="290" t="s">
        <v>883</v>
      </c>
      <c r="H794" s="291">
        <v>123</v>
      </c>
      <c r="I794" s="292">
        <v>103003</v>
      </c>
      <c r="J794" s="293">
        <v>3.65</v>
      </c>
      <c r="K794" s="294">
        <v>29</v>
      </c>
      <c r="L794" s="295">
        <f>IF(tabItens[[#This Row],[Média]] &gt; 0, tabItens[[#This Row],[QTDE ATUAL]] / tabItens[[#This Row],[Média]],999.9)</f>
        <v>67.090909090909093</v>
      </c>
      <c r="M794" s="296">
        <v>0</v>
      </c>
      <c r="N794" s="297">
        <f>tabItens[[#This Row],[VALOR UNIT.]] * tabItens[[#This Row],[LC]]</f>
        <v>0</v>
      </c>
      <c r="O794" s="298"/>
      <c r="P794" s="299"/>
      <c r="Q794" s="300"/>
      <c r="R794" s="297"/>
      <c r="S794" s="301"/>
      <c r="T794" s="302">
        <f>ROUNDDOWN(IFERROR(tabItens[[#This Row],[ATA DT.VALID.]] - $D$1,0) / 30,0)</f>
        <v>-1504</v>
      </c>
      <c r="U794" s="287" t="s">
        <v>964</v>
      </c>
      <c r="V794" s="303">
        <v>1</v>
      </c>
      <c r="W794" s="304" t="s">
        <v>2054</v>
      </c>
      <c r="X794" s="305">
        <v>61</v>
      </c>
      <c r="Y794" s="306">
        <v>8</v>
      </c>
      <c r="Z794" s="307"/>
      <c r="AA794" s="308"/>
      <c r="AB794" s="309"/>
      <c r="AC794" s="309"/>
      <c r="AD794" s="308"/>
      <c r="AE794" s="309"/>
      <c r="AF794" s="302"/>
      <c r="AG794" s="310" t="s">
        <v>2050</v>
      </c>
      <c r="AH794" s="311"/>
      <c r="AI794" s="302">
        <v>10</v>
      </c>
      <c r="AJ794" s="311">
        <v>43455</v>
      </c>
      <c r="AK794" s="311" t="s">
        <v>883</v>
      </c>
      <c r="AL794" s="311">
        <v>43376</v>
      </c>
      <c r="AM794" s="301"/>
      <c r="AN794" s="290"/>
      <c r="AO794" s="312" t="str">
        <f>_xlfn.IFNA(IF(VLOOKUP(tabItens[[#This Row],[CÓDIGO]],tabExcluirDoEstoque[#Data],1,FALSE),"sim",""),"")</f>
        <v/>
      </c>
      <c r="AP794" s="313" t="str">
        <f ca="1">IF(OR(ISBLANK(tabItens[[#This Row],[ATA DT.VALID.]]),tabItens[[#This Row],[ATA DT.VALID.]]="",tabItens[[#This Row],[ATA DT.VALID.]]=" "),"",IF(TYPE(tabItens[[#This Row],[ATA DT.VALID.]])=1,ROUNDUP((tabItens[[#This Row],[ATA DT.VALID.]]-TODAY())/7,0),""))</f>
        <v/>
      </c>
      <c r="AQ794" s="314"/>
      <c r="AR794" s="315" t="str">
        <f>IF(ISBLANK(tabItens[[#This Row],[CÓDIGO]]),"",IFERROR(VLOOKUP(tabItens[[#This Row],[CÓDIGO]],Consumo!$C$2:$AC$869,26,FALSE),0))</f>
        <v>04.2023</v>
      </c>
      <c r="AS794" s="316">
        <f>SUMIF(Consumo!$C$3:$C$869,tabItens[[#This Row],[CÓDIGO]],Consumo!$N$3:$N$869) + SUMIF(Consumo!$C$3:$C$869,tabItens[[#This Row],[CÓDIGO]],Consumo!$O$3:$O$869) + SUMIF(Consumo!$C$3:$C$869,tabItens[[#This Row],[CÓDIGO]],Consumo!$P$3:$P$869) + SUMIF(Consumo!$C$3:$C$869,tabItens[[#This Row],[CÓDIGO]],Consumo!$Q$3:$Q$869)</f>
        <v>20</v>
      </c>
      <c r="AT794" s="316">
        <f>SUMIF(Consumo!$C$3:$C$869,tabItens[[#This Row],[CÓDIGO]],Consumo!$Z$3:$Z$869)</f>
        <v>29</v>
      </c>
      <c r="AU794" s="317">
        <f>SUMIF(Consumo!$C$3:$C$869,tabItens[[#This Row],[CÓDIGO]],Consumo!$AA$3:$AA$869)</f>
        <v>20</v>
      </c>
      <c r="AV794" s="318">
        <f>SUMIF(Consumo!$C$3:$C$869,tabItens[[#This Row],[CÓDIGO]],Consumo!$Y$3:$Y$869)</f>
        <v>1.8333333333333333</v>
      </c>
      <c r="AW794" s="291">
        <f>tabItens[[#This Row],[QTDE ATUAL]] + tabItens[[#This Row],[RC QTDE]] + tabItens[[#This Row],[AF SALDO]] + tabItens[[#This Row],[Recentes]]</f>
        <v>123</v>
      </c>
      <c r="AX794" s="319">
        <v>2</v>
      </c>
      <c r="AY794" s="319">
        <v>4</v>
      </c>
      <c r="AZ794" s="319">
        <f>IF(ISBLANK(tabItens[[#This Row],[CÓDIGO]]),"",tabItens[[#This Row],[PontoMês]] * (AZ$2+tabItens[[#This Row],[PontoQtM]]))</f>
        <v>8</v>
      </c>
      <c r="BA794" s="318">
        <f>tabItens[[#This Row],[PontoPed]] - tabItens[[#This Row],[Saldo]] + (1/10)</f>
        <v>-114.9</v>
      </c>
      <c r="BB794" s="318">
        <f xml:space="preserve"> tabItens[[#This Row],[PontoMês]] * BB$2 - tabItens[[#This Row],[QTDE ATUAL]] - (1/10)</f>
        <v>-121.1</v>
      </c>
      <c r="BC794" s="320">
        <f>IF( tabItens[[#This Row],[PontoPed]]&gt;0, IF(tabItens[[#This Row],[PontoPed]]&lt;1, 1, IF( tabItens[[#This Row],[Saldo]]&gt;tabItens[[#This Row],[PontoPed]], 0, (tabItens[[#This Row],[PontoPed]]-tabItens[[#This Row],[Saldo]])/tabItens[[#This Row],[PontoPed]] ) ), 0 )</f>
        <v>0</v>
      </c>
      <c r="BD794" s="321">
        <f>ROUNDDOWN(IF( OR( AND(tabItens[[#This Row],[PontoPed]]&lt;tabItens[[#This Row],[Saldo]],tabItens[[#This Row],[Saldo]]&gt;0), tabItens[[#This Row],[PontoPed]]=0), 99, IF(AND(tabItens[[#This Row],[Saldo]]=0,tabItens[[#This Row],[PontoPed]]&gt;0), 0, (1-tabItens[[#This Row],[PctAb]])*10 ) ),0)</f>
        <v>99</v>
      </c>
      <c r="BE794" s="322">
        <f>MAX(ROUNDDOWN( IF(tabItens[[#This Row],[Abaixo]] &gt; 0,   tabItens[[#This Row],[Abaixo]] + (tabItens[[#This Row],[PontoMês]] * IF( OR( ISBLANK(tabItens[[#This Row],[ATA Nº/ANO]]), tabItens[[#This Row],[ATA Nº/ANO]] = ""),BE$2,BE$1)),0),0),0)</f>
        <v>0</v>
      </c>
      <c r="BF79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23">
        <f>SUMIF(Consumo!$C$3:$C$869,tabItens[[#This Row],[CÓDIGO]],Consumo!$E$3:$E$869)</f>
        <v>0</v>
      </c>
      <c r="BH794" s="324">
        <f>IF(AND(tabItens[[#This Row],[Pend]] &gt; 0,tabItens[[#This Row],[Consumo]] &lt;&gt; 0), tabItens[[#This Row],[Pend]] / tabItens[[#This Row],[Consumo]], 0 )</f>
        <v>0</v>
      </c>
      <c r="BI794" s="323"/>
      <c r="BJ794" s="323"/>
      <c r="BK794" s="325" t="s">
        <v>2064</v>
      </c>
    </row>
    <row r="795" spans="1:63" hidden="1" x14ac:dyDescent="0.3">
      <c r="A795" s="286">
        <v>64635</v>
      </c>
      <c r="B795" s="287" t="s">
        <v>1380</v>
      </c>
      <c r="C795" s="288" t="s">
        <v>256</v>
      </c>
      <c r="D795" s="289">
        <v>7.1</v>
      </c>
      <c r="E795" s="290"/>
      <c r="F795" s="290"/>
      <c r="G795" s="290" t="s">
        <v>883</v>
      </c>
      <c r="H795" s="291">
        <v>70</v>
      </c>
      <c r="I795" s="292">
        <v>103003</v>
      </c>
      <c r="J795" s="293">
        <v>7.3909500000000001</v>
      </c>
      <c r="K795" s="294">
        <v>2</v>
      </c>
      <c r="L795" s="295">
        <f>IF(tabItens[[#This Row],[Média]] &gt; 0, tabItens[[#This Row],[QTDE ATUAL]] / tabItens[[#This Row],[Média]],999.9)</f>
        <v>840</v>
      </c>
      <c r="M795" s="296">
        <v>0</v>
      </c>
      <c r="N795" s="297">
        <f>tabItens[[#This Row],[VALOR UNIT.]] * tabItens[[#This Row],[LC]]</f>
        <v>0</v>
      </c>
      <c r="O795" s="298"/>
      <c r="P795" s="299"/>
      <c r="Q795" s="300"/>
      <c r="R795" s="297"/>
      <c r="S795" s="301"/>
      <c r="T795" s="302">
        <f>ROUNDDOWN(IFERROR(tabItens[[#This Row],[ATA DT.VALID.]] - $D$1,0) / 30,0)</f>
        <v>-1504</v>
      </c>
      <c r="U795" s="287" t="s">
        <v>964</v>
      </c>
      <c r="V795" s="303">
        <v>1</v>
      </c>
      <c r="W795" s="304" t="s">
        <v>2054</v>
      </c>
      <c r="X795" s="305">
        <v>61</v>
      </c>
      <c r="Y795" s="306">
        <v>8</v>
      </c>
      <c r="Z795" s="307"/>
      <c r="AA795" s="308"/>
      <c r="AB795" s="309"/>
      <c r="AC795" s="309"/>
      <c r="AD795" s="308"/>
      <c r="AE795" s="309"/>
      <c r="AF795" s="302"/>
      <c r="AG795" s="310" t="s">
        <v>2050</v>
      </c>
      <c r="AH795" s="311"/>
      <c r="AI795" s="302">
        <v>0</v>
      </c>
      <c r="AJ795" s="311">
        <v>39419</v>
      </c>
      <c r="AK795" s="311" t="s">
        <v>883</v>
      </c>
      <c r="AL795" s="311">
        <v>39380</v>
      </c>
      <c r="AM795" s="301"/>
      <c r="AN795" s="290"/>
      <c r="AO795" s="312" t="str">
        <f>_xlfn.IFNA(IF(VLOOKUP(tabItens[[#This Row],[CÓDIGO]],tabExcluirDoEstoque[#Data],1,FALSE),"sim",""),"")</f>
        <v/>
      </c>
      <c r="AP795" s="313" t="str">
        <f ca="1">IF(OR(ISBLANK(tabItens[[#This Row],[ATA DT.VALID.]]),tabItens[[#This Row],[ATA DT.VALID.]]="",tabItens[[#This Row],[ATA DT.VALID.]]=" "),"",IF(TYPE(tabItens[[#This Row],[ATA DT.VALID.]])=1,ROUNDUP((tabItens[[#This Row],[ATA DT.VALID.]]-TODAY())/7,0),""))</f>
        <v/>
      </c>
      <c r="AQ795" s="314"/>
      <c r="AR795" s="315" t="str">
        <f>IF(ISBLANK(tabItens[[#This Row],[CÓDIGO]]),"",IFERROR(VLOOKUP(tabItens[[#This Row],[CÓDIGO]],Consumo!$C$2:$AC$869,26,FALSE),0))</f>
        <v>01.2023</v>
      </c>
      <c r="AS795" s="316">
        <f>SUMIF(Consumo!$C$3:$C$869,tabItens[[#This Row],[CÓDIGO]],Consumo!$N$3:$N$869) + SUMIF(Consumo!$C$3:$C$869,tabItens[[#This Row],[CÓDIGO]],Consumo!$O$3:$O$869) + SUMIF(Consumo!$C$3:$C$869,tabItens[[#This Row],[CÓDIGO]],Consumo!$P$3:$P$869) + SUMIF(Consumo!$C$3:$C$869,tabItens[[#This Row],[CÓDIGO]],Consumo!$Q$3:$Q$869)</f>
        <v>0</v>
      </c>
      <c r="AT795" s="316">
        <f>SUMIF(Consumo!$C$3:$C$869,tabItens[[#This Row],[CÓDIGO]],Consumo!$Z$3:$Z$869)</f>
        <v>2</v>
      </c>
      <c r="AU795" s="317">
        <f>SUMIF(Consumo!$C$3:$C$869,tabItens[[#This Row],[CÓDIGO]],Consumo!$AA$3:$AA$869)</f>
        <v>2</v>
      </c>
      <c r="AV795" s="318">
        <f>SUMIF(Consumo!$C$3:$C$869,tabItens[[#This Row],[CÓDIGO]],Consumo!$Y$3:$Y$869)</f>
        <v>8.3333333333333329E-2</v>
      </c>
      <c r="AW795" s="291">
        <f>tabItens[[#This Row],[QTDE ATUAL]] + tabItens[[#This Row],[RC QTDE]] + tabItens[[#This Row],[AF SALDO]] + tabItens[[#This Row],[Recentes]]</f>
        <v>70</v>
      </c>
      <c r="AX795" s="319">
        <v>1</v>
      </c>
      <c r="AY795" s="319">
        <v>4</v>
      </c>
      <c r="AZ795" s="319">
        <f>IF(ISBLANK(tabItens[[#This Row],[CÓDIGO]]),"",tabItens[[#This Row],[PontoMês]] * (AZ$2+tabItens[[#This Row],[PontoQtM]]))</f>
        <v>4</v>
      </c>
      <c r="BA795" s="318">
        <f>tabItens[[#This Row],[PontoPed]] - tabItens[[#This Row],[Saldo]] + (1/10)</f>
        <v>-65.900000000000006</v>
      </c>
      <c r="BB795" s="318">
        <f xml:space="preserve"> tabItens[[#This Row],[PontoMês]] * BB$2 - tabItens[[#This Row],[QTDE ATUAL]] - (1/10)</f>
        <v>-69.099999999999994</v>
      </c>
      <c r="BC795" s="320">
        <f>IF( tabItens[[#This Row],[PontoPed]]&gt;0, IF(tabItens[[#This Row],[PontoPed]]&lt;1, 1, IF( tabItens[[#This Row],[Saldo]]&gt;tabItens[[#This Row],[PontoPed]], 0, (tabItens[[#This Row],[PontoPed]]-tabItens[[#This Row],[Saldo]])/tabItens[[#This Row],[PontoPed]] ) ), 0 )</f>
        <v>0</v>
      </c>
      <c r="BD795" s="321">
        <f>ROUNDDOWN(IF( OR( AND(tabItens[[#This Row],[PontoPed]]&lt;tabItens[[#This Row],[Saldo]],tabItens[[#This Row],[Saldo]]&gt;0), tabItens[[#This Row],[PontoPed]]=0), 99, IF(AND(tabItens[[#This Row],[Saldo]]=0,tabItens[[#This Row],[PontoPed]]&gt;0), 0, (1-tabItens[[#This Row],[PctAb]])*10 ) ),0)</f>
        <v>99</v>
      </c>
      <c r="BE795" s="322">
        <f>MAX(ROUNDDOWN( IF(tabItens[[#This Row],[Abaixo]] &gt; 0,   tabItens[[#This Row],[Abaixo]] + (tabItens[[#This Row],[PontoMês]] * IF( OR( ISBLANK(tabItens[[#This Row],[ATA Nº/ANO]]), tabItens[[#This Row],[ATA Nº/ANO]] = ""),BE$2,BE$1)),0),0),0)</f>
        <v>0</v>
      </c>
      <c r="BF79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23">
        <f>SUMIF(Consumo!$C$3:$C$869,tabItens[[#This Row],[CÓDIGO]],Consumo!$E$3:$E$869)</f>
        <v>0</v>
      </c>
      <c r="BH795" s="324">
        <f>IF(AND(tabItens[[#This Row],[Pend]] &gt; 0,tabItens[[#This Row],[Consumo]] &lt;&gt; 0), tabItens[[#This Row],[Pend]] / tabItens[[#This Row],[Consumo]], 0 )</f>
        <v>0</v>
      </c>
      <c r="BI795" s="323"/>
      <c r="BJ795" s="323"/>
      <c r="BK795" s="325" t="s">
        <v>2064</v>
      </c>
    </row>
    <row r="796" spans="1:63" hidden="1" x14ac:dyDescent="0.3">
      <c r="A796" s="286">
        <v>64648</v>
      </c>
      <c r="B796" s="287" t="s">
        <v>1384</v>
      </c>
      <c r="C796" s="288" t="s">
        <v>256</v>
      </c>
      <c r="D796" s="289">
        <v>48.46</v>
      </c>
      <c r="E796" s="290"/>
      <c r="F796" s="290"/>
      <c r="G796" s="290" t="s">
        <v>883</v>
      </c>
      <c r="H796" s="291">
        <v>14</v>
      </c>
      <c r="I796" s="292">
        <v>103003</v>
      </c>
      <c r="J796" s="293">
        <v>48.46</v>
      </c>
      <c r="K796" s="294">
        <v>3</v>
      </c>
      <c r="L796" s="295">
        <f>IF(tabItens[[#This Row],[Média]] &gt; 0, tabItens[[#This Row],[QTDE ATUAL]] / tabItens[[#This Row],[Média]],999.9)</f>
        <v>56</v>
      </c>
      <c r="M796" s="296">
        <v>0</v>
      </c>
      <c r="N796" s="297">
        <f>tabItens[[#This Row],[VALOR UNIT.]] * tabItens[[#This Row],[LC]]</f>
        <v>0</v>
      </c>
      <c r="O796" s="298"/>
      <c r="P796" s="299"/>
      <c r="Q796" s="300"/>
      <c r="R796" s="297"/>
      <c r="S796" s="301"/>
      <c r="T796" s="302">
        <f>ROUNDDOWN(IFERROR(tabItens[[#This Row],[ATA DT.VALID.]] - $D$1,0) / 30,0)</f>
        <v>-1504</v>
      </c>
      <c r="U796" s="287" t="s">
        <v>964</v>
      </c>
      <c r="V796" s="303">
        <v>1</v>
      </c>
      <c r="W796" s="304" t="s">
        <v>2054</v>
      </c>
      <c r="X796" s="305">
        <v>61</v>
      </c>
      <c r="Y796" s="306">
        <v>8</v>
      </c>
      <c r="Z796" s="307">
        <v>8979</v>
      </c>
      <c r="AA796" s="308">
        <v>2023</v>
      </c>
      <c r="AB796" s="309">
        <v>10</v>
      </c>
      <c r="AC796" s="309"/>
      <c r="AD796" s="308"/>
      <c r="AE796" s="309"/>
      <c r="AF796" s="302"/>
      <c r="AG796" s="310" t="s">
        <v>2050</v>
      </c>
      <c r="AH796" s="311"/>
      <c r="AI796" s="302">
        <v>14</v>
      </c>
      <c r="AJ796" s="311">
        <v>44573</v>
      </c>
      <c r="AK796" s="311" t="s">
        <v>883</v>
      </c>
      <c r="AL796" s="311">
        <v>44522</v>
      </c>
      <c r="AM796" s="301"/>
      <c r="AN796" s="290"/>
      <c r="AO796" s="312" t="str">
        <f>_xlfn.IFNA(IF(VLOOKUP(tabItens[[#This Row],[CÓDIGO]],tabExcluirDoEstoque[#Data],1,FALSE),"sim",""),"")</f>
        <v/>
      </c>
      <c r="AP796" s="313" t="str">
        <f ca="1">IF(OR(ISBLANK(tabItens[[#This Row],[ATA DT.VALID.]]),tabItens[[#This Row],[ATA DT.VALID.]]="",tabItens[[#This Row],[ATA DT.VALID.]]=" "),"",IF(TYPE(tabItens[[#This Row],[ATA DT.VALID.]])=1,ROUNDUP((tabItens[[#This Row],[ATA DT.VALID.]]-TODAY())/7,0),""))</f>
        <v/>
      </c>
      <c r="AQ796" s="314"/>
      <c r="AR796" s="315" t="str">
        <f>IF(ISBLANK(tabItens[[#This Row],[CÓDIGO]]),"",IFERROR(VLOOKUP(tabItens[[#This Row],[CÓDIGO]],Consumo!$C$2:$AC$869,26,FALSE),0))</f>
        <v>03.2023</v>
      </c>
      <c r="AS796" s="316">
        <f>SUMIF(Consumo!$C$3:$C$869,tabItens[[#This Row],[CÓDIGO]],Consumo!$N$3:$N$869) + SUMIF(Consumo!$C$3:$C$869,tabItens[[#This Row],[CÓDIGO]],Consumo!$O$3:$O$869) + SUMIF(Consumo!$C$3:$C$869,tabItens[[#This Row],[CÓDIGO]],Consumo!$P$3:$P$869) + SUMIF(Consumo!$C$3:$C$869,tabItens[[#This Row],[CÓDIGO]],Consumo!$Q$3:$Q$869)</f>
        <v>0</v>
      </c>
      <c r="AT796" s="316">
        <f>SUMIF(Consumo!$C$3:$C$869,tabItens[[#This Row],[CÓDIGO]],Consumo!$Z$3:$Z$869)</f>
        <v>3</v>
      </c>
      <c r="AU796" s="317">
        <f>SUMIF(Consumo!$C$3:$C$869,tabItens[[#This Row],[CÓDIGO]],Consumo!$AA$3:$AA$869)</f>
        <v>1</v>
      </c>
      <c r="AV796" s="318">
        <f>SUMIF(Consumo!$C$3:$C$869,tabItens[[#This Row],[CÓDIGO]],Consumo!$Y$3:$Y$869)</f>
        <v>0.25</v>
      </c>
      <c r="AW796" s="291">
        <f>tabItens[[#This Row],[QTDE ATUAL]] + tabItens[[#This Row],[RC QTDE]] + tabItens[[#This Row],[AF SALDO]] + tabItens[[#This Row],[Recentes]]</f>
        <v>24</v>
      </c>
      <c r="AX796" s="319">
        <v>1</v>
      </c>
      <c r="AY796" s="319">
        <v>4</v>
      </c>
      <c r="AZ796" s="319">
        <f>IF(ISBLANK(tabItens[[#This Row],[CÓDIGO]]),"",tabItens[[#This Row],[PontoMês]] * (AZ$2+tabItens[[#This Row],[PontoQtM]]))</f>
        <v>4</v>
      </c>
      <c r="BA796" s="318">
        <f>tabItens[[#This Row],[PontoPed]] - tabItens[[#This Row],[Saldo]] + (1/10)</f>
        <v>-19.899999999999999</v>
      </c>
      <c r="BB796" s="318">
        <f xml:space="preserve"> tabItens[[#This Row],[PontoMês]] * BB$2 - tabItens[[#This Row],[QTDE ATUAL]] - (1/10)</f>
        <v>-13.1</v>
      </c>
      <c r="BC796" s="320">
        <f>IF( tabItens[[#This Row],[PontoPed]]&gt;0, IF(tabItens[[#This Row],[PontoPed]]&lt;1, 1, IF( tabItens[[#This Row],[Saldo]]&gt;tabItens[[#This Row],[PontoPed]], 0, (tabItens[[#This Row],[PontoPed]]-tabItens[[#This Row],[Saldo]])/tabItens[[#This Row],[PontoPed]] ) ), 0 )</f>
        <v>0</v>
      </c>
      <c r="BD796" s="321">
        <f>ROUNDDOWN(IF( OR( AND(tabItens[[#This Row],[PontoPed]]&lt;tabItens[[#This Row],[Saldo]],tabItens[[#This Row],[Saldo]]&gt;0), tabItens[[#This Row],[PontoPed]]=0), 99, IF(AND(tabItens[[#This Row],[Saldo]]=0,tabItens[[#This Row],[PontoPed]]&gt;0), 0, (1-tabItens[[#This Row],[PctAb]])*10 ) ),0)</f>
        <v>99</v>
      </c>
      <c r="BE796" s="322">
        <f>MAX(ROUNDDOWN( IF(tabItens[[#This Row],[Abaixo]] &gt; 0,   tabItens[[#This Row],[Abaixo]] + (tabItens[[#This Row],[PontoMês]] * IF( OR( ISBLANK(tabItens[[#This Row],[ATA Nº/ANO]]), tabItens[[#This Row],[ATA Nº/ANO]] = ""),BE$2,BE$1)),0),0),0)</f>
        <v>0</v>
      </c>
      <c r="BF79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23">
        <f>SUMIF(Consumo!$C$3:$C$869,tabItens[[#This Row],[CÓDIGO]],Consumo!$E$3:$E$869)</f>
        <v>0</v>
      </c>
      <c r="BH796" s="324">
        <f>IF(AND(tabItens[[#This Row],[Pend]] &gt; 0,tabItens[[#This Row],[Consumo]] &lt;&gt; 0), tabItens[[#This Row],[Pend]] / tabItens[[#This Row],[Consumo]], 0 )</f>
        <v>0</v>
      </c>
      <c r="BI796" s="323"/>
      <c r="BJ796" s="323"/>
      <c r="BK796" s="325" t="s">
        <v>2064</v>
      </c>
    </row>
    <row r="797" spans="1:63" hidden="1" x14ac:dyDescent="0.3">
      <c r="A797" s="286">
        <v>128229</v>
      </c>
      <c r="B797" s="287" t="s">
        <v>1778</v>
      </c>
      <c r="C797" s="288" t="s">
        <v>31</v>
      </c>
      <c r="D797" s="289">
        <v>5.88</v>
      </c>
      <c r="E797" s="290"/>
      <c r="F797" s="290"/>
      <c r="G797" s="290" t="s">
        <v>883</v>
      </c>
      <c r="H797" s="291">
        <v>108</v>
      </c>
      <c r="I797" s="292">
        <v>103003</v>
      </c>
      <c r="J797" s="293">
        <v>5.88</v>
      </c>
      <c r="K797" s="294">
        <v>18</v>
      </c>
      <c r="L797" s="295">
        <f>IF(tabItens[[#This Row],[Média]] &gt; 0, tabItens[[#This Row],[QTDE ATUAL]] / tabItens[[#This Row],[Média]],999.9)</f>
        <v>61.714285714285715</v>
      </c>
      <c r="M797" s="296">
        <v>0</v>
      </c>
      <c r="N797" s="297">
        <f>tabItens[[#This Row],[VALOR UNIT.]] * tabItens[[#This Row],[LC]]</f>
        <v>0</v>
      </c>
      <c r="O797" s="298"/>
      <c r="P797" s="299"/>
      <c r="Q797" s="300"/>
      <c r="R797" s="297"/>
      <c r="S797" s="301"/>
      <c r="T797" s="302">
        <f>ROUNDDOWN(IFERROR(tabItens[[#This Row],[ATA DT.VALID.]] - $D$1,0) / 30,0)</f>
        <v>-1504</v>
      </c>
      <c r="U797" s="287" t="s">
        <v>964</v>
      </c>
      <c r="V797" s="303">
        <v>1</v>
      </c>
      <c r="W797" s="304" t="s">
        <v>2054</v>
      </c>
      <c r="X797" s="305">
        <v>61</v>
      </c>
      <c r="Y797" s="306">
        <v>8</v>
      </c>
      <c r="Z797" s="307"/>
      <c r="AA797" s="308"/>
      <c r="AB797" s="309"/>
      <c r="AC797" s="309"/>
      <c r="AD797" s="308"/>
      <c r="AE797" s="309"/>
      <c r="AF797" s="302"/>
      <c r="AG797" s="310" t="s">
        <v>2050</v>
      </c>
      <c r="AH797" s="311"/>
      <c r="AI797" s="302">
        <v>8</v>
      </c>
      <c r="AJ797" s="311">
        <v>44573</v>
      </c>
      <c r="AK797" s="311">
        <v>41814</v>
      </c>
      <c r="AL797" s="311">
        <v>44522</v>
      </c>
      <c r="AM797" s="301"/>
      <c r="AN797" s="290"/>
      <c r="AO797" s="312" t="str">
        <f>_xlfn.IFNA(IF(VLOOKUP(tabItens[[#This Row],[CÓDIGO]],tabExcluirDoEstoque[#Data],1,FALSE),"sim",""),"")</f>
        <v/>
      </c>
      <c r="AP797" s="313" t="str">
        <f ca="1">IF(OR(ISBLANK(tabItens[[#This Row],[ATA DT.VALID.]]),tabItens[[#This Row],[ATA DT.VALID.]]="",tabItens[[#This Row],[ATA DT.VALID.]]=" "),"",IF(TYPE(tabItens[[#This Row],[ATA DT.VALID.]])=1,ROUNDUP((tabItens[[#This Row],[ATA DT.VALID.]]-TODAY())/7,0),""))</f>
        <v/>
      </c>
      <c r="AQ797" s="314"/>
      <c r="AR797" s="315" t="str">
        <f>IF(ISBLANK(tabItens[[#This Row],[CÓDIGO]]),"",IFERROR(VLOOKUP(tabItens[[#This Row],[CÓDIGO]],Consumo!$C$2:$AC$869,26,FALSE),0))</f>
        <v>04.2023</v>
      </c>
      <c r="AS797" s="316">
        <f>SUMIF(Consumo!$C$3:$C$869,tabItens[[#This Row],[CÓDIGO]],Consumo!$N$3:$N$869) + SUMIF(Consumo!$C$3:$C$869,tabItens[[#This Row],[CÓDIGO]],Consumo!$O$3:$O$869) + SUMIF(Consumo!$C$3:$C$869,tabItens[[#This Row],[CÓDIGO]],Consumo!$P$3:$P$869) + SUMIF(Consumo!$C$3:$C$869,tabItens[[#This Row],[CÓDIGO]],Consumo!$Q$3:$Q$869)</f>
        <v>5</v>
      </c>
      <c r="AT797" s="316">
        <f>SUMIF(Consumo!$C$3:$C$869,tabItens[[#This Row],[CÓDIGO]],Consumo!$Z$3:$Z$869)</f>
        <v>21</v>
      </c>
      <c r="AU797" s="317">
        <f>SUMIF(Consumo!$C$3:$C$869,tabItens[[#This Row],[CÓDIGO]],Consumo!$AA$3:$AA$869)</f>
        <v>5</v>
      </c>
      <c r="AV797" s="318">
        <f>SUMIF(Consumo!$C$3:$C$869,tabItens[[#This Row],[CÓDIGO]],Consumo!$Y$3:$Y$869)</f>
        <v>1.75</v>
      </c>
      <c r="AW797" s="291">
        <f>tabItens[[#This Row],[QTDE ATUAL]] + tabItens[[#This Row],[RC QTDE]] + tabItens[[#This Row],[AF SALDO]] + tabItens[[#This Row],[Recentes]]</f>
        <v>108</v>
      </c>
      <c r="AX797" s="319">
        <v>3</v>
      </c>
      <c r="AY797" s="319">
        <v>4</v>
      </c>
      <c r="AZ797" s="319">
        <f>IF(ISBLANK(tabItens[[#This Row],[CÓDIGO]]),"",tabItens[[#This Row],[PontoMês]] * (AZ$2+tabItens[[#This Row],[PontoQtM]]))</f>
        <v>12</v>
      </c>
      <c r="BA797" s="318">
        <f>tabItens[[#This Row],[PontoPed]] - tabItens[[#This Row],[Saldo]] + (1/10)</f>
        <v>-95.9</v>
      </c>
      <c r="BB797" s="318">
        <f xml:space="preserve"> tabItens[[#This Row],[PontoMês]] * BB$2 - tabItens[[#This Row],[QTDE ATUAL]] - (1/10)</f>
        <v>-105.1</v>
      </c>
      <c r="BC797" s="320">
        <f>IF( tabItens[[#This Row],[PontoPed]]&gt;0, IF(tabItens[[#This Row],[PontoPed]]&lt;1, 1, IF( tabItens[[#This Row],[Saldo]]&gt;tabItens[[#This Row],[PontoPed]], 0, (tabItens[[#This Row],[PontoPed]]-tabItens[[#This Row],[Saldo]])/tabItens[[#This Row],[PontoPed]] ) ), 0 )</f>
        <v>0</v>
      </c>
      <c r="BD797" s="321">
        <f>ROUNDDOWN(IF( OR( AND(tabItens[[#This Row],[PontoPed]]&lt;tabItens[[#This Row],[Saldo]],tabItens[[#This Row],[Saldo]]&gt;0), tabItens[[#This Row],[PontoPed]]=0), 99, IF(AND(tabItens[[#This Row],[Saldo]]=0,tabItens[[#This Row],[PontoPed]]&gt;0), 0, (1-tabItens[[#This Row],[PctAb]])*10 ) ),0)</f>
        <v>99</v>
      </c>
      <c r="BE797" s="322">
        <f>MAX(ROUNDDOWN( IF(tabItens[[#This Row],[Abaixo]] &gt; 0,   tabItens[[#This Row],[Abaixo]] + (tabItens[[#This Row],[PontoMês]] * IF( OR( ISBLANK(tabItens[[#This Row],[ATA Nº/ANO]]), tabItens[[#This Row],[ATA Nº/ANO]] = ""),BE$2,BE$1)),0),0),0)</f>
        <v>0</v>
      </c>
      <c r="BF79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23">
        <f>SUMIF(Consumo!$C$3:$C$869,tabItens[[#This Row],[CÓDIGO]],Consumo!$E$3:$E$869)</f>
        <v>0</v>
      </c>
      <c r="BH797" s="324">
        <f>IF(AND(tabItens[[#This Row],[Pend]] &gt; 0,tabItens[[#This Row],[Consumo]] &lt;&gt; 0), tabItens[[#This Row],[Pend]] / tabItens[[#This Row],[Consumo]], 0 )</f>
        <v>0</v>
      </c>
      <c r="BI797" s="323"/>
      <c r="BJ797" s="323"/>
      <c r="BK797" s="325" t="s">
        <v>2064</v>
      </c>
    </row>
    <row r="798" spans="1:63" hidden="1" x14ac:dyDescent="0.3">
      <c r="A798" s="286">
        <v>105114</v>
      </c>
      <c r="B798" s="287" t="s">
        <v>1606</v>
      </c>
      <c r="C798" s="288" t="s">
        <v>256</v>
      </c>
      <c r="D798" s="289">
        <v>25</v>
      </c>
      <c r="E798" s="290"/>
      <c r="F798" s="290"/>
      <c r="G798" s="290" t="s">
        <v>883</v>
      </c>
      <c r="H798" s="291">
        <v>39</v>
      </c>
      <c r="I798" s="292">
        <v>103003</v>
      </c>
      <c r="J798" s="293">
        <v>25</v>
      </c>
      <c r="K798" s="294">
        <v>2</v>
      </c>
      <c r="L798" s="295">
        <f>IF(tabItens[[#This Row],[Média]] &gt; 0, tabItens[[#This Row],[QTDE ATUAL]] / tabItens[[#This Row],[Média]],999.9)</f>
        <v>468</v>
      </c>
      <c r="M798" s="296">
        <v>0</v>
      </c>
      <c r="N798" s="297">
        <f>tabItens[[#This Row],[VALOR UNIT.]] * tabItens[[#This Row],[LC]]</f>
        <v>0</v>
      </c>
      <c r="O798" s="298"/>
      <c r="P798" s="299"/>
      <c r="Q798" s="300"/>
      <c r="R798" s="297"/>
      <c r="S798" s="301"/>
      <c r="T798" s="302">
        <f>ROUNDDOWN(IFERROR(tabItens[[#This Row],[ATA DT.VALID.]] - $D$1,0) / 30,0)</f>
        <v>-1504</v>
      </c>
      <c r="U798" s="287" t="s">
        <v>1607</v>
      </c>
      <c r="V798" s="303">
        <v>1</v>
      </c>
      <c r="W798" s="304" t="s">
        <v>2058</v>
      </c>
      <c r="X798" s="305">
        <v>62</v>
      </c>
      <c r="Y798" s="306">
        <v>1</v>
      </c>
      <c r="Z798" s="307"/>
      <c r="AA798" s="308"/>
      <c r="AB798" s="309"/>
      <c r="AC798" s="309"/>
      <c r="AD798" s="308"/>
      <c r="AE798" s="309"/>
      <c r="AF798" s="302"/>
      <c r="AG798" s="310" t="s">
        <v>2050</v>
      </c>
      <c r="AH798" s="311"/>
      <c r="AI798" s="302">
        <v>0</v>
      </c>
      <c r="AJ798" s="311">
        <v>43697</v>
      </c>
      <c r="AK798" s="311">
        <v>39499</v>
      </c>
      <c r="AL798" s="311">
        <v>43564</v>
      </c>
      <c r="AM798" s="301"/>
      <c r="AN798" s="290"/>
      <c r="AO798" s="312" t="str">
        <f>_xlfn.IFNA(IF(VLOOKUP(tabItens[[#This Row],[CÓDIGO]],tabExcluirDoEstoque[#Data],1,FALSE),"sim",""),"")</f>
        <v/>
      </c>
      <c r="AP798" s="313" t="str">
        <f ca="1">IF(OR(ISBLANK(tabItens[[#This Row],[ATA DT.VALID.]]),tabItens[[#This Row],[ATA DT.VALID.]]="",tabItens[[#This Row],[ATA DT.VALID.]]=" "),"",IF(TYPE(tabItens[[#This Row],[ATA DT.VALID.]])=1,ROUNDUP((tabItens[[#This Row],[ATA DT.VALID.]]-TODAY())/7,0),""))</f>
        <v/>
      </c>
      <c r="AQ798" s="314"/>
      <c r="AR798" s="315" t="str">
        <f>IF(ISBLANK(tabItens[[#This Row],[CÓDIGO]]),"",IFERROR(VLOOKUP(tabItens[[#This Row],[CÓDIGO]],Consumo!$C$2:$AC$869,26,FALSE),0))</f>
        <v>03.2023</v>
      </c>
      <c r="AS798" s="316">
        <f>SUMIF(Consumo!$C$3:$C$869,tabItens[[#This Row],[CÓDIGO]],Consumo!$N$3:$N$869) + SUMIF(Consumo!$C$3:$C$869,tabItens[[#This Row],[CÓDIGO]],Consumo!$O$3:$O$869) + SUMIF(Consumo!$C$3:$C$869,tabItens[[#This Row],[CÓDIGO]],Consumo!$P$3:$P$869) + SUMIF(Consumo!$C$3:$C$869,tabItens[[#This Row],[CÓDIGO]],Consumo!$Q$3:$Q$869)</f>
        <v>0</v>
      </c>
      <c r="AT798" s="316">
        <f>SUMIF(Consumo!$C$3:$C$869,tabItens[[#This Row],[CÓDIGO]],Consumo!$Z$3:$Z$869)</f>
        <v>2</v>
      </c>
      <c r="AU798" s="317">
        <f>SUMIF(Consumo!$C$3:$C$869,tabItens[[#This Row],[CÓDIGO]],Consumo!$AA$3:$AA$869)</f>
        <v>2</v>
      </c>
      <c r="AV798" s="318">
        <f>SUMIF(Consumo!$C$3:$C$869,tabItens[[#This Row],[CÓDIGO]],Consumo!$Y$3:$Y$869)</f>
        <v>8.3333333333333329E-2</v>
      </c>
      <c r="AW798" s="291">
        <f>tabItens[[#This Row],[QTDE ATUAL]] + tabItens[[#This Row],[RC QTDE]] + tabItens[[#This Row],[AF SALDO]] + tabItens[[#This Row],[Recentes]]</f>
        <v>39</v>
      </c>
      <c r="AX798" s="319">
        <v>0</v>
      </c>
      <c r="AY798" s="319">
        <v>4</v>
      </c>
      <c r="AZ798" s="319">
        <f>IF(ISBLANK(tabItens[[#This Row],[CÓDIGO]]),"",tabItens[[#This Row],[PontoMês]] * (AZ$2+tabItens[[#This Row],[PontoQtM]]))</f>
        <v>0</v>
      </c>
      <c r="BA798" s="318">
        <f>tabItens[[#This Row],[PontoPed]] - tabItens[[#This Row],[Saldo]] + (1/10)</f>
        <v>-38.9</v>
      </c>
      <c r="BB798" s="318">
        <f xml:space="preserve"> tabItens[[#This Row],[PontoMês]] * BB$2 - tabItens[[#This Row],[QTDE ATUAL]] - (1/10)</f>
        <v>-39.1</v>
      </c>
      <c r="BC798" s="320">
        <f>IF( tabItens[[#This Row],[PontoPed]]&gt;0, IF(tabItens[[#This Row],[PontoPed]]&lt;1, 1, IF( tabItens[[#This Row],[Saldo]]&gt;tabItens[[#This Row],[PontoPed]], 0, (tabItens[[#This Row],[PontoPed]]-tabItens[[#This Row],[Saldo]])/tabItens[[#This Row],[PontoPed]] ) ), 0 )</f>
        <v>0</v>
      </c>
      <c r="BD798" s="321">
        <f>ROUNDDOWN(IF( OR( AND(tabItens[[#This Row],[PontoPed]]&lt;tabItens[[#This Row],[Saldo]],tabItens[[#This Row],[Saldo]]&gt;0), tabItens[[#This Row],[PontoPed]]=0), 99, IF(AND(tabItens[[#This Row],[Saldo]]=0,tabItens[[#This Row],[PontoPed]]&gt;0), 0, (1-tabItens[[#This Row],[PctAb]])*10 ) ),0)</f>
        <v>99</v>
      </c>
      <c r="BE798" s="322">
        <f>MAX(ROUNDDOWN( IF(tabItens[[#This Row],[Abaixo]] &gt; 0,   tabItens[[#This Row],[Abaixo]] + (tabItens[[#This Row],[PontoMês]] * IF( OR( ISBLANK(tabItens[[#This Row],[ATA Nº/ANO]]), tabItens[[#This Row],[ATA Nº/ANO]] = ""),BE$2,BE$1)),0),0),0)</f>
        <v>0</v>
      </c>
      <c r="BF79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23">
        <f>SUMIF(Consumo!$C$3:$C$869,tabItens[[#This Row],[CÓDIGO]],Consumo!$E$3:$E$869)</f>
        <v>0</v>
      </c>
      <c r="BH798" s="324">
        <f>IF(AND(tabItens[[#This Row],[Pend]] &gt; 0,tabItens[[#This Row],[Consumo]] &lt;&gt; 0), tabItens[[#This Row],[Pend]] / tabItens[[#This Row],[Consumo]], 0 )</f>
        <v>0</v>
      </c>
      <c r="BI798" s="323"/>
      <c r="BJ798" s="323"/>
      <c r="BK798" s="325" t="s">
        <v>2064</v>
      </c>
    </row>
    <row r="799" spans="1:63" hidden="1" x14ac:dyDescent="0.3">
      <c r="A799" s="286">
        <v>105115</v>
      </c>
      <c r="B799" s="287" t="s">
        <v>1608</v>
      </c>
      <c r="C799" s="288" t="s">
        <v>256</v>
      </c>
      <c r="D799" s="289">
        <v>25.24</v>
      </c>
      <c r="E799" s="290"/>
      <c r="F799" s="290"/>
      <c r="G799" s="290" t="s">
        <v>883</v>
      </c>
      <c r="H799" s="291">
        <v>24</v>
      </c>
      <c r="I799" s="292">
        <v>103003</v>
      </c>
      <c r="J799" s="293">
        <v>25.24</v>
      </c>
      <c r="K799" s="294">
        <v>4</v>
      </c>
      <c r="L799" s="295">
        <f>IF(tabItens[[#This Row],[Média]] &gt; 0, tabItens[[#This Row],[QTDE ATUAL]] / tabItens[[#This Row],[Média]],999.9)</f>
        <v>144</v>
      </c>
      <c r="M799" s="296">
        <v>0</v>
      </c>
      <c r="N799" s="297">
        <f>tabItens[[#This Row],[VALOR UNIT.]] * tabItens[[#This Row],[LC]]</f>
        <v>0</v>
      </c>
      <c r="O799" s="298"/>
      <c r="P799" s="299"/>
      <c r="Q799" s="300"/>
      <c r="R799" s="297"/>
      <c r="S799" s="301"/>
      <c r="T799" s="302">
        <f>ROUNDDOWN(IFERROR(tabItens[[#This Row],[ATA DT.VALID.]] - $D$1,0) / 30,0)</f>
        <v>-1504</v>
      </c>
      <c r="U799" s="287" t="s">
        <v>1607</v>
      </c>
      <c r="V799" s="303">
        <v>1</v>
      </c>
      <c r="W799" s="304" t="s">
        <v>2058</v>
      </c>
      <c r="X799" s="305">
        <v>62</v>
      </c>
      <c r="Y799" s="306">
        <v>1</v>
      </c>
      <c r="Z799" s="307"/>
      <c r="AA799" s="308"/>
      <c r="AB799" s="309"/>
      <c r="AC799" s="309"/>
      <c r="AD799" s="308"/>
      <c r="AE799" s="309"/>
      <c r="AF799" s="302"/>
      <c r="AG799" s="310" t="s">
        <v>2050</v>
      </c>
      <c r="AH799" s="311"/>
      <c r="AI799" s="302">
        <v>2</v>
      </c>
      <c r="AJ799" s="311">
        <v>44018</v>
      </c>
      <c r="AK799" s="311">
        <v>39499</v>
      </c>
      <c r="AL799" s="311">
        <v>44468</v>
      </c>
      <c r="AM799" s="301"/>
      <c r="AN799" s="290"/>
      <c r="AO799" s="312" t="str">
        <f>_xlfn.IFNA(IF(VLOOKUP(tabItens[[#This Row],[CÓDIGO]],tabExcluirDoEstoque[#Data],1,FALSE),"sim",""),"")</f>
        <v/>
      </c>
      <c r="AP799" s="313" t="str">
        <f ca="1">IF(OR(ISBLANK(tabItens[[#This Row],[ATA DT.VALID.]]),tabItens[[#This Row],[ATA DT.VALID.]]="",tabItens[[#This Row],[ATA DT.VALID.]]=" "),"",IF(TYPE(tabItens[[#This Row],[ATA DT.VALID.]])=1,ROUNDUP((tabItens[[#This Row],[ATA DT.VALID.]]-TODAY())/7,0),""))</f>
        <v/>
      </c>
      <c r="AQ799" s="314"/>
      <c r="AR799" s="315" t="str">
        <f>IF(ISBLANK(tabItens[[#This Row],[CÓDIGO]]),"",IFERROR(VLOOKUP(tabItens[[#This Row],[CÓDIGO]],Consumo!$C$2:$AC$869,26,FALSE),0))</f>
        <v>02.2023</v>
      </c>
      <c r="AS799" s="316">
        <f>SUMIF(Consumo!$C$3:$C$869,tabItens[[#This Row],[CÓDIGO]],Consumo!$N$3:$N$869) + SUMIF(Consumo!$C$3:$C$869,tabItens[[#This Row],[CÓDIGO]],Consumo!$O$3:$O$869) + SUMIF(Consumo!$C$3:$C$869,tabItens[[#This Row],[CÓDIGO]],Consumo!$P$3:$P$869) + SUMIF(Consumo!$C$3:$C$869,tabItens[[#This Row],[CÓDIGO]],Consumo!$Q$3:$Q$869)</f>
        <v>0</v>
      </c>
      <c r="AT799" s="316">
        <f>SUMIF(Consumo!$C$3:$C$869,tabItens[[#This Row],[CÓDIGO]],Consumo!$Z$3:$Z$869)</f>
        <v>4</v>
      </c>
      <c r="AU799" s="317">
        <f>SUMIF(Consumo!$C$3:$C$869,tabItens[[#This Row],[CÓDIGO]],Consumo!$AA$3:$AA$869)</f>
        <v>2</v>
      </c>
      <c r="AV799" s="318">
        <f>SUMIF(Consumo!$C$3:$C$869,tabItens[[#This Row],[CÓDIGO]],Consumo!$Y$3:$Y$869)</f>
        <v>0.16666666666666666</v>
      </c>
      <c r="AW799" s="291">
        <f>tabItens[[#This Row],[QTDE ATUAL]] + tabItens[[#This Row],[RC QTDE]] + tabItens[[#This Row],[AF SALDO]] + tabItens[[#This Row],[Recentes]]</f>
        <v>24</v>
      </c>
      <c r="AX799" s="319">
        <v>1</v>
      </c>
      <c r="AY799" s="319">
        <v>4</v>
      </c>
      <c r="AZ799" s="319">
        <f>IF(ISBLANK(tabItens[[#This Row],[CÓDIGO]]),"",tabItens[[#This Row],[PontoMês]] * (AZ$2+tabItens[[#This Row],[PontoQtM]]))</f>
        <v>4</v>
      </c>
      <c r="BA799" s="318">
        <f>tabItens[[#This Row],[PontoPed]] - tabItens[[#This Row],[Saldo]] + (1/10)</f>
        <v>-19.899999999999999</v>
      </c>
      <c r="BB799" s="318">
        <f xml:space="preserve"> tabItens[[#This Row],[PontoMês]] * BB$2 - tabItens[[#This Row],[QTDE ATUAL]] - (1/10)</f>
        <v>-23.1</v>
      </c>
      <c r="BC799" s="320">
        <f>IF( tabItens[[#This Row],[PontoPed]]&gt;0, IF(tabItens[[#This Row],[PontoPed]]&lt;1, 1, IF( tabItens[[#This Row],[Saldo]]&gt;tabItens[[#This Row],[PontoPed]], 0, (tabItens[[#This Row],[PontoPed]]-tabItens[[#This Row],[Saldo]])/tabItens[[#This Row],[PontoPed]] ) ), 0 )</f>
        <v>0</v>
      </c>
      <c r="BD799" s="321">
        <f>ROUNDDOWN(IF( OR( AND(tabItens[[#This Row],[PontoPed]]&lt;tabItens[[#This Row],[Saldo]],tabItens[[#This Row],[Saldo]]&gt;0), tabItens[[#This Row],[PontoPed]]=0), 99, IF(AND(tabItens[[#This Row],[Saldo]]=0,tabItens[[#This Row],[PontoPed]]&gt;0), 0, (1-tabItens[[#This Row],[PctAb]])*10 ) ),0)</f>
        <v>99</v>
      </c>
      <c r="BE799" s="322">
        <f>MAX(ROUNDDOWN( IF(tabItens[[#This Row],[Abaixo]] &gt; 0,   tabItens[[#This Row],[Abaixo]] + (tabItens[[#This Row],[PontoMês]] * IF( OR( ISBLANK(tabItens[[#This Row],[ATA Nº/ANO]]), tabItens[[#This Row],[ATA Nº/ANO]] = ""),BE$2,BE$1)),0),0),0)</f>
        <v>0</v>
      </c>
      <c r="BF79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23">
        <f>SUMIF(Consumo!$C$3:$C$869,tabItens[[#This Row],[CÓDIGO]],Consumo!$E$3:$E$869)</f>
        <v>0</v>
      </c>
      <c r="BH799" s="324">
        <f>IF(AND(tabItens[[#This Row],[Pend]] &gt; 0,tabItens[[#This Row],[Consumo]] &lt;&gt; 0), tabItens[[#This Row],[Pend]] / tabItens[[#This Row],[Consumo]], 0 )</f>
        <v>0</v>
      </c>
      <c r="BI799" s="323"/>
      <c r="BJ799" s="323"/>
      <c r="BK799" s="325" t="s">
        <v>2064</v>
      </c>
    </row>
    <row r="800" spans="1:63" hidden="1" x14ac:dyDescent="0.3">
      <c r="A800" s="286">
        <v>105118</v>
      </c>
      <c r="B800" s="287" t="s">
        <v>1609</v>
      </c>
      <c r="C800" s="288" t="s">
        <v>256</v>
      </c>
      <c r="D800" s="289">
        <v>47.41</v>
      </c>
      <c r="E800" s="290"/>
      <c r="F800" s="290"/>
      <c r="G800" s="290" t="s">
        <v>883</v>
      </c>
      <c r="H800" s="291">
        <v>0</v>
      </c>
      <c r="I800" s="292">
        <v>103003</v>
      </c>
      <c r="J800" s="293">
        <v>47.41</v>
      </c>
      <c r="K800" s="294">
        <v>6</v>
      </c>
      <c r="L800" s="295">
        <f>IF(tabItens[[#This Row],[Média]] &gt; 0, tabItens[[#This Row],[QTDE ATUAL]] / tabItens[[#This Row],[Média]],999.9)</f>
        <v>0</v>
      </c>
      <c r="M800" s="296">
        <v>0</v>
      </c>
      <c r="N800" s="297">
        <f>tabItens[[#This Row],[VALOR UNIT.]] * tabItens[[#This Row],[LC]]</f>
        <v>0</v>
      </c>
      <c r="O800" s="298"/>
      <c r="P800" s="299"/>
      <c r="Q800" s="300"/>
      <c r="R800" s="297"/>
      <c r="S800" s="301"/>
      <c r="T800" s="302">
        <f>ROUNDDOWN(IFERROR(tabItens[[#This Row],[ATA DT.VALID.]] - $D$1,0) / 30,0)</f>
        <v>-1504</v>
      </c>
      <c r="U800" s="287" t="s">
        <v>1607</v>
      </c>
      <c r="V800" s="303">
        <v>1</v>
      </c>
      <c r="W800" s="304" t="s">
        <v>2058</v>
      </c>
      <c r="X800" s="305">
        <v>62</v>
      </c>
      <c r="Y800" s="306">
        <v>1</v>
      </c>
      <c r="Z800" s="307">
        <v>8984</v>
      </c>
      <c r="AA800" s="308">
        <v>2023</v>
      </c>
      <c r="AB800" s="309">
        <v>2</v>
      </c>
      <c r="AC800" s="309"/>
      <c r="AD800" s="308"/>
      <c r="AE800" s="309"/>
      <c r="AF800" s="302"/>
      <c r="AG800" s="310" t="s">
        <v>2050</v>
      </c>
      <c r="AH800" s="311"/>
      <c r="AI800" s="302">
        <v>2</v>
      </c>
      <c r="AJ800" s="311">
        <v>43872</v>
      </c>
      <c r="AK800" s="311">
        <v>39499</v>
      </c>
      <c r="AL800" s="311">
        <v>44791</v>
      </c>
      <c r="AM800" s="301"/>
      <c r="AN800" s="290"/>
      <c r="AO800" s="312" t="str">
        <f>_xlfn.IFNA(IF(VLOOKUP(tabItens[[#This Row],[CÓDIGO]],tabExcluirDoEstoque[#Data],1,FALSE),"sim",""),"")</f>
        <v/>
      </c>
      <c r="AP800" s="313" t="str">
        <f ca="1">IF(OR(ISBLANK(tabItens[[#This Row],[ATA DT.VALID.]]),tabItens[[#This Row],[ATA DT.VALID.]]="",tabItens[[#This Row],[ATA DT.VALID.]]=" "),"",IF(TYPE(tabItens[[#This Row],[ATA DT.VALID.]])=1,ROUNDUP((tabItens[[#This Row],[ATA DT.VALID.]]-TODAY())/7,0),""))</f>
        <v/>
      </c>
      <c r="AQ800" s="314"/>
      <c r="AR800" s="315" t="str">
        <f>IF(ISBLANK(tabItens[[#This Row],[CÓDIGO]]),"",IFERROR(VLOOKUP(tabItens[[#This Row],[CÓDIGO]],Consumo!$C$2:$AC$869,26,FALSE),0))</f>
        <v>07.2023</v>
      </c>
      <c r="AS800" s="316">
        <f>SUMIF(Consumo!$C$3:$C$869,tabItens[[#This Row],[CÓDIGO]],Consumo!$N$3:$N$869) + SUMIF(Consumo!$C$3:$C$869,tabItens[[#This Row],[CÓDIGO]],Consumo!$O$3:$O$869) + SUMIF(Consumo!$C$3:$C$869,tabItens[[#This Row],[CÓDIGO]],Consumo!$P$3:$P$869) + SUMIF(Consumo!$C$3:$C$869,tabItens[[#This Row],[CÓDIGO]],Consumo!$Q$3:$Q$869)</f>
        <v>2</v>
      </c>
      <c r="AT800" s="316">
        <f>SUMIF(Consumo!$C$3:$C$869,tabItens[[#This Row],[CÓDIGO]],Consumo!$Z$3:$Z$869)</f>
        <v>6</v>
      </c>
      <c r="AU800" s="317">
        <f>SUMIF(Consumo!$C$3:$C$869,tabItens[[#This Row],[CÓDIGO]],Consumo!$AA$3:$AA$869)</f>
        <v>4</v>
      </c>
      <c r="AV800" s="318">
        <f>SUMIF(Consumo!$C$3:$C$869,tabItens[[#This Row],[CÓDIGO]],Consumo!$Y$3:$Y$869)</f>
        <v>0.33333333333333331</v>
      </c>
      <c r="AW800" s="291">
        <f>tabItens[[#This Row],[QTDE ATUAL]] + tabItens[[#This Row],[RC QTDE]] + tabItens[[#This Row],[AF SALDO]] + tabItens[[#This Row],[Recentes]]</f>
        <v>2</v>
      </c>
      <c r="AX800" s="319">
        <v>0</v>
      </c>
      <c r="AY800" s="319">
        <v>4</v>
      </c>
      <c r="AZ800" s="319">
        <f>IF(ISBLANK(tabItens[[#This Row],[CÓDIGO]]),"",tabItens[[#This Row],[PontoMês]] * (AZ$2+tabItens[[#This Row],[PontoQtM]]))</f>
        <v>0</v>
      </c>
      <c r="BA800" s="318">
        <f>tabItens[[#This Row],[PontoPed]] - tabItens[[#This Row],[Saldo]] + (1/10)</f>
        <v>-1.9</v>
      </c>
      <c r="BB800" s="318">
        <f xml:space="preserve"> tabItens[[#This Row],[PontoMês]] * BB$2 - tabItens[[#This Row],[QTDE ATUAL]] - (1/10)</f>
        <v>-0.1</v>
      </c>
      <c r="BC800" s="320">
        <f>IF( tabItens[[#This Row],[PontoPed]]&gt;0, IF(tabItens[[#This Row],[PontoPed]]&lt;1, 1, IF( tabItens[[#This Row],[Saldo]]&gt;tabItens[[#This Row],[PontoPed]], 0, (tabItens[[#This Row],[PontoPed]]-tabItens[[#This Row],[Saldo]])/tabItens[[#This Row],[PontoPed]] ) ), 0 )</f>
        <v>0</v>
      </c>
      <c r="BD800" s="321">
        <f>ROUNDDOWN(IF( OR( AND(tabItens[[#This Row],[PontoPed]]&lt;tabItens[[#This Row],[Saldo]],tabItens[[#This Row],[Saldo]]&gt;0), tabItens[[#This Row],[PontoPed]]=0), 99, IF(AND(tabItens[[#This Row],[Saldo]]=0,tabItens[[#This Row],[PontoPed]]&gt;0), 0, (1-tabItens[[#This Row],[PctAb]])*10 ) ),0)</f>
        <v>99</v>
      </c>
      <c r="BE800" s="322">
        <f>MAX(ROUNDDOWN( IF(tabItens[[#This Row],[Abaixo]] &gt; 0,   tabItens[[#This Row],[Abaixo]] + (tabItens[[#This Row],[PontoMês]] * IF( OR( ISBLANK(tabItens[[#This Row],[ATA Nº/ANO]]), tabItens[[#This Row],[ATA Nº/ANO]] = ""),BE$2,BE$1)),0),0),0)</f>
        <v>0</v>
      </c>
      <c r="BF80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23">
        <f>SUMIF(Consumo!$C$3:$C$869,tabItens[[#This Row],[CÓDIGO]],Consumo!$E$3:$E$869)</f>
        <v>0</v>
      </c>
      <c r="BH800" s="324">
        <f>IF(AND(tabItens[[#This Row],[Pend]] &gt; 0,tabItens[[#This Row],[Consumo]] &lt;&gt; 0), tabItens[[#This Row],[Pend]] / tabItens[[#This Row],[Consumo]], 0 )</f>
        <v>0</v>
      </c>
      <c r="BI800" s="323"/>
      <c r="BJ800" s="323"/>
      <c r="BK800" s="325" t="s">
        <v>2064</v>
      </c>
    </row>
    <row r="801" spans="1:63" hidden="1" x14ac:dyDescent="0.3">
      <c r="A801" s="286">
        <v>136674</v>
      </c>
      <c r="B801" s="287" t="s">
        <v>1919</v>
      </c>
      <c r="C801" s="288" t="s">
        <v>256</v>
      </c>
      <c r="D801" s="289">
        <v>41</v>
      </c>
      <c r="E801" s="290"/>
      <c r="F801" s="290"/>
      <c r="G801" s="290" t="s">
        <v>883</v>
      </c>
      <c r="H801" s="291">
        <v>6</v>
      </c>
      <c r="I801" s="292">
        <v>103003</v>
      </c>
      <c r="J801" s="293">
        <v>41</v>
      </c>
      <c r="K801" s="294"/>
      <c r="L801" s="295">
        <f>IF(tabItens[[#This Row],[Média]] &gt; 0, tabItens[[#This Row],[QTDE ATUAL]] / tabItens[[#This Row],[Média]],999.9)</f>
        <v>999.9</v>
      </c>
      <c r="M801" s="296">
        <v>0</v>
      </c>
      <c r="N801" s="297">
        <f>tabItens[[#This Row],[VALOR UNIT.]] * tabItens[[#This Row],[LC]]</f>
        <v>0</v>
      </c>
      <c r="O801" s="298"/>
      <c r="P801" s="299"/>
      <c r="Q801" s="300"/>
      <c r="R801" s="297"/>
      <c r="S801" s="301"/>
      <c r="T801" s="302">
        <f>ROUNDDOWN(IFERROR(tabItens[[#This Row],[ATA DT.VALID.]] - $D$1,0) / 30,0)</f>
        <v>-1504</v>
      </c>
      <c r="U801" s="287" t="s">
        <v>1607</v>
      </c>
      <c r="V801" s="303">
        <v>1</v>
      </c>
      <c r="W801" s="304" t="s">
        <v>2058</v>
      </c>
      <c r="X801" s="305">
        <v>62</v>
      </c>
      <c r="Y801" s="306">
        <v>1</v>
      </c>
      <c r="Z801" s="307"/>
      <c r="AA801" s="308"/>
      <c r="AB801" s="309"/>
      <c r="AC801" s="309"/>
      <c r="AD801" s="308"/>
      <c r="AE801" s="309"/>
      <c r="AF801" s="302"/>
      <c r="AG801" s="310" t="s">
        <v>2050</v>
      </c>
      <c r="AH801" s="311"/>
      <c r="AI801" s="302">
        <v>0</v>
      </c>
      <c r="AJ801" s="311">
        <v>44011</v>
      </c>
      <c r="AK801" s="311">
        <v>43549</v>
      </c>
      <c r="AL801" s="311">
        <v>43970</v>
      </c>
      <c r="AM801" s="301"/>
      <c r="AN801" s="290"/>
      <c r="AO801" s="312" t="str">
        <f>_xlfn.IFNA(IF(VLOOKUP(tabItens[[#This Row],[CÓDIGO]],tabExcluirDoEstoque[#Data],1,FALSE),"sim",""),"")</f>
        <v/>
      </c>
      <c r="AP801" s="313" t="str">
        <f ca="1">IF(OR(ISBLANK(tabItens[[#This Row],[ATA DT.VALID.]]),tabItens[[#This Row],[ATA DT.VALID.]]="",tabItens[[#This Row],[ATA DT.VALID.]]=" "),"",IF(TYPE(tabItens[[#This Row],[ATA DT.VALID.]])=1,ROUNDUP((tabItens[[#This Row],[ATA DT.VALID.]]-TODAY())/7,0),""))</f>
        <v/>
      </c>
      <c r="AQ801" s="314"/>
      <c r="AR801" s="315">
        <f>IF(ISBLANK(tabItens[[#This Row],[CÓDIGO]]),"",IFERROR(VLOOKUP(tabItens[[#This Row],[CÓDIGO]],Consumo!$C$2:$AC$869,26,FALSE),0))</f>
        <v>0</v>
      </c>
      <c r="AS801" s="316">
        <f>SUMIF(Consumo!$C$3:$C$869,tabItens[[#This Row],[CÓDIGO]],Consumo!$N$3:$N$869) + SUMIF(Consumo!$C$3:$C$869,tabItens[[#This Row],[CÓDIGO]],Consumo!$O$3:$O$869) + SUMIF(Consumo!$C$3:$C$869,tabItens[[#This Row],[CÓDIGO]],Consumo!$P$3:$P$869) + SUMIF(Consumo!$C$3:$C$869,tabItens[[#This Row],[CÓDIGO]],Consumo!$Q$3:$Q$869)</f>
        <v>0</v>
      </c>
      <c r="AT801" s="316">
        <f>SUMIF(Consumo!$C$3:$C$869,tabItens[[#This Row],[CÓDIGO]],Consumo!$Z$3:$Z$869)</f>
        <v>0</v>
      </c>
      <c r="AU801" s="317">
        <f>SUMIF(Consumo!$C$3:$C$869,tabItens[[#This Row],[CÓDIGO]],Consumo!$AA$3:$AA$869)</f>
        <v>0</v>
      </c>
      <c r="AV801" s="318">
        <f>SUMIF(Consumo!$C$3:$C$869,tabItens[[#This Row],[CÓDIGO]],Consumo!$Y$3:$Y$869)</f>
        <v>0</v>
      </c>
      <c r="AW801" s="291">
        <f>tabItens[[#This Row],[QTDE ATUAL]] + tabItens[[#This Row],[RC QTDE]] + tabItens[[#This Row],[AF SALDO]] + tabItens[[#This Row],[Recentes]]</f>
        <v>6</v>
      </c>
      <c r="AX801" s="319">
        <v>0</v>
      </c>
      <c r="AY801" s="319">
        <v>4</v>
      </c>
      <c r="AZ801" s="319">
        <f>IF(ISBLANK(tabItens[[#This Row],[CÓDIGO]]),"",tabItens[[#This Row],[PontoMês]] * (AZ$2+tabItens[[#This Row],[PontoQtM]]))</f>
        <v>0</v>
      </c>
      <c r="BA801" s="318">
        <f>tabItens[[#This Row],[PontoPed]] - tabItens[[#This Row],[Saldo]] + (1/10)</f>
        <v>-5.9</v>
      </c>
      <c r="BB801" s="318">
        <f xml:space="preserve"> tabItens[[#This Row],[PontoMês]] * BB$2 - tabItens[[#This Row],[QTDE ATUAL]] - (1/10)</f>
        <v>-6.1</v>
      </c>
      <c r="BC801" s="320">
        <f>IF( tabItens[[#This Row],[PontoPed]]&gt;0, IF(tabItens[[#This Row],[PontoPed]]&lt;1, 1, IF( tabItens[[#This Row],[Saldo]]&gt;tabItens[[#This Row],[PontoPed]], 0, (tabItens[[#This Row],[PontoPed]]-tabItens[[#This Row],[Saldo]])/tabItens[[#This Row],[PontoPed]] ) ), 0 )</f>
        <v>0</v>
      </c>
      <c r="BD801" s="321">
        <f>ROUNDDOWN(IF( OR( AND(tabItens[[#This Row],[PontoPed]]&lt;tabItens[[#This Row],[Saldo]],tabItens[[#This Row],[Saldo]]&gt;0), tabItens[[#This Row],[PontoPed]]=0), 99, IF(AND(tabItens[[#This Row],[Saldo]]=0,tabItens[[#This Row],[PontoPed]]&gt;0), 0, (1-tabItens[[#This Row],[PctAb]])*10 ) ),0)</f>
        <v>99</v>
      </c>
      <c r="BE801" s="322">
        <f>MAX(ROUNDDOWN( IF(tabItens[[#This Row],[Abaixo]] &gt; 0,   tabItens[[#This Row],[Abaixo]] + (tabItens[[#This Row],[PontoMês]] * IF( OR( ISBLANK(tabItens[[#This Row],[ATA Nº/ANO]]), tabItens[[#This Row],[ATA Nº/ANO]] = ""),BE$2,BE$1)),0),0),0)</f>
        <v>0</v>
      </c>
      <c r="BF80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23">
        <f>SUMIF(Consumo!$C$3:$C$869,tabItens[[#This Row],[CÓDIGO]],Consumo!$E$3:$E$869)</f>
        <v>0</v>
      </c>
      <c r="BH801" s="324">
        <f>IF(AND(tabItens[[#This Row],[Pend]] &gt; 0,tabItens[[#This Row],[Consumo]] &lt;&gt; 0), tabItens[[#This Row],[Pend]] / tabItens[[#This Row],[Consumo]], 0 )</f>
        <v>0</v>
      </c>
      <c r="BI801" s="323"/>
      <c r="BJ801" s="323"/>
      <c r="BK801" s="325" t="s">
        <v>2064</v>
      </c>
    </row>
    <row r="802" spans="1:63" hidden="1" x14ac:dyDescent="0.3">
      <c r="A802" s="286">
        <v>136675</v>
      </c>
      <c r="B802" s="287" t="s">
        <v>1920</v>
      </c>
      <c r="C802" s="288" t="s">
        <v>256</v>
      </c>
      <c r="D802" s="289">
        <v>65.260000000000005</v>
      </c>
      <c r="E802" s="290"/>
      <c r="F802" s="290"/>
      <c r="G802" s="290" t="s">
        <v>883</v>
      </c>
      <c r="H802" s="291">
        <v>0</v>
      </c>
      <c r="I802" s="292">
        <v>103003</v>
      </c>
      <c r="J802" s="293">
        <v>65.260000000000005</v>
      </c>
      <c r="K802" s="294"/>
      <c r="L802" s="295">
        <f>IF(tabItens[[#This Row],[Média]] &gt; 0, tabItens[[#This Row],[QTDE ATUAL]] / tabItens[[#This Row],[Média]],999.9)</f>
        <v>999.9</v>
      </c>
      <c r="M802" s="296">
        <v>0</v>
      </c>
      <c r="N802" s="297">
        <f>tabItens[[#This Row],[VALOR UNIT.]] * tabItens[[#This Row],[LC]]</f>
        <v>0</v>
      </c>
      <c r="O802" s="298"/>
      <c r="P802" s="299"/>
      <c r="Q802" s="300"/>
      <c r="R802" s="297"/>
      <c r="S802" s="301"/>
      <c r="T802" s="302">
        <f>ROUNDDOWN(IFERROR(tabItens[[#This Row],[ATA DT.VALID.]] - $D$1,0) / 30,0)</f>
        <v>-1504</v>
      </c>
      <c r="U802" s="287" t="s">
        <v>1607</v>
      </c>
      <c r="V802" s="303">
        <v>1</v>
      </c>
      <c r="W802" s="304" t="s">
        <v>2058</v>
      </c>
      <c r="X802" s="305">
        <v>62</v>
      </c>
      <c r="Y802" s="306">
        <v>1</v>
      </c>
      <c r="Z802" s="307">
        <v>2830</v>
      </c>
      <c r="AA802" s="308">
        <v>2023</v>
      </c>
      <c r="AB802" s="309">
        <v>2</v>
      </c>
      <c r="AC802" s="309"/>
      <c r="AD802" s="308"/>
      <c r="AE802" s="309"/>
      <c r="AF802" s="302"/>
      <c r="AG802" s="310" t="s">
        <v>2050</v>
      </c>
      <c r="AH802" s="311"/>
      <c r="AI802" s="302">
        <v>0</v>
      </c>
      <c r="AJ802" s="311">
        <v>44011</v>
      </c>
      <c r="AK802" s="311">
        <v>43549</v>
      </c>
      <c r="AL802" s="311">
        <v>45005</v>
      </c>
      <c r="AM802" s="301"/>
      <c r="AN802" s="290"/>
      <c r="AO802" s="312" t="str">
        <f>_xlfn.IFNA(IF(VLOOKUP(tabItens[[#This Row],[CÓDIGO]],tabExcluirDoEstoque[#Data],1,FALSE),"sim",""),"")</f>
        <v/>
      </c>
      <c r="AP802" s="313" t="str">
        <f ca="1">IF(OR(ISBLANK(tabItens[[#This Row],[ATA DT.VALID.]]),tabItens[[#This Row],[ATA DT.VALID.]]="",tabItens[[#This Row],[ATA DT.VALID.]]=" "),"",IF(TYPE(tabItens[[#This Row],[ATA DT.VALID.]])=1,ROUNDUP((tabItens[[#This Row],[ATA DT.VALID.]]-TODAY())/7,0),""))</f>
        <v/>
      </c>
      <c r="AQ802" s="314"/>
      <c r="AR802" s="315">
        <f>IF(ISBLANK(tabItens[[#This Row],[CÓDIGO]]),"",IFERROR(VLOOKUP(tabItens[[#This Row],[CÓDIGO]],Consumo!$C$2:$AC$869,26,FALSE),0))</f>
        <v>0</v>
      </c>
      <c r="AS802" s="316">
        <f>SUMIF(Consumo!$C$3:$C$869,tabItens[[#This Row],[CÓDIGO]],Consumo!$N$3:$N$869) + SUMIF(Consumo!$C$3:$C$869,tabItens[[#This Row],[CÓDIGO]],Consumo!$O$3:$O$869) + SUMIF(Consumo!$C$3:$C$869,tabItens[[#This Row],[CÓDIGO]],Consumo!$P$3:$P$869) + SUMIF(Consumo!$C$3:$C$869,tabItens[[#This Row],[CÓDIGO]],Consumo!$Q$3:$Q$869)</f>
        <v>0</v>
      </c>
      <c r="AT802" s="316">
        <f>SUMIF(Consumo!$C$3:$C$869,tabItens[[#This Row],[CÓDIGO]],Consumo!$Z$3:$Z$869)</f>
        <v>0</v>
      </c>
      <c r="AU802" s="317">
        <f>SUMIF(Consumo!$C$3:$C$869,tabItens[[#This Row],[CÓDIGO]],Consumo!$AA$3:$AA$869)</f>
        <v>0</v>
      </c>
      <c r="AV802" s="318">
        <f>SUMIF(Consumo!$C$3:$C$869,tabItens[[#This Row],[CÓDIGO]],Consumo!$Y$3:$Y$869)</f>
        <v>0</v>
      </c>
      <c r="AW802" s="291">
        <f>tabItens[[#This Row],[QTDE ATUAL]] + tabItens[[#This Row],[RC QTDE]] + tabItens[[#This Row],[AF SALDO]] + tabItens[[#This Row],[Recentes]]</f>
        <v>2</v>
      </c>
      <c r="AX802" s="319">
        <v>0</v>
      </c>
      <c r="AY802" s="319">
        <v>4</v>
      </c>
      <c r="AZ802" s="319">
        <f>IF(ISBLANK(tabItens[[#This Row],[CÓDIGO]]),"",tabItens[[#This Row],[PontoMês]] * (AZ$2+tabItens[[#This Row],[PontoQtM]]))</f>
        <v>0</v>
      </c>
      <c r="BA802" s="318">
        <f>tabItens[[#This Row],[PontoPed]] - tabItens[[#This Row],[Saldo]] + (1/10)</f>
        <v>-1.9</v>
      </c>
      <c r="BB802" s="318">
        <f xml:space="preserve"> tabItens[[#This Row],[PontoMês]] * BB$2 - tabItens[[#This Row],[QTDE ATUAL]] - (1/10)</f>
        <v>-0.1</v>
      </c>
      <c r="BC802" s="320">
        <f>IF( tabItens[[#This Row],[PontoPed]]&gt;0, IF(tabItens[[#This Row],[PontoPed]]&lt;1, 1, IF( tabItens[[#This Row],[Saldo]]&gt;tabItens[[#This Row],[PontoPed]], 0, (tabItens[[#This Row],[PontoPed]]-tabItens[[#This Row],[Saldo]])/tabItens[[#This Row],[PontoPed]] ) ), 0 )</f>
        <v>0</v>
      </c>
      <c r="BD802" s="321">
        <f>ROUNDDOWN(IF( OR( AND(tabItens[[#This Row],[PontoPed]]&lt;tabItens[[#This Row],[Saldo]],tabItens[[#This Row],[Saldo]]&gt;0), tabItens[[#This Row],[PontoPed]]=0), 99, IF(AND(tabItens[[#This Row],[Saldo]]=0,tabItens[[#This Row],[PontoPed]]&gt;0), 0, (1-tabItens[[#This Row],[PctAb]])*10 ) ),0)</f>
        <v>99</v>
      </c>
      <c r="BE802" s="322">
        <f>MAX(ROUNDDOWN( IF(tabItens[[#This Row],[Abaixo]] &gt; 0,   tabItens[[#This Row],[Abaixo]] + (tabItens[[#This Row],[PontoMês]] * IF( OR( ISBLANK(tabItens[[#This Row],[ATA Nº/ANO]]), tabItens[[#This Row],[ATA Nº/ANO]] = ""),BE$2,BE$1)),0),0),0)</f>
        <v>0</v>
      </c>
      <c r="BF80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23">
        <f>SUMIF(Consumo!$C$3:$C$869,tabItens[[#This Row],[CÓDIGO]],Consumo!$E$3:$E$869)</f>
        <v>0</v>
      </c>
      <c r="BH802" s="324">
        <f>IF(AND(tabItens[[#This Row],[Pend]] &gt; 0,tabItens[[#This Row],[Consumo]] &lt;&gt; 0), tabItens[[#This Row],[Pend]] / tabItens[[#This Row],[Consumo]], 0 )</f>
        <v>0</v>
      </c>
      <c r="BI802" s="323"/>
      <c r="BJ802" s="323"/>
      <c r="BK802" s="325" t="s">
        <v>2064</v>
      </c>
    </row>
    <row r="803" spans="1:63" hidden="1" x14ac:dyDescent="0.3">
      <c r="A803" s="286">
        <v>105106</v>
      </c>
      <c r="B803" s="287" t="s">
        <v>1599</v>
      </c>
      <c r="C803" s="288" t="s">
        <v>256</v>
      </c>
      <c r="D803" s="289">
        <v>54.98</v>
      </c>
      <c r="E803" s="290"/>
      <c r="F803" s="290"/>
      <c r="G803" s="290" t="s">
        <v>883</v>
      </c>
      <c r="H803" s="291">
        <v>13</v>
      </c>
      <c r="I803" s="292">
        <v>103003</v>
      </c>
      <c r="J803" s="293">
        <v>54.98</v>
      </c>
      <c r="K803" s="294">
        <v>2</v>
      </c>
      <c r="L803" s="295">
        <f>IF(tabItens[[#This Row],[Média]] &gt; 0, tabItens[[#This Row],[QTDE ATUAL]] / tabItens[[#This Row],[Média]],999.9)</f>
        <v>156</v>
      </c>
      <c r="M803" s="296">
        <v>0</v>
      </c>
      <c r="N803" s="297">
        <f>tabItens[[#This Row],[VALOR UNIT.]] * tabItens[[#This Row],[LC]]</f>
        <v>0</v>
      </c>
      <c r="O803" s="298"/>
      <c r="P803" s="299"/>
      <c r="Q803" s="300"/>
      <c r="R803" s="297"/>
      <c r="S803" s="301"/>
      <c r="T803" s="302">
        <f>ROUNDDOWN(IFERROR(tabItens[[#This Row],[ATA DT.VALID.]] - $D$1,0) / 30,0)</f>
        <v>-1504</v>
      </c>
      <c r="U803" s="287" t="s">
        <v>1600</v>
      </c>
      <c r="V803" s="303">
        <v>1</v>
      </c>
      <c r="W803" s="304" t="s">
        <v>2058</v>
      </c>
      <c r="X803" s="305">
        <v>62</v>
      </c>
      <c r="Y803" s="306">
        <v>4</v>
      </c>
      <c r="Z803" s="307"/>
      <c r="AA803" s="308"/>
      <c r="AB803" s="309"/>
      <c r="AC803" s="309"/>
      <c r="AD803" s="308"/>
      <c r="AE803" s="309"/>
      <c r="AF803" s="302"/>
      <c r="AG803" s="310" t="s">
        <v>2050</v>
      </c>
      <c r="AH803" s="311"/>
      <c r="AI803" s="302">
        <v>0</v>
      </c>
      <c r="AJ803" s="311">
        <v>43697</v>
      </c>
      <c r="AK803" s="311">
        <v>39499</v>
      </c>
      <c r="AL803" s="311">
        <v>44791</v>
      </c>
      <c r="AM803" s="301"/>
      <c r="AN803" s="290"/>
      <c r="AO803" s="312" t="str">
        <f>_xlfn.IFNA(IF(VLOOKUP(tabItens[[#This Row],[CÓDIGO]],tabExcluirDoEstoque[#Data],1,FALSE),"sim",""),"")</f>
        <v/>
      </c>
      <c r="AP803" s="313" t="str">
        <f ca="1">IF(OR(ISBLANK(tabItens[[#This Row],[ATA DT.VALID.]]),tabItens[[#This Row],[ATA DT.VALID.]]="",tabItens[[#This Row],[ATA DT.VALID.]]=" "),"",IF(TYPE(tabItens[[#This Row],[ATA DT.VALID.]])=1,ROUNDUP((tabItens[[#This Row],[ATA DT.VALID.]]-TODAY())/7,0),""))</f>
        <v/>
      </c>
      <c r="AQ803" s="314"/>
      <c r="AR803" s="315" t="str">
        <f>IF(ISBLANK(tabItens[[#This Row],[CÓDIGO]]),"",IFERROR(VLOOKUP(tabItens[[#This Row],[CÓDIGO]],Consumo!$C$2:$AC$869,26,FALSE),0))</f>
        <v>01.2023</v>
      </c>
      <c r="AS803" s="316">
        <f>SUMIF(Consumo!$C$3:$C$869,tabItens[[#This Row],[CÓDIGO]],Consumo!$N$3:$N$869) + SUMIF(Consumo!$C$3:$C$869,tabItens[[#This Row],[CÓDIGO]],Consumo!$O$3:$O$869) + SUMIF(Consumo!$C$3:$C$869,tabItens[[#This Row],[CÓDIGO]],Consumo!$P$3:$P$869) + SUMIF(Consumo!$C$3:$C$869,tabItens[[#This Row],[CÓDIGO]],Consumo!$Q$3:$Q$869)</f>
        <v>0</v>
      </c>
      <c r="AT803" s="316">
        <f>SUMIF(Consumo!$C$3:$C$869,tabItens[[#This Row],[CÓDIGO]],Consumo!$Z$3:$Z$869)</f>
        <v>2</v>
      </c>
      <c r="AU803" s="317">
        <f>SUMIF(Consumo!$C$3:$C$869,tabItens[[#This Row],[CÓDIGO]],Consumo!$AA$3:$AA$869)</f>
        <v>2</v>
      </c>
      <c r="AV803" s="318">
        <f>SUMIF(Consumo!$C$3:$C$869,tabItens[[#This Row],[CÓDIGO]],Consumo!$Y$3:$Y$869)</f>
        <v>8.3333333333333329E-2</v>
      </c>
      <c r="AW803" s="291">
        <f>tabItens[[#This Row],[QTDE ATUAL]] + tabItens[[#This Row],[RC QTDE]] + tabItens[[#This Row],[AF SALDO]] + tabItens[[#This Row],[Recentes]]</f>
        <v>13</v>
      </c>
      <c r="AX803" s="319">
        <v>1</v>
      </c>
      <c r="AY803" s="319">
        <v>4</v>
      </c>
      <c r="AZ803" s="319">
        <f>IF(ISBLANK(tabItens[[#This Row],[CÓDIGO]]),"",tabItens[[#This Row],[PontoMês]] * (AZ$2+tabItens[[#This Row],[PontoQtM]]))</f>
        <v>4</v>
      </c>
      <c r="BA803" s="318">
        <f>tabItens[[#This Row],[PontoPed]] - tabItens[[#This Row],[Saldo]] + (1/10)</f>
        <v>-8.9</v>
      </c>
      <c r="BB803" s="318">
        <f xml:space="preserve"> tabItens[[#This Row],[PontoMês]] * BB$2 - tabItens[[#This Row],[QTDE ATUAL]] - (1/10)</f>
        <v>-12.1</v>
      </c>
      <c r="BC803" s="320">
        <f>IF( tabItens[[#This Row],[PontoPed]]&gt;0, IF(tabItens[[#This Row],[PontoPed]]&lt;1, 1, IF( tabItens[[#This Row],[Saldo]]&gt;tabItens[[#This Row],[PontoPed]], 0, (tabItens[[#This Row],[PontoPed]]-tabItens[[#This Row],[Saldo]])/tabItens[[#This Row],[PontoPed]] ) ), 0 )</f>
        <v>0</v>
      </c>
      <c r="BD803" s="321">
        <f>ROUNDDOWN(IF( OR( AND(tabItens[[#This Row],[PontoPed]]&lt;tabItens[[#This Row],[Saldo]],tabItens[[#This Row],[Saldo]]&gt;0), tabItens[[#This Row],[PontoPed]]=0), 99, IF(AND(tabItens[[#This Row],[Saldo]]=0,tabItens[[#This Row],[PontoPed]]&gt;0), 0, (1-tabItens[[#This Row],[PctAb]])*10 ) ),0)</f>
        <v>99</v>
      </c>
      <c r="BE803" s="322">
        <f>MAX(ROUNDDOWN( IF(tabItens[[#This Row],[Abaixo]] &gt; 0,   tabItens[[#This Row],[Abaixo]] + (tabItens[[#This Row],[PontoMês]] * IF( OR( ISBLANK(tabItens[[#This Row],[ATA Nº/ANO]]), tabItens[[#This Row],[ATA Nº/ANO]] = ""),BE$2,BE$1)),0),0),0)</f>
        <v>0</v>
      </c>
      <c r="BF80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23">
        <f>SUMIF(Consumo!$C$3:$C$869,tabItens[[#This Row],[CÓDIGO]],Consumo!$E$3:$E$869)</f>
        <v>0</v>
      </c>
      <c r="BH803" s="324">
        <f>IF(AND(tabItens[[#This Row],[Pend]] &gt; 0,tabItens[[#This Row],[Consumo]] &lt;&gt; 0), tabItens[[#This Row],[Pend]] / tabItens[[#This Row],[Consumo]], 0 )</f>
        <v>0</v>
      </c>
      <c r="BI803" s="323"/>
      <c r="BJ803" s="323"/>
      <c r="BK803" s="325" t="s">
        <v>2064</v>
      </c>
    </row>
    <row r="804" spans="1:63" hidden="1" x14ac:dyDescent="0.3">
      <c r="A804" s="286">
        <v>105107</v>
      </c>
      <c r="B804" s="287" t="s">
        <v>1601</v>
      </c>
      <c r="C804" s="288" t="s">
        <v>256</v>
      </c>
      <c r="D804" s="289">
        <v>54.98</v>
      </c>
      <c r="E804" s="290"/>
      <c r="F804" s="290"/>
      <c r="G804" s="290" t="s">
        <v>883</v>
      </c>
      <c r="H804" s="291">
        <v>8</v>
      </c>
      <c r="I804" s="292">
        <v>103003</v>
      </c>
      <c r="J804" s="293">
        <v>54.98</v>
      </c>
      <c r="K804" s="294">
        <v>2</v>
      </c>
      <c r="L804" s="295">
        <f>IF(tabItens[[#This Row],[Média]] &gt; 0, tabItens[[#This Row],[QTDE ATUAL]] / tabItens[[#This Row],[Média]],999.9)</f>
        <v>96</v>
      </c>
      <c r="M804" s="296">
        <v>0</v>
      </c>
      <c r="N804" s="297">
        <f>tabItens[[#This Row],[VALOR UNIT.]] * tabItens[[#This Row],[LC]]</f>
        <v>0</v>
      </c>
      <c r="O804" s="298"/>
      <c r="P804" s="299"/>
      <c r="Q804" s="300"/>
      <c r="R804" s="297"/>
      <c r="S804" s="301"/>
      <c r="T804" s="302">
        <f>ROUNDDOWN(IFERROR(tabItens[[#This Row],[ATA DT.VALID.]] - $D$1,0) / 30,0)</f>
        <v>-1504</v>
      </c>
      <c r="U804" s="287" t="s">
        <v>1600</v>
      </c>
      <c r="V804" s="303">
        <v>1</v>
      </c>
      <c r="W804" s="304" t="s">
        <v>2058</v>
      </c>
      <c r="X804" s="305">
        <v>62</v>
      </c>
      <c r="Y804" s="306">
        <v>4</v>
      </c>
      <c r="Z804" s="307"/>
      <c r="AA804" s="308"/>
      <c r="AB804" s="309"/>
      <c r="AC804" s="309"/>
      <c r="AD804" s="308"/>
      <c r="AE804" s="309"/>
      <c r="AF804" s="302"/>
      <c r="AG804" s="310" t="s">
        <v>2050</v>
      </c>
      <c r="AH804" s="311"/>
      <c r="AI804" s="302">
        <v>0</v>
      </c>
      <c r="AJ804" s="311">
        <v>43697</v>
      </c>
      <c r="AK804" s="311">
        <v>39499</v>
      </c>
      <c r="AL804" s="311">
        <v>44791</v>
      </c>
      <c r="AM804" s="301"/>
      <c r="AN804" s="290"/>
      <c r="AO804" s="312" t="str">
        <f>_xlfn.IFNA(IF(VLOOKUP(tabItens[[#This Row],[CÓDIGO]],tabExcluirDoEstoque[#Data],1,FALSE),"sim",""),"")</f>
        <v/>
      </c>
      <c r="AP804" s="313" t="str">
        <f ca="1">IF(OR(ISBLANK(tabItens[[#This Row],[ATA DT.VALID.]]),tabItens[[#This Row],[ATA DT.VALID.]]="",tabItens[[#This Row],[ATA DT.VALID.]]=" "),"",IF(TYPE(tabItens[[#This Row],[ATA DT.VALID.]])=1,ROUNDUP((tabItens[[#This Row],[ATA DT.VALID.]]-TODAY())/7,0),""))</f>
        <v/>
      </c>
      <c r="AQ804" s="314"/>
      <c r="AR804" s="315" t="str">
        <f>IF(ISBLANK(tabItens[[#This Row],[CÓDIGO]]),"",IFERROR(VLOOKUP(tabItens[[#This Row],[CÓDIGO]],Consumo!$C$2:$AC$869,26,FALSE),0))</f>
        <v>03.2023</v>
      </c>
      <c r="AS804" s="316">
        <f>SUMIF(Consumo!$C$3:$C$869,tabItens[[#This Row],[CÓDIGO]],Consumo!$N$3:$N$869) + SUMIF(Consumo!$C$3:$C$869,tabItens[[#This Row],[CÓDIGO]],Consumo!$O$3:$O$869) + SUMIF(Consumo!$C$3:$C$869,tabItens[[#This Row],[CÓDIGO]],Consumo!$P$3:$P$869) + SUMIF(Consumo!$C$3:$C$869,tabItens[[#This Row],[CÓDIGO]],Consumo!$Q$3:$Q$869)</f>
        <v>0</v>
      </c>
      <c r="AT804" s="316">
        <f>SUMIF(Consumo!$C$3:$C$869,tabItens[[#This Row],[CÓDIGO]],Consumo!$Z$3:$Z$869)</f>
        <v>2</v>
      </c>
      <c r="AU804" s="317">
        <f>SUMIF(Consumo!$C$3:$C$869,tabItens[[#This Row],[CÓDIGO]],Consumo!$AA$3:$AA$869)</f>
        <v>2</v>
      </c>
      <c r="AV804" s="318">
        <f>SUMIF(Consumo!$C$3:$C$869,tabItens[[#This Row],[CÓDIGO]],Consumo!$Y$3:$Y$869)</f>
        <v>8.3333333333333329E-2</v>
      </c>
      <c r="AW804" s="291">
        <f>tabItens[[#This Row],[QTDE ATUAL]] + tabItens[[#This Row],[RC QTDE]] + tabItens[[#This Row],[AF SALDO]] + tabItens[[#This Row],[Recentes]]</f>
        <v>8</v>
      </c>
      <c r="AX804" s="319">
        <v>1</v>
      </c>
      <c r="AY804" s="319">
        <v>4</v>
      </c>
      <c r="AZ804" s="319">
        <f>IF(ISBLANK(tabItens[[#This Row],[CÓDIGO]]),"",tabItens[[#This Row],[PontoMês]] * (AZ$2+tabItens[[#This Row],[PontoQtM]]))</f>
        <v>4</v>
      </c>
      <c r="BA804" s="318">
        <f>tabItens[[#This Row],[PontoPed]] - tabItens[[#This Row],[Saldo]] + (1/10)</f>
        <v>-3.9</v>
      </c>
      <c r="BB804" s="318">
        <f xml:space="preserve"> tabItens[[#This Row],[PontoMês]] * BB$2 - tabItens[[#This Row],[QTDE ATUAL]] - (1/10)</f>
        <v>-7.1</v>
      </c>
      <c r="BC804" s="320">
        <f>IF( tabItens[[#This Row],[PontoPed]]&gt;0, IF(tabItens[[#This Row],[PontoPed]]&lt;1, 1, IF( tabItens[[#This Row],[Saldo]]&gt;tabItens[[#This Row],[PontoPed]], 0, (tabItens[[#This Row],[PontoPed]]-tabItens[[#This Row],[Saldo]])/tabItens[[#This Row],[PontoPed]] ) ), 0 )</f>
        <v>0</v>
      </c>
      <c r="BD804" s="321">
        <f>ROUNDDOWN(IF( OR( AND(tabItens[[#This Row],[PontoPed]]&lt;tabItens[[#This Row],[Saldo]],tabItens[[#This Row],[Saldo]]&gt;0), tabItens[[#This Row],[PontoPed]]=0), 99, IF(AND(tabItens[[#This Row],[Saldo]]=0,tabItens[[#This Row],[PontoPed]]&gt;0), 0, (1-tabItens[[#This Row],[PctAb]])*10 ) ),0)</f>
        <v>99</v>
      </c>
      <c r="BE804" s="322">
        <f>MAX(ROUNDDOWN( IF(tabItens[[#This Row],[Abaixo]] &gt; 0,   tabItens[[#This Row],[Abaixo]] + (tabItens[[#This Row],[PontoMês]] * IF( OR( ISBLANK(tabItens[[#This Row],[ATA Nº/ANO]]), tabItens[[#This Row],[ATA Nº/ANO]] = ""),BE$2,BE$1)),0),0),0)</f>
        <v>0</v>
      </c>
      <c r="BF80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23">
        <f>SUMIF(Consumo!$C$3:$C$869,tabItens[[#This Row],[CÓDIGO]],Consumo!$E$3:$E$869)</f>
        <v>0</v>
      </c>
      <c r="BH804" s="324">
        <f>IF(AND(tabItens[[#This Row],[Pend]] &gt; 0,tabItens[[#This Row],[Consumo]] &lt;&gt; 0), tabItens[[#This Row],[Pend]] / tabItens[[#This Row],[Consumo]], 0 )</f>
        <v>0</v>
      </c>
      <c r="BI804" s="323"/>
      <c r="BJ804" s="323"/>
      <c r="BK804" s="325" t="s">
        <v>2064</v>
      </c>
    </row>
    <row r="805" spans="1:63" hidden="1" x14ac:dyDescent="0.3">
      <c r="A805" s="286">
        <v>105108</v>
      </c>
      <c r="B805" s="287" t="s">
        <v>1602</v>
      </c>
      <c r="C805" s="288" t="s">
        <v>256</v>
      </c>
      <c r="D805" s="289">
        <v>54.98</v>
      </c>
      <c r="E805" s="290"/>
      <c r="F805" s="290"/>
      <c r="G805" s="290" t="s">
        <v>883</v>
      </c>
      <c r="H805" s="291">
        <v>13</v>
      </c>
      <c r="I805" s="292">
        <v>103003</v>
      </c>
      <c r="J805" s="293">
        <v>54.98</v>
      </c>
      <c r="K805" s="294">
        <v>7</v>
      </c>
      <c r="L805" s="295">
        <f>IF(tabItens[[#This Row],[Média]] &gt; 0, tabItens[[#This Row],[QTDE ATUAL]] / tabItens[[#This Row],[Média]],999.9)</f>
        <v>22.285714285714285</v>
      </c>
      <c r="M805" s="296">
        <v>0</v>
      </c>
      <c r="N805" s="297">
        <f>tabItens[[#This Row],[VALOR UNIT.]] * tabItens[[#This Row],[LC]]</f>
        <v>0</v>
      </c>
      <c r="O805" s="298"/>
      <c r="P805" s="299"/>
      <c r="Q805" s="300"/>
      <c r="R805" s="297"/>
      <c r="S805" s="301"/>
      <c r="T805" s="302">
        <f>ROUNDDOWN(IFERROR(tabItens[[#This Row],[ATA DT.VALID.]] - $D$1,0) / 30,0)</f>
        <v>-1504</v>
      </c>
      <c r="U805" s="287" t="s">
        <v>1600</v>
      </c>
      <c r="V805" s="303">
        <v>1</v>
      </c>
      <c r="W805" s="304" t="s">
        <v>2058</v>
      </c>
      <c r="X805" s="305">
        <v>62</v>
      </c>
      <c r="Y805" s="306">
        <v>4</v>
      </c>
      <c r="Z805" s="307">
        <v>2830</v>
      </c>
      <c r="AA805" s="308">
        <v>2023</v>
      </c>
      <c r="AB805" s="309">
        <v>10</v>
      </c>
      <c r="AC805" s="309"/>
      <c r="AD805" s="308"/>
      <c r="AE805" s="309"/>
      <c r="AF805" s="302"/>
      <c r="AG805" s="310" t="s">
        <v>2050</v>
      </c>
      <c r="AH805" s="311"/>
      <c r="AI805" s="302">
        <v>2</v>
      </c>
      <c r="AJ805" s="311">
        <v>43698</v>
      </c>
      <c r="AK805" s="311">
        <v>39499</v>
      </c>
      <c r="AL805" s="311">
        <v>44791</v>
      </c>
      <c r="AM805" s="301"/>
      <c r="AN805" s="290"/>
      <c r="AO805" s="312" t="str">
        <f>_xlfn.IFNA(IF(VLOOKUP(tabItens[[#This Row],[CÓDIGO]],tabExcluirDoEstoque[#Data],1,FALSE),"sim",""),"")</f>
        <v/>
      </c>
      <c r="AP805" s="313" t="str">
        <f ca="1">IF(OR(ISBLANK(tabItens[[#This Row],[ATA DT.VALID.]]),tabItens[[#This Row],[ATA DT.VALID.]]="",tabItens[[#This Row],[ATA DT.VALID.]]=" "),"",IF(TYPE(tabItens[[#This Row],[ATA DT.VALID.]])=1,ROUNDUP((tabItens[[#This Row],[ATA DT.VALID.]]-TODAY())/7,0),""))</f>
        <v/>
      </c>
      <c r="AQ805" s="314"/>
      <c r="AR805" s="315" t="str">
        <f>IF(ISBLANK(tabItens[[#This Row],[CÓDIGO]]),"",IFERROR(VLOOKUP(tabItens[[#This Row],[CÓDIGO]],Consumo!$C$2:$AC$869,26,FALSE),0))</f>
        <v>03.2023</v>
      </c>
      <c r="AS805" s="316">
        <f>SUMIF(Consumo!$C$3:$C$869,tabItens[[#This Row],[CÓDIGO]],Consumo!$N$3:$N$869) + SUMIF(Consumo!$C$3:$C$869,tabItens[[#This Row],[CÓDIGO]],Consumo!$O$3:$O$869) + SUMIF(Consumo!$C$3:$C$869,tabItens[[#This Row],[CÓDIGO]],Consumo!$P$3:$P$869) + SUMIF(Consumo!$C$3:$C$869,tabItens[[#This Row],[CÓDIGO]],Consumo!$Q$3:$Q$869)</f>
        <v>0</v>
      </c>
      <c r="AT805" s="316">
        <f>SUMIF(Consumo!$C$3:$C$869,tabItens[[#This Row],[CÓDIGO]],Consumo!$Z$3:$Z$869)</f>
        <v>7</v>
      </c>
      <c r="AU805" s="317">
        <f>SUMIF(Consumo!$C$3:$C$869,tabItens[[#This Row],[CÓDIGO]],Consumo!$AA$3:$AA$869)</f>
        <v>2</v>
      </c>
      <c r="AV805" s="318">
        <f>SUMIF(Consumo!$C$3:$C$869,tabItens[[#This Row],[CÓDIGO]],Consumo!$Y$3:$Y$869)</f>
        <v>0.58333333333333337</v>
      </c>
      <c r="AW805" s="291">
        <f>tabItens[[#This Row],[QTDE ATUAL]] + tabItens[[#This Row],[RC QTDE]] + tabItens[[#This Row],[AF SALDO]] + tabItens[[#This Row],[Recentes]]</f>
        <v>23</v>
      </c>
      <c r="AX805" s="319">
        <v>0</v>
      </c>
      <c r="AY805" s="319">
        <v>4</v>
      </c>
      <c r="AZ805" s="319">
        <f>IF(ISBLANK(tabItens[[#This Row],[CÓDIGO]]),"",tabItens[[#This Row],[PontoMês]] * (AZ$2+tabItens[[#This Row],[PontoQtM]]))</f>
        <v>0</v>
      </c>
      <c r="BA805" s="318">
        <f>tabItens[[#This Row],[PontoPed]] - tabItens[[#This Row],[Saldo]] + (1/10)</f>
        <v>-22.9</v>
      </c>
      <c r="BB805" s="318">
        <f xml:space="preserve"> tabItens[[#This Row],[PontoMês]] * BB$2 - tabItens[[#This Row],[QTDE ATUAL]] - (1/10)</f>
        <v>-13.1</v>
      </c>
      <c r="BC805" s="320">
        <f>IF( tabItens[[#This Row],[PontoPed]]&gt;0, IF(tabItens[[#This Row],[PontoPed]]&lt;1, 1, IF( tabItens[[#This Row],[Saldo]]&gt;tabItens[[#This Row],[PontoPed]], 0, (tabItens[[#This Row],[PontoPed]]-tabItens[[#This Row],[Saldo]])/tabItens[[#This Row],[PontoPed]] ) ), 0 )</f>
        <v>0</v>
      </c>
      <c r="BD805" s="321">
        <f>ROUNDDOWN(IF( OR( AND(tabItens[[#This Row],[PontoPed]]&lt;tabItens[[#This Row],[Saldo]],tabItens[[#This Row],[Saldo]]&gt;0), tabItens[[#This Row],[PontoPed]]=0), 99, IF(AND(tabItens[[#This Row],[Saldo]]=0,tabItens[[#This Row],[PontoPed]]&gt;0), 0, (1-tabItens[[#This Row],[PctAb]])*10 ) ),0)</f>
        <v>99</v>
      </c>
      <c r="BE805" s="322">
        <f>MAX(ROUNDDOWN( IF(tabItens[[#This Row],[Abaixo]] &gt; 0,   tabItens[[#This Row],[Abaixo]] + (tabItens[[#This Row],[PontoMês]] * IF( OR( ISBLANK(tabItens[[#This Row],[ATA Nº/ANO]]), tabItens[[#This Row],[ATA Nº/ANO]] = ""),BE$2,BE$1)),0),0),0)</f>
        <v>0</v>
      </c>
      <c r="BF80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23">
        <f>SUMIF(Consumo!$C$3:$C$869,tabItens[[#This Row],[CÓDIGO]],Consumo!$E$3:$E$869)</f>
        <v>0</v>
      </c>
      <c r="BH805" s="324">
        <f>IF(AND(tabItens[[#This Row],[Pend]] &gt; 0,tabItens[[#This Row],[Consumo]] &lt;&gt; 0), tabItens[[#This Row],[Pend]] / tabItens[[#This Row],[Consumo]], 0 )</f>
        <v>0</v>
      </c>
      <c r="BI805" s="323"/>
      <c r="BJ805" s="323"/>
      <c r="BK805" s="325" t="s">
        <v>2064</v>
      </c>
    </row>
    <row r="806" spans="1:63" hidden="1" x14ac:dyDescent="0.3">
      <c r="A806" s="286">
        <v>105110</v>
      </c>
      <c r="B806" s="287" t="s">
        <v>1603</v>
      </c>
      <c r="C806" s="288" t="s">
        <v>256</v>
      </c>
      <c r="D806" s="289">
        <v>29.94</v>
      </c>
      <c r="E806" s="290"/>
      <c r="F806" s="290"/>
      <c r="G806" s="290" t="s">
        <v>883</v>
      </c>
      <c r="H806" s="291">
        <v>12</v>
      </c>
      <c r="I806" s="292">
        <v>103003</v>
      </c>
      <c r="J806" s="293">
        <v>29.94</v>
      </c>
      <c r="K806" s="294">
        <v>2</v>
      </c>
      <c r="L806" s="295">
        <f>IF(tabItens[[#This Row],[Média]] &gt; 0, tabItens[[#This Row],[QTDE ATUAL]] / tabItens[[#This Row],[Média]],999.9)</f>
        <v>144</v>
      </c>
      <c r="M806" s="296">
        <v>0</v>
      </c>
      <c r="N806" s="297">
        <f>tabItens[[#This Row],[VALOR UNIT.]] * tabItens[[#This Row],[LC]]</f>
        <v>0</v>
      </c>
      <c r="O806" s="298"/>
      <c r="P806" s="299"/>
      <c r="Q806" s="300"/>
      <c r="R806" s="297"/>
      <c r="S806" s="301"/>
      <c r="T806" s="302">
        <f>ROUNDDOWN(IFERROR(tabItens[[#This Row],[ATA DT.VALID.]] - $D$1,0) / 30,0)</f>
        <v>-1504</v>
      </c>
      <c r="U806" s="287" t="s">
        <v>1600</v>
      </c>
      <c r="V806" s="303">
        <v>1</v>
      </c>
      <c r="W806" s="304" t="s">
        <v>2058</v>
      </c>
      <c r="X806" s="305">
        <v>62</v>
      </c>
      <c r="Y806" s="306">
        <v>4</v>
      </c>
      <c r="Z806" s="307"/>
      <c r="AA806" s="308"/>
      <c r="AB806" s="309"/>
      <c r="AC806" s="309"/>
      <c r="AD806" s="308"/>
      <c r="AE806" s="309"/>
      <c r="AF806" s="302"/>
      <c r="AG806" s="310" t="s">
        <v>2050</v>
      </c>
      <c r="AH806" s="311"/>
      <c r="AI806" s="302">
        <v>0</v>
      </c>
      <c r="AJ806" s="311">
        <v>44018</v>
      </c>
      <c r="AK806" s="311">
        <v>39499</v>
      </c>
      <c r="AL806" s="311">
        <v>44235</v>
      </c>
      <c r="AM806" s="301"/>
      <c r="AN806" s="290"/>
      <c r="AO806" s="312" t="str">
        <f>_xlfn.IFNA(IF(VLOOKUP(tabItens[[#This Row],[CÓDIGO]],tabExcluirDoEstoque[#Data],1,FALSE),"sim",""),"")</f>
        <v/>
      </c>
      <c r="AP806" s="313" t="str">
        <f ca="1">IF(OR(ISBLANK(tabItens[[#This Row],[ATA DT.VALID.]]),tabItens[[#This Row],[ATA DT.VALID.]]="",tabItens[[#This Row],[ATA DT.VALID.]]=" "),"",IF(TYPE(tabItens[[#This Row],[ATA DT.VALID.]])=1,ROUNDUP((tabItens[[#This Row],[ATA DT.VALID.]]-TODAY())/7,0),""))</f>
        <v/>
      </c>
      <c r="AQ806" s="314"/>
      <c r="AR806" s="315" t="str">
        <f>IF(ISBLANK(tabItens[[#This Row],[CÓDIGO]]),"",IFERROR(VLOOKUP(tabItens[[#This Row],[CÓDIGO]],Consumo!$C$2:$AC$869,26,FALSE),0))</f>
        <v>07.2023</v>
      </c>
      <c r="AS806" s="316">
        <f>SUMIF(Consumo!$C$3:$C$869,tabItens[[#This Row],[CÓDIGO]],Consumo!$N$3:$N$869) + SUMIF(Consumo!$C$3:$C$869,tabItens[[#This Row],[CÓDIGO]],Consumo!$O$3:$O$869) + SUMIF(Consumo!$C$3:$C$869,tabItens[[#This Row],[CÓDIGO]],Consumo!$P$3:$P$869) + SUMIF(Consumo!$C$3:$C$869,tabItens[[#This Row],[CÓDIGO]],Consumo!$Q$3:$Q$869)</f>
        <v>2</v>
      </c>
      <c r="AT806" s="316">
        <f>SUMIF(Consumo!$C$3:$C$869,tabItens[[#This Row],[CÓDIGO]],Consumo!$Z$3:$Z$869)</f>
        <v>2</v>
      </c>
      <c r="AU806" s="317">
        <f>SUMIF(Consumo!$C$3:$C$869,tabItens[[#This Row],[CÓDIGO]],Consumo!$AA$3:$AA$869)</f>
        <v>2</v>
      </c>
      <c r="AV806" s="318">
        <f>SUMIF(Consumo!$C$3:$C$869,tabItens[[#This Row],[CÓDIGO]],Consumo!$Y$3:$Y$869)</f>
        <v>8.3333333333333329E-2</v>
      </c>
      <c r="AW806" s="291">
        <f>tabItens[[#This Row],[QTDE ATUAL]] + tabItens[[#This Row],[RC QTDE]] + tabItens[[#This Row],[AF SALDO]] + tabItens[[#This Row],[Recentes]]</f>
        <v>12</v>
      </c>
      <c r="AX806" s="319">
        <v>0</v>
      </c>
      <c r="AY806" s="319">
        <v>4</v>
      </c>
      <c r="AZ806" s="319">
        <f>IF(ISBLANK(tabItens[[#This Row],[CÓDIGO]]),"",tabItens[[#This Row],[PontoMês]] * (AZ$2+tabItens[[#This Row],[PontoQtM]]))</f>
        <v>0</v>
      </c>
      <c r="BA806" s="318">
        <f>tabItens[[#This Row],[PontoPed]] - tabItens[[#This Row],[Saldo]] + (1/10)</f>
        <v>-11.9</v>
      </c>
      <c r="BB806" s="318">
        <f xml:space="preserve"> tabItens[[#This Row],[PontoMês]] * BB$2 - tabItens[[#This Row],[QTDE ATUAL]] - (1/10)</f>
        <v>-12.1</v>
      </c>
      <c r="BC806" s="320">
        <f>IF( tabItens[[#This Row],[PontoPed]]&gt;0, IF(tabItens[[#This Row],[PontoPed]]&lt;1, 1, IF( tabItens[[#This Row],[Saldo]]&gt;tabItens[[#This Row],[PontoPed]], 0, (tabItens[[#This Row],[PontoPed]]-tabItens[[#This Row],[Saldo]])/tabItens[[#This Row],[PontoPed]] ) ), 0 )</f>
        <v>0</v>
      </c>
      <c r="BD806" s="321">
        <f>ROUNDDOWN(IF( OR( AND(tabItens[[#This Row],[PontoPed]]&lt;tabItens[[#This Row],[Saldo]],tabItens[[#This Row],[Saldo]]&gt;0), tabItens[[#This Row],[PontoPed]]=0), 99, IF(AND(tabItens[[#This Row],[Saldo]]=0,tabItens[[#This Row],[PontoPed]]&gt;0), 0, (1-tabItens[[#This Row],[PctAb]])*10 ) ),0)</f>
        <v>99</v>
      </c>
      <c r="BE806" s="322">
        <f>MAX(ROUNDDOWN( IF(tabItens[[#This Row],[Abaixo]] &gt; 0,   tabItens[[#This Row],[Abaixo]] + (tabItens[[#This Row],[PontoMês]] * IF( OR( ISBLANK(tabItens[[#This Row],[ATA Nº/ANO]]), tabItens[[#This Row],[ATA Nº/ANO]] = ""),BE$2,BE$1)),0),0),0)</f>
        <v>0</v>
      </c>
      <c r="BF80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23">
        <f>SUMIF(Consumo!$C$3:$C$869,tabItens[[#This Row],[CÓDIGO]],Consumo!$E$3:$E$869)</f>
        <v>0</v>
      </c>
      <c r="BH806" s="324">
        <f>IF(AND(tabItens[[#This Row],[Pend]] &gt; 0,tabItens[[#This Row],[Consumo]] &lt;&gt; 0), tabItens[[#This Row],[Pend]] / tabItens[[#This Row],[Consumo]], 0 )</f>
        <v>0</v>
      </c>
      <c r="BI806" s="323"/>
      <c r="BJ806" s="323"/>
      <c r="BK806" s="325" t="s">
        <v>2064</v>
      </c>
    </row>
    <row r="807" spans="1:63" hidden="1" x14ac:dyDescent="0.3">
      <c r="A807" s="286">
        <v>105112</v>
      </c>
      <c r="B807" s="287" t="s">
        <v>1604</v>
      </c>
      <c r="C807" s="288" t="s">
        <v>256</v>
      </c>
      <c r="D807" s="289">
        <v>54.98</v>
      </c>
      <c r="E807" s="290"/>
      <c r="F807" s="290"/>
      <c r="G807" s="290" t="s">
        <v>883</v>
      </c>
      <c r="H807" s="291">
        <v>4</v>
      </c>
      <c r="I807" s="292">
        <v>103003</v>
      </c>
      <c r="J807" s="293">
        <v>54.98</v>
      </c>
      <c r="K807" s="294"/>
      <c r="L807" s="295">
        <f>IF(tabItens[[#This Row],[Média]] &gt; 0, tabItens[[#This Row],[QTDE ATUAL]] / tabItens[[#This Row],[Média]],999.9)</f>
        <v>999.9</v>
      </c>
      <c r="M807" s="296">
        <v>0</v>
      </c>
      <c r="N807" s="297">
        <f>tabItens[[#This Row],[VALOR UNIT.]] * tabItens[[#This Row],[LC]]</f>
        <v>0</v>
      </c>
      <c r="O807" s="298"/>
      <c r="P807" s="299"/>
      <c r="Q807" s="300"/>
      <c r="R807" s="297"/>
      <c r="S807" s="301"/>
      <c r="T807" s="302">
        <f>ROUNDDOWN(IFERROR(tabItens[[#This Row],[ATA DT.VALID.]] - $D$1,0) / 30,0)</f>
        <v>-1504</v>
      </c>
      <c r="U807" s="287" t="s">
        <v>1600</v>
      </c>
      <c r="V807" s="303">
        <v>1</v>
      </c>
      <c r="W807" s="304" t="s">
        <v>2058</v>
      </c>
      <c r="X807" s="305">
        <v>62</v>
      </c>
      <c r="Y807" s="306">
        <v>4</v>
      </c>
      <c r="Z807" s="307"/>
      <c r="AA807" s="308"/>
      <c r="AB807" s="309"/>
      <c r="AC807" s="309"/>
      <c r="AD807" s="308"/>
      <c r="AE807" s="309"/>
      <c r="AF807" s="302"/>
      <c r="AG807" s="310" t="s">
        <v>2050</v>
      </c>
      <c r="AH807" s="311"/>
      <c r="AI807" s="302">
        <v>0</v>
      </c>
      <c r="AJ807" s="311">
        <v>42772</v>
      </c>
      <c r="AK807" s="311">
        <v>39499</v>
      </c>
      <c r="AL807" s="311">
        <v>44791</v>
      </c>
      <c r="AM807" s="301"/>
      <c r="AN807" s="290"/>
      <c r="AO807" s="312" t="str">
        <f>_xlfn.IFNA(IF(VLOOKUP(tabItens[[#This Row],[CÓDIGO]],tabExcluirDoEstoque[#Data],1,FALSE),"sim",""),"")</f>
        <v/>
      </c>
      <c r="AP807" s="313" t="str">
        <f ca="1">IF(OR(ISBLANK(tabItens[[#This Row],[ATA DT.VALID.]]),tabItens[[#This Row],[ATA DT.VALID.]]="",tabItens[[#This Row],[ATA DT.VALID.]]=" "),"",IF(TYPE(tabItens[[#This Row],[ATA DT.VALID.]])=1,ROUNDUP((tabItens[[#This Row],[ATA DT.VALID.]]-TODAY())/7,0),""))</f>
        <v/>
      </c>
      <c r="AQ807" s="314"/>
      <c r="AR807" s="315">
        <f>IF(ISBLANK(tabItens[[#This Row],[CÓDIGO]]),"",IFERROR(VLOOKUP(tabItens[[#This Row],[CÓDIGO]],Consumo!$C$2:$AC$869,26,FALSE),0))</f>
        <v>0</v>
      </c>
      <c r="AS807" s="316">
        <f>SUMIF(Consumo!$C$3:$C$869,tabItens[[#This Row],[CÓDIGO]],Consumo!$N$3:$N$869) + SUMIF(Consumo!$C$3:$C$869,tabItens[[#This Row],[CÓDIGO]],Consumo!$O$3:$O$869) + SUMIF(Consumo!$C$3:$C$869,tabItens[[#This Row],[CÓDIGO]],Consumo!$P$3:$P$869) + SUMIF(Consumo!$C$3:$C$869,tabItens[[#This Row],[CÓDIGO]],Consumo!$Q$3:$Q$869)</f>
        <v>0</v>
      </c>
      <c r="AT807" s="316">
        <f>SUMIF(Consumo!$C$3:$C$869,tabItens[[#This Row],[CÓDIGO]],Consumo!$Z$3:$Z$869)</f>
        <v>0</v>
      </c>
      <c r="AU807" s="317">
        <f>SUMIF(Consumo!$C$3:$C$869,tabItens[[#This Row],[CÓDIGO]],Consumo!$AA$3:$AA$869)</f>
        <v>0</v>
      </c>
      <c r="AV807" s="318">
        <f>SUMIF(Consumo!$C$3:$C$869,tabItens[[#This Row],[CÓDIGO]],Consumo!$Y$3:$Y$869)</f>
        <v>0</v>
      </c>
      <c r="AW807" s="291">
        <f>tabItens[[#This Row],[QTDE ATUAL]] + tabItens[[#This Row],[RC QTDE]] + tabItens[[#This Row],[AF SALDO]] + tabItens[[#This Row],[Recentes]]</f>
        <v>4</v>
      </c>
      <c r="AX807" s="319">
        <v>0</v>
      </c>
      <c r="AY807" s="319">
        <v>4</v>
      </c>
      <c r="AZ807" s="319">
        <f>IF(ISBLANK(tabItens[[#This Row],[CÓDIGO]]),"",tabItens[[#This Row],[PontoMês]] * (AZ$2+tabItens[[#This Row],[PontoQtM]]))</f>
        <v>0</v>
      </c>
      <c r="BA807" s="318">
        <f>tabItens[[#This Row],[PontoPed]] - tabItens[[#This Row],[Saldo]] + (1/10)</f>
        <v>-3.9</v>
      </c>
      <c r="BB807" s="318">
        <f xml:space="preserve"> tabItens[[#This Row],[PontoMês]] * BB$2 - tabItens[[#This Row],[QTDE ATUAL]] - (1/10)</f>
        <v>-4.0999999999999996</v>
      </c>
      <c r="BC807" s="320">
        <f>IF( tabItens[[#This Row],[PontoPed]]&gt;0, IF(tabItens[[#This Row],[PontoPed]]&lt;1, 1, IF( tabItens[[#This Row],[Saldo]]&gt;tabItens[[#This Row],[PontoPed]], 0, (tabItens[[#This Row],[PontoPed]]-tabItens[[#This Row],[Saldo]])/tabItens[[#This Row],[PontoPed]] ) ), 0 )</f>
        <v>0</v>
      </c>
      <c r="BD807" s="321">
        <f>ROUNDDOWN(IF( OR( AND(tabItens[[#This Row],[PontoPed]]&lt;tabItens[[#This Row],[Saldo]],tabItens[[#This Row],[Saldo]]&gt;0), tabItens[[#This Row],[PontoPed]]=0), 99, IF(AND(tabItens[[#This Row],[Saldo]]=0,tabItens[[#This Row],[PontoPed]]&gt;0), 0, (1-tabItens[[#This Row],[PctAb]])*10 ) ),0)</f>
        <v>99</v>
      </c>
      <c r="BE807" s="322">
        <f>MAX(ROUNDDOWN( IF(tabItens[[#This Row],[Abaixo]] &gt; 0,   tabItens[[#This Row],[Abaixo]] + (tabItens[[#This Row],[PontoMês]] * IF( OR( ISBLANK(tabItens[[#This Row],[ATA Nº/ANO]]), tabItens[[#This Row],[ATA Nº/ANO]] = ""),BE$2,BE$1)),0),0),0)</f>
        <v>0</v>
      </c>
      <c r="BF80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23">
        <f>SUMIF(Consumo!$C$3:$C$869,tabItens[[#This Row],[CÓDIGO]],Consumo!$E$3:$E$869)</f>
        <v>0</v>
      </c>
      <c r="BH807" s="324">
        <f>IF(AND(tabItens[[#This Row],[Pend]] &gt; 0,tabItens[[#This Row],[Consumo]] &lt;&gt; 0), tabItens[[#This Row],[Pend]] / tabItens[[#This Row],[Consumo]], 0 )</f>
        <v>0</v>
      </c>
      <c r="BI807" s="323"/>
      <c r="BJ807" s="323"/>
      <c r="BK807" s="325" t="s">
        <v>2064</v>
      </c>
    </row>
    <row r="808" spans="1:63" hidden="1" x14ac:dyDescent="0.3">
      <c r="A808" s="286">
        <v>105704</v>
      </c>
      <c r="B808" s="287" t="s">
        <v>1614</v>
      </c>
      <c r="C808" s="288" t="s">
        <v>256</v>
      </c>
      <c r="D808" s="289">
        <v>54.98</v>
      </c>
      <c r="E808" s="290"/>
      <c r="F808" s="290"/>
      <c r="G808" s="290" t="s">
        <v>883</v>
      </c>
      <c r="H808" s="291">
        <v>20</v>
      </c>
      <c r="I808" s="292">
        <v>103003</v>
      </c>
      <c r="J808" s="293">
        <v>54.98</v>
      </c>
      <c r="K808" s="294"/>
      <c r="L808" s="295">
        <f>IF(tabItens[[#This Row],[Média]] &gt; 0, tabItens[[#This Row],[QTDE ATUAL]] / tabItens[[#This Row],[Média]],999.9)</f>
        <v>999.9</v>
      </c>
      <c r="M808" s="296">
        <v>0</v>
      </c>
      <c r="N808" s="297">
        <f>tabItens[[#This Row],[VALOR UNIT.]] * tabItens[[#This Row],[LC]]</f>
        <v>0</v>
      </c>
      <c r="O808" s="298"/>
      <c r="P808" s="299"/>
      <c r="Q808" s="300"/>
      <c r="R808" s="297"/>
      <c r="S808" s="301"/>
      <c r="T808" s="302">
        <f>ROUNDDOWN(IFERROR(tabItens[[#This Row],[ATA DT.VALID.]] - $D$1,0) / 30,0)</f>
        <v>-1504</v>
      </c>
      <c r="U808" s="287" t="s">
        <v>1600</v>
      </c>
      <c r="V808" s="303">
        <v>1</v>
      </c>
      <c r="W808" s="304" t="s">
        <v>2058</v>
      </c>
      <c r="X808" s="305">
        <v>62</v>
      </c>
      <c r="Y808" s="306">
        <v>4</v>
      </c>
      <c r="Z808" s="307"/>
      <c r="AA808" s="308"/>
      <c r="AB808" s="309"/>
      <c r="AC808" s="309"/>
      <c r="AD808" s="308"/>
      <c r="AE808" s="309"/>
      <c r="AF808" s="302"/>
      <c r="AG808" s="310" t="s">
        <v>2050</v>
      </c>
      <c r="AH808" s="311"/>
      <c r="AI808" s="302">
        <v>0</v>
      </c>
      <c r="AJ808" s="311">
        <v>39826</v>
      </c>
      <c r="AK808" s="311">
        <v>39538</v>
      </c>
      <c r="AL808" s="311">
        <v>44791</v>
      </c>
      <c r="AM808" s="301"/>
      <c r="AN808" s="290"/>
      <c r="AO808" s="312" t="str">
        <f>_xlfn.IFNA(IF(VLOOKUP(tabItens[[#This Row],[CÓDIGO]],tabExcluirDoEstoque[#Data],1,FALSE),"sim",""),"")</f>
        <v/>
      </c>
      <c r="AP808" s="313" t="str">
        <f ca="1">IF(OR(ISBLANK(tabItens[[#This Row],[ATA DT.VALID.]]),tabItens[[#This Row],[ATA DT.VALID.]]="",tabItens[[#This Row],[ATA DT.VALID.]]=" "),"",IF(TYPE(tabItens[[#This Row],[ATA DT.VALID.]])=1,ROUNDUP((tabItens[[#This Row],[ATA DT.VALID.]]-TODAY())/7,0),""))</f>
        <v/>
      </c>
      <c r="AQ808" s="314"/>
      <c r="AR808" s="315">
        <f>IF(ISBLANK(tabItens[[#This Row],[CÓDIGO]]),"",IFERROR(VLOOKUP(tabItens[[#This Row],[CÓDIGO]],Consumo!$C$2:$AC$869,26,FALSE),0))</f>
        <v>0</v>
      </c>
      <c r="AS808" s="316">
        <f>SUMIF(Consumo!$C$3:$C$869,tabItens[[#This Row],[CÓDIGO]],Consumo!$N$3:$N$869) + SUMIF(Consumo!$C$3:$C$869,tabItens[[#This Row],[CÓDIGO]],Consumo!$O$3:$O$869) + SUMIF(Consumo!$C$3:$C$869,tabItens[[#This Row],[CÓDIGO]],Consumo!$P$3:$P$869) + SUMIF(Consumo!$C$3:$C$869,tabItens[[#This Row],[CÓDIGO]],Consumo!$Q$3:$Q$869)</f>
        <v>0</v>
      </c>
      <c r="AT808" s="316">
        <f>SUMIF(Consumo!$C$3:$C$869,tabItens[[#This Row],[CÓDIGO]],Consumo!$Z$3:$Z$869)</f>
        <v>0</v>
      </c>
      <c r="AU808" s="317">
        <f>SUMIF(Consumo!$C$3:$C$869,tabItens[[#This Row],[CÓDIGO]],Consumo!$AA$3:$AA$869)</f>
        <v>0</v>
      </c>
      <c r="AV808" s="318">
        <f>SUMIF(Consumo!$C$3:$C$869,tabItens[[#This Row],[CÓDIGO]],Consumo!$Y$3:$Y$869)</f>
        <v>0</v>
      </c>
      <c r="AW808" s="291">
        <f>tabItens[[#This Row],[QTDE ATUAL]] + tabItens[[#This Row],[RC QTDE]] + tabItens[[#This Row],[AF SALDO]] + tabItens[[#This Row],[Recentes]]</f>
        <v>20</v>
      </c>
      <c r="AX808" s="319">
        <v>0</v>
      </c>
      <c r="AY808" s="319">
        <v>4</v>
      </c>
      <c r="AZ808" s="319">
        <f>IF(ISBLANK(tabItens[[#This Row],[CÓDIGO]]),"",tabItens[[#This Row],[PontoMês]] * (AZ$2+tabItens[[#This Row],[PontoQtM]]))</f>
        <v>0</v>
      </c>
      <c r="BA808" s="318">
        <f>tabItens[[#This Row],[PontoPed]] - tabItens[[#This Row],[Saldo]] + (1/10)</f>
        <v>-19.899999999999999</v>
      </c>
      <c r="BB808" s="318">
        <f xml:space="preserve"> tabItens[[#This Row],[PontoMês]] * BB$2 - tabItens[[#This Row],[QTDE ATUAL]] - (1/10)</f>
        <v>-20.100000000000001</v>
      </c>
      <c r="BC808" s="320">
        <f>IF( tabItens[[#This Row],[PontoPed]]&gt;0, IF(tabItens[[#This Row],[PontoPed]]&lt;1, 1, IF( tabItens[[#This Row],[Saldo]]&gt;tabItens[[#This Row],[PontoPed]], 0, (tabItens[[#This Row],[PontoPed]]-tabItens[[#This Row],[Saldo]])/tabItens[[#This Row],[PontoPed]] ) ), 0 )</f>
        <v>0</v>
      </c>
      <c r="BD808" s="321">
        <f>ROUNDDOWN(IF( OR( AND(tabItens[[#This Row],[PontoPed]]&lt;tabItens[[#This Row],[Saldo]],tabItens[[#This Row],[Saldo]]&gt;0), tabItens[[#This Row],[PontoPed]]=0), 99, IF(AND(tabItens[[#This Row],[Saldo]]=0,tabItens[[#This Row],[PontoPed]]&gt;0), 0, (1-tabItens[[#This Row],[PctAb]])*10 ) ),0)</f>
        <v>99</v>
      </c>
      <c r="BE808" s="322">
        <f>MAX(ROUNDDOWN( IF(tabItens[[#This Row],[Abaixo]] &gt; 0,   tabItens[[#This Row],[Abaixo]] + (tabItens[[#This Row],[PontoMês]] * IF( OR( ISBLANK(tabItens[[#This Row],[ATA Nº/ANO]]), tabItens[[#This Row],[ATA Nº/ANO]] = ""),BE$2,BE$1)),0),0),0)</f>
        <v>0</v>
      </c>
      <c r="BF80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23">
        <f>SUMIF(Consumo!$C$3:$C$869,tabItens[[#This Row],[CÓDIGO]],Consumo!$E$3:$E$869)</f>
        <v>0</v>
      </c>
      <c r="BH808" s="324">
        <f>IF(AND(tabItens[[#This Row],[Pend]] &gt; 0,tabItens[[#This Row],[Consumo]] &lt;&gt; 0), tabItens[[#This Row],[Pend]] / tabItens[[#This Row],[Consumo]], 0 )</f>
        <v>0</v>
      </c>
      <c r="BI808" s="323"/>
      <c r="BJ808" s="323"/>
      <c r="BK808" s="325" t="s">
        <v>2064</v>
      </c>
    </row>
    <row r="809" spans="1:63" hidden="1" x14ac:dyDescent="0.3">
      <c r="A809" s="286">
        <v>127105</v>
      </c>
      <c r="B809" s="287" t="s">
        <v>1772</v>
      </c>
      <c r="C809" s="288" t="s">
        <v>256</v>
      </c>
      <c r="D809" s="289">
        <v>54.98</v>
      </c>
      <c r="E809" s="290"/>
      <c r="F809" s="290"/>
      <c r="G809" s="290" t="s">
        <v>883</v>
      </c>
      <c r="H809" s="291">
        <v>10</v>
      </c>
      <c r="I809" s="292">
        <v>103003</v>
      </c>
      <c r="J809" s="293">
        <v>54.98</v>
      </c>
      <c r="K809" s="294"/>
      <c r="L809" s="295">
        <f>IF(tabItens[[#This Row],[Média]] &gt; 0, tabItens[[#This Row],[QTDE ATUAL]] / tabItens[[#This Row],[Média]],999.9)</f>
        <v>999.9</v>
      </c>
      <c r="M809" s="296">
        <v>0</v>
      </c>
      <c r="N809" s="297">
        <f>tabItens[[#This Row],[VALOR UNIT.]] * tabItens[[#This Row],[LC]]</f>
        <v>0</v>
      </c>
      <c r="O809" s="298"/>
      <c r="P809" s="299"/>
      <c r="Q809" s="300"/>
      <c r="R809" s="297"/>
      <c r="S809" s="301"/>
      <c r="T809" s="302">
        <f>ROUNDDOWN(IFERROR(tabItens[[#This Row],[ATA DT.VALID.]] - $D$1,0) / 30,0)</f>
        <v>-1504</v>
      </c>
      <c r="U809" s="287" t="s">
        <v>1600</v>
      </c>
      <c r="V809" s="303">
        <v>1</v>
      </c>
      <c r="W809" s="304" t="s">
        <v>2058</v>
      </c>
      <c r="X809" s="305">
        <v>62</v>
      </c>
      <c r="Y809" s="306">
        <v>4</v>
      </c>
      <c r="Z809" s="307"/>
      <c r="AA809" s="308"/>
      <c r="AB809" s="309"/>
      <c r="AC809" s="309"/>
      <c r="AD809" s="308"/>
      <c r="AE809" s="309"/>
      <c r="AF809" s="302"/>
      <c r="AG809" s="310" t="s">
        <v>2050</v>
      </c>
      <c r="AH809" s="311"/>
      <c r="AI809" s="302">
        <v>0</v>
      </c>
      <c r="AJ809" s="311">
        <v>44018</v>
      </c>
      <c r="AK809" s="311">
        <v>41648</v>
      </c>
      <c r="AL809" s="311">
        <v>44791</v>
      </c>
      <c r="AM809" s="301"/>
      <c r="AN809" s="290"/>
      <c r="AO809" s="312" t="str">
        <f>_xlfn.IFNA(IF(VLOOKUP(tabItens[[#This Row],[CÓDIGO]],tabExcluirDoEstoque[#Data],1,FALSE),"sim",""),"")</f>
        <v/>
      </c>
      <c r="AP809" s="313" t="str">
        <f ca="1">IF(OR(ISBLANK(tabItens[[#This Row],[ATA DT.VALID.]]),tabItens[[#This Row],[ATA DT.VALID.]]="",tabItens[[#This Row],[ATA DT.VALID.]]=" "),"",IF(TYPE(tabItens[[#This Row],[ATA DT.VALID.]])=1,ROUNDUP((tabItens[[#This Row],[ATA DT.VALID.]]-TODAY())/7,0),""))</f>
        <v/>
      </c>
      <c r="AQ809" s="314"/>
      <c r="AR809" s="315">
        <f>IF(ISBLANK(tabItens[[#This Row],[CÓDIGO]]),"",IFERROR(VLOOKUP(tabItens[[#This Row],[CÓDIGO]],Consumo!$C$2:$AC$869,26,FALSE),0))</f>
        <v>0</v>
      </c>
      <c r="AS809" s="316">
        <f>SUMIF(Consumo!$C$3:$C$869,tabItens[[#This Row],[CÓDIGO]],Consumo!$N$3:$N$869) + SUMIF(Consumo!$C$3:$C$869,tabItens[[#This Row],[CÓDIGO]],Consumo!$O$3:$O$869) + SUMIF(Consumo!$C$3:$C$869,tabItens[[#This Row],[CÓDIGO]],Consumo!$P$3:$P$869) + SUMIF(Consumo!$C$3:$C$869,tabItens[[#This Row],[CÓDIGO]],Consumo!$Q$3:$Q$869)</f>
        <v>0</v>
      </c>
      <c r="AT809" s="316">
        <f>SUMIF(Consumo!$C$3:$C$869,tabItens[[#This Row],[CÓDIGO]],Consumo!$Z$3:$Z$869)</f>
        <v>0</v>
      </c>
      <c r="AU809" s="317">
        <f>SUMIF(Consumo!$C$3:$C$869,tabItens[[#This Row],[CÓDIGO]],Consumo!$AA$3:$AA$869)</f>
        <v>0</v>
      </c>
      <c r="AV809" s="318">
        <f>SUMIF(Consumo!$C$3:$C$869,tabItens[[#This Row],[CÓDIGO]],Consumo!$Y$3:$Y$869)</f>
        <v>0</v>
      </c>
      <c r="AW809" s="291">
        <f>tabItens[[#This Row],[QTDE ATUAL]] + tabItens[[#This Row],[RC QTDE]] + tabItens[[#This Row],[AF SALDO]] + tabItens[[#This Row],[Recentes]]</f>
        <v>10</v>
      </c>
      <c r="AX809" s="319">
        <v>0</v>
      </c>
      <c r="AY809" s="319">
        <v>4</v>
      </c>
      <c r="AZ809" s="319">
        <f>IF(ISBLANK(tabItens[[#This Row],[CÓDIGO]]),"",tabItens[[#This Row],[PontoMês]] * (AZ$2+tabItens[[#This Row],[PontoQtM]]))</f>
        <v>0</v>
      </c>
      <c r="BA809" s="318">
        <f>tabItens[[#This Row],[PontoPed]] - tabItens[[#This Row],[Saldo]] + (1/10)</f>
        <v>-9.9</v>
      </c>
      <c r="BB809" s="318">
        <f xml:space="preserve"> tabItens[[#This Row],[PontoMês]] * BB$2 - tabItens[[#This Row],[QTDE ATUAL]] - (1/10)</f>
        <v>-10.1</v>
      </c>
      <c r="BC809" s="320">
        <f>IF( tabItens[[#This Row],[PontoPed]]&gt;0, IF(tabItens[[#This Row],[PontoPed]]&lt;1, 1, IF( tabItens[[#This Row],[Saldo]]&gt;tabItens[[#This Row],[PontoPed]], 0, (tabItens[[#This Row],[PontoPed]]-tabItens[[#This Row],[Saldo]])/tabItens[[#This Row],[PontoPed]] ) ), 0 )</f>
        <v>0</v>
      </c>
      <c r="BD809" s="321">
        <f>ROUNDDOWN(IF( OR( AND(tabItens[[#This Row],[PontoPed]]&lt;tabItens[[#This Row],[Saldo]],tabItens[[#This Row],[Saldo]]&gt;0), tabItens[[#This Row],[PontoPed]]=0), 99, IF(AND(tabItens[[#This Row],[Saldo]]=0,tabItens[[#This Row],[PontoPed]]&gt;0), 0, (1-tabItens[[#This Row],[PctAb]])*10 ) ),0)</f>
        <v>99</v>
      </c>
      <c r="BE809" s="322">
        <f>MAX(ROUNDDOWN( IF(tabItens[[#This Row],[Abaixo]] &gt; 0,   tabItens[[#This Row],[Abaixo]] + (tabItens[[#This Row],[PontoMês]] * IF( OR( ISBLANK(tabItens[[#This Row],[ATA Nº/ANO]]), tabItens[[#This Row],[ATA Nº/ANO]] = ""),BE$2,BE$1)),0),0),0)</f>
        <v>0</v>
      </c>
      <c r="BF80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23">
        <f>SUMIF(Consumo!$C$3:$C$869,tabItens[[#This Row],[CÓDIGO]],Consumo!$E$3:$E$869)</f>
        <v>0</v>
      </c>
      <c r="BH809" s="324">
        <f>IF(AND(tabItens[[#This Row],[Pend]] &gt; 0,tabItens[[#This Row],[Consumo]] &lt;&gt; 0), tabItens[[#This Row],[Pend]] / tabItens[[#This Row],[Consumo]], 0 )</f>
        <v>0</v>
      </c>
      <c r="BI809" s="323"/>
      <c r="BJ809" s="323"/>
      <c r="BK809" s="325" t="s">
        <v>2064</v>
      </c>
    </row>
    <row r="810" spans="1:63" hidden="1" x14ac:dyDescent="0.3">
      <c r="A810" s="286">
        <v>127106</v>
      </c>
      <c r="B810" s="287" t="s">
        <v>1773</v>
      </c>
      <c r="C810" s="288" t="s">
        <v>256</v>
      </c>
      <c r="D810" s="289">
        <v>39.5</v>
      </c>
      <c r="E810" s="290"/>
      <c r="F810" s="290"/>
      <c r="G810" s="290" t="s">
        <v>883</v>
      </c>
      <c r="H810" s="291">
        <v>10</v>
      </c>
      <c r="I810" s="292">
        <v>103003</v>
      </c>
      <c r="J810" s="293">
        <v>39.5</v>
      </c>
      <c r="K810" s="294"/>
      <c r="L810" s="295">
        <f>IF(tabItens[[#This Row],[Média]] &gt; 0, tabItens[[#This Row],[QTDE ATUAL]] / tabItens[[#This Row],[Média]],999.9)</f>
        <v>999.9</v>
      </c>
      <c r="M810" s="296">
        <v>0</v>
      </c>
      <c r="N810" s="297">
        <f>tabItens[[#This Row],[VALOR UNIT.]] * tabItens[[#This Row],[LC]]</f>
        <v>0</v>
      </c>
      <c r="O810" s="298"/>
      <c r="P810" s="299"/>
      <c r="Q810" s="300"/>
      <c r="R810" s="297"/>
      <c r="S810" s="301"/>
      <c r="T810" s="302">
        <f>ROUNDDOWN(IFERROR(tabItens[[#This Row],[ATA DT.VALID.]] - $D$1,0) / 30,0)</f>
        <v>-1504</v>
      </c>
      <c r="U810" s="287" t="s">
        <v>1600</v>
      </c>
      <c r="V810" s="303">
        <v>1</v>
      </c>
      <c r="W810" s="304" t="s">
        <v>2058</v>
      </c>
      <c r="X810" s="305">
        <v>62</v>
      </c>
      <c r="Y810" s="306">
        <v>4</v>
      </c>
      <c r="Z810" s="307"/>
      <c r="AA810" s="308"/>
      <c r="AB810" s="309"/>
      <c r="AC810" s="309"/>
      <c r="AD810" s="308"/>
      <c r="AE810" s="309"/>
      <c r="AF810" s="302"/>
      <c r="AG810" s="310" t="s">
        <v>2050</v>
      </c>
      <c r="AH810" s="311"/>
      <c r="AI810" s="302">
        <v>0</v>
      </c>
      <c r="AJ810" s="311">
        <v>42601</v>
      </c>
      <c r="AK810" s="311">
        <v>41648</v>
      </c>
      <c r="AL810" s="311">
        <v>42487</v>
      </c>
      <c r="AM810" s="301"/>
      <c r="AN810" s="290"/>
      <c r="AO810" s="312" t="str">
        <f>_xlfn.IFNA(IF(VLOOKUP(tabItens[[#This Row],[CÓDIGO]],tabExcluirDoEstoque[#Data],1,FALSE),"sim",""),"")</f>
        <v/>
      </c>
      <c r="AP810" s="313" t="str">
        <f ca="1">IF(OR(ISBLANK(tabItens[[#This Row],[ATA DT.VALID.]]),tabItens[[#This Row],[ATA DT.VALID.]]="",tabItens[[#This Row],[ATA DT.VALID.]]=" "),"",IF(TYPE(tabItens[[#This Row],[ATA DT.VALID.]])=1,ROUNDUP((tabItens[[#This Row],[ATA DT.VALID.]]-TODAY())/7,0),""))</f>
        <v/>
      </c>
      <c r="AQ810" s="314"/>
      <c r="AR810" s="315">
        <f>IF(ISBLANK(tabItens[[#This Row],[CÓDIGO]]),"",IFERROR(VLOOKUP(tabItens[[#This Row],[CÓDIGO]],Consumo!$C$2:$AC$869,26,FALSE),0))</f>
        <v>0</v>
      </c>
      <c r="AS810" s="316">
        <f>SUMIF(Consumo!$C$3:$C$869,tabItens[[#This Row],[CÓDIGO]],Consumo!$N$3:$N$869) + SUMIF(Consumo!$C$3:$C$869,tabItens[[#This Row],[CÓDIGO]],Consumo!$O$3:$O$869) + SUMIF(Consumo!$C$3:$C$869,tabItens[[#This Row],[CÓDIGO]],Consumo!$P$3:$P$869) + SUMIF(Consumo!$C$3:$C$869,tabItens[[#This Row],[CÓDIGO]],Consumo!$Q$3:$Q$869)</f>
        <v>0</v>
      </c>
      <c r="AT810" s="316">
        <f>SUMIF(Consumo!$C$3:$C$869,tabItens[[#This Row],[CÓDIGO]],Consumo!$Z$3:$Z$869)</f>
        <v>0</v>
      </c>
      <c r="AU810" s="317">
        <f>SUMIF(Consumo!$C$3:$C$869,tabItens[[#This Row],[CÓDIGO]],Consumo!$AA$3:$AA$869)</f>
        <v>0</v>
      </c>
      <c r="AV810" s="318">
        <f>SUMIF(Consumo!$C$3:$C$869,tabItens[[#This Row],[CÓDIGO]],Consumo!$Y$3:$Y$869)</f>
        <v>0</v>
      </c>
      <c r="AW810" s="291">
        <f>tabItens[[#This Row],[QTDE ATUAL]] + tabItens[[#This Row],[RC QTDE]] + tabItens[[#This Row],[AF SALDO]] + tabItens[[#This Row],[Recentes]]</f>
        <v>10</v>
      </c>
      <c r="AX810" s="319">
        <v>0</v>
      </c>
      <c r="AY810" s="319">
        <v>4</v>
      </c>
      <c r="AZ810" s="319">
        <f>IF(ISBLANK(tabItens[[#This Row],[CÓDIGO]]),"",tabItens[[#This Row],[PontoMês]] * (AZ$2+tabItens[[#This Row],[PontoQtM]]))</f>
        <v>0</v>
      </c>
      <c r="BA810" s="318">
        <f>tabItens[[#This Row],[PontoPed]] - tabItens[[#This Row],[Saldo]] + (1/10)</f>
        <v>-9.9</v>
      </c>
      <c r="BB810" s="318">
        <f xml:space="preserve"> tabItens[[#This Row],[PontoMês]] * BB$2 - tabItens[[#This Row],[QTDE ATUAL]] - (1/10)</f>
        <v>-10.1</v>
      </c>
      <c r="BC810" s="320">
        <f>IF( tabItens[[#This Row],[PontoPed]]&gt;0, IF(tabItens[[#This Row],[PontoPed]]&lt;1, 1, IF( tabItens[[#This Row],[Saldo]]&gt;tabItens[[#This Row],[PontoPed]], 0, (tabItens[[#This Row],[PontoPed]]-tabItens[[#This Row],[Saldo]])/tabItens[[#This Row],[PontoPed]] ) ), 0 )</f>
        <v>0</v>
      </c>
      <c r="BD810" s="321">
        <f>ROUNDDOWN(IF( OR( AND(tabItens[[#This Row],[PontoPed]]&lt;tabItens[[#This Row],[Saldo]],tabItens[[#This Row],[Saldo]]&gt;0), tabItens[[#This Row],[PontoPed]]=0), 99, IF(AND(tabItens[[#This Row],[Saldo]]=0,tabItens[[#This Row],[PontoPed]]&gt;0), 0, (1-tabItens[[#This Row],[PctAb]])*10 ) ),0)</f>
        <v>99</v>
      </c>
      <c r="BE810" s="322">
        <f>MAX(ROUNDDOWN( IF(tabItens[[#This Row],[Abaixo]] &gt; 0,   tabItens[[#This Row],[Abaixo]] + (tabItens[[#This Row],[PontoMês]] * IF( OR( ISBLANK(tabItens[[#This Row],[ATA Nº/ANO]]), tabItens[[#This Row],[ATA Nº/ANO]] = ""),BE$2,BE$1)),0),0),0)</f>
        <v>0</v>
      </c>
      <c r="BF81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23">
        <f>SUMIF(Consumo!$C$3:$C$869,tabItens[[#This Row],[CÓDIGO]],Consumo!$E$3:$E$869)</f>
        <v>0</v>
      </c>
      <c r="BH810" s="324">
        <f>IF(AND(tabItens[[#This Row],[Pend]] &gt; 0,tabItens[[#This Row],[Consumo]] &lt;&gt; 0), tabItens[[#This Row],[Pend]] / tabItens[[#This Row],[Consumo]], 0 )</f>
        <v>0</v>
      </c>
      <c r="BI810" s="323"/>
      <c r="BJ810" s="323"/>
      <c r="BK810" s="325" t="s">
        <v>2064</v>
      </c>
    </row>
    <row r="811" spans="1:63" hidden="1" x14ac:dyDescent="0.3">
      <c r="A811" s="286">
        <v>127107</v>
      </c>
      <c r="B811" s="287" t="s">
        <v>1774</v>
      </c>
      <c r="C811" s="288" t="s">
        <v>256</v>
      </c>
      <c r="D811" s="289">
        <v>64.62</v>
      </c>
      <c r="E811" s="290"/>
      <c r="F811" s="290"/>
      <c r="G811" s="290" t="s">
        <v>883</v>
      </c>
      <c r="H811" s="291">
        <v>14</v>
      </c>
      <c r="I811" s="292">
        <v>103003</v>
      </c>
      <c r="J811" s="293">
        <v>64.62</v>
      </c>
      <c r="K811" s="294">
        <v>4</v>
      </c>
      <c r="L811" s="295">
        <f>IF(tabItens[[#This Row],[Média]] &gt; 0, tabItens[[#This Row],[QTDE ATUAL]] / tabItens[[#This Row],[Média]],999.9)</f>
        <v>84</v>
      </c>
      <c r="M811" s="296">
        <v>0</v>
      </c>
      <c r="N811" s="297">
        <f>tabItens[[#This Row],[VALOR UNIT.]] * tabItens[[#This Row],[LC]]</f>
        <v>0</v>
      </c>
      <c r="O811" s="298"/>
      <c r="P811" s="299"/>
      <c r="Q811" s="300"/>
      <c r="R811" s="297"/>
      <c r="S811" s="301"/>
      <c r="T811" s="302">
        <f>ROUNDDOWN(IFERROR(tabItens[[#This Row],[ATA DT.VALID.]] - $D$1,0) / 30,0)</f>
        <v>-1504</v>
      </c>
      <c r="U811" s="287" t="s">
        <v>1600</v>
      </c>
      <c r="V811" s="303">
        <v>1</v>
      </c>
      <c r="W811" s="304" t="s">
        <v>2058</v>
      </c>
      <c r="X811" s="305">
        <v>62</v>
      </c>
      <c r="Y811" s="306">
        <v>4</v>
      </c>
      <c r="Z811" s="307"/>
      <c r="AA811" s="308"/>
      <c r="AB811" s="309"/>
      <c r="AC811" s="309"/>
      <c r="AD811" s="308"/>
      <c r="AE811" s="309"/>
      <c r="AF811" s="302"/>
      <c r="AG811" s="310" t="s">
        <v>2050</v>
      </c>
      <c r="AH811" s="311"/>
      <c r="AI811" s="302">
        <v>2</v>
      </c>
      <c r="AJ811" s="311">
        <v>43872</v>
      </c>
      <c r="AK811" s="311">
        <v>41648</v>
      </c>
      <c r="AL811" s="311">
        <v>44791</v>
      </c>
      <c r="AM811" s="301"/>
      <c r="AN811" s="290"/>
      <c r="AO811" s="312" t="str">
        <f>_xlfn.IFNA(IF(VLOOKUP(tabItens[[#This Row],[CÓDIGO]],tabExcluirDoEstoque[#Data],1,FALSE),"sim",""),"")</f>
        <v/>
      </c>
      <c r="AP811" s="313" t="str">
        <f ca="1">IF(OR(ISBLANK(tabItens[[#This Row],[ATA DT.VALID.]]),tabItens[[#This Row],[ATA DT.VALID.]]="",tabItens[[#This Row],[ATA DT.VALID.]]=" "),"",IF(TYPE(tabItens[[#This Row],[ATA DT.VALID.]])=1,ROUNDUP((tabItens[[#This Row],[ATA DT.VALID.]]-TODAY())/7,0),""))</f>
        <v/>
      </c>
      <c r="AQ811" s="314"/>
      <c r="AR811" s="315" t="str">
        <f>IF(ISBLANK(tabItens[[#This Row],[CÓDIGO]]),"",IFERROR(VLOOKUP(tabItens[[#This Row],[CÓDIGO]],Consumo!$C$2:$AC$869,26,FALSE),0))</f>
        <v>02.2023</v>
      </c>
      <c r="AS811" s="316">
        <f>SUMIF(Consumo!$C$3:$C$869,tabItens[[#This Row],[CÓDIGO]],Consumo!$N$3:$N$869) + SUMIF(Consumo!$C$3:$C$869,tabItens[[#This Row],[CÓDIGO]],Consumo!$O$3:$O$869) + SUMIF(Consumo!$C$3:$C$869,tabItens[[#This Row],[CÓDIGO]],Consumo!$P$3:$P$869) + SUMIF(Consumo!$C$3:$C$869,tabItens[[#This Row],[CÓDIGO]],Consumo!$Q$3:$Q$869)</f>
        <v>0</v>
      </c>
      <c r="AT811" s="316">
        <f>SUMIF(Consumo!$C$3:$C$869,tabItens[[#This Row],[CÓDIGO]],Consumo!$Z$3:$Z$869)</f>
        <v>4</v>
      </c>
      <c r="AU811" s="317">
        <f>SUMIF(Consumo!$C$3:$C$869,tabItens[[#This Row],[CÓDIGO]],Consumo!$AA$3:$AA$869)</f>
        <v>2</v>
      </c>
      <c r="AV811" s="318">
        <f>SUMIF(Consumo!$C$3:$C$869,tabItens[[#This Row],[CÓDIGO]],Consumo!$Y$3:$Y$869)</f>
        <v>0.16666666666666666</v>
      </c>
      <c r="AW811" s="291">
        <f>tabItens[[#This Row],[QTDE ATUAL]] + tabItens[[#This Row],[RC QTDE]] + tabItens[[#This Row],[AF SALDO]] + tabItens[[#This Row],[Recentes]]</f>
        <v>14</v>
      </c>
      <c r="AX811" s="319">
        <v>0</v>
      </c>
      <c r="AY811" s="319">
        <v>4</v>
      </c>
      <c r="AZ811" s="319">
        <f>IF(ISBLANK(tabItens[[#This Row],[CÓDIGO]]),"",tabItens[[#This Row],[PontoMês]] * (AZ$2+tabItens[[#This Row],[PontoQtM]]))</f>
        <v>0</v>
      </c>
      <c r="BA811" s="318">
        <f>tabItens[[#This Row],[PontoPed]] - tabItens[[#This Row],[Saldo]] + (1/10)</f>
        <v>-13.9</v>
      </c>
      <c r="BB811" s="318">
        <f xml:space="preserve"> tabItens[[#This Row],[PontoMês]] * BB$2 - tabItens[[#This Row],[QTDE ATUAL]] - (1/10)</f>
        <v>-14.1</v>
      </c>
      <c r="BC811" s="320">
        <f>IF( tabItens[[#This Row],[PontoPed]]&gt;0, IF(tabItens[[#This Row],[PontoPed]]&lt;1, 1, IF( tabItens[[#This Row],[Saldo]]&gt;tabItens[[#This Row],[PontoPed]], 0, (tabItens[[#This Row],[PontoPed]]-tabItens[[#This Row],[Saldo]])/tabItens[[#This Row],[PontoPed]] ) ), 0 )</f>
        <v>0</v>
      </c>
      <c r="BD811" s="321">
        <f>ROUNDDOWN(IF( OR( AND(tabItens[[#This Row],[PontoPed]]&lt;tabItens[[#This Row],[Saldo]],tabItens[[#This Row],[Saldo]]&gt;0), tabItens[[#This Row],[PontoPed]]=0), 99, IF(AND(tabItens[[#This Row],[Saldo]]=0,tabItens[[#This Row],[PontoPed]]&gt;0), 0, (1-tabItens[[#This Row],[PctAb]])*10 ) ),0)</f>
        <v>99</v>
      </c>
      <c r="BE811" s="322">
        <f>MAX(ROUNDDOWN( IF(tabItens[[#This Row],[Abaixo]] &gt; 0,   tabItens[[#This Row],[Abaixo]] + (tabItens[[#This Row],[PontoMês]] * IF( OR( ISBLANK(tabItens[[#This Row],[ATA Nº/ANO]]), tabItens[[#This Row],[ATA Nº/ANO]] = ""),BE$2,BE$1)),0),0),0)</f>
        <v>0</v>
      </c>
      <c r="BF81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23">
        <f>SUMIF(Consumo!$C$3:$C$869,tabItens[[#This Row],[CÓDIGO]],Consumo!$E$3:$E$869)</f>
        <v>0</v>
      </c>
      <c r="BH811" s="324">
        <f>IF(AND(tabItens[[#This Row],[Pend]] &gt; 0,tabItens[[#This Row],[Consumo]] &lt;&gt; 0), tabItens[[#This Row],[Pend]] / tabItens[[#This Row],[Consumo]], 0 )</f>
        <v>0</v>
      </c>
      <c r="BI811" s="323"/>
      <c r="BJ811" s="323"/>
      <c r="BK811" s="325" t="s">
        <v>2064</v>
      </c>
    </row>
    <row r="812" spans="1:63" hidden="1" x14ac:dyDescent="0.3">
      <c r="A812" s="286">
        <v>126838</v>
      </c>
      <c r="B812" s="287" t="s">
        <v>1770</v>
      </c>
      <c r="C812" s="288" t="s">
        <v>256</v>
      </c>
      <c r="D812" s="289">
        <v>0.33</v>
      </c>
      <c r="E812" s="290"/>
      <c r="F812" s="290"/>
      <c r="G812" s="290" t="s">
        <v>883</v>
      </c>
      <c r="H812" s="291">
        <v>2471</v>
      </c>
      <c r="I812" s="292">
        <v>103003</v>
      </c>
      <c r="J812" s="293">
        <v>0.33</v>
      </c>
      <c r="K812" s="294"/>
      <c r="L812" s="295">
        <f>IF(tabItens[[#This Row],[Média]] &gt; 0, tabItens[[#This Row],[QTDE ATUAL]] / tabItens[[#This Row],[Média]],999.9)</f>
        <v>999.9</v>
      </c>
      <c r="M812" s="296">
        <v>0</v>
      </c>
      <c r="N812" s="297">
        <f>tabItens[[#This Row],[VALOR UNIT.]] * tabItens[[#This Row],[LC]]</f>
        <v>0</v>
      </c>
      <c r="O812" s="298"/>
      <c r="P812" s="299"/>
      <c r="Q812" s="300"/>
      <c r="R812" s="297"/>
      <c r="S812" s="301"/>
      <c r="T812" s="302">
        <f>ROUNDDOWN(IFERROR(tabItens[[#This Row],[ATA DT.VALID.]] - $D$1,0) / 30,0)</f>
        <v>-1504</v>
      </c>
      <c r="U812" s="287" t="s">
        <v>1771</v>
      </c>
      <c r="V812" s="303">
        <v>1</v>
      </c>
      <c r="W812" s="304" t="s">
        <v>2056</v>
      </c>
      <c r="X812" s="305">
        <v>67</v>
      </c>
      <c r="Y812" s="306">
        <v>2</v>
      </c>
      <c r="Z812" s="307"/>
      <c r="AA812" s="308"/>
      <c r="AB812" s="309"/>
      <c r="AC812" s="309"/>
      <c r="AD812" s="308"/>
      <c r="AE812" s="309"/>
      <c r="AF812" s="302"/>
      <c r="AG812" s="310" t="s">
        <v>2050</v>
      </c>
      <c r="AH812" s="311"/>
      <c r="AI812" s="302">
        <v>0</v>
      </c>
      <c r="AJ812" s="311">
        <v>43759</v>
      </c>
      <c r="AK812" s="311">
        <v>41596</v>
      </c>
      <c r="AL812" s="311">
        <v>43747</v>
      </c>
      <c r="AM812" s="301"/>
      <c r="AN812" s="290"/>
      <c r="AO812" s="312" t="str">
        <f>_xlfn.IFNA(IF(VLOOKUP(tabItens[[#This Row],[CÓDIGO]],tabExcluirDoEstoque[#Data],1,FALSE),"sim",""),"")</f>
        <v/>
      </c>
      <c r="AP812" s="313" t="str">
        <f ca="1">IF(OR(ISBLANK(tabItens[[#This Row],[ATA DT.VALID.]]),tabItens[[#This Row],[ATA DT.VALID.]]="",tabItens[[#This Row],[ATA DT.VALID.]]=" "),"",IF(TYPE(tabItens[[#This Row],[ATA DT.VALID.]])=1,ROUNDUP((tabItens[[#This Row],[ATA DT.VALID.]]-TODAY())/7,0),""))</f>
        <v/>
      </c>
      <c r="AQ812" s="314"/>
      <c r="AR812" s="315">
        <f>IF(ISBLANK(tabItens[[#This Row],[CÓDIGO]]),"",IFERROR(VLOOKUP(tabItens[[#This Row],[CÓDIGO]],Consumo!$C$2:$AC$869,26,FALSE),0))</f>
        <v>0</v>
      </c>
      <c r="AS812" s="316">
        <f>SUMIF(Consumo!$C$3:$C$869,tabItens[[#This Row],[CÓDIGO]],Consumo!$N$3:$N$869) + SUMIF(Consumo!$C$3:$C$869,tabItens[[#This Row],[CÓDIGO]],Consumo!$O$3:$O$869) + SUMIF(Consumo!$C$3:$C$869,tabItens[[#This Row],[CÓDIGO]],Consumo!$P$3:$P$869) + SUMIF(Consumo!$C$3:$C$869,tabItens[[#This Row],[CÓDIGO]],Consumo!$Q$3:$Q$869)</f>
        <v>0</v>
      </c>
      <c r="AT812" s="316">
        <f>SUMIF(Consumo!$C$3:$C$869,tabItens[[#This Row],[CÓDIGO]],Consumo!$Z$3:$Z$869)</f>
        <v>0</v>
      </c>
      <c r="AU812" s="317">
        <f>SUMIF(Consumo!$C$3:$C$869,tabItens[[#This Row],[CÓDIGO]],Consumo!$AA$3:$AA$869)</f>
        <v>0</v>
      </c>
      <c r="AV812" s="318">
        <f>SUMIF(Consumo!$C$3:$C$869,tabItens[[#This Row],[CÓDIGO]],Consumo!$Y$3:$Y$869)</f>
        <v>0</v>
      </c>
      <c r="AW812" s="291">
        <f>tabItens[[#This Row],[QTDE ATUAL]] + tabItens[[#This Row],[RC QTDE]] + tabItens[[#This Row],[AF SALDO]] + tabItens[[#This Row],[Recentes]]</f>
        <v>2471</v>
      </c>
      <c r="AX812" s="319">
        <v>11</v>
      </c>
      <c r="AY812" s="319">
        <v>4</v>
      </c>
      <c r="AZ812" s="319">
        <f>IF(ISBLANK(tabItens[[#This Row],[CÓDIGO]]),"",tabItens[[#This Row],[PontoMês]] * (AZ$2+tabItens[[#This Row],[PontoQtM]]))</f>
        <v>44</v>
      </c>
      <c r="BA812" s="318">
        <f>tabItens[[#This Row],[PontoPed]] - tabItens[[#This Row],[Saldo]] + (1/10)</f>
        <v>-2426.9</v>
      </c>
      <c r="BB812" s="318">
        <f xml:space="preserve"> tabItens[[#This Row],[PontoMês]] * BB$2 - tabItens[[#This Row],[QTDE ATUAL]] - (1/10)</f>
        <v>-2460.1</v>
      </c>
      <c r="BC812" s="320">
        <f>IF( tabItens[[#This Row],[PontoPed]]&gt;0, IF(tabItens[[#This Row],[PontoPed]]&lt;1, 1, IF( tabItens[[#This Row],[Saldo]]&gt;tabItens[[#This Row],[PontoPed]], 0, (tabItens[[#This Row],[PontoPed]]-tabItens[[#This Row],[Saldo]])/tabItens[[#This Row],[PontoPed]] ) ), 0 )</f>
        <v>0</v>
      </c>
      <c r="BD812" s="321">
        <f>ROUNDDOWN(IF( OR( AND(tabItens[[#This Row],[PontoPed]]&lt;tabItens[[#This Row],[Saldo]],tabItens[[#This Row],[Saldo]]&gt;0), tabItens[[#This Row],[PontoPed]]=0), 99, IF(AND(tabItens[[#This Row],[Saldo]]=0,tabItens[[#This Row],[PontoPed]]&gt;0), 0, (1-tabItens[[#This Row],[PctAb]])*10 ) ),0)</f>
        <v>99</v>
      </c>
      <c r="BE812" s="322">
        <f>MAX(ROUNDDOWN( IF(tabItens[[#This Row],[Abaixo]] &gt; 0,   tabItens[[#This Row],[Abaixo]] + (tabItens[[#This Row],[PontoMês]] * IF( OR( ISBLANK(tabItens[[#This Row],[ATA Nº/ANO]]), tabItens[[#This Row],[ATA Nº/ANO]] = ""),BE$2,BE$1)),0),0),0)</f>
        <v>0</v>
      </c>
      <c r="BF81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23">
        <f>SUMIF(Consumo!$C$3:$C$869,tabItens[[#This Row],[CÓDIGO]],Consumo!$E$3:$E$869)</f>
        <v>0</v>
      </c>
      <c r="BH812" s="324">
        <f>IF(AND(tabItens[[#This Row],[Pend]] &gt; 0,tabItens[[#This Row],[Consumo]] &lt;&gt; 0), tabItens[[#This Row],[Pend]] / tabItens[[#This Row],[Consumo]], 0 )</f>
        <v>0</v>
      </c>
      <c r="BI812" s="323"/>
      <c r="BJ812" s="323"/>
      <c r="BK812" s="325" t="s">
        <v>2064</v>
      </c>
    </row>
    <row r="813" spans="1:63" hidden="1" x14ac:dyDescent="0.3">
      <c r="A813" s="286">
        <v>89863</v>
      </c>
      <c r="B813" s="287" t="s">
        <v>1515</v>
      </c>
      <c r="C813" s="288" t="s">
        <v>413</v>
      </c>
      <c r="D813" s="289">
        <v>29.21</v>
      </c>
      <c r="E813" s="290"/>
      <c r="F813" s="290"/>
      <c r="G813" s="290" t="s">
        <v>883</v>
      </c>
      <c r="H813" s="291">
        <v>357</v>
      </c>
      <c r="I813" s="292">
        <v>103003</v>
      </c>
      <c r="J813" s="293">
        <v>29.21</v>
      </c>
      <c r="K813" s="294">
        <v>126</v>
      </c>
      <c r="L813" s="295">
        <f>IF(tabItens[[#This Row],[Média]] &gt; 0, tabItens[[#This Row],[QTDE ATUAL]] / tabItens[[#This Row],[Média]],999.9)</f>
        <v>26.774999999999999</v>
      </c>
      <c r="M813" s="296">
        <v>0</v>
      </c>
      <c r="N813" s="297">
        <f>tabItens[[#This Row],[VALOR UNIT.]] * tabItens[[#This Row],[LC]]</f>
        <v>0</v>
      </c>
      <c r="O813" s="298"/>
      <c r="P813" s="299"/>
      <c r="Q813" s="300"/>
      <c r="R813" s="297"/>
      <c r="S813" s="301"/>
      <c r="T813" s="302">
        <f>ROUNDDOWN(IFERROR(tabItens[[#This Row],[ATA DT.VALID.]] - $D$1,0) / 30,0)</f>
        <v>-1504</v>
      </c>
      <c r="U813" s="287" t="s">
        <v>1516</v>
      </c>
      <c r="V813" s="303">
        <v>1</v>
      </c>
      <c r="W813" s="304" t="s">
        <v>2057</v>
      </c>
      <c r="X813" s="305">
        <v>67</v>
      </c>
      <c r="Y813" s="306">
        <v>3</v>
      </c>
      <c r="Z813" s="307"/>
      <c r="AA813" s="308"/>
      <c r="AB813" s="309"/>
      <c r="AC813" s="309"/>
      <c r="AD813" s="308"/>
      <c r="AE813" s="309"/>
      <c r="AF813" s="302"/>
      <c r="AG813" s="310" t="s">
        <v>2050</v>
      </c>
      <c r="AH813" s="311"/>
      <c r="AI813" s="302">
        <v>56</v>
      </c>
      <c r="AJ813" s="311">
        <v>43864</v>
      </c>
      <c r="AK813" s="311">
        <v>38743</v>
      </c>
      <c r="AL813" s="311">
        <v>45050</v>
      </c>
      <c r="AM813" s="301"/>
      <c r="AN813" s="290"/>
      <c r="AO813" s="312" t="str">
        <f>_xlfn.IFNA(IF(VLOOKUP(tabItens[[#This Row],[CÓDIGO]],tabExcluirDoEstoque[#Data],1,FALSE),"sim",""),"")</f>
        <v/>
      </c>
      <c r="AP813" s="313" t="str">
        <f ca="1">IF(OR(ISBLANK(tabItens[[#This Row],[ATA DT.VALID.]]),tabItens[[#This Row],[ATA DT.VALID.]]="",tabItens[[#This Row],[ATA DT.VALID.]]=" "),"",IF(TYPE(tabItens[[#This Row],[ATA DT.VALID.]])=1,ROUNDUP((tabItens[[#This Row],[ATA DT.VALID.]]-TODAY())/7,0),""))</f>
        <v/>
      </c>
      <c r="AQ813" s="314"/>
      <c r="AR813" s="315" t="str">
        <f>IF(ISBLANK(tabItens[[#This Row],[CÓDIGO]]),"",IFERROR(VLOOKUP(tabItens[[#This Row],[CÓDIGO]],Consumo!$C$2:$AC$869,26,FALSE),0))</f>
        <v>07.2023</v>
      </c>
      <c r="AS813" s="316">
        <f>SUMIF(Consumo!$C$3:$C$869,tabItens[[#This Row],[CÓDIGO]],Consumo!$N$3:$N$869) + SUMIF(Consumo!$C$3:$C$869,tabItens[[#This Row],[CÓDIGO]],Consumo!$O$3:$O$869) + SUMIF(Consumo!$C$3:$C$869,tabItens[[#This Row],[CÓDIGO]],Consumo!$P$3:$P$869) + SUMIF(Consumo!$C$3:$C$869,tabItens[[#This Row],[CÓDIGO]],Consumo!$Q$3:$Q$869)</f>
        <v>100</v>
      </c>
      <c r="AT813" s="316">
        <f>SUMIF(Consumo!$C$3:$C$869,tabItens[[#This Row],[CÓDIGO]],Consumo!$Z$3:$Z$869)</f>
        <v>165</v>
      </c>
      <c r="AU813" s="317">
        <f>SUMIF(Consumo!$C$3:$C$869,tabItens[[#This Row],[CÓDIGO]],Consumo!$AA$3:$AA$869)</f>
        <v>40</v>
      </c>
      <c r="AV813" s="318">
        <f>SUMIF(Consumo!$C$3:$C$869,tabItens[[#This Row],[CÓDIGO]],Consumo!$Y$3:$Y$869)</f>
        <v>13.333333333333334</v>
      </c>
      <c r="AW813" s="291">
        <f>tabItens[[#This Row],[QTDE ATUAL]] + tabItens[[#This Row],[RC QTDE]] + tabItens[[#This Row],[AF SALDO]] + tabItens[[#This Row],[Recentes]]</f>
        <v>357</v>
      </c>
      <c r="AX813" s="319">
        <v>8</v>
      </c>
      <c r="AY813" s="319">
        <v>4</v>
      </c>
      <c r="AZ813" s="319">
        <f>IF(ISBLANK(tabItens[[#This Row],[CÓDIGO]]),"",tabItens[[#This Row],[PontoMês]] * (AZ$2+tabItens[[#This Row],[PontoQtM]]))</f>
        <v>32</v>
      </c>
      <c r="BA813" s="318">
        <f>tabItens[[#This Row],[PontoPed]] - tabItens[[#This Row],[Saldo]] + (1/10)</f>
        <v>-324.89999999999998</v>
      </c>
      <c r="BB813" s="318">
        <f xml:space="preserve"> tabItens[[#This Row],[PontoMês]] * BB$2 - tabItens[[#This Row],[QTDE ATUAL]] - (1/10)</f>
        <v>-349.1</v>
      </c>
      <c r="BC813" s="320">
        <f>IF( tabItens[[#This Row],[PontoPed]]&gt;0, IF(tabItens[[#This Row],[PontoPed]]&lt;1, 1, IF( tabItens[[#This Row],[Saldo]]&gt;tabItens[[#This Row],[PontoPed]], 0, (tabItens[[#This Row],[PontoPed]]-tabItens[[#This Row],[Saldo]])/tabItens[[#This Row],[PontoPed]] ) ), 0 )</f>
        <v>0</v>
      </c>
      <c r="BD813" s="321">
        <f>ROUNDDOWN(IF( OR( AND(tabItens[[#This Row],[PontoPed]]&lt;tabItens[[#This Row],[Saldo]],tabItens[[#This Row],[Saldo]]&gt;0), tabItens[[#This Row],[PontoPed]]=0), 99, IF(AND(tabItens[[#This Row],[Saldo]]=0,tabItens[[#This Row],[PontoPed]]&gt;0), 0, (1-tabItens[[#This Row],[PctAb]])*10 ) ),0)</f>
        <v>99</v>
      </c>
      <c r="BE813" s="322">
        <f>MAX(ROUNDDOWN( IF(tabItens[[#This Row],[Abaixo]] &gt; 0,   tabItens[[#This Row],[Abaixo]] + (tabItens[[#This Row],[PontoMês]] * IF( OR( ISBLANK(tabItens[[#This Row],[ATA Nº/ANO]]), tabItens[[#This Row],[ATA Nº/ANO]] = ""),BE$2,BE$1)),0),0),0)</f>
        <v>0</v>
      </c>
      <c r="BF81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23">
        <f>SUMIF(Consumo!$C$3:$C$869,tabItens[[#This Row],[CÓDIGO]],Consumo!$E$3:$E$869)</f>
        <v>0</v>
      </c>
      <c r="BH813" s="324">
        <f>IF(AND(tabItens[[#This Row],[Pend]] &gt; 0,tabItens[[#This Row],[Consumo]] &lt;&gt; 0), tabItens[[#This Row],[Pend]] / tabItens[[#This Row],[Consumo]], 0 )</f>
        <v>0</v>
      </c>
      <c r="BI813" s="323"/>
      <c r="BJ813" s="323"/>
      <c r="BK813" s="325" t="s">
        <v>2064</v>
      </c>
    </row>
    <row r="814" spans="1:63" hidden="1" x14ac:dyDescent="0.3">
      <c r="A814" s="286">
        <v>89864</v>
      </c>
      <c r="B814" s="287" t="s">
        <v>1517</v>
      </c>
      <c r="C814" s="288" t="s">
        <v>413</v>
      </c>
      <c r="D814" s="289">
        <v>34.619999999999997</v>
      </c>
      <c r="E814" s="290"/>
      <c r="F814" s="290"/>
      <c r="G814" s="290" t="s">
        <v>883</v>
      </c>
      <c r="H814" s="291">
        <v>774</v>
      </c>
      <c r="I814" s="292">
        <v>103003</v>
      </c>
      <c r="J814" s="293">
        <v>34.619999999999997</v>
      </c>
      <c r="K814" s="294">
        <v>46</v>
      </c>
      <c r="L814" s="295">
        <f>IF(tabItens[[#This Row],[Média]] &gt; 0, tabItens[[#This Row],[QTDE ATUAL]] / tabItens[[#This Row],[Média]],999.9)</f>
        <v>273.1764705882353</v>
      </c>
      <c r="M814" s="296">
        <v>0</v>
      </c>
      <c r="N814" s="297">
        <f>tabItens[[#This Row],[VALOR UNIT.]] * tabItens[[#This Row],[LC]]</f>
        <v>0</v>
      </c>
      <c r="O814" s="298"/>
      <c r="P814" s="299"/>
      <c r="Q814" s="300"/>
      <c r="R814" s="297"/>
      <c r="S814" s="301"/>
      <c r="T814" s="302">
        <f>ROUNDDOWN(IFERROR(tabItens[[#This Row],[ATA DT.VALID.]] - $D$1,0) / 30,0)</f>
        <v>-1504</v>
      </c>
      <c r="U814" s="287" t="s">
        <v>1516</v>
      </c>
      <c r="V814" s="303">
        <v>1</v>
      </c>
      <c r="W814" s="304" t="s">
        <v>2057</v>
      </c>
      <c r="X814" s="305">
        <v>67</v>
      </c>
      <c r="Y814" s="306">
        <v>3</v>
      </c>
      <c r="Z814" s="307"/>
      <c r="AA814" s="308"/>
      <c r="AB814" s="309"/>
      <c r="AC814" s="309"/>
      <c r="AD814" s="308"/>
      <c r="AE814" s="309"/>
      <c r="AF814" s="302"/>
      <c r="AG814" s="310" t="s">
        <v>2050</v>
      </c>
      <c r="AH814" s="311"/>
      <c r="AI814" s="302">
        <v>16</v>
      </c>
      <c r="AJ814" s="311">
        <v>43853</v>
      </c>
      <c r="AK814" s="311">
        <v>38743</v>
      </c>
      <c r="AL814" s="311">
        <v>45050</v>
      </c>
      <c r="AM814" s="301"/>
      <c r="AN814" s="290"/>
      <c r="AO814" s="312" t="str">
        <f>_xlfn.IFNA(IF(VLOOKUP(tabItens[[#This Row],[CÓDIGO]],tabExcluirDoEstoque[#Data],1,FALSE),"sim",""),"")</f>
        <v/>
      </c>
      <c r="AP814" s="313" t="str">
        <f ca="1">IF(OR(ISBLANK(tabItens[[#This Row],[ATA DT.VALID.]]),tabItens[[#This Row],[ATA DT.VALID.]]="",tabItens[[#This Row],[ATA DT.VALID.]]=" "),"",IF(TYPE(tabItens[[#This Row],[ATA DT.VALID.]])=1,ROUNDUP((tabItens[[#This Row],[ATA DT.VALID.]]-TODAY())/7,0),""))</f>
        <v/>
      </c>
      <c r="AQ814" s="314"/>
      <c r="AR814" s="315" t="str">
        <f>IF(ISBLANK(tabItens[[#This Row],[CÓDIGO]]),"",IFERROR(VLOOKUP(tabItens[[#This Row],[CÓDIGO]],Consumo!$C$2:$AC$869,26,FALSE),0))</f>
        <v>04.2023</v>
      </c>
      <c r="AS814" s="316">
        <f>SUMIF(Consumo!$C$3:$C$869,tabItens[[#This Row],[CÓDIGO]],Consumo!$N$3:$N$869) + SUMIF(Consumo!$C$3:$C$869,tabItens[[#This Row],[CÓDIGO]],Consumo!$O$3:$O$869) + SUMIF(Consumo!$C$3:$C$869,tabItens[[#This Row],[CÓDIGO]],Consumo!$P$3:$P$869) + SUMIF(Consumo!$C$3:$C$869,tabItens[[#This Row],[CÓDIGO]],Consumo!$Q$3:$Q$869)</f>
        <v>36</v>
      </c>
      <c r="AT814" s="316">
        <f>SUMIF(Consumo!$C$3:$C$869,tabItens[[#This Row],[CÓDIGO]],Consumo!$Z$3:$Z$869)</f>
        <v>46</v>
      </c>
      <c r="AU814" s="317">
        <f>SUMIF(Consumo!$C$3:$C$869,tabItens[[#This Row],[CÓDIGO]],Consumo!$AA$3:$AA$869)</f>
        <v>36</v>
      </c>
      <c r="AV814" s="318">
        <f>SUMIF(Consumo!$C$3:$C$869,tabItens[[#This Row],[CÓDIGO]],Consumo!$Y$3:$Y$869)</f>
        <v>2.8333333333333335</v>
      </c>
      <c r="AW814" s="291">
        <f>tabItens[[#This Row],[QTDE ATUAL]] + tabItens[[#This Row],[RC QTDE]] + tabItens[[#This Row],[AF SALDO]] + tabItens[[#This Row],[Recentes]]</f>
        <v>774</v>
      </c>
      <c r="AX814" s="319">
        <v>13</v>
      </c>
      <c r="AY814" s="319">
        <v>4</v>
      </c>
      <c r="AZ814" s="319">
        <f>IF(ISBLANK(tabItens[[#This Row],[CÓDIGO]]),"",tabItens[[#This Row],[PontoMês]] * (AZ$2+tabItens[[#This Row],[PontoQtM]]))</f>
        <v>52</v>
      </c>
      <c r="BA814" s="318">
        <f>tabItens[[#This Row],[PontoPed]] - tabItens[[#This Row],[Saldo]] + (1/10)</f>
        <v>-721.9</v>
      </c>
      <c r="BB814" s="318">
        <f xml:space="preserve"> tabItens[[#This Row],[PontoMês]] * BB$2 - tabItens[[#This Row],[QTDE ATUAL]] - (1/10)</f>
        <v>-761.1</v>
      </c>
      <c r="BC814" s="320">
        <f>IF( tabItens[[#This Row],[PontoPed]]&gt;0, IF(tabItens[[#This Row],[PontoPed]]&lt;1, 1, IF( tabItens[[#This Row],[Saldo]]&gt;tabItens[[#This Row],[PontoPed]], 0, (tabItens[[#This Row],[PontoPed]]-tabItens[[#This Row],[Saldo]])/tabItens[[#This Row],[PontoPed]] ) ), 0 )</f>
        <v>0</v>
      </c>
      <c r="BD814" s="321">
        <f>ROUNDDOWN(IF( OR( AND(tabItens[[#This Row],[PontoPed]]&lt;tabItens[[#This Row],[Saldo]],tabItens[[#This Row],[Saldo]]&gt;0), tabItens[[#This Row],[PontoPed]]=0), 99, IF(AND(tabItens[[#This Row],[Saldo]]=0,tabItens[[#This Row],[PontoPed]]&gt;0), 0, (1-tabItens[[#This Row],[PctAb]])*10 ) ),0)</f>
        <v>99</v>
      </c>
      <c r="BE814" s="322">
        <f>MAX(ROUNDDOWN( IF(tabItens[[#This Row],[Abaixo]] &gt; 0,   tabItens[[#This Row],[Abaixo]] + (tabItens[[#This Row],[PontoMês]] * IF( OR( ISBLANK(tabItens[[#This Row],[ATA Nº/ANO]]), tabItens[[#This Row],[ATA Nº/ANO]] = ""),BE$2,BE$1)),0),0),0)</f>
        <v>0</v>
      </c>
      <c r="BF81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23">
        <f>SUMIF(Consumo!$C$3:$C$869,tabItens[[#This Row],[CÓDIGO]],Consumo!$E$3:$E$869)</f>
        <v>0</v>
      </c>
      <c r="BH814" s="324">
        <f>IF(AND(tabItens[[#This Row],[Pend]] &gt; 0,tabItens[[#This Row],[Consumo]] &lt;&gt; 0), tabItens[[#This Row],[Pend]] / tabItens[[#This Row],[Consumo]], 0 )</f>
        <v>0</v>
      </c>
      <c r="BI814" s="323"/>
      <c r="BJ814" s="323"/>
      <c r="BK814" s="325" t="s">
        <v>2064</v>
      </c>
    </row>
    <row r="815" spans="1:63" hidden="1" x14ac:dyDescent="0.3">
      <c r="A815" s="286">
        <v>89865</v>
      </c>
      <c r="B815" s="287" t="s">
        <v>1518</v>
      </c>
      <c r="C815" s="288" t="s">
        <v>413</v>
      </c>
      <c r="D815" s="289">
        <v>78.599999999999994</v>
      </c>
      <c r="E815" s="290"/>
      <c r="F815" s="290"/>
      <c r="G815" s="290" t="s">
        <v>883</v>
      </c>
      <c r="H815" s="291">
        <v>138</v>
      </c>
      <c r="I815" s="292">
        <v>103003</v>
      </c>
      <c r="J815" s="293">
        <v>78.599999999999994</v>
      </c>
      <c r="K815" s="294">
        <v>66</v>
      </c>
      <c r="L815" s="295">
        <f>IF(tabItens[[#This Row],[Média]] &gt; 0, tabItens[[#This Row],[QTDE ATUAL]] / tabItens[[#This Row],[Média]],999.9)</f>
        <v>29.05263157894737</v>
      </c>
      <c r="M815" s="296">
        <v>0</v>
      </c>
      <c r="N815" s="297">
        <f>tabItens[[#This Row],[VALOR UNIT.]] * tabItens[[#This Row],[LC]]</f>
        <v>0</v>
      </c>
      <c r="O815" s="298"/>
      <c r="P815" s="299"/>
      <c r="Q815" s="300"/>
      <c r="R815" s="297"/>
      <c r="S815" s="301"/>
      <c r="T815" s="302">
        <f>ROUNDDOWN(IFERROR(tabItens[[#This Row],[ATA DT.VALID.]] - $D$1,0) / 30,0)</f>
        <v>-1504</v>
      </c>
      <c r="U815" s="287" t="s">
        <v>1516</v>
      </c>
      <c r="V815" s="303">
        <v>1</v>
      </c>
      <c r="W815" s="304" t="s">
        <v>2057</v>
      </c>
      <c r="X815" s="305">
        <v>67</v>
      </c>
      <c r="Y815" s="306">
        <v>3</v>
      </c>
      <c r="Z815" s="307"/>
      <c r="AA815" s="308"/>
      <c r="AB815" s="309"/>
      <c r="AC815" s="309"/>
      <c r="AD815" s="308"/>
      <c r="AE815" s="309"/>
      <c r="AF815" s="302"/>
      <c r="AG815" s="310" t="s">
        <v>2050</v>
      </c>
      <c r="AH815" s="311"/>
      <c r="AI815" s="302">
        <v>24</v>
      </c>
      <c r="AJ815" s="311">
        <v>43864</v>
      </c>
      <c r="AK815" s="311">
        <v>38743</v>
      </c>
      <c r="AL815" s="311">
        <v>44335</v>
      </c>
      <c r="AM815" s="301"/>
      <c r="AN815" s="290"/>
      <c r="AO815" s="312" t="str">
        <f>_xlfn.IFNA(IF(VLOOKUP(tabItens[[#This Row],[CÓDIGO]],tabExcluirDoEstoque[#Data],1,FALSE),"sim",""),"")</f>
        <v/>
      </c>
      <c r="AP815" s="313" t="str">
        <f ca="1">IF(OR(ISBLANK(tabItens[[#This Row],[ATA DT.VALID.]]),tabItens[[#This Row],[ATA DT.VALID.]]="",tabItens[[#This Row],[ATA DT.VALID.]]=" "),"",IF(TYPE(tabItens[[#This Row],[ATA DT.VALID.]])=1,ROUNDUP((tabItens[[#This Row],[ATA DT.VALID.]]-TODAY())/7,0),""))</f>
        <v/>
      </c>
      <c r="AQ815" s="314"/>
      <c r="AR815" s="315" t="str">
        <f>IF(ISBLANK(tabItens[[#This Row],[CÓDIGO]]),"",IFERROR(VLOOKUP(tabItens[[#This Row],[CÓDIGO]],Consumo!$C$2:$AC$869,26,FALSE),0))</f>
        <v>04.2023</v>
      </c>
      <c r="AS815" s="316">
        <f>SUMIF(Consumo!$C$3:$C$869,tabItens[[#This Row],[CÓDIGO]],Consumo!$N$3:$N$869) + SUMIF(Consumo!$C$3:$C$869,tabItens[[#This Row],[CÓDIGO]],Consumo!$O$3:$O$869) + SUMIF(Consumo!$C$3:$C$869,tabItens[[#This Row],[CÓDIGO]],Consumo!$P$3:$P$869) + SUMIF(Consumo!$C$3:$C$869,tabItens[[#This Row],[CÓDIGO]],Consumo!$Q$3:$Q$869)</f>
        <v>41</v>
      </c>
      <c r="AT815" s="316">
        <f>SUMIF(Consumo!$C$3:$C$869,tabItens[[#This Row],[CÓDIGO]],Consumo!$Z$3:$Z$869)</f>
        <v>70</v>
      </c>
      <c r="AU815" s="317">
        <f>SUMIF(Consumo!$C$3:$C$869,tabItens[[#This Row],[CÓDIGO]],Consumo!$AA$3:$AA$869)</f>
        <v>41</v>
      </c>
      <c r="AV815" s="318">
        <f>SUMIF(Consumo!$C$3:$C$869,tabItens[[#This Row],[CÓDIGO]],Consumo!$Y$3:$Y$869)</f>
        <v>4.75</v>
      </c>
      <c r="AW815" s="291">
        <f>tabItens[[#This Row],[QTDE ATUAL]] + tabItens[[#This Row],[RC QTDE]] + tabItens[[#This Row],[AF SALDO]] + tabItens[[#This Row],[Recentes]]</f>
        <v>138</v>
      </c>
      <c r="AX815" s="319">
        <v>11</v>
      </c>
      <c r="AY815" s="319">
        <v>4</v>
      </c>
      <c r="AZ815" s="319">
        <f>IF(ISBLANK(tabItens[[#This Row],[CÓDIGO]]),"",tabItens[[#This Row],[PontoMês]] * (AZ$2+tabItens[[#This Row],[PontoQtM]]))</f>
        <v>44</v>
      </c>
      <c r="BA815" s="318">
        <f>tabItens[[#This Row],[PontoPed]] - tabItens[[#This Row],[Saldo]] + (1/10)</f>
        <v>-93.9</v>
      </c>
      <c r="BB815" s="318">
        <f xml:space="preserve"> tabItens[[#This Row],[PontoMês]] * BB$2 - tabItens[[#This Row],[QTDE ATUAL]] - (1/10)</f>
        <v>-127.1</v>
      </c>
      <c r="BC815" s="320">
        <f>IF( tabItens[[#This Row],[PontoPed]]&gt;0, IF(tabItens[[#This Row],[PontoPed]]&lt;1, 1, IF( tabItens[[#This Row],[Saldo]]&gt;tabItens[[#This Row],[PontoPed]], 0, (tabItens[[#This Row],[PontoPed]]-tabItens[[#This Row],[Saldo]])/tabItens[[#This Row],[PontoPed]] ) ), 0 )</f>
        <v>0</v>
      </c>
      <c r="BD815" s="321">
        <f>ROUNDDOWN(IF( OR( AND(tabItens[[#This Row],[PontoPed]]&lt;tabItens[[#This Row],[Saldo]],tabItens[[#This Row],[Saldo]]&gt;0), tabItens[[#This Row],[PontoPed]]=0), 99, IF(AND(tabItens[[#This Row],[Saldo]]=0,tabItens[[#This Row],[PontoPed]]&gt;0), 0, (1-tabItens[[#This Row],[PctAb]])*10 ) ),0)</f>
        <v>99</v>
      </c>
      <c r="BE815" s="322">
        <f>MAX(ROUNDDOWN( IF(tabItens[[#This Row],[Abaixo]] &gt; 0,   tabItens[[#This Row],[Abaixo]] + (tabItens[[#This Row],[PontoMês]] * IF( OR( ISBLANK(tabItens[[#This Row],[ATA Nº/ANO]]), tabItens[[#This Row],[ATA Nº/ANO]] = ""),BE$2,BE$1)),0),0),0)</f>
        <v>0</v>
      </c>
      <c r="BF81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23">
        <f>SUMIF(Consumo!$C$3:$C$869,tabItens[[#This Row],[CÓDIGO]],Consumo!$E$3:$E$869)</f>
        <v>0</v>
      </c>
      <c r="BH815" s="324">
        <f>IF(AND(tabItens[[#This Row],[Pend]] &gt; 0,tabItens[[#This Row],[Consumo]] &lt;&gt; 0), tabItens[[#This Row],[Pend]] / tabItens[[#This Row],[Consumo]], 0 )</f>
        <v>0</v>
      </c>
      <c r="BI815" s="323"/>
      <c r="BJ815" s="323"/>
      <c r="BK815" s="325" t="s">
        <v>2064</v>
      </c>
    </row>
    <row r="816" spans="1:63" hidden="1" x14ac:dyDescent="0.3">
      <c r="A816" s="286">
        <v>124963</v>
      </c>
      <c r="B816" s="287" t="s">
        <v>1756</v>
      </c>
      <c r="C816" s="288" t="s">
        <v>413</v>
      </c>
      <c r="D816" s="289">
        <v>14.36</v>
      </c>
      <c r="E816" s="290"/>
      <c r="F816" s="290"/>
      <c r="G816" s="290" t="s">
        <v>883</v>
      </c>
      <c r="H816" s="291">
        <v>116</v>
      </c>
      <c r="I816" s="292">
        <v>103003</v>
      </c>
      <c r="J816" s="293">
        <v>14.36</v>
      </c>
      <c r="K816" s="294">
        <v>235</v>
      </c>
      <c r="L816" s="295">
        <f>IF(tabItens[[#This Row],[Média]] &gt; 0, tabItens[[#This Row],[QTDE ATUAL]] / tabItens[[#This Row],[Média]],999.9)</f>
        <v>6.2421524663677133</v>
      </c>
      <c r="M816" s="296">
        <v>0</v>
      </c>
      <c r="N816" s="297">
        <f>tabItens[[#This Row],[VALOR UNIT.]] * tabItens[[#This Row],[LC]]</f>
        <v>0</v>
      </c>
      <c r="O816" s="298"/>
      <c r="P816" s="299"/>
      <c r="Q816" s="300"/>
      <c r="R816" s="297"/>
      <c r="S816" s="301"/>
      <c r="T816" s="302">
        <f>ROUNDDOWN(IFERROR(tabItens[[#This Row],[ATA DT.VALID.]] - $D$1,0) / 30,0)</f>
        <v>-1504</v>
      </c>
      <c r="U816" s="287" t="s">
        <v>1516</v>
      </c>
      <c r="V816" s="303">
        <v>1</v>
      </c>
      <c r="W816" s="304" t="s">
        <v>2057</v>
      </c>
      <c r="X816" s="305">
        <v>67</v>
      </c>
      <c r="Y816" s="306">
        <v>3</v>
      </c>
      <c r="Z816" s="307">
        <v>2490</v>
      </c>
      <c r="AA816" s="308">
        <v>2023</v>
      </c>
      <c r="AB816" s="309">
        <v>50</v>
      </c>
      <c r="AC816" s="309"/>
      <c r="AD816" s="308"/>
      <c r="AE816" s="309"/>
      <c r="AF816" s="302"/>
      <c r="AG816" s="310" t="s">
        <v>2050</v>
      </c>
      <c r="AH816" s="311"/>
      <c r="AI816" s="302">
        <v>86</v>
      </c>
      <c r="AJ816" s="311">
        <v>43640</v>
      </c>
      <c r="AK816" s="311">
        <v>41309</v>
      </c>
      <c r="AL816" s="311">
        <v>43612</v>
      </c>
      <c r="AM816" s="301"/>
      <c r="AN816" s="290"/>
      <c r="AO816" s="312" t="str">
        <f>_xlfn.IFNA(IF(VLOOKUP(tabItens[[#This Row],[CÓDIGO]],tabExcluirDoEstoque[#Data],1,FALSE),"sim",""),"")</f>
        <v/>
      </c>
      <c r="AP816" s="313" t="str">
        <f ca="1">IF(OR(ISBLANK(tabItens[[#This Row],[ATA DT.VALID.]]),tabItens[[#This Row],[ATA DT.VALID.]]="",tabItens[[#This Row],[ATA DT.VALID.]]=" "),"",IF(TYPE(tabItens[[#This Row],[ATA DT.VALID.]])=1,ROUNDUP((tabItens[[#This Row],[ATA DT.VALID.]]-TODAY())/7,0),""))</f>
        <v/>
      </c>
      <c r="AQ816" s="314"/>
      <c r="AR816" s="315" t="str">
        <f>IF(ISBLANK(tabItens[[#This Row],[CÓDIGO]]),"",IFERROR(VLOOKUP(tabItens[[#This Row],[CÓDIGO]],Consumo!$C$2:$AC$869,26,FALSE),0))</f>
        <v>07.2023</v>
      </c>
      <c r="AS816" s="316">
        <f>SUMIF(Consumo!$C$3:$C$869,tabItens[[#This Row],[CÓDIGO]],Consumo!$N$3:$N$869) + SUMIF(Consumo!$C$3:$C$869,tabItens[[#This Row],[CÓDIGO]],Consumo!$O$3:$O$869) + SUMIF(Consumo!$C$3:$C$869,tabItens[[#This Row],[CÓDIGO]],Consumo!$P$3:$P$869) + SUMIF(Consumo!$C$3:$C$869,tabItens[[#This Row],[CÓDIGO]],Consumo!$Q$3:$Q$869)</f>
        <v>52</v>
      </c>
      <c r="AT816" s="316">
        <f>SUMIF(Consumo!$C$3:$C$869,tabItens[[#This Row],[CÓDIGO]],Consumo!$Z$3:$Z$869)</f>
        <v>258</v>
      </c>
      <c r="AU816" s="317">
        <f>SUMIF(Consumo!$C$3:$C$869,tabItens[[#This Row],[CÓDIGO]],Consumo!$AA$3:$AA$869)</f>
        <v>126</v>
      </c>
      <c r="AV816" s="318">
        <f>SUMIF(Consumo!$C$3:$C$869,tabItens[[#This Row],[CÓDIGO]],Consumo!$Y$3:$Y$869)</f>
        <v>18.583333333333332</v>
      </c>
      <c r="AW816" s="291">
        <f>tabItens[[#This Row],[QTDE ATUAL]] + tabItens[[#This Row],[RC QTDE]] + tabItens[[#This Row],[AF SALDO]] + tabItens[[#This Row],[Recentes]]</f>
        <v>166</v>
      </c>
      <c r="AX816" s="319">
        <v>6</v>
      </c>
      <c r="AY816" s="319">
        <v>4</v>
      </c>
      <c r="AZ816" s="319">
        <f>IF(ISBLANK(tabItens[[#This Row],[CÓDIGO]]),"",tabItens[[#This Row],[PontoMês]] * (AZ$2+tabItens[[#This Row],[PontoQtM]]))</f>
        <v>24</v>
      </c>
      <c r="BA816" s="318">
        <f>tabItens[[#This Row],[PontoPed]] - tabItens[[#This Row],[Saldo]] + (1/10)</f>
        <v>-141.9</v>
      </c>
      <c r="BB816" s="318">
        <f xml:space="preserve"> tabItens[[#This Row],[PontoMês]] * BB$2 - tabItens[[#This Row],[QTDE ATUAL]] - (1/10)</f>
        <v>-110.1</v>
      </c>
      <c r="BC816" s="320">
        <f>IF( tabItens[[#This Row],[PontoPed]]&gt;0, IF(tabItens[[#This Row],[PontoPed]]&lt;1, 1, IF( tabItens[[#This Row],[Saldo]]&gt;tabItens[[#This Row],[PontoPed]], 0, (tabItens[[#This Row],[PontoPed]]-tabItens[[#This Row],[Saldo]])/tabItens[[#This Row],[PontoPed]] ) ), 0 )</f>
        <v>0</v>
      </c>
      <c r="BD816" s="321">
        <f>ROUNDDOWN(IF( OR( AND(tabItens[[#This Row],[PontoPed]]&lt;tabItens[[#This Row],[Saldo]],tabItens[[#This Row],[Saldo]]&gt;0), tabItens[[#This Row],[PontoPed]]=0), 99, IF(AND(tabItens[[#This Row],[Saldo]]=0,tabItens[[#This Row],[PontoPed]]&gt;0), 0, (1-tabItens[[#This Row],[PctAb]])*10 ) ),0)</f>
        <v>99</v>
      </c>
      <c r="BE816" s="322">
        <f>MAX(ROUNDDOWN( IF(tabItens[[#This Row],[Abaixo]] &gt; 0,   tabItens[[#This Row],[Abaixo]] + (tabItens[[#This Row],[PontoMês]] * IF( OR( ISBLANK(tabItens[[#This Row],[ATA Nº/ANO]]), tabItens[[#This Row],[ATA Nº/ANO]] = ""),BE$2,BE$1)),0),0),0)</f>
        <v>0</v>
      </c>
      <c r="BF81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23">
        <f>SUMIF(Consumo!$C$3:$C$869,tabItens[[#This Row],[CÓDIGO]],Consumo!$E$3:$E$869)</f>
        <v>0</v>
      </c>
      <c r="BH816" s="324">
        <f>IF(AND(tabItens[[#This Row],[Pend]] &gt; 0,tabItens[[#This Row],[Consumo]] &lt;&gt; 0), tabItens[[#This Row],[Pend]] / tabItens[[#This Row],[Consumo]], 0 )</f>
        <v>0</v>
      </c>
      <c r="BI816" s="323"/>
      <c r="BJ816" s="323"/>
      <c r="BK816" s="325" t="s">
        <v>2064</v>
      </c>
    </row>
    <row r="817" spans="1:63" hidden="1" x14ac:dyDescent="0.3">
      <c r="A817" s="286">
        <v>125201</v>
      </c>
      <c r="B817" s="287" t="s">
        <v>1758</v>
      </c>
      <c r="C817" s="288" t="s">
        <v>413</v>
      </c>
      <c r="D817" s="289">
        <v>23.94</v>
      </c>
      <c r="E817" s="290"/>
      <c r="F817" s="290"/>
      <c r="G817" s="290" t="s">
        <v>883</v>
      </c>
      <c r="H817" s="291">
        <v>668</v>
      </c>
      <c r="I817" s="292">
        <v>103003</v>
      </c>
      <c r="J817" s="293">
        <v>23.94</v>
      </c>
      <c r="K817" s="294">
        <v>100</v>
      </c>
      <c r="L817" s="295">
        <f>IF(tabItens[[#This Row],[Média]] &gt; 0, tabItens[[#This Row],[QTDE ATUAL]] / tabItens[[#This Row],[Média]],999.9)</f>
        <v>77.07692307692308</v>
      </c>
      <c r="M817" s="296">
        <v>0</v>
      </c>
      <c r="N817" s="297">
        <f>tabItens[[#This Row],[VALOR UNIT.]] * tabItens[[#This Row],[LC]]</f>
        <v>0</v>
      </c>
      <c r="O817" s="298"/>
      <c r="P817" s="299"/>
      <c r="Q817" s="300"/>
      <c r="R817" s="297"/>
      <c r="S817" s="301"/>
      <c r="T817" s="302">
        <f>ROUNDDOWN(IFERROR(tabItens[[#This Row],[ATA DT.VALID.]] - $D$1,0) / 30,0)</f>
        <v>-1504</v>
      </c>
      <c r="U817" s="287" t="s">
        <v>1516</v>
      </c>
      <c r="V817" s="303">
        <v>1</v>
      </c>
      <c r="W817" s="304" t="s">
        <v>2057</v>
      </c>
      <c r="X817" s="305">
        <v>67</v>
      </c>
      <c r="Y817" s="306">
        <v>3</v>
      </c>
      <c r="Z817" s="307"/>
      <c r="AA817" s="308"/>
      <c r="AB817" s="309"/>
      <c r="AC817" s="309"/>
      <c r="AD817" s="308"/>
      <c r="AE817" s="309"/>
      <c r="AF817" s="302"/>
      <c r="AG817" s="310" t="s">
        <v>2050</v>
      </c>
      <c r="AH817" s="311"/>
      <c r="AI817" s="302">
        <v>38</v>
      </c>
      <c r="AJ817" s="311">
        <v>43640</v>
      </c>
      <c r="AK817" s="311">
        <v>41348</v>
      </c>
      <c r="AL817" s="311">
        <v>43612</v>
      </c>
      <c r="AM817" s="301"/>
      <c r="AN817" s="290"/>
      <c r="AO817" s="312" t="str">
        <f>_xlfn.IFNA(IF(VLOOKUP(tabItens[[#This Row],[CÓDIGO]],tabExcluirDoEstoque[#Data],1,FALSE),"sim",""),"")</f>
        <v/>
      </c>
      <c r="AP817" s="313" t="str">
        <f ca="1">IF(OR(ISBLANK(tabItens[[#This Row],[ATA DT.VALID.]]),tabItens[[#This Row],[ATA DT.VALID.]]="",tabItens[[#This Row],[ATA DT.VALID.]]=" "),"",IF(TYPE(tabItens[[#This Row],[ATA DT.VALID.]])=1,ROUNDUP((tabItens[[#This Row],[ATA DT.VALID.]]-TODAY())/7,0),""))</f>
        <v/>
      </c>
      <c r="AQ817" s="314"/>
      <c r="AR817" s="315" t="str">
        <f>IF(ISBLANK(tabItens[[#This Row],[CÓDIGO]]),"",IFERROR(VLOOKUP(tabItens[[#This Row],[CÓDIGO]],Consumo!$C$2:$AC$869,26,FALSE),0))</f>
        <v>07.2023</v>
      </c>
      <c r="AS817" s="316">
        <f>SUMIF(Consumo!$C$3:$C$869,tabItens[[#This Row],[CÓDIGO]],Consumo!$N$3:$N$869) + SUMIF(Consumo!$C$3:$C$869,tabItens[[#This Row],[CÓDIGO]],Consumo!$O$3:$O$869) + SUMIF(Consumo!$C$3:$C$869,tabItens[[#This Row],[CÓDIGO]],Consumo!$P$3:$P$869) + SUMIF(Consumo!$C$3:$C$869,tabItens[[#This Row],[CÓDIGO]],Consumo!$Q$3:$Q$869)</f>
        <v>55</v>
      </c>
      <c r="AT817" s="316">
        <f>SUMIF(Consumo!$C$3:$C$869,tabItens[[#This Row],[CÓDIGO]],Consumo!$Z$3:$Z$869)</f>
        <v>114</v>
      </c>
      <c r="AU817" s="317">
        <f>SUMIF(Consumo!$C$3:$C$869,tabItens[[#This Row],[CÓDIGO]],Consumo!$AA$3:$AA$869)</f>
        <v>44</v>
      </c>
      <c r="AV817" s="318">
        <f>SUMIF(Consumo!$C$3:$C$869,tabItens[[#This Row],[CÓDIGO]],Consumo!$Y$3:$Y$869)</f>
        <v>8.6666666666666661</v>
      </c>
      <c r="AW817" s="291">
        <f>tabItens[[#This Row],[QTDE ATUAL]] + tabItens[[#This Row],[RC QTDE]] + tabItens[[#This Row],[AF SALDO]] + tabItens[[#This Row],[Recentes]]</f>
        <v>668</v>
      </c>
      <c r="AX817" s="319">
        <v>6</v>
      </c>
      <c r="AY817" s="319">
        <v>4</v>
      </c>
      <c r="AZ817" s="319">
        <f>IF(ISBLANK(tabItens[[#This Row],[CÓDIGO]]),"",tabItens[[#This Row],[PontoMês]] * (AZ$2+tabItens[[#This Row],[PontoQtM]]))</f>
        <v>24</v>
      </c>
      <c r="BA817" s="318">
        <f>tabItens[[#This Row],[PontoPed]] - tabItens[[#This Row],[Saldo]] + (1/10)</f>
        <v>-643.9</v>
      </c>
      <c r="BB817" s="318">
        <f xml:space="preserve"> tabItens[[#This Row],[PontoMês]] * BB$2 - tabItens[[#This Row],[QTDE ATUAL]] - (1/10)</f>
        <v>-662.1</v>
      </c>
      <c r="BC817" s="320">
        <f>IF( tabItens[[#This Row],[PontoPed]]&gt;0, IF(tabItens[[#This Row],[PontoPed]]&lt;1, 1, IF( tabItens[[#This Row],[Saldo]]&gt;tabItens[[#This Row],[PontoPed]], 0, (tabItens[[#This Row],[PontoPed]]-tabItens[[#This Row],[Saldo]])/tabItens[[#This Row],[PontoPed]] ) ), 0 )</f>
        <v>0</v>
      </c>
      <c r="BD817" s="321">
        <f>ROUNDDOWN(IF( OR( AND(tabItens[[#This Row],[PontoPed]]&lt;tabItens[[#This Row],[Saldo]],tabItens[[#This Row],[Saldo]]&gt;0), tabItens[[#This Row],[PontoPed]]=0), 99, IF(AND(tabItens[[#This Row],[Saldo]]=0,tabItens[[#This Row],[PontoPed]]&gt;0), 0, (1-tabItens[[#This Row],[PctAb]])*10 ) ),0)</f>
        <v>99</v>
      </c>
      <c r="BE817" s="322">
        <f>MAX(ROUNDDOWN( IF(tabItens[[#This Row],[Abaixo]] &gt; 0,   tabItens[[#This Row],[Abaixo]] + (tabItens[[#This Row],[PontoMês]] * IF( OR( ISBLANK(tabItens[[#This Row],[ATA Nº/ANO]]), tabItens[[#This Row],[ATA Nº/ANO]] = ""),BE$2,BE$1)),0),0),0)</f>
        <v>0</v>
      </c>
      <c r="BF81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23">
        <f>SUMIF(Consumo!$C$3:$C$869,tabItens[[#This Row],[CÓDIGO]],Consumo!$E$3:$E$869)</f>
        <v>0</v>
      </c>
      <c r="BH817" s="324">
        <f>IF(AND(tabItens[[#This Row],[Pend]] &gt; 0,tabItens[[#This Row],[Consumo]] &lt;&gt; 0), tabItens[[#This Row],[Pend]] / tabItens[[#This Row],[Consumo]], 0 )</f>
        <v>0</v>
      </c>
      <c r="BI817" s="323"/>
      <c r="BJ817" s="323"/>
      <c r="BK817" s="325" t="s">
        <v>2064</v>
      </c>
    </row>
    <row r="818" spans="1:63" hidden="1" x14ac:dyDescent="0.3">
      <c r="A818" s="286">
        <v>134561</v>
      </c>
      <c r="B818" s="287" t="s">
        <v>1882</v>
      </c>
      <c r="C818" s="288" t="s">
        <v>413</v>
      </c>
      <c r="D818" s="289">
        <v>35</v>
      </c>
      <c r="E818" s="290"/>
      <c r="F818" s="290"/>
      <c r="G818" s="290" t="s">
        <v>883</v>
      </c>
      <c r="H818" s="291">
        <v>390</v>
      </c>
      <c r="I818" s="292">
        <v>103003</v>
      </c>
      <c r="J818" s="293">
        <v>35</v>
      </c>
      <c r="K818" s="294">
        <v>47</v>
      </c>
      <c r="L818" s="295">
        <f>IF(tabItens[[#This Row],[Média]] &gt; 0, tabItens[[#This Row],[QTDE ATUAL]] / tabItens[[#This Row],[Média]],999.9)</f>
        <v>108.83720930232558</v>
      </c>
      <c r="M818" s="296">
        <v>0</v>
      </c>
      <c r="N818" s="297">
        <f>tabItens[[#This Row],[VALOR UNIT.]] * tabItens[[#This Row],[LC]]</f>
        <v>0</v>
      </c>
      <c r="O818" s="298"/>
      <c r="P818" s="299"/>
      <c r="Q818" s="300"/>
      <c r="R818" s="297"/>
      <c r="S818" s="301"/>
      <c r="T818" s="302">
        <f>ROUNDDOWN(IFERROR(tabItens[[#This Row],[ATA DT.VALID.]] - $D$1,0) / 30,0)</f>
        <v>-1504</v>
      </c>
      <c r="U818" s="287" t="s">
        <v>1516</v>
      </c>
      <c r="V818" s="303">
        <v>1</v>
      </c>
      <c r="W818" s="304" t="s">
        <v>2057</v>
      </c>
      <c r="X818" s="305">
        <v>67</v>
      </c>
      <c r="Y818" s="306">
        <v>3</v>
      </c>
      <c r="Z818" s="307"/>
      <c r="AA818" s="308"/>
      <c r="AB818" s="309"/>
      <c r="AC818" s="309"/>
      <c r="AD818" s="308"/>
      <c r="AE818" s="309"/>
      <c r="AF818" s="302"/>
      <c r="AG818" s="310" t="s">
        <v>2050</v>
      </c>
      <c r="AH818" s="311"/>
      <c r="AI818" s="302">
        <v>16</v>
      </c>
      <c r="AJ818" s="311">
        <v>43853</v>
      </c>
      <c r="AK818" s="311">
        <v>43174</v>
      </c>
      <c r="AL818" s="311">
        <v>44335</v>
      </c>
      <c r="AM818" s="301"/>
      <c r="AN818" s="290"/>
      <c r="AO818" s="312" t="str">
        <f>_xlfn.IFNA(IF(VLOOKUP(tabItens[[#This Row],[CÓDIGO]],tabExcluirDoEstoque[#Data],1,FALSE),"sim",""),"")</f>
        <v/>
      </c>
      <c r="AP818" s="313" t="str">
        <f ca="1">IF(OR(ISBLANK(tabItens[[#This Row],[ATA DT.VALID.]]),tabItens[[#This Row],[ATA DT.VALID.]]="",tabItens[[#This Row],[ATA DT.VALID.]]=" "),"",IF(TYPE(tabItens[[#This Row],[ATA DT.VALID.]])=1,ROUNDUP((tabItens[[#This Row],[ATA DT.VALID.]]-TODAY())/7,0),""))</f>
        <v/>
      </c>
      <c r="AQ818" s="314"/>
      <c r="AR818" s="315" t="str">
        <f>IF(ISBLANK(tabItens[[#This Row],[CÓDIGO]]),"",IFERROR(VLOOKUP(tabItens[[#This Row],[CÓDIGO]],Consumo!$C$2:$AC$869,26,FALSE),0))</f>
        <v>06.2023</v>
      </c>
      <c r="AS818" s="316">
        <f>SUMIF(Consumo!$C$3:$C$869,tabItens[[#This Row],[CÓDIGO]],Consumo!$N$3:$N$869) + SUMIF(Consumo!$C$3:$C$869,tabItens[[#This Row],[CÓDIGO]],Consumo!$O$3:$O$869) + SUMIF(Consumo!$C$3:$C$869,tabItens[[#This Row],[CÓDIGO]],Consumo!$P$3:$P$869) + SUMIF(Consumo!$C$3:$C$869,tabItens[[#This Row],[CÓDIGO]],Consumo!$Q$3:$Q$869)</f>
        <v>37</v>
      </c>
      <c r="AT818" s="316">
        <f>SUMIF(Consumo!$C$3:$C$869,tabItens[[#This Row],[CÓDIGO]],Consumo!$Z$3:$Z$869)</f>
        <v>47</v>
      </c>
      <c r="AU818" s="317">
        <f>SUMIF(Consumo!$C$3:$C$869,tabItens[[#This Row],[CÓDIGO]],Consumo!$AA$3:$AA$869)</f>
        <v>22</v>
      </c>
      <c r="AV818" s="318">
        <f>SUMIF(Consumo!$C$3:$C$869,tabItens[[#This Row],[CÓDIGO]],Consumo!$Y$3:$Y$869)</f>
        <v>3.5833333333333335</v>
      </c>
      <c r="AW818" s="291">
        <f>tabItens[[#This Row],[QTDE ATUAL]] + tabItens[[#This Row],[RC QTDE]] + tabItens[[#This Row],[AF SALDO]] + tabItens[[#This Row],[Recentes]]</f>
        <v>390</v>
      </c>
      <c r="AX818" s="319">
        <v>2</v>
      </c>
      <c r="AY818" s="319">
        <v>4</v>
      </c>
      <c r="AZ818" s="319">
        <f>IF(ISBLANK(tabItens[[#This Row],[CÓDIGO]]),"",tabItens[[#This Row],[PontoMês]] * (AZ$2+tabItens[[#This Row],[PontoQtM]]))</f>
        <v>8</v>
      </c>
      <c r="BA818" s="318">
        <f>tabItens[[#This Row],[PontoPed]] - tabItens[[#This Row],[Saldo]] + (1/10)</f>
        <v>-381.9</v>
      </c>
      <c r="BB818" s="318">
        <f xml:space="preserve"> tabItens[[#This Row],[PontoMês]] * BB$2 - tabItens[[#This Row],[QTDE ATUAL]] - (1/10)</f>
        <v>-388.1</v>
      </c>
      <c r="BC818" s="320">
        <f>IF( tabItens[[#This Row],[PontoPed]]&gt;0, IF(tabItens[[#This Row],[PontoPed]]&lt;1, 1, IF( tabItens[[#This Row],[Saldo]]&gt;tabItens[[#This Row],[PontoPed]], 0, (tabItens[[#This Row],[PontoPed]]-tabItens[[#This Row],[Saldo]])/tabItens[[#This Row],[PontoPed]] ) ), 0 )</f>
        <v>0</v>
      </c>
      <c r="BD818" s="321">
        <f>ROUNDDOWN(IF( OR( AND(tabItens[[#This Row],[PontoPed]]&lt;tabItens[[#This Row],[Saldo]],tabItens[[#This Row],[Saldo]]&gt;0), tabItens[[#This Row],[PontoPed]]=0), 99, IF(AND(tabItens[[#This Row],[Saldo]]=0,tabItens[[#This Row],[PontoPed]]&gt;0), 0, (1-tabItens[[#This Row],[PctAb]])*10 ) ),0)</f>
        <v>99</v>
      </c>
      <c r="BE818" s="322">
        <f>MAX(ROUNDDOWN( IF(tabItens[[#This Row],[Abaixo]] &gt; 0,   tabItens[[#This Row],[Abaixo]] + (tabItens[[#This Row],[PontoMês]] * IF( OR( ISBLANK(tabItens[[#This Row],[ATA Nº/ANO]]), tabItens[[#This Row],[ATA Nº/ANO]] = ""),BE$2,BE$1)),0),0),0)</f>
        <v>0</v>
      </c>
      <c r="BF81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23">
        <f>SUMIF(Consumo!$C$3:$C$869,tabItens[[#This Row],[CÓDIGO]],Consumo!$E$3:$E$869)</f>
        <v>0</v>
      </c>
      <c r="BH818" s="324">
        <f>IF(AND(tabItens[[#This Row],[Pend]] &gt; 0,tabItens[[#This Row],[Consumo]] &lt;&gt; 0), tabItens[[#This Row],[Pend]] / tabItens[[#This Row],[Consumo]], 0 )</f>
        <v>0</v>
      </c>
      <c r="BI818" s="323"/>
      <c r="BJ818" s="323"/>
      <c r="BK818" s="325" t="s">
        <v>2064</v>
      </c>
    </row>
    <row r="819" spans="1:63" hidden="1" x14ac:dyDescent="0.3">
      <c r="A819" s="286">
        <v>134562</v>
      </c>
      <c r="B819" s="287" t="s">
        <v>1883</v>
      </c>
      <c r="C819" s="288" t="s">
        <v>413</v>
      </c>
      <c r="D819" s="289">
        <v>48.7</v>
      </c>
      <c r="E819" s="290"/>
      <c r="F819" s="290"/>
      <c r="G819" s="290" t="s">
        <v>883</v>
      </c>
      <c r="H819" s="291">
        <v>396</v>
      </c>
      <c r="I819" s="292">
        <v>103003</v>
      </c>
      <c r="J819" s="293">
        <v>48.7</v>
      </c>
      <c r="K819" s="294">
        <v>58</v>
      </c>
      <c r="L819" s="295">
        <f>IF(tabItens[[#This Row],[Média]] &gt; 0, tabItens[[#This Row],[QTDE ATUAL]] / tabItens[[#This Row],[Média]],999.9)</f>
        <v>115.90243902439025</v>
      </c>
      <c r="M819" s="296">
        <v>0</v>
      </c>
      <c r="N819" s="297">
        <f>tabItens[[#This Row],[VALOR UNIT.]] * tabItens[[#This Row],[LC]]</f>
        <v>0</v>
      </c>
      <c r="O819" s="298"/>
      <c r="P819" s="299"/>
      <c r="Q819" s="300"/>
      <c r="R819" s="297"/>
      <c r="S819" s="301"/>
      <c r="T819" s="302">
        <f>ROUNDDOWN(IFERROR(tabItens[[#This Row],[ATA DT.VALID.]] - $D$1,0) / 30,0)</f>
        <v>-1504</v>
      </c>
      <c r="U819" s="287" t="s">
        <v>1516</v>
      </c>
      <c r="V819" s="303">
        <v>1</v>
      </c>
      <c r="W819" s="304" t="s">
        <v>2057</v>
      </c>
      <c r="X819" s="305">
        <v>67</v>
      </c>
      <c r="Y819" s="306">
        <v>3</v>
      </c>
      <c r="Z819" s="307"/>
      <c r="AA819" s="308"/>
      <c r="AB819" s="309"/>
      <c r="AC819" s="309"/>
      <c r="AD819" s="308"/>
      <c r="AE819" s="309"/>
      <c r="AF819" s="302"/>
      <c r="AG819" s="310" t="s">
        <v>2050</v>
      </c>
      <c r="AH819" s="311"/>
      <c r="AI819" s="302">
        <v>20</v>
      </c>
      <c r="AJ819" s="311">
        <v>43853</v>
      </c>
      <c r="AK819" s="311">
        <v>43174</v>
      </c>
      <c r="AL819" s="311">
        <v>44335</v>
      </c>
      <c r="AM819" s="301"/>
      <c r="AN819" s="290"/>
      <c r="AO819" s="312" t="str">
        <f>_xlfn.IFNA(IF(VLOOKUP(tabItens[[#This Row],[CÓDIGO]],tabExcluirDoEstoque[#Data],1,FALSE),"sim",""),"")</f>
        <v/>
      </c>
      <c r="AP819" s="313" t="str">
        <f ca="1">IF(OR(ISBLANK(tabItens[[#This Row],[ATA DT.VALID.]]),tabItens[[#This Row],[ATA DT.VALID.]]="",tabItens[[#This Row],[ATA DT.VALID.]]=" "),"",IF(TYPE(tabItens[[#This Row],[ATA DT.VALID.]])=1,ROUNDUP((tabItens[[#This Row],[ATA DT.VALID.]]-TODAY())/7,0),""))</f>
        <v/>
      </c>
      <c r="AQ819" s="314"/>
      <c r="AR819" s="315" t="str">
        <f>IF(ISBLANK(tabItens[[#This Row],[CÓDIGO]]),"",IFERROR(VLOOKUP(tabItens[[#This Row],[CÓDIGO]],Consumo!$C$2:$AC$869,26,FALSE),0))</f>
        <v>04.2023</v>
      </c>
      <c r="AS819" s="316">
        <f>SUMIF(Consumo!$C$3:$C$869,tabItens[[#This Row],[CÓDIGO]],Consumo!$N$3:$N$869) + SUMIF(Consumo!$C$3:$C$869,tabItens[[#This Row],[CÓDIGO]],Consumo!$O$3:$O$869) + SUMIF(Consumo!$C$3:$C$869,tabItens[[#This Row],[CÓDIGO]],Consumo!$P$3:$P$869) + SUMIF(Consumo!$C$3:$C$869,tabItens[[#This Row],[CÓDIGO]],Consumo!$Q$3:$Q$869)</f>
        <v>50</v>
      </c>
      <c r="AT819" s="316">
        <f>SUMIF(Consumo!$C$3:$C$869,tabItens[[#This Row],[CÓDIGO]],Consumo!$Z$3:$Z$869)</f>
        <v>58</v>
      </c>
      <c r="AU819" s="317">
        <f>SUMIF(Consumo!$C$3:$C$869,tabItens[[#This Row],[CÓDIGO]],Consumo!$AA$3:$AA$869)</f>
        <v>50</v>
      </c>
      <c r="AV819" s="318">
        <f>SUMIF(Consumo!$C$3:$C$869,tabItens[[#This Row],[CÓDIGO]],Consumo!$Y$3:$Y$869)</f>
        <v>3.4166666666666665</v>
      </c>
      <c r="AW819" s="291">
        <f>tabItens[[#This Row],[QTDE ATUAL]] + tabItens[[#This Row],[RC QTDE]] + tabItens[[#This Row],[AF SALDO]] + tabItens[[#This Row],[Recentes]]</f>
        <v>396</v>
      </c>
      <c r="AX819" s="319">
        <v>2</v>
      </c>
      <c r="AY819" s="319">
        <v>4</v>
      </c>
      <c r="AZ819" s="319">
        <f>IF(ISBLANK(tabItens[[#This Row],[CÓDIGO]]),"",tabItens[[#This Row],[PontoMês]] * (AZ$2+tabItens[[#This Row],[PontoQtM]]))</f>
        <v>8</v>
      </c>
      <c r="BA819" s="318">
        <f>tabItens[[#This Row],[PontoPed]] - tabItens[[#This Row],[Saldo]] + (1/10)</f>
        <v>-387.9</v>
      </c>
      <c r="BB819" s="318">
        <f xml:space="preserve"> tabItens[[#This Row],[PontoMês]] * BB$2 - tabItens[[#This Row],[QTDE ATUAL]] - (1/10)</f>
        <v>-394.1</v>
      </c>
      <c r="BC819" s="320">
        <f>IF( tabItens[[#This Row],[PontoPed]]&gt;0, IF(tabItens[[#This Row],[PontoPed]]&lt;1, 1, IF( tabItens[[#This Row],[Saldo]]&gt;tabItens[[#This Row],[PontoPed]], 0, (tabItens[[#This Row],[PontoPed]]-tabItens[[#This Row],[Saldo]])/tabItens[[#This Row],[PontoPed]] ) ), 0 )</f>
        <v>0</v>
      </c>
      <c r="BD819" s="321">
        <f>ROUNDDOWN(IF( OR( AND(tabItens[[#This Row],[PontoPed]]&lt;tabItens[[#This Row],[Saldo]],tabItens[[#This Row],[Saldo]]&gt;0), tabItens[[#This Row],[PontoPed]]=0), 99, IF(AND(tabItens[[#This Row],[Saldo]]=0,tabItens[[#This Row],[PontoPed]]&gt;0), 0, (1-tabItens[[#This Row],[PctAb]])*10 ) ),0)</f>
        <v>99</v>
      </c>
      <c r="BE819" s="322">
        <f>MAX(ROUNDDOWN( IF(tabItens[[#This Row],[Abaixo]] &gt; 0,   tabItens[[#This Row],[Abaixo]] + (tabItens[[#This Row],[PontoMês]] * IF( OR( ISBLANK(tabItens[[#This Row],[ATA Nº/ANO]]), tabItens[[#This Row],[ATA Nº/ANO]] = ""),BE$2,BE$1)),0),0),0)</f>
        <v>0</v>
      </c>
      <c r="BF81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23">
        <f>SUMIF(Consumo!$C$3:$C$869,tabItens[[#This Row],[CÓDIGO]],Consumo!$E$3:$E$869)</f>
        <v>0</v>
      </c>
      <c r="BH819" s="324">
        <f>IF(AND(tabItens[[#This Row],[Pend]] &gt; 0,tabItens[[#This Row],[Consumo]] &lt;&gt; 0), tabItens[[#This Row],[Pend]] / tabItens[[#This Row],[Consumo]], 0 )</f>
        <v>0</v>
      </c>
      <c r="BI819" s="323"/>
      <c r="BJ819" s="323"/>
      <c r="BK819" s="325" t="s">
        <v>2064</v>
      </c>
    </row>
    <row r="820" spans="1:63" hidden="1" x14ac:dyDescent="0.3">
      <c r="A820" s="286">
        <v>134563</v>
      </c>
      <c r="B820" s="287" t="s">
        <v>1884</v>
      </c>
      <c r="C820" s="288" t="s">
        <v>413</v>
      </c>
      <c r="D820" s="289">
        <v>26.1</v>
      </c>
      <c r="E820" s="290"/>
      <c r="F820" s="290"/>
      <c r="G820" s="290" t="s">
        <v>883</v>
      </c>
      <c r="H820" s="291">
        <v>64</v>
      </c>
      <c r="I820" s="292">
        <v>103003</v>
      </c>
      <c r="J820" s="293">
        <v>26.1</v>
      </c>
      <c r="K820" s="294">
        <v>130</v>
      </c>
      <c r="L820" s="295">
        <f>IF(tabItens[[#This Row],[Média]] &gt; 0, tabItens[[#This Row],[QTDE ATUAL]] / tabItens[[#This Row],[Média]],999.9)</f>
        <v>5.8625954198473282</v>
      </c>
      <c r="M820" s="296">
        <v>0</v>
      </c>
      <c r="N820" s="297">
        <f>tabItens[[#This Row],[VALOR UNIT.]] * tabItens[[#This Row],[LC]]</f>
        <v>0</v>
      </c>
      <c r="O820" s="298"/>
      <c r="P820" s="299"/>
      <c r="Q820" s="300"/>
      <c r="R820" s="297"/>
      <c r="S820" s="301"/>
      <c r="T820" s="302">
        <f>ROUNDDOWN(IFERROR(tabItens[[#This Row],[ATA DT.VALID.]] - $D$1,0) / 30,0)</f>
        <v>-1504</v>
      </c>
      <c r="U820" s="287" t="s">
        <v>1516</v>
      </c>
      <c r="V820" s="303">
        <v>1</v>
      </c>
      <c r="W820" s="304" t="s">
        <v>2057</v>
      </c>
      <c r="X820" s="305">
        <v>67</v>
      </c>
      <c r="Y820" s="306">
        <v>3</v>
      </c>
      <c r="Z820" s="307">
        <v>2495</v>
      </c>
      <c r="AA820" s="308">
        <v>2023</v>
      </c>
      <c r="AB820" s="309">
        <v>300</v>
      </c>
      <c r="AC820" s="309"/>
      <c r="AD820" s="308"/>
      <c r="AE820" s="309"/>
      <c r="AF820" s="302"/>
      <c r="AG820" s="310" t="s">
        <v>2050</v>
      </c>
      <c r="AH820" s="311"/>
      <c r="AI820" s="302">
        <v>48</v>
      </c>
      <c r="AJ820" s="311">
        <v>43853</v>
      </c>
      <c r="AK820" s="311">
        <v>43174</v>
      </c>
      <c r="AL820" s="311">
        <v>44291</v>
      </c>
      <c r="AM820" s="301"/>
      <c r="AN820" s="290"/>
      <c r="AO820" s="312" t="str">
        <f>_xlfn.IFNA(IF(VLOOKUP(tabItens[[#This Row],[CÓDIGO]],tabExcluirDoEstoque[#Data],1,FALSE),"sim",""),"")</f>
        <v/>
      </c>
      <c r="AP820" s="313" t="str">
        <f ca="1">IF(OR(ISBLANK(tabItens[[#This Row],[ATA DT.VALID.]]),tabItens[[#This Row],[ATA DT.VALID.]]="",tabItens[[#This Row],[ATA DT.VALID.]]=" "),"",IF(TYPE(tabItens[[#This Row],[ATA DT.VALID.]])=1,ROUNDUP((tabItens[[#This Row],[ATA DT.VALID.]]-TODAY())/7,0),""))</f>
        <v/>
      </c>
      <c r="AQ820" s="314"/>
      <c r="AR820" s="315" t="str">
        <f>IF(ISBLANK(tabItens[[#This Row],[CÓDIGO]]),"",IFERROR(VLOOKUP(tabItens[[#This Row],[CÓDIGO]],Consumo!$C$2:$AC$869,26,FALSE),0))</f>
        <v>05.2023</v>
      </c>
      <c r="AS820" s="316">
        <f>SUMIF(Consumo!$C$3:$C$869,tabItens[[#This Row],[CÓDIGO]],Consumo!$N$3:$N$869) + SUMIF(Consumo!$C$3:$C$869,tabItens[[#This Row],[CÓDIGO]],Consumo!$O$3:$O$869) + SUMIF(Consumo!$C$3:$C$869,tabItens[[#This Row],[CÓDIGO]],Consumo!$P$3:$P$869) + SUMIF(Consumo!$C$3:$C$869,tabItens[[#This Row],[CÓDIGO]],Consumo!$Q$3:$Q$869)</f>
        <v>61</v>
      </c>
      <c r="AT820" s="316">
        <f>SUMIF(Consumo!$C$3:$C$869,tabItens[[#This Row],[CÓDIGO]],Consumo!$Z$3:$Z$869)</f>
        <v>146</v>
      </c>
      <c r="AU820" s="317">
        <f>SUMIF(Consumo!$C$3:$C$869,tabItens[[#This Row],[CÓDIGO]],Consumo!$AA$3:$AA$869)</f>
        <v>60</v>
      </c>
      <c r="AV820" s="318">
        <f>SUMIF(Consumo!$C$3:$C$869,tabItens[[#This Row],[CÓDIGO]],Consumo!$Y$3:$Y$869)</f>
        <v>10.916666666666666</v>
      </c>
      <c r="AW820" s="291">
        <f>tabItens[[#This Row],[QTDE ATUAL]] + tabItens[[#This Row],[RC QTDE]] + tabItens[[#This Row],[AF SALDO]] + tabItens[[#This Row],[Recentes]]</f>
        <v>364</v>
      </c>
      <c r="AX820" s="319">
        <v>5</v>
      </c>
      <c r="AY820" s="319">
        <v>4</v>
      </c>
      <c r="AZ820" s="319">
        <f>IF(ISBLANK(tabItens[[#This Row],[CÓDIGO]]),"",tabItens[[#This Row],[PontoMês]] * (AZ$2+tabItens[[#This Row],[PontoQtM]]))</f>
        <v>20</v>
      </c>
      <c r="BA820" s="318">
        <f>tabItens[[#This Row],[PontoPed]] - tabItens[[#This Row],[Saldo]] + (1/10)</f>
        <v>-343.9</v>
      </c>
      <c r="BB820" s="318">
        <f xml:space="preserve"> tabItens[[#This Row],[PontoMês]] * BB$2 - tabItens[[#This Row],[QTDE ATUAL]] - (1/10)</f>
        <v>-59.1</v>
      </c>
      <c r="BC820" s="320">
        <f>IF( tabItens[[#This Row],[PontoPed]]&gt;0, IF(tabItens[[#This Row],[PontoPed]]&lt;1, 1, IF( tabItens[[#This Row],[Saldo]]&gt;tabItens[[#This Row],[PontoPed]], 0, (tabItens[[#This Row],[PontoPed]]-tabItens[[#This Row],[Saldo]])/tabItens[[#This Row],[PontoPed]] ) ), 0 )</f>
        <v>0</v>
      </c>
      <c r="BD820" s="321">
        <f>ROUNDDOWN(IF( OR( AND(tabItens[[#This Row],[PontoPed]]&lt;tabItens[[#This Row],[Saldo]],tabItens[[#This Row],[Saldo]]&gt;0), tabItens[[#This Row],[PontoPed]]=0), 99, IF(AND(tabItens[[#This Row],[Saldo]]=0,tabItens[[#This Row],[PontoPed]]&gt;0), 0, (1-tabItens[[#This Row],[PctAb]])*10 ) ),0)</f>
        <v>99</v>
      </c>
      <c r="BE820" s="322">
        <f>MAX(ROUNDDOWN( IF(tabItens[[#This Row],[Abaixo]] &gt; 0,   tabItens[[#This Row],[Abaixo]] + (tabItens[[#This Row],[PontoMês]] * IF( OR( ISBLANK(tabItens[[#This Row],[ATA Nº/ANO]]), tabItens[[#This Row],[ATA Nº/ANO]] = ""),BE$2,BE$1)),0),0),0)</f>
        <v>0</v>
      </c>
      <c r="BF82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23">
        <f>SUMIF(Consumo!$C$3:$C$869,tabItens[[#This Row],[CÓDIGO]],Consumo!$E$3:$E$869)</f>
        <v>0</v>
      </c>
      <c r="BH820" s="324">
        <f>IF(AND(tabItens[[#This Row],[Pend]] &gt; 0,tabItens[[#This Row],[Consumo]] &lt;&gt; 0), tabItens[[#This Row],[Pend]] / tabItens[[#This Row],[Consumo]], 0 )</f>
        <v>0</v>
      </c>
      <c r="BI820" s="323"/>
      <c r="BJ820" s="323"/>
      <c r="BK820" s="325" t="s">
        <v>2064</v>
      </c>
    </row>
    <row r="821" spans="1:63" hidden="1" x14ac:dyDescent="0.3">
      <c r="A821" s="286">
        <v>134564</v>
      </c>
      <c r="B821" s="287" t="s">
        <v>1885</v>
      </c>
      <c r="C821" s="288" t="s">
        <v>413</v>
      </c>
      <c r="D821" s="289">
        <v>54.6</v>
      </c>
      <c r="E821" s="290"/>
      <c r="F821" s="290"/>
      <c r="G821" s="290" t="s">
        <v>883</v>
      </c>
      <c r="H821" s="291">
        <v>208</v>
      </c>
      <c r="I821" s="292">
        <v>103003</v>
      </c>
      <c r="J821" s="293">
        <v>54.6</v>
      </c>
      <c r="K821" s="294">
        <v>46</v>
      </c>
      <c r="L821" s="295">
        <f>IF(tabItens[[#This Row],[Média]] &gt; 0, tabItens[[#This Row],[QTDE ATUAL]] / tabItens[[#This Row],[Média]],999.9)</f>
        <v>64</v>
      </c>
      <c r="M821" s="296">
        <v>0</v>
      </c>
      <c r="N821" s="297">
        <f>tabItens[[#This Row],[VALOR UNIT.]] * tabItens[[#This Row],[LC]]</f>
        <v>0</v>
      </c>
      <c r="O821" s="298"/>
      <c r="P821" s="299"/>
      <c r="Q821" s="300"/>
      <c r="R821" s="297"/>
      <c r="S821" s="301"/>
      <c r="T821" s="302">
        <f>ROUNDDOWN(IFERROR(tabItens[[#This Row],[ATA DT.VALID.]] - $D$1,0) / 30,0)</f>
        <v>-1504</v>
      </c>
      <c r="U821" s="287" t="s">
        <v>1516</v>
      </c>
      <c r="V821" s="303">
        <v>1</v>
      </c>
      <c r="W821" s="304" t="s">
        <v>2057</v>
      </c>
      <c r="X821" s="305">
        <v>67</v>
      </c>
      <c r="Y821" s="306">
        <v>3</v>
      </c>
      <c r="Z821" s="307">
        <v>2962</v>
      </c>
      <c r="AA821" s="308">
        <v>2023</v>
      </c>
      <c r="AB821" s="309">
        <v>50</v>
      </c>
      <c r="AC821" s="309"/>
      <c r="AD821" s="308"/>
      <c r="AE821" s="309"/>
      <c r="AF821" s="302"/>
      <c r="AG821" s="310" t="s">
        <v>2050</v>
      </c>
      <c r="AH821" s="311"/>
      <c r="AI821" s="302">
        <v>16</v>
      </c>
      <c r="AJ821" s="311">
        <v>43853</v>
      </c>
      <c r="AK821" s="311">
        <v>43174</v>
      </c>
      <c r="AL821" s="311">
        <v>44335</v>
      </c>
      <c r="AM821" s="301"/>
      <c r="AN821" s="290"/>
      <c r="AO821" s="312" t="str">
        <f>_xlfn.IFNA(IF(VLOOKUP(tabItens[[#This Row],[CÓDIGO]],tabExcluirDoEstoque[#Data],1,FALSE),"sim",""),"")</f>
        <v/>
      </c>
      <c r="AP821" s="313" t="str">
        <f ca="1">IF(OR(ISBLANK(tabItens[[#This Row],[ATA DT.VALID.]]),tabItens[[#This Row],[ATA DT.VALID.]]="",tabItens[[#This Row],[ATA DT.VALID.]]=" "),"",IF(TYPE(tabItens[[#This Row],[ATA DT.VALID.]])=1,ROUNDUP((tabItens[[#This Row],[ATA DT.VALID.]]-TODAY())/7,0),""))</f>
        <v/>
      </c>
      <c r="AQ821" s="314"/>
      <c r="AR821" s="315" t="str">
        <f>IF(ISBLANK(tabItens[[#This Row],[CÓDIGO]]),"",IFERROR(VLOOKUP(tabItens[[#This Row],[CÓDIGO]],Consumo!$C$2:$AC$869,26,FALSE),0))</f>
        <v>05.2023</v>
      </c>
      <c r="AS821" s="316">
        <f>SUMIF(Consumo!$C$3:$C$869,tabItens[[#This Row],[CÓDIGO]],Consumo!$N$3:$N$869) + SUMIF(Consumo!$C$3:$C$869,tabItens[[#This Row],[CÓDIGO]],Consumo!$O$3:$O$869) + SUMIF(Consumo!$C$3:$C$869,tabItens[[#This Row],[CÓDIGO]],Consumo!$P$3:$P$869) + SUMIF(Consumo!$C$3:$C$869,tabItens[[#This Row],[CÓDIGO]],Consumo!$Q$3:$Q$869)</f>
        <v>36</v>
      </c>
      <c r="AT821" s="316">
        <f>SUMIF(Consumo!$C$3:$C$869,tabItens[[#This Row],[CÓDIGO]],Consumo!$Z$3:$Z$869)</f>
        <v>49</v>
      </c>
      <c r="AU821" s="317">
        <f>SUMIF(Consumo!$C$3:$C$869,tabItens[[#This Row],[CÓDIGO]],Consumo!$AA$3:$AA$869)</f>
        <v>31</v>
      </c>
      <c r="AV821" s="318">
        <f>SUMIF(Consumo!$C$3:$C$869,tabItens[[#This Row],[CÓDIGO]],Consumo!$Y$3:$Y$869)</f>
        <v>3.25</v>
      </c>
      <c r="AW821" s="291">
        <f>tabItens[[#This Row],[QTDE ATUAL]] + tabItens[[#This Row],[RC QTDE]] + tabItens[[#This Row],[AF SALDO]] + tabItens[[#This Row],[Recentes]]</f>
        <v>258</v>
      </c>
      <c r="AX821" s="319">
        <v>3</v>
      </c>
      <c r="AY821" s="319">
        <v>4</v>
      </c>
      <c r="AZ821" s="319">
        <f>IF(ISBLANK(tabItens[[#This Row],[CÓDIGO]]),"",tabItens[[#This Row],[PontoMês]] * (AZ$2+tabItens[[#This Row],[PontoQtM]]))</f>
        <v>12</v>
      </c>
      <c r="BA821" s="318">
        <f>tabItens[[#This Row],[PontoPed]] - tabItens[[#This Row],[Saldo]] + (1/10)</f>
        <v>-245.9</v>
      </c>
      <c r="BB821" s="318">
        <f xml:space="preserve"> tabItens[[#This Row],[PontoMês]] * BB$2 - tabItens[[#This Row],[QTDE ATUAL]] - (1/10)</f>
        <v>-205.1</v>
      </c>
      <c r="BC821" s="320">
        <f>IF( tabItens[[#This Row],[PontoPed]]&gt;0, IF(tabItens[[#This Row],[PontoPed]]&lt;1, 1, IF( tabItens[[#This Row],[Saldo]]&gt;tabItens[[#This Row],[PontoPed]], 0, (tabItens[[#This Row],[PontoPed]]-tabItens[[#This Row],[Saldo]])/tabItens[[#This Row],[PontoPed]] ) ), 0 )</f>
        <v>0</v>
      </c>
      <c r="BD821" s="321">
        <f>ROUNDDOWN(IF( OR( AND(tabItens[[#This Row],[PontoPed]]&lt;tabItens[[#This Row],[Saldo]],tabItens[[#This Row],[Saldo]]&gt;0), tabItens[[#This Row],[PontoPed]]=0), 99, IF(AND(tabItens[[#This Row],[Saldo]]=0,tabItens[[#This Row],[PontoPed]]&gt;0), 0, (1-tabItens[[#This Row],[PctAb]])*10 ) ),0)</f>
        <v>99</v>
      </c>
      <c r="BE821" s="322">
        <f>MAX(ROUNDDOWN( IF(tabItens[[#This Row],[Abaixo]] &gt; 0,   tabItens[[#This Row],[Abaixo]] + (tabItens[[#This Row],[PontoMês]] * IF( OR( ISBLANK(tabItens[[#This Row],[ATA Nº/ANO]]), tabItens[[#This Row],[ATA Nº/ANO]] = ""),BE$2,BE$1)),0),0),0)</f>
        <v>0</v>
      </c>
      <c r="BF82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23">
        <f>SUMIF(Consumo!$C$3:$C$869,tabItens[[#This Row],[CÓDIGO]],Consumo!$E$3:$E$869)</f>
        <v>0</v>
      </c>
      <c r="BH821" s="324">
        <f>IF(AND(tabItens[[#This Row],[Pend]] &gt; 0,tabItens[[#This Row],[Consumo]] &lt;&gt; 0), tabItens[[#This Row],[Pend]] / tabItens[[#This Row],[Consumo]], 0 )</f>
        <v>0</v>
      </c>
      <c r="BI821" s="323"/>
      <c r="BJ821" s="323"/>
      <c r="BK821" s="325" t="s">
        <v>2064</v>
      </c>
    </row>
    <row r="822" spans="1:63" hidden="1" x14ac:dyDescent="0.3">
      <c r="A822" s="286">
        <v>134565</v>
      </c>
      <c r="B822" s="287" t="s">
        <v>1886</v>
      </c>
      <c r="C822" s="288" t="s">
        <v>413</v>
      </c>
      <c r="D822" s="289">
        <v>107</v>
      </c>
      <c r="E822" s="290"/>
      <c r="F822" s="290"/>
      <c r="G822" s="290" t="s">
        <v>883</v>
      </c>
      <c r="H822" s="291">
        <v>229</v>
      </c>
      <c r="I822" s="292">
        <v>103003</v>
      </c>
      <c r="J822" s="293">
        <v>107</v>
      </c>
      <c r="K822" s="294">
        <v>44</v>
      </c>
      <c r="L822" s="295">
        <f>IF(tabItens[[#This Row],[Média]] &gt; 0, tabItens[[#This Row],[QTDE ATUAL]] / tabItens[[#This Row],[Média]],999.9)</f>
        <v>78.51428571428572</v>
      </c>
      <c r="M822" s="296">
        <v>0</v>
      </c>
      <c r="N822" s="297">
        <f>tabItens[[#This Row],[VALOR UNIT.]] * tabItens[[#This Row],[LC]]</f>
        <v>0</v>
      </c>
      <c r="O822" s="298"/>
      <c r="P822" s="299"/>
      <c r="Q822" s="300"/>
      <c r="R822" s="297"/>
      <c r="S822" s="301"/>
      <c r="T822" s="302">
        <f>ROUNDDOWN(IFERROR(tabItens[[#This Row],[ATA DT.VALID.]] - $D$1,0) / 30,0)</f>
        <v>-1504</v>
      </c>
      <c r="U822" s="287" t="s">
        <v>1516</v>
      </c>
      <c r="V822" s="303">
        <v>1</v>
      </c>
      <c r="W822" s="304" t="s">
        <v>2057</v>
      </c>
      <c r="X822" s="305">
        <v>67</v>
      </c>
      <c r="Y822" s="306">
        <v>3</v>
      </c>
      <c r="Z822" s="307"/>
      <c r="AA822" s="308"/>
      <c r="AB822" s="309"/>
      <c r="AC822" s="309"/>
      <c r="AD822" s="308"/>
      <c r="AE822" s="309"/>
      <c r="AF822" s="302"/>
      <c r="AG822" s="310" t="s">
        <v>2050</v>
      </c>
      <c r="AH822" s="311"/>
      <c r="AI822" s="302">
        <v>16</v>
      </c>
      <c r="AJ822" s="311">
        <v>43998</v>
      </c>
      <c r="AK822" s="311">
        <v>43174</v>
      </c>
      <c r="AL822" s="311">
        <v>44335</v>
      </c>
      <c r="AM822" s="301"/>
      <c r="AN822" s="290"/>
      <c r="AO822" s="312" t="str">
        <f>_xlfn.IFNA(IF(VLOOKUP(tabItens[[#This Row],[CÓDIGO]],tabExcluirDoEstoque[#Data],1,FALSE),"sim",""),"")</f>
        <v/>
      </c>
      <c r="AP822" s="313" t="str">
        <f ca="1">IF(OR(ISBLANK(tabItens[[#This Row],[ATA DT.VALID.]]),tabItens[[#This Row],[ATA DT.VALID.]]="",tabItens[[#This Row],[ATA DT.VALID.]]=" "),"",IF(TYPE(tabItens[[#This Row],[ATA DT.VALID.]])=1,ROUNDUP((tabItens[[#This Row],[ATA DT.VALID.]]-TODAY())/7,0),""))</f>
        <v/>
      </c>
      <c r="AQ822" s="314"/>
      <c r="AR822" s="315" t="str">
        <f>IF(ISBLANK(tabItens[[#This Row],[CÓDIGO]]),"",IFERROR(VLOOKUP(tabItens[[#This Row],[CÓDIGO]],Consumo!$C$2:$AC$869,26,FALSE),0))</f>
        <v>05.2023</v>
      </c>
      <c r="AS822" s="316">
        <f>SUMIF(Consumo!$C$3:$C$869,tabItens[[#This Row],[CÓDIGO]],Consumo!$N$3:$N$869) + SUMIF(Consumo!$C$3:$C$869,tabItens[[#This Row],[CÓDIGO]],Consumo!$O$3:$O$869) + SUMIF(Consumo!$C$3:$C$869,tabItens[[#This Row],[CÓDIGO]],Consumo!$P$3:$P$869) + SUMIF(Consumo!$C$3:$C$869,tabItens[[#This Row],[CÓDIGO]],Consumo!$Q$3:$Q$869)</f>
        <v>32</v>
      </c>
      <c r="AT822" s="316">
        <f>SUMIF(Consumo!$C$3:$C$869,tabItens[[#This Row],[CÓDIGO]],Consumo!$Z$3:$Z$869)</f>
        <v>45</v>
      </c>
      <c r="AU822" s="317">
        <f>SUMIF(Consumo!$C$3:$C$869,tabItens[[#This Row],[CÓDIGO]],Consumo!$AA$3:$AA$869)</f>
        <v>31</v>
      </c>
      <c r="AV822" s="318">
        <f>SUMIF(Consumo!$C$3:$C$869,tabItens[[#This Row],[CÓDIGO]],Consumo!$Y$3:$Y$869)</f>
        <v>2.9166666666666665</v>
      </c>
      <c r="AW822" s="291">
        <f>tabItens[[#This Row],[QTDE ATUAL]] + tabItens[[#This Row],[RC QTDE]] + tabItens[[#This Row],[AF SALDO]] + tabItens[[#This Row],[Recentes]]</f>
        <v>229</v>
      </c>
      <c r="AX822" s="319">
        <v>4</v>
      </c>
      <c r="AY822" s="319">
        <v>4</v>
      </c>
      <c r="AZ822" s="319">
        <f>IF(ISBLANK(tabItens[[#This Row],[CÓDIGO]]),"",tabItens[[#This Row],[PontoMês]] * (AZ$2+tabItens[[#This Row],[PontoQtM]]))</f>
        <v>16</v>
      </c>
      <c r="BA822" s="318">
        <f>tabItens[[#This Row],[PontoPed]] - tabItens[[#This Row],[Saldo]] + (1/10)</f>
        <v>-212.9</v>
      </c>
      <c r="BB822" s="318">
        <f xml:space="preserve"> tabItens[[#This Row],[PontoMês]] * BB$2 - tabItens[[#This Row],[QTDE ATUAL]] - (1/10)</f>
        <v>-225.1</v>
      </c>
      <c r="BC822" s="320">
        <f>IF( tabItens[[#This Row],[PontoPed]]&gt;0, IF(tabItens[[#This Row],[PontoPed]]&lt;1, 1, IF( tabItens[[#This Row],[Saldo]]&gt;tabItens[[#This Row],[PontoPed]], 0, (tabItens[[#This Row],[PontoPed]]-tabItens[[#This Row],[Saldo]])/tabItens[[#This Row],[PontoPed]] ) ), 0 )</f>
        <v>0</v>
      </c>
      <c r="BD822" s="321">
        <f>ROUNDDOWN(IF( OR( AND(tabItens[[#This Row],[PontoPed]]&lt;tabItens[[#This Row],[Saldo]],tabItens[[#This Row],[Saldo]]&gt;0), tabItens[[#This Row],[PontoPed]]=0), 99, IF(AND(tabItens[[#This Row],[Saldo]]=0,tabItens[[#This Row],[PontoPed]]&gt;0), 0, (1-tabItens[[#This Row],[PctAb]])*10 ) ),0)</f>
        <v>99</v>
      </c>
      <c r="BE822" s="322">
        <f>MAX(ROUNDDOWN( IF(tabItens[[#This Row],[Abaixo]] &gt; 0,   tabItens[[#This Row],[Abaixo]] + (tabItens[[#This Row],[PontoMês]] * IF( OR( ISBLANK(tabItens[[#This Row],[ATA Nº/ANO]]), tabItens[[#This Row],[ATA Nº/ANO]] = ""),BE$2,BE$1)),0),0),0)</f>
        <v>0</v>
      </c>
      <c r="BF82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23">
        <f>SUMIF(Consumo!$C$3:$C$869,tabItens[[#This Row],[CÓDIGO]],Consumo!$E$3:$E$869)</f>
        <v>0</v>
      </c>
      <c r="BH822" s="324">
        <f>IF(AND(tabItens[[#This Row],[Pend]] &gt; 0,tabItens[[#This Row],[Consumo]] &lt;&gt; 0), tabItens[[#This Row],[Pend]] / tabItens[[#This Row],[Consumo]], 0 )</f>
        <v>0</v>
      </c>
      <c r="BI822" s="323"/>
      <c r="BJ822" s="323"/>
      <c r="BK822" s="325" t="s">
        <v>2064</v>
      </c>
    </row>
    <row r="823" spans="1:63" hidden="1" x14ac:dyDescent="0.3">
      <c r="A823" s="286">
        <v>64462</v>
      </c>
      <c r="B823" s="287" t="s">
        <v>1367</v>
      </c>
      <c r="C823" s="288" t="s">
        <v>256</v>
      </c>
      <c r="D823" s="289">
        <v>0.14000000000000001</v>
      </c>
      <c r="E823" s="290"/>
      <c r="F823" s="290"/>
      <c r="G823" s="290" t="s">
        <v>883</v>
      </c>
      <c r="H823" s="291">
        <v>3061</v>
      </c>
      <c r="I823" s="292">
        <v>103003</v>
      </c>
      <c r="J823" s="293">
        <v>0.14000000000000001</v>
      </c>
      <c r="K823" s="294">
        <v>4039</v>
      </c>
      <c r="L823" s="295">
        <f>IF(tabItens[[#This Row],[Média]] &gt; 0, tabItens[[#This Row],[QTDE ATUAL]] / tabItens[[#This Row],[Média]],999.9)</f>
        <v>8.0218388294387424</v>
      </c>
      <c r="M823" s="296">
        <v>0</v>
      </c>
      <c r="N823" s="297">
        <f>tabItens[[#This Row],[VALOR UNIT.]] * tabItens[[#This Row],[LC]]</f>
        <v>0</v>
      </c>
      <c r="O823" s="298"/>
      <c r="P823" s="299"/>
      <c r="Q823" s="300"/>
      <c r="R823" s="297"/>
      <c r="S823" s="301"/>
      <c r="T823" s="302">
        <f>ROUNDDOWN(IFERROR(tabItens[[#This Row],[ATA DT.VALID.]] - $D$1,0) / 30,0)</f>
        <v>-1504</v>
      </c>
      <c r="U823" s="287" t="s">
        <v>1368</v>
      </c>
      <c r="V823" s="303">
        <v>1</v>
      </c>
      <c r="W823" s="304" t="s">
        <v>2056</v>
      </c>
      <c r="X823" s="305">
        <v>67</v>
      </c>
      <c r="Y823" s="306">
        <v>4</v>
      </c>
      <c r="Z823" s="307">
        <v>2962</v>
      </c>
      <c r="AA823" s="308">
        <v>2023</v>
      </c>
      <c r="AB823" s="309">
        <v>5000</v>
      </c>
      <c r="AC823" s="309"/>
      <c r="AD823" s="308"/>
      <c r="AE823" s="309"/>
      <c r="AF823" s="302"/>
      <c r="AG823" s="310" t="s">
        <v>2050</v>
      </c>
      <c r="AH823" s="311"/>
      <c r="AI823" s="302">
        <v>1526</v>
      </c>
      <c r="AJ823" s="311">
        <v>44400</v>
      </c>
      <c r="AK823" s="311" t="s">
        <v>883</v>
      </c>
      <c r="AL823" s="311">
        <v>44713</v>
      </c>
      <c r="AM823" s="301"/>
      <c r="AN823" s="290"/>
      <c r="AO823" s="312" t="str">
        <f>_xlfn.IFNA(IF(VLOOKUP(tabItens[[#This Row],[CÓDIGO]],tabExcluirDoEstoque[#Data],1,FALSE),"sim",""),"")</f>
        <v/>
      </c>
      <c r="AP823" s="313" t="str">
        <f ca="1">IF(OR(ISBLANK(tabItens[[#This Row],[ATA DT.VALID.]]),tabItens[[#This Row],[ATA DT.VALID.]]="",tabItens[[#This Row],[ATA DT.VALID.]]=" "),"",IF(TYPE(tabItens[[#This Row],[ATA DT.VALID.]])=1,ROUNDUP((tabItens[[#This Row],[ATA DT.VALID.]]-TODAY())/7,0),""))</f>
        <v/>
      </c>
      <c r="AQ823" s="314"/>
      <c r="AR823" s="315" t="str">
        <f>IF(ISBLANK(tabItens[[#This Row],[CÓDIGO]]),"",IFERROR(VLOOKUP(tabItens[[#This Row],[CÓDIGO]],Consumo!$C$2:$AC$869,26,FALSE),0))</f>
        <v>05.2023</v>
      </c>
      <c r="AS823" s="316">
        <f>SUMIF(Consumo!$C$3:$C$869,tabItens[[#This Row],[CÓDIGO]],Consumo!$N$3:$N$869) + SUMIF(Consumo!$C$3:$C$869,tabItens[[#This Row],[CÓDIGO]],Consumo!$O$3:$O$869) + SUMIF(Consumo!$C$3:$C$869,tabItens[[#This Row],[CÓDIGO]],Consumo!$P$3:$P$869) + SUMIF(Consumo!$C$3:$C$869,tabItens[[#This Row],[CÓDIGO]],Consumo!$Q$3:$Q$869)</f>
        <v>700</v>
      </c>
      <c r="AT823" s="316">
        <f>SUMIF(Consumo!$C$3:$C$869,tabItens[[#This Row],[CÓDIGO]],Consumo!$Z$3:$Z$869)</f>
        <v>4579</v>
      </c>
      <c r="AU823" s="317">
        <f>SUMIF(Consumo!$C$3:$C$869,tabItens[[#This Row],[CÓDIGO]],Consumo!$AA$3:$AA$869)</f>
        <v>1000</v>
      </c>
      <c r="AV823" s="318">
        <f>SUMIF(Consumo!$C$3:$C$869,tabItens[[#This Row],[CÓDIGO]],Consumo!$Y$3:$Y$869)</f>
        <v>381.58333333333331</v>
      </c>
      <c r="AW823" s="291">
        <f>tabItens[[#This Row],[QTDE ATUAL]] + tabItens[[#This Row],[RC QTDE]] + tabItens[[#This Row],[AF SALDO]] + tabItens[[#This Row],[Recentes]]</f>
        <v>8061</v>
      </c>
      <c r="AX823" s="319">
        <v>107</v>
      </c>
      <c r="AY823" s="319">
        <v>4</v>
      </c>
      <c r="AZ823" s="319">
        <f>IF(ISBLANK(tabItens[[#This Row],[CÓDIGO]]),"",tabItens[[#This Row],[PontoMês]] * (AZ$2+tabItens[[#This Row],[PontoQtM]]))</f>
        <v>428</v>
      </c>
      <c r="BA823" s="318">
        <f>tabItens[[#This Row],[PontoPed]] - tabItens[[#This Row],[Saldo]] + (1/10)</f>
        <v>-7632.9</v>
      </c>
      <c r="BB823" s="318">
        <f xml:space="preserve"> tabItens[[#This Row],[PontoMês]] * BB$2 - tabItens[[#This Row],[QTDE ATUAL]] - (1/10)</f>
        <v>-2954.1</v>
      </c>
      <c r="BC823" s="320">
        <f>IF( tabItens[[#This Row],[PontoPed]]&gt;0, IF(tabItens[[#This Row],[PontoPed]]&lt;1, 1, IF( tabItens[[#This Row],[Saldo]]&gt;tabItens[[#This Row],[PontoPed]], 0, (tabItens[[#This Row],[PontoPed]]-tabItens[[#This Row],[Saldo]])/tabItens[[#This Row],[PontoPed]] ) ), 0 )</f>
        <v>0</v>
      </c>
      <c r="BD823" s="321">
        <f>ROUNDDOWN(IF( OR( AND(tabItens[[#This Row],[PontoPed]]&lt;tabItens[[#This Row],[Saldo]],tabItens[[#This Row],[Saldo]]&gt;0), tabItens[[#This Row],[PontoPed]]=0), 99, IF(AND(tabItens[[#This Row],[Saldo]]=0,tabItens[[#This Row],[PontoPed]]&gt;0), 0, (1-tabItens[[#This Row],[PctAb]])*10 ) ),0)</f>
        <v>99</v>
      </c>
      <c r="BE823" s="322">
        <f>MAX(ROUNDDOWN( IF(tabItens[[#This Row],[Abaixo]] &gt; 0,   tabItens[[#This Row],[Abaixo]] + (tabItens[[#This Row],[PontoMês]] * IF( OR( ISBLANK(tabItens[[#This Row],[ATA Nº/ANO]]), tabItens[[#This Row],[ATA Nº/ANO]] = ""),BE$2,BE$1)),0),0),0)</f>
        <v>0</v>
      </c>
      <c r="BF82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23">
        <f>SUMIF(Consumo!$C$3:$C$869,tabItens[[#This Row],[CÓDIGO]],Consumo!$E$3:$E$869)</f>
        <v>0</v>
      </c>
      <c r="BH823" s="324">
        <f>IF(AND(tabItens[[#This Row],[Pend]] &gt; 0,tabItens[[#This Row],[Consumo]] &lt;&gt; 0), tabItens[[#This Row],[Pend]] / tabItens[[#This Row],[Consumo]], 0 )</f>
        <v>0</v>
      </c>
      <c r="BI823" s="323"/>
      <c r="BJ823" s="323"/>
      <c r="BK823" s="325" t="s">
        <v>2064</v>
      </c>
    </row>
    <row r="824" spans="1:63" hidden="1" x14ac:dyDescent="0.3">
      <c r="A824" s="286">
        <v>23676</v>
      </c>
      <c r="B824" s="287" t="s">
        <v>1178</v>
      </c>
      <c r="C824" s="288" t="s">
        <v>395</v>
      </c>
      <c r="D824" s="289">
        <v>7.0000000000000007E-2</v>
      </c>
      <c r="E824" s="290"/>
      <c r="F824" s="290"/>
      <c r="G824" s="290" t="s">
        <v>883</v>
      </c>
      <c r="H824" s="291">
        <v>2131</v>
      </c>
      <c r="I824" s="292">
        <v>103003</v>
      </c>
      <c r="J824" s="293">
        <v>7.0000000000000007E-2</v>
      </c>
      <c r="K824" s="294">
        <v>3202</v>
      </c>
      <c r="L824" s="295">
        <f>IF(tabItens[[#This Row],[Média]] &gt; 0, tabItens[[#This Row],[QTDE ATUAL]] / tabItens[[#This Row],[Média]],999.9)</f>
        <v>8.2384020618556697</v>
      </c>
      <c r="M824" s="296">
        <v>0</v>
      </c>
      <c r="N824" s="297">
        <f>tabItens[[#This Row],[VALOR UNIT.]] * tabItens[[#This Row],[LC]]</f>
        <v>0</v>
      </c>
      <c r="O824" s="298"/>
      <c r="P824" s="299"/>
      <c r="Q824" s="300"/>
      <c r="R824" s="297"/>
      <c r="S824" s="301"/>
      <c r="T824" s="302">
        <f>ROUNDDOWN(IFERROR(tabItens[[#This Row],[ATA DT.VALID.]] - $D$1,0) / 30,0)</f>
        <v>-1504</v>
      </c>
      <c r="U824" s="287" t="s">
        <v>1179</v>
      </c>
      <c r="V824" s="303">
        <v>1</v>
      </c>
      <c r="W824" s="304" t="s">
        <v>2056</v>
      </c>
      <c r="X824" s="305">
        <v>67</v>
      </c>
      <c r="Y824" s="306">
        <v>5</v>
      </c>
      <c r="Z824" s="307"/>
      <c r="AA824" s="308"/>
      <c r="AB824" s="309"/>
      <c r="AC824" s="309"/>
      <c r="AD824" s="308"/>
      <c r="AE824" s="309"/>
      <c r="AF824" s="302"/>
      <c r="AG824" s="310" t="s">
        <v>2050</v>
      </c>
      <c r="AH824" s="311"/>
      <c r="AI824" s="302">
        <v>1210</v>
      </c>
      <c r="AJ824" s="311">
        <v>43864</v>
      </c>
      <c r="AK824" s="311" t="s">
        <v>883</v>
      </c>
      <c r="AL824" s="311">
        <v>43826</v>
      </c>
      <c r="AM824" s="301"/>
      <c r="AN824" s="290"/>
      <c r="AO824" s="312" t="str">
        <f>_xlfn.IFNA(IF(VLOOKUP(tabItens[[#This Row],[CÓDIGO]],tabExcluirDoEstoque[#Data],1,FALSE),"sim",""),"")</f>
        <v/>
      </c>
      <c r="AP824" s="313" t="str">
        <f ca="1">IF(OR(ISBLANK(tabItens[[#This Row],[ATA DT.VALID.]]),tabItens[[#This Row],[ATA DT.VALID.]]="",tabItens[[#This Row],[ATA DT.VALID.]]=" "),"",IF(TYPE(tabItens[[#This Row],[ATA DT.VALID.]])=1,ROUNDUP((tabItens[[#This Row],[ATA DT.VALID.]]-TODAY())/7,0),""))</f>
        <v/>
      </c>
      <c r="AQ824" s="314"/>
      <c r="AR824" s="315" t="str">
        <f>IF(ISBLANK(tabItens[[#This Row],[CÓDIGO]]),"",IFERROR(VLOOKUP(tabItens[[#This Row],[CÓDIGO]],Consumo!$C$2:$AC$869,26,FALSE),0))</f>
        <v>07.2023</v>
      </c>
      <c r="AS824" s="316">
        <f>SUMIF(Consumo!$C$3:$C$869,tabItens[[#This Row],[CÓDIGO]],Consumo!$N$3:$N$869) + SUMIF(Consumo!$C$3:$C$869,tabItens[[#This Row],[CÓDIGO]],Consumo!$O$3:$O$869) + SUMIF(Consumo!$C$3:$C$869,tabItens[[#This Row],[CÓDIGO]],Consumo!$P$3:$P$869) + SUMIF(Consumo!$C$3:$C$869,tabItens[[#This Row],[CÓDIGO]],Consumo!$Q$3:$Q$869)</f>
        <v>2392</v>
      </c>
      <c r="AT824" s="316">
        <f>SUMIF(Consumo!$C$3:$C$869,tabItens[[#This Row],[CÓDIGO]],Consumo!$Z$3:$Z$869)</f>
        <v>3631</v>
      </c>
      <c r="AU824" s="317">
        <f>SUMIF(Consumo!$C$3:$C$869,tabItens[[#This Row],[CÓDIGO]],Consumo!$AA$3:$AA$869)</f>
        <v>1820</v>
      </c>
      <c r="AV824" s="318">
        <f>SUMIF(Consumo!$C$3:$C$869,tabItens[[#This Row],[CÓDIGO]],Consumo!$Y$3:$Y$869)</f>
        <v>258.66666666666669</v>
      </c>
      <c r="AW824" s="291">
        <f>tabItens[[#This Row],[QTDE ATUAL]] + tabItens[[#This Row],[RC QTDE]] + tabItens[[#This Row],[AF SALDO]] + tabItens[[#This Row],[Recentes]]</f>
        <v>2131</v>
      </c>
      <c r="AX824" s="319">
        <v>270</v>
      </c>
      <c r="AY824" s="319">
        <v>4</v>
      </c>
      <c r="AZ824" s="319">
        <f>IF(ISBLANK(tabItens[[#This Row],[CÓDIGO]]),"",tabItens[[#This Row],[PontoMês]] * (AZ$2+tabItens[[#This Row],[PontoQtM]]))</f>
        <v>1080</v>
      </c>
      <c r="BA824" s="318">
        <f>tabItens[[#This Row],[PontoPed]] - tabItens[[#This Row],[Saldo]] + (1/10)</f>
        <v>-1050.9000000000001</v>
      </c>
      <c r="BB824" s="318">
        <f xml:space="preserve"> tabItens[[#This Row],[PontoMês]] * BB$2 - tabItens[[#This Row],[QTDE ATUAL]] - (1/10)</f>
        <v>-1861.1</v>
      </c>
      <c r="BC824" s="320">
        <f>IF( tabItens[[#This Row],[PontoPed]]&gt;0, IF(tabItens[[#This Row],[PontoPed]]&lt;1, 1, IF( tabItens[[#This Row],[Saldo]]&gt;tabItens[[#This Row],[PontoPed]], 0, (tabItens[[#This Row],[PontoPed]]-tabItens[[#This Row],[Saldo]])/tabItens[[#This Row],[PontoPed]] ) ), 0 )</f>
        <v>0</v>
      </c>
      <c r="BD824" s="321">
        <f>ROUNDDOWN(IF( OR( AND(tabItens[[#This Row],[PontoPed]]&lt;tabItens[[#This Row],[Saldo]],tabItens[[#This Row],[Saldo]]&gt;0), tabItens[[#This Row],[PontoPed]]=0), 99, IF(AND(tabItens[[#This Row],[Saldo]]=0,tabItens[[#This Row],[PontoPed]]&gt;0), 0, (1-tabItens[[#This Row],[PctAb]])*10 ) ),0)</f>
        <v>99</v>
      </c>
      <c r="BE824" s="322">
        <f>MAX(ROUNDDOWN( IF(tabItens[[#This Row],[Abaixo]] &gt; 0,   tabItens[[#This Row],[Abaixo]] + (tabItens[[#This Row],[PontoMês]] * IF( OR( ISBLANK(tabItens[[#This Row],[ATA Nº/ANO]]), tabItens[[#This Row],[ATA Nº/ANO]] = ""),BE$2,BE$1)),0),0),0)</f>
        <v>0</v>
      </c>
      <c r="BF82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23">
        <f>SUMIF(Consumo!$C$3:$C$869,tabItens[[#This Row],[CÓDIGO]],Consumo!$E$3:$E$869)</f>
        <v>0</v>
      </c>
      <c r="BH824" s="324">
        <f>IF(AND(tabItens[[#This Row],[Pend]] &gt; 0,tabItens[[#This Row],[Consumo]] &lt;&gt; 0), tabItens[[#This Row],[Pend]] / tabItens[[#This Row],[Consumo]], 0 )</f>
        <v>0</v>
      </c>
      <c r="BI824" s="323"/>
      <c r="BJ824" s="323"/>
      <c r="BK824" s="325" t="s">
        <v>2064</v>
      </c>
    </row>
    <row r="825" spans="1:63" hidden="1" x14ac:dyDescent="0.3">
      <c r="A825" s="286">
        <v>54029</v>
      </c>
      <c r="B825" s="287" t="s">
        <v>1314</v>
      </c>
      <c r="C825" s="288" t="s">
        <v>31</v>
      </c>
      <c r="D825" s="289">
        <v>0.08</v>
      </c>
      <c r="E825" s="290"/>
      <c r="F825" s="290"/>
      <c r="G825" s="290" t="s">
        <v>883</v>
      </c>
      <c r="H825" s="291">
        <v>3115</v>
      </c>
      <c r="I825" s="292">
        <v>103003</v>
      </c>
      <c r="J825" s="293">
        <v>0.08</v>
      </c>
      <c r="K825" s="294">
        <v>750</v>
      </c>
      <c r="L825" s="295">
        <f>IF(tabItens[[#This Row],[Média]] &gt; 0, tabItens[[#This Row],[QTDE ATUAL]] / tabItens[[#This Row],[Média]],999.9)</f>
        <v>49.84</v>
      </c>
      <c r="M825" s="296">
        <v>0</v>
      </c>
      <c r="N825" s="297">
        <f>tabItens[[#This Row],[VALOR UNIT.]] * tabItens[[#This Row],[LC]]</f>
        <v>0</v>
      </c>
      <c r="O825" s="298"/>
      <c r="P825" s="299"/>
      <c r="Q825" s="300"/>
      <c r="R825" s="297"/>
      <c r="S825" s="301"/>
      <c r="T825" s="302">
        <f>ROUNDDOWN(IFERROR(tabItens[[#This Row],[ATA DT.VALID.]] - $D$1,0) / 30,0)</f>
        <v>-1504</v>
      </c>
      <c r="U825" s="287" t="s">
        <v>1179</v>
      </c>
      <c r="V825" s="303">
        <v>1</v>
      </c>
      <c r="W825" s="304" t="s">
        <v>2056</v>
      </c>
      <c r="X825" s="305">
        <v>67</v>
      </c>
      <c r="Y825" s="306">
        <v>5</v>
      </c>
      <c r="Z825" s="307"/>
      <c r="AA825" s="308"/>
      <c r="AB825" s="309"/>
      <c r="AC825" s="309"/>
      <c r="AD825" s="308"/>
      <c r="AE825" s="309"/>
      <c r="AF825" s="302"/>
      <c r="AG825" s="310" t="s">
        <v>2050</v>
      </c>
      <c r="AH825" s="311"/>
      <c r="AI825" s="302">
        <v>250</v>
      </c>
      <c r="AJ825" s="311">
        <v>44161</v>
      </c>
      <c r="AK825" s="311" t="s">
        <v>883</v>
      </c>
      <c r="AL825" s="311">
        <v>44369</v>
      </c>
      <c r="AM825" s="301"/>
      <c r="AN825" s="290"/>
      <c r="AO825" s="312" t="str">
        <f>_xlfn.IFNA(IF(VLOOKUP(tabItens[[#This Row],[CÓDIGO]],tabExcluirDoEstoque[#Data],1,FALSE),"sim",""),"")</f>
        <v/>
      </c>
      <c r="AP825" s="313" t="str">
        <f ca="1">IF(OR(ISBLANK(tabItens[[#This Row],[ATA DT.VALID.]]),tabItens[[#This Row],[ATA DT.VALID.]]="",tabItens[[#This Row],[ATA DT.VALID.]]=" "),"",IF(TYPE(tabItens[[#This Row],[ATA DT.VALID.]])=1,ROUNDUP((tabItens[[#This Row],[ATA DT.VALID.]]-TODAY())/7,0),""))</f>
        <v/>
      </c>
      <c r="AQ825" s="314"/>
      <c r="AR825" s="315" t="str">
        <f>IF(ISBLANK(tabItens[[#This Row],[CÓDIGO]]),"",IFERROR(VLOOKUP(tabItens[[#This Row],[CÓDIGO]],Consumo!$C$2:$AC$869,26,FALSE),0))</f>
        <v>04.2023</v>
      </c>
      <c r="AS825" s="316">
        <f>SUMIF(Consumo!$C$3:$C$869,tabItens[[#This Row],[CÓDIGO]],Consumo!$N$3:$N$869) + SUMIF(Consumo!$C$3:$C$869,tabItens[[#This Row],[CÓDIGO]],Consumo!$O$3:$O$869) + SUMIF(Consumo!$C$3:$C$869,tabItens[[#This Row],[CÓDIGO]],Consumo!$P$3:$P$869) + SUMIF(Consumo!$C$3:$C$869,tabItens[[#This Row],[CÓDIGO]],Consumo!$Q$3:$Q$869)</f>
        <v>200</v>
      </c>
      <c r="AT825" s="316">
        <f>SUMIF(Consumo!$C$3:$C$869,tabItens[[#This Row],[CÓDIGO]],Consumo!$Z$3:$Z$869)</f>
        <v>750</v>
      </c>
      <c r="AU825" s="317">
        <f>SUMIF(Consumo!$C$3:$C$869,tabItens[[#This Row],[CÓDIGO]],Consumo!$AA$3:$AA$869)</f>
        <v>200</v>
      </c>
      <c r="AV825" s="318">
        <f>SUMIF(Consumo!$C$3:$C$869,tabItens[[#This Row],[CÓDIGO]],Consumo!$Y$3:$Y$869)</f>
        <v>62.5</v>
      </c>
      <c r="AW825" s="291">
        <f>tabItens[[#This Row],[QTDE ATUAL]] + tabItens[[#This Row],[RC QTDE]] + tabItens[[#This Row],[AF SALDO]] + tabItens[[#This Row],[Recentes]]</f>
        <v>3115</v>
      </c>
      <c r="AX825" s="319">
        <v>113</v>
      </c>
      <c r="AY825" s="319">
        <v>4</v>
      </c>
      <c r="AZ825" s="319">
        <f>IF(ISBLANK(tabItens[[#This Row],[CÓDIGO]]),"",tabItens[[#This Row],[PontoMês]] * (AZ$2+tabItens[[#This Row],[PontoQtM]]))</f>
        <v>452</v>
      </c>
      <c r="BA825" s="318">
        <f>tabItens[[#This Row],[PontoPed]] - tabItens[[#This Row],[Saldo]] + (1/10)</f>
        <v>-2662.9</v>
      </c>
      <c r="BB825" s="318">
        <f xml:space="preserve"> tabItens[[#This Row],[PontoMês]] * BB$2 - tabItens[[#This Row],[QTDE ATUAL]] - (1/10)</f>
        <v>-3002.1</v>
      </c>
      <c r="BC825" s="320">
        <f>IF( tabItens[[#This Row],[PontoPed]]&gt;0, IF(tabItens[[#This Row],[PontoPed]]&lt;1, 1, IF( tabItens[[#This Row],[Saldo]]&gt;tabItens[[#This Row],[PontoPed]], 0, (tabItens[[#This Row],[PontoPed]]-tabItens[[#This Row],[Saldo]])/tabItens[[#This Row],[PontoPed]] ) ), 0 )</f>
        <v>0</v>
      </c>
      <c r="BD825" s="321">
        <f>ROUNDDOWN(IF( OR( AND(tabItens[[#This Row],[PontoPed]]&lt;tabItens[[#This Row],[Saldo]],tabItens[[#This Row],[Saldo]]&gt;0), tabItens[[#This Row],[PontoPed]]=0), 99, IF(AND(tabItens[[#This Row],[Saldo]]=0,tabItens[[#This Row],[PontoPed]]&gt;0), 0, (1-tabItens[[#This Row],[PctAb]])*10 ) ),0)</f>
        <v>99</v>
      </c>
      <c r="BE825" s="322">
        <f>MAX(ROUNDDOWN( IF(tabItens[[#This Row],[Abaixo]] &gt; 0,   tabItens[[#This Row],[Abaixo]] + (tabItens[[#This Row],[PontoMês]] * IF( OR( ISBLANK(tabItens[[#This Row],[ATA Nº/ANO]]), tabItens[[#This Row],[ATA Nº/ANO]] = ""),BE$2,BE$1)),0),0),0)</f>
        <v>0</v>
      </c>
      <c r="BF82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23">
        <f>SUMIF(Consumo!$C$3:$C$869,tabItens[[#This Row],[CÓDIGO]],Consumo!$E$3:$E$869)</f>
        <v>0</v>
      </c>
      <c r="BH825" s="324">
        <f>IF(AND(tabItens[[#This Row],[Pend]] &gt; 0,tabItens[[#This Row],[Consumo]] &lt;&gt; 0), tabItens[[#This Row],[Pend]] / tabItens[[#This Row],[Consumo]], 0 )</f>
        <v>0</v>
      </c>
      <c r="BI825" s="323"/>
      <c r="BJ825" s="323"/>
      <c r="BK825" s="325" t="s">
        <v>2064</v>
      </c>
    </row>
    <row r="826" spans="1:63" hidden="1" x14ac:dyDescent="0.3">
      <c r="A826" s="286">
        <v>54032</v>
      </c>
      <c r="B826" s="287" t="s">
        <v>1315</v>
      </c>
      <c r="C826" s="288" t="s">
        <v>256</v>
      </c>
      <c r="D826" s="289">
        <v>7.0000000000000007E-2</v>
      </c>
      <c r="E826" s="290"/>
      <c r="F826" s="290"/>
      <c r="G826" s="290" t="s">
        <v>883</v>
      </c>
      <c r="H826" s="291">
        <v>23466</v>
      </c>
      <c r="I826" s="292">
        <v>103003</v>
      </c>
      <c r="J826" s="293">
        <v>7.0000000000000007E-2</v>
      </c>
      <c r="K826" s="294">
        <v>10174</v>
      </c>
      <c r="L826" s="295">
        <f>IF(tabItens[[#This Row],[Média]] &gt; 0, tabItens[[#This Row],[QTDE ATUAL]] / tabItens[[#This Row],[Média]],999.9)</f>
        <v>23.635386939734765</v>
      </c>
      <c r="M826" s="296">
        <v>0</v>
      </c>
      <c r="N826" s="297">
        <f>tabItens[[#This Row],[VALOR UNIT.]] * tabItens[[#This Row],[LC]]</f>
        <v>0</v>
      </c>
      <c r="O826" s="298"/>
      <c r="P826" s="299"/>
      <c r="Q826" s="300"/>
      <c r="R826" s="297"/>
      <c r="S826" s="301"/>
      <c r="T826" s="302">
        <f>ROUNDDOWN(IFERROR(tabItens[[#This Row],[ATA DT.VALID.]] - $D$1,0) / 30,0)</f>
        <v>-1504</v>
      </c>
      <c r="U826" s="287" t="s">
        <v>1179</v>
      </c>
      <c r="V826" s="303">
        <v>1</v>
      </c>
      <c r="W826" s="304" t="s">
        <v>2056</v>
      </c>
      <c r="X826" s="305">
        <v>67</v>
      </c>
      <c r="Y826" s="306">
        <v>5</v>
      </c>
      <c r="Z826" s="307"/>
      <c r="AA826" s="308"/>
      <c r="AB826" s="309"/>
      <c r="AC826" s="309"/>
      <c r="AD826" s="308"/>
      <c r="AE826" s="309"/>
      <c r="AF826" s="302"/>
      <c r="AG826" s="310" t="s">
        <v>2050</v>
      </c>
      <c r="AH826" s="311"/>
      <c r="AI826" s="302">
        <v>3972</v>
      </c>
      <c r="AJ826" s="311">
        <v>44560</v>
      </c>
      <c r="AK826" s="311" t="s">
        <v>883</v>
      </c>
      <c r="AL826" s="311">
        <v>44547</v>
      </c>
      <c r="AM826" s="301"/>
      <c r="AN826" s="290"/>
      <c r="AO826" s="312" t="str">
        <f>_xlfn.IFNA(IF(VLOOKUP(tabItens[[#This Row],[CÓDIGO]],tabExcluirDoEstoque[#Data],1,FALSE),"sim",""),"")</f>
        <v/>
      </c>
      <c r="AP826" s="313" t="str">
        <f ca="1">IF(OR(ISBLANK(tabItens[[#This Row],[ATA DT.VALID.]]),tabItens[[#This Row],[ATA DT.VALID.]]="",tabItens[[#This Row],[ATA DT.VALID.]]=" "),"",IF(TYPE(tabItens[[#This Row],[ATA DT.VALID.]])=1,ROUNDUP((tabItens[[#This Row],[ATA DT.VALID.]]-TODAY())/7,0),""))</f>
        <v/>
      </c>
      <c r="AQ826" s="314"/>
      <c r="AR826" s="315" t="str">
        <f>IF(ISBLANK(tabItens[[#This Row],[CÓDIGO]]),"",IFERROR(VLOOKUP(tabItens[[#This Row],[CÓDIGO]],Consumo!$C$2:$AC$869,26,FALSE),0))</f>
        <v>04.2023</v>
      </c>
      <c r="AS826" s="316">
        <f>SUMIF(Consumo!$C$3:$C$869,tabItens[[#This Row],[CÓDIGO]],Consumo!$N$3:$N$869) + SUMIF(Consumo!$C$3:$C$869,tabItens[[#This Row],[CÓDIGO]],Consumo!$O$3:$O$869) + SUMIF(Consumo!$C$3:$C$869,tabItens[[#This Row],[CÓDIGO]],Consumo!$P$3:$P$869) + SUMIF(Consumo!$C$3:$C$869,tabItens[[#This Row],[CÓDIGO]],Consumo!$Q$3:$Q$869)</f>
        <v>1800</v>
      </c>
      <c r="AT826" s="316">
        <f>SUMIF(Consumo!$C$3:$C$869,tabItens[[#This Row],[CÓDIGO]],Consumo!$Z$3:$Z$869)</f>
        <v>11914</v>
      </c>
      <c r="AU826" s="317">
        <f>SUMIF(Consumo!$C$3:$C$869,tabItens[[#This Row],[CÓDIGO]],Consumo!$AA$3:$AA$869)</f>
        <v>2010</v>
      </c>
      <c r="AV826" s="318">
        <f>SUMIF(Consumo!$C$3:$C$869,tabItens[[#This Row],[CÓDIGO]],Consumo!$Y$3:$Y$869)</f>
        <v>992.83333333333337</v>
      </c>
      <c r="AW826" s="291">
        <f>tabItens[[#This Row],[QTDE ATUAL]] + tabItens[[#This Row],[RC QTDE]] + tabItens[[#This Row],[AF SALDO]] + tabItens[[#This Row],[Recentes]]</f>
        <v>23466</v>
      </c>
      <c r="AX826" s="319">
        <v>117</v>
      </c>
      <c r="AY826" s="319">
        <v>4</v>
      </c>
      <c r="AZ826" s="319">
        <f>IF(ISBLANK(tabItens[[#This Row],[CÓDIGO]]),"",tabItens[[#This Row],[PontoMês]] * (AZ$2+tabItens[[#This Row],[PontoQtM]]))</f>
        <v>468</v>
      </c>
      <c r="BA826" s="318">
        <f>tabItens[[#This Row],[PontoPed]] - tabItens[[#This Row],[Saldo]] + (1/10)</f>
        <v>-22997.9</v>
      </c>
      <c r="BB826" s="318">
        <f xml:space="preserve"> tabItens[[#This Row],[PontoMês]] * BB$2 - tabItens[[#This Row],[QTDE ATUAL]] - (1/10)</f>
        <v>-23349.1</v>
      </c>
      <c r="BC826" s="320">
        <f>IF( tabItens[[#This Row],[PontoPed]]&gt;0, IF(tabItens[[#This Row],[PontoPed]]&lt;1, 1, IF( tabItens[[#This Row],[Saldo]]&gt;tabItens[[#This Row],[PontoPed]], 0, (tabItens[[#This Row],[PontoPed]]-tabItens[[#This Row],[Saldo]])/tabItens[[#This Row],[PontoPed]] ) ), 0 )</f>
        <v>0</v>
      </c>
      <c r="BD826" s="321">
        <f>ROUNDDOWN(IF( OR( AND(tabItens[[#This Row],[PontoPed]]&lt;tabItens[[#This Row],[Saldo]],tabItens[[#This Row],[Saldo]]&gt;0), tabItens[[#This Row],[PontoPed]]=0), 99, IF(AND(tabItens[[#This Row],[Saldo]]=0,tabItens[[#This Row],[PontoPed]]&gt;0), 0, (1-tabItens[[#This Row],[PctAb]])*10 ) ),0)</f>
        <v>99</v>
      </c>
      <c r="BE826" s="322">
        <f>MAX(ROUNDDOWN( IF(tabItens[[#This Row],[Abaixo]] &gt; 0,   tabItens[[#This Row],[Abaixo]] + (tabItens[[#This Row],[PontoMês]] * IF( OR( ISBLANK(tabItens[[#This Row],[ATA Nº/ANO]]), tabItens[[#This Row],[ATA Nº/ANO]] = ""),BE$2,BE$1)),0),0),0)</f>
        <v>0</v>
      </c>
      <c r="BF82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23">
        <f>SUMIF(Consumo!$C$3:$C$869,tabItens[[#This Row],[CÓDIGO]],Consumo!$E$3:$E$869)</f>
        <v>0</v>
      </c>
      <c r="BH826" s="324">
        <f>IF(AND(tabItens[[#This Row],[Pend]] &gt; 0,tabItens[[#This Row],[Consumo]] &lt;&gt; 0), tabItens[[#This Row],[Pend]] / tabItens[[#This Row],[Consumo]], 0 )</f>
        <v>0</v>
      </c>
      <c r="BI826" s="323"/>
      <c r="BJ826" s="323"/>
      <c r="BK826" s="325" t="s">
        <v>2064</v>
      </c>
    </row>
    <row r="827" spans="1:63" hidden="1" x14ac:dyDescent="0.3">
      <c r="A827" s="286">
        <v>64466</v>
      </c>
      <c r="B827" s="287" t="s">
        <v>1369</v>
      </c>
      <c r="C827" s="288" t="s">
        <v>256</v>
      </c>
      <c r="D827" s="289">
        <v>7.0000000000000007E-2</v>
      </c>
      <c r="E827" s="290"/>
      <c r="F827" s="290"/>
      <c r="G827" s="290" t="s">
        <v>883</v>
      </c>
      <c r="H827" s="291">
        <v>5067</v>
      </c>
      <c r="I827" s="292">
        <v>103003</v>
      </c>
      <c r="J827" s="293">
        <v>7.0000000000000007E-2</v>
      </c>
      <c r="K827" s="294">
        <v>195</v>
      </c>
      <c r="L827" s="295">
        <f>IF(tabItens[[#This Row],[Média]] &gt; 0, tabItens[[#This Row],[QTDE ATUAL]] / tabItens[[#This Row],[Média]],999.9)</f>
        <v>366.28915662650599</v>
      </c>
      <c r="M827" s="296">
        <v>0</v>
      </c>
      <c r="N827" s="297">
        <f>tabItens[[#This Row],[VALOR UNIT.]] * tabItens[[#This Row],[LC]]</f>
        <v>0</v>
      </c>
      <c r="O827" s="298"/>
      <c r="P827" s="299"/>
      <c r="Q827" s="300"/>
      <c r="R827" s="297"/>
      <c r="S827" s="301"/>
      <c r="T827" s="302">
        <f>ROUNDDOWN(IFERROR(tabItens[[#This Row],[ATA DT.VALID.]] - $D$1,0) / 30,0)</f>
        <v>-1504</v>
      </c>
      <c r="U827" s="287" t="s">
        <v>1179</v>
      </c>
      <c r="V827" s="303">
        <v>1</v>
      </c>
      <c r="W827" s="304" t="s">
        <v>2056</v>
      </c>
      <c r="X827" s="305">
        <v>67</v>
      </c>
      <c r="Y827" s="306">
        <v>5</v>
      </c>
      <c r="Z827" s="307"/>
      <c r="AA827" s="308"/>
      <c r="AB827" s="309"/>
      <c r="AC827" s="309"/>
      <c r="AD827" s="308"/>
      <c r="AE827" s="309"/>
      <c r="AF827" s="302"/>
      <c r="AG827" s="310" t="s">
        <v>2050</v>
      </c>
      <c r="AH827" s="311"/>
      <c r="AI827" s="302">
        <v>66</v>
      </c>
      <c r="AJ827" s="311">
        <v>43864</v>
      </c>
      <c r="AK827" s="311" t="s">
        <v>883</v>
      </c>
      <c r="AL827" s="311">
        <v>43826</v>
      </c>
      <c r="AM827" s="301"/>
      <c r="AN827" s="290"/>
      <c r="AO827" s="312" t="str">
        <f>_xlfn.IFNA(IF(VLOOKUP(tabItens[[#This Row],[CÓDIGO]],tabExcluirDoEstoque[#Data],1,FALSE),"sim",""),"")</f>
        <v/>
      </c>
      <c r="AP827" s="313" t="str">
        <f ca="1">IF(OR(ISBLANK(tabItens[[#This Row],[ATA DT.VALID.]]),tabItens[[#This Row],[ATA DT.VALID.]]="",tabItens[[#This Row],[ATA DT.VALID.]]=" "),"",IF(TYPE(tabItens[[#This Row],[ATA DT.VALID.]])=1,ROUNDUP((tabItens[[#This Row],[ATA DT.VALID.]]-TODAY())/7,0),""))</f>
        <v/>
      </c>
      <c r="AQ827" s="314"/>
      <c r="AR827" s="315" t="str">
        <f>IF(ISBLANK(tabItens[[#This Row],[CÓDIGO]]),"",IFERROR(VLOOKUP(tabItens[[#This Row],[CÓDIGO]],Consumo!$C$2:$AC$869,26,FALSE),0))</f>
        <v>03.2023</v>
      </c>
      <c r="AS827" s="316">
        <f>SUMIF(Consumo!$C$3:$C$869,tabItens[[#This Row],[CÓDIGO]],Consumo!$N$3:$N$869) + SUMIF(Consumo!$C$3:$C$869,tabItens[[#This Row],[CÓDIGO]],Consumo!$O$3:$O$869) + SUMIF(Consumo!$C$3:$C$869,tabItens[[#This Row],[CÓDIGO]],Consumo!$P$3:$P$869) + SUMIF(Consumo!$C$3:$C$869,tabItens[[#This Row],[CÓDIGO]],Consumo!$Q$3:$Q$869)</f>
        <v>0</v>
      </c>
      <c r="AT827" s="316">
        <f>SUMIF(Consumo!$C$3:$C$869,tabItens[[#This Row],[CÓDIGO]],Consumo!$Z$3:$Z$869)</f>
        <v>195</v>
      </c>
      <c r="AU827" s="317">
        <f>SUMIF(Consumo!$C$3:$C$869,tabItens[[#This Row],[CÓDIGO]],Consumo!$AA$3:$AA$869)</f>
        <v>115</v>
      </c>
      <c r="AV827" s="318">
        <f>SUMIF(Consumo!$C$3:$C$869,tabItens[[#This Row],[CÓDIGO]],Consumo!$Y$3:$Y$869)</f>
        <v>13.833333333333334</v>
      </c>
      <c r="AW827" s="291">
        <f>tabItens[[#This Row],[QTDE ATUAL]] + tabItens[[#This Row],[RC QTDE]] + tabItens[[#This Row],[AF SALDO]] + tabItens[[#This Row],[Recentes]]</f>
        <v>5067</v>
      </c>
      <c r="AX827" s="319">
        <v>23</v>
      </c>
      <c r="AY827" s="319">
        <v>4</v>
      </c>
      <c r="AZ827" s="319">
        <f>IF(ISBLANK(tabItens[[#This Row],[CÓDIGO]]),"",tabItens[[#This Row],[PontoMês]] * (AZ$2+tabItens[[#This Row],[PontoQtM]]))</f>
        <v>92</v>
      </c>
      <c r="BA827" s="318">
        <f>tabItens[[#This Row],[PontoPed]] - tabItens[[#This Row],[Saldo]] + (1/10)</f>
        <v>-4974.8999999999996</v>
      </c>
      <c r="BB827" s="318">
        <f xml:space="preserve"> tabItens[[#This Row],[PontoMês]] * BB$2 - tabItens[[#This Row],[QTDE ATUAL]] - (1/10)</f>
        <v>-5044.1000000000004</v>
      </c>
      <c r="BC827" s="320">
        <f>IF( tabItens[[#This Row],[PontoPed]]&gt;0, IF(tabItens[[#This Row],[PontoPed]]&lt;1, 1, IF( tabItens[[#This Row],[Saldo]]&gt;tabItens[[#This Row],[PontoPed]], 0, (tabItens[[#This Row],[PontoPed]]-tabItens[[#This Row],[Saldo]])/tabItens[[#This Row],[PontoPed]] ) ), 0 )</f>
        <v>0</v>
      </c>
      <c r="BD827" s="321">
        <f>ROUNDDOWN(IF( OR( AND(tabItens[[#This Row],[PontoPed]]&lt;tabItens[[#This Row],[Saldo]],tabItens[[#This Row],[Saldo]]&gt;0), tabItens[[#This Row],[PontoPed]]=0), 99, IF(AND(tabItens[[#This Row],[Saldo]]=0,tabItens[[#This Row],[PontoPed]]&gt;0), 0, (1-tabItens[[#This Row],[PctAb]])*10 ) ),0)</f>
        <v>99</v>
      </c>
      <c r="BE827" s="322">
        <f>MAX(ROUNDDOWN( IF(tabItens[[#This Row],[Abaixo]] &gt; 0,   tabItens[[#This Row],[Abaixo]] + (tabItens[[#This Row],[PontoMês]] * IF( OR( ISBLANK(tabItens[[#This Row],[ATA Nº/ANO]]), tabItens[[#This Row],[ATA Nº/ANO]] = ""),BE$2,BE$1)),0),0),0)</f>
        <v>0</v>
      </c>
      <c r="BF82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23">
        <f>SUMIF(Consumo!$C$3:$C$869,tabItens[[#This Row],[CÓDIGO]],Consumo!$E$3:$E$869)</f>
        <v>0</v>
      </c>
      <c r="BH827" s="324">
        <f>IF(AND(tabItens[[#This Row],[Pend]] &gt; 0,tabItens[[#This Row],[Consumo]] &lt;&gt; 0), tabItens[[#This Row],[Pend]] / tabItens[[#This Row],[Consumo]], 0 )</f>
        <v>0</v>
      </c>
      <c r="BI827" s="323"/>
      <c r="BJ827" s="323"/>
      <c r="BK827" s="325" t="s">
        <v>2064</v>
      </c>
    </row>
    <row r="828" spans="1:63" hidden="1" x14ac:dyDescent="0.3">
      <c r="A828" s="286">
        <v>88849</v>
      </c>
      <c r="B828" s="287" t="s">
        <v>1510</v>
      </c>
      <c r="C828" s="288" t="s">
        <v>400</v>
      </c>
      <c r="D828" s="289">
        <v>15.4</v>
      </c>
      <c r="E828" s="290"/>
      <c r="F828" s="290"/>
      <c r="G828" s="290" t="s">
        <v>883</v>
      </c>
      <c r="H828" s="291">
        <v>563</v>
      </c>
      <c r="I828" s="292">
        <v>103003</v>
      </c>
      <c r="J828" s="293">
        <v>15.4</v>
      </c>
      <c r="K828" s="294">
        <v>451</v>
      </c>
      <c r="L828" s="295">
        <f>IF(tabItens[[#This Row],[Média]] &gt; 0, tabItens[[#This Row],[QTDE ATUAL]] / tabItens[[#This Row],[Média]],999.9)</f>
        <v>18.92436974789916</v>
      </c>
      <c r="M828" s="296">
        <v>0</v>
      </c>
      <c r="N828" s="297">
        <f>tabItens[[#This Row],[VALOR UNIT.]] * tabItens[[#This Row],[LC]]</f>
        <v>0</v>
      </c>
      <c r="O828" s="298"/>
      <c r="P828" s="299"/>
      <c r="Q828" s="300"/>
      <c r="R828" s="297"/>
      <c r="S828" s="301"/>
      <c r="T828" s="302">
        <f>ROUNDDOWN(IFERROR(tabItens[[#This Row],[ATA DT.VALID.]] - $D$1,0) / 30,0)</f>
        <v>-1504</v>
      </c>
      <c r="U828" s="287" t="s">
        <v>1179</v>
      </c>
      <c r="V828" s="303">
        <v>1</v>
      </c>
      <c r="W828" s="304" t="s">
        <v>2056</v>
      </c>
      <c r="X828" s="305">
        <v>67</v>
      </c>
      <c r="Y828" s="306">
        <v>5</v>
      </c>
      <c r="Z828" s="307">
        <v>2488</v>
      </c>
      <c r="AA828" s="308">
        <v>2023</v>
      </c>
      <c r="AB828" s="309">
        <v>1000</v>
      </c>
      <c r="AC828" s="309"/>
      <c r="AD828" s="308"/>
      <c r="AE828" s="309"/>
      <c r="AF828" s="302"/>
      <c r="AG828" s="310" t="s">
        <v>2050</v>
      </c>
      <c r="AH828" s="311"/>
      <c r="AI828" s="302">
        <v>152</v>
      </c>
      <c r="AJ828" s="311">
        <v>44154</v>
      </c>
      <c r="AK828" s="311">
        <v>38664</v>
      </c>
      <c r="AL828" s="311">
        <v>44125</v>
      </c>
      <c r="AM828" s="301"/>
      <c r="AN828" s="290"/>
      <c r="AO828" s="312" t="str">
        <f>_xlfn.IFNA(IF(VLOOKUP(tabItens[[#This Row],[CÓDIGO]],tabExcluirDoEstoque[#Data],1,FALSE),"sim",""),"")</f>
        <v/>
      </c>
      <c r="AP828" s="313" t="str">
        <f ca="1">IF(OR(ISBLANK(tabItens[[#This Row],[ATA DT.VALID.]]),tabItens[[#This Row],[ATA DT.VALID.]]="",tabItens[[#This Row],[ATA DT.VALID.]]=" "),"",IF(TYPE(tabItens[[#This Row],[ATA DT.VALID.]])=1,ROUNDUP((tabItens[[#This Row],[ATA DT.VALID.]]-TODAY())/7,0),""))</f>
        <v/>
      </c>
      <c r="AQ828" s="314"/>
      <c r="AR828" s="315" t="str">
        <f>IF(ISBLANK(tabItens[[#This Row],[CÓDIGO]]),"",IFERROR(VLOOKUP(tabItens[[#This Row],[CÓDIGO]],Consumo!$C$2:$AC$869,26,FALSE),0))</f>
        <v>05.2023</v>
      </c>
      <c r="AS828" s="316">
        <f>SUMIF(Consumo!$C$3:$C$869,tabItens[[#This Row],[CÓDIGO]],Consumo!$N$3:$N$869) + SUMIF(Consumo!$C$3:$C$869,tabItens[[#This Row],[CÓDIGO]],Consumo!$O$3:$O$869) + SUMIF(Consumo!$C$3:$C$869,tabItens[[#This Row],[CÓDIGO]],Consumo!$P$3:$P$869) + SUMIF(Consumo!$C$3:$C$869,tabItens[[#This Row],[CÓDIGO]],Consumo!$Q$3:$Q$869)</f>
        <v>9</v>
      </c>
      <c r="AT828" s="316">
        <f>SUMIF(Consumo!$C$3:$C$869,tabItens[[#This Row],[CÓDIGO]],Consumo!$Z$3:$Z$869)</f>
        <v>457</v>
      </c>
      <c r="AU828" s="317">
        <f>SUMIF(Consumo!$C$3:$C$869,tabItens[[#This Row],[CÓDIGO]],Consumo!$AA$3:$AA$869)</f>
        <v>331</v>
      </c>
      <c r="AV828" s="318">
        <f>SUMIF(Consumo!$C$3:$C$869,tabItens[[#This Row],[CÓDIGO]],Consumo!$Y$3:$Y$869)</f>
        <v>29.75</v>
      </c>
      <c r="AW828" s="291">
        <f>tabItens[[#This Row],[QTDE ATUAL]] + tabItens[[#This Row],[RC QTDE]] + tabItens[[#This Row],[AF SALDO]] + tabItens[[#This Row],[Recentes]]</f>
        <v>1563</v>
      </c>
      <c r="AX828" s="319">
        <v>17</v>
      </c>
      <c r="AY828" s="319">
        <v>4</v>
      </c>
      <c r="AZ828" s="319">
        <f>IF(ISBLANK(tabItens[[#This Row],[CÓDIGO]]),"",tabItens[[#This Row],[PontoMês]] * (AZ$2+tabItens[[#This Row],[PontoQtM]]))</f>
        <v>68</v>
      </c>
      <c r="BA828" s="318">
        <f>tabItens[[#This Row],[PontoPed]] - tabItens[[#This Row],[Saldo]] + (1/10)</f>
        <v>-1494.9</v>
      </c>
      <c r="BB828" s="318">
        <f xml:space="preserve"> tabItens[[#This Row],[PontoMês]] * BB$2 - tabItens[[#This Row],[QTDE ATUAL]] - (1/10)</f>
        <v>-546.1</v>
      </c>
      <c r="BC828" s="320">
        <f>IF( tabItens[[#This Row],[PontoPed]]&gt;0, IF(tabItens[[#This Row],[PontoPed]]&lt;1, 1, IF( tabItens[[#This Row],[Saldo]]&gt;tabItens[[#This Row],[PontoPed]], 0, (tabItens[[#This Row],[PontoPed]]-tabItens[[#This Row],[Saldo]])/tabItens[[#This Row],[PontoPed]] ) ), 0 )</f>
        <v>0</v>
      </c>
      <c r="BD828" s="321">
        <f>ROUNDDOWN(IF( OR( AND(tabItens[[#This Row],[PontoPed]]&lt;tabItens[[#This Row],[Saldo]],tabItens[[#This Row],[Saldo]]&gt;0), tabItens[[#This Row],[PontoPed]]=0), 99, IF(AND(tabItens[[#This Row],[Saldo]]=0,tabItens[[#This Row],[PontoPed]]&gt;0), 0, (1-tabItens[[#This Row],[PctAb]])*10 ) ),0)</f>
        <v>99</v>
      </c>
      <c r="BE828" s="322">
        <f>MAX(ROUNDDOWN( IF(tabItens[[#This Row],[Abaixo]] &gt; 0,   tabItens[[#This Row],[Abaixo]] + (tabItens[[#This Row],[PontoMês]] * IF( OR( ISBLANK(tabItens[[#This Row],[ATA Nº/ANO]]), tabItens[[#This Row],[ATA Nº/ANO]] = ""),BE$2,BE$1)),0),0),0)</f>
        <v>0</v>
      </c>
      <c r="BF82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23">
        <f>SUMIF(Consumo!$C$3:$C$869,tabItens[[#This Row],[CÓDIGO]],Consumo!$E$3:$E$869)</f>
        <v>0</v>
      </c>
      <c r="BH828" s="324">
        <f>IF(AND(tabItens[[#This Row],[Pend]] &gt; 0,tabItens[[#This Row],[Consumo]] &lt;&gt; 0), tabItens[[#This Row],[Pend]] / tabItens[[#This Row],[Consumo]], 0 )</f>
        <v>0</v>
      </c>
      <c r="BI828" s="323"/>
      <c r="BJ828" s="323"/>
      <c r="BK828" s="325" t="s">
        <v>2064</v>
      </c>
    </row>
    <row r="829" spans="1:63" hidden="1" x14ac:dyDescent="0.3">
      <c r="A829" s="286">
        <v>14055</v>
      </c>
      <c r="B829" s="287" t="s">
        <v>1052</v>
      </c>
      <c r="C829" s="288" t="s">
        <v>400</v>
      </c>
      <c r="D829" s="289">
        <v>13.8</v>
      </c>
      <c r="E829" s="290"/>
      <c r="F829" s="290"/>
      <c r="G829" s="290" t="s">
        <v>883</v>
      </c>
      <c r="H829" s="291">
        <v>482</v>
      </c>
      <c r="I829" s="292">
        <v>103003</v>
      </c>
      <c r="J829" s="293">
        <v>13.8</v>
      </c>
      <c r="K829" s="294">
        <v>79</v>
      </c>
      <c r="L829" s="295">
        <f>IF(tabItens[[#This Row],[Média]] &gt; 0, tabItens[[#This Row],[QTDE ATUAL]] / tabItens[[#This Row],[Média]],999.9)</f>
        <v>72.3</v>
      </c>
      <c r="M829" s="296">
        <v>0</v>
      </c>
      <c r="N829" s="297">
        <f>tabItens[[#This Row],[VALOR UNIT.]] * tabItens[[#This Row],[LC]]</f>
        <v>0</v>
      </c>
      <c r="O829" s="298"/>
      <c r="P829" s="299"/>
      <c r="Q829" s="300"/>
      <c r="R829" s="297"/>
      <c r="S829" s="301"/>
      <c r="T829" s="302">
        <f>ROUNDDOWN(IFERROR(tabItens[[#This Row],[ATA DT.VALID.]] - $D$1,0) / 30,0)</f>
        <v>-1504</v>
      </c>
      <c r="U829" s="287" t="s">
        <v>989</v>
      </c>
      <c r="V829" s="303">
        <v>1</v>
      </c>
      <c r="W829" s="304" t="s">
        <v>2049</v>
      </c>
      <c r="X829" s="305">
        <v>67</v>
      </c>
      <c r="Y829" s="306">
        <v>6</v>
      </c>
      <c r="Z829" s="307"/>
      <c r="AA829" s="308"/>
      <c r="AB829" s="309"/>
      <c r="AC829" s="309"/>
      <c r="AD829" s="308"/>
      <c r="AE829" s="309"/>
      <c r="AF829" s="302"/>
      <c r="AG829" s="310" t="s">
        <v>2050</v>
      </c>
      <c r="AH829" s="311"/>
      <c r="AI829" s="302">
        <v>36</v>
      </c>
      <c r="AJ829" s="311">
        <v>43853</v>
      </c>
      <c r="AK829" s="311" t="s">
        <v>883</v>
      </c>
      <c r="AL829" s="311">
        <v>44921</v>
      </c>
      <c r="AM829" s="301"/>
      <c r="AN829" s="290"/>
      <c r="AO829" s="312" t="str">
        <f>_xlfn.IFNA(IF(VLOOKUP(tabItens[[#This Row],[CÓDIGO]],tabExcluirDoEstoque[#Data],1,FALSE),"sim",""),"")</f>
        <v/>
      </c>
      <c r="AP829" s="313" t="str">
        <f ca="1">IF(OR(ISBLANK(tabItens[[#This Row],[ATA DT.VALID.]]),tabItens[[#This Row],[ATA DT.VALID.]]="",tabItens[[#This Row],[ATA DT.VALID.]]=" "),"",IF(TYPE(tabItens[[#This Row],[ATA DT.VALID.]])=1,ROUNDUP((tabItens[[#This Row],[ATA DT.VALID.]]-TODAY())/7,0),""))</f>
        <v/>
      </c>
      <c r="AQ829" s="314"/>
      <c r="AR829" s="315" t="str">
        <f>IF(ISBLANK(tabItens[[#This Row],[CÓDIGO]]),"",IFERROR(VLOOKUP(tabItens[[#This Row],[CÓDIGO]],Consumo!$C$2:$AC$869,26,FALSE),0))</f>
        <v>06.2023</v>
      </c>
      <c r="AS829" s="316">
        <f>SUMIF(Consumo!$C$3:$C$869,tabItens[[#This Row],[CÓDIGO]],Consumo!$N$3:$N$869) + SUMIF(Consumo!$C$3:$C$869,tabItens[[#This Row],[CÓDIGO]],Consumo!$O$3:$O$869) + SUMIF(Consumo!$C$3:$C$869,tabItens[[#This Row],[CÓDIGO]],Consumo!$P$3:$P$869) + SUMIF(Consumo!$C$3:$C$869,tabItens[[#This Row],[CÓDIGO]],Consumo!$Q$3:$Q$869)</f>
        <v>62</v>
      </c>
      <c r="AT829" s="316">
        <f>SUMIF(Consumo!$C$3:$C$869,tabItens[[#This Row],[CÓDIGO]],Consumo!$Z$3:$Z$869)</f>
        <v>82</v>
      </c>
      <c r="AU829" s="317">
        <f>SUMIF(Consumo!$C$3:$C$869,tabItens[[#This Row],[CÓDIGO]],Consumo!$AA$3:$AA$869)</f>
        <v>26</v>
      </c>
      <c r="AV829" s="318">
        <f>SUMIF(Consumo!$C$3:$C$869,tabItens[[#This Row],[CÓDIGO]],Consumo!$Y$3:$Y$869)</f>
        <v>6.666666666666667</v>
      </c>
      <c r="AW829" s="291">
        <f>tabItens[[#This Row],[QTDE ATUAL]] + tabItens[[#This Row],[RC QTDE]] + tabItens[[#This Row],[AF SALDO]] + tabItens[[#This Row],[Recentes]]</f>
        <v>482</v>
      </c>
      <c r="AX829" s="319">
        <v>11</v>
      </c>
      <c r="AY829" s="319">
        <v>4</v>
      </c>
      <c r="AZ829" s="319">
        <f>IF(ISBLANK(tabItens[[#This Row],[CÓDIGO]]),"",tabItens[[#This Row],[PontoMês]] * (AZ$2+tabItens[[#This Row],[PontoQtM]]))</f>
        <v>44</v>
      </c>
      <c r="BA829" s="318">
        <f>tabItens[[#This Row],[PontoPed]] - tabItens[[#This Row],[Saldo]] + (1/10)</f>
        <v>-437.9</v>
      </c>
      <c r="BB829" s="318">
        <f xml:space="preserve"> tabItens[[#This Row],[PontoMês]] * BB$2 - tabItens[[#This Row],[QTDE ATUAL]] - (1/10)</f>
        <v>-471.1</v>
      </c>
      <c r="BC829" s="320">
        <f>IF( tabItens[[#This Row],[PontoPed]]&gt;0, IF(tabItens[[#This Row],[PontoPed]]&lt;1, 1, IF( tabItens[[#This Row],[Saldo]]&gt;tabItens[[#This Row],[PontoPed]], 0, (tabItens[[#This Row],[PontoPed]]-tabItens[[#This Row],[Saldo]])/tabItens[[#This Row],[PontoPed]] ) ), 0 )</f>
        <v>0</v>
      </c>
      <c r="BD829" s="321">
        <f>ROUNDDOWN(IF( OR( AND(tabItens[[#This Row],[PontoPed]]&lt;tabItens[[#This Row],[Saldo]],tabItens[[#This Row],[Saldo]]&gt;0), tabItens[[#This Row],[PontoPed]]=0), 99, IF(AND(tabItens[[#This Row],[Saldo]]=0,tabItens[[#This Row],[PontoPed]]&gt;0), 0, (1-tabItens[[#This Row],[PctAb]])*10 ) ),0)</f>
        <v>99</v>
      </c>
      <c r="BE829" s="322">
        <f>MAX(ROUNDDOWN( IF(tabItens[[#This Row],[Abaixo]] &gt; 0,   tabItens[[#This Row],[Abaixo]] + (tabItens[[#This Row],[PontoMês]] * IF( OR( ISBLANK(tabItens[[#This Row],[ATA Nº/ANO]]), tabItens[[#This Row],[ATA Nº/ANO]] = ""),BE$2,BE$1)),0),0),0)</f>
        <v>0</v>
      </c>
      <c r="BF82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23">
        <f>SUMIF(Consumo!$C$3:$C$869,tabItens[[#This Row],[CÓDIGO]],Consumo!$E$3:$E$869)</f>
        <v>0</v>
      </c>
      <c r="BH829" s="324">
        <f>IF(AND(tabItens[[#This Row],[Pend]] &gt; 0,tabItens[[#This Row],[Consumo]] &lt;&gt; 0), tabItens[[#This Row],[Pend]] / tabItens[[#This Row],[Consumo]], 0 )</f>
        <v>0</v>
      </c>
      <c r="BI829" s="323"/>
      <c r="BJ829" s="323"/>
      <c r="BK829" s="325" t="s">
        <v>2064</v>
      </c>
    </row>
    <row r="830" spans="1:63" hidden="1" x14ac:dyDescent="0.3">
      <c r="A830" s="286">
        <v>18337</v>
      </c>
      <c r="B830" s="287" t="s">
        <v>1143</v>
      </c>
      <c r="C830" s="288" t="s">
        <v>400</v>
      </c>
      <c r="D830" s="289">
        <v>28.66</v>
      </c>
      <c r="E830" s="290"/>
      <c r="F830" s="290"/>
      <c r="G830" s="290" t="s">
        <v>883</v>
      </c>
      <c r="H830" s="291">
        <v>22</v>
      </c>
      <c r="I830" s="292">
        <v>103003</v>
      </c>
      <c r="J830" s="293">
        <v>28.66</v>
      </c>
      <c r="K830" s="294">
        <v>7</v>
      </c>
      <c r="L830" s="295">
        <f>IF(tabItens[[#This Row],[Média]] &gt; 0, tabItens[[#This Row],[QTDE ATUAL]] / tabItens[[#This Row],[Média]],999.9)</f>
        <v>52.8</v>
      </c>
      <c r="M830" s="296">
        <v>0</v>
      </c>
      <c r="N830" s="297">
        <f>tabItens[[#This Row],[VALOR UNIT.]] * tabItens[[#This Row],[LC]]</f>
        <v>0</v>
      </c>
      <c r="O830" s="298"/>
      <c r="P830" s="299"/>
      <c r="Q830" s="300"/>
      <c r="R830" s="297"/>
      <c r="S830" s="301"/>
      <c r="T830" s="302">
        <f>ROUNDDOWN(IFERROR(tabItens[[#This Row],[ATA DT.VALID.]] - $D$1,0) / 30,0)</f>
        <v>-1504</v>
      </c>
      <c r="U830" s="287" t="s">
        <v>989</v>
      </c>
      <c r="V830" s="303">
        <v>1</v>
      </c>
      <c r="W830" s="304" t="s">
        <v>2049</v>
      </c>
      <c r="X830" s="305">
        <v>67</v>
      </c>
      <c r="Y830" s="306">
        <v>6</v>
      </c>
      <c r="Z830" s="307"/>
      <c r="AA830" s="308"/>
      <c r="AB830" s="309"/>
      <c r="AC830" s="309"/>
      <c r="AD830" s="308"/>
      <c r="AE830" s="309"/>
      <c r="AF830" s="302"/>
      <c r="AG830" s="310" t="s">
        <v>2050</v>
      </c>
      <c r="AH830" s="311"/>
      <c r="AI830" s="302">
        <v>2</v>
      </c>
      <c r="AJ830" s="311">
        <v>43571</v>
      </c>
      <c r="AK830" s="311" t="s">
        <v>883</v>
      </c>
      <c r="AL830" s="311">
        <v>44547</v>
      </c>
      <c r="AM830" s="301"/>
      <c r="AN830" s="290"/>
      <c r="AO830" s="312" t="str">
        <f>_xlfn.IFNA(IF(VLOOKUP(tabItens[[#This Row],[CÓDIGO]],tabExcluirDoEstoque[#Data],1,FALSE),"sim",""),"")</f>
        <v/>
      </c>
      <c r="AP830" s="313" t="str">
        <f ca="1">IF(OR(ISBLANK(tabItens[[#This Row],[ATA DT.VALID.]]),tabItens[[#This Row],[ATA DT.VALID.]]="",tabItens[[#This Row],[ATA DT.VALID.]]=" "),"",IF(TYPE(tabItens[[#This Row],[ATA DT.VALID.]])=1,ROUNDUP((tabItens[[#This Row],[ATA DT.VALID.]]-TODAY())/7,0),""))</f>
        <v/>
      </c>
      <c r="AQ830" s="314"/>
      <c r="AR830" s="315" t="str">
        <f>IF(ISBLANK(tabItens[[#This Row],[CÓDIGO]]),"",IFERROR(VLOOKUP(tabItens[[#This Row],[CÓDIGO]],Consumo!$C$2:$AC$869,26,FALSE),0))</f>
        <v>01.2023</v>
      </c>
      <c r="AS830" s="316">
        <f>SUMIF(Consumo!$C$3:$C$869,tabItens[[#This Row],[CÓDIGO]],Consumo!$N$3:$N$869) + SUMIF(Consumo!$C$3:$C$869,tabItens[[#This Row],[CÓDIGO]],Consumo!$O$3:$O$869) + SUMIF(Consumo!$C$3:$C$869,tabItens[[#This Row],[CÓDIGO]],Consumo!$P$3:$P$869) + SUMIF(Consumo!$C$3:$C$869,tabItens[[#This Row],[CÓDIGO]],Consumo!$Q$3:$Q$869)</f>
        <v>0</v>
      </c>
      <c r="AT830" s="316">
        <f>SUMIF(Consumo!$C$3:$C$869,tabItens[[#This Row],[CÓDIGO]],Consumo!$Z$3:$Z$869)</f>
        <v>7</v>
      </c>
      <c r="AU830" s="317">
        <f>SUMIF(Consumo!$C$3:$C$869,tabItens[[#This Row],[CÓDIGO]],Consumo!$AA$3:$AA$869)</f>
        <v>5</v>
      </c>
      <c r="AV830" s="318">
        <f>SUMIF(Consumo!$C$3:$C$869,tabItens[[#This Row],[CÓDIGO]],Consumo!$Y$3:$Y$869)</f>
        <v>0.41666666666666669</v>
      </c>
      <c r="AW830" s="291">
        <f>tabItens[[#This Row],[QTDE ATUAL]] + tabItens[[#This Row],[RC QTDE]] + tabItens[[#This Row],[AF SALDO]] + tabItens[[#This Row],[Recentes]]</f>
        <v>22</v>
      </c>
      <c r="AX830" s="319">
        <v>0</v>
      </c>
      <c r="AY830" s="319">
        <v>4</v>
      </c>
      <c r="AZ830" s="319">
        <f>IF(ISBLANK(tabItens[[#This Row],[CÓDIGO]]),"",tabItens[[#This Row],[PontoMês]] * (AZ$2+tabItens[[#This Row],[PontoQtM]]))</f>
        <v>0</v>
      </c>
      <c r="BA830" s="318">
        <f>tabItens[[#This Row],[PontoPed]] - tabItens[[#This Row],[Saldo]] + (1/10)</f>
        <v>-21.9</v>
      </c>
      <c r="BB830" s="318">
        <f xml:space="preserve"> tabItens[[#This Row],[PontoMês]] * BB$2 - tabItens[[#This Row],[QTDE ATUAL]] - (1/10)</f>
        <v>-22.1</v>
      </c>
      <c r="BC830" s="320">
        <f>IF( tabItens[[#This Row],[PontoPed]]&gt;0, IF(tabItens[[#This Row],[PontoPed]]&lt;1, 1, IF( tabItens[[#This Row],[Saldo]]&gt;tabItens[[#This Row],[PontoPed]], 0, (tabItens[[#This Row],[PontoPed]]-tabItens[[#This Row],[Saldo]])/tabItens[[#This Row],[PontoPed]] ) ), 0 )</f>
        <v>0</v>
      </c>
      <c r="BD830" s="321">
        <f>ROUNDDOWN(IF( OR( AND(tabItens[[#This Row],[PontoPed]]&lt;tabItens[[#This Row],[Saldo]],tabItens[[#This Row],[Saldo]]&gt;0), tabItens[[#This Row],[PontoPed]]=0), 99, IF(AND(tabItens[[#This Row],[Saldo]]=0,tabItens[[#This Row],[PontoPed]]&gt;0), 0, (1-tabItens[[#This Row],[PctAb]])*10 ) ),0)</f>
        <v>99</v>
      </c>
      <c r="BE830" s="322">
        <f>MAX(ROUNDDOWN( IF(tabItens[[#This Row],[Abaixo]] &gt; 0,   tabItens[[#This Row],[Abaixo]] + (tabItens[[#This Row],[PontoMês]] * IF( OR( ISBLANK(tabItens[[#This Row],[ATA Nº/ANO]]), tabItens[[#This Row],[ATA Nº/ANO]] = ""),BE$2,BE$1)),0),0),0)</f>
        <v>0</v>
      </c>
      <c r="BF83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23">
        <f>SUMIF(Consumo!$C$3:$C$869,tabItens[[#This Row],[CÓDIGO]],Consumo!$E$3:$E$869)</f>
        <v>0</v>
      </c>
      <c r="BH830" s="324">
        <f>IF(AND(tabItens[[#This Row],[Pend]] &gt; 0,tabItens[[#This Row],[Consumo]] &lt;&gt; 0), tabItens[[#This Row],[Pend]] / tabItens[[#This Row],[Consumo]], 0 )</f>
        <v>0</v>
      </c>
      <c r="BI830" s="323"/>
      <c r="BJ830" s="323"/>
      <c r="BK830" s="325" t="s">
        <v>2064</v>
      </c>
    </row>
    <row r="831" spans="1:63" hidden="1" x14ac:dyDescent="0.3">
      <c r="A831" s="286">
        <v>18346</v>
      </c>
      <c r="B831" s="287" t="s">
        <v>1144</v>
      </c>
      <c r="C831" s="288" t="s">
        <v>400</v>
      </c>
      <c r="D831" s="289">
        <v>14.87</v>
      </c>
      <c r="E831" s="290"/>
      <c r="F831" s="290"/>
      <c r="G831" s="290" t="s">
        <v>883</v>
      </c>
      <c r="H831" s="291">
        <v>251</v>
      </c>
      <c r="I831" s="292">
        <v>103003</v>
      </c>
      <c r="J831" s="293">
        <v>14.87</v>
      </c>
      <c r="K831" s="294">
        <v>10</v>
      </c>
      <c r="L831" s="295">
        <f>IF(tabItens[[#This Row],[Média]] &gt; 0, tabItens[[#This Row],[QTDE ATUAL]] / tabItens[[#This Row],[Média]],999.9)</f>
        <v>334.66666666666669</v>
      </c>
      <c r="M831" s="296">
        <v>0</v>
      </c>
      <c r="N831" s="297">
        <f>tabItens[[#This Row],[VALOR UNIT.]] * tabItens[[#This Row],[LC]]</f>
        <v>0</v>
      </c>
      <c r="O831" s="298"/>
      <c r="P831" s="299"/>
      <c r="Q831" s="300"/>
      <c r="R831" s="297"/>
      <c r="S831" s="301"/>
      <c r="T831" s="302">
        <f>ROUNDDOWN(IFERROR(tabItens[[#This Row],[ATA DT.VALID.]] - $D$1,0) / 30,0)</f>
        <v>-1504</v>
      </c>
      <c r="U831" s="287" t="s">
        <v>989</v>
      </c>
      <c r="V831" s="303">
        <v>1</v>
      </c>
      <c r="W831" s="304" t="s">
        <v>2049</v>
      </c>
      <c r="X831" s="305">
        <v>67</v>
      </c>
      <c r="Y831" s="306">
        <v>6</v>
      </c>
      <c r="Z831" s="307"/>
      <c r="AA831" s="308"/>
      <c r="AB831" s="309"/>
      <c r="AC831" s="309"/>
      <c r="AD831" s="308"/>
      <c r="AE831" s="309"/>
      <c r="AF831" s="302"/>
      <c r="AG831" s="310" t="s">
        <v>2050</v>
      </c>
      <c r="AH831" s="311"/>
      <c r="AI831" s="302">
        <v>4</v>
      </c>
      <c r="AJ831" s="311">
        <v>43853</v>
      </c>
      <c r="AK831" s="311" t="s">
        <v>883</v>
      </c>
      <c r="AL831" s="311">
        <v>44922</v>
      </c>
      <c r="AM831" s="301"/>
      <c r="AN831" s="290"/>
      <c r="AO831" s="312" t="str">
        <f>_xlfn.IFNA(IF(VLOOKUP(tabItens[[#This Row],[CÓDIGO]],tabExcluirDoEstoque[#Data],1,FALSE),"sim",""),"")</f>
        <v/>
      </c>
      <c r="AP831" s="313" t="str">
        <f ca="1">IF(OR(ISBLANK(tabItens[[#This Row],[ATA DT.VALID.]]),tabItens[[#This Row],[ATA DT.VALID.]]="",tabItens[[#This Row],[ATA DT.VALID.]]=" "),"",IF(TYPE(tabItens[[#This Row],[ATA DT.VALID.]])=1,ROUNDUP((tabItens[[#This Row],[ATA DT.VALID.]]-TODAY())/7,0),""))</f>
        <v/>
      </c>
      <c r="AQ831" s="314"/>
      <c r="AR831" s="315" t="str">
        <f>IF(ISBLANK(tabItens[[#This Row],[CÓDIGO]]),"",IFERROR(VLOOKUP(tabItens[[#This Row],[CÓDIGO]],Consumo!$C$2:$AC$869,26,FALSE),0))</f>
        <v>03.2023</v>
      </c>
      <c r="AS831" s="316">
        <f>SUMIF(Consumo!$C$3:$C$869,tabItens[[#This Row],[CÓDIGO]],Consumo!$N$3:$N$869) + SUMIF(Consumo!$C$3:$C$869,tabItens[[#This Row],[CÓDIGO]],Consumo!$O$3:$O$869) + SUMIF(Consumo!$C$3:$C$869,tabItens[[#This Row],[CÓDIGO]],Consumo!$P$3:$P$869) + SUMIF(Consumo!$C$3:$C$869,tabItens[[#This Row],[CÓDIGO]],Consumo!$Q$3:$Q$869)</f>
        <v>0</v>
      </c>
      <c r="AT831" s="316">
        <f>SUMIF(Consumo!$C$3:$C$869,tabItens[[#This Row],[CÓDIGO]],Consumo!$Z$3:$Z$869)</f>
        <v>10</v>
      </c>
      <c r="AU831" s="317">
        <f>SUMIF(Consumo!$C$3:$C$869,tabItens[[#This Row],[CÓDIGO]],Consumo!$AA$3:$AA$869)</f>
        <v>4</v>
      </c>
      <c r="AV831" s="318">
        <f>SUMIF(Consumo!$C$3:$C$869,tabItens[[#This Row],[CÓDIGO]],Consumo!$Y$3:$Y$869)</f>
        <v>0.75</v>
      </c>
      <c r="AW831" s="291">
        <f>tabItens[[#This Row],[QTDE ATUAL]] + tabItens[[#This Row],[RC QTDE]] + tabItens[[#This Row],[AF SALDO]] + tabItens[[#This Row],[Recentes]]</f>
        <v>251</v>
      </c>
      <c r="AX831" s="319">
        <v>3</v>
      </c>
      <c r="AY831" s="319">
        <v>4</v>
      </c>
      <c r="AZ831" s="319">
        <f>IF(ISBLANK(tabItens[[#This Row],[CÓDIGO]]),"",tabItens[[#This Row],[PontoMês]] * (AZ$2+tabItens[[#This Row],[PontoQtM]]))</f>
        <v>12</v>
      </c>
      <c r="BA831" s="318">
        <f>tabItens[[#This Row],[PontoPed]] - tabItens[[#This Row],[Saldo]] + (1/10)</f>
        <v>-238.9</v>
      </c>
      <c r="BB831" s="318">
        <f xml:space="preserve"> tabItens[[#This Row],[PontoMês]] * BB$2 - tabItens[[#This Row],[QTDE ATUAL]] - (1/10)</f>
        <v>-248.1</v>
      </c>
      <c r="BC831" s="320">
        <f>IF( tabItens[[#This Row],[PontoPed]]&gt;0, IF(tabItens[[#This Row],[PontoPed]]&lt;1, 1, IF( tabItens[[#This Row],[Saldo]]&gt;tabItens[[#This Row],[PontoPed]], 0, (tabItens[[#This Row],[PontoPed]]-tabItens[[#This Row],[Saldo]])/tabItens[[#This Row],[PontoPed]] ) ), 0 )</f>
        <v>0</v>
      </c>
      <c r="BD831" s="321">
        <f>ROUNDDOWN(IF( OR( AND(tabItens[[#This Row],[PontoPed]]&lt;tabItens[[#This Row],[Saldo]],tabItens[[#This Row],[Saldo]]&gt;0), tabItens[[#This Row],[PontoPed]]=0), 99, IF(AND(tabItens[[#This Row],[Saldo]]=0,tabItens[[#This Row],[PontoPed]]&gt;0), 0, (1-tabItens[[#This Row],[PctAb]])*10 ) ),0)</f>
        <v>99</v>
      </c>
      <c r="BE831" s="322">
        <f>MAX(ROUNDDOWN( IF(tabItens[[#This Row],[Abaixo]] &gt; 0,   tabItens[[#This Row],[Abaixo]] + (tabItens[[#This Row],[PontoMês]] * IF( OR( ISBLANK(tabItens[[#This Row],[ATA Nº/ANO]]), tabItens[[#This Row],[ATA Nº/ANO]] = ""),BE$2,BE$1)),0),0),0)</f>
        <v>0</v>
      </c>
      <c r="BF83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23">
        <f>SUMIF(Consumo!$C$3:$C$869,tabItens[[#This Row],[CÓDIGO]],Consumo!$E$3:$E$869)</f>
        <v>0</v>
      </c>
      <c r="BH831" s="324">
        <f>IF(AND(tabItens[[#This Row],[Pend]] &gt; 0,tabItens[[#This Row],[Consumo]] &lt;&gt; 0), tabItens[[#This Row],[Pend]] / tabItens[[#This Row],[Consumo]], 0 )</f>
        <v>0</v>
      </c>
      <c r="BI831" s="323"/>
      <c r="BJ831" s="323"/>
      <c r="BK831" s="325" t="s">
        <v>2064</v>
      </c>
    </row>
    <row r="832" spans="1:63" x14ac:dyDescent="0.3">
      <c r="A832" s="396">
        <v>18353</v>
      </c>
      <c r="B832" s="397" t="s">
        <v>1145</v>
      </c>
      <c r="C832" s="398" t="s">
        <v>400</v>
      </c>
      <c r="D832" s="399">
        <v>10.9</v>
      </c>
      <c r="E832" s="290"/>
      <c r="F832" s="400"/>
      <c r="G832" s="400" t="s">
        <v>883</v>
      </c>
      <c r="H832" s="401">
        <v>0</v>
      </c>
      <c r="I832" s="292">
        <v>103003</v>
      </c>
      <c r="J832" s="293">
        <v>10.9</v>
      </c>
      <c r="K832" s="402">
        <v>125</v>
      </c>
      <c r="L832" s="403">
        <f>IF(tabItens[[#This Row],[Média]] &gt; 0, tabItens[[#This Row],[QTDE ATUAL]] / tabItens[[#This Row],[Média]],999.9)</f>
        <v>0</v>
      </c>
      <c r="M832" s="404">
        <v>0</v>
      </c>
      <c r="N832" s="405">
        <f>tabItens[[#This Row],[VALOR UNIT.]] * tabItens[[#This Row],[LC]]</f>
        <v>0</v>
      </c>
      <c r="O832" s="406"/>
      <c r="P832" s="407"/>
      <c r="Q832" s="408"/>
      <c r="R832" s="297"/>
      <c r="S832" s="409"/>
      <c r="T832" s="410">
        <f>ROUNDDOWN(IFERROR(tabItens[[#This Row],[ATA DT.VALID.]] - $D$1,0) / 30,0)</f>
        <v>-1504</v>
      </c>
      <c r="U832" s="287" t="s">
        <v>989</v>
      </c>
      <c r="V832" s="303">
        <v>1</v>
      </c>
      <c r="W832" s="411" t="s">
        <v>2049</v>
      </c>
      <c r="X832" s="412">
        <v>67</v>
      </c>
      <c r="Y832" s="413">
        <v>6</v>
      </c>
      <c r="Z832" s="414">
        <v>2480</v>
      </c>
      <c r="AA832" s="415">
        <v>2023</v>
      </c>
      <c r="AB832" s="416">
        <v>1000</v>
      </c>
      <c r="AC832" s="416"/>
      <c r="AD832" s="415"/>
      <c r="AE832" s="416"/>
      <c r="AF832" s="302"/>
      <c r="AG832" s="417" t="s">
        <v>2050</v>
      </c>
      <c r="AH832" s="418"/>
      <c r="AI832" s="302">
        <v>80</v>
      </c>
      <c r="AJ832" s="418">
        <v>44943</v>
      </c>
      <c r="AK832" s="311" t="s">
        <v>883</v>
      </c>
      <c r="AL832" s="311">
        <v>45105</v>
      </c>
      <c r="AM832" s="301"/>
      <c r="AN832" s="290"/>
      <c r="AO832" s="312" t="str">
        <f>_xlfn.IFNA(IF(VLOOKUP(tabItens[[#This Row],[CÓDIGO]],tabExcluirDoEstoque[#Data],1,FALSE),"sim",""),"")</f>
        <v/>
      </c>
      <c r="AP832" s="419" t="str">
        <f ca="1">IF(OR(ISBLANK(tabItens[[#This Row],[ATA DT.VALID.]]),tabItens[[#This Row],[ATA DT.VALID.]]="",tabItens[[#This Row],[ATA DT.VALID.]]=" "),"",IF(TYPE(tabItens[[#This Row],[ATA DT.VALID.]])=1,ROUNDUP((tabItens[[#This Row],[ATA DT.VALID.]]-TODAY())/7,0),""))</f>
        <v/>
      </c>
      <c r="AQ832" s="314"/>
      <c r="AR832" s="315" t="str">
        <f>IF(ISBLANK(tabItens[[#This Row],[CÓDIGO]]),"",IFERROR(VLOOKUP(tabItens[[#This Row],[CÓDIGO]],Consumo!$C$2:$AC$869,26,FALSE),0))</f>
        <v>06.2023</v>
      </c>
      <c r="AS832" s="316">
        <f>SUMIF(Consumo!$C$3:$C$869,tabItens[[#This Row],[CÓDIGO]],Consumo!$N$3:$N$869) + SUMIF(Consumo!$C$3:$C$869,tabItens[[#This Row],[CÓDIGO]],Consumo!$O$3:$O$869) + SUMIF(Consumo!$C$3:$C$869,tabItens[[#This Row],[CÓDIGO]],Consumo!$P$3:$P$869) + SUMIF(Consumo!$C$3:$C$869,tabItens[[#This Row],[CÓDIGO]],Consumo!$Q$3:$Q$869)</f>
        <v>45</v>
      </c>
      <c r="AT832" s="316">
        <f>SUMIF(Consumo!$C$3:$C$869,tabItens[[#This Row],[CÓDIGO]],Consumo!$Z$3:$Z$869)</f>
        <v>163</v>
      </c>
      <c r="AU832" s="317">
        <f>SUMIF(Consumo!$C$3:$C$869,tabItens[[#This Row],[CÓDIGO]],Consumo!$AA$3:$AA$869)</f>
        <v>39</v>
      </c>
      <c r="AV832" s="318">
        <f>SUMIF(Consumo!$C$3:$C$869,tabItens[[#This Row],[CÓDIGO]],Consumo!$Y$3:$Y$869)</f>
        <v>13.5</v>
      </c>
      <c r="AW832" s="401">
        <f>tabItens[[#This Row],[QTDE ATUAL]] + tabItens[[#This Row],[RC QTDE]] + tabItens[[#This Row],[AF SALDO]] + tabItens[[#This Row],[Recentes]]</f>
        <v>1000</v>
      </c>
      <c r="AX832" s="420">
        <v>20</v>
      </c>
      <c r="AY832" s="420">
        <v>4</v>
      </c>
      <c r="AZ832" s="420">
        <f>IF(ISBLANK(tabItens[[#This Row],[CÓDIGO]]),"",tabItens[[#This Row],[PontoMês]] * (AZ$2+tabItens[[#This Row],[PontoQtM]]))</f>
        <v>80</v>
      </c>
      <c r="BA832" s="421">
        <f>tabItens[[#This Row],[PontoPed]] - tabItens[[#This Row],[Saldo]] + (1/10)</f>
        <v>-919.9</v>
      </c>
      <c r="BB832" s="421">
        <f xml:space="preserve"> tabItens[[#This Row],[PontoMês]] * BB$2 - tabItens[[#This Row],[QTDE ATUAL]] - (1/10)</f>
        <v>19.899999999999999</v>
      </c>
      <c r="BC832" s="320">
        <f>IF( tabItens[[#This Row],[PontoPed]]&gt;0, IF(tabItens[[#This Row],[PontoPed]]&lt;1, 1, IF( tabItens[[#This Row],[Saldo]]&gt;tabItens[[#This Row],[PontoPed]], 0, (tabItens[[#This Row],[PontoPed]]-tabItens[[#This Row],[Saldo]])/tabItens[[#This Row],[PontoPed]] ) ), 0 )</f>
        <v>0</v>
      </c>
      <c r="BD832" s="422">
        <f>ROUNDDOWN(IF( OR( AND(tabItens[[#This Row],[PontoPed]]&lt;tabItens[[#This Row],[Saldo]],tabItens[[#This Row],[Saldo]]&gt;0), tabItens[[#This Row],[PontoPed]]=0), 99, IF(AND(tabItens[[#This Row],[Saldo]]=0,tabItens[[#This Row],[PontoPed]]&gt;0), 0, (1-tabItens[[#This Row],[PctAb]])*10 ) ),0)</f>
        <v>99</v>
      </c>
      <c r="BE832" s="423">
        <f>MAX(ROUNDDOWN( IF(tabItens[[#This Row],[Abaixo]] &gt; 0,   tabItens[[#This Row],[Abaixo]] + (tabItens[[#This Row],[PontoMês]] * IF( OR( ISBLANK(tabItens[[#This Row],[ATA Nº/ANO]]), tabItens[[#This Row],[ATA Nº/ANO]] = ""),BE$2,BE$1)),0),0),0)</f>
        <v>0</v>
      </c>
      <c r="BF832"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23">
        <f>SUMIF(Consumo!$C$3:$C$869,tabItens[[#This Row],[CÓDIGO]],Consumo!$E$3:$E$869)</f>
        <v>22</v>
      </c>
      <c r="BH832" s="324">
        <f>IF(AND(tabItens[[#This Row],[Pend]] &gt; 0,tabItens[[#This Row],[Consumo]] &lt;&gt; 0), tabItens[[#This Row],[Pend]] / tabItens[[#This Row],[Consumo]], 0 )</f>
        <v>0.13496932515337423</v>
      </c>
      <c r="BI832" s="323"/>
      <c r="BJ832" s="424"/>
      <c r="BK832" s="425" t="s">
        <v>2064</v>
      </c>
    </row>
    <row r="833" spans="1:63" hidden="1" x14ac:dyDescent="0.3">
      <c r="A833" s="286">
        <v>18357</v>
      </c>
      <c r="B833" s="287" t="s">
        <v>1146</v>
      </c>
      <c r="C833" s="288" t="s">
        <v>400</v>
      </c>
      <c r="D833" s="289">
        <v>11.48</v>
      </c>
      <c r="E833" s="290"/>
      <c r="F833" s="290"/>
      <c r="G833" s="290" t="s">
        <v>883</v>
      </c>
      <c r="H833" s="291">
        <v>329</v>
      </c>
      <c r="I833" s="292">
        <v>103003</v>
      </c>
      <c r="J833" s="293">
        <v>11.48</v>
      </c>
      <c r="K833" s="294">
        <v>133</v>
      </c>
      <c r="L833" s="295">
        <f>IF(tabItens[[#This Row],[Média]] &gt; 0, tabItens[[#This Row],[QTDE ATUAL]] / tabItens[[#This Row],[Média]],999.9)</f>
        <v>24.674999999999997</v>
      </c>
      <c r="M833" s="296">
        <v>0</v>
      </c>
      <c r="N833" s="297">
        <f>tabItens[[#This Row],[VALOR UNIT.]] * tabItens[[#This Row],[LC]]</f>
        <v>0</v>
      </c>
      <c r="O833" s="298"/>
      <c r="P833" s="299"/>
      <c r="Q833" s="300"/>
      <c r="R833" s="297"/>
      <c r="S833" s="301"/>
      <c r="T833" s="302">
        <f>ROUNDDOWN(IFERROR(tabItens[[#This Row],[ATA DT.VALID.]] - $D$1,0) / 30,0)</f>
        <v>-1504</v>
      </c>
      <c r="U833" s="287" t="s">
        <v>989</v>
      </c>
      <c r="V833" s="303">
        <v>1</v>
      </c>
      <c r="W833" s="304" t="s">
        <v>2049</v>
      </c>
      <c r="X833" s="305">
        <v>67</v>
      </c>
      <c r="Y833" s="306">
        <v>6</v>
      </c>
      <c r="Z833" s="307">
        <v>2481</v>
      </c>
      <c r="AA833" s="308">
        <v>2023</v>
      </c>
      <c r="AB833" s="309">
        <v>800</v>
      </c>
      <c r="AC833" s="309"/>
      <c r="AD833" s="308"/>
      <c r="AE833" s="309"/>
      <c r="AF833" s="302"/>
      <c r="AG833" s="310" t="s">
        <v>2050</v>
      </c>
      <c r="AH833" s="311"/>
      <c r="AI833" s="302">
        <v>80</v>
      </c>
      <c r="AJ833" s="311">
        <v>44943</v>
      </c>
      <c r="AK833" s="311" t="s">
        <v>883</v>
      </c>
      <c r="AL833" s="311">
        <v>45105</v>
      </c>
      <c r="AM833" s="301"/>
      <c r="AN833" s="290"/>
      <c r="AO833" s="312" t="str">
        <f>_xlfn.IFNA(IF(VLOOKUP(tabItens[[#This Row],[CÓDIGO]],tabExcluirDoEstoque[#Data],1,FALSE),"sim",""),"")</f>
        <v/>
      </c>
      <c r="AP833" s="313" t="str">
        <f ca="1">IF(OR(ISBLANK(tabItens[[#This Row],[ATA DT.VALID.]]),tabItens[[#This Row],[ATA DT.VALID.]]="",tabItens[[#This Row],[ATA DT.VALID.]]=" "),"",IF(TYPE(tabItens[[#This Row],[ATA DT.VALID.]])=1,ROUNDUP((tabItens[[#This Row],[ATA DT.VALID.]]-TODAY())/7,0),""))</f>
        <v/>
      </c>
      <c r="AQ833" s="314"/>
      <c r="AR833" s="315" t="str">
        <f>IF(ISBLANK(tabItens[[#This Row],[CÓDIGO]]),"",IFERROR(VLOOKUP(tabItens[[#This Row],[CÓDIGO]],Consumo!$C$2:$AC$869,26,FALSE),0))</f>
        <v>06.2023</v>
      </c>
      <c r="AS833" s="316">
        <f>SUMIF(Consumo!$C$3:$C$869,tabItens[[#This Row],[CÓDIGO]],Consumo!$N$3:$N$869) + SUMIF(Consumo!$C$3:$C$869,tabItens[[#This Row],[CÓDIGO]],Consumo!$O$3:$O$869) + SUMIF(Consumo!$C$3:$C$869,tabItens[[#This Row],[CÓDIGO]],Consumo!$P$3:$P$869) + SUMIF(Consumo!$C$3:$C$869,tabItens[[#This Row],[CÓDIGO]],Consumo!$Q$3:$Q$869)</f>
        <v>45</v>
      </c>
      <c r="AT833" s="316">
        <f>SUMIF(Consumo!$C$3:$C$869,tabItens[[#This Row],[CÓDIGO]],Consumo!$Z$3:$Z$869)</f>
        <v>161</v>
      </c>
      <c r="AU833" s="317">
        <f>SUMIF(Consumo!$C$3:$C$869,tabItens[[#This Row],[CÓDIGO]],Consumo!$AA$3:$AA$869)</f>
        <v>36</v>
      </c>
      <c r="AV833" s="318">
        <f>SUMIF(Consumo!$C$3:$C$869,tabItens[[#This Row],[CÓDIGO]],Consumo!$Y$3:$Y$869)</f>
        <v>13.333333333333334</v>
      </c>
      <c r="AW833" s="291">
        <f>tabItens[[#This Row],[QTDE ATUAL]] + tabItens[[#This Row],[RC QTDE]] + tabItens[[#This Row],[AF SALDO]] + tabItens[[#This Row],[Recentes]]</f>
        <v>1129</v>
      </c>
      <c r="AX833" s="319">
        <v>27</v>
      </c>
      <c r="AY833" s="319">
        <v>4</v>
      </c>
      <c r="AZ833" s="319">
        <f>IF(ISBLANK(tabItens[[#This Row],[CÓDIGO]]),"",tabItens[[#This Row],[PontoMês]] * (AZ$2+tabItens[[#This Row],[PontoQtM]]))</f>
        <v>108</v>
      </c>
      <c r="BA833" s="318">
        <f>tabItens[[#This Row],[PontoPed]] - tabItens[[#This Row],[Saldo]] + (1/10)</f>
        <v>-1020.9</v>
      </c>
      <c r="BB833" s="318">
        <f xml:space="preserve"> tabItens[[#This Row],[PontoMês]] * BB$2 - tabItens[[#This Row],[QTDE ATUAL]] - (1/10)</f>
        <v>-302.10000000000002</v>
      </c>
      <c r="BC833" s="320">
        <f>IF( tabItens[[#This Row],[PontoPed]]&gt;0, IF(tabItens[[#This Row],[PontoPed]]&lt;1, 1, IF( tabItens[[#This Row],[Saldo]]&gt;tabItens[[#This Row],[PontoPed]], 0, (tabItens[[#This Row],[PontoPed]]-tabItens[[#This Row],[Saldo]])/tabItens[[#This Row],[PontoPed]] ) ), 0 )</f>
        <v>0</v>
      </c>
      <c r="BD833" s="321">
        <f>ROUNDDOWN(IF( OR( AND(tabItens[[#This Row],[PontoPed]]&lt;tabItens[[#This Row],[Saldo]],tabItens[[#This Row],[Saldo]]&gt;0), tabItens[[#This Row],[PontoPed]]=0), 99, IF(AND(tabItens[[#This Row],[Saldo]]=0,tabItens[[#This Row],[PontoPed]]&gt;0), 0, (1-tabItens[[#This Row],[PctAb]])*10 ) ),0)</f>
        <v>99</v>
      </c>
      <c r="BE833" s="322">
        <f>MAX(ROUNDDOWN( IF(tabItens[[#This Row],[Abaixo]] &gt; 0,   tabItens[[#This Row],[Abaixo]] + (tabItens[[#This Row],[PontoMês]] * IF( OR( ISBLANK(tabItens[[#This Row],[ATA Nº/ANO]]), tabItens[[#This Row],[ATA Nº/ANO]] = ""),BE$2,BE$1)),0),0),0)</f>
        <v>0</v>
      </c>
      <c r="BF83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23">
        <f>SUMIF(Consumo!$C$3:$C$869,tabItens[[#This Row],[CÓDIGO]],Consumo!$E$3:$E$869)</f>
        <v>0</v>
      </c>
      <c r="BH833" s="324">
        <f>IF(AND(tabItens[[#This Row],[Pend]] &gt; 0,tabItens[[#This Row],[Consumo]] &lt;&gt; 0), tabItens[[#This Row],[Pend]] / tabItens[[#This Row],[Consumo]], 0 )</f>
        <v>0</v>
      </c>
      <c r="BI833" s="323"/>
      <c r="BJ833" s="323"/>
      <c r="BK833" s="325" t="s">
        <v>2064</v>
      </c>
    </row>
    <row r="834" spans="1:63" hidden="1" x14ac:dyDescent="0.3">
      <c r="A834" s="286">
        <v>18358</v>
      </c>
      <c r="B834" s="287" t="s">
        <v>1147</v>
      </c>
      <c r="C834" s="288" t="s">
        <v>400</v>
      </c>
      <c r="D834" s="289">
        <v>11.48</v>
      </c>
      <c r="E834" s="290"/>
      <c r="F834" s="290"/>
      <c r="G834" s="290" t="s">
        <v>883</v>
      </c>
      <c r="H834" s="291">
        <v>179</v>
      </c>
      <c r="I834" s="292">
        <v>103003</v>
      </c>
      <c r="J834" s="293">
        <v>11.48</v>
      </c>
      <c r="K834" s="294">
        <v>113</v>
      </c>
      <c r="L834" s="295">
        <f>IF(tabItens[[#This Row],[Média]] &gt; 0, tabItens[[#This Row],[QTDE ATUAL]] / tabItens[[#This Row],[Média]],999.9)</f>
        <v>14.03921568627451</v>
      </c>
      <c r="M834" s="296">
        <v>0</v>
      </c>
      <c r="N834" s="297">
        <f>tabItens[[#This Row],[VALOR UNIT.]] * tabItens[[#This Row],[LC]]</f>
        <v>0</v>
      </c>
      <c r="O834" s="298"/>
      <c r="P834" s="299"/>
      <c r="Q834" s="300"/>
      <c r="R834" s="297"/>
      <c r="S834" s="301"/>
      <c r="T834" s="302">
        <f>ROUNDDOWN(IFERROR(tabItens[[#This Row],[ATA DT.VALID.]] - $D$1,0) / 30,0)</f>
        <v>-1504</v>
      </c>
      <c r="U834" s="287" t="s">
        <v>989</v>
      </c>
      <c r="V834" s="303">
        <v>1</v>
      </c>
      <c r="W834" s="304" t="s">
        <v>2049</v>
      </c>
      <c r="X834" s="305">
        <v>67</v>
      </c>
      <c r="Y834" s="306">
        <v>6</v>
      </c>
      <c r="Z834" s="307">
        <v>2483</v>
      </c>
      <c r="AA834" s="308">
        <v>2023</v>
      </c>
      <c r="AB834" s="309">
        <v>50</v>
      </c>
      <c r="AC834" s="309"/>
      <c r="AD834" s="308"/>
      <c r="AE834" s="309"/>
      <c r="AF834" s="302"/>
      <c r="AG834" s="310" t="s">
        <v>2050</v>
      </c>
      <c r="AH834" s="311"/>
      <c r="AI834" s="302">
        <v>52</v>
      </c>
      <c r="AJ834" s="311">
        <v>43839</v>
      </c>
      <c r="AK834" s="311" t="s">
        <v>883</v>
      </c>
      <c r="AL834" s="311">
        <v>45105</v>
      </c>
      <c r="AM834" s="301"/>
      <c r="AN834" s="290"/>
      <c r="AO834" s="312" t="str">
        <f>_xlfn.IFNA(IF(VLOOKUP(tabItens[[#This Row],[CÓDIGO]],tabExcluirDoEstoque[#Data],1,FALSE),"sim",""),"")</f>
        <v/>
      </c>
      <c r="AP834" s="313" t="str">
        <f ca="1">IF(OR(ISBLANK(tabItens[[#This Row],[ATA DT.VALID.]]),tabItens[[#This Row],[ATA DT.VALID.]]="",tabItens[[#This Row],[ATA DT.VALID.]]=" "),"",IF(TYPE(tabItens[[#This Row],[ATA DT.VALID.]])=1,ROUNDUP((tabItens[[#This Row],[ATA DT.VALID.]]-TODAY())/7,0),""))</f>
        <v/>
      </c>
      <c r="AQ834" s="314"/>
      <c r="AR834" s="315" t="str">
        <f>IF(ISBLANK(tabItens[[#This Row],[CÓDIGO]]),"",IFERROR(VLOOKUP(tabItens[[#This Row],[CÓDIGO]],Consumo!$C$2:$AC$869,26,FALSE),0))</f>
        <v>06.2023</v>
      </c>
      <c r="AS834" s="316">
        <f>SUMIF(Consumo!$C$3:$C$869,tabItens[[#This Row],[CÓDIGO]],Consumo!$N$3:$N$869) + SUMIF(Consumo!$C$3:$C$869,tabItens[[#This Row],[CÓDIGO]],Consumo!$O$3:$O$869) + SUMIF(Consumo!$C$3:$C$869,tabItens[[#This Row],[CÓDIGO]],Consumo!$P$3:$P$869) + SUMIF(Consumo!$C$3:$C$869,tabItens[[#This Row],[CÓDIGO]],Consumo!$Q$3:$Q$869)</f>
        <v>60</v>
      </c>
      <c r="AT834" s="316">
        <f>SUMIF(Consumo!$C$3:$C$869,tabItens[[#This Row],[CÓDIGO]],Consumo!$Z$3:$Z$869)</f>
        <v>153</v>
      </c>
      <c r="AU834" s="317">
        <f>SUMIF(Consumo!$C$3:$C$869,tabItens[[#This Row],[CÓDIGO]],Consumo!$AA$3:$AA$869)</f>
        <v>22</v>
      </c>
      <c r="AV834" s="318">
        <f>SUMIF(Consumo!$C$3:$C$869,tabItens[[#This Row],[CÓDIGO]],Consumo!$Y$3:$Y$869)</f>
        <v>12.75</v>
      </c>
      <c r="AW834" s="291">
        <f>tabItens[[#This Row],[QTDE ATUAL]] + tabItens[[#This Row],[RC QTDE]] + tabItens[[#This Row],[AF SALDO]] + tabItens[[#This Row],[Recentes]]</f>
        <v>229</v>
      </c>
      <c r="AX834" s="319">
        <v>15</v>
      </c>
      <c r="AY834" s="319">
        <v>4</v>
      </c>
      <c r="AZ834" s="319">
        <f>IF(ISBLANK(tabItens[[#This Row],[CÓDIGO]]),"",tabItens[[#This Row],[PontoMês]] * (AZ$2+tabItens[[#This Row],[PontoQtM]]))</f>
        <v>60</v>
      </c>
      <c r="BA834" s="318">
        <f>tabItens[[#This Row],[PontoPed]] - tabItens[[#This Row],[Saldo]] + (1/10)</f>
        <v>-168.9</v>
      </c>
      <c r="BB834" s="318">
        <f xml:space="preserve"> tabItens[[#This Row],[PontoMês]] * BB$2 - tabItens[[#This Row],[QTDE ATUAL]] - (1/10)</f>
        <v>-164.1</v>
      </c>
      <c r="BC834" s="320">
        <f>IF( tabItens[[#This Row],[PontoPed]]&gt;0, IF(tabItens[[#This Row],[PontoPed]]&lt;1, 1, IF( tabItens[[#This Row],[Saldo]]&gt;tabItens[[#This Row],[PontoPed]], 0, (tabItens[[#This Row],[PontoPed]]-tabItens[[#This Row],[Saldo]])/tabItens[[#This Row],[PontoPed]] ) ), 0 )</f>
        <v>0</v>
      </c>
      <c r="BD834" s="321">
        <f>ROUNDDOWN(IF( OR( AND(tabItens[[#This Row],[PontoPed]]&lt;tabItens[[#This Row],[Saldo]],tabItens[[#This Row],[Saldo]]&gt;0), tabItens[[#This Row],[PontoPed]]=0), 99, IF(AND(tabItens[[#This Row],[Saldo]]=0,tabItens[[#This Row],[PontoPed]]&gt;0), 0, (1-tabItens[[#This Row],[PctAb]])*10 ) ),0)</f>
        <v>99</v>
      </c>
      <c r="BE834" s="322">
        <f>MAX(ROUNDDOWN( IF(tabItens[[#This Row],[Abaixo]] &gt; 0,   tabItens[[#This Row],[Abaixo]] + (tabItens[[#This Row],[PontoMês]] * IF( OR( ISBLANK(tabItens[[#This Row],[ATA Nº/ANO]]), tabItens[[#This Row],[ATA Nº/ANO]] = ""),BE$2,BE$1)),0),0),0)</f>
        <v>0</v>
      </c>
      <c r="BF83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23">
        <f>SUMIF(Consumo!$C$3:$C$869,tabItens[[#This Row],[CÓDIGO]],Consumo!$E$3:$E$869)</f>
        <v>0</v>
      </c>
      <c r="BH834" s="324">
        <f>IF(AND(tabItens[[#This Row],[Pend]] &gt; 0,tabItens[[#This Row],[Consumo]] &lt;&gt; 0), tabItens[[#This Row],[Pend]] / tabItens[[#This Row],[Consumo]], 0 )</f>
        <v>0</v>
      </c>
      <c r="BI834" s="323"/>
      <c r="BJ834" s="323"/>
      <c r="BK834" s="325" t="s">
        <v>2064</v>
      </c>
    </row>
    <row r="835" spans="1:63" hidden="1" x14ac:dyDescent="0.3">
      <c r="A835" s="286">
        <v>20537</v>
      </c>
      <c r="B835" s="287" t="s">
        <v>1166</v>
      </c>
      <c r="C835" s="288" t="s">
        <v>400</v>
      </c>
      <c r="D835" s="289">
        <v>8.9</v>
      </c>
      <c r="E835" s="290"/>
      <c r="F835" s="290"/>
      <c r="G835" s="290" t="s">
        <v>883</v>
      </c>
      <c r="H835" s="291">
        <v>137</v>
      </c>
      <c r="I835" s="292">
        <v>103003</v>
      </c>
      <c r="J835" s="293">
        <v>8.9</v>
      </c>
      <c r="K835" s="294">
        <v>15</v>
      </c>
      <c r="L835" s="295">
        <f>IF(tabItens[[#This Row],[Média]] &gt; 0, tabItens[[#This Row],[QTDE ATUAL]] / tabItens[[#This Row],[Média]],999.9)</f>
        <v>137</v>
      </c>
      <c r="M835" s="296">
        <v>0</v>
      </c>
      <c r="N835" s="297">
        <f>tabItens[[#This Row],[VALOR UNIT.]] * tabItens[[#This Row],[LC]]</f>
        <v>0</v>
      </c>
      <c r="O835" s="298"/>
      <c r="P835" s="299"/>
      <c r="Q835" s="300"/>
      <c r="R835" s="297"/>
      <c r="S835" s="301"/>
      <c r="T835" s="302">
        <f>ROUNDDOWN(IFERROR(tabItens[[#This Row],[ATA DT.VALID.]] - $D$1,0) / 30,0)</f>
        <v>-1504</v>
      </c>
      <c r="U835" s="287" t="s">
        <v>989</v>
      </c>
      <c r="V835" s="303">
        <v>1</v>
      </c>
      <c r="W835" s="304" t="s">
        <v>2049</v>
      </c>
      <c r="X835" s="305">
        <v>67</v>
      </c>
      <c r="Y835" s="306">
        <v>6</v>
      </c>
      <c r="Z835" s="307"/>
      <c r="AA835" s="308"/>
      <c r="AB835" s="309"/>
      <c r="AC835" s="309"/>
      <c r="AD835" s="308"/>
      <c r="AE835" s="309"/>
      <c r="AF835" s="302"/>
      <c r="AG835" s="310" t="s">
        <v>2050</v>
      </c>
      <c r="AH835" s="311"/>
      <c r="AI835" s="302">
        <v>6</v>
      </c>
      <c r="AJ835" s="311">
        <v>43853</v>
      </c>
      <c r="AK835" s="311" t="s">
        <v>883</v>
      </c>
      <c r="AL835" s="311">
        <v>44055</v>
      </c>
      <c r="AM835" s="301"/>
      <c r="AN835" s="290"/>
      <c r="AO835" s="312" t="str">
        <f>_xlfn.IFNA(IF(VLOOKUP(tabItens[[#This Row],[CÓDIGO]],tabExcluirDoEstoque[#Data],1,FALSE),"sim",""),"")</f>
        <v/>
      </c>
      <c r="AP835" s="313" t="str">
        <f ca="1">IF(OR(ISBLANK(tabItens[[#This Row],[ATA DT.VALID.]]),tabItens[[#This Row],[ATA DT.VALID.]]="",tabItens[[#This Row],[ATA DT.VALID.]]=" "),"",IF(TYPE(tabItens[[#This Row],[ATA DT.VALID.]])=1,ROUNDUP((tabItens[[#This Row],[ATA DT.VALID.]]-TODAY())/7,0),""))</f>
        <v/>
      </c>
      <c r="AQ835" s="314"/>
      <c r="AR835" s="315" t="str">
        <f>IF(ISBLANK(tabItens[[#This Row],[CÓDIGO]]),"",IFERROR(VLOOKUP(tabItens[[#This Row],[CÓDIGO]],Consumo!$C$2:$AC$869,26,FALSE),0))</f>
        <v>06.2023</v>
      </c>
      <c r="AS835" s="316">
        <f>SUMIF(Consumo!$C$3:$C$869,tabItens[[#This Row],[CÓDIGO]],Consumo!$N$3:$N$869) + SUMIF(Consumo!$C$3:$C$869,tabItens[[#This Row],[CÓDIGO]],Consumo!$O$3:$O$869) + SUMIF(Consumo!$C$3:$C$869,tabItens[[#This Row],[CÓDIGO]],Consumo!$P$3:$P$869) + SUMIF(Consumo!$C$3:$C$869,tabItens[[#This Row],[CÓDIGO]],Consumo!$Q$3:$Q$869)</f>
        <v>14</v>
      </c>
      <c r="AT835" s="316">
        <f>SUMIF(Consumo!$C$3:$C$869,tabItens[[#This Row],[CÓDIGO]],Consumo!$Z$3:$Z$869)</f>
        <v>15</v>
      </c>
      <c r="AU835" s="317">
        <f>SUMIF(Consumo!$C$3:$C$869,tabItens[[#This Row],[CÓDIGO]],Consumo!$AA$3:$AA$869)</f>
        <v>10</v>
      </c>
      <c r="AV835" s="318">
        <f>SUMIF(Consumo!$C$3:$C$869,tabItens[[#This Row],[CÓDIGO]],Consumo!$Y$3:$Y$869)</f>
        <v>1</v>
      </c>
      <c r="AW835" s="291">
        <f>tabItens[[#This Row],[QTDE ATUAL]] + tabItens[[#This Row],[RC QTDE]] + tabItens[[#This Row],[AF SALDO]] + tabItens[[#This Row],[Recentes]]</f>
        <v>137</v>
      </c>
      <c r="AX835" s="319">
        <v>2</v>
      </c>
      <c r="AY835" s="319">
        <v>4</v>
      </c>
      <c r="AZ835" s="319">
        <f>IF(ISBLANK(tabItens[[#This Row],[CÓDIGO]]),"",tabItens[[#This Row],[PontoMês]] * (AZ$2+tabItens[[#This Row],[PontoQtM]]))</f>
        <v>8</v>
      </c>
      <c r="BA835" s="318">
        <f>tabItens[[#This Row],[PontoPed]] - tabItens[[#This Row],[Saldo]] + (1/10)</f>
        <v>-128.9</v>
      </c>
      <c r="BB835" s="318">
        <f xml:space="preserve"> tabItens[[#This Row],[PontoMês]] * BB$2 - tabItens[[#This Row],[QTDE ATUAL]] - (1/10)</f>
        <v>-135.1</v>
      </c>
      <c r="BC835" s="320">
        <f>IF( tabItens[[#This Row],[PontoPed]]&gt;0, IF(tabItens[[#This Row],[PontoPed]]&lt;1, 1, IF( tabItens[[#This Row],[Saldo]]&gt;tabItens[[#This Row],[PontoPed]], 0, (tabItens[[#This Row],[PontoPed]]-tabItens[[#This Row],[Saldo]])/tabItens[[#This Row],[PontoPed]] ) ), 0 )</f>
        <v>0</v>
      </c>
      <c r="BD835" s="321">
        <f>ROUNDDOWN(IF( OR( AND(tabItens[[#This Row],[PontoPed]]&lt;tabItens[[#This Row],[Saldo]],tabItens[[#This Row],[Saldo]]&gt;0), tabItens[[#This Row],[PontoPed]]=0), 99, IF(AND(tabItens[[#This Row],[Saldo]]=0,tabItens[[#This Row],[PontoPed]]&gt;0), 0, (1-tabItens[[#This Row],[PctAb]])*10 ) ),0)</f>
        <v>99</v>
      </c>
      <c r="BE835" s="322">
        <f>MAX(ROUNDDOWN( IF(tabItens[[#This Row],[Abaixo]] &gt; 0,   tabItens[[#This Row],[Abaixo]] + (tabItens[[#This Row],[PontoMês]] * IF( OR( ISBLANK(tabItens[[#This Row],[ATA Nº/ANO]]), tabItens[[#This Row],[ATA Nº/ANO]] = ""),BE$2,BE$1)),0),0),0)</f>
        <v>0</v>
      </c>
      <c r="BF83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23">
        <f>SUMIF(Consumo!$C$3:$C$869,tabItens[[#This Row],[CÓDIGO]],Consumo!$E$3:$E$869)</f>
        <v>0</v>
      </c>
      <c r="BH835" s="324">
        <f>IF(AND(tabItens[[#This Row],[Pend]] &gt; 0,tabItens[[#This Row],[Consumo]] &lt;&gt; 0), tabItens[[#This Row],[Pend]] / tabItens[[#This Row],[Consumo]], 0 )</f>
        <v>0</v>
      </c>
      <c r="BI835" s="323"/>
      <c r="BJ835" s="323"/>
      <c r="BK835" s="325" t="s">
        <v>2064</v>
      </c>
    </row>
    <row r="836" spans="1:63" hidden="1" x14ac:dyDescent="0.3">
      <c r="A836" s="286">
        <v>24888</v>
      </c>
      <c r="B836" s="287" t="s">
        <v>1203</v>
      </c>
      <c r="C836" s="288" t="s">
        <v>400</v>
      </c>
      <c r="D836" s="289">
        <v>15.8</v>
      </c>
      <c r="E836" s="290"/>
      <c r="F836" s="290"/>
      <c r="G836" s="290" t="s">
        <v>883</v>
      </c>
      <c r="H836" s="291">
        <v>96</v>
      </c>
      <c r="I836" s="292">
        <v>103003</v>
      </c>
      <c r="J836" s="293">
        <v>15.8</v>
      </c>
      <c r="K836" s="294">
        <v>6</v>
      </c>
      <c r="L836" s="295">
        <f>IF(tabItens[[#This Row],[Média]] &gt; 0, tabItens[[#This Row],[QTDE ATUAL]] / tabItens[[#This Row],[Média]],999.9)</f>
        <v>288</v>
      </c>
      <c r="M836" s="296">
        <v>0</v>
      </c>
      <c r="N836" s="297">
        <f>tabItens[[#This Row],[VALOR UNIT.]] * tabItens[[#This Row],[LC]]</f>
        <v>0</v>
      </c>
      <c r="O836" s="298"/>
      <c r="P836" s="299"/>
      <c r="Q836" s="300"/>
      <c r="R836" s="297"/>
      <c r="S836" s="301"/>
      <c r="T836" s="302">
        <f>ROUNDDOWN(IFERROR(tabItens[[#This Row],[ATA DT.VALID.]] - $D$1,0) / 30,0)</f>
        <v>-1504</v>
      </c>
      <c r="U836" s="287" t="s">
        <v>989</v>
      </c>
      <c r="V836" s="303">
        <v>1</v>
      </c>
      <c r="W836" s="304" t="s">
        <v>2049</v>
      </c>
      <c r="X836" s="305">
        <v>67</v>
      </c>
      <c r="Y836" s="306">
        <v>6</v>
      </c>
      <c r="Z836" s="307"/>
      <c r="AA836" s="308"/>
      <c r="AB836" s="309"/>
      <c r="AC836" s="309"/>
      <c r="AD836" s="308"/>
      <c r="AE836" s="309"/>
      <c r="AF836" s="302"/>
      <c r="AG836" s="310" t="s">
        <v>2050</v>
      </c>
      <c r="AH836" s="311"/>
      <c r="AI836" s="302">
        <v>2</v>
      </c>
      <c r="AJ836" s="311">
        <v>43853</v>
      </c>
      <c r="AK836" s="311" t="s">
        <v>883</v>
      </c>
      <c r="AL836" s="311">
        <v>44055</v>
      </c>
      <c r="AM836" s="301"/>
      <c r="AN836" s="290"/>
      <c r="AO836" s="312" t="str">
        <f>_xlfn.IFNA(IF(VLOOKUP(tabItens[[#This Row],[CÓDIGO]],tabExcluirDoEstoque[#Data],1,FALSE),"sim",""),"")</f>
        <v/>
      </c>
      <c r="AP836" s="313" t="str">
        <f ca="1">IF(OR(ISBLANK(tabItens[[#This Row],[ATA DT.VALID.]]),tabItens[[#This Row],[ATA DT.VALID.]]="",tabItens[[#This Row],[ATA DT.VALID.]]=" "),"",IF(TYPE(tabItens[[#This Row],[ATA DT.VALID.]])=1,ROUNDUP((tabItens[[#This Row],[ATA DT.VALID.]]-TODAY())/7,0),""))</f>
        <v/>
      </c>
      <c r="AQ836" s="314"/>
      <c r="AR836" s="315" t="str">
        <f>IF(ISBLANK(tabItens[[#This Row],[CÓDIGO]]),"",IFERROR(VLOOKUP(tabItens[[#This Row],[CÓDIGO]],Consumo!$C$2:$AC$869,26,FALSE),0))</f>
        <v>03.2023</v>
      </c>
      <c r="AS836" s="316">
        <f>SUMIF(Consumo!$C$3:$C$869,tabItens[[#This Row],[CÓDIGO]],Consumo!$N$3:$N$869) + SUMIF(Consumo!$C$3:$C$869,tabItens[[#This Row],[CÓDIGO]],Consumo!$O$3:$O$869) + SUMIF(Consumo!$C$3:$C$869,tabItens[[#This Row],[CÓDIGO]],Consumo!$P$3:$P$869) + SUMIF(Consumo!$C$3:$C$869,tabItens[[#This Row],[CÓDIGO]],Consumo!$Q$3:$Q$869)</f>
        <v>0</v>
      </c>
      <c r="AT836" s="316">
        <f>SUMIF(Consumo!$C$3:$C$869,tabItens[[#This Row],[CÓDIGO]],Consumo!$Z$3:$Z$869)</f>
        <v>6</v>
      </c>
      <c r="AU836" s="317">
        <f>SUMIF(Consumo!$C$3:$C$869,tabItens[[#This Row],[CÓDIGO]],Consumo!$AA$3:$AA$869)</f>
        <v>5</v>
      </c>
      <c r="AV836" s="318">
        <f>SUMIF(Consumo!$C$3:$C$869,tabItens[[#This Row],[CÓDIGO]],Consumo!$Y$3:$Y$869)</f>
        <v>0.33333333333333331</v>
      </c>
      <c r="AW836" s="291">
        <f>tabItens[[#This Row],[QTDE ATUAL]] + tabItens[[#This Row],[RC QTDE]] + tabItens[[#This Row],[AF SALDO]] + tabItens[[#This Row],[Recentes]]</f>
        <v>96</v>
      </c>
      <c r="AX836" s="319">
        <v>2</v>
      </c>
      <c r="AY836" s="319">
        <v>4</v>
      </c>
      <c r="AZ836" s="319">
        <f>IF(ISBLANK(tabItens[[#This Row],[CÓDIGO]]),"",tabItens[[#This Row],[PontoMês]] * (AZ$2+tabItens[[#This Row],[PontoQtM]]))</f>
        <v>8</v>
      </c>
      <c r="BA836" s="318">
        <f>tabItens[[#This Row],[PontoPed]] - tabItens[[#This Row],[Saldo]] + (1/10)</f>
        <v>-87.9</v>
      </c>
      <c r="BB836" s="318">
        <f xml:space="preserve"> tabItens[[#This Row],[PontoMês]] * BB$2 - tabItens[[#This Row],[QTDE ATUAL]] - (1/10)</f>
        <v>-94.1</v>
      </c>
      <c r="BC836" s="320">
        <f>IF( tabItens[[#This Row],[PontoPed]]&gt;0, IF(tabItens[[#This Row],[PontoPed]]&lt;1, 1, IF( tabItens[[#This Row],[Saldo]]&gt;tabItens[[#This Row],[PontoPed]], 0, (tabItens[[#This Row],[PontoPed]]-tabItens[[#This Row],[Saldo]])/tabItens[[#This Row],[PontoPed]] ) ), 0 )</f>
        <v>0</v>
      </c>
      <c r="BD836" s="321">
        <f>ROUNDDOWN(IF( OR( AND(tabItens[[#This Row],[PontoPed]]&lt;tabItens[[#This Row],[Saldo]],tabItens[[#This Row],[Saldo]]&gt;0), tabItens[[#This Row],[PontoPed]]=0), 99, IF(AND(tabItens[[#This Row],[Saldo]]=0,tabItens[[#This Row],[PontoPed]]&gt;0), 0, (1-tabItens[[#This Row],[PctAb]])*10 ) ),0)</f>
        <v>99</v>
      </c>
      <c r="BE836" s="322">
        <f>MAX(ROUNDDOWN( IF(tabItens[[#This Row],[Abaixo]] &gt; 0,   tabItens[[#This Row],[Abaixo]] + (tabItens[[#This Row],[PontoMês]] * IF( OR( ISBLANK(tabItens[[#This Row],[ATA Nº/ANO]]), tabItens[[#This Row],[ATA Nº/ANO]] = ""),BE$2,BE$1)),0),0),0)</f>
        <v>0</v>
      </c>
      <c r="BF83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23">
        <f>SUMIF(Consumo!$C$3:$C$869,tabItens[[#This Row],[CÓDIGO]],Consumo!$E$3:$E$869)</f>
        <v>0</v>
      </c>
      <c r="BH836" s="324">
        <f>IF(AND(tabItens[[#This Row],[Pend]] &gt; 0,tabItens[[#This Row],[Consumo]] &lt;&gt; 0), tabItens[[#This Row],[Pend]] / tabItens[[#This Row],[Consumo]], 0 )</f>
        <v>0</v>
      </c>
      <c r="BI836" s="323"/>
      <c r="BJ836" s="323"/>
      <c r="BK836" s="325" t="s">
        <v>2064</v>
      </c>
    </row>
    <row r="837" spans="1:63" hidden="1" x14ac:dyDescent="0.3">
      <c r="A837" s="286">
        <v>36031</v>
      </c>
      <c r="B837" s="287" t="s">
        <v>1262</v>
      </c>
      <c r="C837" s="288" t="s">
        <v>1263</v>
      </c>
      <c r="D837" s="289">
        <v>4.4400000000000004</v>
      </c>
      <c r="E837" s="290"/>
      <c r="F837" s="290"/>
      <c r="G837" s="290" t="s">
        <v>883</v>
      </c>
      <c r="H837" s="291">
        <v>2636</v>
      </c>
      <c r="I837" s="292">
        <v>103003</v>
      </c>
      <c r="J837" s="293">
        <v>4.4400000000000004</v>
      </c>
      <c r="K837" s="294">
        <v>21</v>
      </c>
      <c r="L837" s="295">
        <f>IF(tabItens[[#This Row],[Média]] &gt; 0, tabItens[[#This Row],[QTDE ATUAL]] / tabItens[[#This Row],[Média]],999.9)</f>
        <v>1664.8421052631579</v>
      </c>
      <c r="M837" s="296">
        <v>0</v>
      </c>
      <c r="N837" s="297">
        <f>tabItens[[#This Row],[VALOR UNIT.]] * tabItens[[#This Row],[LC]]</f>
        <v>0</v>
      </c>
      <c r="O837" s="298"/>
      <c r="P837" s="299"/>
      <c r="Q837" s="300"/>
      <c r="R837" s="297"/>
      <c r="S837" s="301"/>
      <c r="T837" s="302">
        <f>ROUNDDOWN(IFERROR(tabItens[[#This Row],[ATA DT.VALID.]] - $D$1,0) / 30,0)</f>
        <v>-1504</v>
      </c>
      <c r="U837" s="287" t="s">
        <v>989</v>
      </c>
      <c r="V837" s="303">
        <v>1</v>
      </c>
      <c r="W837" s="304" t="s">
        <v>2049</v>
      </c>
      <c r="X837" s="305">
        <v>67</v>
      </c>
      <c r="Y837" s="306">
        <v>6</v>
      </c>
      <c r="Z837" s="307"/>
      <c r="AA837" s="308"/>
      <c r="AB837" s="309"/>
      <c r="AC837" s="309"/>
      <c r="AD837" s="308"/>
      <c r="AE837" s="309"/>
      <c r="AF837" s="302"/>
      <c r="AG837" s="310" t="s">
        <v>2050</v>
      </c>
      <c r="AH837" s="311"/>
      <c r="AI837" s="302">
        <v>8</v>
      </c>
      <c r="AJ837" s="311">
        <v>43847</v>
      </c>
      <c r="AK837" s="311" t="s">
        <v>883</v>
      </c>
      <c r="AL837" s="311">
        <v>43826</v>
      </c>
      <c r="AM837" s="301"/>
      <c r="AN837" s="290"/>
      <c r="AO837" s="312" t="str">
        <f>_xlfn.IFNA(IF(VLOOKUP(tabItens[[#This Row],[CÓDIGO]],tabExcluirDoEstoque[#Data],1,FALSE),"sim",""),"")</f>
        <v/>
      </c>
      <c r="AP837" s="313" t="str">
        <f ca="1">IF(OR(ISBLANK(tabItens[[#This Row],[ATA DT.VALID.]]),tabItens[[#This Row],[ATA DT.VALID.]]="",tabItens[[#This Row],[ATA DT.VALID.]]=" "),"",IF(TYPE(tabItens[[#This Row],[ATA DT.VALID.]])=1,ROUNDUP((tabItens[[#This Row],[ATA DT.VALID.]]-TODAY())/7,0),""))</f>
        <v/>
      </c>
      <c r="AQ837" s="314"/>
      <c r="AR837" s="315" t="str">
        <f>IF(ISBLANK(tabItens[[#This Row],[CÓDIGO]]),"",IFERROR(VLOOKUP(tabItens[[#This Row],[CÓDIGO]],Consumo!$C$2:$AC$869,26,FALSE),0))</f>
        <v>05.2023</v>
      </c>
      <c r="AS837" s="316">
        <f>SUMIF(Consumo!$C$3:$C$869,tabItens[[#This Row],[CÓDIGO]],Consumo!$N$3:$N$869) + SUMIF(Consumo!$C$3:$C$869,tabItens[[#This Row],[CÓDIGO]],Consumo!$O$3:$O$869) + SUMIF(Consumo!$C$3:$C$869,tabItens[[#This Row],[CÓDIGO]],Consumo!$P$3:$P$869) + SUMIF(Consumo!$C$3:$C$869,tabItens[[#This Row],[CÓDIGO]],Consumo!$Q$3:$Q$869)</f>
        <v>11</v>
      </c>
      <c r="AT837" s="316">
        <f>SUMIF(Consumo!$C$3:$C$869,tabItens[[#This Row],[CÓDIGO]],Consumo!$Z$3:$Z$869)</f>
        <v>23</v>
      </c>
      <c r="AU837" s="317">
        <f>SUMIF(Consumo!$C$3:$C$869,tabItens[[#This Row],[CÓDIGO]],Consumo!$AA$3:$AA$869)</f>
        <v>11</v>
      </c>
      <c r="AV837" s="318">
        <f>SUMIF(Consumo!$C$3:$C$869,tabItens[[#This Row],[CÓDIGO]],Consumo!$Y$3:$Y$869)</f>
        <v>1.5833333333333333</v>
      </c>
      <c r="AW837" s="291">
        <f>tabItens[[#This Row],[QTDE ATUAL]] + tabItens[[#This Row],[RC QTDE]] + tabItens[[#This Row],[AF SALDO]] + tabItens[[#This Row],[Recentes]]</f>
        <v>2636</v>
      </c>
      <c r="AX837" s="319">
        <v>107</v>
      </c>
      <c r="AY837" s="319">
        <v>4</v>
      </c>
      <c r="AZ837" s="319">
        <f>IF(ISBLANK(tabItens[[#This Row],[CÓDIGO]]),"",tabItens[[#This Row],[PontoMês]] * (AZ$2+tabItens[[#This Row],[PontoQtM]]))</f>
        <v>428</v>
      </c>
      <c r="BA837" s="318">
        <f>tabItens[[#This Row],[PontoPed]] - tabItens[[#This Row],[Saldo]] + (1/10)</f>
        <v>-2207.9</v>
      </c>
      <c r="BB837" s="318">
        <f xml:space="preserve"> tabItens[[#This Row],[PontoMês]] * BB$2 - tabItens[[#This Row],[QTDE ATUAL]] - (1/10)</f>
        <v>-2529.1</v>
      </c>
      <c r="BC837" s="320">
        <f>IF( tabItens[[#This Row],[PontoPed]]&gt;0, IF(tabItens[[#This Row],[PontoPed]]&lt;1, 1, IF( tabItens[[#This Row],[Saldo]]&gt;tabItens[[#This Row],[PontoPed]], 0, (tabItens[[#This Row],[PontoPed]]-tabItens[[#This Row],[Saldo]])/tabItens[[#This Row],[PontoPed]] ) ), 0 )</f>
        <v>0</v>
      </c>
      <c r="BD837" s="321">
        <f>ROUNDDOWN(IF( OR( AND(tabItens[[#This Row],[PontoPed]]&lt;tabItens[[#This Row],[Saldo]],tabItens[[#This Row],[Saldo]]&gt;0), tabItens[[#This Row],[PontoPed]]=0), 99, IF(AND(tabItens[[#This Row],[Saldo]]=0,tabItens[[#This Row],[PontoPed]]&gt;0), 0, (1-tabItens[[#This Row],[PctAb]])*10 ) ),0)</f>
        <v>99</v>
      </c>
      <c r="BE837" s="322">
        <f>MAX(ROUNDDOWN( IF(tabItens[[#This Row],[Abaixo]] &gt; 0,   tabItens[[#This Row],[Abaixo]] + (tabItens[[#This Row],[PontoMês]] * IF( OR( ISBLANK(tabItens[[#This Row],[ATA Nº/ANO]]), tabItens[[#This Row],[ATA Nº/ANO]] = ""),BE$2,BE$1)),0),0),0)</f>
        <v>0</v>
      </c>
      <c r="BF83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23">
        <f>SUMIF(Consumo!$C$3:$C$869,tabItens[[#This Row],[CÓDIGO]],Consumo!$E$3:$E$869)</f>
        <v>0</v>
      </c>
      <c r="BH837" s="324">
        <f>IF(AND(tabItens[[#This Row],[Pend]] &gt; 0,tabItens[[#This Row],[Consumo]] &lt;&gt; 0), tabItens[[#This Row],[Pend]] / tabItens[[#This Row],[Consumo]], 0 )</f>
        <v>0</v>
      </c>
      <c r="BI837" s="323"/>
      <c r="BJ837" s="323"/>
      <c r="BK837" s="325" t="s">
        <v>2064</v>
      </c>
    </row>
    <row r="838" spans="1:63" hidden="1" x14ac:dyDescent="0.3">
      <c r="A838" s="286">
        <v>49858</v>
      </c>
      <c r="B838" s="287" t="s">
        <v>1293</v>
      </c>
      <c r="C838" s="288" t="s">
        <v>1263</v>
      </c>
      <c r="D838" s="289">
        <v>2.0499999999999998</v>
      </c>
      <c r="E838" s="290"/>
      <c r="F838" s="290"/>
      <c r="G838" s="290" t="s">
        <v>883</v>
      </c>
      <c r="H838" s="291">
        <v>185</v>
      </c>
      <c r="I838" s="292">
        <v>103003</v>
      </c>
      <c r="J838" s="293">
        <v>2.0499999999999998</v>
      </c>
      <c r="K838" s="294">
        <v>10</v>
      </c>
      <c r="L838" s="295">
        <f>IF(tabItens[[#This Row],[Média]] &gt; 0, tabItens[[#This Row],[QTDE ATUAL]] / tabItens[[#This Row],[Média]],999.9)</f>
        <v>370</v>
      </c>
      <c r="M838" s="296">
        <v>0</v>
      </c>
      <c r="N838" s="297">
        <f>tabItens[[#This Row],[VALOR UNIT.]] * tabItens[[#This Row],[LC]]</f>
        <v>0</v>
      </c>
      <c r="O838" s="298"/>
      <c r="P838" s="299"/>
      <c r="Q838" s="300"/>
      <c r="R838" s="297"/>
      <c r="S838" s="301"/>
      <c r="T838" s="302">
        <f>ROUNDDOWN(IFERROR(tabItens[[#This Row],[ATA DT.VALID.]] - $D$1,0) / 30,0)</f>
        <v>-1504</v>
      </c>
      <c r="U838" s="287" t="s">
        <v>989</v>
      </c>
      <c r="V838" s="303">
        <v>1</v>
      </c>
      <c r="W838" s="304" t="s">
        <v>2049</v>
      </c>
      <c r="X838" s="305">
        <v>67</v>
      </c>
      <c r="Y838" s="306">
        <v>6</v>
      </c>
      <c r="Z838" s="307"/>
      <c r="AA838" s="308"/>
      <c r="AB838" s="309"/>
      <c r="AC838" s="309"/>
      <c r="AD838" s="308"/>
      <c r="AE838" s="309"/>
      <c r="AF838" s="302"/>
      <c r="AG838" s="310" t="s">
        <v>2050</v>
      </c>
      <c r="AH838" s="311"/>
      <c r="AI838" s="302">
        <v>4</v>
      </c>
      <c r="AJ838" s="311">
        <v>41556</v>
      </c>
      <c r="AK838" s="311" t="s">
        <v>883</v>
      </c>
      <c r="AL838" s="311">
        <v>42041</v>
      </c>
      <c r="AM838" s="301"/>
      <c r="AN838" s="290"/>
      <c r="AO838" s="312" t="str">
        <f>_xlfn.IFNA(IF(VLOOKUP(tabItens[[#This Row],[CÓDIGO]],tabExcluirDoEstoque[#Data],1,FALSE),"sim",""),"")</f>
        <v/>
      </c>
      <c r="AP838" s="313" t="str">
        <f ca="1">IF(OR(ISBLANK(tabItens[[#This Row],[ATA DT.VALID.]]),tabItens[[#This Row],[ATA DT.VALID.]]="",tabItens[[#This Row],[ATA DT.VALID.]]=" "),"",IF(TYPE(tabItens[[#This Row],[ATA DT.VALID.]])=1,ROUNDUP((tabItens[[#This Row],[ATA DT.VALID.]]-TODAY())/7,0),""))</f>
        <v/>
      </c>
      <c r="AQ838" s="314"/>
      <c r="AR838" s="315" t="str">
        <f>IF(ISBLANK(tabItens[[#This Row],[CÓDIGO]]),"",IFERROR(VLOOKUP(tabItens[[#This Row],[CÓDIGO]],Consumo!$C$2:$AC$869,26,FALSE),0))</f>
        <v>05.2023</v>
      </c>
      <c r="AS838" s="316">
        <f>SUMIF(Consumo!$C$3:$C$869,tabItens[[#This Row],[CÓDIGO]],Consumo!$N$3:$N$869) + SUMIF(Consumo!$C$3:$C$869,tabItens[[#This Row],[CÓDIGO]],Consumo!$O$3:$O$869) + SUMIF(Consumo!$C$3:$C$869,tabItens[[#This Row],[CÓDIGO]],Consumo!$P$3:$P$869) + SUMIF(Consumo!$C$3:$C$869,tabItens[[#This Row],[CÓDIGO]],Consumo!$Q$3:$Q$869)</f>
        <v>10</v>
      </c>
      <c r="AT838" s="316">
        <f>SUMIF(Consumo!$C$3:$C$869,tabItens[[#This Row],[CÓDIGO]],Consumo!$Z$3:$Z$869)</f>
        <v>10</v>
      </c>
      <c r="AU838" s="317">
        <f>SUMIF(Consumo!$C$3:$C$869,tabItens[[#This Row],[CÓDIGO]],Consumo!$AA$3:$AA$869)</f>
        <v>10</v>
      </c>
      <c r="AV838" s="318">
        <f>SUMIF(Consumo!$C$3:$C$869,tabItens[[#This Row],[CÓDIGO]],Consumo!$Y$3:$Y$869)</f>
        <v>0.5</v>
      </c>
      <c r="AW838" s="291">
        <f>tabItens[[#This Row],[QTDE ATUAL]] + tabItens[[#This Row],[RC QTDE]] + tabItens[[#This Row],[AF SALDO]] + tabItens[[#This Row],[Recentes]]</f>
        <v>185</v>
      </c>
      <c r="AX838" s="319">
        <v>1</v>
      </c>
      <c r="AY838" s="319">
        <v>4</v>
      </c>
      <c r="AZ838" s="319">
        <f>IF(ISBLANK(tabItens[[#This Row],[CÓDIGO]]),"",tabItens[[#This Row],[PontoMês]] * (AZ$2+tabItens[[#This Row],[PontoQtM]]))</f>
        <v>4</v>
      </c>
      <c r="BA838" s="318">
        <f>tabItens[[#This Row],[PontoPed]] - tabItens[[#This Row],[Saldo]] + (1/10)</f>
        <v>-180.9</v>
      </c>
      <c r="BB838" s="318">
        <f xml:space="preserve"> tabItens[[#This Row],[PontoMês]] * BB$2 - tabItens[[#This Row],[QTDE ATUAL]] - (1/10)</f>
        <v>-184.1</v>
      </c>
      <c r="BC838" s="320">
        <f>IF( tabItens[[#This Row],[PontoPed]]&gt;0, IF(tabItens[[#This Row],[PontoPed]]&lt;1, 1, IF( tabItens[[#This Row],[Saldo]]&gt;tabItens[[#This Row],[PontoPed]], 0, (tabItens[[#This Row],[PontoPed]]-tabItens[[#This Row],[Saldo]])/tabItens[[#This Row],[PontoPed]] ) ), 0 )</f>
        <v>0</v>
      </c>
      <c r="BD838" s="321">
        <f>ROUNDDOWN(IF( OR( AND(tabItens[[#This Row],[PontoPed]]&lt;tabItens[[#This Row],[Saldo]],tabItens[[#This Row],[Saldo]]&gt;0), tabItens[[#This Row],[PontoPed]]=0), 99, IF(AND(tabItens[[#This Row],[Saldo]]=0,tabItens[[#This Row],[PontoPed]]&gt;0), 0, (1-tabItens[[#This Row],[PctAb]])*10 ) ),0)</f>
        <v>99</v>
      </c>
      <c r="BE838" s="322">
        <f>MAX(ROUNDDOWN( IF(tabItens[[#This Row],[Abaixo]] &gt; 0,   tabItens[[#This Row],[Abaixo]] + (tabItens[[#This Row],[PontoMês]] * IF( OR( ISBLANK(tabItens[[#This Row],[ATA Nº/ANO]]), tabItens[[#This Row],[ATA Nº/ANO]] = ""),BE$2,BE$1)),0),0),0)</f>
        <v>0</v>
      </c>
      <c r="BF83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23">
        <f>SUMIF(Consumo!$C$3:$C$869,tabItens[[#This Row],[CÓDIGO]],Consumo!$E$3:$E$869)</f>
        <v>0</v>
      </c>
      <c r="BH838" s="324">
        <f>IF(AND(tabItens[[#This Row],[Pend]] &gt; 0,tabItens[[#This Row],[Consumo]] &lt;&gt; 0), tabItens[[#This Row],[Pend]] / tabItens[[#This Row],[Consumo]], 0 )</f>
        <v>0</v>
      </c>
      <c r="BI838" s="323"/>
      <c r="BJ838" s="323"/>
      <c r="BK838" s="325" t="s">
        <v>2064</v>
      </c>
    </row>
    <row r="839" spans="1:63" hidden="1" x14ac:dyDescent="0.3">
      <c r="A839" s="286">
        <v>20554</v>
      </c>
      <c r="B839" s="287" t="s">
        <v>1167</v>
      </c>
      <c r="C839" s="288" t="s">
        <v>256</v>
      </c>
      <c r="D839" s="289">
        <v>0.04</v>
      </c>
      <c r="E839" s="290"/>
      <c r="F839" s="290"/>
      <c r="G839" s="290" t="s">
        <v>883</v>
      </c>
      <c r="H839" s="291">
        <v>12260</v>
      </c>
      <c r="I839" s="292">
        <v>103003</v>
      </c>
      <c r="J839" s="293">
        <v>0.04</v>
      </c>
      <c r="K839" s="294">
        <v>6860</v>
      </c>
      <c r="L839" s="295">
        <f>IF(tabItens[[#This Row],[Média]] &gt; 0, tabItens[[#This Row],[QTDE ATUAL]] / tabItens[[#This Row],[Média]],999.9)</f>
        <v>16.211570247933885</v>
      </c>
      <c r="M839" s="296">
        <v>0</v>
      </c>
      <c r="N839" s="297">
        <f>tabItens[[#This Row],[VALOR UNIT.]] * tabItens[[#This Row],[LC]]</f>
        <v>0</v>
      </c>
      <c r="O839" s="298"/>
      <c r="P839" s="299"/>
      <c r="Q839" s="300"/>
      <c r="R839" s="297"/>
      <c r="S839" s="301"/>
      <c r="T839" s="302">
        <f>ROUNDDOWN(IFERROR(tabItens[[#This Row],[ATA DT.VALID.]] - $D$1,0) / 30,0)</f>
        <v>-1504</v>
      </c>
      <c r="U839" s="287" t="s">
        <v>1168</v>
      </c>
      <c r="V839" s="303">
        <v>1</v>
      </c>
      <c r="W839" s="304" t="s">
        <v>2056</v>
      </c>
      <c r="X839" s="305">
        <v>67</v>
      </c>
      <c r="Y839" s="306">
        <v>7</v>
      </c>
      <c r="Z839" s="307">
        <v>2483</v>
      </c>
      <c r="AA839" s="308">
        <v>2023</v>
      </c>
      <c r="AB839" s="309">
        <v>1000</v>
      </c>
      <c r="AC839" s="309"/>
      <c r="AD839" s="308"/>
      <c r="AE839" s="309"/>
      <c r="AF839" s="302"/>
      <c r="AG839" s="310" t="s">
        <v>2050</v>
      </c>
      <c r="AH839" s="311"/>
      <c r="AI839" s="302">
        <v>3394</v>
      </c>
      <c r="AJ839" s="311">
        <v>43847</v>
      </c>
      <c r="AK839" s="311" t="s">
        <v>883</v>
      </c>
      <c r="AL839" s="311">
        <v>43826</v>
      </c>
      <c r="AM839" s="301"/>
      <c r="AN839" s="290"/>
      <c r="AO839" s="312" t="str">
        <f>_xlfn.IFNA(IF(VLOOKUP(tabItens[[#This Row],[CÓDIGO]],tabExcluirDoEstoque[#Data],1,FALSE),"sim",""),"")</f>
        <v/>
      </c>
      <c r="AP839" s="313" t="str">
        <f ca="1">IF(OR(ISBLANK(tabItens[[#This Row],[ATA DT.VALID.]]),tabItens[[#This Row],[ATA DT.VALID.]]="",tabItens[[#This Row],[ATA DT.VALID.]]=" "),"",IF(TYPE(tabItens[[#This Row],[ATA DT.VALID.]])=1,ROUNDUP((tabItens[[#This Row],[ATA DT.VALID.]]-TODAY())/7,0),""))</f>
        <v/>
      </c>
      <c r="AQ839" s="314"/>
      <c r="AR839" s="315" t="str">
        <f>IF(ISBLANK(tabItens[[#This Row],[CÓDIGO]]),"",IFERROR(VLOOKUP(tabItens[[#This Row],[CÓDIGO]],Consumo!$C$2:$AC$869,26,FALSE),0))</f>
        <v>07.2023</v>
      </c>
      <c r="AS839" s="316">
        <f>SUMIF(Consumo!$C$3:$C$869,tabItens[[#This Row],[CÓDIGO]],Consumo!$N$3:$N$869) + SUMIF(Consumo!$C$3:$C$869,tabItens[[#This Row],[CÓDIGO]],Consumo!$O$3:$O$869) + SUMIF(Consumo!$C$3:$C$869,tabItens[[#This Row],[CÓDIGO]],Consumo!$P$3:$P$869) + SUMIF(Consumo!$C$3:$C$869,tabItens[[#This Row],[CÓDIGO]],Consumo!$Q$3:$Q$869)</f>
        <v>2730</v>
      </c>
      <c r="AT839" s="316">
        <f>SUMIF(Consumo!$C$3:$C$869,tabItens[[#This Row],[CÓDIGO]],Consumo!$Z$3:$Z$869)</f>
        <v>9290</v>
      </c>
      <c r="AU839" s="317">
        <f>SUMIF(Consumo!$C$3:$C$869,tabItens[[#This Row],[CÓDIGO]],Consumo!$AA$3:$AA$869)</f>
        <v>2100</v>
      </c>
      <c r="AV839" s="318">
        <f>SUMIF(Consumo!$C$3:$C$869,tabItens[[#This Row],[CÓDIGO]],Consumo!$Y$3:$Y$869)</f>
        <v>756.25</v>
      </c>
      <c r="AW839" s="291">
        <f>tabItens[[#This Row],[QTDE ATUAL]] + tabItens[[#This Row],[RC QTDE]] + tabItens[[#This Row],[AF SALDO]] + tabItens[[#This Row],[Recentes]]</f>
        <v>13260</v>
      </c>
      <c r="AX839" s="319">
        <v>1321</v>
      </c>
      <c r="AY839" s="319">
        <v>4</v>
      </c>
      <c r="AZ839" s="319">
        <f>IF(ISBLANK(tabItens[[#This Row],[CÓDIGO]]),"",tabItens[[#This Row],[PontoMês]] * (AZ$2+tabItens[[#This Row],[PontoQtM]]))</f>
        <v>5284</v>
      </c>
      <c r="BA839" s="318">
        <f>tabItens[[#This Row],[PontoPed]] - tabItens[[#This Row],[Saldo]] + (1/10)</f>
        <v>-7975.9</v>
      </c>
      <c r="BB839" s="318">
        <f xml:space="preserve"> tabItens[[#This Row],[PontoMês]] * BB$2 - tabItens[[#This Row],[QTDE ATUAL]] - (1/10)</f>
        <v>-10939.1</v>
      </c>
      <c r="BC839" s="320">
        <f>IF( tabItens[[#This Row],[PontoPed]]&gt;0, IF(tabItens[[#This Row],[PontoPed]]&lt;1, 1, IF( tabItens[[#This Row],[Saldo]]&gt;tabItens[[#This Row],[PontoPed]], 0, (tabItens[[#This Row],[PontoPed]]-tabItens[[#This Row],[Saldo]])/tabItens[[#This Row],[PontoPed]] ) ), 0 )</f>
        <v>0</v>
      </c>
      <c r="BD839" s="321">
        <f>ROUNDDOWN(IF( OR( AND(tabItens[[#This Row],[PontoPed]]&lt;tabItens[[#This Row],[Saldo]],tabItens[[#This Row],[Saldo]]&gt;0), tabItens[[#This Row],[PontoPed]]=0), 99, IF(AND(tabItens[[#This Row],[Saldo]]=0,tabItens[[#This Row],[PontoPed]]&gt;0), 0, (1-tabItens[[#This Row],[PctAb]])*10 ) ),0)</f>
        <v>99</v>
      </c>
      <c r="BE839" s="322">
        <f>MAX(ROUNDDOWN( IF(tabItens[[#This Row],[Abaixo]] &gt; 0,   tabItens[[#This Row],[Abaixo]] + (tabItens[[#This Row],[PontoMês]] * IF( OR( ISBLANK(tabItens[[#This Row],[ATA Nº/ANO]]), tabItens[[#This Row],[ATA Nº/ANO]] = ""),BE$2,BE$1)),0),0),0)</f>
        <v>0</v>
      </c>
      <c r="BF83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23">
        <f>SUMIF(Consumo!$C$3:$C$869,tabItens[[#This Row],[CÓDIGO]],Consumo!$E$3:$E$869)</f>
        <v>50</v>
      </c>
      <c r="BH839" s="324">
        <f>IF(AND(tabItens[[#This Row],[Pend]] &gt; 0,tabItens[[#This Row],[Consumo]] &lt;&gt; 0), tabItens[[#This Row],[Pend]] / tabItens[[#This Row],[Consumo]], 0 )</f>
        <v>5.3821313240043061E-3</v>
      </c>
      <c r="BI839" s="323"/>
      <c r="BJ839" s="323"/>
      <c r="BK839" s="325" t="s">
        <v>2064</v>
      </c>
    </row>
    <row r="840" spans="1:63" hidden="1" x14ac:dyDescent="0.3">
      <c r="A840" s="286">
        <v>20558</v>
      </c>
      <c r="B840" s="287" t="s">
        <v>1169</v>
      </c>
      <c r="C840" s="288" t="s">
        <v>256</v>
      </c>
      <c r="D840" s="289">
        <v>0.12</v>
      </c>
      <c r="E840" s="290"/>
      <c r="F840" s="290"/>
      <c r="G840" s="290" t="s">
        <v>883</v>
      </c>
      <c r="H840" s="291">
        <v>627</v>
      </c>
      <c r="I840" s="292">
        <v>103003</v>
      </c>
      <c r="J840" s="293">
        <v>0.12</v>
      </c>
      <c r="K840" s="294">
        <v>7795</v>
      </c>
      <c r="L840" s="295">
        <f>IF(tabItens[[#This Row],[Média]] &gt; 0, tabItens[[#This Row],[QTDE ATUAL]] / tabItens[[#This Row],[Média]],999.9)</f>
        <v>0.6823870850716488</v>
      </c>
      <c r="M840" s="296">
        <v>0</v>
      </c>
      <c r="N840" s="297">
        <f>tabItens[[#This Row],[VALOR UNIT.]] * tabItens[[#This Row],[LC]]</f>
        <v>0</v>
      </c>
      <c r="O840" s="298"/>
      <c r="P840" s="299"/>
      <c r="Q840" s="300"/>
      <c r="R840" s="297"/>
      <c r="S840" s="301"/>
      <c r="T840" s="302">
        <f>ROUNDDOWN(IFERROR(tabItens[[#This Row],[ATA DT.VALID.]] - $D$1,0) / 30,0)</f>
        <v>-1504</v>
      </c>
      <c r="U840" s="287" t="s">
        <v>1168</v>
      </c>
      <c r="V840" s="303">
        <v>1</v>
      </c>
      <c r="W840" s="304" t="s">
        <v>2056</v>
      </c>
      <c r="X840" s="305">
        <v>67</v>
      </c>
      <c r="Y840" s="306">
        <v>7</v>
      </c>
      <c r="Z840" s="307">
        <v>2485</v>
      </c>
      <c r="AA840" s="308">
        <v>2023</v>
      </c>
      <c r="AB840" s="309">
        <v>9000</v>
      </c>
      <c r="AC840" s="309"/>
      <c r="AD840" s="308"/>
      <c r="AE840" s="309"/>
      <c r="AF840" s="302"/>
      <c r="AG840" s="310" t="s">
        <v>2050</v>
      </c>
      <c r="AH840" s="311"/>
      <c r="AI840" s="302">
        <v>3268</v>
      </c>
      <c r="AJ840" s="311">
        <v>44942</v>
      </c>
      <c r="AK840" s="311" t="s">
        <v>883</v>
      </c>
      <c r="AL840" s="311">
        <v>44922</v>
      </c>
      <c r="AM840" s="301"/>
      <c r="AN840" s="290"/>
      <c r="AO840" s="312" t="str">
        <f>_xlfn.IFNA(IF(VLOOKUP(tabItens[[#This Row],[CÓDIGO]],tabExcluirDoEstoque[#Data],1,FALSE),"sim",""),"")</f>
        <v/>
      </c>
      <c r="AP840" s="313" t="str">
        <f ca="1">IF(OR(ISBLANK(tabItens[[#This Row],[ATA DT.VALID.]]),tabItens[[#This Row],[ATA DT.VALID.]]="",tabItens[[#This Row],[ATA DT.VALID.]]=" "),"",IF(TYPE(tabItens[[#This Row],[ATA DT.VALID.]])=1,ROUNDUP((tabItens[[#This Row],[ATA DT.VALID.]]-TODAY())/7,0),""))</f>
        <v/>
      </c>
      <c r="AQ840" s="314"/>
      <c r="AR840" s="315" t="str">
        <f>IF(ISBLANK(tabItens[[#This Row],[CÓDIGO]]),"",IFERROR(VLOOKUP(tabItens[[#This Row],[CÓDIGO]],Consumo!$C$2:$AC$869,26,FALSE),0))</f>
        <v>04.2023</v>
      </c>
      <c r="AS840" s="316">
        <f>SUMIF(Consumo!$C$3:$C$869,tabItens[[#This Row],[CÓDIGO]],Consumo!$N$3:$N$869) + SUMIF(Consumo!$C$3:$C$869,tabItens[[#This Row],[CÓDIGO]],Consumo!$O$3:$O$869) + SUMIF(Consumo!$C$3:$C$869,tabItens[[#This Row],[CÓDIGO]],Consumo!$P$3:$P$869) + SUMIF(Consumo!$C$3:$C$869,tabItens[[#This Row],[CÓDIGO]],Consumo!$Q$3:$Q$869)</f>
        <v>1245</v>
      </c>
      <c r="AT840" s="316">
        <f>SUMIF(Consumo!$C$3:$C$869,tabItens[[#This Row],[CÓDIGO]],Consumo!$Z$3:$Z$869)</f>
        <v>11160</v>
      </c>
      <c r="AU840" s="317">
        <f>SUMIF(Consumo!$C$3:$C$869,tabItens[[#This Row],[CÓDIGO]],Consumo!$AA$3:$AA$869)</f>
        <v>2400</v>
      </c>
      <c r="AV840" s="318">
        <f>SUMIF(Consumo!$C$3:$C$869,tabItens[[#This Row],[CÓDIGO]],Consumo!$Y$3:$Y$869)</f>
        <v>918.83333333333337</v>
      </c>
      <c r="AW840" s="291">
        <f>tabItens[[#This Row],[QTDE ATUAL]] + tabItens[[#This Row],[RC QTDE]] + tabItens[[#This Row],[AF SALDO]] + tabItens[[#This Row],[Recentes]]</f>
        <v>9627</v>
      </c>
      <c r="AX840" s="319">
        <v>650</v>
      </c>
      <c r="AY840" s="319">
        <v>4</v>
      </c>
      <c r="AZ840" s="319">
        <f>IF(ISBLANK(tabItens[[#This Row],[CÓDIGO]]),"",tabItens[[#This Row],[PontoMês]] * (AZ$2+tabItens[[#This Row],[PontoQtM]]))</f>
        <v>2600</v>
      </c>
      <c r="BA840" s="318">
        <f>tabItens[[#This Row],[PontoPed]] - tabItens[[#This Row],[Saldo]] + (1/10)</f>
        <v>-7026.9</v>
      </c>
      <c r="BB840" s="318">
        <f xml:space="preserve"> tabItens[[#This Row],[PontoMês]] * BB$2 - tabItens[[#This Row],[QTDE ATUAL]] - (1/10)</f>
        <v>22.9</v>
      </c>
      <c r="BC840" s="320">
        <f>IF( tabItens[[#This Row],[PontoPed]]&gt;0, IF(tabItens[[#This Row],[PontoPed]]&lt;1, 1, IF( tabItens[[#This Row],[Saldo]]&gt;tabItens[[#This Row],[PontoPed]], 0, (tabItens[[#This Row],[PontoPed]]-tabItens[[#This Row],[Saldo]])/tabItens[[#This Row],[PontoPed]] ) ), 0 )</f>
        <v>0</v>
      </c>
      <c r="BD840" s="321">
        <f>ROUNDDOWN(IF( OR( AND(tabItens[[#This Row],[PontoPed]]&lt;tabItens[[#This Row],[Saldo]],tabItens[[#This Row],[Saldo]]&gt;0), tabItens[[#This Row],[PontoPed]]=0), 99, IF(AND(tabItens[[#This Row],[Saldo]]=0,tabItens[[#This Row],[PontoPed]]&gt;0), 0, (1-tabItens[[#This Row],[PctAb]])*10 ) ),0)</f>
        <v>99</v>
      </c>
      <c r="BE840" s="322">
        <f>MAX(ROUNDDOWN( IF(tabItens[[#This Row],[Abaixo]] &gt; 0,   tabItens[[#This Row],[Abaixo]] + (tabItens[[#This Row],[PontoMês]] * IF( OR( ISBLANK(tabItens[[#This Row],[ATA Nº/ANO]]), tabItens[[#This Row],[ATA Nº/ANO]] = ""),BE$2,BE$1)),0),0),0)</f>
        <v>0</v>
      </c>
      <c r="BF8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23">
        <f>SUMIF(Consumo!$C$3:$C$869,tabItens[[#This Row],[CÓDIGO]],Consumo!$E$3:$E$869)</f>
        <v>1355</v>
      </c>
      <c r="BH840" s="324">
        <f>IF(AND(tabItens[[#This Row],[Pend]] &gt; 0,tabItens[[#This Row],[Consumo]] &lt;&gt; 0), tabItens[[#This Row],[Pend]] / tabItens[[#This Row],[Consumo]], 0 )</f>
        <v>0.12141577060931899</v>
      </c>
      <c r="BI840" s="323"/>
      <c r="BJ840" s="323"/>
      <c r="BK840" s="325" t="s">
        <v>2064</v>
      </c>
    </row>
    <row r="841" spans="1:63" hidden="1" x14ac:dyDescent="0.3">
      <c r="A841" s="286">
        <v>20576</v>
      </c>
      <c r="B841" s="287" t="s">
        <v>1170</v>
      </c>
      <c r="C841" s="288" t="s">
        <v>256</v>
      </c>
      <c r="D841" s="289">
        <v>0.08</v>
      </c>
      <c r="E841" s="290"/>
      <c r="F841" s="290"/>
      <c r="G841" s="290" t="s">
        <v>883</v>
      </c>
      <c r="H841" s="291">
        <v>7415</v>
      </c>
      <c r="I841" s="292">
        <v>103003</v>
      </c>
      <c r="J841" s="293">
        <v>0.08</v>
      </c>
      <c r="K841" s="294">
        <v>5100</v>
      </c>
      <c r="L841" s="295">
        <f>IF(tabItens[[#This Row],[Média]] &gt; 0, tabItens[[#This Row],[QTDE ATUAL]] / tabItens[[#This Row],[Média]],999.9)</f>
        <v>18.599498327759196</v>
      </c>
      <c r="M841" s="296">
        <v>0</v>
      </c>
      <c r="N841" s="297">
        <f>tabItens[[#This Row],[VALOR UNIT.]] * tabItens[[#This Row],[LC]]</f>
        <v>0</v>
      </c>
      <c r="O841" s="298"/>
      <c r="P841" s="299"/>
      <c r="Q841" s="300"/>
      <c r="R841" s="297"/>
      <c r="S841" s="301"/>
      <c r="T841" s="302">
        <f>ROUNDDOWN(IFERROR(tabItens[[#This Row],[ATA DT.VALID.]] - $D$1,0) / 30,0)</f>
        <v>-1504</v>
      </c>
      <c r="U841" s="287" t="s">
        <v>1168</v>
      </c>
      <c r="V841" s="303">
        <v>1</v>
      </c>
      <c r="W841" s="304" t="s">
        <v>2056</v>
      </c>
      <c r="X841" s="305">
        <v>67</v>
      </c>
      <c r="Y841" s="306">
        <v>7</v>
      </c>
      <c r="Z841" s="307"/>
      <c r="AA841" s="308"/>
      <c r="AB841" s="309"/>
      <c r="AC841" s="309"/>
      <c r="AD841" s="308"/>
      <c r="AE841" s="309"/>
      <c r="AF841" s="302"/>
      <c r="AG841" s="310" t="s">
        <v>2050</v>
      </c>
      <c r="AH841" s="311"/>
      <c r="AI841" s="302">
        <v>1834</v>
      </c>
      <c r="AJ841" s="311">
        <v>44092</v>
      </c>
      <c r="AK841" s="311" t="s">
        <v>883</v>
      </c>
      <c r="AL841" s="311">
        <v>44040</v>
      </c>
      <c r="AM841" s="301"/>
      <c r="AN841" s="290"/>
      <c r="AO841" s="312" t="str">
        <f>_xlfn.IFNA(IF(VLOOKUP(tabItens[[#This Row],[CÓDIGO]],tabExcluirDoEstoque[#Data],1,FALSE),"sim",""),"")</f>
        <v/>
      </c>
      <c r="AP841" s="313" t="str">
        <f ca="1">IF(OR(ISBLANK(tabItens[[#This Row],[ATA DT.VALID.]]),tabItens[[#This Row],[ATA DT.VALID.]]="",tabItens[[#This Row],[ATA DT.VALID.]]=" "),"",IF(TYPE(tabItens[[#This Row],[ATA DT.VALID.]])=1,ROUNDUP((tabItens[[#This Row],[ATA DT.VALID.]]-TODAY())/7,0),""))</f>
        <v/>
      </c>
      <c r="AQ841" s="314"/>
      <c r="AR841" s="315" t="str">
        <f>IF(ISBLANK(tabItens[[#This Row],[CÓDIGO]]),"",IFERROR(VLOOKUP(tabItens[[#This Row],[CÓDIGO]],Consumo!$C$2:$AC$869,26,FALSE),0))</f>
        <v>05.2023</v>
      </c>
      <c r="AS841" s="316">
        <f>SUMIF(Consumo!$C$3:$C$869,tabItens[[#This Row],[CÓDIGO]],Consumo!$N$3:$N$869) + SUMIF(Consumo!$C$3:$C$869,tabItens[[#This Row],[CÓDIGO]],Consumo!$O$3:$O$869) + SUMIF(Consumo!$C$3:$C$869,tabItens[[#This Row],[CÓDIGO]],Consumo!$P$3:$P$869) + SUMIF(Consumo!$C$3:$C$869,tabItens[[#This Row],[CÓDIGO]],Consumo!$Q$3:$Q$869)</f>
        <v>2750</v>
      </c>
      <c r="AT841" s="316">
        <f>SUMIF(Consumo!$C$3:$C$869,tabItens[[#This Row],[CÓDIGO]],Consumo!$Z$3:$Z$869)</f>
        <v>5500</v>
      </c>
      <c r="AU841" s="317">
        <f>SUMIF(Consumo!$C$3:$C$869,tabItens[[#This Row],[CÓDIGO]],Consumo!$AA$3:$AA$869)</f>
        <v>2650</v>
      </c>
      <c r="AV841" s="318">
        <f>SUMIF(Consumo!$C$3:$C$869,tabItens[[#This Row],[CÓDIGO]],Consumo!$Y$3:$Y$869)</f>
        <v>398.66666666666669</v>
      </c>
      <c r="AW841" s="291">
        <f>tabItens[[#This Row],[QTDE ATUAL]] + tabItens[[#This Row],[RC QTDE]] + tabItens[[#This Row],[AF SALDO]] + tabItens[[#This Row],[Recentes]]</f>
        <v>7415</v>
      </c>
      <c r="AX841" s="319">
        <v>384</v>
      </c>
      <c r="AY841" s="319">
        <v>4</v>
      </c>
      <c r="AZ841" s="319">
        <f>IF(ISBLANK(tabItens[[#This Row],[CÓDIGO]]),"",tabItens[[#This Row],[PontoMês]] * (AZ$2+tabItens[[#This Row],[PontoQtM]]))</f>
        <v>1536</v>
      </c>
      <c r="BA841" s="318">
        <f>tabItens[[#This Row],[PontoPed]] - tabItens[[#This Row],[Saldo]] + (1/10)</f>
        <v>-5878.9</v>
      </c>
      <c r="BB841" s="318">
        <f xml:space="preserve"> tabItens[[#This Row],[PontoMês]] * BB$2 - tabItens[[#This Row],[QTDE ATUAL]] - (1/10)</f>
        <v>-7031.1</v>
      </c>
      <c r="BC841" s="320">
        <f>IF( tabItens[[#This Row],[PontoPed]]&gt;0, IF(tabItens[[#This Row],[PontoPed]]&lt;1, 1, IF( tabItens[[#This Row],[Saldo]]&gt;tabItens[[#This Row],[PontoPed]], 0, (tabItens[[#This Row],[PontoPed]]-tabItens[[#This Row],[Saldo]])/tabItens[[#This Row],[PontoPed]] ) ), 0 )</f>
        <v>0</v>
      </c>
      <c r="BD841" s="321">
        <f>ROUNDDOWN(IF( OR( AND(tabItens[[#This Row],[PontoPed]]&lt;tabItens[[#This Row],[Saldo]],tabItens[[#This Row],[Saldo]]&gt;0), tabItens[[#This Row],[PontoPed]]=0), 99, IF(AND(tabItens[[#This Row],[Saldo]]=0,tabItens[[#This Row],[PontoPed]]&gt;0), 0, (1-tabItens[[#This Row],[PctAb]])*10 ) ),0)</f>
        <v>99</v>
      </c>
      <c r="BE841" s="322">
        <f>MAX(ROUNDDOWN( IF(tabItens[[#This Row],[Abaixo]] &gt; 0,   tabItens[[#This Row],[Abaixo]] + (tabItens[[#This Row],[PontoMês]] * IF( OR( ISBLANK(tabItens[[#This Row],[ATA Nº/ANO]]), tabItens[[#This Row],[ATA Nº/ANO]] = ""),BE$2,BE$1)),0),0),0)</f>
        <v>0</v>
      </c>
      <c r="BF8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23">
        <f>SUMIF(Consumo!$C$3:$C$869,tabItens[[#This Row],[CÓDIGO]],Consumo!$E$3:$E$869)</f>
        <v>0</v>
      </c>
      <c r="BH841" s="324">
        <f>IF(AND(tabItens[[#This Row],[Pend]] &gt; 0,tabItens[[#This Row],[Consumo]] &lt;&gt; 0), tabItens[[#This Row],[Pend]] / tabItens[[#This Row],[Consumo]], 0 )</f>
        <v>0</v>
      </c>
      <c r="BI841" s="323"/>
      <c r="BJ841" s="323"/>
      <c r="BK841" s="325" t="s">
        <v>2064</v>
      </c>
    </row>
    <row r="842" spans="1:63" hidden="1" x14ac:dyDescent="0.3">
      <c r="A842" s="286">
        <v>20583</v>
      </c>
      <c r="B842" s="287" t="s">
        <v>1171</v>
      </c>
      <c r="C842" s="288" t="s">
        <v>256</v>
      </c>
      <c r="D842" s="289">
        <v>0.09</v>
      </c>
      <c r="E842" s="290"/>
      <c r="F842" s="290"/>
      <c r="G842" s="290" t="s">
        <v>883</v>
      </c>
      <c r="H842" s="291">
        <v>13063</v>
      </c>
      <c r="I842" s="292">
        <v>103003</v>
      </c>
      <c r="J842" s="293">
        <v>0.09</v>
      </c>
      <c r="K842" s="294">
        <v>3300</v>
      </c>
      <c r="L842" s="295">
        <f>IF(tabItens[[#This Row],[Média]] &gt; 0, tabItens[[#This Row],[QTDE ATUAL]] / tabItens[[#This Row],[Média]],999.9)</f>
        <v>57.085214857975231</v>
      </c>
      <c r="M842" s="296">
        <v>0</v>
      </c>
      <c r="N842" s="297">
        <f>tabItens[[#This Row],[VALOR UNIT.]] * tabItens[[#This Row],[LC]]</f>
        <v>0</v>
      </c>
      <c r="O842" s="298"/>
      <c r="P842" s="299"/>
      <c r="Q842" s="300"/>
      <c r="R842" s="297"/>
      <c r="S842" s="301"/>
      <c r="T842" s="302">
        <f>ROUNDDOWN(IFERROR(tabItens[[#This Row],[ATA DT.VALID.]] - $D$1,0) / 30,0)</f>
        <v>-1504</v>
      </c>
      <c r="U842" s="287" t="s">
        <v>1168</v>
      </c>
      <c r="V842" s="303">
        <v>1</v>
      </c>
      <c r="W842" s="304" t="s">
        <v>2056</v>
      </c>
      <c r="X842" s="305">
        <v>67</v>
      </c>
      <c r="Y842" s="306">
        <v>7</v>
      </c>
      <c r="Z842" s="307"/>
      <c r="AA842" s="308"/>
      <c r="AB842" s="309"/>
      <c r="AC842" s="309"/>
      <c r="AD842" s="308"/>
      <c r="AE842" s="309"/>
      <c r="AF842" s="302"/>
      <c r="AG842" s="310" t="s">
        <v>2050</v>
      </c>
      <c r="AH842" s="311"/>
      <c r="AI842" s="302">
        <v>1116</v>
      </c>
      <c r="AJ842" s="311">
        <v>43853</v>
      </c>
      <c r="AK842" s="311" t="s">
        <v>883</v>
      </c>
      <c r="AL842" s="311">
        <v>43826</v>
      </c>
      <c r="AM842" s="301"/>
      <c r="AN842" s="290"/>
      <c r="AO842" s="312" t="str">
        <f>_xlfn.IFNA(IF(VLOOKUP(tabItens[[#This Row],[CÓDIGO]],tabExcluirDoEstoque[#Data],1,FALSE),"sim",""),"")</f>
        <v/>
      </c>
      <c r="AP842" s="313" t="str">
        <f ca="1">IF(OR(ISBLANK(tabItens[[#This Row],[ATA DT.VALID.]]),tabItens[[#This Row],[ATA DT.VALID.]]="",tabItens[[#This Row],[ATA DT.VALID.]]=" "),"",IF(TYPE(tabItens[[#This Row],[ATA DT.VALID.]])=1,ROUNDUP((tabItens[[#This Row],[ATA DT.VALID.]]-TODAY())/7,0),""))</f>
        <v/>
      </c>
      <c r="AQ842" s="314"/>
      <c r="AR842" s="315" t="str">
        <f>IF(ISBLANK(tabItens[[#This Row],[CÓDIGO]]),"",IFERROR(VLOOKUP(tabItens[[#This Row],[CÓDIGO]],Consumo!$C$2:$AC$869,26,FALSE),0))</f>
        <v>04.2023</v>
      </c>
      <c r="AS842" s="316">
        <f>SUMIF(Consumo!$C$3:$C$869,tabItens[[#This Row],[CÓDIGO]],Consumo!$N$3:$N$869) + SUMIF(Consumo!$C$3:$C$869,tabItens[[#This Row],[CÓDIGO]],Consumo!$O$3:$O$869) + SUMIF(Consumo!$C$3:$C$869,tabItens[[#This Row],[CÓDIGO]],Consumo!$P$3:$P$869) + SUMIF(Consumo!$C$3:$C$869,tabItens[[#This Row],[CÓDIGO]],Consumo!$Q$3:$Q$869)</f>
        <v>2100</v>
      </c>
      <c r="AT842" s="316">
        <f>SUMIF(Consumo!$C$3:$C$869,tabItens[[#This Row],[CÓDIGO]],Consumo!$Z$3:$Z$869)</f>
        <v>3400</v>
      </c>
      <c r="AU842" s="317">
        <f>SUMIF(Consumo!$C$3:$C$869,tabItens[[#This Row],[CÓDIGO]],Consumo!$AA$3:$AA$869)</f>
        <v>2100</v>
      </c>
      <c r="AV842" s="318">
        <f>SUMIF(Consumo!$C$3:$C$869,tabItens[[#This Row],[CÓDIGO]],Consumo!$Y$3:$Y$869)</f>
        <v>228.83333333333334</v>
      </c>
      <c r="AW842" s="291">
        <f>tabItens[[#This Row],[QTDE ATUAL]] + tabItens[[#This Row],[RC QTDE]] + tabItens[[#This Row],[AF SALDO]] + tabItens[[#This Row],[Recentes]]</f>
        <v>13063</v>
      </c>
      <c r="AX842" s="319">
        <v>710</v>
      </c>
      <c r="AY842" s="319">
        <v>4</v>
      </c>
      <c r="AZ842" s="319">
        <f>IF(ISBLANK(tabItens[[#This Row],[CÓDIGO]]),"",tabItens[[#This Row],[PontoMês]] * (AZ$2+tabItens[[#This Row],[PontoQtM]]))</f>
        <v>2840</v>
      </c>
      <c r="BA842" s="318">
        <f>tabItens[[#This Row],[PontoPed]] - tabItens[[#This Row],[Saldo]] + (1/10)</f>
        <v>-10222.9</v>
      </c>
      <c r="BB842" s="318">
        <f xml:space="preserve"> tabItens[[#This Row],[PontoMês]] * BB$2 - tabItens[[#This Row],[QTDE ATUAL]] - (1/10)</f>
        <v>-12353.1</v>
      </c>
      <c r="BC842" s="320">
        <f>IF( tabItens[[#This Row],[PontoPed]]&gt;0, IF(tabItens[[#This Row],[PontoPed]]&lt;1, 1, IF( tabItens[[#This Row],[Saldo]]&gt;tabItens[[#This Row],[PontoPed]], 0, (tabItens[[#This Row],[PontoPed]]-tabItens[[#This Row],[Saldo]])/tabItens[[#This Row],[PontoPed]] ) ), 0 )</f>
        <v>0</v>
      </c>
      <c r="BD842" s="321">
        <f>ROUNDDOWN(IF( OR( AND(tabItens[[#This Row],[PontoPed]]&lt;tabItens[[#This Row],[Saldo]],tabItens[[#This Row],[Saldo]]&gt;0), tabItens[[#This Row],[PontoPed]]=0), 99, IF(AND(tabItens[[#This Row],[Saldo]]=0,tabItens[[#This Row],[PontoPed]]&gt;0), 0, (1-tabItens[[#This Row],[PctAb]])*10 ) ),0)</f>
        <v>99</v>
      </c>
      <c r="BE842" s="322">
        <f>MAX(ROUNDDOWN( IF(tabItens[[#This Row],[Abaixo]] &gt; 0,   tabItens[[#This Row],[Abaixo]] + (tabItens[[#This Row],[PontoMês]] * IF( OR( ISBLANK(tabItens[[#This Row],[ATA Nº/ANO]]), tabItens[[#This Row],[ATA Nº/ANO]] = ""),BE$2,BE$1)),0),0),0)</f>
        <v>0</v>
      </c>
      <c r="BF8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23">
        <f>SUMIF(Consumo!$C$3:$C$869,tabItens[[#This Row],[CÓDIGO]],Consumo!$E$3:$E$869)</f>
        <v>50</v>
      </c>
      <c r="BH842" s="324">
        <f>IF(AND(tabItens[[#This Row],[Pend]] &gt; 0,tabItens[[#This Row],[Consumo]] &lt;&gt; 0), tabItens[[#This Row],[Pend]] / tabItens[[#This Row],[Consumo]], 0 )</f>
        <v>1.4705882352941176E-2</v>
      </c>
      <c r="BI842" s="323"/>
      <c r="BJ842" s="323"/>
      <c r="BK842" s="325" t="s">
        <v>2064</v>
      </c>
    </row>
    <row r="843" spans="1:63" hidden="1" x14ac:dyDescent="0.3">
      <c r="A843" s="286">
        <v>20584</v>
      </c>
      <c r="B843" s="287" t="s">
        <v>1172</v>
      </c>
      <c r="C843" s="288" t="s">
        <v>256</v>
      </c>
      <c r="D843" s="289">
        <v>0.09</v>
      </c>
      <c r="E843" s="290"/>
      <c r="F843" s="290"/>
      <c r="G843" s="290" t="s">
        <v>883</v>
      </c>
      <c r="H843" s="291">
        <v>24460</v>
      </c>
      <c r="I843" s="292">
        <v>103003</v>
      </c>
      <c r="J843" s="293">
        <v>0.09</v>
      </c>
      <c r="K843" s="294">
        <v>1850</v>
      </c>
      <c r="L843" s="295">
        <f>IF(tabItens[[#This Row],[Média]] &gt; 0, tabItens[[#This Row],[QTDE ATUAL]] / tabItens[[#This Row],[Média]],999.9)</f>
        <v>175.97122302158274</v>
      </c>
      <c r="M843" s="296">
        <v>0</v>
      </c>
      <c r="N843" s="297">
        <f>tabItens[[#This Row],[VALOR UNIT.]] * tabItens[[#This Row],[LC]]</f>
        <v>0</v>
      </c>
      <c r="O843" s="298"/>
      <c r="P843" s="299"/>
      <c r="Q843" s="300"/>
      <c r="R843" s="297"/>
      <c r="S843" s="301"/>
      <c r="T843" s="302">
        <f>ROUNDDOWN(IFERROR(tabItens[[#This Row],[ATA DT.VALID.]] - $D$1,0) / 30,0)</f>
        <v>-1504</v>
      </c>
      <c r="U843" s="287" t="s">
        <v>1168</v>
      </c>
      <c r="V843" s="303">
        <v>1</v>
      </c>
      <c r="W843" s="304" t="s">
        <v>2056</v>
      </c>
      <c r="X843" s="305">
        <v>67</v>
      </c>
      <c r="Y843" s="306">
        <v>7</v>
      </c>
      <c r="Z843" s="307"/>
      <c r="AA843" s="308"/>
      <c r="AB843" s="309"/>
      <c r="AC843" s="309"/>
      <c r="AD843" s="308"/>
      <c r="AE843" s="309"/>
      <c r="AF843" s="302"/>
      <c r="AG843" s="310" t="s">
        <v>2050</v>
      </c>
      <c r="AH843" s="311"/>
      <c r="AI843" s="302">
        <v>1020</v>
      </c>
      <c r="AJ843" s="311">
        <v>43754</v>
      </c>
      <c r="AK843" s="311" t="s">
        <v>883</v>
      </c>
      <c r="AL843" s="311">
        <v>43747</v>
      </c>
      <c r="AM843" s="301"/>
      <c r="AN843" s="290"/>
      <c r="AO843" s="312" t="str">
        <f>_xlfn.IFNA(IF(VLOOKUP(tabItens[[#This Row],[CÓDIGO]],tabExcluirDoEstoque[#Data],1,FALSE),"sim",""),"")</f>
        <v/>
      </c>
      <c r="AP843" s="313" t="str">
        <f ca="1">IF(OR(ISBLANK(tabItens[[#This Row],[ATA DT.VALID.]]),tabItens[[#This Row],[ATA DT.VALID.]]="",tabItens[[#This Row],[ATA DT.VALID.]]=" "),"",IF(TYPE(tabItens[[#This Row],[ATA DT.VALID.]])=1,ROUNDUP((tabItens[[#This Row],[ATA DT.VALID.]]-TODAY())/7,0),""))</f>
        <v/>
      </c>
      <c r="AQ843" s="314"/>
      <c r="AR843" s="315" t="str">
        <f>IF(ISBLANK(tabItens[[#This Row],[CÓDIGO]]),"",IFERROR(VLOOKUP(tabItens[[#This Row],[CÓDIGO]],Consumo!$C$2:$AC$869,26,FALSE),0))</f>
        <v>06.2023</v>
      </c>
      <c r="AS843" s="316">
        <f>SUMIF(Consumo!$C$3:$C$869,tabItens[[#This Row],[CÓDIGO]],Consumo!$N$3:$N$869) + SUMIF(Consumo!$C$3:$C$869,tabItens[[#This Row],[CÓDIGO]],Consumo!$O$3:$O$869) + SUMIF(Consumo!$C$3:$C$869,tabItens[[#This Row],[CÓDIGO]],Consumo!$P$3:$P$869) + SUMIF(Consumo!$C$3:$C$869,tabItens[[#This Row],[CÓDIGO]],Consumo!$Q$3:$Q$869)</f>
        <v>1500</v>
      </c>
      <c r="AT843" s="316">
        <f>SUMIF(Consumo!$C$3:$C$869,tabItens[[#This Row],[CÓDIGO]],Consumo!$Z$3:$Z$869)</f>
        <v>1930</v>
      </c>
      <c r="AU843" s="317">
        <f>SUMIF(Consumo!$C$3:$C$869,tabItens[[#This Row],[CÓDIGO]],Consumo!$AA$3:$AA$869)</f>
        <v>1000</v>
      </c>
      <c r="AV843" s="318">
        <f>SUMIF(Consumo!$C$3:$C$869,tabItens[[#This Row],[CÓDIGO]],Consumo!$Y$3:$Y$869)</f>
        <v>139</v>
      </c>
      <c r="AW843" s="291">
        <f>tabItens[[#This Row],[QTDE ATUAL]] + tabItens[[#This Row],[RC QTDE]] + tabItens[[#This Row],[AF SALDO]] + tabItens[[#This Row],[Recentes]]</f>
        <v>24460</v>
      </c>
      <c r="AX843" s="319">
        <v>255</v>
      </c>
      <c r="AY843" s="319">
        <v>4</v>
      </c>
      <c r="AZ843" s="319">
        <f>IF(ISBLANK(tabItens[[#This Row],[CÓDIGO]]),"",tabItens[[#This Row],[PontoMês]] * (AZ$2+tabItens[[#This Row],[PontoQtM]]))</f>
        <v>1020</v>
      </c>
      <c r="BA843" s="318">
        <f>tabItens[[#This Row],[PontoPed]] - tabItens[[#This Row],[Saldo]] + (1/10)</f>
        <v>-23439.9</v>
      </c>
      <c r="BB843" s="318">
        <f xml:space="preserve"> tabItens[[#This Row],[PontoMês]] * BB$2 - tabItens[[#This Row],[QTDE ATUAL]] - (1/10)</f>
        <v>-24205.1</v>
      </c>
      <c r="BC843" s="320">
        <f>IF( tabItens[[#This Row],[PontoPed]]&gt;0, IF(tabItens[[#This Row],[PontoPed]]&lt;1, 1, IF( tabItens[[#This Row],[Saldo]]&gt;tabItens[[#This Row],[PontoPed]], 0, (tabItens[[#This Row],[PontoPed]]-tabItens[[#This Row],[Saldo]])/tabItens[[#This Row],[PontoPed]] ) ), 0 )</f>
        <v>0</v>
      </c>
      <c r="BD843" s="321">
        <f>ROUNDDOWN(IF( OR( AND(tabItens[[#This Row],[PontoPed]]&lt;tabItens[[#This Row],[Saldo]],tabItens[[#This Row],[Saldo]]&gt;0), tabItens[[#This Row],[PontoPed]]=0), 99, IF(AND(tabItens[[#This Row],[Saldo]]=0,tabItens[[#This Row],[PontoPed]]&gt;0), 0, (1-tabItens[[#This Row],[PctAb]])*10 ) ),0)</f>
        <v>99</v>
      </c>
      <c r="BE843" s="322">
        <f>MAX(ROUNDDOWN( IF(tabItens[[#This Row],[Abaixo]] &gt; 0,   tabItens[[#This Row],[Abaixo]] + (tabItens[[#This Row],[PontoMês]] * IF( OR( ISBLANK(tabItens[[#This Row],[ATA Nº/ANO]]), tabItens[[#This Row],[ATA Nº/ANO]] = ""),BE$2,BE$1)),0),0),0)</f>
        <v>0</v>
      </c>
      <c r="BF8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23">
        <f>SUMIF(Consumo!$C$3:$C$869,tabItens[[#This Row],[CÓDIGO]],Consumo!$E$3:$E$869)</f>
        <v>50</v>
      </c>
      <c r="BH843" s="324">
        <f>IF(AND(tabItens[[#This Row],[Pend]] &gt; 0,tabItens[[#This Row],[Consumo]] &lt;&gt; 0), tabItens[[#This Row],[Pend]] / tabItens[[#This Row],[Consumo]], 0 )</f>
        <v>2.5906735751295335E-2</v>
      </c>
      <c r="BI843" s="323"/>
      <c r="BJ843" s="323"/>
      <c r="BK843" s="325" t="s">
        <v>2064</v>
      </c>
    </row>
    <row r="844" spans="1:63" hidden="1" x14ac:dyDescent="0.3">
      <c r="A844" s="286">
        <v>123349</v>
      </c>
      <c r="B844" s="287" t="s">
        <v>1748</v>
      </c>
      <c r="C844" s="288" t="s">
        <v>413</v>
      </c>
      <c r="D844" s="289">
        <v>12.78</v>
      </c>
      <c r="E844" s="290"/>
      <c r="F844" s="290"/>
      <c r="G844" s="290" t="s">
        <v>883</v>
      </c>
      <c r="H844" s="291">
        <v>164</v>
      </c>
      <c r="I844" s="292">
        <v>103003</v>
      </c>
      <c r="J844" s="293">
        <v>12.78</v>
      </c>
      <c r="K844" s="294"/>
      <c r="L844" s="295">
        <f>IF(tabItens[[#This Row],[Média]] &gt; 0, tabItens[[#This Row],[QTDE ATUAL]] / tabItens[[#This Row],[Média]],999.9)</f>
        <v>999.9</v>
      </c>
      <c r="M844" s="296">
        <v>0</v>
      </c>
      <c r="N844" s="297">
        <f>tabItens[[#This Row],[VALOR UNIT.]] * tabItens[[#This Row],[LC]]</f>
        <v>0</v>
      </c>
      <c r="O844" s="298"/>
      <c r="P844" s="299"/>
      <c r="Q844" s="300"/>
      <c r="R844" s="297"/>
      <c r="S844" s="301"/>
      <c r="T844" s="302">
        <f>ROUNDDOWN(IFERROR(tabItens[[#This Row],[ATA DT.VALID.]] - $D$1,0) / 30,0)</f>
        <v>-1504</v>
      </c>
      <c r="U844" s="287" t="s">
        <v>1168</v>
      </c>
      <c r="V844" s="303">
        <v>1</v>
      </c>
      <c r="W844" s="304" t="s">
        <v>2056</v>
      </c>
      <c r="X844" s="305">
        <v>67</v>
      </c>
      <c r="Y844" s="306">
        <v>7</v>
      </c>
      <c r="Z844" s="307"/>
      <c r="AA844" s="308"/>
      <c r="AB844" s="309"/>
      <c r="AC844" s="309"/>
      <c r="AD844" s="308"/>
      <c r="AE844" s="309"/>
      <c r="AF844" s="302"/>
      <c r="AG844" s="310" t="s">
        <v>2050</v>
      </c>
      <c r="AH844" s="311"/>
      <c r="AI844" s="302">
        <v>0</v>
      </c>
      <c r="AJ844" s="311">
        <v>44055</v>
      </c>
      <c r="AK844" s="311">
        <v>41096</v>
      </c>
      <c r="AL844" s="311">
        <v>44040</v>
      </c>
      <c r="AM844" s="301"/>
      <c r="AN844" s="290"/>
      <c r="AO844" s="312" t="str">
        <f>_xlfn.IFNA(IF(VLOOKUP(tabItens[[#This Row],[CÓDIGO]],tabExcluirDoEstoque[#Data],1,FALSE),"sim",""),"")</f>
        <v/>
      </c>
      <c r="AP844" s="313" t="str">
        <f ca="1">IF(OR(ISBLANK(tabItens[[#This Row],[ATA DT.VALID.]]),tabItens[[#This Row],[ATA DT.VALID.]]="",tabItens[[#This Row],[ATA DT.VALID.]]=" "),"",IF(TYPE(tabItens[[#This Row],[ATA DT.VALID.]])=1,ROUNDUP((tabItens[[#This Row],[ATA DT.VALID.]]-TODAY())/7,0),""))</f>
        <v/>
      </c>
      <c r="AQ844" s="314"/>
      <c r="AR844" s="315">
        <f>IF(ISBLANK(tabItens[[#This Row],[CÓDIGO]]),"",IFERROR(VLOOKUP(tabItens[[#This Row],[CÓDIGO]],Consumo!$C$2:$AC$869,26,FALSE),0))</f>
        <v>0</v>
      </c>
      <c r="AS844" s="316">
        <f>SUMIF(Consumo!$C$3:$C$869,tabItens[[#This Row],[CÓDIGO]],Consumo!$N$3:$N$869) + SUMIF(Consumo!$C$3:$C$869,tabItens[[#This Row],[CÓDIGO]],Consumo!$O$3:$O$869) + SUMIF(Consumo!$C$3:$C$869,tabItens[[#This Row],[CÓDIGO]],Consumo!$P$3:$P$869) + SUMIF(Consumo!$C$3:$C$869,tabItens[[#This Row],[CÓDIGO]],Consumo!$Q$3:$Q$869)</f>
        <v>0</v>
      </c>
      <c r="AT844" s="316">
        <f>SUMIF(Consumo!$C$3:$C$869,tabItens[[#This Row],[CÓDIGO]],Consumo!$Z$3:$Z$869)</f>
        <v>0</v>
      </c>
      <c r="AU844" s="317">
        <f>SUMIF(Consumo!$C$3:$C$869,tabItens[[#This Row],[CÓDIGO]],Consumo!$AA$3:$AA$869)</f>
        <v>0</v>
      </c>
      <c r="AV844" s="318">
        <f>SUMIF(Consumo!$C$3:$C$869,tabItens[[#This Row],[CÓDIGO]],Consumo!$Y$3:$Y$869)</f>
        <v>0</v>
      </c>
      <c r="AW844" s="291">
        <f>tabItens[[#This Row],[QTDE ATUAL]] + tabItens[[#This Row],[RC QTDE]] + tabItens[[#This Row],[AF SALDO]] + tabItens[[#This Row],[Recentes]]</f>
        <v>164</v>
      </c>
      <c r="AX844" s="319">
        <v>3</v>
      </c>
      <c r="AY844" s="319">
        <v>4</v>
      </c>
      <c r="AZ844" s="319">
        <f>IF(ISBLANK(tabItens[[#This Row],[CÓDIGO]]),"",tabItens[[#This Row],[PontoMês]] * (AZ$2+tabItens[[#This Row],[PontoQtM]]))</f>
        <v>12</v>
      </c>
      <c r="BA844" s="318">
        <f>tabItens[[#This Row],[PontoPed]] - tabItens[[#This Row],[Saldo]] + (1/10)</f>
        <v>-151.9</v>
      </c>
      <c r="BB844" s="318">
        <f xml:space="preserve"> tabItens[[#This Row],[PontoMês]] * BB$2 - tabItens[[#This Row],[QTDE ATUAL]] - (1/10)</f>
        <v>-161.1</v>
      </c>
      <c r="BC844" s="320">
        <f>IF( tabItens[[#This Row],[PontoPed]]&gt;0, IF(tabItens[[#This Row],[PontoPed]]&lt;1, 1, IF( tabItens[[#This Row],[Saldo]]&gt;tabItens[[#This Row],[PontoPed]], 0, (tabItens[[#This Row],[PontoPed]]-tabItens[[#This Row],[Saldo]])/tabItens[[#This Row],[PontoPed]] ) ), 0 )</f>
        <v>0</v>
      </c>
      <c r="BD844" s="321">
        <f>ROUNDDOWN(IF( OR( AND(tabItens[[#This Row],[PontoPed]]&lt;tabItens[[#This Row],[Saldo]],tabItens[[#This Row],[Saldo]]&gt;0), tabItens[[#This Row],[PontoPed]]=0), 99, IF(AND(tabItens[[#This Row],[Saldo]]=0,tabItens[[#This Row],[PontoPed]]&gt;0), 0, (1-tabItens[[#This Row],[PctAb]])*10 ) ),0)</f>
        <v>99</v>
      </c>
      <c r="BE844" s="322">
        <f>MAX(ROUNDDOWN( IF(tabItens[[#This Row],[Abaixo]] &gt; 0,   tabItens[[#This Row],[Abaixo]] + (tabItens[[#This Row],[PontoMês]] * IF( OR( ISBLANK(tabItens[[#This Row],[ATA Nº/ANO]]), tabItens[[#This Row],[ATA Nº/ANO]] = ""),BE$2,BE$1)),0),0),0)</f>
        <v>0</v>
      </c>
      <c r="BF84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23">
        <f>SUMIF(Consumo!$C$3:$C$869,tabItens[[#This Row],[CÓDIGO]],Consumo!$E$3:$E$869)</f>
        <v>0</v>
      </c>
      <c r="BH844" s="324">
        <f>IF(AND(tabItens[[#This Row],[Pend]] &gt; 0,tabItens[[#This Row],[Consumo]] &lt;&gt; 0), tabItens[[#This Row],[Pend]] / tabItens[[#This Row],[Consumo]], 0 )</f>
        <v>0</v>
      </c>
      <c r="BI844" s="323"/>
      <c r="BJ844" s="323"/>
      <c r="BK844" s="325" t="s">
        <v>2064</v>
      </c>
    </row>
    <row r="845" spans="1:63" hidden="1" x14ac:dyDescent="0.3">
      <c r="A845" s="286">
        <v>123350</v>
      </c>
      <c r="B845" s="287" t="s">
        <v>1749</v>
      </c>
      <c r="C845" s="288" t="s">
        <v>413</v>
      </c>
      <c r="D845" s="289">
        <v>20.47</v>
      </c>
      <c r="E845" s="290"/>
      <c r="F845" s="290"/>
      <c r="G845" s="290" t="s">
        <v>883</v>
      </c>
      <c r="H845" s="291">
        <v>91</v>
      </c>
      <c r="I845" s="292">
        <v>103003</v>
      </c>
      <c r="J845" s="293">
        <v>20.47</v>
      </c>
      <c r="K845" s="294"/>
      <c r="L845" s="295">
        <f>IF(tabItens[[#This Row],[Média]] &gt; 0, tabItens[[#This Row],[QTDE ATUAL]] / tabItens[[#This Row],[Média]],999.9)</f>
        <v>999.9</v>
      </c>
      <c r="M845" s="296">
        <v>0</v>
      </c>
      <c r="N845" s="297">
        <f>tabItens[[#This Row],[VALOR UNIT.]] * tabItens[[#This Row],[LC]]</f>
        <v>0</v>
      </c>
      <c r="O845" s="298"/>
      <c r="P845" s="299"/>
      <c r="Q845" s="300"/>
      <c r="R845" s="297"/>
      <c r="S845" s="301"/>
      <c r="T845" s="302">
        <f>ROUNDDOWN(IFERROR(tabItens[[#This Row],[ATA DT.VALID.]] - $D$1,0) / 30,0)</f>
        <v>-1504</v>
      </c>
      <c r="U845" s="287" t="s">
        <v>1168</v>
      </c>
      <c r="V845" s="303">
        <v>1</v>
      </c>
      <c r="W845" s="304" t="s">
        <v>2056</v>
      </c>
      <c r="X845" s="305">
        <v>67</v>
      </c>
      <c r="Y845" s="306">
        <v>7</v>
      </c>
      <c r="Z845" s="307"/>
      <c r="AA845" s="308"/>
      <c r="AB845" s="309"/>
      <c r="AC845" s="309"/>
      <c r="AD845" s="308"/>
      <c r="AE845" s="309"/>
      <c r="AF845" s="302"/>
      <c r="AG845" s="310" t="s">
        <v>2050</v>
      </c>
      <c r="AH845" s="311"/>
      <c r="AI845" s="302">
        <v>0</v>
      </c>
      <c r="AJ845" s="311">
        <v>43560</v>
      </c>
      <c r="AK845" s="311">
        <v>41096</v>
      </c>
      <c r="AL845" s="311">
        <v>43524</v>
      </c>
      <c r="AM845" s="301"/>
      <c r="AN845" s="290"/>
      <c r="AO845" s="312" t="str">
        <f>_xlfn.IFNA(IF(VLOOKUP(tabItens[[#This Row],[CÓDIGO]],tabExcluirDoEstoque[#Data],1,FALSE),"sim",""),"")</f>
        <v/>
      </c>
      <c r="AP845" s="313" t="str">
        <f ca="1">IF(OR(ISBLANK(tabItens[[#This Row],[ATA DT.VALID.]]),tabItens[[#This Row],[ATA DT.VALID.]]="",tabItens[[#This Row],[ATA DT.VALID.]]=" "),"",IF(TYPE(tabItens[[#This Row],[ATA DT.VALID.]])=1,ROUNDUP((tabItens[[#This Row],[ATA DT.VALID.]]-TODAY())/7,0),""))</f>
        <v/>
      </c>
      <c r="AQ845" s="314"/>
      <c r="AR845" s="315">
        <f>IF(ISBLANK(tabItens[[#This Row],[CÓDIGO]]),"",IFERROR(VLOOKUP(tabItens[[#This Row],[CÓDIGO]],Consumo!$C$2:$AC$869,26,FALSE),0))</f>
        <v>0</v>
      </c>
      <c r="AS845" s="316">
        <f>SUMIF(Consumo!$C$3:$C$869,tabItens[[#This Row],[CÓDIGO]],Consumo!$N$3:$N$869) + SUMIF(Consumo!$C$3:$C$869,tabItens[[#This Row],[CÓDIGO]],Consumo!$O$3:$O$869) + SUMIF(Consumo!$C$3:$C$869,tabItens[[#This Row],[CÓDIGO]],Consumo!$P$3:$P$869) + SUMIF(Consumo!$C$3:$C$869,tabItens[[#This Row],[CÓDIGO]],Consumo!$Q$3:$Q$869)</f>
        <v>0</v>
      </c>
      <c r="AT845" s="316">
        <f>SUMIF(Consumo!$C$3:$C$869,tabItens[[#This Row],[CÓDIGO]],Consumo!$Z$3:$Z$869)</f>
        <v>0</v>
      </c>
      <c r="AU845" s="317">
        <f>SUMIF(Consumo!$C$3:$C$869,tabItens[[#This Row],[CÓDIGO]],Consumo!$AA$3:$AA$869)</f>
        <v>0</v>
      </c>
      <c r="AV845" s="318">
        <f>SUMIF(Consumo!$C$3:$C$869,tabItens[[#This Row],[CÓDIGO]],Consumo!$Y$3:$Y$869)</f>
        <v>0</v>
      </c>
      <c r="AW845" s="291">
        <f>tabItens[[#This Row],[QTDE ATUAL]] + tabItens[[#This Row],[RC QTDE]] + tabItens[[#This Row],[AF SALDO]] + tabItens[[#This Row],[Recentes]]</f>
        <v>91</v>
      </c>
      <c r="AX845" s="319">
        <v>0</v>
      </c>
      <c r="AY845" s="319">
        <v>4</v>
      </c>
      <c r="AZ845" s="319">
        <f>IF(ISBLANK(tabItens[[#This Row],[CÓDIGO]]),"",tabItens[[#This Row],[PontoMês]] * (AZ$2+tabItens[[#This Row],[PontoQtM]]))</f>
        <v>0</v>
      </c>
      <c r="BA845" s="318">
        <f>tabItens[[#This Row],[PontoPed]] - tabItens[[#This Row],[Saldo]] + (1/10)</f>
        <v>-90.9</v>
      </c>
      <c r="BB845" s="318">
        <f xml:space="preserve"> tabItens[[#This Row],[PontoMês]] * BB$2 - tabItens[[#This Row],[QTDE ATUAL]] - (1/10)</f>
        <v>-91.1</v>
      </c>
      <c r="BC845" s="320">
        <f>IF( tabItens[[#This Row],[PontoPed]]&gt;0, IF(tabItens[[#This Row],[PontoPed]]&lt;1, 1, IF( tabItens[[#This Row],[Saldo]]&gt;tabItens[[#This Row],[PontoPed]], 0, (tabItens[[#This Row],[PontoPed]]-tabItens[[#This Row],[Saldo]])/tabItens[[#This Row],[PontoPed]] ) ), 0 )</f>
        <v>0</v>
      </c>
      <c r="BD845" s="321">
        <f>ROUNDDOWN(IF( OR( AND(tabItens[[#This Row],[PontoPed]]&lt;tabItens[[#This Row],[Saldo]],tabItens[[#This Row],[Saldo]]&gt;0), tabItens[[#This Row],[PontoPed]]=0), 99, IF(AND(tabItens[[#This Row],[Saldo]]=0,tabItens[[#This Row],[PontoPed]]&gt;0), 0, (1-tabItens[[#This Row],[PctAb]])*10 ) ),0)</f>
        <v>99</v>
      </c>
      <c r="BE845" s="322">
        <f>MAX(ROUNDDOWN( IF(tabItens[[#This Row],[Abaixo]] &gt; 0,   tabItens[[#This Row],[Abaixo]] + (tabItens[[#This Row],[PontoMês]] * IF( OR( ISBLANK(tabItens[[#This Row],[ATA Nº/ANO]]), tabItens[[#This Row],[ATA Nº/ANO]] = ""),BE$2,BE$1)),0),0),0)</f>
        <v>0</v>
      </c>
      <c r="BF84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23">
        <f>SUMIF(Consumo!$C$3:$C$869,tabItens[[#This Row],[CÓDIGO]],Consumo!$E$3:$E$869)</f>
        <v>0</v>
      </c>
      <c r="BH845" s="324">
        <f>IF(AND(tabItens[[#This Row],[Pend]] &gt; 0,tabItens[[#This Row],[Consumo]] &lt;&gt; 0), tabItens[[#This Row],[Pend]] / tabItens[[#This Row],[Consumo]], 0 )</f>
        <v>0</v>
      </c>
      <c r="BI845" s="323"/>
      <c r="BJ845" s="323"/>
      <c r="BK845" s="325" t="s">
        <v>2064</v>
      </c>
    </row>
    <row r="846" spans="1:63" hidden="1" x14ac:dyDescent="0.3">
      <c r="A846" s="286">
        <v>133366</v>
      </c>
      <c r="B846" s="287" t="s">
        <v>1841</v>
      </c>
      <c r="C846" s="288" t="s">
        <v>256</v>
      </c>
      <c r="D846" s="289">
        <v>0</v>
      </c>
      <c r="E846" s="290"/>
      <c r="F846" s="290"/>
      <c r="G846" s="290" t="s">
        <v>883</v>
      </c>
      <c r="H846" s="291">
        <v>28282</v>
      </c>
      <c r="I846" s="292">
        <v>103003</v>
      </c>
      <c r="J846" s="293">
        <v>0</v>
      </c>
      <c r="K846" s="294">
        <v>3010</v>
      </c>
      <c r="L846" s="295">
        <f>IF(tabItens[[#This Row],[Média]] &gt; 0, tabItens[[#This Row],[QTDE ATUAL]] / tabItens[[#This Row],[Média]],999.9)</f>
        <v>108.95152487961478</v>
      </c>
      <c r="M846" s="296">
        <v>0</v>
      </c>
      <c r="N846" s="297">
        <f>tabItens[[#This Row],[VALOR UNIT.]] * tabItens[[#This Row],[LC]]</f>
        <v>0</v>
      </c>
      <c r="O846" s="298"/>
      <c r="P846" s="299"/>
      <c r="Q846" s="300"/>
      <c r="R846" s="297"/>
      <c r="S846" s="301"/>
      <c r="T846" s="302">
        <f>ROUNDDOWN(IFERROR(tabItens[[#This Row],[ATA DT.VALID.]] - $D$1,0) / 30,0)</f>
        <v>-1504</v>
      </c>
      <c r="U846" s="287" t="s">
        <v>1016</v>
      </c>
      <c r="V846" s="303">
        <v>1</v>
      </c>
      <c r="W846" s="304" t="s">
        <v>2049</v>
      </c>
      <c r="X846" s="305">
        <v>67</v>
      </c>
      <c r="Y846" s="306">
        <v>9</v>
      </c>
      <c r="Z846" s="307"/>
      <c r="AA846" s="308"/>
      <c r="AB846" s="309"/>
      <c r="AC846" s="309"/>
      <c r="AD846" s="308"/>
      <c r="AE846" s="309"/>
      <c r="AF846" s="302"/>
      <c r="AG846" s="310" t="s">
        <v>2050</v>
      </c>
      <c r="AH846" s="311"/>
      <c r="AI846" s="302">
        <v>1094</v>
      </c>
      <c r="AJ846" s="311" t="s">
        <v>883</v>
      </c>
      <c r="AK846" s="311">
        <v>42982</v>
      </c>
      <c r="AL846" s="311" t="s">
        <v>883</v>
      </c>
      <c r="AM846" s="301"/>
      <c r="AN846" s="290"/>
      <c r="AO846" s="312" t="str">
        <f>_xlfn.IFNA(IF(VLOOKUP(tabItens[[#This Row],[CÓDIGO]],tabExcluirDoEstoque[#Data],1,FALSE),"sim",""),"")</f>
        <v/>
      </c>
      <c r="AP846" s="313" t="str">
        <f ca="1">IF(OR(ISBLANK(tabItens[[#This Row],[ATA DT.VALID.]]),tabItens[[#This Row],[ATA DT.VALID.]]="",tabItens[[#This Row],[ATA DT.VALID.]]=" "),"",IF(TYPE(tabItens[[#This Row],[ATA DT.VALID.]])=1,ROUNDUP((tabItens[[#This Row],[ATA DT.VALID.]]-TODAY())/7,0),""))</f>
        <v/>
      </c>
      <c r="AQ846" s="314"/>
      <c r="AR846" s="315" t="str">
        <f>IF(ISBLANK(tabItens[[#This Row],[CÓDIGO]]),"",IFERROR(VLOOKUP(tabItens[[#This Row],[CÓDIGO]],Consumo!$C$2:$AC$869,26,FALSE),0))</f>
        <v>07.2023</v>
      </c>
      <c r="AS846" s="316">
        <f>SUMIF(Consumo!$C$3:$C$869,tabItens[[#This Row],[CÓDIGO]],Consumo!$N$3:$N$869) + SUMIF(Consumo!$C$3:$C$869,tabItens[[#This Row],[CÓDIGO]],Consumo!$O$3:$O$869) + SUMIF(Consumo!$C$3:$C$869,tabItens[[#This Row],[CÓDIGO]],Consumo!$P$3:$P$869) + SUMIF(Consumo!$C$3:$C$869,tabItens[[#This Row],[CÓDIGO]],Consumo!$Q$3:$Q$869)</f>
        <v>1600</v>
      </c>
      <c r="AT846" s="316">
        <f>SUMIF(Consumo!$C$3:$C$869,tabItens[[#This Row],[CÓDIGO]],Consumo!$Z$3:$Z$869)</f>
        <v>3280</v>
      </c>
      <c r="AU846" s="317">
        <f>SUMIF(Consumo!$C$3:$C$869,tabItens[[#This Row],[CÓDIGO]],Consumo!$AA$3:$AA$869)</f>
        <v>1100</v>
      </c>
      <c r="AV846" s="318">
        <f>SUMIF(Consumo!$C$3:$C$869,tabItens[[#This Row],[CÓDIGO]],Consumo!$Y$3:$Y$869)</f>
        <v>259.58333333333331</v>
      </c>
      <c r="AW846" s="291">
        <f>tabItens[[#This Row],[QTDE ATUAL]] + tabItens[[#This Row],[RC QTDE]] + tabItens[[#This Row],[AF SALDO]] + tabItens[[#This Row],[Recentes]]</f>
        <v>28282</v>
      </c>
      <c r="AX846" s="319">
        <v>320</v>
      </c>
      <c r="AY846" s="319">
        <v>4</v>
      </c>
      <c r="AZ846" s="319">
        <f>IF(ISBLANK(tabItens[[#This Row],[CÓDIGO]]),"",tabItens[[#This Row],[PontoMês]] * (AZ$2+tabItens[[#This Row],[PontoQtM]]))</f>
        <v>1280</v>
      </c>
      <c r="BA846" s="318">
        <f>tabItens[[#This Row],[PontoPed]] - tabItens[[#This Row],[Saldo]] + (1/10)</f>
        <v>-27001.9</v>
      </c>
      <c r="BB846" s="318">
        <f xml:space="preserve"> tabItens[[#This Row],[PontoMês]] * BB$2 - tabItens[[#This Row],[QTDE ATUAL]] - (1/10)</f>
        <v>-27962.1</v>
      </c>
      <c r="BC846" s="320">
        <f>IF( tabItens[[#This Row],[PontoPed]]&gt;0, IF(tabItens[[#This Row],[PontoPed]]&lt;1, 1, IF( tabItens[[#This Row],[Saldo]]&gt;tabItens[[#This Row],[PontoPed]], 0, (tabItens[[#This Row],[PontoPed]]-tabItens[[#This Row],[Saldo]])/tabItens[[#This Row],[PontoPed]] ) ), 0 )</f>
        <v>0</v>
      </c>
      <c r="BD846" s="321">
        <f>ROUNDDOWN(IF( OR( AND(tabItens[[#This Row],[PontoPed]]&lt;tabItens[[#This Row],[Saldo]],tabItens[[#This Row],[Saldo]]&gt;0), tabItens[[#This Row],[PontoPed]]=0), 99, IF(AND(tabItens[[#This Row],[Saldo]]=0,tabItens[[#This Row],[PontoPed]]&gt;0), 0, (1-tabItens[[#This Row],[PctAb]])*10 ) ),0)</f>
        <v>99</v>
      </c>
      <c r="BE846" s="322">
        <f>MAX(ROUNDDOWN( IF(tabItens[[#This Row],[Abaixo]] &gt; 0,   tabItens[[#This Row],[Abaixo]] + (tabItens[[#This Row],[PontoMês]] * IF( OR( ISBLANK(tabItens[[#This Row],[ATA Nº/ANO]]), tabItens[[#This Row],[ATA Nº/ANO]] = ""),BE$2,BE$1)),0),0),0)</f>
        <v>0</v>
      </c>
      <c r="BF84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23">
        <f>SUMIF(Consumo!$C$3:$C$869,tabItens[[#This Row],[CÓDIGO]],Consumo!$E$3:$E$869)</f>
        <v>0</v>
      </c>
      <c r="BH846" s="324">
        <f>IF(AND(tabItens[[#This Row],[Pend]] &gt; 0,tabItens[[#This Row],[Consumo]] &lt;&gt; 0), tabItens[[#This Row],[Pend]] / tabItens[[#This Row],[Consumo]], 0 )</f>
        <v>0</v>
      </c>
      <c r="BI846" s="323"/>
      <c r="BJ846" s="323"/>
      <c r="BK846" s="325" t="s">
        <v>2064</v>
      </c>
    </row>
    <row r="847" spans="1:63" hidden="1" x14ac:dyDescent="0.3">
      <c r="A847" s="286">
        <v>77788</v>
      </c>
      <c r="B847" s="287" t="s">
        <v>1425</v>
      </c>
      <c r="C847" s="288" t="s">
        <v>256</v>
      </c>
      <c r="D847" s="289">
        <v>14.2</v>
      </c>
      <c r="E847" s="290"/>
      <c r="F847" s="290"/>
      <c r="G847" s="290" t="s">
        <v>883</v>
      </c>
      <c r="H847" s="291">
        <v>776</v>
      </c>
      <c r="I847" s="292">
        <v>103003</v>
      </c>
      <c r="J847" s="293">
        <v>14.2</v>
      </c>
      <c r="K847" s="294">
        <v>49</v>
      </c>
      <c r="L847" s="295">
        <f>IF(tabItens[[#This Row],[Média]] &gt; 0, tabItens[[#This Row],[QTDE ATUAL]] / tabItens[[#This Row],[Média]],999.9)</f>
        <v>198.12765957446808</v>
      </c>
      <c r="M847" s="296">
        <v>0</v>
      </c>
      <c r="N847" s="297">
        <f>tabItens[[#This Row],[VALOR UNIT.]] * tabItens[[#This Row],[LC]]</f>
        <v>0</v>
      </c>
      <c r="O847" s="298"/>
      <c r="P847" s="299"/>
      <c r="Q847" s="300"/>
      <c r="R847" s="297"/>
      <c r="S847" s="301"/>
      <c r="T847" s="302">
        <f>ROUNDDOWN(IFERROR(tabItens[[#This Row],[ATA DT.VALID.]] - $D$1,0) / 30,0)</f>
        <v>-1504</v>
      </c>
      <c r="U847" s="287" t="s">
        <v>1426</v>
      </c>
      <c r="V847" s="303">
        <v>1</v>
      </c>
      <c r="W847" s="304" t="s">
        <v>2051</v>
      </c>
      <c r="X847" s="305">
        <v>67</v>
      </c>
      <c r="Y847" s="306">
        <v>13</v>
      </c>
      <c r="Z847" s="307"/>
      <c r="AA847" s="308"/>
      <c r="AB847" s="309"/>
      <c r="AC847" s="309"/>
      <c r="AD847" s="308"/>
      <c r="AE847" s="309"/>
      <c r="AF847" s="302"/>
      <c r="AG847" s="310" t="s">
        <v>2050</v>
      </c>
      <c r="AH847" s="311"/>
      <c r="AI847" s="302">
        <v>16</v>
      </c>
      <c r="AJ847" s="311">
        <v>43622</v>
      </c>
      <c r="AK847" s="311">
        <v>38064</v>
      </c>
      <c r="AL847" s="311">
        <v>45117</v>
      </c>
      <c r="AM847" s="301"/>
      <c r="AN847" s="290"/>
      <c r="AO847" s="312" t="str">
        <f>_xlfn.IFNA(IF(VLOOKUP(tabItens[[#This Row],[CÓDIGO]],tabExcluirDoEstoque[#Data],1,FALSE),"sim",""),"")</f>
        <v/>
      </c>
      <c r="AP847" s="313" t="str">
        <f ca="1">IF(OR(ISBLANK(tabItens[[#This Row],[ATA DT.VALID.]]),tabItens[[#This Row],[ATA DT.VALID.]]="",tabItens[[#This Row],[ATA DT.VALID.]]=" "),"",IF(TYPE(tabItens[[#This Row],[ATA DT.VALID.]])=1,ROUNDUP((tabItens[[#This Row],[ATA DT.VALID.]]-TODAY())/7,0),""))</f>
        <v/>
      </c>
      <c r="AQ847" s="314"/>
      <c r="AR847" s="315" t="str">
        <f>IF(ISBLANK(tabItens[[#This Row],[CÓDIGO]]),"",IFERROR(VLOOKUP(tabItens[[#This Row],[CÓDIGO]],Consumo!$C$2:$AC$869,26,FALSE),0))</f>
        <v>06.2023</v>
      </c>
      <c r="AS847" s="316">
        <f>SUMIF(Consumo!$C$3:$C$869,tabItens[[#This Row],[CÓDIGO]],Consumo!$N$3:$N$869) + SUMIF(Consumo!$C$3:$C$869,tabItens[[#This Row],[CÓDIGO]],Consumo!$O$3:$O$869) + SUMIF(Consumo!$C$3:$C$869,tabItens[[#This Row],[CÓDIGO]],Consumo!$P$3:$P$869) + SUMIF(Consumo!$C$3:$C$869,tabItens[[#This Row],[CÓDIGO]],Consumo!$Q$3:$Q$869)</f>
        <v>22</v>
      </c>
      <c r="AT847" s="316">
        <f>SUMIF(Consumo!$C$3:$C$869,tabItens[[#This Row],[CÓDIGO]],Consumo!$Z$3:$Z$869)</f>
        <v>49</v>
      </c>
      <c r="AU847" s="317">
        <f>SUMIF(Consumo!$C$3:$C$869,tabItens[[#This Row],[CÓDIGO]],Consumo!$AA$3:$AA$869)</f>
        <v>18</v>
      </c>
      <c r="AV847" s="318">
        <f>SUMIF(Consumo!$C$3:$C$869,tabItens[[#This Row],[CÓDIGO]],Consumo!$Y$3:$Y$869)</f>
        <v>3.9166666666666665</v>
      </c>
      <c r="AW847" s="291">
        <f>tabItens[[#This Row],[QTDE ATUAL]] + tabItens[[#This Row],[RC QTDE]] + tabItens[[#This Row],[AF SALDO]] + tabItens[[#This Row],[Recentes]]</f>
        <v>776</v>
      </c>
      <c r="AX847" s="319">
        <v>50</v>
      </c>
      <c r="AY847" s="319">
        <v>4</v>
      </c>
      <c r="AZ847" s="319">
        <f>IF(ISBLANK(tabItens[[#This Row],[CÓDIGO]]),"",tabItens[[#This Row],[PontoMês]] * (AZ$2+tabItens[[#This Row],[PontoQtM]]))</f>
        <v>200</v>
      </c>
      <c r="BA847" s="318">
        <f>tabItens[[#This Row],[PontoPed]] - tabItens[[#This Row],[Saldo]] + (1/10)</f>
        <v>-575.9</v>
      </c>
      <c r="BB847" s="318">
        <f xml:space="preserve"> tabItens[[#This Row],[PontoMês]] * BB$2 - tabItens[[#This Row],[QTDE ATUAL]] - (1/10)</f>
        <v>-726.1</v>
      </c>
      <c r="BC847" s="320">
        <f>IF( tabItens[[#This Row],[PontoPed]]&gt;0, IF(tabItens[[#This Row],[PontoPed]]&lt;1, 1, IF( tabItens[[#This Row],[Saldo]]&gt;tabItens[[#This Row],[PontoPed]], 0, (tabItens[[#This Row],[PontoPed]]-tabItens[[#This Row],[Saldo]])/tabItens[[#This Row],[PontoPed]] ) ), 0 )</f>
        <v>0</v>
      </c>
      <c r="BD847" s="321">
        <f>ROUNDDOWN(IF( OR( AND(tabItens[[#This Row],[PontoPed]]&lt;tabItens[[#This Row],[Saldo]],tabItens[[#This Row],[Saldo]]&gt;0), tabItens[[#This Row],[PontoPed]]=0), 99, IF(AND(tabItens[[#This Row],[Saldo]]=0,tabItens[[#This Row],[PontoPed]]&gt;0), 0, (1-tabItens[[#This Row],[PctAb]])*10 ) ),0)</f>
        <v>99</v>
      </c>
      <c r="BE847" s="322">
        <f>MAX(ROUNDDOWN( IF(tabItens[[#This Row],[Abaixo]] &gt; 0,   tabItens[[#This Row],[Abaixo]] + (tabItens[[#This Row],[PontoMês]] * IF( OR( ISBLANK(tabItens[[#This Row],[ATA Nº/ANO]]), tabItens[[#This Row],[ATA Nº/ANO]] = ""),BE$2,BE$1)),0),0),0)</f>
        <v>0</v>
      </c>
      <c r="BF84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23">
        <f>SUMIF(Consumo!$C$3:$C$869,tabItens[[#This Row],[CÓDIGO]],Consumo!$E$3:$E$869)</f>
        <v>0</v>
      </c>
      <c r="BH847" s="324">
        <f>IF(AND(tabItens[[#This Row],[Pend]] &gt; 0,tabItens[[#This Row],[Consumo]] &lt;&gt; 0), tabItens[[#This Row],[Pend]] / tabItens[[#This Row],[Consumo]], 0 )</f>
        <v>0</v>
      </c>
      <c r="BI847" s="323"/>
      <c r="BJ847" s="323"/>
      <c r="BK847" s="325" t="s">
        <v>2064</v>
      </c>
    </row>
    <row r="848" spans="1:63" hidden="1" x14ac:dyDescent="0.3">
      <c r="A848" s="286">
        <v>33609</v>
      </c>
      <c r="B848" s="287" t="s">
        <v>1250</v>
      </c>
      <c r="C848" s="288" t="s">
        <v>400</v>
      </c>
      <c r="D848" s="289">
        <v>16.13</v>
      </c>
      <c r="E848" s="290"/>
      <c r="F848" s="290"/>
      <c r="G848" s="290" t="s">
        <v>883</v>
      </c>
      <c r="H848" s="291">
        <v>145</v>
      </c>
      <c r="I848" s="292">
        <v>103003</v>
      </c>
      <c r="J848" s="293">
        <v>16.13</v>
      </c>
      <c r="K848" s="294">
        <v>5</v>
      </c>
      <c r="L848" s="295">
        <f>IF(tabItens[[#This Row],[Média]] &gt; 0, tabItens[[#This Row],[QTDE ATUAL]] / tabItens[[#This Row],[Média]],999.9)</f>
        <v>435</v>
      </c>
      <c r="M848" s="296">
        <v>0</v>
      </c>
      <c r="N848" s="297">
        <f>tabItens[[#This Row],[VALOR UNIT.]] * tabItens[[#This Row],[LC]]</f>
        <v>0</v>
      </c>
      <c r="O848" s="298"/>
      <c r="P848" s="299"/>
      <c r="Q848" s="300"/>
      <c r="R848" s="297"/>
      <c r="S848" s="301"/>
      <c r="T848" s="302">
        <f>ROUNDDOWN(IFERROR(tabItens[[#This Row],[ATA DT.VALID.]] - $D$1,0) / 30,0)</f>
        <v>-1504</v>
      </c>
      <c r="U848" s="287" t="s">
        <v>1251</v>
      </c>
      <c r="V848" s="303">
        <v>1</v>
      </c>
      <c r="W848" s="304" t="s">
        <v>2049</v>
      </c>
      <c r="X848" s="305">
        <v>67</v>
      </c>
      <c r="Y848" s="306">
        <v>14</v>
      </c>
      <c r="Z848" s="307"/>
      <c r="AA848" s="308"/>
      <c r="AB848" s="309"/>
      <c r="AC848" s="309"/>
      <c r="AD848" s="308"/>
      <c r="AE848" s="309"/>
      <c r="AF848" s="302"/>
      <c r="AG848" s="310" t="s">
        <v>2050</v>
      </c>
      <c r="AH848" s="311"/>
      <c r="AI848" s="302">
        <v>2</v>
      </c>
      <c r="AJ848" s="311">
        <v>43689</v>
      </c>
      <c r="AK848" s="311" t="s">
        <v>883</v>
      </c>
      <c r="AL848" s="311">
        <v>44921</v>
      </c>
      <c r="AM848" s="301"/>
      <c r="AN848" s="290"/>
      <c r="AO848" s="312" t="str">
        <f>_xlfn.IFNA(IF(VLOOKUP(tabItens[[#This Row],[CÓDIGO]],tabExcluirDoEstoque[#Data],1,FALSE),"sim",""),"")</f>
        <v/>
      </c>
      <c r="AP848" s="313" t="str">
        <f ca="1">IF(OR(ISBLANK(tabItens[[#This Row],[ATA DT.VALID.]]),tabItens[[#This Row],[ATA DT.VALID.]]="",tabItens[[#This Row],[ATA DT.VALID.]]=" "),"",IF(TYPE(tabItens[[#This Row],[ATA DT.VALID.]])=1,ROUNDUP((tabItens[[#This Row],[ATA DT.VALID.]]-TODAY())/7,0),""))</f>
        <v/>
      </c>
      <c r="AQ848" s="314"/>
      <c r="AR848" s="315" t="str">
        <f>IF(ISBLANK(tabItens[[#This Row],[CÓDIGO]]),"",IFERROR(VLOOKUP(tabItens[[#This Row],[CÓDIGO]],Consumo!$C$2:$AC$869,26,FALSE),0))</f>
        <v>11.2022</v>
      </c>
      <c r="AS848" s="316">
        <f>SUMIF(Consumo!$C$3:$C$869,tabItens[[#This Row],[CÓDIGO]],Consumo!$N$3:$N$869) + SUMIF(Consumo!$C$3:$C$869,tabItens[[#This Row],[CÓDIGO]],Consumo!$O$3:$O$869) + SUMIF(Consumo!$C$3:$C$869,tabItens[[#This Row],[CÓDIGO]],Consumo!$P$3:$P$869) + SUMIF(Consumo!$C$3:$C$869,tabItens[[#This Row],[CÓDIGO]],Consumo!$Q$3:$Q$869)</f>
        <v>0</v>
      </c>
      <c r="AT848" s="316">
        <f>SUMIF(Consumo!$C$3:$C$869,tabItens[[#This Row],[CÓDIGO]],Consumo!$Z$3:$Z$869)</f>
        <v>5</v>
      </c>
      <c r="AU848" s="317">
        <f>SUMIF(Consumo!$C$3:$C$869,tabItens[[#This Row],[CÓDIGO]],Consumo!$AA$3:$AA$869)</f>
        <v>3</v>
      </c>
      <c r="AV848" s="318">
        <f>SUMIF(Consumo!$C$3:$C$869,tabItens[[#This Row],[CÓDIGO]],Consumo!$Y$3:$Y$869)</f>
        <v>0.33333333333333331</v>
      </c>
      <c r="AW848" s="291">
        <f>tabItens[[#This Row],[QTDE ATUAL]] + tabItens[[#This Row],[RC QTDE]] + tabItens[[#This Row],[AF SALDO]] + tabItens[[#This Row],[Recentes]]</f>
        <v>145</v>
      </c>
      <c r="AX848" s="319">
        <v>1</v>
      </c>
      <c r="AY848" s="319">
        <v>4</v>
      </c>
      <c r="AZ848" s="319">
        <f>IF(ISBLANK(tabItens[[#This Row],[CÓDIGO]]),"",tabItens[[#This Row],[PontoMês]] * (AZ$2+tabItens[[#This Row],[PontoQtM]]))</f>
        <v>4</v>
      </c>
      <c r="BA848" s="318">
        <f>tabItens[[#This Row],[PontoPed]] - tabItens[[#This Row],[Saldo]] + (1/10)</f>
        <v>-140.9</v>
      </c>
      <c r="BB848" s="318">
        <f xml:space="preserve"> tabItens[[#This Row],[PontoMês]] * BB$2 - tabItens[[#This Row],[QTDE ATUAL]] - (1/10)</f>
        <v>-144.1</v>
      </c>
      <c r="BC848" s="320">
        <f>IF( tabItens[[#This Row],[PontoPed]]&gt;0, IF(tabItens[[#This Row],[PontoPed]]&lt;1, 1, IF( tabItens[[#This Row],[Saldo]]&gt;tabItens[[#This Row],[PontoPed]], 0, (tabItens[[#This Row],[PontoPed]]-tabItens[[#This Row],[Saldo]])/tabItens[[#This Row],[PontoPed]] ) ), 0 )</f>
        <v>0</v>
      </c>
      <c r="BD848" s="321">
        <f>ROUNDDOWN(IF( OR( AND(tabItens[[#This Row],[PontoPed]]&lt;tabItens[[#This Row],[Saldo]],tabItens[[#This Row],[Saldo]]&gt;0), tabItens[[#This Row],[PontoPed]]=0), 99, IF(AND(tabItens[[#This Row],[Saldo]]=0,tabItens[[#This Row],[PontoPed]]&gt;0), 0, (1-tabItens[[#This Row],[PctAb]])*10 ) ),0)</f>
        <v>99</v>
      </c>
      <c r="BE848" s="322">
        <f>MAX(ROUNDDOWN( IF(tabItens[[#This Row],[Abaixo]] &gt; 0,   tabItens[[#This Row],[Abaixo]] + (tabItens[[#This Row],[PontoMês]] * IF( OR( ISBLANK(tabItens[[#This Row],[ATA Nº/ANO]]), tabItens[[#This Row],[ATA Nº/ANO]] = ""),BE$2,BE$1)),0),0),0)</f>
        <v>0</v>
      </c>
      <c r="BF84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23">
        <f>SUMIF(Consumo!$C$3:$C$869,tabItens[[#This Row],[CÓDIGO]],Consumo!$E$3:$E$869)</f>
        <v>0</v>
      </c>
      <c r="BH848" s="324">
        <f>IF(AND(tabItens[[#This Row],[Pend]] &gt; 0,tabItens[[#This Row],[Consumo]] &lt;&gt; 0), tabItens[[#This Row],[Pend]] / tabItens[[#This Row],[Consumo]], 0 )</f>
        <v>0</v>
      </c>
      <c r="BI848" s="323"/>
      <c r="BJ848" s="323"/>
      <c r="BK848" s="325" t="s">
        <v>2064</v>
      </c>
    </row>
    <row r="849" spans="1:63" hidden="1" x14ac:dyDescent="0.3">
      <c r="A849" s="286">
        <v>33612</v>
      </c>
      <c r="B849" s="287" t="s">
        <v>1252</v>
      </c>
      <c r="C849" s="288" t="s">
        <v>400</v>
      </c>
      <c r="D849" s="289">
        <v>17.55</v>
      </c>
      <c r="E849" s="290"/>
      <c r="F849" s="290"/>
      <c r="G849" s="290" t="s">
        <v>883</v>
      </c>
      <c r="H849" s="291">
        <v>330</v>
      </c>
      <c r="I849" s="292">
        <v>103003</v>
      </c>
      <c r="J849" s="293">
        <v>17.55</v>
      </c>
      <c r="K849" s="294">
        <v>68</v>
      </c>
      <c r="L849" s="295">
        <f>IF(tabItens[[#This Row],[Média]] &gt; 0, tabItens[[#This Row],[QTDE ATUAL]] / tabItens[[#This Row],[Média]],999.9)</f>
        <v>55.774647887323944</v>
      </c>
      <c r="M849" s="296">
        <v>0</v>
      </c>
      <c r="N849" s="297">
        <f>tabItens[[#This Row],[VALOR UNIT.]] * tabItens[[#This Row],[LC]]</f>
        <v>0</v>
      </c>
      <c r="O849" s="298"/>
      <c r="P849" s="299"/>
      <c r="Q849" s="300"/>
      <c r="R849" s="297"/>
      <c r="S849" s="301"/>
      <c r="T849" s="302">
        <f>ROUNDDOWN(IFERROR(tabItens[[#This Row],[ATA DT.VALID.]] - $D$1,0) / 30,0)</f>
        <v>-1504</v>
      </c>
      <c r="U849" s="287" t="s">
        <v>1251</v>
      </c>
      <c r="V849" s="303">
        <v>1</v>
      </c>
      <c r="W849" s="304" t="s">
        <v>2049</v>
      </c>
      <c r="X849" s="305">
        <v>67</v>
      </c>
      <c r="Y849" s="306">
        <v>14</v>
      </c>
      <c r="Z849" s="307"/>
      <c r="AA849" s="308"/>
      <c r="AB849" s="309"/>
      <c r="AC849" s="309"/>
      <c r="AD849" s="308"/>
      <c r="AE849" s="309"/>
      <c r="AF849" s="302"/>
      <c r="AG849" s="310" t="s">
        <v>2050</v>
      </c>
      <c r="AH849" s="311"/>
      <c r="AI849" s="302">
        <v>24</v>
      </c>
      <c r="AJ849" s="311">
        <v>43860</v>
      </c>
      <c r="AK849" s="311" t="s">
        <v>883</v>
      </c>
      <c r="AL849" s="311">
        <v>45105</v>
      </c>
      <c r="AM849" s="301"/>
      <c r="AN849" s="290"/>
      <c r="AO849" s="312" t="str">
        <f>_xlfn.IFNA(IF(VLOOKUP(tabItens[[#This Row],[CÓDIGO]],tabExcluirDoEstoque[#Data],1,FALSE),"sim",""),"")</f>
        <v/>
      </c>
      <c r="AP849" s="313" t="str">
        <f ca="1">IF(OR(ISBLANK(tabItens[[#This Row],[ATA DT.VALID.]]),tabItens[[#This Row],[ATA DT.VALID.]]="",tabItens[[#This Row],[ATA DT.VALID.]]=" "),"",IF(TYPE(tabItens[[#This Row],[ATA DT.VALID.]])=1,ROUNDUP((tabItens[[#This Row],[ATA DT.VALID.]]-TODAY())/7,0),""))</f>
        <v/>
      </c>
      <c r="AQ849" s="314"/>
      <c r="AR849" s="315" t="str">
        <f>IF(ISBLANK(tabItens[[#This Row],[CÓDIGO]]),"",IFERROR(VLOOKUP(tabItens[[#This Row],[CÓDIGO]],Consumo!$C$2:$AC$869,26,FALSE),0))</f>
        <v>07.2023</v>
      </c>
      <c r="AS849" s="316">
        <f>SUMIF(Consumo!$C$3:$C$869,tabItens[[#This Row],[CÓDIGO]],Consumo!$N$3:$N$869) + SUMIF(Consumo!$C$3:$C$869,tabItens[[#This Row],[CÓDIGO]],Consumo!$O$3:$O$869) + SUMIF(Consumo!$C$3:$C$869,tabItens[[#This Row],[CÓDIGO]],Consumo!$P$3:$P$869) + SUMIF(Consumo!$C$3:$C$869,tabItens[[#This Row],[CÓDIGO]],Consumo!$Q$3:$Q$869)</f>
        <v>37</v>
      </c>
      <c r="AT849" s="316">
        <f>SUMIF(Consumo!$C$3:$C$869,tabItens[[#This Row],[CÓDIGO]],Consumo!$Z$3:$Z$869)</f>
        <v>74</v>
      </c>
      <c r="AU849" s="317">
        <f>SUMIF(Consumo!$C$3:$C$869,tabItens[[#This Row],[CÓDIGO]],Consumo!$AA$3:$AA$869)</f>
        <v>22</v>
      </c>
      <c r="AV849" s="318">
        <f>SUMIF(Consumo!$C$3:$C$869,tabItens[[#This Row],[CÓDIGO]],Consumo!$Y$3:$Y$869)</f>
        <v>5.916666666666667</v>
      </c>
      <c r="AW849" s="291">
        <f>tabItens[[#This Row],[QTDE ATUAL]] + tabItens[[#This Row],[RC QTDE]] + tabItens[[#This Row],[AF SALDO]] + tabItens[[#This Row],[Recentes]]</f>
        <v>330</v>
      </c>
      <c r="AX849" s="319">
        <v>6</v>
      </c>
      <c r="AY849" s="319">
        <v>4</v>
      </c>
      <c r="AZ849" s="319">
        <f>IF(ISBLANK(tabItens[[#This Row],[CÓDIGO]]),"",tabItens[[#This Row],[PontoMês]] * (AZ$2+tabItens[[#This Row],[PontoQtM]]))</f>
        <v>24</v>
      </c>
      <c r="BA849" s="318">
        <f>tabItens[[#This Row],[PontoPed]] - tabItens[[#This Row],[Saldo]] + (1/10)</f>
        <v>-305.89999999999998</v>
      </c>
      <c r="BB849" s="318">
        <f xml:space="preserve"> tabItens[[#This Row],[PontoMês]] * BB$2 - tabItens[[#This Row],[QTDE ATUAL]] - (1/10)</f>
        <v>-324.10000000000002</v>
      </c>
      <c r="BC849" s="320">
        <f>IF( tabItens[[#This Row],[PontoPed]]&gt;0, IF(tabItens[[#This Row],[PontoPed]]&lt;1, 1, IF( tabItens[[#This Row],[Saldo]]&gt;tabItens[[#This Row],[PontoPed]], 0, (tabItens[[#This Row],[PontoPed]]-tabItens[[#This Row],[Saldo]])/tabItens[[#This Row],[PontoPed]] ) ), 0 )</f>
        <v>0</v>
      </c>
      <c r="BD849" s="321">
        <f>ROUNDDOWN(IF( OR( AND(tabItens[[#This Row],[PontoPed]]&lt;tabItens[[#This Row],[Saldo]],tabItens[[#This Row],[Saldo]]&gt;0), tabItens[[#This Row],[PontoPed]]=0), 99, IF(AND(tabItens[[#This Row],[Saldo]]=0,tabItens[[#This Row],[PontoPed]]&gt;0), 0, (1-tabItens[[#This Row],[PctAb]])*10 ) ),0)</f>
        <v>99</v>
      </c>
      <c r="BE849" s="322">
        <f>MAX(ROUNDDOWN( IF(tabItens[[#This Row],[Abaixo]] &gt; 0,   tabItens[[#This Row],[Abaixo]] + (tabItens[[#This Row],[PontoMês]] * IF( OR( ISBLANK(tabItens[[#This Row],[ATA Nº/ANO]]), tabItens[[#This Row],[ATA Nº/ANO]] = ""),BE$2,BE$1)),0),0),0)</f>
        <v>0</v>
      </c>
      <c r="BF84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23">
        <f>SUMIF(Consumo!$C$3:$C$869,tabItens[[#This Row],[CÓDIGO]],Consumo!$E$3:$E$869)</f>
        <v>0</v>
      </c>
      <c r="BH849" s="324">
        <f>IF(AND(tabItens[[#This Row],[Pend]] &gt; 0,tabItens[[#This Row],[Consumo]] &lt;&gt; 0), tabItens[[#This Row],[Pend]] / tabItens[[#This Row],[Consumo]], 0 )</f>
        <v>0</v>
      </c>
      <c r="BI849" s="323"/>
      <c r="BJ849" s="323"/>
      <c r="BK849" s="325" t="s">
        <v>2064</v>
      </c>
    </row>
    <row r="850" spans="1:63" hidden="1" x14ac:dyDescent="0.3">
      <c r="A850" s="286">
        <v>33623</v>
      </c>
      <c r="B850" s="287" t="s">
        <v>1253</v>
      </c>
      <c r="C850" s="288" t="s">
        <v>400</v>
      </c>
      <c r="D850" s="289">
        <v>27.09</v>
      </c>
      <c r="E850" s="290"/>
      <c r="F850" s="290"/>
      <c r="G850" s="290" t="s">
        <v>883</v>
      </c>
      <c r="H850" s="291">
        <v>388</v>
      </c>
      <c r="I850" s="292">
        <v>103003</v>
      </c>
      <c r="J850" s="293">
        <v>27.09</v>
      </c>
      <c r="K850" s="294">
        <v>294</v>
      </c>
      <c r="L850" s="295">
        <f>IF(tabItens[[#This Row],[Média]] &gt; 0, tabItens[[#This Row],[QTDE ATUAL]] / tabItens[[#This Row],[Média]],999.9)</f>
        <v>12.482573726541556</v>
      </c>
      <c r="M850" s="296">
        <v>0</v>
      </c>
      <c r="N850" s="297">
        <f>tabItens[[#This Row],[VALOR UNIT.]] * tabItens[[#This Row],[LC]]</f>
        <v>0</v>
      </c>
      <c r="O850" s="298"/>
      <c r="P850" s="299"/>
      <c r="Q850" s="300"/>
      <c r="R850" s="297"/>
      <c r="S850" s="301"/>
      <c r="T850" s="302">
        <f>ROUNDDOWN(IFERROR(tabItens[[#This Row],[ATA DT.VALID.]] - $D$1,0) / 30,0)</f>
        <v>-1504</v>
      </c>
      <c r="U850" s="287" t="s">
        <v>1251</v>
      </c>
      <c r="V850" s="303">
        <v>1</v>
      </c>
      <c r="W850" s="304" t="s">
        <v>2049</v>
      </c>
      <c r="X850" s="305">
        <v>67</v>
      </c>
      <c r="Y850" s="306">
        <v>14</v>
      </c>
      <c r="Z850" s="307">
        <v>2486</v>
      </c>
      <c r="AA850" s="308">
        <v>2023</v>
      </c>
      <c r="AB850" s="309">
        <v>50</v>
      </c>
      <c r="AC850" s="309"/>
      <c r="AD850" s="308"/>
      <c r="AE850" s="309"/>
      <c r="AF850" s="302"/>
      <c r="AG850" s="310" t="s">
        <v>2050</v>
      </c>
      <c r="AH850" s="311"/>
      <c r="AI850" s="302">
        <v>124</v>
      </c>
      <c r="AJ850" s="311">
        <v>43851</v>
      </c>
      <c r="AK850" s="311" t="s">
        <v>883</v>
      </c>
      <c r="AL850" s="311">
        <v>44592</v>
      </c>
      <c r="AM850" s="301"/>
      <c r="AN850" s="290"/>
      <c r="AO850" s="312" t="str">
        <f>_xlfn.IFNA(IF(VLOOKUP(tabItens[[#This Row],[CÓDIGO]],tabExcluirDoEstoque[#Data],1,FALSE),"sim",""),"")</f>
        <v/>
      </c>
      <c r="AP850" s="313" t="str">
        <f ca="1">IF(OR(ISBLANK(tabItens[[#This Row],[ATA DT.VALID.]]),tabItens[[#This Row],[ATA DT.VALID.]]="",tabItens[[#This Row],[ATA DT.VALID.]]=" "),"",IF(TYPE(tabItens[[#This Row],[ATA DT.VALID.]])=1,ROUNDUP((tabItens[[#This Row],[ATA DT.VALID.]]-TODAY())/7,0),""))</f>
        <v/>
      </c>
      <c r="AQ850" s="314"/>
      <c r="AR850" s="315" t="str">
        <f>IF(ISBLANK(tabItens[[#This Row],[CÓDIGO]]),"",IFERROR(VLOOKUP(tabItens[[#This Row],[CÓDIGO]],Consumo!$C$2:$AC$869,26,FALSE),0))</f>
        <v>07.2023</v>
      </c>
      <c r="AS850" s="316">
        <f>SUMIF(Consumo!$C$3:$C$869,tabItens[[#This Row],[CÓDIGO]],Consumo!$N$3:$N$869) + SUMIF(Consumo!$C$3:$C$869,tabItens[[#This Row],[CÓDIGO]],Consumo!$O$3:$O$869) + SUMIF(Consumo!$C$3:$C$869,tabItens[[#This Row],[CÓDIGO]],Consumo!$P$3:$P$869) + SUMIF(Consumo!$C$3:$C$869,tabItens[[#This Row],[CÓDIGO]],Consumo!$Q$3:$Q$869)</f>
        <v>112</v>
      </c>
      <c r="AT850" s="316">
        <f>SUMIF(Consumo!$C$3:$C$869,tabItens[[#This Row],[CÓDIGO]],Consumo!$Z$3:$Z$869)</f>
        <v>373</v>
      </c>
      <c r="AU850" s="317">
        <f>SUMIF(Consumo!$C$3:$C$869,tabItens[[#This Row],[CÓDIGO]],Consumo!$AA$3:$AA$869)</f>
        <v>74</v>
      </c>
      <c r="AV850" s="318">
        <f>SUMIF(Consumo!$C$3:$C$869,tabItens[[#This Row],[CÓDIGO]],Consumo!$Y$3:$Y$869)</f>
        <v>31.083333333333332</v>
      </c>
      <c r="AW850" s="291">
        <f>tabItens[[#This Row],[QTDE ATUAL]] + tabItens[[#This Row],[RC QTDE]] + tabItens[[#This Row],[AF SALDO]] + tabItens[[#This Row],[Recentes]]</f>
        <v>438</v>
      </c>
      <c r="AX850" s="319">
        <v>32</v>
      </c>
      <c r="AY850" s="319">
        <v>4</v>
      </c>
      <c r="AZ850" s="319">
        <f>IF(ISBLANK(tabItens[[#This Row],[CÓDIGO]]),"",tabItens[[#This Row],[PontoMês]] * (AZ$2+tabItens[[#This Row],[PontoQtM]]))</f>
        <v>128</v>
      </c>
      <c r="BA850" s="318">
        <f>tabItens[[#This Row],[PontoPed]] - tabItens[[#This Row],[Saldo]] + (1/10)</f>
        <v>-309.89999999999998</v>
      </c>
      <c r="BB850" s="318">
        <f xml:space="preserve"> tabItens[[#This Row],[PontoMês]] * BB$2 - tabItens[[#This Row],[QTDE ATUAL]] - (1/10)</f>
        <v>-356.1</v>
      </c>
      <c r="BC850" s="320">
        <f>IF( tabItens[[#This Row],[PontoPed]]&gt;0, IF(tabItens[[#This Row],[PontoPed]]&lt;1, 1, IF( tabItens[[#This Row],[Saldo]]&gt;tabItens[[#This Row],[PontoPed]], 0, (tabItens[[#This Row],[PontoPed]]-tabItens[[#This Row],[Saldo]])/tabItens[[#This Row],[PontoPed]] ) ), 0 )</f>
        <v>0</v>
      </c>
      <c r="BD850" s="321">
        <f>ROUNDDOWN(IF( OR( AND(tabItens[[#This Row],[PontoPed]]&lt;tabItens[[#This Row],[Saldo]],tabItens[[#This Row],[Saldo]]&gt;0), tabItens[[#This Row],[PontoPed]]=0), 99, IF(AND(tabItens[[#This Row],[Saldo]]=0,tabItens[[#This Row],[PontoPed]]&gt;0), 0, (1-tabItens[[#This Row],[PctAb]])*10 ) ),0)</f>
        <v>99</v>
      </c>
      <c r="BE850" s="322">
        <f>MAX(ROUNDDOWN( IF(tabItens[[#This Row],[Abaixo]] &gt; 0,   tabItens[[#This Row],[Abaixo]] + (tabItens[[#This Row],[PontoMês]] * IF( OR( ISBLANK(tabItens[[#This Row],[ATA Nº/ANO]]), tabItens[[#This Row],[ATA Nº/ANO]] = ""),BE$2,BE$1)),0),0),0)</f>
        <v>0</v>
      </c>
      <c r="BF85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23">
        <f>SUMIF(Consumo!$C$3:$C$869,tabItens[[#This Row],[CÓDIGO]],Consumo!$E$3:$E$869)</f>
        <v>0</v>
      </c>
      <c r="BH850" s="324">
        <f>IF(AND(tabItens[[#This Row],[Pend]] &gt; 0,tabItens[[#This Row],[Consumo]] &lt;&gt; 0), tabItens[[#This Row],[Pend]] / tabItens[[#This Row],[Consumo]], 0 )</f>
        <v>0</v>
      </c>
      <c r="BI850" s="323"/>
      <c r="BJ850" s="323"/>
      <c r="BK850" s="325" t="s">
        <v>2064</v>
      </c>
    </row>
    <row r="851" spans="1:63" hidden="1" x14ac:dyDescent="0.3">
      <c r="A851" s="286">
        <v>81514</v>
      </c>
      <c r="B851" s="287" t="s">
        <v>1468</v>
      </c>
      <c r="C851" s="288" t="s">
        <v>256</v>
      </c>
      <c r="D851" s="289">
        <v>0.02</v>
      </c>
      <c r="E851" s="290"/>
      <c r="F851" s="290"/>
      <c r="G851" s="290" t="s">
        <v>883</v>
      </c>
      <c r="H851" s="291">
        <v>141062</v>
      </c>
      <c r="I851" s="292">
        <v>103003</v>
      </c>
      <c r="J851" s="293">
        <v>0.02</v>
      </c>
      <c r="K851" s="294">
        <v>30753</v>
      </c>
      <c r="L851" s="295">
        <f>IF(tabItens[[#This Row],[Média]] &gt; 0, tabItens[[#This Row],[QTDE ATUAL]] / tabItens[[#This Row],[Média]],999.9)</f>
        <v>43.256177650576241</v>
      </c>
      <c r="M851" s="296">
        <v>0</v>
      </c>
      <c r="N851" s="297">
        <f>tabItens[[#This Row],[VALOR UNIT.]] * tabItens[[#This Row],[LC]]</f>
        <v>0</v>
      </c>
      <c r="O851" s="298"/>
      <c r="P851" s="299"/>
      <c r="Q851" s="300"/>
      <c r="R851" s="297"/>
      <c r="S851" s="301"/>
      <c r="T851" s="302">
        <f>ROUNDDOWN(IFERROR(tabItens[[#This Row],[ATA DT.VALID.]] - $D$1,0) / 30,0)</f>
        <v>-1504</v>
      </c>
      <c r="U851" s="287" t="s">
        <v>1469</v>
      </c>
      <c r="V851" s="303">
        <v>1</v>
      </c>
      <c r="W851" s="304" t="s">
        <v>2057</v>
      </c>
      <c r="X851" s="305">
        <v>67</v>
      </c>
      <c r="Y851" s="306">
        <v>15</v>
      </c>
      <c r="Z851" s="307"/>
      <c r="AA851" s="308"/>
      <c r="AB851" s="309"/>
      <c r="AC851" s="309"/>
      <c r="AD851" s="308"/>
      <c r="AE851" s="309"/>
      <c r="AF851" s="302"/>
      <c r="AG851" s="310" t="s">
        <v>2050</v>
      </c>
      <c r="AH851" s="311"/>
      <c r="AI851" s="302">
        <v>13044</v>
      </c>
      <c r="AJ851" s="311">
        <v>43864</v>
      </c>
      <c r="AK851" s="311">
        <v>38226</v>
      </c>
      <c r="AL851" s="311">
        <v>43826</v>
      </c>
      <c r="AM851" s="301"/>
      <c r="AN851" s="290"/>
      <c r="AO851" s="312" t="str">
        <f>_xlfn.IFNA(IF(VLOOKUP(tabItens[[#This Row],[CÓDIGO]],tabExcluirDoEstoque[#Data],1,FALSE),"sim",""),"")</f>
        <v/>
      </c>
      <c r="AP851" s="313" t="str">
        <f ca="1">IF(OR(ISBLANK(tabItens[[#This Row],[ATA DT.VALID.]]),tabItens[[#This Row],[ATA DT.VALID.]]="",tabItens[[#This Row],[ATA DT.VALID.]]=" "),"",IF(TYPE(tabItens[[#This Row],[ATA DT.VALID.]])=1,ROUNDUP((tabItens[[#This Row],[ATA DT.VALID.]]-TODAY())/7,0),""))</f>
        <v/>
      </c>
      <c r="AQ851" s="314"/>
      <c r="AR851" s="315" t="str">
        <f>IF(ISBLANK(tabItens[[#This Row],[CÓDIGO]]),"",IFERROR(VLOOKUP(tabItens[[#This Row],[CÓDIGO]],Consumo!$C$2:$AC$869,26,FALSE),0))</f>
        <v>07.2023</v>
      </c>
      <c r="AS851" s="316">
        <f>SUMIF(Consumo!$C$3:$C$869,tabItens[[#This Row],[CÓDIGO]],Consumo!$N$3:$N$869) + SUMIF(Consumo!$C$3:$C$869,tabItens[[#This Row],[CÓDIGO]],Consumo!$O$3:$O$869) + SUMIF(Consumo!$C$3:$C$869,tabItens[[#This Row],[CÓDIGO]],Consumo!$P$3:$P$869) + SUMIF(Consumo!$C$3:$C$869,tabItens[[#This Row],[CÓDIGO]],Consumo!$Q$3:$Q$869)</f>
        <v>14101</v>
      </c>
      <c r="AT851" s="316">
        <f>SUMIF(Consumo!$C$3:$C$869,tabItens[[#This Row],[CÓDIGO]],Consumo!$Z$3:$Z$869)</f>
        <v>39133</v>
      </c>
      <c r="AU851" s="317">
        <f>SUMIF(Consumo!$C$3:$C$869,tabItens[[#This Row],[CÓDIGO]],Consumo!$AA$3:$AA$869)</f>
        <v>6650</v>
      </c>
      <c r="AV851" s="318">
        <f>SUMIF(Consumo!$C$3:$C$869,tabItens[[#This Row],[CÓDIGO]],Consumo!$Y$3:$Y$869)</f>
        <v>3261.0833333333335</v>
      </c>
      <c r="AW851" s="291">
        <f>tabItens[[#This Row],[QTDE ATUAL]] + tabItens[[#This Row],[RC QTDE]] + tabItens[[#This Row],[AF SALDO]] + tabItens[[#This Row],[Recentes]]</f>
        <v>141062</v>
      </c>
      <c r="AX851" s="319">
        <v>6564</v>
      </c>
      <c r="AY851" s="319">
        <v>4</v>
      </c>
      <c r="AZ851" s="319">
        <f>IF(ISBLANK(tabItens[[#This Row],[CÓDIGO]]),"",tabItens[[#This Row],[PontoMês]] * (AZ$2+tabItens[[#This Row],[PontoQtM]]))</f>
        <v>26256</v>
      </c>
      <c r="BA851" s="318">
        <f>tabItens[[#This Row],[PontoPed]] - tabItens[[#This Row],[Saldo]] + (1/10)</f>
        <v>-114805.9</v>
      </c>
      <c r="BB851" s="318">
        <f xml:space="preserve"> tabItens[[#This Row],[PontoMês]] * BB$2 - tabItens[[#This Row],[QTDE ATUAL]] - (1/10)</f>
        <v>-134498.1</v>
      </c>
      <c r="BC851" s="320">
        <f>IF( tabItens[[#This Row],[PontoPed]]&gt;0, IF(tabItens[[#This Row],[PontoPed]]&lt;1, 1, IF( tabItens[[#This Row],[Saldo]]&gt;tabItens[[#This Row],[PontoPed]], 0, (tabItens[[#This Row],[PontoPed]]-tabItens[[#This Row],[Saldo]])/tabItens[[#This Row],[PontoPed]] ) ), 0 )</f>
        <v>0</v>
      </c>
      <c r="BD851" s="321">
        <f>ROUNDDOWN(IF( OR( AND(tabItens[[#This Row],[PontoPed]]&lt;tabItens[[#This Row],[Saldo]],tabItens[[#This Row],[Saldo]]&gt;0), tabItens[[#This Row],[PontoPed]]=0), 99, IF(AND(tabItens[[#This Row],[Saldo]]=0,tabItens[[#This Row],[PontoPed]]&gt;0), 0, (1-tabItens[[#This Row],[PctAb]])*10 ) ),0)</f>
        <v>99</v>
      </c>
      <c r="BE851" s="322">
        <f>MAX(ROUNDDOWN( IF(tabItens[[#This Row],[Abaixo]] &gt; 0,   tabItens[[#This Row],[Abaixo]] + (tabItens[[#This Row],[PontoMês]] * IF( OR( ISBLANK(tabItens[[#This Row],[ATA Nº/ANO]]), tabItens[[#This Row],[ATA Nº/ANO]] = ""),BE$2,BE$1)),0),0),0)</f>
        <v>0</v>
      </c>
      <c r="BF85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23">
        <f>SUMIF(Consumo!$C$3:$C$869,tabItens[[#This Row],[CÓDIGO]],Consumo!$E$3:$E$869)</f>
        <v>0</v>
      </c>
      <c r="BH851" s="324">
        <f>IF(AND(tabItens[[#This Row],[Pend]] &gt; 0,tabItens[[#This Row],[Consumo]] &lt;&gt; 0), tabItens[[#This Row],[Pend]] / tabItens[[#This Row],[Consumo]], 0 )</f>
        <v>0</v>
      </c>
      <c r="BI851" s="323"/>
      <c r="BJ851" s="323"/>
      <c r="BK851" s="325" t="s">
        <v>2064</v>
      </c>
    </row>
    <row r="852" spans="1:63" hidden="1" x14ac:dyDescent="0.3">
      <c r="A852" s="286">
        <v>78418</v>
      </c>
      <c r="B852" s="287" t="s">
        <v>1441</v>
      </c>
      <c r="C852" s="288" t="s">
        <v>256</v>
      </c>
      <c r="D852" s="289">
        <v>1.47</v>
      </c>
      <c r="E852" s="290"/>
      <c r="F852" s="290"/>
      <c r="G852" s="290" t="s">
        <v>883</v>
      </c>
      <c r="H852" s="291">
        <v>225</v>
      </c>
      <c r="I852" s="292">
        <v>103003</v>
      </c>
      <c r="J852" s="293">
        <v>1.47</v>
      </c>
      <c r="K852" s="294">
        <v>160</v>
      </c>
      <c r="L852" s="295">
        <f>IF(tabItens[[#This Row],[Média]] &gt; 0, tabItens[[#This Row],[QTDE ATUAL]] / tabItens[[#This Row],[Média]],999.9)</f>
        <v>20</v>
      </c>
      <c r="M852" s="296">
        <v>0</v>
      </c>
      <c r="N852" s="297">
        <f>tabItens[[#This Row],[VALOR UNIT.]] * tabItens[[#This Row],[LC]]</f>
        <v>0</v>
      </c>
      <c r="O852" s="298"/>
      <c r="P852" s="299"/>
      <c r="Q852" s="300"/>
      <c r="R852" s="297"/>
      <c r="S852" s="301"/>
      <c r="T852" s="302">
        <f>ROUNDDOWN(IFERROR(tabItens[[#This Row],[ATA DT.VALID.]] - $D$1,0) / 30,0)</f>
        <v>-1504</v>
      </c>
      <c r="U852" s="287" t="s">
        <v>1442</v>
      </c>
      <c r="V852" s="303">
        <v>1</v>
      </c>
      <c r="W852" s="304" t="s">
        <v>2056</v>
      </c>
      <c r="X852" s="305">
        <v>67</v>
      </c>
      <c r="Y852" s="306">
        <v>16</v>
      </c>
      <c r="Z852" s="307">
        <v>2962</v>
      </c>
      <c r="AA852" s="308">
        <v>2023</v>
      </c>
      <c r="AB852" s="309">
        <v>30</v>
      </c>
      <c r="AC852" s="309"/>
      <c r="AD852" s="308"/>
      <c r="AE852" s="309"/>
      <c r="AF852" s="302"/>
      <c r="AG852" s="310" t="s">
        <v>2050</v>
      </c>
      <c r="AH852" s="311"/>
      <c r="AI852" s="302">
        <v>54</v>
      </c>
      <c r="AJ852" s="311">
        <v>43759</v>
      </c>
      <c r="AK852" s="311">
        <v>38097</v>
      </c>
      <c r="AL852" s="311">
        <v>43747</v>
      </c>
      <c r="AM852" s="301"/>
      <c r="AN852" s="290"/>
      <c r="AO852" s="312" t="str">
        <f>_xlfn.IFNA(IF(VLOOKUP(tabItens[[#This Row],[CÓDIGO]],tabExcluirDoEstoque[#Data],1,FALSE),"sim",""),"")</f>
        <v/>
      </c>
      <c r="AP852" s="313" t="str">
        <f ca="1">IF(OR(ISBLANK(tabItens[[#This Row],[ATA DT.VALID.]]),tabItens[[#This Row],[ATA DT.VALID.]]="",tabItens[[#This Row],[ATA DT.VALID.]]=" "),"",IF(TYPE(tabItens[[#This Row],[ATA DT.VALID.]])=1,ROUNDUP((tabItens[[#This Row],[ATA DT.VALID.]]-TODAY())/7,0),""))</f>
        <v/>
      </c>
      <c r="AQ852" s="314"/>
      <c r="AR852" s="315" t="str">
        <f>IF(ISBLANK(tabItens[[#This Row],[CÓDIGO]]),"",IFERROR(VLOOKUP(tabItens[[#This Row],[CÓDIGO]],Consumo!$C$2:$AC$869,26,FALSE),0))</f>
        <v>03.2023</v>
      </c>
      <c r="AS852" s="316">
        <f>SUMIF(Consumo!$C$3:$C$869,tabItens[[#This Row],[CÓDIGO]],Consumo!$N$3:$N$869) + SUMIF(Consumo!$C$3:$C$869,tabItens[[#This Row],[CÓDIGO]],Consumo!$O$3:$O$869) + SUMIF(Consumo!$C$3:$C$869,tabItens[[#This Row],[CÓDIGO]],Consumo!$P$3:$P$869) + SUMIF(Consumo!$C$3:$C$869,tabItens[[#This Row],[CÓDIGO]],Consumo!$Q$3:$Q$869)</f>
        <v>0</v>
      </c>
      <c r="AT852" s="316">
        <f>SUMIF(Consumo!$C$3:$C$869,tabItens[[#This Row],[CÓDIGO]],Consumo!$Z$3:$Z$869)</f>
        <v>160</v>
      </c>
      <c r="AU852" s="317">
        <f>SUMIF(Consumo!$C$3:$C$869,tabItens[[#This Row],[CÓDIGO]],Consumo!$AA$3:$AA$869)</f>
        <v>100</v>
      </c>
      <c r="AV852" s="318">
        <f>SUMIF(Consumo!$C$3:$C$869,tabItens[[#This Row],[CÓDIGO]],Consumo!$Y$3:$Y$869)</f>
        <v>11.25</v>
      </c>
      <c r="AW852" s="291">
        <f>tabItens[[#This Row],[QTDE ATUAL]] + tabItens[[#This Row],[RC QTDE]] + tabItens[[#This Row],[AF SALDO]] + tabItens[[#This Row],[Recentes]]</f>
        <v>255</v>
      </c>
      <c r="AX852" s="319">
        <v>9</v>
      </c>
      <c r="AY852" s="319">
        <v>4</v>
      </c>
      <c r="AZ852" s="319">
        <f>IF(ISBLANK(tabItens[[#This Row],[CÓDIGO]]),"",tabItens[[#This Row],[PontoMês]] * (AZ$2+tabItens[[#This Row],[PontoQtM]]))</f>
        <v>36</v>
      </c>
      <c r="BA852" s="318">
        <f>tabItens[[#This Row],[PontoPed]] - tabItens[[#This Row],[Saldo]] + (1/10)</f>
        <v>-218.9</v>
      </c>
      <c r="BB852" s="318">
        <f xml:space="preserve"> tabItens[[#This Row],[PontoMês]] * BB$2 - tabItens[[#This Row],[QTDE ATUAL]] - (1/10)</f>
        <v>-216.1</v>
      </c>
      <c r="BC852" s="320">
        <f>IF( tabItens[[#This Row],[PontoPed]]&gt;0, IF(tabItens[[#This Row],[PontoPed]]&lt;1, 1, IF( tabItens[[#This Row],[Saldo]]&gt;tabItens[[#This Row],[PontoPed]], 0, (tabItens[[#This Row],[PontoPed]]-tabItens[[#This Row],[Saldo]])/tabItens[[#This Row],[PontoPed]] ) ), 0 )</f>
        <v>0</v>
      </c>
      <c r="BD852" s="321">
        <f>ROUNDDOWN(IF( OR( AND(tabItens[[#This Row],[PontoPed]]&lt;tabItens[[#This Row],[Saldo]],tabItens[[#This Row],[Saldo]]&gt;0), tabItens[[#This Row],[PontoPed]]=0), 99, IF(AND(tabItens[[#This Row],[Saldo]]=0,tabItens[[#This Row],[PontoPed]]&gt;0), 0, (1-tabItens[[#This Row],[PctAb]])*10 ) ),0)</f>
        <v>99</v>
      </c>
      <c r="BE852" s="322">
        <f>MAX(ROUNDDOWN( IF(tabItens[[#This Row],[Abaixo]] &gt; 0,   tabItens[[#This Row],[Abaixo]] + (tabItens[[#This Row],[PontoMês]] * IF( OR( ISBLANK(tabItens[[#This Row],[ATA Nº/ANO]]), tabItens[[#This Row],[ATA Nº/ANO]] = ""),BE$2,BE$1)),0),0),0)</f>
        <v>0</v>
      </c>
      <c r="BF85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23">
        <f>SUMIF(Consumo!$C$3:$C$869,tabItens[[#This Row],[CÓDIGO]],Consumo!$E$3:$E$869)</f>
        <v>0</v>
      </c>
      <c r="BH852" s="324">
        <f>IF(AND(tabItens[[#This Row],[Pend]] &gt; 0,tabItens[[#This Row],[Consumo]] &lt;&gt; 0), tabItens[[#This Row],[Pend]] / tabItens[[#This Row],[Consumo]], 0 )</f>
        <v>0</v>
      </c>
      <c r="BI852" s="323"/>
      <c r="BJ852" s="323"/>
      <c r="BK852" s="325" t="s">
        <v>2064</v>
      </c>
    </row>
    <row r="853" spans="1:63" hidden="1" x14ac:dyDescent="0.3">
      <c r="A853" s="286">
        <v>131138</v>
      </c>
      <c r="B853" s="287" t="s">
        <v>1804</v>
      </c>
      <c r="C853" s="288" t="s">
        <v>413</v>
      </c>
      <c r="D853" s="289">
        <v>133.46</v>
      </c>
      <c r="E853" s="290"/>
      <c r="F853" s="290"/>
      <c r="G853" s="290" t="s">
        <v>883</v>
      </c>
      <c r="H853" s="291">
        <v>396</v>
      </c>
      <c r="I853" s="292">
        <v>103003</v>
      </c>
      <c r="J853" s="293">
        <v>133.46</v>
      </c>
      <c r="K853" s="294">
        <v>5</v>
      </c>
      <c r="L853" s="295">
        <f>IF(tabItens[[#This Row],[Média]] &gt; 0, tabItens[[#This Row],[QTDE ATUAL]] / tabItens[[#This Row],[Média]],999.9)</f>
        <v>1188</v>
      </c>
      <c r="M853" s="296">
        <v>0</v>
      </c>
      <c r="N853" s="297">
        <f>tabItens[[#This Row],[VALOR UNIT.]] * tabItens[[#This Row],[LC]]</f>
        <v>0</v>
      </c>
      <c r="O853" s="298"/>
      <c r="P853" s="299"/>
      <c r="Q853" s="300"/>
      <c r="R853" s="297"/>
      <c r="S853" s="301"/>
      <c r="T853" s="302">
        <f>ROUNDDOWN(IFERROR(tabItens[[#This Row],[ATA DT.VALID.]] - $D$1,0) / 30,0)</f>
        <v>-1504</v>
      </c>
      <c r="U853" s="287" t="s">
        <v>1442</v>
      </c>
      <c r="V853" s="303">
        <v>1</v>
      </c>
      <c r="W853" s="304" t="s">
        <v>2056</v>
      </c>
      <c r="X853" s="305">
        <v>67</v>
      </c>
      <c r="Y853" s="306">
        <v>16</v>
      </c>
      <c r="Z853" s="307"/>
      <c r="AA853" s="308"/>
      <c r="AB853" s="309"/>
      <c r="AC853" s="309"/>
      <c r="AD853" s="308"/>
      <c r="AE853" s="309"/>
      <c r="AF853" s="302"/>
      <c r="AG853" s="310" t="s">
        <v>2050</v>
      </c>
      <c r="AH853" s="311"/>
      <c r="AI853" s="302">
        <v>2</v>
      </c>
      <c r="AJ853" s="311">
        <v>44186</v>
      </c>
      <c r="AK853" s="311">
        <v>42342</v>
      </c>
      <c r="AL853" s="311">
        <v>44176</v>
      </c>
      <c r="AM853" s="301"/>
      <c r="AN853" s="290"/>
      <c r="AO853" s="312" t="str">
        <f>_xlfn.IFNA(IF(VLOOKUP(tabItens[[#This Row],[CÓDIGO]],tabExcluirDoEstoque[#Data],1,FALSE),"sim",""),"")</f>
        <v/>
      </c>
      <c r="AP853" s="313" t="str">
        <f ca="1">IF(OR(ISBLANK(tabItens[[#This Row],[ATA DT.VALID.]]),tabItens[[#This Row],[ATA DT.VALID.]]="",tabItens[[#This Row],[ATA DT.VALID.]]=" "),"",IF(TYPE(tabItens[[#This Row],[ATA DT.VALID.]])=1,ROUNDUP((tabItens[[#This Row],[ATA DT.VALID.]]-TODAY())/7,0),""))</f>
        <v/>
      </c>
      <c r="AQ853" s="314"/>
      <c r="AR853" s="315" t="str">
        <f>IF(ISBLANK(tabItens[[#This Row],[CÓDIGO]]),"",IFERROR(VLOOKUP(tabItens[[#This Row],[CÓDIGO]],Consumo!$C$2:$AC$869,26,FALSE),0))</f>
        <v>02.2023</v>
      </c>
      <c r="AS853" s="316">
        <f>SUMIF(Consumo!$C$3:$C$869,tabItens[[#This Row],[CÓDIGO]],Consumo!$N$3:$N$869) + SUMIF(Consumo!$C$3:$C$869,tabItens[[#This Row],[CÓDIGO]],Consumo!$O$3:$O$869) + SUMIF(Consumo!$C$3:$C$869,tabItens[[#This Row],[CÓDIGO]],Consumo!$P$3:$P$869) + SUMIF(Consumo!$C$3:$C$869,tabItens[[#This Row],[CÓDIGO]],Consumo!$Q$3:$Q$869)</f>
        <v>0</v>
      </c>
      <c r="AT853" s="316">
        <f>SUMIF(Consumo!$C$3:$C$869,tabItens[[#This Row],[CÓDIGO]],Consumo!$Z$3:$Z$869)</f>
        <v>5</v>
      </c>
      <c r="AU853" s="317">
        <f>SUMIF(Consumo!$C$3:$C$869,tabItens[[#This Row],[CÓDIGO]],Consumo!$AA$3:$AA$869)</f>
        <v>3</v>
      </c>
      <c r="AV853" s="318">
        <f>SUMIF(Consumo!$C$3:$C$869,tabItens[[#This Row],[CÓDIGO]],Consumo!$Y$3:$Y$869)</f>
        <v>0.33333333333333331</v>
      </c>
      <c r="AW853" s="291">
        <f>tabItens[[#This Row],[QTDE ATUAL]] + tabItens[[#This Row],[RC QTDE]] + tabItens[[#This Row],[AF SALDO]] + tabItens[[#This Row],[Recentes]]</f>
        <v>396</v>
      </c>
      <c r="AX853" s="319">
        <v>0</v>
      </c>
      <c r="AY853" s="319">
        <v>4</v>
      </c>
      <c r="AZ853" s="319">
        <f>IF(ISBLANK(tabItens[[#This Row],[CÓDIGO]]),"",tabItens[[#This Row],[PontoMês]] * (AZ$2+tabItens[[#This Row],[PontoQtM]]))</f>
        <v>0</v>
      </c>
      <c r="BA853" s="318">
        <f>tabItens[[#This Row],[PontoPed]] - tabItens[[#This Row],[Saldo]] + (1/10)</f>
        <v>-395.9</v>
      </c>
      <c r="BB853" s="318">
        <f xml:space="preserve"> tabItens[[#This Row],[PontoMês]] * BB$2 - tabItens[[#This Row],[QTDE ATUAL]] - (1/10)</f>
        <v>-396.1</v>
      </c>
      <c r="BC853" s="320">
        <f>IF( tabItens[[#This Row],[PontoPed]]&gt;0, IF(tabItens[[#This Row],[PontoPed]]&lt;1, 1, IF( tabItens[[#This Row],[Saldo]]&gt;tabItens[[#This Row],[PontoPed]], 0, (tabItens[[#This Row],[PontoPed]]-tabItens[[#This Row],[Saldo]])/tabItens[[#This Row],[PontoPed]] ) ), 0 )</f>
        <v>0</v>
      </c>
      <c r="BD853" s="321">
        <f>ROUNDDOWN(IF( OR( AND(tabItens[[#This Row],[PontoPed]]&lt;tabItens[[#This Row],[Saldo]],tabItens[[#This Row],[Saldo]]&gt;0), tabItens[[#This Row],[PontoPed]]=0), 99, IF(AND(tabItens[[#This Row],[Saldo]]=0,tabItens[[#This Row],[PontoPed]]&gt;0), 0, (1-tabItens[[#This Row],[PctAb]])*10 ) ),0)</f>
        <v>99</v>
      </c>
      <c r="BE853" s="322">
        <f>MAX(ROUNDDOWN( IF(tabItens[[#This Row],[Abaixo]] &gt; 0,   tabItens[[#This Row],[Abaixo]] + (tabItens[[#This Row],[PontoMês]] * IF( OR( ISBLANK(tabItens[[#This Row],[ATA Nº/ANO]]), tabItens[[#This Row],[ATA Nº/ANO]] = ""),BE$2,BE$1)),0),0),0)</f>
        <v>0</v>
      </c>
      <c r="BF85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323">
        <f>SUMIF(Consumo!$C$3:$C$869,tabItens[[#This Row],[CÓDIGO]],Consumo!$E$3:$E$869)</f>
        <v>0</v>
      </c>
      <c r="BH853" s="324">
        <f>IF(AND(tabItens[[#This Row],[Pend]] &gt; 0,tabItens[[#This Row],[Consumo]] &lt;&gt; 0), tabItens[[#This Row],[Pend]] / tabItens[[#This Row],[Consumo]], 0 )</f>
        <v>0</v>
      </c>
      <c r="BI853" s="323"/>
      <c r="BJ853" s="323"/>
      <c r="BK853" s="325" t="s">
        <v>2064</v>
      </c>
    </row>
    <row r="854" spans="1:63" hidden="1" x14ac:dyDescent="0.3">
      <c r="A854" s="286">
        <v>104655</v>
      </c>
      <c r="B854" s="287" t="s">
        <v>1592</v>
      </c>
      <c r="C854" s="288" t="s">
        <v>256</v>
      </c>
      <c r="D854" s="289">
        <v>0.25</v>
      </c>
      <c r="E854" s="290"/>
      <c r="F854" s="290"/>
      <c r="G854" s="290" t="s">
        <v>883</v>
      </c>
      <c r="H854" s="291">
        <v>12374</v>
      </c>
      <c r="I854" s="292">
        <v>103003</v>
      </c>
      <c r="J854" s="293">
        <v>0.25</v>
      </c>
      <c r="K854" s="294">
        <v>2200</v>
      </c>
      <c r="L854" s="295">
        <f>IF(tabItens[[#This Row],[Média]] &gt; 0, tabItens[[#This Row],[QTDE ATUAL]] / tabItens[[#This Row],[Média]],999.9)</f>
        <v>97.050980392156859</v>
      </c>
      <c r="M854" s="296">
        <v>0</v>
      </c>
      <c r="N854" s="297">
        <f>tabItens[[#This Row],[VALOR UNIT.]] * tabItens[[#This Row],[LC]]</f>
        <v>0</v>
      </c>
      <c r="O854" s="298"/>
      <c r="P854" s="299"/>
      <c r="Q854" s="300"/>
      <c r="R854" s="297"/>
      <c r="S854" s="301"/>
      <c r="T854" s="302">
        <f>ROUNDDOWN(IFERROR(tabItens[[#This Row],[ATA DT.VALID.]] - $D$1,0) / 30,0)</f>
        <v>-1504</v>
      </c>
      <c r="U854" s="287" t="s">
        <v>1593</v>
      </c>
      <c r="V854" s="303">
        <v>1</v>
      </c>
      <c r="W854" s="304" t="s">
        <v>2056</v>
      </c>
      <c r="X854" s="305">
        <v>67</v>
      </c>
      <c r="Y854" s="306">
        <v>17</v>
      </c>
      <c r="Z854" s="307"/>
      <c r="AA854" s="308"/>
      <c r="AB854" s="309"/>
      <c r="AC854" s="309"/>
      <c r="AD854" s="308"/>
      <c r="AE854" s="309"/>
      <c r="AF854" s="302"/>
      <c r="AG854" s="310" t="s">
        <v>2050</v>
      </c>
      <c r="AH854" s="311"/>
      <c r="AI854" s="302">
        <v>734</v>
      </c>
      <c r="AJ854" s="311">
        <v>44055</v>
      </c>
      <c r="AK854" s="311">
        <v>39471</v>
      </c>
      <c r="AL854" s="311">
        <v>44040</v>
      </c>
      <c r="AM854" s="301"/>
      <c r="AN854" s="290"/>
      <c r="AO854" s="312" t="str">
        <f>_xlfn.IFNA(IF(VLOOKUP(tabItens[[#This Row],[CÓDIGO]],tabExcluirDoEstoque[#Data],1,FALSE),"sim",""),"")</f>
        <v/>
      </c>
      <c r="AP854" s="313" t="str">
        <f ca="1">IF(OR(ISBLANK(tabItens[[#This Row],[ATA DT.VALID.]]),tabItens[[#This Row],[ATA DT.VALID.]]="",tabItens[[#This Row],[ATA DT.VALID.]]=" "),"",IF(TYPE(tabItens[[#This Row],[ATA DT.VALID.]])=1,ROUNDUP((tabItens[[#This Row],[ATA DT.VALID.]]-TODAY())/7,0),""))</f>
        <v/>
      </c>
      <c r="AQ854" s="314"/>
      <c r="AR854" s="315" t="str">
        <f>IF(ISBLANK(tabItens[[#This Row],[CÓDIGO]]),"",IFERROR(VLOOKUP(tabItens[[#This Row],[CÓDIGO]],Consumo!$C$2:$AC$869,26,FALSE),0))</f>
        <v>04.2023</v>
      </c>
      <c r="AS854" s="316">
        <f>SUMIF(Consumo!$C$3:$C$869,tabItens[[#This Row],[CÓDIGO]],Consumo!$N$3:$N$869) + SUMIF(Consumo!$C$3:$C$869,tabItens[[#This Row],[CÓDIGO]],Consumo!$O$3:$O$869) + SUMIF(Consumo!$C$3:$C$869,tabItens[[#This Row],[CÓDIGO]],Consumo!$P$3:$P$869) + SUMIF(Consumo!$C$3:$C$869,tabItens[[#This Row],[CÓDIGO]],Consumo!$Q$3:$Q$869)</f>
        <v>2000</v>
      </c>
      <c r="AT854" s="316">
        <f>SUMIF(Consumo!$C$3:$C$869,tabItens[[#This Row],[CÓDIGO]],Consumo!$Z$3:$Z$869)</f>
        <v>2200</v>
      </c>
      <c r="AU854" s="317">
        <f>SUMIF(Consumo!$C$3:$C$869,tabItens[[#This Row],[CÓDIGO]],Consumo!$AA$3:$AA$869)</f>
        <v>2000</v>
      </c>
      <c r="AV854" s="318">
        <f>SUMIF(Consumo!$C$3:$C$869,tabItens[[#This Row],[CÓDIGO]],Consumo!$Y$3:$Y$869)</f>
        <v>127.5</v>
      </c>
      <c r="AW854" s="291">
        <f>tabItens[[#This Row],[QTDE ATUAL]] + tabItens[[#This Row],[RC QTDE]] + tabItens[[#This Row],[AF SALDO]] + tabItens[[#This Row],[Recentes]]</f>
        <v>12374</v>
      </c>
      <c r="AX854" s="319">
        <v>0</v>
      </c>
      <c r="AY854" s="319">
        <v>4</v>
      </c>
      <c r="AZ854" s="319">
        <f>IF(ISBLANK(tabItens[[#This Row],[CÓDIGO]]),"",tabItens[[#This Row],[PontoMês]] * (AZ$2+tabItens[[#This Row],[PontoQtM]]))</f>
        <v>0</v>
      </c>
      <c r="BA854" s="318">
        <f>tabItens[[#This Row],[PontoPed]] - tabItens[[#This Row],[Saldo]] + (1/10)</f>
        <v>-12373.9</v>
      </c>
      <c r="BB854" s="318">
        <f xml:space="preserve"> tabItens[[#This Row],[PontoMês]] * BB$2 - tabItens[[#This Row],[QTDE ATUAL]] - (1/10)</f>
        <v>-12374.1</v>
      </c>
      <c r="BC854" s="320">
        <f>IF( tabItens[[#This Row],[PontoPed]]&gt;0, IF(tabItens[[#This Row],[PontoPed]]&lt;1, 1, IF( tabItens[[#This Row],[Saldo]]&gt;tabItens[[#This Row],[PontoPed]], 0, (tabItens[[#This Row],[PontoPed]]-tabItens[[#This Row],[Saldo]])/tabItens[[#This Row],[PontoPed]] ) ), 0 )</f>
        <v>0</v>
      </c>
      <c r="BD854" s="321">
        <f>ROUNDDOWN(IF( OR( AND(tabItens[[#This Row],[PontoPed]]&lt;tabItens[[#This Row],[Saldo]],tabItens[[#This Row],[Saldo]]&gt;0), tabItens[[#This Row],[PontoPed]]=0), 99, IF(AND(tabItens[[#This Row],[Saldo]]=0,tabItens[[#This Row],[PontoPed]]&gt;0), 0, (1-tabItens[[#This Row],[PctAb]])*10 ) ),0)</f>
        <v>99</v>
      </c>
      <c r="BE854" s="322">
        <f>MAX(ROUNDDOWN( IF(tabItens[[#This Row],[Abaixo]] &gt; 0,   tabItens[[#This Row],[Abaixo]] + (tabItens[[#This Row],[PontoMês]] * IF( OR( ISBLANK(tabItens[[#This Row],[ATA Nº/ANO]]), tabItens[[#This Row],[ATA Nº/ANO]] = ""),BE$2,BE$1)),0),0),0)</f>
        <v>0</v>
      </c>
      <c r="BF85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23">
        <f>SUMIF(Consumo!$C$3:$C$869,tabItens[[#This Row],[CÓDIGO]],Consumo!$E$3:$E$869)</f>
        <v>0</v>
      </c>
      <c r="BH854" s="324">
        <f>IF(AND(tabItens[[#This Row],[Pend]] &gt; 0,tabItens[[#This Row],[Consumo]] &lt;&gt; 0), tabItens[[#This Row],[Pend]] / tabItens[[#This Row],[Consumo]], 0 )</f>
        <v>0</v>
      </c>
      <c r="BI854" s="323"/>
      <c r="BJ854" s="323"/>
      <c r="BK854" s="325" t="s">
        <v>2064</v>
      </c>
    </row>
    <row r="855" spans="1:63" hidden="1" x14ac:dyDescent="0.3">
      <c r="A855" s="286">
        <v>78416</v>
      </c>
      <c r="B855" s="287" t="s">
        <v>1439</v>
      </c>
      <c r="C855" s="288" t="s">
        <v>256</v>
      </c>
      <c r="D855" s="289">
        <v>3.49</v>
      </c>
      <c r="E855" s="290"/>
      <c r="F855" s="290"/>
      <c r="G855" s="290" t="s">
        <v>883</v>
      </c>
      <c r="H855" s="291">
        <v>1019</v>
      </c>
      <c r="I855" s="292">
        <v>103003</v>
      </c>
      <c r="J855" s="293">
        <v>3.49</v>
      </c>
      <c r="K855" s="294">
        <v>319</v>
      </c>
      <c r="L855" s="295">
        <f>IF(tabItens[[#This Row],[Média]] &gt; 0, tabItens[[#This Row],[QTDE ATUAL]] / tabItens[[#This Row],[Média]],999.9)</f>
        <v>52.935064935064936</v>
      </c>
      <c r="M855" s="296">
        <v>0</v>
      </c>
      <c r="N855" s="297">
        <f>tabItens[[#This Row],[VALOR UNIT.]] * tabItens[[#This Row],[LC]]</f>
        <v>0</v>
      </c>
      <c r="O855" s="298"/>
      <c r="P855" s="299"/>
      <c r="Q855" s="300"/>
      <c r="R855" s="297"/>
      <c r="S855" s="301"/>
      <c r="T855" s="302">
        <f>ROUNDDOWN(IFERROR(tabItens[[#This Row],[ATA DT.VALID.]] - $D$1,0) / 30,0)</f>
        <v>-1504</v>
      </c>
      <c r="U855" s="287" t="s">
        <v>1440</v>
      </c>
      <c r="V855" s="303">
        <v>1</v>
      </c>
      <c r="W855" s="304" t="s">
        <v>2057</v>
      </c>
      <c r="X855" s="305">
        <v>67</v>
      </c>
      <c r="Y855" s="306">
        <v>18</v>
      </c>
      <c r="Z855" s="307"/>
      <c r="AA855" s="308"/>
      <c r="AB855" s="309"/>
      <c r="AC855" s="309"/>
      <c r="AD855" s="308"/>
      <c r="AE855" s="309"/>
      <c r="AF855" s="302"/>
      <c r="AG855" s="310" t="s">
        <v>2050</v>
      </c>
      <c r="AH855" s="311"/>
      <c r="AI855" s="302">
        <v>106</v>
      </c>
      <c r="AJ855" s="311">
        <v>44071</v>
      </c>
      <c r="AK855" s="311">
        <v>38097</v>
      </c>
      <c r="AL855" s="311">
        <v>44040</v>
      </c>
      <c r="AM855" s="301"/>
      <c r="AN855" s="290"/>
      <c r="AO855" s="312" t="str">
        <f>_xlfn.IFNA(IF(VLOOKUP(tabItens[[#This Row],[CÓDIGO]],tabExcluirDoEstoque[#Data],1,FALSE),"sim",""),"")</f>
        <v/>
      </c>
      <c r="AP855" s="313" t="str">
        <f ca="1">IF(OR(ISBLANK(tabItens[[#This Row],[ATA DT.VALID.]]),tabItens[[#This Row],[ATA DT.VALID.]]="",tabItens[[#This Row],[ATA DT.VALID.]]=" "),"",IF(TYPE(tabItens[[#This Row],[ATA DT.VALID.]])=1,ROUNDUP((tabItens[[#This Row],[ATA DT.VALID.]]-TODAY())/7,0),""))</f>
        <v/>
      </c>
      <c r="AQ855" s="314"/>
      <c r="AR855" s="315" t="str">
        <f>IF(ISBLANK(tabItens[[#This Row],[CÓDIGO]]),"",IFERROR(VLOOKUP(tabItens[[#This Row],[CÓDIGO]],Consumo!$C$2:$AC$869,26,FALSE),0))</f>
        <v>05.2023</v>
      </c>
      <c r="AS855" s="316">
        <f>SUMIF(Consumo!$C$3:$C$869,tabItens[[#This Row],[CÓDIGO]],Consumo!$N$3:$N$869) + SUMIF(Consumo!$C$3:$C$869,tabItens[[#This Row],[CÓDIGO]],Consumo!$O$3:$O$869) + SUMIF(Consumo!$C$3:$C$869,tabItens[[#This Row],[CÓDIGO]],Consumo!$P$3:$P$869) + SUMIF(Consumo!$C$3:$C$869,tabItens[[#This Row],[CÓDIGO]],Consumo!$Q$3:$Q$869)</f>
        <v>270</v>
      </c>
      <c r="AT855" s="316">
        <f>SUMIF(Consumo!$C$3:$C$869,tabItens[[#This Row],[CÓDIGO]],Consumo!$Z$3:$Z$869)</f>
        <v>319</v>
      </c>
      <c r="AU855" s="317">
        <f>SUMIF(Consumo!$C$3:$C$869,tabItens[[#This Row],[CÓDIGO]],Consumo!$AA$3:$AA$869)</f>
        <v>270</v>
      </c>
      <c r="AV855" s="318">
        <f>SUMIF(Consumo!$C$3:$C$869,tabItens[[#This Row],[CÓDIGO]],Consumo!$Y$3:$Y$869)</f>
        <v>19.25</v>
      </c>
      <c r="AW855" s="291">
        <f>tabItens[[#This Row],[QTDE ATUAL]] + tabItens[[#This Row],[RC QTDE]] + tabItens[[#This Row],[AF SALDO]] + tabItens[[#This Row],[Recentes]]</f>
        <v>1019</v>
      </c>
      <c r="AX855" s="319">
        <v>43</v>
      </c>
      <c r="AY855" s="319">
        <v>4</v>
      </c>
      <c r="AZ855" s="319">
        <f>IF(ISBLANK(tabItens[[#This Row],[CÓDIGO]]),"",tabItens[[#This Row],[PontoMês]] * (AZ$2+tabItens[[#This Row],[PontoQtM]]))</f>
        <v>172</v>
      </c>
      <c r="BA855" s="318">
        <f>tabItens[[#This Row],[PontoPed]] - tabItens[[#This Row],[Saldo]] + (1/10)</f>
        <v>-846.9</v>
      </c>
      <c r="BB855" s="318">
        <f xml:space="preserve"> tabItens[[#This Row],[PontoMês]] * BB$2 - tabItens[[#This Row],[QTDE ATUAL]] - (1/10)</f>
        <v>-976.1</v>
      </c>
      <c r="BC855" s="320">
        <f>IF( tabItens[[#This Row],[PontoPed]]&gt;0, IF(tabItens[[#This Row],[PontoPed]]&lt;1, 1, IF( tabItens[[#This Row],[Saldo]]&gt;tabItens[[#This Row],[PontoPed]], 0, (tabItens[[#This Row],[PontoPed]]-tabItens[[#This Row],[Saldo]])/tabItens[[#This Row],[PontoPed]] ) ), 0 )</f>
        <v>0</v>
      </c>
      <c r="BD855" s="321">
        <f>ROUNDDOWN(IF( OR( AND(tabItens[[#This Row],[PontoPed]]&lt;tabItens[[#This Row],[Saldo]],tabItens[[#This Row],[Saldo]]&gt;0), tabItens[[#This Row],[PontoPed]]=0), 99, IF(AND(tabItens[[#This Row],[Saldo]]=0,tabItens[[#This Row],[PontoPed]]&gt;0), 0, (1-tabItens[[#This Row],[PctAb]])*10 ) ),0)</f>
        <v>99</v>
      </c>
      <c r="BE855" s="322">
        <f>MAX(ROUNDDOWN( IF(tabItens[[#This Row],[Abaixo]] &gt; 0,   tabItens[[#This Row],[Abaixo]] + (tabItens[[#This Row],[PontoMês]] * IF( OR( ISBLANK(tabItens[[#This Row],[ATA Nº/ANO]]), tabItens[[#This Row],[ATA Nº/ANO]] = ""),BE$2,BE$1)),0),0),0)</f>
        <v>0</v>
      </c>
      <c r="BF85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23">
        <f>SUMIF(Consumo!$C$3:$C$869,tabItens[[#This Row],[CÓDIGO]],Consumo!$E$3:$E$869)</f>
        <v>0</v>
      </c>
      <c r="BH855" s="324">
        <f>IF(AND(tabItens[[#This Row],[Pend]] &gt; 0,tabItens[[#This Row],[Consumo]] &lt;&gt; 0), tabItens[[#This Row],[Pend]] / tabItens[[#This Row],[Consumo]], 0 )</f>
        <v>0</v>
      </c>
      <c r="BI855" s="323"/>
      <c r="BJ855" s="323"/>
      <c r="BK855" s="325" t="s">
        <v>2064</v>
      </c>
    </row>
    <row r="856" spans="1:63" hidden="1" x14ac:dyDescent="0.3">
      <c r="A856" s="286">
        <v>114923</v>
      </c>
      <c r="B856" s="287" t="s">
        <v>1701</v>
      </c>
      <c r="C856" s="288" t="s">
        <v>256</v>
      </c>
      <c r="D856" s="289">
        <v>0.24</v>
      </c>
      <c r="E856" s="290"/>
      <c r="F856" s="290"/>
      <c r="G856" s="290" t="s">
        <v>883</v>
      </c>
      <c r="H856" s="291">
        <v>5742</v>
      </c>
      <c r="I856" s="292">
        <v>103003</v>
      </c>
      <c r="J856" s="293">
        <v>0.24</v>
      </c>
      <c r="K856" s="294">
        <v>1218</v>
      </c>
      <c r="L856" s="295">
        <f>IF(tabItens[[#This Row],[Média]] &gt; 0, tabItens[[#This Row],[QTDE ATUAL]] / tabItens[[#This Row],[Média]],999.9)</f>
        <v>58.842015371477373</v>
      </c>
      <c r="M856" s="296">
        <v>0</v>
      </c>
      <c r="N856" s="297">
        <f>tabItens[[#This Row],[VALOR UNIT.]] * tabItens[[#This Row],[LC]]</f>
        <v>0</v>
      </c>
      <c r="O856" s="298"/>
      <c r="P856" s="299"/>
      <c r="Q856" s="300"/>
      <c r="R856" s="297"/>
      <c r="S856" s="301"/>
      <c r="T856" s="302">
        <f>ROUNDDOWN(IFERROR(tabItens[[#This Row],[ATA DT.VALID.]] - $D$1,0) / 30,0)</f>
        <v>-1504</v>
      </c>
      <c r="U856" s="287" t="s">
        <v>1440</v>
      </c>
      <c r="V856" s="303">
        <v>1</v>
      </c>
      <c r="W856" s="304" t="s">
        <v>2057</v>
      </c>
      <c r="X856" s="305">
        <v>67</v>
      </c>
      <c r="Y856" s="306">
        <v>18</v>
      </c>
      <c r="Z856" s="307"/>
      <c r="AA856" s="308"/>
      <c r="AB856" s="309"/>
      <c r="AC856" s="309"/>
      <c r="AD856" s="308"/>
      <c r="AE856" s="309"/>
      <c r="AF856" s="302"/>
      <c r="AG856" s="310" t="s">
        <v>2050</v>
      </c>
      <c r="AH856" s="311"/>
      <c r="AI856" s="302">
        <v>444</v>
      </c>
      <c r="AJ856" s="311">
        <v>44071</v>
      </c>
      <c r="AK856" s="311">
        <v>40288</v>
      </c>
      <c r="AL856" s="311">
        <v>44040</v>
      </c>
      <c r="AM856" s="301"/>
      <c r="AN856" s="290"/>
      <c r="AO856" s="312" t="str">
        <f>_xlfn.IFNA(IF(VLOOKUP(tabItens[[#This Row],[CÓDIGO]],tabExcluirDoEstoque[#Data],1,FALSE),"sim",""),"")</f>
        <v/>
      </c>
      <c r="AP856" s="313" t="str">
        <f ca="1">IF(OR(ISBLANK(tabItens[[#This Row],[ATA DT.VALID.]]),tabItens[[#This Row],[ATA DT.VALID.]]="",tabItens[[#This Row],[ATA DT.VALID.]]=" "),"",IF(TYPE(tabItens[[#This Row],[ATA DT.VALID.]])=1,ROUNDUP((tabItens[[#This Row],[ATA DT.VALID.]]-TODAY())/7,0),""))</f>
        <v/>
      </c>
      <c r="AQ856" s="314"/>
      <c r="AR856" s="315" t="str">
        <f>IF(ISBLANK(tabItens[[#This Row],[CÓDIGO]]),"",IFERROR(VLOOKUP(tabItens[[#This Row],[CÓDIGO]],Consumo!$C$2:$AC$869,26,FALSE),0))</f>
        <v>07.2023</v>
      </c>
      <c r="AS856" s="316">
        <f>SUMIF(Consumo!$C$3:$C$869,tabItens[[#This Row],[CÓDIGO]],Consumo!$N$3:$N$869) + SUMIF(Consumo!$C$3:$C$869,tabItens[[#This Row],[CÓDIGO]],Consumo!$O$3:$O$869) + SUMIF(Consumo!$C$3:$C$869,tabItens[[#This Row],[CÓDIGO]],Consumo!$P$3:$P$869) + SUMIF(Consumo!$C$3:$C$869,tabItens[[#This Row],[CÓDIGO]],Consumo!$Q$3:$Q$869)</f>
        <v>600</v>
      </c>
      <c r="AT856" s="316">
        <f>SUMIF(Consumo!$C$3:$C$869,tabItens[[#This Row],[CÓDIGO]],Consumo!$Z$3:$Z$869)</f>
        <v>1328</v>
      </c>
      <c r="AU856" s="317">
        <f>SUMIF(Consumo!$C$3:$C$869,tabItens[[#This Row],[CÓDIGO]],Consumo!$AA$3:$AA$869)</f>
        <v>600</v>
      </c>
      <c r="AV856" s="318">
        <f>SUMIF(Consumo!$C$3:$C$869,tabItens[[#This Row],[CÓDIGO]],Consumo!$Y$3:$Y$869)</f>
        <v>97.583333333333329</v>
      </c>
      <c r="AW856" s="291">
        <f>tabItens[[#This Row],[QTDE ATUAL]] + tabItens[[#This Row],[RC QTDE]] + tabItens[[#This Row],[AF SALDO]] + tabItens[[#This Row],[Recentes]]</f>
        <v>5742</v>
      </c>
      <c r="AX856" s="319">
        <v>172</v>
      </c>
      <c r="AY856" s="319">
        <v>4</v>
      </c>
      <c r="AZ856" s="319">
        <f>IF(ISBLANK(tabItens[[#This Row],[CÓDIGO]]),"",tabItens[[#This Row],[PontoMês]] * (AZ$2+tabItens[[#This Row],[PontoQtM]]))</f>
        <v>688</v>
      </c>
      <c r="BA856" s="318">
        <f>tabItens[[#This Row],[PontoPed]] - tabItens[[#This Row],[Saldo]] + (1/10)</f>
        <v>-5053.8999999999996</v>
      </c>
      <c r="BB856" s="318">
        <f xml:space="preserve"> tabItens[[#This Row],[PontoMês]] * BB$2 - tabItens[[#This Row],[QTDE ATUAL]] - (1/10)</f>
        <v>-5570.1</v>
      </c>
      <c r="BC856" s="320">
        <f>IF( tabItens[[#This Row],[PontoPed]]&gt;0, IF(tabItens[[#This Row],[PontoPed]]&lt;1, 1, IF( tabItens[[#This Row],[Saldo]]&gt;tabItens[[#This Row],[PontoPed]], 0, (tabItens[[#This Row],[PontoPed]]-tabItens[[#This Row],[Saldo]])/tabItens[[#This Row],[PontoPed]] ) ), 0 )</f>
        <v>0</v>
      </c>
      <c r="BD856" s="321">
        <f>ROUNDDOWN(IF( OR( AND(tabItens[[#This Row],[PontoPed]]&lt;tabItens[[#This Row],[Saldo]],tabItens[[#This Row],[Saldo]]&gt;0), tabItens[[#This Row],[PontoPed]]=0), 99, IF(AND(tabItens[[#This Row],[Saldo]]=0,tabItens[[#This Row],[PontoPed]]&gt;0), 0, (1-tabItens[[#This Row],[PctAb]])*10 ) ),0)</f>
        <v>99</v>
      </c>
      <c r="BE856" s="322">
        <f>MAX(ROUNDDOWN( IF(tabItens[[#This Row],[Abaixo]] &gt; 0,   tabItens[[#This Row],[Abaixo]] + (tabItens[[#This Row],[PontoMês]] * IF( OR( ISBLANK(tabItens[[#This Row],[ATA Nº/ANO]]), tabItens[[#This Row],[ATA Nº/ANO]] = ""),BE$2,BE$1)),0),0),0)</f>
        <v>0</v>
      </c>
      <c r="BF85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23">
        <f>SUMIF(Consumo!$C$3:$C$869,tabItens[[#This Row],[CÓDIGO]],Consumo!$E$3:$E$869)</f>
        <v>0</v>
      </c>
      <c r="BH856" s="324">
        <f>IF(AND(tabItens[[#This Row],[Pend]] &gt; 0,tabItens[[#This Row],[Consumo]] &lt;&gt; 0), tabItens[[#This Row],[Pend]] / tabItens[[#This Row],[Consumo]], 0 )</f>
        <v>0</v>
      </c>
      <c r="BI856" s="323"/>
      <c r="BJ856" s="323"/>
      <c r="BK856" s="325" t="s">
        <v>2064</v>
      </c>
    </row>
    <row r="857" spans="1:63" x14ac:dyDescent="0.3">
      <c r="A857" s="396">
        <v>126059</v>
      </c>
      <c r="B857" s="397" t="s">
        <v>1765</v>
      </c>
      <c r="C857" s="398" t="s">
        <v>413</v>
      </c>
      <c r="D857" s="399">
        <v>8.8699999999999992</v>
      </c>
      <c r="E857" s="290"/>
      <c r="F857" s="400"/>
      <c r="G857" s="400" t="s">
        <v>883</v>
      </c>
      <c r="H857" s="401">
        <v>0</v>
      </c>
      <c r="I857" s="292">
        <v>103003</v>
      </c>
      <c r="J857" s="293">
        <v>8.8699999999999992</v>
      </c>
      <c r="K857" s="402">
        <v>82</v>
      </c>
      <c r="L857" s="403">
        <f>IF(tabItens[[#This Row],[Média]] &gt; 0, tabItens[[#This Row],[QTDE ATUAL]] / tabItens[[#This Row],[Média]],999.9)</f>
        <v>0</v>
      </c>
      <c r="M857" s="404">
        <v>0</v>
      </c>
      <c r="N857" s="405">
        <f>tabItens[[#This Row],[VALOR UNIT.]] * tabItens[[#This Row],[LC]]</f>
        <v>0</v>
      </c>
      <c r="O857" s="406"/>
      <c r="P857" s="407"/>
      <c r="Q857" s="408"/>
      <c r="R857" s="297"/>
      <c r="S857" s="409"/>
      <c r="T857" s="410">
        <f>ROUNDDOWN(IFERROR(tabItens[[#This Row],[ATA DT.VALID.]] - $D$1,0) / 30,0)</f>
        <v>-1504</v>
      </c>
      <c r="U857" s="287" t="s">
        <v>1440</v>
      </c>
      <c r="V857" s="303">
        <v>1</v>
      </c>
      <c r="W857" s="411" t="s">
        <v>2057</v>
      </c>
      <c r="X857" s="412">
        <v>67</v>
      </c>
      <c r="Y857" s="413">
        <v>18</v>
      </c>
      <c r="Z857" s="414">
        <v>2490</v>
      </c>
      <c r="AA857" s="415">
        <v>2023</v>
      </c>
      <c r="AB857" s="416">
        <v>100</v>
      </c>
      <c r="AC857" s="416"/>
      <c r="AD857" s="415"/>
      <c r="AE857" s="416"/>
      <c r="AF857" s="302"/>
      <c r="AG857" s="417" t="s">
        <v>2050</v>
      </c>
      <c r="AH857" s="418"/>
      <c r="AI857" s="302">
        <v>30</v>
      </c>
      <c r="AJ857" s="418">
        <v>43882</v>
      </c>
      <c r="AK857" s="311">
        <v>41509</v>
      </c>
      <c r="AL857" s="311">
        <v>43826</v>
      </c>
      <c r="AM857" s="301"/>
      <c r="AN857" s="290"/>
      <c r="AO857" s="312" t="str">
        <f>_xlfn.IFNA(IF(VLOOKUP(tabItens[[#This Row],[CÓDIGO]],tabExcluirDoEstoque[#Data],1,FALSE),"sim",""),"")</f>
        <v/>
      </c>
      <c r="AP857" s="419" t="str">
        <f ca="1">IF(OR(ISBLANK(tabItens[[#This Row],[ATA DT.VALID.]]),tabItens[[#This Row],[ATA DT.VALID.]]="",tabItens[[#This Row],[ATA DT.VALID.]]=" "),"",IF(TYPE(tabItens[[#This Row],[ATA DT.VALID.]])=1,ROUNDUP((tabItens[[#This Row],[ATA DT.VALID.]]-TODAY())/7,0),""))</f>
        <v/>
      </c>
      <c r="AQ857" s="314"/>
      <c r="AR857" s="315" t="str">
        <f>IF(ISBLANK(tabItens[[#This Row],[CÓDIGO]]),"",IFERROR(VLOOKUP(tabItens[[#This Row],[CÓDIGO]],Consumo!$C$2:$AC$869,26,FALSE),0))</f>
        <v>04.2023</v>
      </c>
      <c r="AS857" s="316">
        <f>SUMIF(Consumo!$C$3:$C$869,tabItens[[#This Row],[CÓDIGO]],Consumo!$N$3:$N$869) + SUMIF(Consumo!$C$3:$C$869,tabItens[[#This Row],[CÓDIGO]],Consumo!$O$3:$O$869) + SUMIF(Consumo!$C$3:$C$869,tabItens[[#This Row],[CÓDIGO]],Consumo!$P$3:$P$869) + SUMIF(Consumo!$C$3:$C$869,tabItens[[#This Row],[CÓDIGO]],Consumo!$Q$3:$Q$869)</f>
        <v>10</v>
      </c>
      <c r="AT857" s="316">
        <f>SUMIF(Consumo!$C$3:$C$869,tabItens[[#This Row],[CÓDIGO]],Consumo!$Z$3:$Z$869)</f>
        <v>122</v>
      </c>
      <c r="AU857" s="317">
        <f>SUMIF(Consumo!$C$3:$C$869,tabItens[[#This Row],[CÓDIGO]],Consumo!$AA$3:$AA$869)</f>
        <v>47</v>
      </c>
      <c r="AV857" s="318">
        <f>SUMIF(Consumo!$C$3:$C$869,tabItens[[#This Row],[CÓDIGO]],Consumo!$Y$3:$Y$869)</f>
        <v>9.4166666666666661</v>
      </c>
      <c r="AW857" s="401">
        <f>tabItens[[#This Row],[QTDE ATUAL]] + tabItens[[#This Row],[RC QTDE]] + tabItens[[#This Row],[AF SALDO]] + tabItens[[#This Row],[Recentes]]</f>
        <v>100</v>
      </c>
      <c r="AX857" s="420">
        <v>2</v>
      </c>
      <c r="AY857" s="420">
        <v>4</v>
      </c>
      <c r="AZ857" s="420">
        <f>IF(ISBLANK(tabItens[[#This Row],[CÓDIGO]]),"",tabItens[[#This Row],[PontoMês]] * (AZ$2+tabItens[[#This Row],[PontoQtM]]))</f>
        <v>8</v>
      </c>
      <c r="BA857" s="421">
        <f>tabItens[[#This Row],[PontoPed]] - tabItens[[#This Row],[Saldo]] + (1/10)</f>
        <v>-91.9</v>
      </c>
      <c r="BB857" s="421">
        <f xml:space="preserve"> tabItens[[#This Row],[PontoMês]] * BB$2 - tabItens[[#This Row],[QTDE ATUAL]] - (1/10)</f>
        <v>1.9</v>
      </c>
      <c r="BC857" s="320">
        <f>IF( tabItens[[#This Row],[PontoPed]]&gt;0, IF(tabItens[[#This Row],[PontoPed]]&lt;1, 1, IF( tabItens[[#This Row],[Saldo]]&gt;tabItens[[#This Row],[PontoPed]], 0, (tabItens[[#This Row],[PontoPed]]-tabItens[[#This Row],[Saldo]])/tabItens[[#This Row],[PontoPed]] ) ), 0 )</f>
        <v>0</v>
      </c>
      <c r="BD857" s="422">
        <f>ROUNDDOWN(IF( OR( AND(tabItens[[#This Row],[PontoPed]]&lt;tabItens[[#This Row],[Saldo]],tabItens[[#This Row],[Saldo]]&gt;0), tabItens[[#This Row],[PontoPed]]=0), 99, IF(AND(tabItens[[#This Row],[Saldo]]=0,tabItens[[#This Row],[PontoPed]]&gt;0), 0, (1-tabItens[[#This Row],[PctAb]])*10 ) ),0)</f>
        <v>99</v>
      </c>
      <c r="BE857" s="423">
        <f>MAX(ROUNDDOWN( IF(tabItens[[#This Row],[Abaixo]] &gt; 0,   tabItens[[#This Row],[Abaixo]] + (tabItens[[#This Row],[PontoMês]] * IF( OR( ISBLANK(tabItens[[#This Row],[ATA Nº/ANO]]), tabItens[[#This Row],[ATA Nº/ANO]] = ""),BE$2,BE$1)),0),0),0)</f>
        <v>0</v>
      </c>
      <c r="BF857"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23">
        <f>SUMIF(Consumo!$C$3:$C$869,tabItens[[#This Row],[CÓDIGO]],Consumo!$E$3:$E$869)</f>
        <v>33</v>
      </c>
      <c r="BH857" s="324">
        <f>IF(AND(tabItens[[#This Row],[Pend]] &gt; 0,tabItens[[#This Row],[Consumo]] &lt;&gt; 0), tabItens[[#This Row],[Pend]] / tabItens[[#This Row],[Consumo]], 0 )</f>
        <v>0.27049180327868855</v>
      </c>
      <c r="BI857" s="323"/>
      <c r="BJ857" s="424"/>
      <c r="BK857" s="425" t="s">
        <v>2064</v>
      </c>
    </row>
    <row r="858" spans="1:63" hidden="1" x14ac:dyDescent="0.3">
      <c r="A858" s="286">
        <v>126060</v>
      </c>
      <c r="B858" s="287" t="s">
        <v>1766</v>
      </c>
      <c r="C858" s="288" t="s">
        <v>413</v>
      </c>
      <c r="D858" s="289">
        <v>20</v>
      </c>
      <c r="E858" s="290"/>
      <c r="F858" s="290"/>
      <c r="G858" s="290" t="s">
        <v>883</v>
      </c>
      <c r="H858" s="291">
        <v>107</v>
      </c>
      <c r="I858" s="292">
        <v>103003</v>
      </c>
      <c r="J858" s="293">
        <v>20</v>
      </c>
      <c r="K858" s="294">
        <v>178</v>
      </c>
      <c r="L858" s="295">
        <f>IF(tabItens[[#This Row],[Média]] &gt; 0, tabItens[[#This Row],[QTDE ATUAL]] / tabItens[[#This Row],[Média]],999.9)</f>
        <v>6.903225806451613</v>
      </c>
      <c r="M858" s="296">
        <v>0</v>
      </c>
      <c r="N858" s="297">
        <f>tabItens[[#This Row],[VALOR UNIT.]] * tabItens[[#This Row],[LC]]</f>
        <v>0</v>
      </c>
      <c r="O858" s="298"/>
      <c r="P858" s="299"/>
      <c r="Q858" s="300"/>
      <c r="R858" s="297"/>
      <c r="S858" s="301"/>
      <c r="T858" s="302">
        <f>ROUNDDOWN(IFERROR(tabItens[[#This Row],[ATA DT.VALID.]] - $D$1,0) / 30,0)</f>
        <v>-1504</v>
      </c>
      <c r="U858" s="287" t="s">
        <v>1440</v>
      </c>
      <c r="V858" s="303">
        <v>1</v>
      </c>
      <c r="W858" s="304" t="s">
        <v>2057</v>
      </c>
      <c r="X858" s="305">
        <v>67</v>
      </c>
      <c r="Y858" s="306">
        <v>18</v>
      </c>
      <c r="Z858" s="307">
        <v>2492</v>
      </c>
      <c r="AA858" s="308">
        <v>2023</v>
      </c>
      <c r="AB858" s="309">
        <v>150</v>
      </c>
      <c r="AC858" s="309"/>
      <c r="AD858" s="308"/>
      <c r="AE858" s="309"/>
      <c r="AF858" s="302"/>
      <c r="AG858" s="310" t="s">
        <v>2050</v>
      </c>
      <c r="AH858" s="311"/>
      <c r="AI858" s="302">
        <v>62</v>
      </c>
      <c r="AJ858" s="311">
        <v>45019</v>
      </c>
      <c r="AK858" s="311">
        <v>41509</v>
      </c>
      <c r="AL858" s="311">
        <v>44922</v>
      </c>
      <c r="AM858" s="301"/>
      <c r="AN858" s="290"/>
      <c r="AO858" s="312" t="str">
        <f>_xlfn.IFNA(IF(VLOOKUP(tabItens[[#This Row],[CÓDIGO]],tabExcluirDoEstoque[#Data],1,FALSE),"sim",""),"")</f>
        <v/>
      </c>
      <c r="AP858" s="313" t="str">
        <f ca="1">IF(OR(ISBLANK(tabItens[[#This Row],[ATA DT.VALID.]]),tabItens[[#This Row],[ATA DT.VALID.]]="",tabItens[[#This Row],[ATA DT.VALID.]]=" "),"",IF(TYPE(tabItens[[#This Row],[ATA DT.VALID.]])=1,ROUNDUP((tabItens[[#This Row],[ATA DT.VALID.]]-TODAY())/7,0),""))</f>
        <v/>
      </c>
      <c r="AQ858" s="314"/>
      <c r="AR858" s="315" t="str">
        <f>IF(ISBLANK(tabItens[[#This Row],[CÓDIGO]]),"",IFERROR(VLOOKUP(tabItens[[#This Row],[CÓDIGO]],Consumo!$C$2:$AC$869,26,FALSE),0))</f>
        <v>04.2023</v>
      </c>
      <c r="AS858" s="316">
        <f>SUMIF(Consumo!$C$3:$C$869,tabItens[[#This Row],[CÓDIGO]],Consumo!$N$3:$N$869) + SUMIF(Consumo!$C$3:$C$869,tabItens[[#This Row],[CÓDIGO]],Consumo!$O$3:$O$869) + SUMIF(Consumo!$C$3:$C$869,tabItens[[#This Row],[CÓDIGO]],Consumo!$P$3:$P$869) + SUMIF(Consumo!$C$3:$C$869,tabItens[[#This Row],[CÓDIGO]],Consumo!$Q$3:$Q$869)</f>
        <v>42</v>
      </c>
      <c r="AT858" s="316">
        <f>SUMIF(Consumo!$C$3:$C$869,tabItens[[#This Row],[CÓDIGO]],Consumo!$Z$3:$Z$869)</f>
        <v>188</v>
      </c>
      <c r="AU858" s="317">
        <f>SUMIF(Consumo!$C$3:$C$869,tabItens[[#This Row],[CÓDIGO]],Consumo!$AA$3:$AA$869)</f>
        <v>54</v>
      </c>
      <c r="AV858" s="318">
        <f>SUMIF(Consumo!$C$3:$C$869,tabItens[[#This Row],[CÓDIGO]],Consumo!$Y$3:$Y$869)</f>
        <v>15.5</v>
      </c>
      <c r="AW858" s="291">
        <f>tabItens[[#This Row],[QTDE ATUAL]] + tabItens[[#This Row],[RC QTDE]] + tabItens[[#This Row],[AF SALDO]] + tabItens[[#This Row],[Recentes]]</f>
        <v>257</v>
      </c>
      <c r="AX858" s="319">
        <v>9</v>
      </c>
      <c r="AY858" s="319">
        <v>4</v>
      </c>
      <c r="AZ858" s="319">
        <f>IF(ISBLANK(tabItens[[#This Row],[CÓDIGO]]),"",tabItens[[#This Row],[PontoMês]] * (AZ$2+tabItens[[#This Row],[PontoQtM]]))</f>
        <v>36</v>
      </c>
      <c r="BA858" s="318">
        <f>tabItens[[#This Row],[PontoPed]] - tabItens[[#This Row],[Saldo]] + (1/10)</f>
        <v>-220.9</v>
      </c>
      <c r="BB858" s="318">
        <f xml:space="preserve"> tabItens[[#This Row],[PontoMês]] * BB$2 - tabItens[[#This Row],[QTDE ATUAL]] - (1/10)</f>
        <v>-98.1</v>
      </c>
      <c r="BC858" s="320">
        <f>IF( tabItens[[#This Row],[PontoPed]]&gt;0, IF(tabItens[[#This Row],[PontoPed]]&lt;1, 1, IF( tabItens[[#This Row],[Saldo]]&gt;tabItens[[#This Row],[PontoPed]], 0, (tabItens[[#This Row],[PontoPed]]-tabItens[[#This Row],[Saldo]])/tabItens[[#This Row],[PontoPed]] ) ), 0 )</f>
        <v>0</v>
      </c>
      <c r="BD858" s="321">
        <f>ROUNDDOWN(IF( OR( AND(tabItens[[#This Row],[PontoPed]]&lt;tabItens[[#This Row],[Saldo]],tabItens[[#This Row],[Saldo]]&gt;0), tabItens[[#This Row],[PontoPed]]=0), 99, IF(AND(tabItens[[#This Row],[Saldo]]=0,tabItens[[#This Row],[PontoPed]]&gt;0), 0, (1-tabItens[[#This Row],[PctAb]])*10 ) ),0)</f>
        <v>99</v>
      </c>
      <c r="BE858" s="322">
        <f>MAX(ROUNDDOWN( IF(tabItens[[#This Row],[Abaixo]] &gt; 0,   tabItens[[#This Row],[Abaixo]] + (tabItens[[#This Row],[PontoMês]] * IF( OR( ISBLANK(tabItens[[#This Row],[ATA Nº/ANO]]), tabItens[[#This Row],[ATA Nº/ANO]] = ""),BE$2,BE$1)),0),0),0)</f>
        <v>0</v>
      </c>
      <c r="BF85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23">
        <f>SUMIF(Consumo!$C$3:$C$869,tabItens[[#This Row],[CÓDIGO]],Consumo!$E$3:$E$869)</f>
        <v>0</v>
      </c>
      <c r="BH858" s="324">
        <f>IF(AND(tabItens[[#This Row],[Pend]] &gt; 0,tabItens[[#This Row],[Consumo]] &lt;&gt; 0), tabItens[[#This Row],[Pend]] / tabItens[[#This Row],[Consumo]], 0 )</f>
        <v>0</v>
      </c>
      <c r="BI858" s="323"/>
      <c r="BJ858" s="323"/>
      <c r="BK858" s="325" t="s">
        <v>2064</v>
      </c>
    </row>
    <row r="859" spans="1:63" hidden="1" x14ac:dyDescent="0.3">
      <c r="A859" s="286">
        <v>134566</v>
      </c>
      <c r="B859" s="287" t="s">
        <v>1887</v>
      </c>
      <c r="C859" s="288" t="s">
        <v>256</v>
      </c>
      <c r="D859" s="289">
        <v>0.23</v>
      </c>
      <c r="E859" s="290"/>
      <c r="F859" s="290"/>
      <c r="G859" s="290" t="s">
        <v>883</v>
      </c>
      <c r="H859" s="291">
        <v>19783</v>
      </c>
      <c r="I859" s="292">
        <v>103003</v>
      </c>
      <c r="J859" s="293">
        <v>0.23</v>
      </c>
      <c r="K859" s="294">
        <v>1562</v>
      </c>
      <c r="L859" s="295">
        <f>IF(tabItens[[#This Row],[Média]] &gt; 0, tabItens[[#This Row],[QTDE ATUAL]] / tabItens[[#This Row],[Média]],999.9)</f>
        <v>172.27576197387518</v>
      </c>
      <c r="M859" s="296">
        <v>0</v>
      </c>
      <c r="N859" s="297">
        <f>tabItens[[#This Row],[VALOR UNIT.]] * tabItens[[#This Row],[LC]]</f>
        <v>0</v>
      </c>
      <c r="O859" s="298"/>
      <c r="P859" s="299"/>
      <c r="Q859" s="300"/>
      <c r="R859" s="297"/>
      <c r="S859" s="301"/>
      <c r="T859" s="302">
        <f>ROUNDDOWN(IFERROR(tabItens[[#This Row],[ATA DT.VALID.]] - $D$1,0) / 30,0)</f>
        <v>-1504</v>
      </c>
      <c r="U859" s="287" t="s">
        <v>1440</v>
      </c>
      <c r="V859" s="303">
        <v>1</v>
      </c>
      <c r="W859" s="304" t="s">
        <v>2057</v>
      </c>
      <c r="X859" s="305">
        <v>67</v>
      </c>
      <c r="Y859" s="306">
        <v>18</v>
      </c>
      <c r="Z859" s="307"/>
      <c r="AA859" s="308"/>
      <c r="AB859" s="309"/>
      <c r="AC859" s="309"/>
      <c r="AD859" s="308"/>
      <c r="AE859" s="309"/>
      <c r="AF859" s="302"/>
      <c r="AG859" s="310" t="s">
        <v>2050</v>
      </c>
      <c r="AH859" s="311"/>
      <c r="AI859" s="302">
        <v>554</v>
      </c>
      <c r="AJ859" s="311">
        <v>43857</v>
      </c>
      <c r="AK859" s="311">
        <v>43174</v>
      </c>
      <c r="AL859" s="311">
        <v>43826</v>
      </c>
      <c r="AM859" s="301"/>
      <c r="AN859" s="290"/>
      <c r="AO859" s="312" t="str">
        <f>_xlfn.IFNA(IF(VLOOKUP(tabItens[[#This Row],[CÓDIGO]],tabExcluirDoEstoque[#Data],1,FALSE),"sim",""),"")</f>
        <v/>
      </c>
      <c r="AP859" s="313" t="str">
        <f ca="1">IF(OR(ISBLANK(tabItens[[#This Row],[ATA DT.VALID.]]),tabItens[[#This Row],[ATA DT.VALID.]]="",tabItens[[#This Row],[ATA DT.VALID.]]=" "),"",IF(TYPE(tabItens[[#This Row],[ATA DT.VALID.]])=1,ROUNDUP((tabItens[[#This Row],[ATA DT.VALID.]]-TODAY())/7,0),""))</f>
        <v/>
      </c>
      <c r="AQ859" s="314"/>
      <c r="AR859" s="315" t="str">
        <f>IF(ISBLANK(tabItens[[#This Row],[CÓDIGO]]),"",IFERROR(VLOOKUP(tabItens[[#This Row],[CÓDIGO]],Consumo!$C$2:$AC$869,26,FALSE),0))</f>
        <v>07.2023</v>
      </c>
      <c r="AS859" s="316">
        <f>SUMIF(Consumo!$C$3:$C$869,tabItens[[#This Row],[CÓDIGO]],Consumo!$N$3:$N$869) + SUMIF(Consumo!$C$3:$C$869,tabItens[[#This Row],[CÓDIGO]],Consumo!$O$3:$O$869) + SUMIF(Consumo!$C$3:$C$869,tabItens[[#This Row],[CÓDIGO]],Consumo!$P$3:$P$869) + SUMIF(Consumo!$C$3:$C$869,tabItens[[#This Row],[CÓDIGO]],Consumo!$Q$3:$Q$869)</f>
        <v>168</v>
      </c>
      <c r="AT859" s="316">
        <f>SUMIF(Consumo!$C$3:$C$869,tabItens[[#This Row],[CÓDIGO]],Consumo!$Z$3:$Z$869)</f>
        <v>1660</v>
      </c>
      <c r="AU859" s="317">
        <f>SUMIF(Consumo!$C$3:$C$869,tabItens[[#This Row],[CÓDIGO]],Consumo!$AA$3:$AA$869)</f>
        <v>950</v>
      </c>
      <c r="AV859" s="318">
        <f>SUMIF(Consumo!$C$3:$C$869,tabItens[[#This Row],[CÓDIGO]],Consumo!$Y$3:$Y$869)</f>
        <v>114.83333333333333</v>
      </c>
      <c r="AW859" s="291">
        <f>tabItens[[#This Row],[QTDE ATUAL]] + tabItens[[#This Row],[RC QTDE]] + tabItens[[#This Row],[AF SALDO]] + tabItens[[#This Row],[Recentes]]</f>
        <v>19783</v>
      </c>
      <c r="AX859" s="319">
        <v>91</v>
      </c>
      <c r="AY859" s="319">
        <v>4</v>
      </c>
      <c r="AZ859" s="319">
        <f>IF(ISBLANK(tabItens[[#This Row],[CÓDIGO]]),"",tabItens[[#This Row],[PontoMês]] * (AZ$2+tabItens[[#This Row],[PontoQtM]]))</f>
        <v>364</v>
      </c>
      <c r="BA859" s="318">
        <f>tabItens[[#This Row],[PontoPed]] - tabItens[[#This Row],[Saldo]] + (1/10)</f>
        <v>-19418.900000000001</v>
      </c>
      <c r="BB859" s="318">
        <f xml:space="preserve"> tabItens[[#This Row],[PontoMês]] * BB$2 - tabItens[[#This Row],[QTDE ATUAL]] - (1/10)</f>
        <v>-19692.099999999999</v>
      </c>
      <c r="BC859" s="320">
        <f>IF( tabItens[[#This Row],[PontoPed]]&gt;0, IF(tabItens[[#This Row],[PontoPed]]&lt;1, 1, IF( tabItens[[#This Row],[Saldo]]&gt;tabItens[[#This Row],[PontoPed]], 0, (tabItens[[#This Row],[PontoPed]]-tabItens[[#This Row],[Saldo]])/tabItens[[#This Row],[PontoPed]] ) ), 0 )</f>
        <v>0</v>
      </c>
      <c r="BD859" s="321">
        <f>ROUNDDOWN(IF( OR( AND(tabItens[[#This Row],[PontoPed]]&lt;tabItens[[#This Row],[Saldo]],tabItens[[#This Row],[Saldo]]&gt;0), tabItens[[#This Row],[PontoPed]]=0), 99, IF(AND(tabItens[[#This Row],[Saldo]]=0,tabItens[[#This Row],[PontoPed]]&gt;0), 0, (1-tabItens[[#This Row],[PctAb]])*10 ) ),0)</f>
        <v>99</v>
      </c>
      <c r="BE859" s="322">
        <f>MAX(ROUNDDOWN( IF(tabItens[[#This Row],[Abaixo]] &gt; 0,   tabItens[[#This Row],[Abaixo]] + (tabItens[[#This Row],[PontoMês]] * IF( OR( ISBLANK(tabItens[[#This Row],[ATA Nº/ANO]]), tabItens[[#This Row],[ATA Nº/ANO]] = ""),BE$2,BE$1)),0),0),0)</f>
        <v>0</v>
      </c>
      <c r="BF85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23">
        <f>SUMIF(Consumo!$C$3:$C$869,tabItens[[#This Row],[CÓDIGO]],Consumo!$E$3:$E$869)</f>
        <v>0</v>
      </c>
      <c r="BH859" s="324">
        <f>IF(AND(tabItens[[#This Row],[Pend]] &gt; 0,tabItens[[#This Row],[Consumo]] &lt;&gt; 0), tabItens[[#This Row],[Pend]] / tabItens[[#This Row],[Consumo]], 0 )</f>
        <v>0</v>
      </c>
      <c r="BI859" s="323"/>
      <c r="BJ859" s="323"/>
      <c r="BK859" s="325" t="s">
        <v>2064</v>
      </c>
    </row>
    <row r="860" spans="1:63" hidden="1" x14ac:dyDescent="0.3">
      <c r="A860" s="286">
        <v>102690</v>
      </c>
      <c r="B860" s="287" t="s">
        <v>1576</v>
      </c>
      <c r="C860" s="288" t="s">
        <v>256</v>
      </c>
      <c r="D860" s="289">
        <v>85.67</v>
      </c>
      <c r="E860" s="290"/>
      <c r="F860" s="290"/>
      <c r="G860" s="290" t="s">
        <v>883</v>
      </c>
      <c r="H860" s="291">
        <v>412</v>
      </c>
      <c r="I860" s="292">
        <v>103003</v>
      </c>
      <c r="J860" s="293">
        <v>85.67</v>
      </c>
      <c r="K860" s="294">
        <v>86</v>
      </c>
      <c r="L860" s="295">
        <f>IF(tabItens[[#This Row],[Média]] &gt; 0, tabItens[[#This Row],[QTDE ATUAL]] / tabItens[[#This Row],[Média]],999.9)</f>
        <v>54.329670329670328</v>
      </c>
      <c r="M860" s="296">
        <v>0</v>
      </c>
      <c r="N860" s="297">
        <f>tabItens[[#This Row],[VALOR UNIT.]] * tabItens[[#This Row],[LC]]</f>
        <v>0</v>
      </c>
      <c r="O860" s="298"/>
      <c r="P860" s="299"/>
      <c r="Q860" s="300"/>
      <c r="R860" s="297"/>
      <c r="S860" s="301"/>
      <c r="T860" s="302">
        <f>ROUNDDOWN(IFERROR(tabItens[[#This Row],[ATA DT.VALID.]] - $D$1,0) / 30,0)</f>
        <v>-1504</v>
      </c>
      <c r="U860" s="287" t="s">
        <v>1577</v>
      </c>
      <c r="V860" s="303">
        <v>1</v>
      </c>
      <c r="W860" s="304" t="s">
        <v>2055</v>
      </c>
      <c r="X860" s="305">
        <v>69</v>
      </c>
      <c r="Y860" s="306">
        <v>5</v>
      </c>
      <c r="Z860" s="307"/>
      <c r="AA860" s="308"/>
      <c r="AB860" s="309"/>
      <c r="AC860" s="309"/>
      <c r="AD860" s="308"/>
      <c r="AE860" s="309"/>
      <c r="AF860" s="302"/>
      <c r="AG860" s="310" t="s">
        <v>2050</v>
      </c>
      <c r="AH860" s="311"/>
      <c r="AI860" s="302">
        <v>28</v>
      </c>
      <c r="AJ860" s="311">
        <v>44965</v>
      </c>
      <c r="AK860" s="311">
        <v>39371</v>
      </c>
      <c r="AL860" s="311">
        <v>44916</v>
      </c>
      <c r="AM860" s="301"/>
      <c r="AN860" s="290"/>
      <c r="AO860" s="312" t="str">
        <f>_xlfn.IFNA(IF(VLOOKUP(tabItens[[#This Row],[CÓDIGO]],tabExcluirDoEstoque[#Data],1,FALSE),"sim",""),"")</f>
        <v/>
      </c>
      <c r="AP860" s="313" t="str">
        <f ca="1">IF(OR(ISBLANK(tabItens[[#This Row],[ATA DT.VALID.]]),tabItens[[#This Row],[ATA DT.VALID.]]="",tabItens[[#This Row],[ATA DT.VALID.]]=" "),"",IF(TYPE(tabItens[[#This Row],[ATA DT.VALID.]])=1,ROUNDUP((tabItens[[#This Row],[ATA DT.VALID.]]-TODAY())/7,0),""))</f>
        <v/>
      </c>
      <c r="AQ860" s="314"/>
      <c r="AR860" s="315" t="str">
        <f>IF(ISBLANK(tabItens[[#This Row],[CÓDIGO]]),"",IFERROR(VLOOKUP(tabItens[[#This Row],[CÓDIGO]],Consumo!$C$2:$AC$869,26,FALSE),0))</f>
        <v>04.2023</v>
      </c>
      <c r="AS860" s="316">
        <f>SUMIF(Consumo!$C$3:$C$869,tabItens[[#This Row],[CÓDIGO]],Consumo!$N$3:$N$869) + SUMIF(Consumo!$C$3:$C$869,tabItens[[#This Row],[CÓDIGO]],Consumo!$O$3:$O$869) + SUMIF(Consumo!$C$3:$C$869,tabItens[[#This Row],[CÓDIGO]],Consumo!$P$3:$P$869) + SUMIF(Consumo!$C$3:$C$869,tabItens[[#This Row],[CÓDIGO]],Consumo!$Q$3:$Q$869)</f>
        <v>10</v>
      </c>
      <c r="AT860" s="316">
        <f>SUMIF(Consumo!$C$3:$C$869,tabItens[[#This Row],[CÓDIGO]],Consumo!$Z$3:$Z$869)</f>
        <v>93</v>
      </c>
      <c r="AU860" s="317">
        <f>SUMIF(Consumo!$C$3:$C$869,tabItens[[#This Row],[CÓDIGO]],Consumo!$AA$3:$AA$869)</f>
        <v>26</v>
      </c>
      <c r="AV860" s="318">
        <f>SUMIF(Consumo!$C$3:$C$869,tabItens[[#This Row],[CÓDIGO]],Consumo!$Y$3:$Y$869)</f>
        <v>7.583333333333333</v>
      </c>
      <c r="AW860" s="291">
        <f>tabItens[[#This Row],[QTDE ATUAL]] + tabItens[[#This Row],[RC QTDE]] + tabItens[[#This Row],[AF SALDO]] + tabItens[[#This Row],[Recentes]]</f>
        <v>412</v>
      </c>
      <c r="AX860" s="319">
        <v>2</v>
      </c>
      <c r="AY860" s="319">
        <v>4</v>
      </c>
      <c r="AZ860" s="319">
        <f>IF(ISBLANK(tabItens[[#This Row],[CÓDIGO]]),"",tabItens[[#This Row],[PontoMês]] * (AZ$2+tabItens[[#This Row],[PontoQtM]]))</f>
        <v>8</v>
      </c>
      <c r="BA860" s="318">
        <f>tabItens[[#This Row],[PontoPed]] - tabItens[[#This Row],[Saldo]] + (1/10)</f>
        <v>-403.9</v>
      </c>
      <c r="BB860" s="318">
        <f xml:space="preserve"> tabItens[[#This Row],[PontoMês]] * BB$2 - tabItens[[#This Row],[QTDE ATUAL]] - (1/10)</f>
        <v>-410.1</v>
      </c>
      <c r="BC860" s="320">
        <f>IF( tabItens[[#This Row],[PontoPed]]&gt;0, IF(tabItens[[#This Row],[PontoPed]]&lt;1, 1, IF( tabItens[[#This Row],[Saldo]]&gt;tabItens[[#This Row],[PontoPed]], 0, (tabItens[[#This Row],[PontoPed]]-tabItens[[#This Row],[Saldo]])/tabItens[[#This Row],[PontoPed]] ) ), 0 )</f>
        <v>0</v>
      </c>
      <c r="BD860" s="321">
        <f>ROUNDDOWN(IF( OR( AND(tabItens[[#This Row],[PontoPed]]&lt;tabItens[[#This Row],[Saldo]],tabItens[[#This Row],[Saldo]]&gt;0), tabItens[[#This Row],[PontoPed]]=0), 99, IF(AND(tabItens[[#This Row],[Saldo]]=0,tabItens[[#This Row],[PontoPed]]&gt;0), 0, (1-tabItens[[#This Row],[PctAb]])*10 ) ),0)</f>
        <v>99</v>
      </c>
      <c r="BE860" s="322">
        <f>MAX(ROUNDDOWN( IF(tabItens[[#This Row],[Abaixo]] &gt; 0,   tabItens[[#This Row],[Abaixo]] + (tabItens[[#This Row],[PontoMês]] * IF( OR( ISBLANK(tabItens[[#This Row],[ATA Nº/ANO]]), tabItens[[#This Row],[ATA Nº/ANO]] = ""),BE$2,BE$1)),0),0),0)</f>
        <v>0</v>
      </c>
      <c r="BF86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23">
        <f>SUMIF(Consumo!$C$3:$C$869,tabItens[[#This Row],[CÓDIGO]],Consumo!$E$3:$E$869)</f>
        <v>7</v>
      </c>
      <c r="BH860" s="324">
        <f>IF(AND(tabItens[[#This Row],[Pend]] &gt; 0,tabItens[[#This Row],[Consumo]] &lt;&gt; 0), tabItens[[#This Row],[Pend]] / tabItens[[#This Row],[Consumo]], 0 )</f>
        <v>7.5268817204301078E-2</v>
      </c>
      <c r="BI860" s="323"/>
      <c r="BJ860" s="323"/>
      <c r="BK860" s="325" t="s">
        <v>2064</v>
      </c>
    </row>
    <row r="861" spans="1:63" hidden="1" x14ac:dyDescent="0.3">
      <c r="A861" s="286">
        <v>102694</v>
      </c>
      <c r="B861" s="287" t="s">
        <v>1578</v>
      </c>
      <c r="C861" s="288" t="s">
        <v>256</v>
      </c>
      <c r="D861" s="289">
        <v>4</v>
      </c>
      <c r="E861" s="290"/>
      <c r="F861" s="290"/>
      <c r="G861" s="290" t="s">
        <v>883</v>
      </c>
      <c r="H861" s="291">
        <v>215</v>
      </c>
      <c r="I861" s="292">
        <v>103003</v>
      </c>
      <c r="J861" s="293">
        <v>4</v>
      </c>
      <c r="K861" s="294">
        <v>67</v>
      </c>
      <c r="L861" s="295">
        <f>IF(tabItens[[#This Row],[Média]] &gt; 0, tabItens[[#This Row],[QTDE ATUAL]] / tabItens[[#This Row],[Média]],999.9)</f>
        <v>39.090909090909093</v>
      </c>
      <c r="M861" s="296">
        <v>0</v>
      </c>
      <c r="N861" s="297">
        <f>tabItens[[#This Row],[VALOR UNIT.]] * tabItens[[#This Row],[LC]]</f>
        <v>0</v>
      </c>
      <c r="O861" s="298"/>
      <c r="P861" s="299"/>
      <c r="Q861" s="300"/>
      <c r="R861" s="297"/>
      <c r="S861" s="301"/>
      <c r="T861" s="302">
        <f>ROUNDDOWN(IFERROR(tabItens[[#This Row],[ATA DT.VALID.]] - $D$1,0) / 30,0)</f>
        <v>-1504</v>
      </c>
      <c r="U861" s="287" t="s">
        <v>1577</v>
      </c>
      <c r="V861" s="303">
        <v>1</v>
      </c>
      <c r="W861" s="304" t="s">
        <v>2055</v>
      </c>
      <c r="X861" s="305">
        <v>69</v>
      </c>
      <c r="Y861" s="306">
        <v>5</v>
      </c>
      <c r="Z861" s="307" t="s">
        <v>2062</v>
      </c>
      <c r="AA861" s="308">
        <v>2023</v>
      </c>
      <c r="AB861" s="309">
        <v>110</v>
      </c>
      <c r="AC861" s="309"/>
      <c r="AD861" s="308"/>
      <c r="AE861" s="309"/>
      <c r="AF861" s="302"/>
      <c r="AG861" s="310" t="s">
        <v>2050</v>
      </c>
      <c r="AH861" s="311"/>
      <c r="AI861" s="302">
        <v>22</v>
      </c>
      <c r="AJ861" s="311">
        <v>44965</v>
      </c>
      <c r="AK861" s="311">
        <v>39371</v>
      </c>
      <c r="AL861" s="311">
        <v>44916</v>
      </c>
      <c r="AM861" s="301"/>
      <c r="AN861" s="290"/>
      <c r="AO861" s="312" t="str">
        <f>_xlfn.IFNA(IF(VLOOKUP(tabItens[[#This Row],[CÓDIGO]],tabExcluirDoEstoque[#Data],1,FALSE),"sim",""),"")</f>
        <v/>
      </c>
      <c r="AP861" s="313" t="str">
        <f ca="1">IF(OR(ISBLANK(tabItens[[#This Row],[ATA DT.VALID.]]),tabItens[[#This Row],[ATA DT.VALID.]]="",tabItens[[#This Row],[ATA DT.VALID.]]=" "),"",IF(TYPE(tabItens[[#This Row],[ATA DT.VALID.]])=1,ROUNDUP((tabItens[[#This Row],[ATA DT.VALID.]]-TODAY())/7,0),""))</f>
        <v/>
      </c>
      <c r="AQ861" s="314"/>
      <c r="AR861" s="315" t="str">
        <f>IF(ISBLANK(tabItens[[#This Row],[CÓDIGO]]),"",IFERROR(VLOOKUP(tabItens[[#This Row],[CÓDIGO]],Consumo!$C$2:$AC$869,26,FALSE),0))</f>
        <v>05.2023</v>
      </c>
      <c r="AS861" s="316">
        <f>SUMIF(Consumo!$C$3:$C$869,tabItens[[#This Row],[CÓDIGO]],Consumo!$N$3:$N$869) + SUMIF(Consumo!$C$3:$C$869,tabItens[[#This Row],[CÓDIGO]],Consumo!$O$3:$O$869) + SUMIF(Consumo!$C$3:$C$869,tabItens[[#This Row],[CÓDIGO]],Consumo!$P$3:$P$869) + SUMIF(Consumo!$C$3:$C$869,tabItens[[#This Row],[CÓDIGO]],Consumo!$Q$3:$Q$869)</f>
        <v>15</v>
      </c>
      <c r="AT861" s="316">
        <f>SUMIF(Consumo!$C$3:$C$869,tabItens[[#This Row],[CÓDIGO]],Consumo!$Z$3:$Z$869)</f>
        <v>70</v>
      </c>
      <c r="AU861" s="317">
        <f>SUMIF(Consumo!$C$3:$C$869,tabItens[[#This Row],[CÓDIGO]],Consumo!$AA$3:$AA$869)</f>
        <v>27</v>
      </c>
      <c r="AV861" s="318">
        <f>SUMIF(Consumo!$C$3:$C$869,tabItens[[#This Row],[CÓDIGO]],Consumo!$Y$3:$Y$869)</f>
        <v>5.5</v>
      </c>
      <c r="AW861" s="291">
        <f>tabItens[[#This Row],[QTDE ATUAL]] + tabItens[[#This Row],[RC QTDE]] + tabItens[[#This Row],[AF SALDO]] + tabItens[[#This Row],[Recentes]]</f>
        <v>325</v>
      </c>
      <c r="AX861" s="319">
        <v>3</v>
      </c>
      <c r="AY861" s="319">
        <v>4</v>
      </c>
      <c r="AZ861" s="319">
        <f>IF(ISBLANK(tabItens[[#This Row],[CÓDIGO]]),"",tabItens[[#This Row],[PontoMês]] * (AZ$2+tabItens[[#This Row],[PontoQtM]]))</f>
        <v>12</v>
      </c>
      <c r="BA861" s="318">
        <f>tabItens[[#This Row],[PontoPed]] - tabItens[[#This Row],[Saldo]] + (1/10)</f>
        <v>-312.89999999999998</v>
      </c>
      <c r="BB861" s="318">
        <f xml:space="preserve"> tabItens[[#This Row],[PontoMês]] * BB$2 - tabItens[[#This Row],[QTDE ATUAL]] - (1/10)</f>
        <v>-212.1</v>
      </c>
      <c r="BC861" s="320">
        <f>IF( tabItens[[#This Row],[PontoPed]]&gt;0, IF(tabItens[[#This Row],[PontoPed]]&lt;1, 1, IF( tabItens[[#This Row],[Saldo]]&gt;tabItens[[#This Row],[PontoPed]], 0, (tabItens[[#This Row],[PontoPed]]-tabItens[[#This Row],[Saldo]])/tabItens[[#This Row],[PontoPed]] ) ), 0 )</f>
        <v>0</v>
      </c>
      <c r="BD861" s="321">
        <f>ROUNDDOWN(IF( OR( AND(tabItens[[#This Row],[PontoPed]]&lt;tabItens[[#This Row],[Saldo]],tabItens[[#This Row],[Saldo]]&gt;0), tabItens[[#This Row],[PontoPed]]=0), 99, IF(AND(tabItens[[#This Row],[Saldo]]=0,tabItens[[#This Row],[PontoPed]]&gt;0), 0, (1-tabItens[[#This Row],[PctAb]])*10 ) ),0)</f>
        <v>99</v>
      </c>
      <c r="BE861" s="322">
        <f>MAX(ROUNDDOWN( IF(tabItens[[#This Row],[Abaixo]] &gt; 0,   tabItens[[#This Row],[Abaixo]] + (tabItens[[#This Row],[PontoMês]] * IF( OR( ISBLANK(tabItens[[#This Row],[ATA Nº/ANO]]), tabItens[[#This Row],[ATA Nº/ANO]] = ""),BE$2,BE$1)),0),0),0)</f>
        <v>0</v>
      </c>
      <c r="BF86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23">
        <f>SUMIF(Consumo!$C$3:$C$869,tabItens[[#This Row],[CÓDIGO]],Consumo!$E$3:$E$869)</f>
        <v>3</v>
      </c>
      <c r="BH861" s="324">
        <f>IF(AND(tabItens[[#This Row],[Pend]] &gt; 0,tabItens[[#This Row],[Consumo]] &lt;&gt; 0), tabItens[[#This Row],[Pend]] / tabItens[[#This Row],[Consumo]], 0 )</f>
        <v>4.2857142857142858E-2</v>
      </c>
      <c r="BI861" s="323"/>
      <c r="BJ861" s="323"/>
      <c r="BK861" s="325" t="s">
        <v>2064</v>
      </c>
    </row>
    <row r="862" spans="1:63" hidden="1" x14ac:dyDescent="0.3">
      <c r="A862" s="286">
        <v>102723</v>
      </c>
      <c r="B862" s="287" t="s">
        <v>1579</v>
      </c>
      <c r="C862" s="288" t="s">
        <v>256</v>
      </c>
      <c r="D862" s="289">
        <v>38.33</v>
      </c>
      <c r="E862" s="290"/>
      <c r="F862" s="290"/>
      <c r="G862" s="290" t="s">
        <v>883</v>
      </c>
      <c r="H862" s="291">
        <v>245</v>
      </c>
      <c r="I862" s="292">
        <v>103003</v>
      </c>
      <c r="J862" s="293">
        <v>38.33</v>
      </c>
      <c r="K862" s="294">
        <v>126</v>
      </c>
      <c r="L862" s="295">
        <f>IF(tabItens[[#This Row],[Média]] &gt; 0, tabItens[[#This Row],[QTDE ATUAL]] / tabItens[[#This Row],[Média]],999.9)</f>
        <v>23.333333333333332</v>
      </c>
      <c r="M862" s="296">
        <v>0</v>
      </c>
      <c r="N862" s="297">
        <f>tabItens[[#This Row],[VALOR UNIT.]] * tabItens[[#This Row],[LC]]</f>
        <v>0</v>
      </c>
      <c r="O862" s="298"/>
      <c r="P862" s="299"/>
      <c r="Q862" s="300"/>
      <c r="R862" s="297"/>
      <c r="S862" s="301"/>
      <c r="T862" s="302">
        <f>ROUNDDOWN(IFERROR(tabItens[[#This Row],[ATA DT.VALID.]] - $D$1,0) / 30,0)</f>
        <v>-1504</v>
      </c>
      <c r="U862" s="287" t="s">
        <v>1577</v>
      </c>
      <c r="V862" s="303">
        <v>1</v>
      </c>
      <c r="W862" s="304" t="s">
        <v>2055</v>
      </c>
      <c r="X862" s="305">
        <v>69</v>
      </c>
      <c r="Y862" s="306">
        <v>5</v>
      </c>
      <c r="Z862" s="307">
        <v>2221</v>
      </c>
      <c r="AA862" s="308">
        <v>2023</v>
      </c>
      <c r="AB862" s="309">
        <v>100</v>
      </c>
      <c r="AC862" s="309"/>
      <c r="AD862" s="308"/>
      <c r="AE862" s="309"/>
      <c r="AF862" s="302"/>
      <c r="AG862" s="310" t="s">
        <v>2050</v>
      </c>
      <c r="AH862" s="311"/>
      <c r="AI862" s="302">
        <v>42</v>
      </c>
      <c r="AJ862" s="311">
        <v>44965</v>
      </c>
      <c r="AK862" s="311">
        <v>39371</v>
      </c>
      <c r="AL862" s="311">
        <v>44916</v>
      </c>
      <c r="AM862" s="301"/>
      <c r="AN862" s="290"/>
      <c r="AO862" s="312" t="str">
        <f>_xlfn.IFNA(IF(VLOOKUP(tabItens[[#This Row],[CÓDIGO]],tabExcluirDoEstoque[#Data],1,FALSE),"sim",""),"")</f>
        <v/>
      </c>
      <c r="AP862" s="313" t="str">
        <f ca="1">IF(OR(ISBLANK(tabItens[[#This Row],[ATA DT.VALID.]]),tabItens[[#This Row],[ATA DT.VALID.]]="",tabItens[[#This Row],[ATA DT.VALID.]]=" "),"",IF(TYPE(tabItens[[#This Row],[ATA DT.VALID.]])=1,ROUNDUP((tabItens[[#This Row],[ATA DT.VALID.]]-TODAY())/7,0),""))</f>
        <v/>
      </c>
      <c r="AQ862" s="314"/>
      <c r="AR862" s="315" t="str">
        <f>IF(ISBLANK(tabItens[[#This Row],[CÓDIGO]]),"",IFERROR(VLOOKUP(tabItens[[#This Row],[CÓDIGO]],Consumo!$C$2:$AC$869,26,FALSE),0))</f>
        <v>07.2023</v>
      </c>
      <c r="AS862" s="316">
        <f>SUMIF(Consumo!$C$3:$C$869,tabItens[[#This Row],[CÓDIGO]],Consumo!$N$3:$N$869) + SUMIF(Consumo!$C$3:$C$869,tabItens[[#This Row],[CÓDIGO]],Consumo!$O$3:$O$869) + SUMIF(Consumo!$C$3:$C$869,tabItens[[#This Row],[CÓDIGO]],Consumo!$P$3:$P$869) + SUMIF(Consumo!$C$3:$C$869,tabItens[[#This Row],[CÓDIGO]],Consumo!$Q$3:$Q$869)</f>
        <v>40</v>
      </c>
      <c r="AT862" s="316">
        <f>SUMIF(Consumo!$C$3:$C$869,tabItens[[#This Row],[CÓDIGO]],Consumo!$Z$3:$Z$869)</f>
        <v>126</v>
      </c>
      <c r="AU862" s="317">
        <f>SUMIF(Consumo!$C$3:$C$869,tabItens[[#This Row],[CÓDIGO]],Consumo!$AA$3:$AA$869)</f>
        <v>29</v>
      </c>
      <c r="AV862" s="318">
        <f>SUMIF(Consumo!$C$3:$C$869,tabItens[[#This Row],[CÓDIGO]],Consumo!$Y$3:$Y$869)</f>
        <v>10.5</v>
      </c>
      <c r="AW862" s="291">
        <f>tabItens[[#This Row],[QTDE ATUAL]] + tabItens[[#This Row],[RC QTDE]] + tabItens[[#This Row],[AF SALDO]] + tabItens[[#This Row],[Recentes]]</f>
        <v>345</v>
      </c>
      <c r="AX862" s="319">
        <v>0</v>
      </c>
      <c r="AY862" s="319">
        <v>4</v>
      </c>
      <c r="AZ862" s="319">
        <f>IF(ISBLANK(tabItens[[#This Row],[CÓDIGO]]),"",tabItens[[#This Row],[PontoMês]] * (AZ$2+tabItens[[#This Row],[PontoQtM]]))</f>
        <v>0</v>
      </c>
      <c r="BA862" s="318">
        <f>tabItens[[#This Row],[PontoPed]] - tabItens[[#This Row],[Saldo]] + (1/10)</f>
        <v>-344.9</v>
      </c>
      <c r="BB862" s="318">
        <f xml:space="preserve"> tabItens[[#This Row],[PontoMês]] * BB$2 - tabItens[[#This Row],[QTDE ATUAL]] - (1/10)</f>
        <v>-245.1</v>
      </c>
      <c r="BC862" s="320">
        <f>IF( tabItens[[#This Row],[PontoPed]]&gt;0, IF(tabItens[[#This Row],[PontoPed]]&lt;1, 1, IF( tabItens[[#This Row],[Saldo]]&gt;tabItens[[#This Row],[PontoPed]], 0, (tabItens[[#This Row],[PontoPed]]-tabItens[[#This Row],[Saldo]])/tabItens[[#This Row],[PontoPed]] ) ), 0 )</f>
        <v>0</v>
      </c>
      <c r="BD862" s="321">
        <f>ROUNDDOWN(IF( OR( AND(tabItens[[#This Row],[PontoPed]]&lt;tabItens[[#This Row],[Saldo]],tabItens[[#This Row],[Saldo]]&gt;0), tabItens[[#This Row],[PontoPed]]=0), 99, IF(AND(tabItens[[#This Row],[Saldo]]=0,tabItens[[#This Row],[PontoPed]]&gt;0), 0, (1-tabItens[[#This Row],[PctAb]])*10 ) ),0)</f>
        <v>99</v>
      </c>
      <c r="BE862" s="322">
        <f>MAX(ROUNDDOWN( IF(tabItens[[#This Row],[Abaixo]] &gt; 0,   tabItens[[#This Row],[Abaixo]] + (tabItens[[#This Row],[PontoMês]] * IF( OR( ISBLANK(tabItens[[#This Row],[ATA Nº/ANO]]), tabItens[[#This Row],[ATA Nº/ANO]] = ""),BE$2,BE$1)),0),0),0)</f>
        <v>0</v>
      </c>
      <c r="BF86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323">
        <f>SUMIF(Consumo!$C$3:$C$869,tabItens[[#This Row],[CÓDIGO]],Consumo!$E$3:$E$869)</f>
        <v>0</v>
      </c>
      <c r="BH862" s="324">
        <f>IF(AND(tabItens[[#This Row],[Pend]] &gt; 0,tabItens[[#This Row],[Consumo]] &lt;&gt; 0), tabItens[[#This Row],[Pend]] / tabItens[[#This Row],[Consumo]], 0 )</f>
        <v>0</v>
      </c>
      <c r="BI862" s="323"/>
      <c r="BJ862" s="323"/>
      <c r="BK862" s="325" t="s">
        <v>2064</v>
      </c>
    </row>
    <row r="863" spans="1:63" hidden="1" x14ac:dyDescent="0.3">
      <c r="A863" s="286">
        <v>102728</v>
      </c>
      <c r="B863" s="287" t="s">
        <v>1580</v>
      </c>
      <c r="C863" s="288" t="s">
        <v>256</v>
      </c>
      <c r="D863" s="289">
        <v>2.97</v>
      </c>
      <c r="E863" s="290"/>
      <c r="F863" s="290"/>
      <c r="G863" s="290" t="s">
        <v>883</v>
      </c>
      <c r="H863" s="291">
        <v>224</v>
      </c>
      <c r="I863" s="292">
        <v>103003</v>
      </c>
      <c r="J863" s="293">
        <v>2.97</v>
      </c>
      <c r="K863" s="294">
        <v>360</v>
      </c>
      <c r="L863" s="295">
        <f>IF(tabItens[[#This Row],[Média]] &gt; 0, tabItens[[#This Row],[QTDE ATUAL]] / tabItens[[#This Row],[Média]],999.9)</f>
        <v>7.8367346938775517</v>
      </c>
      <c r="M863" s="296">
        <v>0</v>
      </c>
      <c r="N863" s="297">
        <f>tabItens[[#This Row],[VALOR UNIT.]] * tabItens[[#This Row],[LC]]</f>
        <v>0</v>
      </c>
      <c r="O863" s="298"/>
      <c r="P863" s="299"/>
      <c r="Q863" s="300"/>
      <c r="R863" s="297"/>
      <c r="S863" s="301"/>
      <c r="T863" s="302">
        <f>ROUNDDOWN(IFERROR(tabItens[[#This Row],[ATA DT.VALID.]] - $D$1,0) / 30,0)</f>
        <v>-1504</v>
      </c>
      <c r="U863" s="287" t="s">
        <v>1342</v>
      </c>
      <c r="V863" s="303">
        <v>1</v>
      </c>
      <c r="W863" s="304" t="s">
        <v>2049</v>
      </c>
      <c r="X863" s="305">
        <v>69</v>
      </c>
      <c r="Y863" s="306">
        <v>8</v>
      </c>
      <c r="Z863" s="307">
        <v>2496</v>
      </c>
      <c r="AA863" s="308">
        <v>2023</v>
      </c>
      <c r="AB863" s="309">
        <v>50</v>
      </c>
      <c r="AC863" s="309"/>
      <c r="AD863" s="308"/>
      <c r="AE863" s="309"/>
      <c r="AF863" s="302"/>
      <c r="AG863" s="310" t="s">
        <v>2050</v>
      </c>
      <c r="AH863" s="311"/>
      <c r="AI863" s="302">
        <v>124</v>
      </c>
      <c r="AJ863" s="311">
        <v>44943</v>
      </c>
      <c r="AK863" s="311">
        <v>39371</v>
      </c>
      <c r="AL863" s="311">
        <v>44917</v>
      </c>
      <c r="AM863" s="301"/>
      <c r="AN863" s="290"/>
      <c r="AO863" s="312" t="str">
        <f>_xlfn.IFNA(IF(VLOOKUP(tabItens[[#This Row],[CÓDIGO]],tabExcluirDoEstoque[#Data],1,FALSE),"sim",""),"")</f>
        <v/>
      </c>
      <c r="AP863" s="313" t="str">
        <f ca="1">IF(OR(ISBLANK(tabItens[[#This Row],[ATA DT.VALID.]]),tabItens[[#This Row],[ATA DT.VALID.]]="",tabItens[[#This Row],[ATA DT.VALID.]]=" "),"",IF(TYPE(tabItens[[#This Row],[ATA DT.VALID.]])=1,ROUNDUP((tabItens[[#This Row],[ATA DT.VALID.]]-TODAY())/7,0),""))</f>
        <v/>
      </c>
      <c r="AQ863" s="314"/>
      <c r="AR863" s="315" t="str">
        <f>IF(ISBLANK(tabItens[[#This Row],[CÓDIGO]]),"",IFERROR(VLOOKUP(tabItens[[#This Row],[CÓDIGO]],Consumo!$C$2:$AC$869,26,FALSE),0))</f>
        <v>07.2023</v>
      </c>
      <c r="AS863" s="316">
        <f>SUMIF(Consumo!$C$3:$C$869,tabItens[[#This Row],[CÓDIGO]],Consumo!$N$3:$N$869) + SUMIF(Consumo!$C$3:$C$869,tabItens[[#This Row],[CÓDIGO]],Consumo!$O$3:$O$869) + SUMIF(Consumo!$C$3:$C$869,tabItens[[#This Row],[CÓDIGO]],Consumo!$P$3:$P$869) + SUMIF(Consumo!$C$3:$C$869,tabItens[[#This Row],[CÓDIGO]],Consumo!$Q$3:$Q$869)</f>
        <v>120</v>
      </c>
      <c r="AT863" s="316">
        <f>SUMIF(Consumo!$C$3:$C$869,tabItens[[#This Row],[CÓDIGO]],Consumo!$Z$3:$Z$869)</f>
        <v>368</v>
      </c>
      <c r="AU863" s="317">
        <f>SUMIF(Consumo!$C$3:$C$869,tabItens[[#This Row],[CÓDIGO]],Consumo!$AA$3:$AA$869)</f>
        <v>150</v>
      </c>
      <c r="AV863" s="318">
        <f>SUMIF(Consumo!$C$3:$C$869,tabItens[[#This Row],[CÓDIGO]],Consumo!$Y$3:$Y$869)</f>
        <v>28.583333333333332</v>
      </c>
      <c r="AW863" s="291">
        <f>tabItens[[#This Row],[QTDE ATUAL]] + tabItens[[#This Row],[RC QTDE]] + tabItens[[#This Row],[AF SALDO]] + tabItens[[#This Row],[Recentes]]</f>
        <v>274</v>
      </c>
      <c r="AX863" s="319">
        <v>7</v>
      </c>
      <c r="AY863" s="319">
        <v>4</v>
      </c>
      <c r="AZ863" s="319">
        <f>IF(ISBLANK(tabItens[[#This Row],[CÓDIGO]]),"",tabItens[[#This Row],[PontoMês]] * (AZ$2+tabItens[[#This Row],[PontoQtM]]))</f>
        <v>28</v>
      </c>
      <c r="BA863" s="318">
        <f>tabItens[[#This Row],[PontoPed]] - tabItens[[#This Row],[Saldo]] + (1/10)</f>
        <v>-245.9</v>
      </c>
      <c r="BB863" s="318">
        <f xml:space="preserve"> tabItens[[#This Row],[PontoMês]] * BB$2 - tabItens[[#This Row],[QTDE ATUAL]] - (1/10)</f>
        <v>-217.1</v>
      </c>
      <c r="BC863" s="320">
        <f>IF( tabItens[[#This Row],[PontoPed]]&gt;0, IF(tabItens[[#This Row],[PontoPed]]&lt;1, 1, IF( tabItens[[#This Row],[Saldo]]&gt;tabItens[[#This Row],[PontoPed]], 0, (tabItens[[#This Row],[PontoPed]]-tabItens[[#This Row],[Saldo]])/tabItens[[#This Row],[PontoPed]] ) ), 0 )</f>
        <v>0</v>
      </c>
      <c r="BD863" s="321">
        <f>ROUNDDOWN(IF( OR( AND(tabItens[[#This Row],[PontoPed]]&lt;tabItens[[#This Row],[Saldo]],tabItens[[#This Row],[Saldo]]&gt;0), tabItens[[#This Row],[PontoPed]]=0), 99, IF(AND(tabItens[[#This Row],[Saldo]]=0,tabItens[[#This Row],[PontoPed]]&gt;0), 0, (1-tabItens[[#This Row],[PctAb]])*10 ) ),0)</f>
        <v>99</v>
      </c>
      <c r="BE863" s="322">
        <f>MAX(ROUNDDOWN( IF(tabItens[[#This Row],[Abaixo]] &gt; 0,   tabItens[[#This Row],[Abaixo]] + (tabItens[[#This Row],[PontoMês]] * IF( OR( ISBLANK(tabItens[[#This Row],[ATA Nº/ANO]]), tabItens[[#This Row],[ATA Nº/ANO]] = ""),BE$2,BE$1)),0),0),0)</f>
        <v>0</v>
      </c>
      <c r="BF86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23">
        <f>SUMIF(Consumo!$C$3:$C$869,tabItens[[#This Row],[CÓDIGO]],Consumo!$E$3:$E$869)</f>
        <v>0</v>
      </c>
      <c r="BH863" s="324">
        <f>IF(AND(tabItens[[#This Row],[Pend]] &gt; 0,tabItens[[#This Row],[Consumo]] &lt;&gt; 0), tabItens[[#This Row],[Pend]] / tabItens[[#This Row],[Consumo]], 0 )</f>
        <v>0</v>
      </c>
      <c r="BI863" s="323"/>
      <c r="BJ863" s="323"/>
      <c r="BK863" s="325" t="s">
        <v>2064</v>
      </c>
    </row>
    <row r="864" spans="1:63" hidden="1" x14ac:dyDescent="0.3">
      <c r="A864" s="286">
        <v>134558</v>
      </c>
      <c r="B864" s="287" t="s">
        <v>1878</v>
      </c>
      <c r="C864" s="288" t="s">
        <v>256</v>
      </c>
      <c r="D864" s="289">
        <v>0.25</v>
      </c>
      <c r="E864" s="290"/>
      <c r="F864" s="290"/>
      <c r="G864" s="290" t="s">
        <v>883</v>
      </c>
      <c r="H864" s="291">
        <v>17660</v>
      </c>
      <c r="I864" s="292">
        <v>103003</v>
      </c>
      <c r="J864" s="293">
        <v>0.25</v>
      </c>
      <c r="K864" s="294">
        <v>200</v>
      </c>
      <c r="L864" s="295">
        <f>IF(tabItens[[#This Row],[Média]] &gt; 0, tabItens[[#This Row],[QTDE ATUAL]] / tabItens[[#This Row],[Média]],999.9)</f>
        <v>1605.4545454545455</v>
      </c>
      <c r="M864" s="296">
        <v>0</v>
      </c>
      <c r="N864" s="297">
        <f>tabItens[[#This Row],[VALOR UNIT.]] * tabItens[[#This Row],[LC]]</f>
        <v>0</v>
      </c>
      <c r="O864" s="298"/>
      <c r="P864" s="299"/>
      <c r="Q864" s="300"/>
      <c r="R864" s="297"/>
      <c r="S864" s="301"/>
      <c r="T864" s="302">
        <f>ROUNDDOWN(IFERROR(tabItens[[#This Row],[ATA DT.VALID.]] - $D$1,0) / 30,0)</f>
        <v>-1504</v>
      </c>
      <c r="U864" s="287" t="s">
        <v>1879</v>
      </c>
      <c r="V864" s="303">
        <v>1</v>
      </c>
      <c r="W864" s="304" t="s">
        <v>2056</v>
      </c>
      <c r="X864" s="305">
        <v>70</v>
      </c>
      <c r="Y864" s="306">
        <v>16</v>
      </c>
      <c r="Z864" s="307"/>
      <c r="AA864" s="308"/>
      <c r="AB864" s="309"/>
      <c r="AC864" s="309"/>
      <c r="AD864" s="308"/>
      <c r="AE864" s="309"/>
      <c r="AF864" s="302"/>
      <c r="AG864" s="310" t="s">
        <v>2050</v>
      </c>
      <c r="AH864" s="311"/>
      <c r="AI864" s="302">
        <v>66</v>
      </c>
      <c r="AJ864" s="311">
        <v>43689</v>
      </c>
      <c r="AK864" s="311">
        <v>43174</v>
      </c>
      <c r="AL864" s="311">
        <v>43683</v>
      </c>
      <c r="AM864" s="301"/>
      <c r="AN864" s="290"/>
      <c r="AO864" s="312" t="str">
        <f>_xlfn.IFNA(IF(VLOOKUP(tabItens[[#This Row],[CÓDIGO]],tabExcluirDoEstoque[#Data],1,FALSE),"sim",""),"")</f>
        <v/>
      </c>
      <c r="AP864" s="313" t="str">
        <f ca="1">IF(OR(ISBLANK(tabItens[[#This Row],[ATA DT.VALID.]]),tabItens[[#This Row],[ATA DT.VALID.]]="",tabItens[[#This Row],[ATA DT.VALID.]]=" "),"",IF(TYPE(tabItens[[#This Row],[ATA DT.VALID.]])=1,ROUNDUP((tabItens[[#This Row],[ATA DT.VALID.]]-TODAY())/7,0),""))</f>
        <v/>
      </c>
      <c r="AQ864" s="314"/>
      <c r="AR864" s="315" t="str">
        <f>IF(ISBLANK(tabItens[[#This Row],[CÓDIGO]]),"",IFERROR(VLOOKUP(tabItens[[#This Row],[CÓDIGO]],Consumo!$C$2:$AC$869,26,FALSE),0))</f>
        <v>03.2023</v>
      </c>
      <c r="AS864" s="316">
        <f>SUMIF(Consumo!$C$3:$C$869,tabItens[[#This Row],[CÓDIGO]],Consumo!$N$3:$N$869) + SUMIF(Consumo!$C$3:$C$869,tabItens[[#This Row],[CÓDIGO]],Consumo!$O$3:$O$869) + SUMIF(Consumo!$C$3:$C$869,tabItens[[#This Row],[CÓDIGO]],Consumo!$P$3:$P$869) + SUMIF(Consumo!$C$3:$C$869,tabItens[[#This Row],[CÓDIGO]],Consumo!$Q$3:$Q$869)</f>
        <v>0</v>
      </c>
      <c r="AT864" s="316">
        <f>SUMIF(Consumo!$C$3:$C$869,tabItens[[#This Row],[CÓDIGO]],Consumo!$Z$3:$Z$869)</f>
        <v>200</v>
      </c>
      <c r="AU864" s="317">
        <f>SUMIF(Consumo!$C$3:$C$869,tabItens[[#This Row],[CÓDIGO]],Consumo!$AA$3:$AA$869)</f>
        <v>200</v>
      </c>
      <c r="AV864" s="318">
        <f>SUMIF(Consumo!$C$3:$C$869,tabItens[[#This Row],[CÓDIGO]],Consumo!$Y$3:$Y$869)</f>
        <v>11</v>
      </c>
      <c r="AW864" s="291">
        <f>tabItens[[#This Row],[QTDE ATUAL]] + tabItens[[#This Row],[RC QTDE]] + tabItens[[#This Row],[AF SALDO]] + tabItens[[#This Row],[Recentes]]</f>
        <v>17660</v>
      </c>
      <c r="AX864" s="319">
        <v>45</v>
      </c>
      <c r="AY864" s="319">
        <v>4</v>
      </c>
      <c r="AZ864" s="319">
        <f>IF(ISBLANK(tabItens[[#This Row],[CÓDIGO]]),"",tabItens[[#This Row],[PontoMês]] * (AZ$2+tabItens[[#This Row],[PontoQtM]]))</f>
        <v>180</v>
      </c>
      <c r="BA864" s="318">
        <f>tabItens[[#This Row],[PontoPed]] - tabItens[[#This Row],[Saldo]] + (1/10)</f>
        <v>-17479.900000000001</v>
      </c>
      <c r="BB864" s="318">
        <f xml:space="preserve"> tabItens[[#This Row],[PontoMês]] * BB$2 - tabItens[[#This Row],[QTDE ATUAL]] - (1/10)</f>
        <v>-17615.099999999999</v>
      </c>
      <c r="BC864" s="320">
        <f>IF( tabItens[[#This Row],[PontoPed]]&gt;0, IF(tabItens[[#This Row],[PontoPed]]&lt;1, 1, IF( tabItens[[#This Row],[Saldo]]&gt;tabItens[[#This Row],[PontoPed]], 0, (tabItens[[#This Row],[PontoPed]]-tabItens[[#This Row],[Saldo]])/tabItens[[#This Row],[PontoPed]] ) ), 0 )</f>
        <v>0</v>
      </c>
      <c r="BD864" s="321">
        <f>ROUNDDOWN(IF( OR( AND(tabItens[[#This Row],[PontoPed]]&lt;tabItens[[#This Row],[Saldo]],tabItens[[#This Row],[Saldo]]&gt;0), tabItens[[#This Row],[PontoPed]]=0), 99, IF(AND(tabItens[[#This Row],[Saldo]]=0,tabItens[[#This Row],[PontoPed]]&gt;0), 0, (1-tabItens[[#This Row],[PctAb]])*10 ) ),0)</f>
        <v>99</v>
      </c>
      <c r="BE864" s="322">
        <f>MAX(ROUNDDOWN( IF(tabItens[[#This Row],[Abaixo]] &gt; 0,   tabItens[[#This Row],[Abaixo]] + (tabItens[[#This Row],[PontoMês]] * IF( OR( ISBLANK(tabItens[[#This Row],[ATA Nº/ANO]]), tabItens[[#This Row],[ATA Nº/ANO]] = ""),BE$2,BE$1)),0),0),0)</f>
        <v>0</v>
      </c>
      <c r="BF86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23">
        <f>SUMIF(Consumo!$C$3:$C$869,tabItens[[#This Row],[CÓDIGO]],Consumo!$E$3:$E$869)</f>
        <v>0</v>
      </c>
      <c r="BH864" s="324">
        <f>IF(AND(tabItens[[#This Row],[Pend]] &gt; 0,tabItens[[#This Row],[Consumo]] &lt;&gt; 0), tabItens[[#This Row],[Pend]] / tabItens[[#This Row],[Consumo]], 0 )</f>
        <v>0</v>
      </c>
      <c r="BI864" s="323"/>
      <c r="BJ864" s="323"/>
      <c r="BK864" s="325" t="s">
        <v>2064</v>
      </c>
    </row>
    <row r="865" spans="1:63" hidden="1" x14ac:dyDescent="0.3">
      <c r="A865" s="286">
        <v>134559</v>
      </c>
      <c r="B865" s="287" t="s">
        <v>1880</v>
      </c>
      <c r="C865" s="288" t="s">
        <v>256</v>
      </c>
      <c r="D865" s="289">
        <v>0.6</v>
      </c>
      <c r="E865" s="290"/>
      <c r="F865" s="290"/>
      <c r="G865" s="290" t="s">
        <v>883</v>
      </c>
      <c r="H865" s="291">
        <v>15800</v>
      </c>
      <c r="I865" s="292">
        <v>103003</v>
      </c>
      <c r="J865" s="293">
        <v>0.20522000000000001</v>
      </c>
      <c r="K865" s="294">
        <v>1900</v>
      </c>
      <c r="L865" s="295">
        <f>IF(tabItens[[#This Row],[Média]] &gt; 0, tabItens[[#This Row],[QTDE ATUAL]] / tabItens[[#This Row],[Média]],999.9)</f>
        <v>114.35464414957781</v>
      </c>
      <c r="M865" s="296">
        <v>0</v>
      </c>
      <c r="N865" s="297">
        <f>tabItens[[#This Row],[VALOR UNIT.]] * tabItens[[#This Row],[LC]]</f>
        <v>0</v>
      </c>
      <c r="O865" s="298"/>
      <c r="P865" s="299"/>
      <c r="Q865" s="300"/>
      <c r="R865" s="297"/>
      <c r="S865" s="301"/>
      <c r="T865" s="302">
        <f>ROUNDDOWN(IFERROR(tabItens[[#This Row],[ATA DT.VALID.]] - $D$1,0) / 30,0)</f>
        <v>-1504</v>
      </c>
      <c r="U865" s="287" t="s">
        <v>1879</v>
      </c>
      <c r="V865" s="303">
        <v>1</v>
      </c>
      <c r="W865" s="304" t="s">
        <v>2056</v>
      </c>
      <c r="X865" s="305">
        <v>70</v>
      </c>
      <c r="Y865" s="306">
        <v>16</v>
      </c>
      <c r="Z865" s="307"/>
      <c r="AA865" s="308"/>
      <c r="AB865" s="309"/>
      <c r="AC865" s="309"/>
      <c r="AD865" s="308"/>
      <c r="AE865" s="309"/>
      <c r="AF865" s="302"/>
      <c r="AG865" s="310" t="s">
        <v>2050</v>
      </c>
      <c r="AH865" s="311"/>
      <c r="AI865" s="302">
        <v>634</v>
      </c>
      <c r="AJ865" s="311">
        <v>43641</v>
      </c>
      <c r="AK865" s="311">
        <v>43174</v>
      </c>
      <c r="AL865" s="311">
        <v>43619</v>
      </c>
      <c r="AM865" s="301"/>
      <c r="AN865" s="290"/>
      <c r="AO865" s="312" t="str">
        <f>_xlfn.IFNA(IF(VLOOKUP(tabItens[[#This Row],[CÓDIGO]],tabExcluirDoEstoque[#Data],1,FALSE),"sim",""),"")</f>
        <v/>
      </c>
      <c r="AP865" s="313" t="str">
        <f ca="1">IF(OR(ISBLANK(tabItens[[#This Row],[ATA DT.VALID.]]),tabItens[[#This Row],[ATA DT.VALID.]]="",tabItens[[#This Row],[ATA DT.VALID.]]=" "),"",IF(TYPE(tabItens[[#This Row],[ATA DT.VALID.]])=1,ROUNDUP((tabItens[[#This Row],[ATA DT.VALID.]]-TODAY())/7,0),""))</f>
        <v/>
      </c>
      <c r="AQ865" s="314"/>
      <c r="AR865" s="315" t="str">
        <f>IF(ISBLANK(tabItens[[#This Row],[CÓDIGO]]),"",IFERROR(VLOOKUP(tabItens[[#This Row],[CÓDIGO]],Consumo!$C$2:$AC$869,26,FALSE),0))</f>
        <v>06.2023</v>
      </c>
      <c r="AS865" s="316">
        <f>SUMIF(Consumo!$C$3:$C$869,tabItens[[#This Row],[CÓDIGO]],Consumo!$N$3:$N$869) + SUMIF(Consumo!$C$3:$C$869,tabItens[[#This Row],[CÓDIGO]],Consumo!$O$3:$O$869) + SUMIF(Consumo!$C$3:$C$869,tabItens[[#This Row],[CÓDIGO]],Consumo!$P$3:$P$869) + SUMIF(Consumo!$C$3:$C$869,tabItens[[#This Row],[CÓDIGO]],Consumo!$Q$3:$Q$869)</f>
        <v>1000</v>
      </c>
      <c r="AT865" s="316">
        <f>SUMIF(Consumo!$C$3:$C$869,tabItens[[#This Row],[CÓDIGO]],Consumo!$Z$3:$Z$869)</f>
        <v>1900</v>
      </c>
      <c r="AU865" s="317">
        <f>SUMIF(Consumo!$C$3:$C$869,tabItens[[#This Row],[CÓDIGO]],Consumo!$AA$3:$AA$869)</f>
        <v>1000</v>
      </c>
      <c r="AV865" s="318">
        <f>SUMIF(Consumo!$C$3:$C$869,tabItens[[#This Row],[CÓDIGO]],Consumo!$Y$3:$Y$869)</f>
        <v>138.16666666666666</v>
      </c>
      <c r="AW865" s="291">
        <f>tabItens[[#This Row],[QTDE ATUAL]] + tabItens[[#This Row],[RC QTDE]] + tabItens[[#This Row],[AF SALDO]] + tabItens[[#This Row],[Recentes]]</f>
        <v>15800</v>
      </c>
      <c r="AX865" s="319">
        <v>67</v>
      </c>
      <c r="AY865" s="319">
        <v>4</v>
      </c>
      <c r="AZ865" s="319">
        <f>IF(ISBLANK(tabItens[[#This Row],[CÓDIGO]]),"",tabItens[[#This Row],[PontoMês]] * (AZ$2+tabItens[[#This Row],[PontoQtM]]))</f>
        <v>268</v>
      </c>
      <c r="BA865" s="318">
        <f>tabItens[[#This Row],[PontoPed]] - tabItens[[#This Row],[Saldo]] + (1/10)</f>
        <v>-15531.9</v>
      </c>
      <c r="BB865" s="318">
        <f xml:space="preserve"> tabItens[[#This Row],[PontoMês]] * BB$2 - tabItens[[#This Row],[QTDE ATUAL]] - (1/10)</f>
        <v>-15733.1</v>
      </c>
      <c r="BC865" s="320">
        <f>IF( tabItens[[#This Row],[PontoPed]]&gt;0, IF(tabItens[[#This Row],[PontoPed]]&lt;1, 1, IF( tabItens[[#This Row],[Saldo]]&gt;tabItens[[#This Row],[PontoPed]], 0, (tabItens[[#This Row],[PontoPed]]-tabItens[[#This Row],[Saldo]])/tabItens[[#This Row],[PontoPed]] ) ), 0 )</f>
        <v>0</v>
      </c>
      <c r="BD865" s="321">
        <f>ROUNDDOWN(IF( OR( AND(tabItens[[#This Row],[PontoPed]]&lt;tabItens[[#This Row],[Saldo]],tabItens[[#This Row],[Saldo]]&gt;0), tabItens[[#This Row],[PontoPed]]=0), 99, IF(AND(tabItens[[#This Row],[Saldo]]=0,tabItens[[#This Row],[PontoPed]]&gt;0), 0, (1-tabItens[[#This Row],[PctAb]])*10 ) ),0)</f>
        <v>99</v>
      </c>
      <c r="BE865" s="322">
        <f>MAX(ROUNDDOWN( IF(tabItens[[#This Row],[Abaixo]] &gt; 0,   tabItens[[#This Row],[Abaixo]] + (tabItens[[#This Row],[PontoMês]] * IF( OR( ISBLANK(tabItens[[#This Row],[ATA Nº/ANO]]), tabItens[[#This Row],[ATA Nº/ANO]] = ""),BE$2,BE$1)),0),0),0)</f>
        <v>0</v>
      </c>
      <c r="BF86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23">
        <f>SUMIF(Consumo!$C$3:$C$869,tabItens[[#This Row],[CÓDIGO]],Consumo!$E$3:$E$869)</f>
        <v>0</v>
      </c>
      <c r="BH865" s="324">
        <f>IF(AND(tabItens[[#This Row],[Pend]] &gt; 0,tabItens[[#This Row],[Consumo]] &lt;&gt; 0), tabItens[[#This Row],[Pend]] / tabItens[[#This Row],[Consumo]], 0 )</f>
        <v>0</v>
      </c>
      <c r="BI865" s="323"/>
      <c r="BJ865" s="323"/>
      <c r="BK865" s="325" t="s">
        <v>2064</v>
      </c>
    </row>
    <row r="866" spans="1:63" hidden="1" x14ac:dyDescent="0.3">
      <c r="A866" s="286">
        <v>17946</v>
      </c>
      <c r="B866" s="287" t="s">
        <v>1142</v>
      </c>
      <c r="C866" s="288" t="s">
        <v>256</v>
      </c>
      <c r="D866" s="289">
        <v>5.29</v>
      </c>
      <c r="E866" s="290"/>
      <c r="F866" s="290"/>
      <c r="G866" s="290" t="s">
        <v>883</v>
      </c>
      <c r="H866" s="291">
        <v>2316</v>
      </c>
      <c r="I866" s="292">
        <v>103003</v>
      </c>
      <c r="J866" s="293">
        <v>5.29</v>
      </c>
      <c r="K866" s="294">
        <v>20</v>
      </c>
      <c r="L866" s="295">
        <f>IF(tabItens[[#This Row],[Média]] &gt; 0, tabItens[[#This Row],[QTDE ATUAL]] / tabItens[[#This Row],[Média]],999.9)</f>
        <v>2137.8461538461538</v>
      </c>
      <c r="M866" s="296">
        <v>0</v>
      </c>
      <c r="N866" s="297">
        <f>tabItens[[#This Row],[VALOR UNIT.]] * tabItens[[#This Row],[LC]]</f>
        <v>0</v>
      </c>
      <c r="O866" s="298"/>
      <c r="P866" s="299"/>
      <c r="Q866" s="300"/>
      <c r="R866" s="297"/>
      <c r="S866" s="301"/>
      <c r="T866" s="302">
        <f>ROUNDDOWN(IFERROR(tabItens[[#This Row],[ATA DT.VALID.]] - $D$1,0) / 30,0)</f>
        <v>-1504</v>
      </c>
      <c r="U866" s="287" t="s">
        <v>884</v>
      </c>
      <c r="V866" s="303">
        <v>1</v>
      </c>
      <c r="W866" s="304" t="s">
        <v>2049</v>
      </c>
      <c r="X866" s="305">
        <v>70</v>
      </c>
      <c r="Y866" s="306">
        <v>17</v>
      </c>
      <c r="Z866" s="307"/>
      <c r="AA866" s="308"/>
      <c r="AB866" s="309"/>
      <c r="AC866" s="309"/>
      <c r="AD866" s="308"/>
      <c r="AE866" s="309"/>
      <c r="AF866" s="302"/>
      <c r="AG866" s="310" t="s">
        <v>2050</v>
      </c>
      <c r="AH866" s="311"/>
      <c r="AI866" s="302">
        <v>6</v>
      </c>
      <c r="AJ866" s="311">
        <v>43105</v>
      </c>
      <c r="AK866" s="311" t="s">
        <v>883</v>
      </c>
      <c r="AL866" s="311">
        <v>43045</v>
      </c>
      <c r="AM866" s="301"/>
      <c r="AN866" s="290"/>
      <c r="AO866" s="312" t="str">
        <f>_xlfn.IFNA(IF(VLOOKUP(tabItens[[#This Row],[CÓDIGO]],tabExcluirDoEstoque[#Data],1,FALSE),"sim",""),"")</f>
        <v/>
      </c>
      <c r="AP866" s="313" t="str">
        <f ca="1">IF(OR(ISBLANK(tabItens[[#This Row],[ATA DT.VALID.]]),tabItens[[#This Row],[ATA DT.VALID.]]="",tabItens[[#This Row],[ATA DT.VALID.]]=" "),"",IF(TYPE(tabItens[[#This Row],[ATA DT.VALID.]])=1,ROUNDUP((tabItens[[#This Row],[ATA DT.VALID.]]-TODAY())/7,0),""))</f>
        <v/>
      </c>
      <c r="AQ866" s="314"/>
      <c r="AR866" s="315" t="str">
        <f>IF(ISBLANK(tabItens[[#This Row],[CÓDIGO]]),"",IFERROR(VLOOKUP(tabItens[[#This Row],[CÓDIGO]],Consumo!$C$2:$AC$869,26,FALSE),0))</f>
        <v>05.2023</v>
      </c>
      <c r="AS866" s="316">
        <f>SUMIF(Consumo!$C$3:$C$869,tabItens[[#This Row],[CÓDIGO]],Consumo!$N$3:$N$869) + SUMIF(Consumo!$C$3:$C$869,tabItens[[#This Row],[CÓDIGO]],Consumo!$O$3:$O$869) + SUMIF(Consumo!$C$3:$C$869,tabItens[[#This Row],[CÓDIGO]],Consumo!$P$3:$P$869) + SUMIF(Consumo!$C$3:$C$869,tabItens[[#This Row],[CÓDIGO]],Consumo!$Q$3:$Q$869)</f>
        <v>20</v>
      </c>
      <c r="AT866" s="316">
        <f>SUMIF(Consumo!$C$3:$C$869,tabItens[[#This Row],[CÓDIGO]],Consumo!$Z$3:$Z$869)</f>
        <v>20</v>
      </c>
      <c r="AU866" s="317">
        <f>SUMIF(Consumo!$C$3:$C$869,tabItens[[#This Row],[CÓDIGO]],Consumo!$AA$3:$AA$869)</f>
        <v>20</v>
      </c>
      <c r="AV866" s="318">
        <f>SUMIF(Consumo!$C$3:$C$869,tabItens[[#This Row],[CÓDIGO]],Consumo!$Y$3:$Y$869)</f>
        <v>1.0833333333333333</v>
      </c>
      <c r="AW866" s="291">
        <f>tabItens[[#This Row],[QTDE ATUAL]] + tabItens[[#This Row],[RC QTDE]] + tabItens[[#This Row],[AF SALDO]] + tabItens[[#This Row],[Recentes]]</f>
        <v>2316</v>
      </c>
      <c r="AX866" s="319">
        <v>1</v>
      </c>
      <c r="AY866" s="319">
        <v>4</v>
      </c>
      <c r="AZ866" s="319">
        <f>IF(ISBLANK(tabItens[[#This Row],[CÓDIGO]]),"",tabItens[[#This Row],[PontoMês]] * (AZ$2+tabItens[[#This Row],[PontoQtM]]))</f>
        <v>4</v>
      </c>
      <c r="BA866" s="318">
        <f>tabItens[[#This Row],[PontoPed]] - tabItens[[#This Row],[Saldo]] + (1/10)</f>
        <v>-2311.9</v>
      </c>
      <c r="BB866" s="318">
        <f xml:space="preserve"> tabItens[[#This Row],[PontoMês]] * BB$2 - tabItens[[#This Row],[QTDE ATUAL]] - (1/10)</f>
        <v>-2315.1</v>
      </c>
      <c r="BC866" s="320">
        <f>IF( tabItens[[#This Row],[PontoPed]]&gt;0, IF(tabItens[[#This Row],[PontoPed]]&lt;1, 1, IF( tabItens[[#This Row],[Saldo]]&gt;tabItens[[#This Row],[PontoPed]], 0, (tabItens[[#This Row],[PontoPed]]-tabItens[[#This Row],[Saldo]])/tabItens[[#This Row],[PontoPed]] ) ), 0 )</f>
        <v>0</v>
      </c>
      <c r="BD866" s="321">
        <f>ROUNDDOWN(IF( OR( AND(tabItens[[#This Row],[PontoPed]]&lt;tabItens[[#This Row],[Saldo]],tabItens[[#This Row],[Saldo]]&gt;0), tabItens[[#This Row],[PontoPed]]=0), 99, IF(AND(tabItens[[#This Row],[Saldo]]=0,tabItens[[#This Row],[PontoPed]]&gt;0), 0, (1-tabItens[[#This Row],[PctAb]])*10 ) ),0)</f>
        <v>99</v>
      </c>
      <c r="BE866" s="322">
        <f>MAX(ROUNDDOWN( IF(tabItens[[#This Row],[Abaixo]] &gt; 0,   tabItens[[#This Row],[Abaixo]] + (tabItens[[#This Row],[PontoMês]] * IF( OR( ISBLANK(tabItens[[#This Row],[ATA Nº/ANO]]), tabItens[[#This Row],[ATA Nº/ANO]] = ""),BE$2,BE$1)),0),0),0)</f>
        <v>0</v>
      </c>
      <c r="BF86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323">
        <f>SUMIF(Consumo!$C$3:$C$869,tabItens[[#This Row],[CÓDIGO]],Consumo!$E$3:$E$869)</f>
        <v>0</v>
      </c>
      <c r="BH866" s="324">
        <f>IF(AND(tabItens[[#This Row],[Pend]] &gt; 0,tabItens[[#This Row],[Consumo]] &lt;&gt; 0), tabItens[[#This Row],[Pend]] / tabItens[[#This Row],[Consumo]], 0 )</f>
        <v>0</v>
      </c>
      <c r="BI866" s="323"/>
      <c r="BJ866" s="323"/>
      <c r="BK866" s="325" t="s">
        <v>2064</v>
      </c>
    </row>
    <row r="867" spans="1:63" x14ac:dyDescent="0.3">
      <c r="A867" s="396">
        <v>134570</v>
      </c>
      <c r="B867" s="397" t="s">
        <v>1891</v>
      </c>
      <c r="C867" s="398" t="s">
        <v>256</v>
      </c>
      <c r="D867" s="399">
        <v>3.04</v>
      </c>
      <c r="E867" s="290"/>
      <c r="F867" s="400"/>
      <c r="G867" s="400" t="s">
        <v>883</v>
      </c>
      <c r="H867" s="401">
        <v>0</v>
      </c>
      <c r="I867" s="292">
        <v>103003</v>
      </c>
      <c r="J867" s="293">
        <v>3.04</v>
      </c>
      <c r="K867" s="402">
        <v>171</v>
      </c>
      <c r="L867" s="403">
        <f>IF(tabItens[[#This Row],[Média]] &gt; 0, tabItens[[#This Row],[QTDE ATUAL]] / tabItens[[#This Row],[Média]],999.9)</f>
        <v>0</v>
      </c>
      <c r="M867" s="404">
        <v>0</v>
      </c>
      <c r="N867" s="405">
        <f>tabItens[[#This Row],[VALOR UNIT.]] * tabItens[[#This Row],[LC]]</f>
        <v>0</v>
      </c>
      <c r="O867" s="406"/>
      <c r="P867" s="407"/>
      <c r="Q867" s="408"/>
      <c r="R867" s="297"/>
      <c r="S867" s="409"/>
      <c r="T867" s="410">
        <f>ROUNDDOWN(IFERROR(tabItens[[#This Row],[ATA DT.VALID.]] - $D$1,0) / 30,0)</f>
        <v>-1504</v>
      </c>
      <c r="U867" s="287" t="s">
        <v>1892</v>
      </c>
      <c r="V867" s="303">
        <v>1</v>
      </c>
      <c r="W867" s="411" t="s">
        <v>2057</v>
      </c>
      <c r="X867" s="412">
        <v>70</v>
      </c>
      <c r="Y867" s="413">
        <v>25</v>
      </c>
      <c r="Z867" s="414">
        <v>2518</v>
      </c>
      <c r="AA867" s="415">
        <v>2023</v>
      </c>
      <c r="AB867" s="416">
        <v>300</v>
      </c>
      <c r="AC867" s="416"/>
      <c r="AD867" s="415"/>
      <c r="AE867" s="416"/>
      <c r="AF867" s="302"/>
      <c r="AG867" s="417" t="s">
        <v>2050</v>
      </c>
      <c r="AH867" s="418"/>
      <c r="AI867" s="302">
        <v>60</v>
      </c>
      <c r="AJ867" s="418">
        <v>44550</v>
      </c>
      <c r="AK867" s="311">
        <v>43174</v>
      </c>
      <c r="AL867" s="311">
        <v>44536</v>
      </c>
      <c r="AM867" s="301"/>
      <c r="AN867" s="290"/>
      <c r="AO867" s="312" t="str">
        <f>_xlfn.IFNA(IF(VLOOKUP(tabItens[[#This Row],[CÓDIGO]],tabExcluirDoEstoque[#Data],1,FALSE),"sim",""),"")</f>
        <v/>
      </c>
      <c r="AP867" s="419" t="str">
        <f ca="1">IF(OR(ISBLANK(tabItens[[#This Row],[ATA DT.VALID.]]),tabItens[[#This Row],[ATA DT.VALID.]]="",tabItens[[#This Row],[ATA DT.VALID.]]=" "),"",IF(TYPE(tabItens[[#This Row],[ATA DT.VALID.]])=1,ROUNDUP((tabItens[[#This Row],[ATA DT.VALID.]]-TODAY())/7,0),""))</f>
        <v/>
      </c>
      <c r="AQ867" s="314"/>
      <c r="AR867" s="315" t="str">
        <f>IF(ISBLANK(tabItens[[#This Row],[CÓDIGO]]),"",IFERROR(VLOOKUP(tabItens[[#This Row],[CÓDIGO]],Consumo!$C$2:$AC$869,26,FALSE),0))</f>
        <v>02.2023</v>
      </c>
      <c r="AS867" s="316">
        <f>SUMIF(Consumo!$C$3:$C$869,tabItens[[#This Row],[CÓDIGO]],Consumo!$N$3:$N$869) + SUMIF(Consumo!$C$3:$C$869,tabItens[[#This Row],[CÓDIGO]],Consumo!$O$3:$O$869) + SUMIF(Consumo!$C$3:$C$869,tabItens[[#This Row],[CÓDIGO]],Consumo!$P$3:$P$869) + SUMIF(Consumo!$C$3:$C$869,tabItens[[#This Row],[CÓDIGO]],Consumo!$Q$3:$Q$869)</f>
        <v>0</v>
      </c>
      <c r="AT867" s="316">
        <f>SUMIF(Consumo!$C$3:$C$869,tabItens[[#This Row],[CÓDIGO]],Consumo!$Z$3:$Z$869)</f>
        <v>211</v>
      </c>
      <c r="AU867" s="317">
        <f>SUMIF(Consumo!$C$3:$C$869,tabItens[[#This Row],[CÓDIGO]],Consumo!$AA$3:$AA$869)</f>
        <v>41</v>
      </c>
      <c r="AV867" s="318">
        <f>SUMIF(Consumo!$C$3:$C$869,tabItens[[#This Row],[CÓDIGO]],Consumo!$Y$3:$Y$869)</f>
        <v>17.583333333333332</v>
      </c>
      <c r="AW867" s="401">
        <f>tabItens[[#This Row],[QTDE ATUAL]] + tabItens[[#This Row],[RC QTDE]] + tabItens[[#This Row],[AF SALDO]] + tabItens[[#This Row],[Recentes]]</f>
        <v>300</v>
      </c>
      <c r="AX867" s="420">
        <v>3</v>
      </c>
      <c r="AY867" s="420">
        <v>4</v>
      </c>
      <c r="AZ867" s="420">
        <f>IF(ISBLANK(tabItens[[#This Row],[CÓDIGO]]),"",tabItens[[#This Row],[PontoMês]] * (AZ$2+tabItens[[#This Row],[PontoQtM]]))</f>
        <v>12</v>
      </c>
      <c r="BA867" s="421">
        <f>tabItens[[#This Row],[PontoPed]] - tabItens[[#This Row],[Saldo]] + (1/10)</f>
        <v>-287.89999999999998</v>
      </c>
      <c r="BB867" s="421">
        <f xml:space="preserve"> tabItens[[#This Row],[PontoMês]] * BB$2 - tabItens[[#This Row],[QTDE ATUAL]] - (1/10)</f>
        <v>2.9</v>
      </c>
      <c r="BC867" s="320">
        <f>IF( tabItens[[#This Row],[PontoPed]]&gt;0, IF(tabItens[[#This Row],[PontoPed]]&lt;1, 1, IF( tabItens[[#This Row],[Saldo]]&gt;tabItens[[#This Row],[PontoPed]], 0, (tabItens[[#This Row],[PontoPed]]-tabItens[[#This Row],[Saldo]])/tabItens[[#This Row],[PontoPed]] ) ), 0 )</f>
        <v>0</v>
      </c>
      <c r="BD867" s="422">
        <f>ROUNDDOWN(IF( OR( AND(tabItens[[#This Row],[PontoPed]]&lt;tabItens[[#This Row],[Saldo]],tabItens[[#This Row],[Saldo]]&gt;0), tabItens[[#This Row],[PontoPed]]=0), 99, IF(AND(tabItens[[#This Row],[Saldo]]=0,tabItens[[#This Row],[PontoPed]]&gt;0), 0, (1-tabItens[[#This Row],[PctAb]])*10 ) ),0)</f>
        <v>99</v>
      </c>
      <c r="BE867" s="423">
        <f>MAX(ROUNDDOWN( IF(tabItens[[#This Row],[Abaixo]] &gt; 0,   tabItens[[#This Row],[Abaixo]] + (tabItens[[#This Row],[PontoMês]] * IF( OR( ISBLANK(tabItens[[#This Row],[ATA Nº/ANO]]), tabItens[[#This Row],[ATA Nº/ANO]] = ""),BE$2,BE$1)),0),0),0)</f>
        <v>0</v>
      </c>
      <c r="BF867"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323">
        <f>SUMIF(Consumo!$C$3:$C$869,tabItens[[#This Row],[CÓDIGO]],Consumo!$E$3:$E$869)</f>
        <v>34</v>
      </c>
      <c r="BH867" s="324">
        <f>IF(AND(tabItens[[#This Row],[Pend]] &gt; 0,tabItens[[#This Row],[Consumo]] &lt;&gt; 0), tabItens[[#This Row],[Pend]] / tabItens[[#This Row],[Consumo]], 0 )</f>
        <v>0.16113744075829384</v>
      </c>
      <c r="BI867" s="323"/>
      <c r="BJ867" s="424"/>
      <c r="BK867" s="425" t="s">
        <v>2064</v>
      </c>
    </row>
    <row r="868" spans="1:63" hidden="1" x14ac:dyDescent="0.3">
      <c r="A868" s="286">
        <v>19882</v>
      </c>
      <c r="B868" s="287" t="s">
        <v>1152</v>
      </c>
      <c r="C868" s="288" t="s">
        <v>256</v>
      </c>
      <c r="D868" s="289">
        <v>3.98</v>
      </c>
      <c r="E868" s="290"/>
      <c r="F868" s="290"/>
      <c r="G868" s="290" t="s">
        <v>883</v>
      </c>
      <c r="H868" s="291">
        <v>224</v>
      </c>
      <c r="I868" s="292">
        <v>103003</v>
      </c>
      <c r="J868" s="293">
        <v>3.9693100000000001</v>
      </c>
      <c r="K868" s="294">
        <v>35</v>
      </c>
      <c r="L868" s="295">
        <f>IF(tabItens[[#This Row],[Média]] &gt; 0, tabItens[[#This Row],[QTDE ATUAL]] / tabItens[[#This Row],[Média]],999.9)</f>
        <v>86.709677419354833</v>
      </c>
      <c r="M868" s="296">
        <v>0</v>
      </c>
      <c r="N868" s="297">
        <f>tabItens[[#This Row],[VALOR UNIT.]] * tabItens[[#This Row],[LC]]</f>
        <v>0</v>
      </c>
      <c r="O868" s="298"/>
      <c r="P868" s="299"/>
      <c r="Q868" s="300"/>
      <c r="R868" s="297"/>
      <c r="S868" s="301"/>
      <c r="T868" s="302">
        <f>ROUNDDOWN(IFERROR(tabItens[[#This Row],[ATA DT.VALID.]] - $D$1,0) / 30,0)</f>
        <v>-1504</v>
      </c>
      <c r="U868" s="287" t="s">
        <v>1151</v>
      </c>
      <c r="V868" s="303">
        <v>1</v>
      </c>
      <c r="W868" s="304" t="s">
        <v>2056</v>
      </c>
      <c r="X868" s="305">
        <v>70</v>
      </c>
      <c r="Y868" s="306">
        <v>31</v>
      </c>
      <c r="Z868" s="307"/>
      <c r="AA868" s="308"/>
      <c r="AB868" s="309"/>
      <c r="AC868" s="309"/>
      <c r="AD868" s="308"/>
      <c r="AE868" s="309"/>
      <c r="AF868" s="302"/>
      <c r="AG868" s="310" t="s">
        <v>2050</v>
      </c>
      <c r="AH868" s="311"/>
      <c r="AI868" s="302">
        <v>12</v>
      </c>
      <c r="AJ868" s="311">
        <v>43748</v>
      </c>
      <c r="AK868" s="311" t="s">
        <v>883</v>
      </c>
      <c r="AL868" s="311">
        <v>43619</v>
      </c>
      <c r="AM868" s="301"/>
      <c r="AN868" s="290"/>
      <c r="AO868" s="312" t="str">
        <f>_xlfn.IFNA(IF(VLOOKUP(tabItens[[#This Row],[CÓDIGO]],tabExcluirDoEstoque[#Data],1,FALSE),"sim",""),"")</f>
        <v/>
      </c>
      <c r="AP868" s="313" t="str">
        <f ca="1">IF(OR(ISBLANK(tabItens[[#This Row],[ATA DT.VALID.]]),tabItens[[#This Row],[ATA DT.VALID.]]="",tabItens[[#This Row],[ATA DT.VALID.]]=" "),"",IF(TYPE(tabItens[[#This Row],[ATA DT.VALID.]])=1,ROUNDUP((tabItens[[#This Row],[ATA DT.VALID.]]-TODAY())/7,0),""))</f>
        <v/>
      </c>
      <c r="AQ868" s="314"/>
      <c r="AR868" s="315" t="str">
        <f>IF(ISBLANK(tabItens[[#This Row],[CÓDIGO]]),"",IFERROR(VLOOKUP(tabItens[[#This Row],[CÓDIGO]],Consumo!$C$2:$AC$869,26,FALSE),0))</f>
        <v>04.2023</v>
      </c>
      <c r="AS868" s="316">
        <f>SUMIF(Consumo!$C$3:$C$869,tabItens[[#This Row],[CÓDIGO]],Consumo!$N$3:$N$869) + SUMIF(Consumo!$C$3:$C$869,tabItens[[#This Row],[CÓDIGO]],Consumo!$O$3:$O$869) + SUMIF(Consumo!$C$3:$C$869,tabItens[[#This Row],[CÓDIGO]],Consumo!$P$3:$P$869) + SUMIF(Consumo!$C$3:$C$869,tabItens[[#This Row],[CÓDIGO]],Consumo!$Q$3:$Q$869)</f>
        <v>20</v>
      </c>
      <c r="AT868" s="316">
        <f>SUMIF(Consumo!$C$3:$C$869,tabItens[[#This Row],[CÓDIGO]],Consumo!$Z$3:$Z$869)</f>
        <v>37</v>
      </c>
      <c r="AU868" s="317">
        <f>SUMIF(Consumo!$C$3:$C$869,tabItens[[#This Row],[CÓDIGO]],Consumo!$AA$3:$AA$869)</f>
        <v>20</v>
      </c>
      <c r="AV868" s="318">
        <f>SUMIF(Consumo!$C$3:$C$869,tabItens[[#This Row],[CÓDIGO]],Consumo!$Y$3:$Y$869)</f>
        <v>2.5833333333333335</v>
      </c>
      <c r="AW868" s="291">
        <f>tabItens[[#This Row],[QTDE ATUAL]] + tabItens[[#This Row],[RC QTDE]] + tabItens[[#This Row],[AF SALDO]] + tabItens[[#This Row],[Recentes]]</f>
        <v>224</v>
      </c>
      <c r="AX868" s="319">
        <v>3</v>
      </c>
      <c r="AY868" s="319">
        <v>4</v>
      </c>
      <c r="AZ868" s="319">
        <f>IF(ISBLANK(tabItens[[#This Row],[CÓDIGO]]),"",tabItens[[#This Row],[PontoMês]] * (AZ$2+tabItens[[#This Row],[PontoQtM]]))</f>
        <v>12</v>
      </c>
      <c r="BA868" s="318">
        <f>tabItens[[#This Row],[PontoPed]] - tabItens[[#This Row],[Saldo]] + (1/10)</f>
        <v>-211.9</v>
      </c>
      <c r="BB868" s="318">
        <f xml:space="preserve"> tabItens[[#This Row],[PontoMês]] * BB$2 - tabItens[[#This Row],[QTDE ATUAL]] - (1/10)</f>
        <v>-221.1</v>
      </c>
      <c r="BC868" s="320">
        <f>IF( tabItens[[#This Row],[PontoPed]]&gt;0, IF(tabItens[[#This Row],[PontoPed]]&lt;1, 1, IF( tabItens[[#This Row],[Saldo]]&gt;tabItens[[#This Row],[PontoPed]], 0, (tabItens[[#This Row],[PontoPed]]-tabItens[[#This Row],[Saldo]])/tabItens[[#This Row],[PontoPed]] ) ), 0 )</f>
        <v>0</v>
      </c>
      <c r="BD868" s="321">
        <f>ROUNDDOWN(IF( OR( AND(tabItens[[#This Row],[PontoPed]]&lt;tabItens[[#This Row],[Saldo]],tabItens[[#This Row],[Saldo]]&gt;0), tabItens[[#This Row],[PontoPed]]=0), 99, IF(AND(tabItens[[#This Row],[Saldo]]=0,tabItens[[#This Row],[PontoPed]]&gt;0), 0, (1-tabItens[[#This Row],[PctAb]])*10 ) ),0)</f>
        <v>99</v>
      </c>
      <c r="BE868" s="322">
        <f>MAX(ROUNDDOWN( IF(tabItens[[#This Row],[Abaixo]] &gt; 0,   tabItens[[#This Row],[Abaixo]] + (tabItens[[#This Row],[PontoMês]] * IF( OR( ISBLANK(tabItens[[#This Row],[ATA Nº/ANO]]), tabItens[[#This Row],[ATA Nº/ANO]] = ""),BE$2,BE$1)),0),0),0)</f>
        <v>0</v>
      </c>
      <c r="BF86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323">
        <f>SUMIF(Consumo!$C$3:$C$869,tabItens[[#This Row],[CÓDIGO]],Consumo!$E$3:$E$869)</f>
        <v>0</v>
      </c>
      <c r="BH868" s="324">
        <f>IF(AND(tabItens[[#This Row],[Pend]] &gt; 0,tabItens[[#This Row],[Consumo]] &lt;&gt; 0), tabItens[[#This Row],[Pend]] / tabItens[[#This Row],[Consumo]], 0 )</f>
        <v>0</v>
      </c>
      <c r="BI868" s="323"/>
      <c r="BJ868" s="323"/>
      <c r="BK868" s="325" t="s">
        <v>2064</v>
      </c>
    </row>
    <row r="869" spans="1:63" hidden="1" x14ac:dyDescent="0.3">
      <c r="A869" s="286">
        <v>19883</v>
      </c>
      <c r="B869" s="287" t="s">
        <v>1153</v>
      </c>
      <c r="C869" s="288" t="s">
        <v>256</v>
      </c>
      <c r="D869" s="289">
        <v>3.45</v>
      </c>
      <c r="E869" s="290"/>
      <c r="F869" s="290"/>
      <c r="G869" s="290" t="s">
        <v>883</v>
      </c>
      <c r="H869" s="291">
        <v>547</v>
      </c>
      <c r="I869" s="292">
        <v>103003</v>
      </c>
      <c r="J869" s="293">
        <v>3.45</v>
      </c>
      <c r="K869" s="294">
        <v>42</v>
      </c>
      <c r="L869" s="295">
        <f>IF(tabItens[[#This Row],[Média]] &gt; 0, tabItens[[#This Row],[QTDE ATUAL]] / tabItens[[#This Row],[Média]],999.9)</f>
        <v>168.30769230769232</v>
      </c>
      <c r="M869" s="296">
        <v>0</v>
      </c>
      <c r="N869" s="297">
        <f>tabItens[[#This Row],[VALOR UNIT.]] * tabItens[[#This Row],[LC]]</f>
        <v>0</v>
      </c>
      <c r="O869" s="298"/>
      <c r="P869" s="299"/>
      <c r="Q869" s="300"/>
      <c r="R869" s="297"/>
      <c r="S869" s="301"/>
      <c r="T869" s="302">
        <f>ROUNDDOWN(IFERROR(tabItens[[#This Row],[ATA DT.VALID.]] - $D$1,0) / 30,0)</f>
        <v>-1504</v>
      </c>
      <c r="U869" s="287" t="s">
        <v>1151</v>
      </c>
      <c r="V869" s="303">
        <v>1</v>
      </c>
      <c r="W869" s="304" t="s">
        <v>2056</v>
      </c>
      <c r="X869" s="305">
        <v>70</v>
      </c>
      <c r="Y869" s="306">
        <v>31</v>
      </c>
      <c r="Z869" s="307"/>
      <c r="AA869" s="308"/>
      <c r="AB869" s="309"/>
      <c r="AC869" s="309"/>
      <c r="AD869" s="308"/>
      <c r="AE869" s="309"/>
      <c r="AF869" s="302"/>
      <c r="AG869" s="310" t="s">
        <v>2050</v>
      </c>
      <c r="AH869" s="311"/>
      <c r="AI869" s="302">
        <v>16</v>
      </c>
      <c r="AJ869" s="311">
        <v>44571</v>
      </c>
      <c r="AK869" s="311" t="s">
        <v>883</v>
      </c>
      <c r="AL869" s="311">
        <v>44536</v>
      </c>
      <c r="AM869" s="301"/>
      <c r="AN869" s="290"/>
      <c r="AO869" s="312" t="str">
        <f>_xlfn.IFNA(IF(VLOOKUP(tabItens[[#This Row],[CÓDIGO]],tabExcluirDoEstoque[#Data],1,FALSE),"sim",""),"")</f>
        <v/>
      </c>
      <c r="AP869" s="313" t="str">
        <f ca="1">IF(OR(ISBLANK(tabItens[[#This Row],[ATA DT.VALID.]]),tabItens[[#This Row],[ATA DT.VALID.]]="",tabItens[[#This Row],[ATA DT.VALID.]]=" "),"",IF(TYPE(tabItens[[#This Row],[ATA DT.VALID.]])=1,ROUNDUP((tabItens[[#This Row],[ATA DT.VALID.]]-TODAY())/7,0),""))</f>
        <v/>
      </c>
      <c r="AQ869" s="314"/>
      <c r="AR869" s="315" t="str">
        <f>IF(ISBLANK(tabItens[[#This Row],[CÓDIGO]]),"",IFERROR(VLOOKUP(tabItens[[#This Row],[CÓDIGO]],Consumo!$C$2:$AC$869,26,FALSE),0))</f>
        <v>04.2023</v>
      </c>
      <c r="AS869" s="316">
        <f>SUMIF(Consumo!$C$3:$C$869,tabItens[[#This Row],[CÓDIGO]],Consumo!$N$3:$N$869) + SUMIF(Consumo!$C$3:$C$869,tabItens[[#This Row],[CÓDIGO]],Consumo!$O$3:$O$869) + SUMIF(Consumo!$C$3:$C$869,tabItens[[#This Row],[CÓDIGO]],Consumo!$P$3:$P$869) + SUMIF(Consumo!$C$3:$C$869,tabItens[[#This Row],[CÓDIGO]],Consumo!$Q$3:$Q$869)</f>
        <v>22</v>
      </c>
      <c r="AT869" s="316">
        <f>SUMIF(Consumo!$C$3:$C$869,tabItens[[#This Row],[CÓDIGO]],Consumo!$Z$3:$Z$869)</f>
        <v>46</v>
      </c>
      <c r="AU869" s="317">
        <f>SUMIF(Consumo!$C$3:$C$869,tabItens[[#This Row],[CÓDIGO]],Consumo!$AA$3:$AA$869)</f>
        <v>22</v>
      </c>
      <c r="AV869" s="318">
        <f>SUMIF(Consumo!$C$3:$C$869,tabItens[[#This Row],[CÓDIGO]],Consumo!$Y$3:$Y$869)</f>
        <v>3.25</v>
      </c>
      <c r="AW869" s="291">
        <f>tabItens[[#This Row],[QTDE ATUAL]] + tabItens[[#This Row],[RC QTDE]] + tabItens[[#This Row],[AF SALDO]] + tabItens[[#This Row],[Recentes]]</f>
        <v>547</v>
      </c>
      <c r="AX869" s="319">
        <v>4</v>
      </c>
      <c r="AY869" s="319">
        <v>4</v>
      </c>
      <c r="AZ869" s="319">
        <f>IF(ISBLANK(tabItens[[#This Row],[CÓDIGO]]),"",tabItens[[#This Row],[PontoMês]] * (AZ$2+tabItens[[#This Row],[PontoQtM]]))</f>
        <v>16</v>
      </c>
      <c r="BA869" s="318">
        <f>tabItens[[#This Row],[PontoPed]] - tabItens[[#This Row],[Saldo]] + (1/10)</f>
        <v>-530.9</v>
      </c>
      <c r="BB869" s="318">
        <f xml:space="preserve"> tabItens[[#This Row],[PontoMês]] * BB$2 - tabItens[[#This Row],[QTDE ATUAL]] - (1/10)</f>
        <v>-543.1</v>
      </c>
      <c r="BC869" s="320">
        <f>IF( tabItens[[#This Row],[PontoPed]]&gt;0, IF(tabItens[[#This Row],[PontoPed]]&lt;1, 1, IF( tabItens[[#This Row],[Saldo]]&gt;tabItens[[#This Row],[PontoPed]], 0, (tabItens[[#This Row],[PontoPed]]-tabItens[[#This Row],[Saldo]])/tabItens[[#This Row],[PontoPed]] ) ), 0 )</f>
        <v>0</v>
      </c>
      <c r="BD869" s="321">
        <f>ROUNDDOWN(IF( OR( AND(tabItens[[#This Row],[PontoPed]]&lt;tabItens[[#This Row],[Saldo]],tabItens[[#This Row],[Saldo]]&gt;0), tabItens[[#This Row],[PontoPed]]=0), 99, IF(AND(tabItens[[#This Row],[Saldo]]=0,tabItens[[#This Row],[PontoPed]]&gt;0), 0, (1-tabItens[[#This Row],[PctAb]])*10 ) ),0)</f>
        <v>99</v>
      </c>
      <c r="BE869" s="322">
        <f>MAX(ROUNDDOWN( IF(tabItens[[#This Row],[Abaixo]] &gt; 0,   tabItens[[#This Row],[Abaixo]] + (tabItens[[#This Row],[PontoMês]] * IF( OR( ISBLANK(tabItens[[#This Row],[ATA Nº/ANO]]), tabItens[[#This Row],[ATA Nº/ANO]] = ""),BE$2,BE$1)),0),0),0)</f>
        <v>0</v>
      </c>
      <c r="BF86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323">
        <f>SUMIF(Consumo!$C$3:$C$869,tabItens[[#This Row],[CÓDIGO]],Consumo!$E$3:$E$869)</f>
        <v>0</v>
      </c>
      <c r="BH869" s="324">
        <f>IF(AND(tabItens[[#This Row],[Pend]] &gt; 0,tabItens[[#This Row],[Consumo]] &lt;&gt; 0), tabItens[[#This Row],[Pend]] / tabItens[[#This Row],[Consumo]], 0 )</f>
        <v>0</v>
      </c>
      <c r="BI869" s="323"/>
      <c r="BJ869" s="323"/>
      <c r="BK869" s="325" t="s">
        <v>2064</v>
      </c>
    </row>
    <row r="870" spans="1:63" hidden="1" x14ac:dyDescent="0.3">
      <c r="A870" s="286">
        <v>104911</v>
      </c>
      <c r="B870" s="287" t="s">
        <v>1597</v>
      </c>
      <c r="C870" s="288" t="s">
        <v>31</v>
      </c>
      <c r="D870" s="289">
        <v>92</v>
      </c>
      <c r="E870" s="290"/>
      <c r="F870" s="290"/>
      <c r="G870" s="290" t="s">
        <v>883</v>
      </c>
      <c r="H870" s="291">
        <v>95</v>
      </c>
      <c r="I870" s="292">
        <v>103003</v>
      </c>
      <c r="J870" s="293">
        <v>92</v>
      </c>
      <c r="K870" s="294">
        <v>46</v>
      </c>
      <c r="L870" s="295">
        <f>IF(tabItens[[#This Row],[Média]] &gt; 0, tabItens[[#This Row],[QTDE ATUAL]] / tabItens[[#This Row],[Média]],999.9)</f>
        <v>27.142857142857142</v>
      </c>
      <c r="M870" s="296">
        <v>0</v>
      </c>
      <c r="N870" s="297">
        <f>tabItens[[#This Row],[VALOR UNIT.]] * tabItens[[#This Row],[LC]]</f>
        <v>0</v>
      </c>
      <c r="O870" s="298"/>
      <c r="P870" s="299"/>
      <c r="Q870" s="300"/>
      <c r="R870" s="297"/>
      <c r="S870" s="301"/>
      <c r="T870" s="302">
        <f>ROUNDDOWN(IFERROR(tabItens[[#This Row],[ATA DT.VALID.]] - $D$1,0) / 30,0)</f>
        <v>-1504</v>
      </c>
      <c r="U870" s="287" t="s">
        <v>1598</v>
      </c>
      <c r="V870" s="303">
        <v>1</v>
      </c>
      <c r="W870" s="304" t="s">
        <v>2056</v>
      </c>
      <c r="X870" s="305">
        <v>70</v>
      </c>
      <c r="Y870" s="306">
        <v>45</v>
      </c>
      <c r="Z870" s="307"/>
      <c r="AA870" s="308"/>
      <c r="AB870" s="309"/>
      <c r="AC870" s="309"/>
      <c r="AD870" s="308"/>
      <c r="AE870" s="309"/>
      <c r="AF870" s="302"/>
      <c r="AG870" s="310" t="s">
        <v>2050</v>
      </c>
      <c r="AH870" s="311"/>
      <c r="AI870" s="302">
        <v>22</v>
      </c>
      <c r="AJ870" s="311">
        <v>40423</v>
      </c>
      <c r="AK870" s="311">
        <v>39490</v>
      </c>
      <c r="AL870" s="311">
        <v>40387</v>
      </c>
      <c r="AM870" s="301"/>
      <c r="AN870" s="290"/>
      <c r="AO870" s="312" t="str">
        <f>_xlfn.IFNA(IF(VLOOKUP(tabItens[[#This Row],[CÓDIGO]],tabExcluirDoEstoque[#Data],1,FALSE),"sim",""),"")</f>
        <v/>
      </c>
      <c r="AP870" s="313" t="str">
        <f ca="1">IF(OR(ISBLANK(tabItens[[#This Row],[ATA DT.VALID.]]),tabItens[[#This Row],[ATA DT.VALID.]]="",tabItens[[#This Row],[ATA DT.VALID.]]=" "),"",IF(TYPE(tabItens[[#This Row],[ATA DT.VALID.]])=1,ROUNDUP((tabItens[[#This Row],[ATA DT.VALID.]]-TODAY())/7,0),""))</f>
        <v/>
      </c>
      <c r="AQ870" s="314"/>
      <c r="AR870" s="315" t="str">
        <f>IF(ISBLANK(tabItens[[#This Row],[CÓDIGO]]),"",IFERROR(VLOOKUP(tabItens[[#This Row],[CÓDIGO]],Consumo!$C$2:$AC$869,26,FALSE),0))</f>
        <v>07.2023</v>
      </c>
      <c r="AS870" s="316">
        <f>SUMIF(Consumo!$C$3:$C$869,tabItens[[#This Row],[CÓDIGO]],Consumo!$N$3:$N$869) + SUMIF(Consumo!$C$3:$C$869,tabItens[[#This Row],[CÓDIGO]],Consumo!$O$3:$O$869) + SUMIF(Consumo!$C$3:$C$869,tabItens[[#This Row],[CÓDIGO]],Consumo!$P$3:$P$869) + SUMIF(Consumo!$C$3:$C$869,tabItens[[#This Row],[CÓDIGO]],Consumo!$Q$3:$Q$869)</f>
        <v>20</v>
      </c>
      <c r="AT870" s="316">
        <f>SUMIF(Consumo!$C$3:$C$869,tabItens[[#This Row],[CÓDIGO]],Consumo!$Z$3:$Z$869)</f>
        <v>46</v>
      </c>
      <c r="AU870" s="317">
        <f>SUMIF(Consumo!$C$3:$C$869,tabItens[[#This Row],[CÓDIGO]],Consumo!$AA$3:$AA$869)</f>
        <v>20</v>
      </c>
      <c r="AV870" s="318">
        <f>SUMIF(Consumo!$C$3:$C$869,tabItens[[#This Row],[CÓDIGO]],Consumo!$Y$3:$Y$869)</f>
        <v>3.5</v>
      </c>
      <c r="AW870" s="291">
        <f>tabItens[[#This Row],[QTDE ATUAL]] + tabItens[[#This Row],[RC QTDE]] + tabItens[[#This Row],[AF SALDO]] + tabItens[[#This Row],[Recentes]]</f>
        <v>95</v>
      </c>
      <c r="AX870" s="319">
        <v>2</v>
      </c>
      <c r="AY870" s="319">
        <v>4</v>
      </c>
      <c r="AZ870" s="319">
        <f>IF(ISBLANK(tabItens[[#This Row],[CÓDIGO]]),"",tabItens[[#This Row],[PontoMês]] * (AZ$2+tabItens[[#This Row],[PontoQtM]]))</f>
        <v>8</v>
      </c>
      <c r="BA870" s="318">
        <f>tabItens[[#This Row],[PontoPed]] - tabItens[[#This Row],[Saldo]] + (1/10)</f>
        <v>-86.9</v>
      </c>
      <c r="BB870" s="318">
        <f xml:space="preserve"> tabItens[[#This Row],[PontoMês]] * BB$2 - tabItens[[#This Row],[QTDE ATUAL]] - (1/10)</f>
        <v>-93.1</v>
      </c>
      <c r="BC870" s="320">
        <f>IF( tabItens[[#This Row],[PontoPed]]&gt;0, IF(tabItens[[#This Row],[PontoPed]]&lt;1, 1, IF( tabItens[[#This Row],[Saldo]]&gt;tabItens[[#This Row],[PontoPed]], 0, (tabItens[[#This Row],[PontoPed]]-tabItens[[#This Row],[Saldo]])/tabItens[[#This Row],[PontoPed]] ) ), 0 )</f>
        <v>0</v>
      </c>
      <c r="BD870" s="321">
        <f>ROUNDDOWN(IF( OR( AND(tabItens[[#This Row],[PontoPed]]&lt;tabItens[[#This Row],[Saldo]],tabItens[[#This Row],[Saldo]]&gt;0), tabItens[[#This Row],[PontoPed]]=0), 99, IF(AND(tabItens[[#This Row],[Saldo]]=0,tabItens[[#This Row],[PontoPed]]&gt;0), 0, (1-tabItens[[#This Row],[PctAb]])*10 ) ),0)</f>
        <v>99</v>
      </c>
      <c r="BE870" s="322">
        <f>MAX(ROUNDDOWN( IF(tabItens[[#This Row],[Abaixo]] &gt; 0,   tabItens[[#This Row],[Abaixo]] + (tabItens[[#This Row],[PontoMês]] * IF( OR( ISBLANK(tabItens[[#This Row],[ATA Nº/ANO]]), tabItens[[#This Row],[ATA Nº/ANO]] = ""),BE$2,BE$1)),0),0),0)</f>
        <v>0</v>
      </c>
      <c r="BF87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323">
        <f>SUMIF(Consumo!$C$3:$C$869,tabItens[[#This Row],[CÓDIGO]],Consumo!$E$3:$E$869)</f>
        <v>0</v>
      </c>
      <c r="BH870" s="324">
        <f>IF(AND(tabItens[[#This Row],[Pend]] &gt; 0,tabItens[[#This Row],[Consumo]] &lt;&gt; 0), tabItens[[#This Row],[Pend]] / tabItens[[#This Row],[Consumo]], 0 )</f>
        <v>0</v>
      </c>
      <c r="BI870" s="323"/>
      <c r="BJ870" s="323"/>
      <c r="BK870" s="325" t="s">
        <v>2064</v>
      </c>
    </row>
    <row r="871" spans="1:63" hidden="1" x14ac:dyDescent="0.3">
      <c r="A871" s="286">
        <v>81370</v>
      </c>
      <c r="B871" s="287" t="s">
        <v>1462</v>
      </c>
      <c r="C871" s="288" t="s">
        <v>275</v>
      </c>
      <c r="D871" s="289">
        <v>1.61</v>
      </c>
      <c r="E871" s="290"/>
      <c r="F871" s="290"/>
      <c r="G871" s="290" t="s">
        <v>883</v>
      </c>
      <c r="H871" s="291">
        <v>284</v>
      </c>
      <c r="I871" s="292">
        <v>103003</v>
      </c>
      <c r="J871" s="293">
        <v>1.61</v>
      </c>
      <c r="K871" s="294">
        <v>2827</v>
      </c>
      <c r="L871" s="295">
        <f>IF(tabItens[[#This Row],[Média]] &gt; 0, tabItens[[#This Row],[QTDE ATUAL]] / tabItens[[#This Row],[Média]],999.9)</f>
        <v>1.0182252763668957</v>
      </c>
      <c r="M871" s="296">
        <v>0</v>
      </c>
      <c r="N871" s="297">
        <f>tabItens[[#This Row],[VALOR UNIT.]] * tabItens[[#This Row],[LC]]</f>
        <v>0</v>
      </c>
      <c r="O871" s="298"/>
      <c r="P871" s="299"/>
      <c r="Q871" s="300"/>
      <c r="R871" s="297"/>
      <c r="S871" s="301"/>
      <c r="T871" s="302">
        <f>ROUNDDOWN(IFERROR(tabItens[[#This Row],[ATA DT.VALID.]] - $D$1,0) / 30,0)</f>
        <v>-1504</v>
      </c>
      <c r="U871" s="287" t="s">
        <v>1463</v>
      </c>
      <c r="V871" s="303">
        <v>1</v>
      </c>
      <c r="W871" s="304" t="s">
        <v>2052</v>
      </c>
      <c r="X871" s="305">
        <v>71</v>
      </c>
      <c r="Y871" s="306">
        <v>33</v>
      </c>
      <c r="Z871" s="307">
        <v>6219</v>
      </c>
      <c r="AA871" s="308">
        <v>2023</v>
      </c>
      <c r="AB871" s="309">
        <v>1700</v>
      </c>
      <c r="AC871" s="309"/>
      <c r="AD871" s="308"/>
      <c r="AE871" s="309"/>
      <c r="AF871" s="302"/>
      <c r="AG871" s="310" t="s">
        <v>2050</v>
      </c>
      <c r="AH871" s="311"/>
      <c r="AI871" s="302">
        <v>1254</v>
      </c>
      <c r="AJ871" s="311">
        <v>45027</v>
      </c>
      <c r="AK871" s="311">
        <v>38217</v>
      </c>
      <c r="AL871" s="311">
        <v>44998</v>
      </c>
      <c r="AM871" s="301"/>
      <c r="AN871" s="290"/>
      <c r="AO871" s="312" t="str">
        <f>_xlfn.IFNA(IF(VLOOKUP(tabItens[[#This Row],[CÓDIGO]],tabExcluirDoEstoque[#Data],1,FALSE),"sim",""),"")</f>
        <v/>
      </c>
      <c r="AP871" s="313" t="str">
        <f ca="1">IF(OR(ISBLANK(tabItens[[#This Row],[ATA DT.VALID.]]),tabItens[[#This Row],[ATA DT.VALID.]]="",tabItens[[#This Row],[ATA DT.VALID.]]=" "),"",IF(TYPE(tabItens[[#This Row],[ATA DT.VALID.]])=1,ROUNDUP((tabItens[[#This Row],[ATA DT.VALID.]]-TODAY())/7,0),""))</f>
        <v/>
      </c>
      <c r="AQ871" s="314"/>
      <c r="AR871" s="315" t="str">
        <f>IF(ISBLANK(tabItens[[#This Row],[CÓDIGO]]),"",IFERROR(VLOOKUP(tabItens[[#This Row],[CÓDIGO]],Consumo!$C$2:$AC$869,26,FALSE),0))</f>
        <v>07.2023</v>
      </c>
      <c r="AS871" s="316">
        <f>SUMIF(Consumo!$C$3:$C$869,tabItens[[#This Row],[CÓDIGO]],Consumo!$N$3:$N$869) + SUMIF(Consumo!$C$3:$C$869,tabItens[[#This Row],[CÓDIGO]],Consumo!$O$3:$O$869) + SUMIF(Consumo!$C$3:$C$869,tabItens[[#This Row],[CÓDIGO]],Consumo!$P$3:$P$869) + SUMIF(Consumo!$C$3:$C$869,tabItens[[#This Row],[CÓDIGO]],Consumo!$Q$3:$Q$869)</f>
        <v>849</v>
      </c>
      <c r="AT871" s="316">
        <f>SUMIF(Consumo!$C$3:$C$869,tabItens[[#This Row],[CÓDIGO]],Consumo!$Z$3:$Z$869)</f>
        <v>3875</v>
      </c>
      <c r="AU871" s="317">
        <f>SUMIF(Consumo!$C$3:$C$869,tabItens[[#This Row],[CÓDIGO]],Consumo!$AA$3:$AA$869)</f>
        <v>1694</v>
      </c>
      <c r="AV871" s="318">
        <f>SUMIF(Consumo!$C$3:$C$869,tabItens[[#This Row],[CÓDIGO]],Consumo!$Y$3:$Y$869)</f>
        <v>278.91666666666669</v>
      </c>
      <c r="AW871" s="291">
        <f>tabItens[[#This Row],[QTDE ATUAL]] + tabItens[[#This Row],[RC QTDE]] + tabItens[[#This Row],[AF SALDO]] + tabItens[[#This Row],[Recentes]]</f>
        <v>1984</v>
      </c>
      <c r="AX871" s="319">
        <v>354</v>
      </c>
      <c r="AY871" s="319">
        <v>4</v>
      </c>
      <c r="AZ871" s="319">
        <f>IF(ISBLANK(tabItens[[#This Row],[CÓDIGO]]),"",tabItens[[#This Row],[PontoMês]] * (AZ$2+tabItens[[#This Row],[PontoQtM]]))</f>
        <v>1416</v>
      </c>
      <c r="BA871" s="318">
        <f>tabItens[[#This Row],[PontoPed]] - tabItens[[#This Row],[Saldo]] + (1/10)</f>
        <v>-567.9</v>
      </c>
      <c r="BB871" s="318">
        <f xml:space="preserve"> tabItens[[#This Row],[PontoMês]] * BB$2 - tabItens[[#This Row],[QTDE ATUAL]] - (1/10)</f>
        <v>69.900000000000006</v>
      </c>
      <c r="BC871" s="320">
        <f>IF( tabItens[[#This Row],[PontoPed]]&gt;0, IF(tabItens[[#This Row],[PontoPed]]&lt;1, 1, IF( tabItens[[#This Row],[Saldo]]&gt;tabItens[[#This Row],[PontoPed]], 0, (tabItens[[#This Row],[PontoPed]]-tabItens[[#This Row],[Saldo]])/tabItens[[#This Row],[PontoPed]] ) ), 0 )</f>
        <v>0</v>
      </c>
      <c r="BD871" s="321">
        <f>ROUNDDOWN(IF( OR( AND(tabItens[[#This Row],[PontoPed]]&lt;tabItens[[#This Row],[Saldo]],tabItens[[#This Row],[Saldo]]&gt;0), tabItens[[#This Row],[PontoPed]]=0), 99, IF(AND(tabItens[[#This Row],[Saldo]]=0,tabItens[[#This Row],[PontoPed]]&gt;0), 0, (1-tabItens[[#This Row],[PctAb]])*10 ) ),0)</f>
        <v>99</v>
      </c>
      <c r="BE871" s="322">
        <f>MAX(ROUNDDOWN( IF(tabItens[[#This Row],[Abaixo]] &gt; 0,   tabItens[[#This Row],[Abaixo]] + (tabItens[[#This Row],[PontoMês]] * IF( OR( ISBLANK(tabItens[[#This Row],[ATA Nº/ANO]]), tabItens[[#This Row],[ATA Nº/ANO]] = ""),BE$2,BE$1)),0),0),0)</f>
        <v>0</v>
      </c>
      <c r="BF87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323">
        <f>SUMIF(Consumo!$C$3:$C$869,tabItens[[#This Row],[CÓDIGO]],Consumo!$E$3:$E$869)</f>
        <v>114</v>
      </c>
      <c r="BH871" s="324">
        <f>IF(AND(tabItens[[#This Row],[Pend]] &gt; 0,tabItens[[#This Row],[Consumo]] &lt;&gt; 0), tabItens[[#This Row],[Pend]] / tabItens[[#This Row],[Consumo]], 0 )</f>
        <v>2.9419354838709676E-2</v>
      </c>
      <c r="BI871" s="323"/>
      <c r="BJ871" s="323"/>
      <c r="BK871" s="325" t="s">
        <v>2064</v>
      </c>
    </row>
    <row r="872" spans="1:63" hidden="1" x14ac:dyDescent="0.3">
      <c r="A872" s="286">
        <v>81371</v>
      </c>
      <c r="B872" s="287" t="s">
        <v>1464</v>
      </c>
      <c r="C872" s="288" t="s">
        <v>275</v>
      </c>
      <c r="D872" s="289">
        <v>1.61</v>
      </c>
      <c r="E872" s="290"/>
      <c r="F872" s="290"/>
      <c r="G872" s="290" t="s">
        <v>883</v>
      </c>
      <c r="H872" s="291">
        <v>173</v>
      </c>
      <c r="I872" s="292">
        <v>103003</v>
      </c>
      <c r="J872" s="293">
        <v>1.61</v>
      </c>
      <c r="K872" s="294">
        <v>2833</v>
      </c>
      <c r="L872" s="295">
        <f>IF(tabItens[[#This Row],[Média]] &gt; 0, tabItens[[#This Row],[QTDE ATUAL]] / tabItens[[#This Row],[Média]],999.9)</f>
        <v>0.62286228622862283</v>
      </c>
      <c r="M872" s="296">
        <v>0</v>
      </c>
      <c r="N872" s="297">
        <f>tabItens[[#This Row],[VALOR UNIT.]] * tabItens[[#This Row],[LC]]</f>
        <v>0</v>
      </c>
      <c r="O872" s="298"/>
      <c r="P872" s="299"/>
      <c r="Q872" s="300"/>
      <c r="R872" s="297"/>
      <c r="S872" s="301"/>
      <c r="T872" s="302">
        <f>ROUNDDOWN(IFERROR(tabItens[[#This Row],[ATA DT.VALID.]] - $D$1,0) / 30,0)</f>
        <v>-1504</v>
      </c>
      <c r="U872" s="287" t="s">
        <v>1463</v>
      </c>
      <c r="V872" s="303">
        <v>1</v>
      </c>
      <c r="W872" s="304" t="s">
        <v>2052</v>
      </c>
      <c r="X872" s="305">
        <v>71</v>
      </c>
      <c r="Y872" s="306">
        <v>33</v>
      </c>
      <c r="Z872" s="307">
        <v>6219</v>
      </c>
      <c r="AA872" s="308">
        <v>2023</v>
      </c>
      <c r="AB872" s="309">
        <v>1700</v>
      </c>
      <c r="AC872" s="309"/>
      <c r="AD872" s="308"/>
      <c r="AE872" s="309"/>
      <c r="AF872" s="302"/>
      <c r="AG872" s="310" t="s">
        <v>2050</v>
      </c>
      <c r="AH872" s="311"/>
      <c r="AI872" s="302">
        <v>1256</v>
      </c>
      <c r="AJ872" s="311">
        <v>45027</v>
      </c>
      <c r="AK872" s="311">
        <v>38217</v>
      </c>
      <c r="AL872" s="311">
        <v>44998</v>
      </c>
      <c r="AM872" s="301"/>
      <c r="AN872" s="290"/>
      <c r="AO872" s="312" t="str">
        <f>_xlfn.IFNA(IF(VLOOKUP(tabItens[[#This Row],[CÓDIGO]],tabExcluirDoEstoque[#Data],1,FALSE),"sim",""),"")</f>
        <v/>
      </c>
      <c r="AP872" s="313" t="str">
        <f ca="1">IF(OR(ISBLANK(tabItens[[#This Row],[ATA DT.VALID.]]),tabItens[[#This Row],[ATA DT.VALID.]]="",tabItens[[#This Row],[ATA DT.VALID.]]=" "),"",IF(TYPE(tabItens[[#This Row],[ATA DT.VALID.]])=1,ROUNDUP((tabItens[[#This Row],[ATA DT.VALID.]]-TODAY())/7,0),""))</f>
        <v/>
      </c>
      <c r="AQ872" s="314"/>
      <c r="AR872" s="315" t="str">
        <f>IF(ISBLANK(tabItens[[#This Row],[CÓDIGO]]),"",IFERROR(VLOOKUP(tabItens[[#This Row],[CÓDIGO]],Consumo!$C$2:$AC$869,26,FALSE),0))</f>
        <v>07.2023</v>
      </c>
      <c r="AS872" s="316">
        <f>SUMIF(Consumo!$C$3:$C$869,tabItens[[#This Row],[CÓDIGO]],Consumo!$N$3:$N$869) + SUMIF(Consumo!$C$3:$C$869,tabItens[[#This Row],[CÓDIGO]],Consumo!$O$3:$O$869) + SUMIF(Consumo!$C$3:$C$869,tabItens[[#This Row],[CÓDIGO]],Consumo!$P$3:$P$869) + SUMIF(Consumo!$C$3:$C$869,tabItens[[#This Row],[CÓDIGO]],Consumo!$Q$3:$Q$869)</f>
        <v>852</v>
      </c>
      <c r="AT872" s="316">
        <f>SUMIF(Consumo!$C$3:$C$869,tabItens[[#This Row],[CÓDIGO]],Consumo!$Z$3:$Z$869)</f>
        <v>3865</v>
      </c>
      <c r="AU872" s="317">
        <f>SUMIF(Consumo!$C$3:$C$869,tabItens[[#This Row],[CÓDIGO]],Consumo!$AA$3:$AA$869)</f>
        <v>1704</v>
      </c>
      <c r="AV872" s="318">
        <f>SUMIF(Consumo!$C$3:$C$869,tabItens[[#This Row],[CÓDIGO]],Consumo!$Y$3:$Y$869)</f>
        <v>277.75</v>
      </c>
      <c r="AW872" s="291">
        <f>tabItens[[#This Row],[QTDE ATUAL]] + tabItens[[#This Row],[RC QTDE]] + tabItens[[#This Row],[AF SALDO]] + tabItens[[#This Row],[Recentes]]</f>
        <v>1873</v>
      </c>
      <c r="AX872" s="319">
        <v>358</v>
      </c>
      <c r="AY872" s="319">
        <v>4</v>
      </c>
      <c r="AZ872" s="319">
        <f>IF(ISBLANK(tabItens[[#This Row],[CÓDIGO]]),"",tabItens[[#This Row],[PontoMês]] * (AZ$2+tabItens[[#This Row],[PontoQtM]]))</f>
        <v>1432</v>
      </c>
      <c r="BA872" s="318">
        <f>tabItens[[#This Row],[PontoPed]] - tabItens[[#This Row],[Saldo]] + (1/10)</f>
        <v>-440.9</v>
      </c>
      <c r="BB872" s="318">
        <f xml:space="preserve"> tabItens[[#This Row],[PontoMês]] * BB$2 - tabItens[[#This Row],[QTDE ATUAL]] - (1/10)</f>
        <v>184.9</v>
      </c>
      <c r="BC872" s="320">
        <f>IF( tabItens[[#This Row],[PontoPed]]&gt;0, IF(tabItens[[#This Row],[PontoPed]]&lt;1, 1, IF( tabItens[[#This Row],[Saldo]]&gt;tabItens[[#This Row],[PontoPed]], 0, (tabItens[[#This Row],[PontoPed]]-tabItens[[#This Row],[Saldo]])/tabItens[[#This Row],[PontoPed]] ) ), 0 )</f>
        <v>0</v>
      </c>
      <c r="BD872" s="321">
        <f>ROUNDDOWN(IF( OR( AND(tabItens[[#This Row],[PontoPed]]&lt;tabItens[[#This Row],[Saldo]],tabItens[[#This Row],[Saldo]]&gt;0), tabItens[[#This Row],[PontoPed]]=0), 99, IF(AND(tabItens[[#This Row],[Saldo]]=0,tabItens[[#This Row],[PontoPed]]&gt;0), 0, (1-tabItens[[#This Row],[PctAb]])*10 ) ),0)</f>
        <v>99</v>
      </c>
      <c r="BE872" s="322">
        <f>MAX(ROUNDDOWN( IF(tabItens[[#This Row],[Abaixo]] &gt; 0,   tabItens[[#This Row],[Abaixo]] + (tabItens[[#This Row],[PontoMês]] * IF( OR( ISBLANK(tabItens[[#This Row],[ATA Nº/ANO]]), tabItens[[#This Row],[ATA Nº/ANO]] = ""),BE$2,BE$1)),0),0),0)</f>
        <v>0</v>
      </c>
      <c r="BF87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323">
        <f>SUMIF(Consumo!$C$3:$C$869,tabItens[[#This Row],[CÓDIGO]],Consumo!$E$3:$E$869)</f>
        <v>99</v>
      </c>
      <c r="BH872" s="324">
        <f>IF(AND(tabItens[[#This Row],[Pend]] &gt; 0,tabItens[[#This Row],[Consumo]] &lt;&gt; 0), tabItens[[#This Row],[Pend]] / tabItens[[#This Row],[Consumo]], 0 )</f>
        <v>2.5614489003880983E-2</v>
      </c>
      <c r="BI872" s="323"/>
      <c r="BJ872" s="323"/>
      <c r="BK872" s="325" t="s">
        <v>2064</v>
      </c>
    </row>
    <row r="873" spans="1:63" hidden="1" x14ac:dyDescent="0.3">
      <c r="A873" s="286">
        <v>132400</v>
      </c>
      <c r="B873" s="287" t="s">
        <v>1822</v>
      </c>
      <c r="C873" s="288" t="s">
        <v>275</v>
      </c>
      <c r="D873" s="289">
        <v>1.61</v>
      </c>
      <c r="E873" s="290"/>
      <c r="F873" s="290"/>
      <c r="G873" s="290" t="s">
        <v>883</v>
      </c>
      <c r="H873" s="291">
        <v>185</v>
      </c>
      <c r="I873" s="292">
        <v>103003</v>
      </c>
      <c r="J873" s="293">
        <v>1.61</v>
      </c>
      <c r="K873" s="294">
        <v>2836</v>
      </c>
      <c r="L873" s="295">
        <f>IF(tabItens[[#This Row],[Média]] &gt; 0, tabItens[[#This Row],[QTDE ATUAL]] / tabItens[[#This Row],[Média]],999.9)</f>
        <v>0.66110780226325194</v>
      </c>
      <c r="M873" s="296">
        <v>0</v>
      </c>
      <c r="N873" s="297">
        <f>tabItens[[#This Row],[VALOR UNIT.]] * tabItens[[#This Row],[LC]]</f>
        <v>0</v>
      </c>
      <c r="O873" s="298"/>
      <c r="P873" s="299"/>
      <c r="Q873" s="300"/>
      <c r="R873" s="297"/>
      <c r="S873" s="301"/>
      <c r="T873" s="302">
        <f>ROUNDDOWN(IFERROR(tabItens[[#This Row],[ATA DT.VALID.]] - $D$1,0) / 30,0)</f>
        <v>-1504</v>
      </c>
      <c r="U873" s="287" t="s">
        <v>1463</v>
      </c>
      <c r="V873" s="303">
        <v>1</v>
      </c>
      <c r="W873" s="304" t="s">
        <v>2052</v>
      </c>
      <c r="X873" s="305">
        <v>71</v>
      </c>
      <c r="Y873" s="306">
        <v>33</v>
      </c>
      <c r="Z873" s="307">
        <v>6219</v>
      </c>
      <c r="AA873" s="308">
        <v>2023</v>
      </c>
      <c r="AB873" s="309">
        <v>1700</v>
      </c>
      <c r="AC873" s="309"/>
      <c r="AD873" s="308"/>
      <c r="AE873" s="309"/>
      <c r="AF873" s="302"/>
      <c r="AG873" s="310" t="s">
        <v>2050</v>
      </c>
      <c r="AH873" s="311"/>
      <c r="AI873" s="302">
        <v>1262</v>
      </c>
      <c r="AJ873" s="311">
        <v>45027</v>
      </c>
      <c r="AK873" s="311">
        <v>42765</v>
      </c>
      <c r="AL873" s="311">
        <v>44998</v>
      </c>
      <c r="AM873" s="301"/>
      <c r="AN873" s="290"/>
      <c r="AO873" s="312" t="str">
        <f>_xlfn.IFNA(IF(VLOOKUP(tabItens[[#This Row],[CÓDIGO]],tabExcluirDoEstoque[#Data],1,FALSE),"sim",""),"")</f>
        <v/>
      </c>
      <c r="AP873" s="313" t="str">
        <f ca="1">IF(OR(ISBLANK(tabItens[[#This Row],[ATA DT.VALID.]]),tabItens[[#This Row],[ATA DT.VALID.]]="",tabItens[[#This Row],[ATA DT.VALID.]]=" "),"",IF(TYPE(tabItens[[#This Row],[ATA DT.VALID.]])=1,ROUNDUP((tabItens[[#This Row],[ATA DT.VALID.]]-TODAY())/7,0),""))</f>
        <v/>
      </c>
      <c r="AQ873" s="314"/>
      <c r="AR873" s="315" t="str">
        <f>IF(ISBLANK(tabItens[[#This Row],[CÓDIGO]]),"",IFERROR(VLOOKUP(tabItens[[#This Row],[CÓDIGO]],Consumo!$C$2:$AC$869,26,FALSE),0))</f>
        <v>07.2023</v>
      </c>
      <c r="AS873" s="316">
        <f>SUMIF(Consumo!$C$3:$C$869,tabItens[[#This Row],[CÓDIGO]],Consumo!$N$3:$N$869) + SUMIF(Consumo!$C$3:$C$869,tabItens[[#This Row],[CÓDIGO]],Consumo!$O$3:$O$869) + SUMIF(Consumo!$C$3:$C$869,tabItens[[#This Row],[CÓDIGO]],Consumo!$P$3:$P$869) + SUMIF(Consumo!$C$3:$C$869,tabItens[[#This Row],[CÓDIGO]],Consumo!$Q$3:$Q$869)</f>
        <v>853</v>
      </c>
      <c r="AT873" s="316">
        <f>SUMIF(Consumo!$C$3:$C$869,tabItens[[#This Row],[CÓDIGO]],Consumo!$Z$3:$Z$869)</f>
        <v>3888</v>
      </c>
      <c r="AU873" s="317">
        <f>SUMIF(Consumo!$C$3:$C$869,tabItens[[#This Row],[CÓDIGO]],Consumo!$AA$3:$AA$869)</f>
        <v>1701</v>
      </c>
      <c r="AV873" s="318">
        <f>SUMIF(Consumo!$C$3:$C$869,tabItens[[#This Row],[CÓDIGO]],Consumo!$Y$3:$Y$869)</f>
        <v>279.83333333333331</v>
      </c>
      <c r="AW873" s="291">
        <f>tabItens[[#This Row],[QTDE ATUAL]] + tabItens[[#This Row],[RC QTDE]] + tabItens[[#This Row],[AF SALDO]] + tabItens[[#This Row],[Recentes]]</f>
        <v>1885</v>
      </c>
      <c r="AX873" s="319">
        <v>359</v>
      </c>
      <c r="AY873" s="319">
        <v>4</v>
      </c>
      <c r="AZ873" s="319">
        <f>IF(ISBLANK(tabItens[[#This Row],[CÓDIGO]]),"",tabItens[[#This Row],[PontoMês]] * (AZ$2+tabItens[[#This Row],[PontoQtM]]))</f>
        <v>1436</v>
      </c>
      <c r="BA873" s="318">
        <f>tabItens[[#This Row],[PontoPed]] - tabItens[[#This Row],[Saldo]] + (1/10)</f>
        <v>-448.9</v>
      </c>
      <c r="BB873" s="318">
        <f xml:space="preserve"> tabItens[[#This Row],[PontoMês]] * BB$2 - tabItens[[#This Row],[QTDE ATUAL]] - (1/10)</f>
        <v>173.9</v>
      </c>
      <c r="BC873" s="320">
        <f>IF( tabItens[[#This Row],[PontoPed]]&gt;0, IF(tabItens[[#This Row],[PontoPed]]&lt;1, 1, IF( tabItens[[#This Row],[Saldo]]&gt;tabItens[[#This Row],[PontoPed]], 0, (tabItens[[#This Row],[PontoPed]]-tabItens[[#This Row],[Saldo]])/tabItens[[#This Row],[PontoPed]] ) ), 0 )</f>
        <v>0</v>
      </c>
      <c r="BD873" s="321">
        <f>ROUNDDOWN(IF( OR( AND(tabItens[[#This Row],[PontoPed]]&lt;tabItens[[#This Row],[Saldo]],tabItens[[#This Row],[Saldo]]&gt;0), tabItens[[#This Row],[PontoPed]]=0), 99, IF(AND(tabItens[[#This Row],[Saldo]]=0,tabItens[[#This Row],[PontoPed]]&gt;0), 0, (1-tabItens[[#This Row],[PctAb]])*10 ) ),0)</f>
        <v>99</v>
      </c>
      <c r="BE873" s="322">
        <f>MAX(ROUNDDOWN( IF(tabItens[[#This Row],[Abaixo]] &gt; 0,   tabItens[[#This Row],[Abaixo]] + (tabItens[[#This Row],[PontoMês]] * IF( OR( ISBLANK(tabItens[[#This Row],[ATA Nº/ANO]]), tabItens[[#This Row],[ATA Nº/ANO]] = ""),BE$2,BE$1)),0),0),0)</f>
        <v>0</v>
      </c>
      <c r="BF87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323">
        <f>SUMIF(Consumo!$C$3:$C$869,tabItens[[#This Row],[CÓDIGO]],Consumo!$E$3:$E$869)</f>
        <v>105</v>
      </c>
      <c r="BH873" s="324">
        <f>IF(AND(tabItens[[#This Row],[Pend]] &gt; 0,tabItens[[#This Row],[Consumo]] &lt;&gt; 0), tabItens[[#This Row],[Pend]] / tabItens[[#This Row],[Consumo]], 0 )</f>
        <v>2.7006172839506171E-2</v>
      </c>
      <c r="BI873" s="323"/>
      <c r="BJ873" s="323"/>
      <c r="BK873" s="325" t="s">
        <v>2064</v>
      </c>
    </row>
    <row r="874" spans="1:63" hidden="1" x14ac:dyDescent="0.3">
      <c r="A874" s="286">
        <v>133191</v>
      </c>
      <c r="B874" s="287" t="s">
        <v>1839</v>
      </c>
      <c r="C874" s="288" t="s">
        <v>31</v>
      </c>
      <c r="D874" s="289">
        <v>7.0000000000000007E-2</v>
      </c>
      <c r="E874" s="290"/>
      <c r="F874" s="290"/>
      <c r="G874" s="290" t="s">
        <v>883</v>
      </c>
      <c r="H874" s="291">
        <v>185715</v>
      </c>
      <c r="I874" s="292">
        <v>103003</v>
      </c>
      <c r="J874" s="293">
        <v>7.0000000000000007E-2</v>
      </c>
      <c r="K874" s="294">
        <v>333877</v>
      </c>
      <c r="L874" s="295">
        <f>IF(tabItens[[#This Row],[Média]] &gt; 0, tabItens[[#This Row],[QTDE ATUAL]] / tabItens[[#This Row],[Média]],999.9)</f>
        <v>8.1758149841148722</v>
      </c>
      <c r="M874" s="296">
        <v>0</v>
      </c>
      <c r="N874" s="297">
        <f>tabItens[[#This Row],[VALOR UNIT.]] * tabItens[[#This Row],[LC]]</f>
        <v>0</v>
      </c>
      <c r="O874" s="298"/>
      <c r="P874" s="299"/>
      <c r="Q874" s="300"/>
      <c r="R874" s="297"/>
      <c r="S874" s="301"/>
      <c r="T874" s="302">
        <f>ROUNDDOWN(IFERROR(tabItens[[#This Row],[ATA DT.VALID.]] - $D$1,0) / 30,0)</f>
        <v>-1504</v>
      </c>
      <c r="U874" s="287" t="s">
        <v>892</v>
      </c>
      <c r="V874" s="303">
        <v>1</v>
      </c>
      <c r="W874" s="304" t="s">
        <v>2051</v>
      </c>
      <c r="X874" s="305">
        <v>72</v>
      </c>
      <c r="Y874" s="306">
        <v>6</v>
      </c>
      <c r="Z874" s="307"/>
      <c r="AA874" s="308"/>
      <c r="AB874" s="309"/>
      <c r="AC874" s="309"/>
      <c r="AD874" s="308"/>
      <c r="AE874" s="309"/>
      <c r="AF874" s="302"/>
      <c r="AG874" s="310" t="s">
        <v>2050</v>
      </c>
      <c r="AH874" s="311"/>
      <c r="AI874" s="302">
        <v>115730</v>
      </c>
      <c r="AJ874" s="311">
        <v>43040</v>
      </c>
      <c r="AK874" s="311">
        <v>42968</v>
      </c>
      <c r="AL874" s="311">
        <v>43031</v>
      </c>
      <c r="AM874" s="301"/>
      <c r="AN874" s="290"/>
      <c r="AO874" s="312" t="str">
        <f>_xlfn.IFNA(IF(VLOOKUP(tabItens[[#This Row],[CÓDIGO]],tabExcluirDoEstoque[#Data],1,FALSE),"sim",""),"")</f>
        <v/>
      </c>
      <c r="AP874" s="313" t="str">
        <f ca="1">IF(OR(ISBLANK(tabItens[[#This Row],[ATA DT.VALID.]]),tabItens[[#This Row],[ATA DT.VALID.]]="",tabItens[[#This Row],[ATA DT.VALID.]]=" "),"",IF(TYPE(tabItens[[#This Row],[ATA DT.VALID.]])=1,ROUNDUP((tabItens[[#This Row],[ATA DT.VALID.]]-TODAY())/7,0),""))</f>
        <v/>
      </c>
      <c r="AQ874" s="314"/>
      <c r="AR874" s="315" t="str">
        <f>IF(ISBLANK(tabItens[[#This Row],[CÓDIGO]]),"",IFERROR(VLOOKUP(tabItens[[#This Row],[CÓDIGO]],Consumo!$C$2:$AC$869,26,FALSE),0))</f>
        <v>07.2023</v>
      </c>
      <c r="AS874" s="316">
        <f>SUMIF(Consumo!$C$3:$C$869,tabItens[[#This Row],[CÓDIGO]],Consumo!$N$3:$N$869) + SUMIF(Consumo!$C$3:$C$869,tabItens[[#This Row],[CÓDIGO]],Consumo!$O$3:$O$869) + SUMIF(Consumo!$C$3:$C$869,tabItens[[#This Row],[CÓDIGO]],Consumo!$P$3:$P$869) + SUMIF(Consumo!$C$3:$C$869,tabItens[[#This Row],[CÓDIGO]],Consumo!$Q$3:$Q$869)</f>
        <v>10930</v>
      </c>
      <c r="AT874" s="316">
        <f>SUMIF(Consumo!$C$3:$C$869,tabItens[[#This Row],[CÓDIGO]],Consumo!$Z$3:$Z$869)</f>
        <v>347187</v>
      </c>
      <c r="AU874" s="317">
        <f>SUMIF(Consumo!$C$3:$C$869,tabItens[[#This Row],[CÓDIGO]],Consumo!$AA$3:$AA$869)</f>
        <v>246270</v>
      </c>
      <c r="AV874" s="318">
        <f>SUMIF(Consumo!$C$3:$C$869,tabItens[[#This Row],[CÓDIGO]],Consumo!$Y$3:$Y$869)</f>
        <v>22715.166666666668</v>
      </c>
      <c r="AW874" s="291">
        <f>tabItens[[#This Row],[QTDE ATUAL]] + tabItens[[#This Row],[RC QTDE]] + tabItens[[#This Row],[AF SALDO]] + tabItens[[#This Row],[Recentes]]</f>
        <v>185715</v>
      </c>
      <c r="AX874" s="319">
        <v>9247</v>
      </c>
      <c r="AY874" s="319">
        <v>4</v>
      </c>
      <c r="AZ874" s="319">
        <f>IF(ISBLANK(tabItens[[#This Row],[CÓDIGO]]),"",tabItens[[#This Row],[PontoMês]] * (AZ$2+tabItens[[#This Row],[PontoQtM]]))</f>
        <v>36988</v>
      </c>
      <c r="BA874" s="318">
        <f>tabItens[[#This Row],[PontoPed]] - tabItens[[#This Row],[Saldo]] + (1/10)</f>
        <v>-148726.9</v>
      </c>
      <c r="BB874" s="318">
        <f xml:space="preserve"> tabItens[[#This Row],[PontoMês]] * BB$2 - tabItens[[#This Row],[QTDE ATUAL]] - (1/10)</f>
        <v>-176468.1</v>
      </c>
      <c r="BC874" s="320">
        <f>IF( tabItens[[#This Row],[PontoPed]]&gt;0, IF(tabItens[[#This Row],[PontoPed]]&lt;1, 1, IF( tabItens[[#This Row],[Saldo]]&gt;tabItens[[#This Row],[PontoPed]], 0, (tabItens[[#This Row],[PontoPed]]-tabItens[[#This Row],[Saldo]])/tabItens[[#This Row],[PontoPed]] ) ), 0 )</f>
        <v>0</v>
      </c>
      <c r="BD874" s="321">
        <f>ROUNDDOWN(IF( OR( AND(tabItens[[#This Row],[PontoPed]]&lt;tabItens[[#This Row],[Saldo]],tabItens[[#This Row],[Saldo]]&gt;0), tabItens[[#This Row],[PontoPed]]=0), 99, IF(AND(tabItens[[#This Row],[Saldo]]=0,tabItens[[#This Row],[PontoPed]]&gt;0), 0, (1-tabItens[[#This Row],[PctAb]])*10 ) ),0)</f>
        <v>99</v>
      </c>
      <c r="BE874" s="322">
        <f>MAX(ROUNDDOWN( IF(tabItens[[#This Row],[Abaixo]] &gt; 0,   tabItens[[#This Row],[Abaixo]] + (tabItens[[#This Row],[PontoMês]] * IF( OR( ISBLANK(tabItens[[#This Row],[ATA Nº/ANO]]), tabItens[[#This Row],[ATA Nº/ANO]] = ""),BE$2,BE$1)),0),0),0)</f>
        <v>0</v>
      </c>
      <c r="BF87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323">
        <f>SUMIF(Consumo!$C$3:$C$869,tabItens[[#This Row],[CÓDIGO]],Consumo!$E$3:$E$869)</f>
        <v>0</v>
      </c>
      <c r="BH874" s="324">
        <f>IF(AND(tabItens[[#This Row],[Pend]] &gt; 0,tabItens[[#This Row],[Consumo]] &lt;&gt; 0), tabItens[[#This Row],[Pend]] / tabItens[[#This Row],[Consumo]], 0 )</f>
        <v>0</v>
      </c>
      <c r="BI874" s="323"/>
      <c r="BJ874" s="323"/>
      <c r="BK874" s="325" t="s">
        <v>2064</v>
      </c>
    </row>
    <row r="875" spans="1:63" hidden="1" x14ac:dyDescent="0.3">
      <c r="A875" s="286">
        <v>49254</v>
      </c>
      <c r="B875" s="287" t="s">
        <v>1291</v>
      </c>
      <c r="C875" s="288" t="s">
        <v>331</v>
      </c>
      <c r="D875" s="289">
        <v>10.199999999999999</v>
      </c>
      <c r="E875" s="290"/>
      <c r="F875" s="290"/>
      <c r="G875" s="290" t="s">
        <v>883</v>
      </c>
      <c r="H875" s="291">
        <v>530</v>
      </c>
      <c r="I875" s="292">
        <v>103003</v>
      </c>
      <c r="J875" s="293">
        <v>10.199999999999999</v>
      </c>
      <c r="K875" s="294">
        <v>1346</v>
      </c>
      <c r="L875" s="295">
        <f>IF(tabItens[[#This Row],[Média]] &gt; 0, tabItens[[#This Row],[QTDE ATUAL]] / tabItens[[#This Row],[Média]],999.9)</f>
        <v>3.5079977937120792</v>
      </c>
      <c r="M875" s="296">
        <v>0</v>
      </c>
      <c r="N875" s="297">
        <f>tabItens[[#This Row],[VALOR UNIT.]] * tabItens[[#This Row],[LC]]</f>
        <v>0</v>
      </c>
      <c r="O875" s="298"/>
      <c r="P875" s="299"/>
      <c r="Q875" s="300"/>
      <c r="R875" s="297"/>
      <c r="S875" s="301"/>
      <c r="T875" s="302">
        <f>ROUNDDOWN(IFERROR(tabItens[[#This Row],[ATA DT.VALID.]] - $D$1,0) / 30,0)</f>
        <v>-1504</v>
      </c>
      <c r="U875" s="287" t="s">
        <v>954</v>
      </c>
      <c r="V875" s="303">
        <v>1</v>
      </c>
      <c r="W875" s="304" t="s">
        <v>2051</v>
      </c>
      <c r="X875" s="305">
        <v>72</v>
      </c>
      <c r="Y875" s="306">
        <v>7</v>
      </c>
      <c r="Z875" s="307">
        <v>5540</v>
      </c>
      <c r="AA875" s="308">
        <v>2023</v>
      </c>
      <c r="AB875" s="309">
        <v>600</v>
      </c>
      <c r="AC875" s="309"/>
      <c r="AD875" s="308"/>
      <c r="AE875" s="309"/>
      <c r="AF875" s="302"/>
      <c r="AG875" s="310" t="s">
        <v>2050</v>
      </c>
      <c r="AH875" s="311"/>
      <c r="AI875" s="302">
        <v>596</v>
      </c>
      <c r="AJ875" s="311">
        <v>45069</v>
      </c>
      <c r="AK875" s="311" t="s">
        <v>883</v>
      </c>
      <c r="AL875" s="311">
        <v>44998</v>
      </c>
      <c r="AM875" s="301"/>
      <c r="AN875" s="290"/>
      <c r="AO875" s="312" t="str">
        <f>_xlfn.IFNA(IF(VLOOKUP(tabItens[[#This Row],[CÓDIGO]],tabExcluirDoEstoque[#Data],1,FALSE),"sim",""),"")</f>
        <v/>
      </c>
      <c r="AP875" s="313" t="str">
        <f ca="1">IF(OR(ISBLANK(tabItens[[#This Row],[ATA DT.VALID.]]),tabItens[[#This Row],[ATA DT.VALID.]]="",tabItens[[#This Row],[ATA DT.VALID.]]=" "),"",IF(TYPE(tabItens[[#This Row],[ATA DT.VALID.]])=1,ROUNDUP((tabItens[[#This Row],[ATA DT.VALID.]]-TODAY())/7,0),""))</f>
        <v/>
      </c>
      <c r="AQ875" s="314"/>
      <c r="AR875" s="315" t="str">
        <f>IF(ISBLANK(tabItens[[#This Row],[CÓDIGO]]),"",IFERROR(VLOOKUP(tabItens[[#This Row],[CÓDIGO]],Consumo!$C$2:$AC$869,26,FALSE),0))</f>
        <v>07.2023</v>
      </c>
      <c r="AS875" s="316">
        <f>SUMIF(Consumo!$C$3:$C$869,tabItens[[#This Row],[CÓDIGO]],Consumo!$N$3:$N$869) + SUMIF(Consumo!$C$3:$C$869,tabItens[[#This Row],[CÓDIGO]],Consumo!$O$3:$O$869) + SUMIF(Consumo!$C$3:$C$869,tabItens[[#This Row],[CÓDIGO]],Consumo!$P$3:$P$869) + SUMIF(Consumo!$C$3:$C$869,tabItens[[#This Row],[CÓDIGO]],Consumo!$Q$3:$Q$869)</f>
        <v>789</v>
      </c>
      <c r="AT875" s="316">
        <f>SUMIF(Consumo!$C$3:$C$869,tabItens[[#This Row],[CÓDIGO]],Consumo!$Z$3:$Z$869)</f>
        <v>1813</v>
      </c>
      <c r="AU875" s="317">
        <f>SUMIF(Consumo!$C$3:$C$869,tabItens[[#This Row],[CÓDIGO]],Consumo!$AA$3:$AA$869)</f>
        <v>342</v>
      </c>
      <c r="AV875" s="318">
        <f>SUMIF(Consumo!$C$3:$C$869,tabItens[[#This Row],[CÓDIGO]],Consumo!$Y$3:$Y$869)</f>
        <v>151.08333333333334</v>
      </c>
      <c r="AW875" s="291">
        <f>tabItens[[#This Row],[QTDE ATUAL]] + tabItens[[#This Row],[RC QTDE]] + tabItens[[#This Row],[AF SALDO]] + tabItens[[#This Row],[Recentes]]</f>
        <v>1130</v>
      </c>
      <c r="AX875" s="319">
        <v>121</v>
      </c>
      <c r="AY875" s="319">
        <v>4</v>
      </c>
      <c r="AZ875" s="319">
        <f>IF(ISBLANK(tabItens[[#This Row],[CÓDIGO]]),"",tabItens[[#This Row],[PontoMês]] * (AZ$2+tabItens[[#This Row],[PontoQtM]]))</f>
        <v>484</v>
      </c>
      <c r="BA875" s="318">
        <f>tabItens[[#This Row],[PontoPed]] - tabItens[[#This Row],[Saldo]] + (1/10)</f>
        <v>-645.9</v>
      </c>
      <c r="BB875" s="318">
        <f xml:space="preserve"> tabItens[[#This Row],[PontoMês]] * BB$2 - tabItens[[#This Row],[QTDE ATUAL]] - (1/10)</f>
        <v>-409.1</v>
      </c>
      <c r="BC875" s="320">
        <f>IF( tabItens[[#This Row],[PontoPed]]&gt;0, IF(tabItens[[#This Row],[PontoPed]]&lt;1, 1, IF( tabItens[[#This Row],[Saldo]]&gt;tabItens[[#This Row],[PontoPed]], 0, (tabItens[[#This Row],[PontoPed]]-tabItens[[#This Row],[Saldo]])/tabItens[[#This Row],[PontoPed]] ) ), 0 )</f>
        <v>0</v>
      </c>
      <c r="BD875" s="321">
        <f>ROUNDDOWN(IF( OR( AND(tabItens[[#This Row],[PontoPed]]&lt;tabItens[[#This Row],[Saldo]],tabItens[[#This Row],[Saldo]]&gt;0), tabItens[[#This Row],[PontoPed]]=0), 99, IF(AND(tabItens[[#This Row],[Saldo]]=0,tabItens[[#This Row],[PontoPed]]&gt;0), 0, (1-tabItens[[#This Row],[PctAb]])*10 ) ),0)</f>
        <v>99</v>
      </c>
      <c r="BE875" s="322">
        <f>MAX(ROUNDDOWN( IF(tabItens[[#This Row],[Abaixo]] &gt; 0,   tabItens[[#This Row],[Abaixo]] + (tabItens[[#This Row],[PontoMês]] * IF( OR( ISBLANK(tabItens[[#This Row],[ATA Nº/ANO]]), tabItens[[#This Row],[ATA Nº/ANO]] = ""),BE$2,BE$1)),0),0),0)</f>
        <v>0</v>
      </c>
      <c r="BF87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323">
        <f>SUMIF(Consumo!$C$3:$C$869,tabItens[[#This Row],[CÓDIGO]],Consumo!$E$3:$E$869)</f>
        <v>24</v>
      </c>
      <c r="BH875" s="324">
        <f>IF(AND(tabItens[[#This Row],[Pend]] &gt; 0,tabItens[[#This Row],[Consumo]] &lt;&gt; 0), tabItens[[#This Row],[Pend]] / tabItens[[#This Row],[Consumo]], 0 )</f>
        <v>1.3237727523441808E-2</v>
      </c>
      <c r="BI875" s="323"/>
      <c r="BJ875" s="323"/>
      <c r="BK875" s="325" t="s">
        <v>2064</v>
      </c>
    </row>
    <row r="876" spans="1:63" x14ac:dyDescent="0.3">
      <c r="A876" s="396">
        <v>63252</v>
      </c>
      <c r="B876" s="397" t="s">
        <v>1354</v>
      </c>
      <c r="C876" s="398" t="s">
        <v>31</v>
      </c>
      <c r="D876" s="399">
        <v>7.4</v>
      </c>
      <c r="E876" s="290"/>
      <c r="F876" s="400"/>
      <c r="G876" s="400" t="s">
        <v>883</v>
      </c>
      <c r="H876" s="401">
        <v>0</v>
      </c>
      <c r="I876" s="292">
        <v>103003</v>
      </c>
      <c r="J876" s="293">
        <v>7.4</v>
      </c>
      <c r="K876" s="402">
        <v>142</v>
      </c>
      <c r="L876" s="403">
        <f>IF(tabItens[[#This Row],[Média]] &gt; 0, tabItens[[#This Row],[QTDE ATUAL]] / tabItens[[#This Row],[Média]],999.9)</f>
        <v>0</v>
      </c>
      <c r="M876" s="404"/>
      <c r="N876" s="405">
        <f>tabItens[[#This Row],[VALOR UNIT.]] * tabItens[[#This Row],[LC]]</f>
        <v>0</v>
      </c>
      <c r="O876" s="406"/>
      <c r="P876" s="407"/>
      <c r="Q876" s="408"/>
      <c r="R876" s="297"/>
      <c r="S876" s="409"/>
      <c r="T876" s="410">
        <f>ROUNDDOWN(IFERROR(tabItens[[#This Row],[ATA DT.VALID.]] - $D$1,0) / 30,0)</f>
        <v>-1504</v>
      </c>
      <c r="U876" s="287" t="s">
        <v>1355</v>
      </c>
      <c r="V876" s="303">
        <v>1</v>
      </c>
      <c r="W876" s="411" t="s">
        <v>2059</v>
      </c>
      <c r="X876" s="412">
        <v>72</v>
      </c>
      <c r="Y876" s="413">
        <v>13</v>
      </c>
      <c r="Z876" s="414">
        <v>2499</v>
      </c>
      <c r="AA876" s="415">
        <v>2023</v>
      </c>
      <c r="AB876" s="416">
        <v>50</v>
      </c>
      <c r="AC876" s="416"/>
      <c r="AD876" s="415"/>
      <c r="AE876" s="416"/>
      <c r="AF876" s="302"/>
      <c r="AG876" s="417" t="s">
        <v>2050</v>
      </c>
      <c r="AH876" s="418"/>
      <c r="AI876" s="302">
        <v>56</v>
      </c>
      <c r="AJ876" s="418">
        <v>44848</v>
      </c>
      <c r="AK876" s="311" t="s">
        <v>883</v>
      </c>
      <c r="AL876" s="311">
        <v>45077</v>
      </c>
      <c r="AM876" s="301"/>
      <c r="AN876" s="290"/>
      <c r="AO876" s="312" t="str">
        <f>_xlfn.IFNA(IF(VLOOKUP(tabItens[[#This Row],[CÓDIGO]],tabExcluirDoEstoque[#Data],1,FALSE),"sim",""),"")</f>
        <v/>
      </c>
      <c r="AP876" s="419" t="str">
        <f ca="1">IF(OR(ISBLANK(tabItens[[#This Row],[ATA DT.VALID.]]),tabItens[[#This Row],[ATA DT.VALID.]]="",tabItens[[#This Row],[ATA DT.VALID.]]=" "),"",IF(TYPE(tabItens[[#This Row],[ATA DT.VALID.]])=1,ROUNDUP((tabItens[[#This Row],[ATA DT.VALID.]]-TODAY())/7,0),""))</f>
        <v/>
      </c>
      <c r="AQ876" s="314"/>
      <c r="AR876" s="315" t="str">
        <f>IF(ISBLANK(tabItens[[#This Row],[CÓDIGO]]),"",IFERROR(VLOOKUP(tabItens[[#This Row],[CÓDIGO]],Consumo!$C$2:$AC$869,26,FALSE),0))</f>
        <v>03.2023</v>
      </c>
      <c r="AS876" s="316">
        <f>SUMIF(Consumo!$C$3:$C$869,tabItens[[#This Row],[CÓDIGO]],Consumo!$N$3:$N$869) + SUMIF(Consumo!$C$3:$C$869,tabItens[[#This Row],[CÓDIGO]],Consumo!$O$3:$O$869) + SUMIF(Consumo!$C$3:$C$869,tabItens[[#This Row],[CÓDIGO]],Consumo!$P$3:$P$869) + SUMIF(Consumo!$C$3:$C$869,tabItens[[#This Row],[CÓDIGO]],Consumo!$Q$3:$Q$869)</f>
        <v>0</v>
      </c>
      <c r="AT876" s="316">
        <f>SUMIF(Consumo!$C$3:$C$869,tabItens[[#This Row],[CÓDIGO]],Consumo!$Z$3:$Z$869)</f>
        <v>179</v>
      </c>
      <c r="AU876" s="317">
        <f>SUMIF(Consumo!$C$3:$C$869,tabItens[[#This Row],[CÓDIGO]],Consumo!$AA$3:$AA$869)</f>
        <v>61</v>
      </c>
      <c r="AV876" s="318">
        <f>SUMIF(Consumo!$C$3:$C$869,tabItens[[#This Row],[CÓDIGO]],Consumo!$Y$3:$Y$869)</f>
        <v>13.75</v>
      </c>
      <c r="AW876" s="401">
        <f>tabItens[[#This Row],[QTDE ATUAL]] + tabItens[[#This Row],[RC QTDE]] + tabItens[[#This Row],[AF SALDO]] + tabItens[[#This Row],[Recentes]]</f>
        <v>50</v>
      </c>
      <c r="AX876" s="420">
        <v>8</v>
      </c>
      <c r="AY876" s="420">
        <v>4</v>
      </c>
      <c r="AZ876" s="420">
        <f>IF(ISBLANK(tabItens[[#This Row],[CÓDIGO]]),"",tabItens[[#This Row],[PontoMês]] * (AZ$2+tabItens[[#This Row],[PontoQtM]]))</f>
        <v>32</v>
      </c>
      <c r="BA876" s="421">
        <f>tabItens[[#This Row],[PontoPed]] - tabItens[[#This Row],[Saldo]] + (1/10)</f>
        <v>-17.899999999999999</v>
      </c>
      <c r="BB876" s="421">
        <f xml:space="preserve"> tabItens[[#This Row],[PontoMês]] * BB$2 - tabItens[[#This Row],[QTDE ATUAL]] - (1/10)</f>
        <v>7.9</v>
      </c>
      <c r="BC876" s="320">
        <f>IF( tabItens[[#This Row],[PontoPed]]&gt;0, IF(tabItens[[#This Row],[PontoPed]]&lt;1, 1, IF( tabItens[[#This Row],[Saldo]]&gt;tabItens[[#This Row],[PontoPed]], 0, (tabItens[[#This Row],[PontoPed]]-tabItens[[#This Row],[Saldo]])/tabItens[[#This Row],[PontoPed]] ) ), 0 )</f>
        <v>0</v>
      </c>
      <c r="BD876" s="422">
        <f>ROUNDDOWN(IF( OR( AND(tabItens[[#This Row],[PontoPed]]&lt;tabItens[[#This Row],[Saldo]],tabItens[[#This Row],[Saldo]]&gt;0), tabItens[[#This Row],[PontoPed]]=0), 99, IF(AND(tabItens[[#This Row],[Saldo]]=0,tabItens[[#This Row],[PontoPed]]&gt;0), 0, (1-tabItens[[#This Row],[PctAb]])*10 ) ),0)</f>
        <v>99</v>
      </c>
      <c r="BE876" s="423">
        <f>MAX(ROUNDDOWN( IF(tabItens[[#This Row],[Abaixo]] &gt; 0,   tabItens[[#This Row],[Abaixo]] + (tabItens[[#This Row],[PontoMês]] * IF( OR( ISBLANK(tabItens[[#This Row],[ATA Nº/ANO]]), tabItens[[#This Row],[ATA Nº/ANO]] = ""),BE$2,BE$1)),0),0),0)</f>
        <v>0</v>
      </c>
      <c r="BF876"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323">
        <f>SUMIF(Consumo!$C$3:$C$869,tabItens[[#This Row],[CÓDIGO]],Consumo!$E$3:$E$869)</f>
        <v>14</v>
      </c>
      <c r="BH876" s="324">
        <f>IF(AND(tabItens[[#This Row],[Pend]] &gt; 0,tabItens[[#This Row],[Consumo]] &lt;&gt; 0), tabItens[[#This Row],[Pend]] / tabItens[[#This Row],[Consumo]], 0 )</f>
        <v>7.8212290502793297E-2</v>
      </c>
      <c r="BI876" s="323"/>
      <c r="BJ876" s="424"/>
      <c r="BK876" s="425" t="s">
        <v>2064</v>
      </c>
    </row>
    <row r="877" spans="1:63" hidden="1" x14ac:dyDescent="0.3">
      <c r="A877" s="286">
        <v>81152</v>
      </c>
      <c r="B877" s="287" t="s">
        <v>1460</v>
      </c>
      <c r="C877" s="288" t="s">
        <v>268</v>
      </c>
      <c r="D877" s="289">
        <v>132.19999999999999</v>
      </c>
      <c r="E877" s="290"/>
      <c r="F877" s="290"/>
      <c r="G877" s="290" t="s">
        <v>883</v>
      </c>
      <c r="H877" s="291">
        <v>612</v>
      </c>
      <c r="I877" s="292">
        <v>103003</v>
      </c>
      <c r="J877" s="293">
        <v>132.19999999999999</v>
      </c>
      <c r="K877" s="294">
        <v>11</v>
      </c>
      <c r="L877" s="295">
        <f>IF(tabItens[[#This Row],[Média]] &gt; 0, tabItens[[#This Row],[QTDE ATUAL]] / tabItens[[#This Row],[Média]],999.9)</f>
        <v>524.57142857142856</v>
      </c>
      <c r="M877" s="296">
        <v>0</v>
      </c>
      <c r="N877" s="297">
        <f>tabItens[[#This Row],[VALOR UNIT.]] * tabItens[[#This Row],[LC]]</f>
        <v>0</v>
      </c>
      <c r="O877" s="298"/>
      <c r="P877" s="299"/>
      <c r="Q877" s="300"/>
      <c r="R877" s="297"/>
      <c r="S877" s="301"/>
      <c r="T877" s="302">
        <f>ROUNDDOWN(IFERROR(tabItens[[#This Row],[ATA DT.VALID.]] - $D$1,0) / 30,0)</f>
        <v>-1504</v>
      </c>
      <c r="U877" s="287" t="s">
        <v>1461</v>
      </c>
      <c r="V877" s="303">
        <v>1</v>
      </c>
      <c r="W877" s="304" t="s">
        <v>2051</v>
      </c>
      <c r="X877" s="305">
        <v>73</v>
      </c>
      <c r="Y877" s="306">
        <v>1</v>
      </c>
      <c r="Z877" s="307"/>
      <c r="AA877" s="308"/>
      <c r="AB877" s="309"/>
      <c r="AC877" s="309"/>
      <c r="AD877" s="308"/>
      <c r="AE877" s="309"/>
      <c r="AF877" s="302"/>
      <c r="AG877" s="310" t="s">
        <v>2050</v>
      </c>
      <c r="AH877" s="311"/>
      <c r="AI877" s="302">
        <v>6</v>
      </c>
      <c r="AJ877" s="311">
        <v>44426</v>
      </c>
      <c r="AK877" s="311">
        <v>38208</v>
      </c>
      <c r="AL877" s="311">
        <v>44405</v>
      </c>
      <c r="AM877" s="301"/>
      <c r="AN877" s="290"/>
      <c r="AO877" s="312" t="str">
        <f>_xlfn.IFNA(IF(VLOOKUP(tabItens[[#This Row],[CÓDIGO]],tabExcluirDoEstoque[#Data],1,FALSE),"sim",""),"")</f>
        <v/>
      </c>
      <c r="AP877" s="313" t="str">
        <f ca="1">IF(OR(ISBLANK(tabItens[[#This Row],[ATA DT.VALID.]]),tabItens[[#This Row],[ATA DT.VALID.]]="",tabItens[[#This Row],[ATA DT.VALID.]]=" "),"",IF(TYPE(tabItens[[#This Row],[ATA DT.VALID.]])=1,ROUNDUP((tabItens[[#This Row],[ATA DT.VALID.]]-TODAY())/7,0),""))</f>
        <v/>
      </c>
      <c r="AQ877" s="314"/>
      <c r="AR877" s="315" t="str">
        <f>IF(ISBLANK(tabItens[[#This Row],[CÓDIGO]]),"",IFERROR(VLOOKUP(tabItens[[#This Row],[CÓDIGO]],Consumo!$C$2:$AC$869,26,FALSE),0))</f>
        <v>07.2023</v>
      </c>
      <c r="AS877" s="316">
        <f>SUMIF(Consumo!$C$3:$C$869,tabItens[[#This Row],[CÓDIGO]],Consumo!$N$3:$N$869) + SUMIF(Consumo!$C$3:$C$869,tabItens[[#This Row],[CÓDIGO]],Consumo!$O$3:$O$869) + SUMIF(Consumo!$C$3:$C$869,tabItens[[#This Row],[CÓDIGO]],Consumo!$P$3:$P$869) + SUMIF(Consumo!$C$3:$C$869,tabItens[[#This Row],[CÓDIGO]],Consumo!$Q$3:$Q$869)</f>
        <v>4</v>
      </c>
      <c r="AT877" s="316">
        <f>SUMIF(Consumo!$C$3:$C$869,tabItens[[#This Row],[CÓDIGO]],Consumo!$Z$3:$Z$869)</f>
        <v>15</v>
      </c>
      <c r="AU877" s="317">
        <f>SUMIF(Consumo!$C$3:$C$869,tabItens[[#This Row],[CÓDIGO]],Consumo!$AA$3:$AA$869)</f>
        <v>4</v>
      </c>
      <c r="AV877" s="318">
        <f>SUMIF(Consumo!$C$3:$C$869,tabItens[[#This Row],[CÓDIGO]],Consumo!$Y$3:$Y$869)</f>
        <v>1.1666666666666667</v>
      </c>
      <c r="AW877" s="291">
        <f>tabItens[[#This Row],[QTDE ATUAL]] + tabItens[[#This Row],[RC QTDE]] + tabItens[[#This Row],[AF SALDO]] + tabItens[[#This Row],[Recentes]]</f>
        <v>612</v>
      </c>
      <c r="AX877" s="319">
        <v>2</v>
      </c>
      <c r="AY877" s="319">
        <v>4</v>
      </c>
      <c r="AZ877" s="319">
        <f>IF(ISBLANK(tabItens[[#This Row],[CÓDIGO]]),"",tabItens[[#This Row],[PontoMês]] * (AZ$2+tabItens[[#This Row],[PontoQtM]]))</f>
        <v>8</v>
      </c>
      <c r="BA877" s="318">
        <f>tabItens[[#This Row],[PontoPed]] - tabItens[[#This Row],[Saldo]] + (1/10)</f>
        <v>-603.9</v>
      </c>
      <c r="BB877" s="318">
        <f xml:space="preserve"> tabItens[[#This Row],[PontoMês]] * BB$2 - tabItens[[#This Row],[QTDE ATUAL]] - (1/10)</f>
        <v>-610.1</v>
      </c>
      <c r="BC877" s="320">
        <f>IF( tabItens[[#This Row],[PontoPed]]&gt;0, IF(tabItens[[#This Row],[PontoPed]]&lt;1, 1, IF( tabItens[[#This Row],[Saldo]]&gt;tabItens[[#This Row],[PontoPed]], 0, (tabItens[[#This Row],[PontoPed]]-tabItens[[#This Row],[Saldo]])/tabItens[[#This Row],[PontoPed]] ) ), 0 )</f>
        <v>0</v>
      </c>
      <c r="BD877" s="321">
        <f>ROUNDDOWN(IF( OR( AND(tabItens[[#This Row],[PontoPed]]&lt;tabItens[[#This Row],[Saldo]],tabItens[[#This Row],[Saldo]]&gt;0), tabItens[[#This Row],[PontoPed]]=0), 99, IF(AND(tabItens[[#This Row],[Saldo]]=0,tabItens[[#This Row],[PontoPed]]&gt;0), 0, (1-tabItens[[#This Row],[PctAb]])*10 ) ),0)</f>
        <v>99</v>
      </c>
      <c r="BE877" s="322">
        <f>MAX(ROUNDDOWN( IF(tabItens[[#This Row],[Abaixo]] &gt; 0,   tabItens[[#This Row],[Abaixo]] + (tabItens[[#This Row],[PontoMês]] * IF( OR( ISBLANK(tabItens[[#This Row],[ATA Nº/ANO]]), tabItens[[#This Row],[ATA Nº/ANO]] = ""),BE$2,BE$1)),0),0),0)</f>
        <v>0</v>
      </c>
      <c r="BF87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323">
        <f>SUMIF(Consumo!$C$3:$C$869,tabItens[[#This Row],[CÓDIGO]],Consumo!$E$3:$E$869)</f>
        <v>0</v>
      </c>
      <c r="BH877" s="324">
        <f>IF(AND(tabItens[[#This Row],[Pend]] &gt; 0,tabItens[[#This Row],[Consumo]] &lt;&gt; 0), tabItens[[#This Row],[Pend]] / tabItens[[#This Row],[Consumo]], 0 )</f>
        <v>0</v>
      </c>
      <c r="BI877" s="323"/>
      <c r="BJ877" s="323"/>
      <c r="BK877" s="325" t="s">
        <v>2064</v>
      </c>
    </row>
    <row r="878" spans="1:63" hidden="1" x14ac:dyDescent="0.3">
      <c r="A878" s="286">
        <v>100907</v>
      </c>
      <c r="B878" s="287" t="s">
        <v>1565</v>
      </c>
      <c r="C878" s="288" t="s">
        <v>400</v>
      </c>
      <c r="D878" s="289">
        <v>7.6</v>
      </c>
      <c r="E878" s="290"/>
      <c r="F878" s="290"/>
      <c r="G878" s="290" t="s">
        <v>883</v>
      </c>
      <c r="H878" s="291">
        <v>121</v>
      </c>
      <c r="I878" s="292">
        <v>103003</v>
      </c>
      <c r="J878" s="293">
        <v>7.6</v>
      </c>
      <c r="K878" s="294">
        <v>92</v>
      </c>
      <c r="L878" s="295">
        <f>IF(tabItens[[#This Row],[Média]] &gt; 0, tabItens[[#This Row],[QTDE ATUAL]] / tabItens[[#This Row],[Média]],999.9)</f>
        <v>10.917293233082706</v>
      </c>
      <c r="M878" s="296">
        <v>0</v>
      </c>
      <c r="N878" s="297">
        <f>tabItens[[#This Row],[VALOR UNIT.]] * tabItens[[#This Row],[LC]]</f>
        <v>0</v>
      </c>
      <c r="O878" s="298"/>
      <c r="P878" s="299"/>
      <c r="Q878" s="300"/>
      <c r="R878" s="297"/>
      <c r="S878" s="301"/>
      <c r="T878" s="302">
        <f>ROUNDDOWN(IFERROR(tabItens[[#This Row],[ATA DT.VALID.]] - $D$1,0) / 30,0)</f>
        <v>-1504</v>
      </c>
      <c r="U878" s="287" t="s">
        <v>1461</v>
      </c>
      <c r="V878" s="303">
        <v>1</v>
      </c>
      <c r="W878" s="304" t="s">
        <v>2051</v>
      </c>
      <c r="X878" s="305">
        <v>73</v>
      </c>
      <c r="Y878" s="306">
        <v>1</v>
      </c>
      <c r="Z878" s="307"/>
      <c r="AA878" s="308"/>
      <c r="AB878" s="309"/>
      <c r="AC878" s="309"/>
      <c r="AD878" s="308"/>
      <c r="AE878" s="309"/>
      <c r="AF878" s="302"/>
      <c r="AG878" s="310" t="s">
        <v>2050</v>
      </c>
      <c r="AH878" s="311"/>
      <c r="AI878" s="302">
        <v>44</v>
      </c>
      <c r="AJ878" s="311">
        <v>44027</v>
      </c>
      <c r="AK878" s="311">
        <v>39281</v>
      </c>
      <c r="AL878" s="311">
        <v>44025</v>
      </c>
      <c r="AM878" s="301"/>
      <c r="AN878" s="290"/>
      <c r="AO878" s="312" t="str">
        <f>_xlfn.IFNA(IF(VLOOKUP(tabItens[[#This Row],[CÓDIGO]],tabExcluirDoEstoque[#Data],1,FALSE),"sim",""),"")</f>
        <v/>
      </c>
      <c r="AP878" s="313" t="str">
        <f ca="1">IF(OR(ISBLANK(tabItens[[#This Row],[ATA DT.VALID.]]),tabItens[[#This Row],[ATA DT.VALID.]]="",tabItens[[#This Row],[ATA DT.VALID.]]=" "),"",IF(TYPE(tabItens[[#This Row],[ATA DT.VALID.]])=1,ROUNDUP((tabItens[[#This Row],[ATA DT.VALID.]]-TODAY())/7,0),""))</f>
        <v/>
      </c>
      <c r="AQ878" s="314"/>
      <c r="AR878" s="315" t="str">
        <f>IF(ISBLANK(tabItens[[#This Row],[CÓDIGO]]),"",IFERROR(VLOOKUP(tabItens[[#This Row],[CÓDIGO]],Consumo!$C$2:$AC$869,26,FALSE),0))</f>
        <v>07.2023</v>
      </c>
      <c r="AS878" s="316">
        <f>SUMIF(Consumo!$C$3:$C$869,tabItens[[#This Row],[CÓDIGO]],Consumo!$N$3:$N$869) + SUMIF(Consumo!$C$3:$C$869,tabItens[[#This Row],[CÓDIGO]],Consumo!$O$3:$O$869) + SUMIF(Consumo!$C$3:$C$869,tabItens[[#This Row],[CÓDIGO]],Consumo!$P$3:$P$869) + SUMIF(Consumo!$C$3:$C$869,tabItens[[#This Row],[CÓDIGO]],Consumo!$Q$3:$Q$869)</f>
        <v>43</v>
      </c>
      <c r="AT878" s="316">
        <f>SUMIF(Consumo!$C$3:$C$869,tabItens[[#This Row],[CÓDIGO]],Consumo!$Z$3:$Z$869)</f>
        <v>133</v>
      </c>
      <c r="AU878" s="317">
        <f>SUMIF(Consumo!$C$3:$C$869,tabItens[[#This Row],[CÓDIGO]],Consumo!$AA$3:$AA$869)</f>
        <v>20</v>
      </c>
      <c r="AV878" s="318">
        <f>SUMIF(Consumo!$C$3:$C$869,tabItens[[#This Row],[CÓDIGO]],Consumo!$Y$3:$Y$869)</f>
        <v>11.083333333333334</v>
      </c>
      <c r="AW878" s="291">
        <f>tabItens[[#This Row],[QTDE ATUAL]] + tabItens[[#This Row],[RC QTDE]] + tabItens[[#This Row],[AF SALDO]] + tabItens[[#This Row],[Recentes]]</f>
        <v>121</v>
      </c>
      <c r="AX878" s="319">
        <v>24</v>
      </c>
      <c r="AY878" s="319">
        <v>4</v>
      </c>
      <c r="AZ878" s="319">
        <f>IF(ISBLANK(tabItens[[#This Row],[CÓDIGO]]),"",tabItens[[#This Row],[PontoMês]] * (AZ$2+tabItens[[#This Row],[PontoQtM]]))</f>
        <v>96</v>
      </c>
      <c r="BA878" s="318">
        <f>tabItens[[#This Row],[PontoPed]] - tabItens[[#This Row],[Saldo]] + (1/10)</f>
        <v>-24.9</v>
      </c>
      <c r="BB878" s="318">
        <f xml:space="preserve"> tabItens[[#This Row],[PontoMês]] * BB$2 - tabItens[[#This Row],[QTDE ATUAL]] - (1/10)</f>
        <v>-97.1</v>
      </c>
      <c r="BC878" s="320">
        <f>IF( tabItens[[#This Row],[PontoPed]]&gt;0, IF(tabItens[[#This Row],[PontoPed]]&lt;1, 1, IF( tabItens[[#This Row],[Saldo]]&gt;tabItens[[#This Row],[PontoPed]], 0, (tabItens[[#This Row],[PontoPed]]-tabItens[[#This Row],[Saldo]])/tabItens[[#This Row],[PontoPed]] ) ), 0 )</f>
        <v>0</v>
      </c>
      <c r="BD878" s="321">
        <f>ROUNDDOWN(IF( OR( AND(tabItens[[#This Row],[PontoPed]]&lt;tabItens[[#This Row],[Saldo]],tabItens[[#This Row],[Saldo]]&gt;0), tabItens[[#This Row],[PontoPed]]=0), 99, IF(AND(tabItens[[#This Row],[Saldo]]=0,tabItens[[#This Row],[PontoPed]]&gt;0), 0, (1-tabItens[[#This Row],[PctAb]])*10 ) ),0)</f>
        <v>99</v>
      </c>
      <c r="BE878" s="322">
        <f>MAX(ROUNDDOWN( IF(tabItens[[#This Row],[Abaixo]] &gt; 0,   tabItens[[#This Row],[Abaixo]] + (tabItens[[#This Row],[PontoMês]] * IF( OR( ISBLANK(tabItens[[#This Row],[ATA Nº/ANO]]), tabItens[[#This Row],[ATA Nº/ANO]] = ""),BE$2,BE$1)),0),0),0)</f>
        <v>0</v>
      </c>
      <c r="BF87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323">
        <f>SUMIF(Consumo!$C$3:$C$869,tabItens[[#This Row],[CÓDIGO]],Consumo!$E$3:$E$869)</f>
        <v>0</v>
      </c>
      <c r="BH878" s="324">
        <f>IF(AND(tabItens[[#This Row],[Pend]] &gt; 0,tabItens[[#This Row],[Consumo]] &lt;&gt; 0), tabItens[[#This Row],[Pend]] / tabItens[[#This Row],[Consumo]], 0 )</f>
        <v>0</v>
      </c>
      <c r="BI878" s="323"/>
      <c r="BJ878" s="323"/>
      <c r="BK878" s="325" t="s">
        <v>2064</v>
      </c>
    </row>
    <row r="879" spans="1:63" x14ac:dyDescent="0.3">
      <c r="A879" s="396">
        <v>89194</v>
      </c>
      <c r="B879" s="397" t="s">
        <v>1513</v>
      </c>
      <c r="C879" s="398" t="s">
        <v>256</v>
      </c>
      <c r="D879" s="399">
        <v>76.900000000000006</v>
      </c>
      <c r="E879" s="290"/>
      <c r="F879" s="400"/>
      <c r="G879" s="400" t="s">
        <v>883</v>
      </c>
      <c r="H879" s="401">
        <v>0</v>
      </c>
      <c r="I879" s="292">
        <v>103003</v>
      </c>
      <c r="J879" s="293">
        <v>76.900000000000006</v>
      </c>
      <c r="K879" s="402">
        <v>730</v>
      </c>
      <c r="L879" s="403">
        <f>IF(tabItens[[#This Row],[Média]] &gt; 0, tabItens[[#This Row],[QTDE ATUAL]] / tabItens[[#This Row],[Média]],999.9)</f>
        <v>0</v>
      </c>
      <c r="M879" s="404">
        <v>0</v>
      </c>
      <c r="N879" s="405">
        <f>tabItens[[#This Row],[VALOR UNIT.]] * tabItens[[#This Row],[LC]]</f>
        <v>0</v>
      </c>
      <c r="O879" s="406"/>
      <c r="P879" s="407"/>
      <c r="Q879" s="408"/>
      <c r="R879" s="297"/>
      <c r="S879" s="409"/>
      <c r="T879" s="410">
        <f>ROUNDDOWN(IFERROR(tabItens[[#This Row],[ATA DT.VALID.]] - $D$1,0) / 30,0)</f>
        <v>-1504</v>
      </c>
      <c r="U879" s="287" t="s">
        <v>1514</v>
      </c>
      <c r="V879" s="303">
        <v>1</v>
      </c>
      <c r="W879" s="411" t="s">
        <v>2051</v>
      </c>
      <c r="X879" s="412">
        <v>73</v>
      </c>
      <c r="Y879" s="413">
        <v>4</v>
      </c>
      <c r="Z879" s="414">
        <v>6284</v>
      </c>
      <c r="AA879" s="415">
        <v>2023</v>
      </c>
      <c r="AB879" s="416">
        <v>500</v>
      </c>
      <c r="AC879" s="416"/>
      <c r="AD879" s="415"/>
      <c r="AE879" s="416"/>
      <c r="AF879" s="302"/>
      <c r="AG879" s="417" t="s">
        <v>2050</v>
      </c>
      <c r="AH879" s="418"/>
      <c r="AI879" s="302">
        <v>344</v>
      </c>
      <c r="AJ879" s="418">
        <v>44796</v>
      </c>
      <c r="AK879" s="311">
        <v>38688</v>
      </c>
      <c r="AL879" s="311">
        <v>45079</v>
      </c>
      <c r="AM879" s="301"/>
      <c r="AN879" s="290"/>
      <c r="AO879" s="312" t="str">
        <f>_xlfn.IFNA(IF(VLOOKUP(tabItens[[#This Row],[CÓDIGO]],tabExcluirDoEstoque[#Data],1,FALSE),"sim",""),"")</f>
        <v/>
      </c>
      <c r="AP879" s="419" t="str">
        <f ca="1">IF(OR(ISBLANK(tabItens[[#This Row],[ATA DT.VALID.]]),tabItens[[#This Row],[ATA DT.VALID.]]="",tabItens[[#This Row],[ATA DT.VALID.]]=" "),"",IF(TYPE(tabItens[[#This Row],[ATA DT.VALID.]])=1,ROUNDUP((tabItens[[#This Row],[ATA DT.VALID.]]-TODAY())/7,0),""))</f>
        <v/>
      </c>
      <c r="AQ879" s="314"/>
      <c r="AR879" s="315" t="str">
        <f>IF(ISBLANK(tabItens[[#This Row],[CÓDIGO]]),"",IFERROR(VLOOKUP(tabItens[[#This Row],[CÓDIGO]],Consumo!$C$2:$AC$869,26,FALSE),0))</f>
        <v>06.2023</v>
      </c>
      <c r="AS879" s="316">
        <f>SUMIF(Consumo!$C$3:$C$869,tabItens[[#This Row],[CÓDIGO]],Consumo!$N$3:$N$869) + SUMIF(Consumo!$C$3:$C$869,tabItens[[#This Row],[CÓDIGO]],Consumo!$O$3:$O$869) + SUMIF(Consumo!$C$3:$C$869,tabItens[[#This Row],[CÓDIGO]],Consumo!$P$3:$P$869) + SUMIF(Consumo!$C$3:$C$869,tabItens[[#This Row],[CÓDIGO]],Consumo!$Q$3:$Q$869)</f>
        <v>257</v>
      </c>
      <c r="AT879" s="316">
        <f>SUMIF(Consumo!$C$3:$C$869,tabItens[[#This Row],[CÓDIGO]],Consumo!$Z$3:$Z$869)</f>
        <v>1123</v>
      </c>
      <c r="AU879" s="317">
        <f>SUMIF(Consumo!$C$3:$C$869,tabItens[[#This Row],[CÓDIGO]],Consumo!$AA$3:$AA$869)</f>
        <v>147</v>
      </c>
      <c r="AV879" s="318">
        <f>SUMIF(Consumo!$C$3:$C$869,tabItens[[#This Row],[CÓDIGO]],Consumo!$Y$3:$Y$869)</f>
        <v>93.583333333333329</v>
      </c>
      <c r="AW879" s="401">
        <f>tabItens[[#This Row],[QTDE ATUAL]] + tabItens[[#This Row],[RC QTDE]] + tabItens[[#This Row],[AF SALDO]] + tabItens[[#This Row],[Recentes]]</f>
        <v>500</v>
      </c>
      <c r="AX879" s="420">
        <v>0</v>
      </c>
      <c r="AY879" s="420">
        <v>0</v>
      </c>
      <c r="AZ879" s="420">
        <f>IF(ISBLANK(tabItens[[#This Row],[CÓDIGO]]),"",tabItens[[#This Row],[PontoMês]] * (AZ$2+tabItens[[#This Row],[PontoQtM]]))</f>
        <v>0</v>
      </c>
      <c r="BA879" s="421">
        <f>tabItens[[#This Row],[PontoPed]] - tabItens[[#This Row],[Saldo]] + (1/10)</f>
        <v>-499.9</v>
      </c>
      <c r="BB879" s="421">
        <f xml:space="preserve"> tabItens[[#This Row],[PontoMês]] * BB$2 - tabItens[[#This Row],[QTDE ATUAL]] - (1/10)</f>
        <v>-0.1</v>
      </c>
      <c r="BC879" s="320">
        <f>IF( tabItens[[#This Row],[PontoPed]]&gt;0, IF(tabItens[[#This Row],[PontoPed]]&lt;1, 1, IF( tabItens[[#This Row],[Saldo]]&gt;tabItens[[#This Row],[PontoPed]], 0, (tabItens[[#This Row],[PontoPed]]-tabItens[[#This Row],[Saldo]])/tabItens[[#This Row],[PontoPed]] ) ), 0 )</f>
        <v>0</v>
      </c>
      <c r="BD879" s="422">
        <f>ROUNDDOWN(IF( OR( AND(tabItens[[#This Row],[PontoPed]]&lt;tabItens[[#This Row],[Saldo]],tabItens[[#This Row],[Saldo]]&gt;0), tabItens[[#This Row],[PontoPed]]=0), 99, IF(AND(tabItens[[#This Row],[Saldo]]=0,tabItens[[#This Row],[PontoPed]]&gt;0), 0, (1-tabItens[[#This Row],[PctAb]])*10 ) ),0)</f>
        <v>99</v>
      </c>
      <c r="BE879" s="423">
        <f>MAX(ROUNDDOWN( IF(tabItens[[#This Row],[Abaixo]] &gt; 0,   tabItens[[#This Row],[Abaixo]] + (tabItens[[#This Row],[PontoMês]] * IF( OR( ISBLANK(tabItens[[#This Row],[ATA Nº/ANO]]), tabItens[[#This Row],[ATA Nº/ANO]] = ""),BE$2,BE$1)),0),0),0)</f>
        <v>0</v>
      </c>
      <c r="BF879"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323">
        <f>SUMIF(Consumo!$C$3:$C$869,tabItens[[#This Row],[CÓDIGO]],Consumo!$E$3:$E$869)</f>
        <v>32</v>
      </c>
      <c r="BH879" s="324">
        <f>IF(AND(tabItens[[#This Row],[Pend]] &gt; 0,tabItens[[#This Row],[Consumo]] &lt;&gt; 0), tabItens[[#This Row],[Pend]] / tabItens[[#This Row],[Consumo]], 0 )</f>
        <v>2.8495102404274265E-2</v>
      </c>
      <c r="BI879" s="323"/>
      <c r="BJ879" s="424"/>
      <c r="BK879" s="425" t="s">
        <v>2064</v>
      </c>
    </row>
    <row r="880" spans="1:63" hidden="1" x14ac:dyDescent="0.3">
      <c r="A880" s="286">
        <v>121086</v>
      </c>
      <c r="B880" s="287" t="s">
        <v>1739</v>
      </c>
      <c r="C880" s="288" t="s">
        <v>596</v>
      </c>
      <c r="D880" s="289">
        <v>95</v>
      </c>
      <c r="E880" s="290"/>
      <c r="F880" s="290"/>
      <c r="G880" s="290" t="s">
        <v>883</v>
      </c>
      <c r="H880" s="291">
        <v>2</v>
      </c>
      <c r="I880" s="292">
        <v>103003</v>
      </c>
      <c r="J880" s="293">
        <v>95</v>
      </c>
      <c r="K880" s="294">
        <v>9</v>
      </c>
      <c r="L880" s="295">
        <f>IF(tabItens[[#This Row],[Média]] &gt; 0, tabItens[[#This Row],[QTDE ATUAL]] / tabItens[[#This Row],[Média]],999.9)</f>
        <v>3</v>
      </c>
      <c r="M880" s="296">
        <v>0</v>
      </c>
      <c r="N880" s="297">
        <f>tabItens[[#This Row],[VALOR UNIT.]] * tabItens[[#This Row],[LC]]</f>
        <v>0</v>
      </c>
      <c r="O880" s="298"/>
      <c r="P880" s="299"/>
      <c r="Q880" s="300"/>
      <c r="R880" s="297"/>
      <c r="S880" s="301"/>
      <c r="T880" s="302">
        <f>ROUNDDOWN(IFERROR(tabItens[[#This Row],[ATA DT.VALID.]] - $D$1,0) / 30,0)</f>
        <v>-1504</v>
      </c>
      <c r="U880" s="287" t="s">
        <v>1740</v>
      </c>
      <c r="V880" s="303">
        <v>1</v>
      </c>
      <c r="W880" s="304" t="s">
        <v>2061</v>
      </c>
      <c r="X880" s="305">
        <v>75</v>
      </c>
      <c r="Y880" s="306">
        <v>5</v>
      </c>
      <c r="Z880" s="307">
        <v>2501</v>
      </c>
      <c r="AA880" s="308">
        <v>2023</v>
      </c>
      <c r="AB880" s="309">
        <v>5</v>
      </c>
      <c r="AC880" s="309"/>
      <c r="AD880" s="308"/>
      <c r="AE880" s="309"/>
      <c r="AF880" s="302"/>
      <c r="AG880" s="310" t="s">
        <v>2050</v>
      </c>
      <c r="AH880" s="311"/>
      <c r="AI880" s="302">
        <v>4</v>
      </c>
      <c r="AJ880" s="311">
        <v>43560</v>
      </c>
      <c r="AK880" s="311">
        <v>40807</v>
      </c>
      <c r="AL880" s="311">
        <v>43552</v>
      </c>
      <c r="AM880" s="301"/>
      <c r="AN880" s="290"/>
      <c r="AO880" s="312" t="str">
        <f>_xlfn.IFNA(IF(VLOOKUP(tabItens[[#This Row],[CÓDIGO]],tabExcluirDoEstoque[#Data],1,FALSE),"sim",""),"")</f>
        <v/>
      </c>
      <c r="AP880" s="313" t="str">
        <f ca="1">IF(OR(ISBLANK(tabItens[[#This Row],[ATA DT.VALID.]]),tabItens[[#This Row],[ATA DT.VALID.]]="",tabItens[[#This Row],[ATA DT.VALID.]]=" "),"",IF(TYPE(tabItens[[#This Row],[ATA DT.VALID.]])=1,ROUNDUP((tabItens[[#This Row],[ATA DT.VALID.]]-TODAY())/7,0),""))</f>
        <v/>
      </c>
      <c r="AQ880" s="314"/>
      <c r="AR880" s="315" t="str">
        <f>IF(ISBLANK(tabItens[[#This Row],[CÓDIGO]]),"",IFERROR(VLOOKUP(tabItens[[#This Row],[CÓDIGO]],Consumo!$C$2:$AC$869,26,FALSE),0))</f>
        <v>05.2023</v>
      </c>
      <c r="AS880" s="316">
        <f>SUMIF(Consumo!$C$3:$C$869,tabItens[[#This Row],[CÓDIGO]],Consumo!$N$3:$N$869) + SUMIF(Consumo!$C$3:$C$869,tabItens[[#This Row],[CÓDIGO]],Consumo!$O$3:$O$869) + SUMIF(Consumo!$C$3:$C$869,tabItens[[#This Row],[CÓDIGO]],Consumo!$P$3:$P$869) + SUMIF(Consumo!$C$3:$C$869,tabItens[[#This Row],[CÓDIGO]],Consumo!$Q$3:$Q$869)</f>
        <v>2</v>
      </c>
      <c r="AT880" s="316">
        <f>SUMIF(Consumo!$C$3:$C$869,tabItens[[#This Row],[CÓDIGO]],Consumo!$Z$3:$Z$869)</f>
        <v>9</v>
      </c>
      <c r="AU880" s="317">
        <f>SUMIF(Consumo!$C$3:$C$869,tabItens[[#This Row],[CÓDIGO]],Consumo!$AA$3:$AA$869)</f>
        <v>3</v>
      </c>
      <c r="AV880" s="318">
        <f>SUMIF(Consumo!$C$3:$C$869,tabItens[[#This Row],[CÓDIGO]],Consumo!$Y$3:$Y$869)</f>
        <v>0.66666666666666663</v>
      </c>
      <c r="AW880" s="291">
        <f>tabItens[[#This Row],[QTDE ATUAL]] + tabItens[[#This Row],[RC QTDE]] + tabItens[[#This Row],[AF SALDO]] + tabItens[[#This Row],[Recentes]]</f>
        <v>7</v>
      </c>
      <c r="AX880" s="319">
        <v>1</v>
      </c>
      <c r="AY880" s="319">
        <v>4</v>
      </c>
      <c r="AZ880" s="319">
        <f>IF(ISBLANK(tabItens[[#This Row],[CÓDIGO]]),"",tabItens[[#This Row],[PontoMês]] * (AZ$2+tabItens[[#This Row],[PontoQtM]]))</f>
        <v>4</v>
      </c>
      <c r="BA880" s="318">
        <f>tabItens[[#This Row],[PontoPed]] - tabItens[[#This Row],[Saldo]] + (1/10)</f>
        <v>-2.9</v>
      </c>
      <c r="BB880" s="318">
        <f xml:space="preserve"> tabItens[[#This Row],[PontoMês]] * BB$2 - tabItens[[#This Row],[QTDE ATUAL]] - (1/10)</f>
        <v>-1.1000000000000001</v>
      </c>
      <c r="BC880" s="320">
        <f>IF( tabItens[[#This Row],[PontoPed]]&gt;0, IF(tabItens[[#This Row],[PontoPed]]&lt;1, 1, IF( tabItens[[#This Row],[Saldo]]&gt;tabItens[[#This Row],[PontoPed]], 0, (tabItens[[#This Row],[PontoPed]]-tabItens[[#This Row],[Saldo]])/tabItens[[#This Row],[PontoPed]] ) ), 0 )</f>
        <v>0</v>
      </c>
      <c r="BD880" s="321">
        <f>ROUNDDOWN(IF( OR( AND(tabItens[[#This Row],[PontoPed]]&lt;tabItens[[#This Row],[Saldo]],tabItens[[#This Row],[Saldo]]&gt;0), tabItens[[#This Row],[PontoPed]]=0), 99, IF(AND(tabItens[[#This Row],[Saldo]]=0,tabItens[[#This Row],[PontoPed]]&gt;0), 0, (1-tabItens[[#This Row],[PctAb]])*10 ) ),0)</f>
        <v>99</v>
      </c>
      <c r="BE880" s="322">
        <f>MAX(ROUNDDOWN( IF(tabItens[[#This Row],[Abaixo]] &gt; 0,   tabItens[[#This Row],[Abaixo]] + (tabItens[[#This Row],[PontoMês]] * IF( OR( ISBLANK(tabItens[[#This Row],[ATA Nº/ANO]]), tabItens[[#This Row],[ATA Nº/ANO]] = ""),BE$2,BE$1)),0),0),0)</f>
        <v>0</v>
      </c>
      <c r="BF88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23">
        <f>SUMIF(Consumo!$C$3:$C$869,tabItens[[#This Row],[CÓDIGO]],Consumo!$E$3:$E$869)</f>
        <v>0</v>
      </c>
      <c r="BH880" s="324">
        <f>IF(AND(tabItens[[#This Row],[Pend]] &gt; 0,tabItens[[#This Row],[Consumo]] &lt;&gt; 0), tabItens[[#This Row],[Pend]] / tabItens[[#This Row],[Consumo]], 0 )</f>
        <v>0</v>
      </c>
      <c r="BI880" s="323"/>
      <c r="BJ880" s="323"/>
      <c r="BK880" s="325" t="s">
        <v>2064</v>
      </c>
    </row>
    <row r="881" spans="1:63" hidden="1" x14ac:dyDescent="0.3">
      <c r="A881" s="286">
        <v>141608</v>
      </c>
      <c r="B881" s="287" t="s">
        <v>2023</v>
      </c>
      <c r="C881" s="288" t="s">
        <v>273</v>
      </c>
      <c r="D881" s="289">
        <v>303</v>
      </c>
      <c r="E881" s="290"/>
      <c r="F881" s="290"/>
      <c r="G881" s="290" t="s">
        <v>883</v>
      </c>
      <c r="H881" s="291">
        <v>80</v>
      </c>
      <c r="I881" s="292">
        <v>103003</v>
      </c>
      <c r="J881" s="293">
        <v>303</v>
      </c>
      <c r="K881" s="294">
        <v>8</v>
      </c>
      <c r="L881" s="295">
        <f>IF(tabItens[[#This Row],[Média]] &gt; 0, tabItens[[#This Row],[QTDE ATUAL]] / tabItens[[#This Row],[Média]],999.9)</f>
        <v>137.14285714285714</v>
      </c>
      <c r="M881" s="296">
        <v>0</v>
      </c>
      <c r="N881" s="297">
        <f>tabItens[[#This Row],[VALOR UNIT.]] * tabItens[[#This Row],[LC]]</f>
        <v>0</v>
      </c>
      <c r="O881" s="298"/>
      <c r="P881" s="299"/>
      <c r="Q881" s="300"/>
      <c r="R881" s="297"/>
      <c r="S881" s="301"/>
      <c r="T881" s="302">
        <f>ROUNDDOWN(IFERROR(tabItens[[#This Row],[ATA DT.VALID.]] - $D$1,0) / 30,0)</f>
        <v>-1504</v>
      </c>
      <c r="U881" s="287" t="s">
        <v>1386</v>
      </c>
      <c r="V881" s="303">
        <v>1</v>
      </c>
      <c r="W881" s="304" t="s">
        <v>2053</v>
      </c>
      <c r="X881" s="305">
        <v>76</v>
      </c>
      <c r="Y881" s="306">
        <v>9</v>
      </c>
      <c r="Z881" s="307"/>
      <c r="AA881" s="308"/>
      <c r="AB881" s="309"/>
      <c r="AC881" s="309"/>
      <c r="AD881" s="308"/>
      <c r="AE881" s="309"/>
      <c r="AF881" s="302"/>
      <c r="AG881" s="310" t="s">
        <v>2050</v>
      </c>
      <c r="AH881" s="311"/>
      <c r="AI881" s="302">
        <v>2</v>
      </c>
      <c r="AJ881" s="311">
        <v>44799</v>
      </c>
      <c r="AK881" s="311">
        <v>44371</v>
      </c>
      <c r="AL881" s="311">
        <v>44915</v>
      </c>
      <c r="AM881" s="301"/>
      <c r="AN881" s="290"/>
      <c r="AO881" s="312" t="str">
        <f>_xlfn.IFNA(IF(VLOOKUP(tabItens[[#This Row],[CÓDIGO]],tabExcluirDoEstoque[#Data],1,FALSE),"sim",""),"")</f>
        <v/>
      </c>
      <c r="AP881" s="313" t="str">
        <f ca="1">IF(OR(ISBLANK(tabItens[[#This Row],[ATA DT.VALID.]]),tabItens[[#This Row],[ATA DT.VALID.]]="",tabItens[[#This Row],[ATA DT.VALID.]]=" "),"",IF(TYPE(tabItens[[#This Row],[ATA DT.VALID.]])=1,ROUNDUP((tabItens[[#This Row],[ATA DT.VALID.]]-TODAY())/7,0),""))</f>
        <v/>
      </c>
      <c r="AQ881" s="314"/>
      <c r="AR881" s="315" t="str">
        <f>IF(ISBLANK(tabItens[[#This Row],[CÓDIGO]]),"",IFERROR(VLOOKUP(tabItens[[#This Row],[CÓDIGO]],Consumo!$C$2:$AC$869,26,FALSE),0))</f>
        <v>05.2023</v>
      </c>
      <c r="AS881" s="316">
        <f>SUMIF(Consumo!$C$3:$C$869,tabItens[[#This Row],[CÓDIGO]],Consumo!$N$3:$N$869) + SUMIF(Consumo!$C$3:$C$869,tabItens[[#This Row],[CÓDIGO]],Consumo!$O$3:$O$869) + SUMIF(Consumo!$C$3:$C$869,tabItens[[#This Row],[CÓDIGO]],Consumo!$P$3:$P$869) + SUMIF(Consumo!$C$3:$C$869,tabItens[[#This Row],[CÓDIGO]],Consumo!$Q$3:$Q$869)</f>
        <v>3</v>
      </c>
      <c r="AT881" s="316">
        <f>SUMIF(Consumo!$C$3:$C$869,tabItens[[#This Row],[CÓDIGO]],Consumo!$Z$3:$Z$869)</f>
        <v>8</v>
      </c>
      <c r="AU881" s="317">
        <f>SUMIF(Consumo!$C$3:$C$869,tabItens[[#This Row],[CÓDIGO]],Consumo!$AA$3:$AA$869)</f>
        <v>4</v>
      </c>
      <c r="AV881" s="318">
        <f>SUMIF(Consumo!$C$3:$C$869,tabItens[[#This Row],[CÓDIGO]],Consumo!$Y$3:$Y$869)</f>
        <v>0.58333333333333337</v>
      </c>
      <c r="AW881" s="291">
        <f>tabItens[[#This Row],[QTDE ATUAL]] + tabItens[[#This Row],[RC QTDE]] + tabItens[[#This Row],[AF SALDO]] + tabItens[[#This Row],[Recentes]]</f>
        <v>80</v>
      </c>
      <c r="AX881" s="319">
        <v>18</v>
      </c>
      <c r="AY881" s="319">
        <v>4</v>
      </c>
      <c r="AZ881" s="319">
        <f>IF(ISBLANK(tabItens[[#This Row],[CÓDIGO]]),"",tabItens[[#This Row],[PontoMês]] * (AZ$2+tabItens[[#This Row],[PontoQtM]]))</f>
        <v>72</v>
      </c>
      <c r="BA881" s="318">
        <f>tabItens[[#This Row],[PontoPed]] - tabItens[[#This Row],[Saldo]] + (1/10)</f>
        <v>-7.9</v>
      </c>
      <c r="BB881" s="318">
        <f xml:space="preserve"> tabItens[[#This Row],[PontoMês]] * BB$2 - tabItens[[#This Row],[QTDE ATUAL]] - (1/10)</f>
        <v>-62.1</v>
      </c>
      <c r="BC881" s="320">
        <f>IF( tabItens[[#This Row],[PontoPed]]&gt;0, IF(tabItens[[#This Row],[PontoPed]]&lt;1, 1, IF( tabItens[[#This Row],[Saldo]]&gt;tabItens[[#This Row],[PontoPed]], 0, (tabItens[[#This Row],[PontoPed]]-tabItens[[#This Row],[Saldo]])/tabItens[[#This Row],[PontoPed]] ) ), 0 )</f>
        <v>0</v>
      </c>
      <c r="BD881" s="321">
        <f>ROUNDDOWN(IF( OR( AND(tabItens[[#This Row],[PontoPed]]&lt;tabItens[[#This Row],[Saldo]],tabItens[[#This Row],[Saldo]]&gt;0), tabItens[[#This Row],[PontoPed]]=0), 99, IF(AND(tabItens[[#This Row],[Saldo]]=0,tabItens[[#This Row],[PontoPed]]&gt;0), 0, (1-tabItens[[#This Row],[PctAb]])*10 ) ),0)</f>
        <v>99</v>
      </c>
      <c r="BE881" s="322">
        <f>MAX(ROUNDDOWN( IF(tabItens[[#This Row],[Abaixo]] &gt; 0,   tabItens[[#This Row],[Abaixo]] + (tabItens[[#This Row],[PontoMês]] * IF( OR( ISBLANK(tabItens[[#This Row],[ATA Nº/ANO]]), tabItens[[#This Row],[ATA Nº/ANO]] = ""),BE$2,BE$1)),0),0),0)</f>
        <v>0</v>
      </c>
      <c r="BF88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23">
        <f>SUMIF(Consumo!$C$3:$C$869,tabItens[[#This Row],[CÓDIGO]],Consumo!$E$3:$E$869)</f>
        <v>0</v>
      </c>
      <c r="BH881" s="324">
        <f>IF(AND(tabItens[[#This Row],[Pend]] &gt; 0,tabItens[[#This Row],[Consumo]] &lt;&gt; 0), tabItens[[#This Row],[Pend]] / tabItens[[#This Row],[Consumo]], 0 )</f>
        <v>0</v>
      </c>
      <c r="BI881" s="323"/>
      <c r="BJ881" s="323"/>
      <c r="BK881" s="325" t="s">
        <v>2064</v>
      </c>
    </row>
    <row r="882" spans="1:63" hidden="1" x14ac:dyDescent="0.3">
      <c r="A882" s="286">
        <v>55836</v>
      </c>
      <c r="B882" s="287" t="s">
        <v>1325</v>
      </c>
      <c r="C882" s="288" t="s">
        <v>256</v>
      </c>
      <c r="D882" s="289">
        <v>0.51</v>
      </c>
      <c r="E882" s="290"/>
      <c r="F882" s="290"/>
      <c r="G882" s="290" t="s">
        <v>883</v>
      </c>
      <c r="H882" s="291">
        <v>9108</v>
      </c>
      <c r="I882" s="292">
        <v>103003</v>
      </c>
      <c r="J882" s="293">
        <v>0.51</v>
      </c>
      <c r="K882" s="294"/>
      <c r="L882" s="295">
        <f>IF(tabItens[[#This Row],[Média]] &gt; 0, tabItens[[#This Row],[QTDE ATUAL]] / tabItens[[#This Row],[Média]],999.9)</f>
        <v>999.9</v>
      </c>
      <c r="M882" s="296">
        <v>0</v>
      </c>
      <c r="N882" s="297">
        <f>tabItens[[#This Row],[VALOR UNIT.]] * tabItens[[#This Row],[LC]]</f>
        <v>0</v>
      </c>
      <c r="O882" s="298"/>
      <c r="P882" s="299"/>
      <c r="Q882" s="300"/>
      <c r="R882" s="297"/>
      <c r="S882" s="301"/>
      <c r="T882" s="302">
        <f>ROUNDDOWN(IFERROR(tabItens[[#This Row],[ATA DT.VALID.]] - $D$1,0) / 30,0)</f>
        <v>-1504</v>
      </c>
      <c r="U882" s="287" t="s">
        <v>1073</v>
      </c>
      <c r="V882" s="303">
        <v>1</v>
      </c>
      <c r="W882" s="304" t="s">
        <v>2057</v>
      </c>
      <c r="X882" s="305">
        <v>78</v>
      </c>
      <c r="Y882" s="306">
        <v>2</v>
      </c>
      <c r="Z882" s="307"/>
      <c r="AA882" s="308"/>
      <c r="AB882" s="309"/>
      <c r="AC882" s="309"/>
      <c r="AD882" s="308"/>
      <c r="AE882" s="309"/>
      <c r="AF882" s="302"/>
      <c r="AG882" s="310" t="s">
        <v>2050</v>
      </c>
      <c r="AH882" s="311"/>
      <c r="AI882" s="302">
        <v>0</v>
      </c>
      <c r="AJ882" s="311">
        <v>40555</v>
      </c>
      <c r="AK882" s="311" t="s">
        <v>883</v>
      </c>
      <c r="AL882" s="311">
        <v>42571</v>
      </c>
      <c r="AM882" s="301"/>
      <c r="AN882" s="290"/>
      <c r="AO882" s="312" t="str">
        <f>_xlfn.IFNA(IF(VLOOKUP(tabItens[[#This Row],[CÓDIGO]],tabExcluirDoEstoque[#Data],1,FALSE),"sim",""),"")</f>
        <v/>
      </c>
      <c r="AP882" s="313" t="str">
        <f ca="1">IF(OR(ISBLANK(tabItens[[#This Row],[ATA DT.VALID.]]),tabItens[[#This Row],[ATA DT.VALID.]]="",tabItens[[#This Row],[ATA DT.VALID.]]=" "),"",IF(TYPE(tabItens[[#This Row],[ATA DT.VALID.]])=1,ROUNDUP((tabItens[[#This Row],[ATA DT.VALID.]]-TODAY())/7,0),""))</f>
        <v/>
      </c>
      <c r="AQ882" s="314"/>
      <c r="AR882" s="315">
        <f>IF(ISBLANK(tabItens[[#This Row],[CÓDIGO]]),"",IFERROR(VLOOKUP(tabItens[[#This Row],[CÓDIGO]],Consumo!$C$2:$AC$869,26,FALSE),0))</f>
        <v>0</v>
      </c>
      <c r="AS882" s="316">
        <f>SUMIF(Consumo!$C$3:$C$869,tabItens[[#This Row],[CÓDIGO]],Consumo!$N$3:$N$869) + SUMIF(Consumo!$C$3:$C$869,tabItens[[#This Row],[CÓDIGO]],Consumo!$O$3:$O$869) + SUMIF(Consumo!$C$3:$C$869,tabItens[[#This Row],[CÓDIGO]],Consumo!$P$3:$P$869) + SUMIF(Consumo!$C$3:$C$869,tabItens[[#This Row],[CÓDIGO]],Consumo!$Q$3:$Q$869)</f>
        <v>0</v>
      </c>
      <c r="AT882" s="316">
        <f>SUMIF(Consumo!$C$3:$C$869,tabItens[[#This Row],[CÓDIGO]],Consumo!$Z$3:$Z$869)</f>
        <v>0</v>
      </c>
      <c r="AU882" s="317">
        <f>SUMIF(Consumo!$C$3:$C$869,tabItens[[#This Row],[CÓDIGO]],Consumo!$AA$3:$AA$869)</f>
        <v>0</v>
      </c>
      <c r="AV882" s="318">
        <f>SUMIF(Consumo!$C$3:$C$869,tabItens[[#This Row],[CÓDIGO]],Consumo!$Y$3:$Y$869)</f>
        <v>0</v>
      </c>
      <c r="AW882" s="291">
        <f>tabItens[[#This Row],[QTDE ATUAL]] + tabItens[[#This Row],[RC QTDE]] + tabItens[[#This Row],[AF SALDO]] + tabItens[[#This Row],[Recentes]]</f>
        <v>9108</v>
      </c>
      <c r="AX882" s="319">
        <v>114</v>
      </c>
      <c r="AY882" s="319">
        <v>4</v>
      </c>
      <c r="AZ882" s="319">
        <f>IF(ISBLANK(tabItens[[#This Row],[CÓDIGO]]),"",tabItens[[#This Row],[PontoMês]] * (AZ$2+tabItens[[#This Row],[PontoQtM]]))</f>
        <v>456</v>
      </c>
      <c r="BA882" s="318">
        <f>tabItens[[#This Row],[PontoPed]] - tabItens[[#This Row],[Saldo]] + (1/10)</f>
        <v>-8651.9</v>
      </c>
      <c r="BB882" s="318">
        <f xml:space="preserve"> tabItens[[#This Row],[PontoMês]] * BB$2 - tabItens[[#This Row],[QTDE ATUAL]] - (1/10)</f>
        <v>-8994.1</v>
      </c>
      <c r="BC882" s="320">
        <f>IF( tabItens[[#This Row],[PontoPed]]&gt;0, IF(tabItens[[#This Row],[PontoPed]]&lt;1, 1, IF( tabItens[[#This Row],[Saldo]]&gt;tabItens[[#This Row],[PontoPed]], 0, (tabItens[[#This Row],[PontoPed]]-tabItens[[#This Row],[Saldo]])/tabItens[[#This Row],[PontoPed]] ) ), 0 )</f>
        <v>0</v>
      </c>
      <c r="BD882" s="321">
        <f>ROUNDDOWN(IF( OR( AND(tabItens[[#This Row],[PontoPed]]&lt;tabItens[[#This Row],[Saldo]],tabItens[[#This Row],[Saldo]]&gt;0), tabItens[[#This Row],[PontoPed]]=0), 99, IF(AND(tabItens[[#This Row],[Saldo]]=0,tabItens[[#This Row],[PontoPed]]&gt;0), 0, (1-tabItens[[#This Row],[PctAb]])*10 ) ),0)</f>
        <v>99</v>
      </c>
      <c r="BE882" s="322">
        <f>MAX(ROUNDDOWN( IF(tabItens[[#This Row],[Abaixo]] &gt; 0,   tabItens[[#This Row],[Abaixo]] + (tabItens[[#This Row],[PontoMês]] * IF( OR( ISBLANK(tabItens[[#This Row],[ATA Nº/ANO]]), tabItens[[#This Row],[ATA Nº/ANO]] = ""),BE$2,BE$1)),0),0),0)</f>
        <v>0</v>
      </c>
      <c r="BF88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323">
        <f>SUMIF(Consumo!$C$3:$C$869,tabItens[[#This Row],[CÓDIGO]],Consumo!$E$3:$E$869)</f>
        <v>0</v>
      </c>
      <c r="BH882" s="324">
        <f>IF(AND(tabItens[[#This Row],[Pend]] &gt; 0,tabItens[[#This Row],[Consumo]] &lt;&gt; 0), tabItens[[#This Row],[Pend]] / tabItens[[#This Row],[Consumo]], 0 )</f>
        <v>0</v>
      </c>
      <c r="BI882" s="323"/>
      <c r="BJ882" s="323"/>
      <c r="BK882" s="325" t="s">
        <v>2064</v>
      </c>
    </row>
    <row r="883" spans="1:63" hidden="1" x14ac:dyDescent="0.3">
      <c r="A883" s="286">
        <v>64646</v>
      </c>
      <c r="B883" s="287" t="s">
        <v>1382</v>
      </c>
      <c r="C883" s="288" t="s">
        <v>256</v>
      </c>
      <c r="D883" s="289">
        <v>2.6</v>
      </c>
      <c r="E883" s="290"/>
      <c r="F883" s="290"/>
      <c r="G883" s="290" t="s">
        <v>883</v>
      </c>
      <c r="H883" s="291">
        <v>580</v>
      </c>
      <c r="I883" s="292">
        <v>103003</v>
      </c>
      <c r="J883" s="293">
        <v>2.6</v>
      </c>
      <c r="K883" s="294">
        <v>660</v>
      </c>
      <c r="L883" s="295">
        <f>IF(tabItens[[#This Row],[Média]] &gt; 0, tabItens[[#This Row],[QTDE ATUAL]] / tabItens[[#This Row],[Média]],999.9)</f>
        <v>13.80952380952381</v>
      </c>
      <c r="M883" s="296">
        <v>0</v>
      </c>
      <c r="N883" s="297">
        <f>tabItens[[#This Row],[VALOR UNIT.]] * tabItens[[#This Row],[LC]]</f>
        <v>0</v>
      </c>
      <c r="O883" s="298"/>
      <c r="P883" s="299"/>
      <c r="Q883" s="300"/>
      <c r="R883" s="297"/>
      <c r="S883" s="301"/>
      <c r="T883" s="302">
        <f>ROUNDDOWN(IFERROR(tabItens[[#This Row],[ATA DT.VALID.]] - $D$1,0) / 30,0)</f>
        <v>-1504</v>
      </c>
      <c r="U883" s="287" t="s">
        <v>1073</v>
      </c>
      <c r="V883" s="303">
        <v>1</v>
      </c>
      <c r="W883" s="304" t="s">
        <v>2057</v>
      </c>
      <c r="X883" s="305">
        <v>78</v>
      </c>
      <c r="Y883" s="306">
        <v>2</v>
      </c>
      <c r="Z883" s="307">
        <v>2974</v>
      </c>
      <c r="AA883" s="308">
        <v>2023</v>
      </c>
      <c r="AB883" s="309">
        <v>500</v>
      </c>
      <c r="AC883" s="309"/>
      <c r="AD883" s="308"/>
      <c r="AE883" s="309"/>
      <c r="AF883" s="302"/>
      <c r="AG883" s="310" t="s">
        <v>2050</v>
      </c>
      <c r="AH883" s="311"/>
      <c r="AI883" s="302">
        <v>220</v>
      </c>
      <c r="AJ883" s="311">
        <v>43850</v>
      </c>
      <c r="AK883" s="311" t="s">
        <v>883</v>
      </c>
      <c r="AL883" s="311">
        <v>44956</v>
      </c>
      <c r="AM883" s="301"/>
      <c r="AN883" s="290"/>
      <c r="AO883" s="312" t="str">
        <f>_xlfn.IFNA(IF(VLOOKUP(tabItens[[#This Row],[CÓDIGO]],tabExcluirDoEstoque[#Data],1,FALSE),"sim",""),"")</f>
        <v/>
      </c>
      <c r="AP883" s="313" t="str">
        <f ca="1">IF(OR(ISBLANK(tabItens[[#This Row],[ATA DT.VALID.]]),tabItens[[#This Row],[ATA DT.VALID.]]="",tabItens[[#This Row],[ATA DT.VALID.]]=" "),"",IF(TYPE(tabItens[[#This Row],[ATA DT.VALID.]])=1,ROUNDUP((tabItens[[#This Row],[ATA DT.VALID.]]-TODAY())/7,0),""))</f>
        <v/>
      </c>
      <c r="AQ883" s="314"/>
      <c r="AR883" s="315" t="str">
        <f>IF(ISBLANK(tabItens[[#This Row],[CÓDIGO]]),"",IFERROR(VLOOKUP(tabItens[[#This Row],[CÓDIGO]],Consumo!$C$2:$AC$869,26,FALSE),0))</f>
        <v>04.2023</v>
      </c>
      <c r="AS883" s="316">
        <f>SUMIF(Consumo!$C$3:$C$869,tabItens[[#This Row],[CÓDIGO]],Consumo!$N$3:$N$869) + SUMIF(Consumo!$C$3:$C$869,tabItens[[#This Row],[CÓDIGO]],Consumo!$O$3:$O$869) + SUMIF(Consumo!$C$3:$C$869,tabItens[[#This Row],[CÓDIGO]],Consumo!$P$3:$P$869) + SUMIF(Consumo!$C$3:$C$869,tabItens[[#This Row],[CÓDIGO]],Consumo!$Q$3:$Q$869)</f>
        <v>500</v>
      </c>
      <c r="AT883" s="316">
        <f>SUMIF(Consumo!$C$3:$C$869,tabItens[[#This Row],[CÓDIGO]],Consumo!$Z$3:$Z$869)</f>
        <v>660</v>
      </c>
      <c r="AU883" s="317">
        <f>SUMIF(Consumo!$C$3:$C$869,tabItens[[#This Row],[CÓDIGO]],Consumo!$AA$3:$AA$869)</f>
        <v>500</v>
      </c>
      <c r="AV883" s="318">
        <f>SUMIF(Consumo!$C$3:$C$869,tabItens[[#This Row],[CÓDIGO]],Consumo!$Y$3:$Y$869)</f>
        <v>42</v>
      </c>
      <c r="AW883" s="291">
        <f>tabItens[[#This Row],[QTDE ATUAL]] + tabItens[[#This Row],[RC QTDE]] + tabItens[[#This Row],[AF SALDO]] + tabItens[[#This Row],[Recentes]]</f>
        <v>1080</v>
      </c>
      <c r="AX883" s="319">
        <v>71</v>
      </c>
      <c r="AY883" s="319">
        <v>4</v>
      </c>
      <c r="AZ883" s="319">
        <f>IF(ISBLANK(tabItens[[#This Row],[CÓDIGO]]),"",tabItens[[#This Row],[PontoMês]] * (AZ$2+tabItens[[#This Row],[PontoQtM]]))</f>
        <v>284</v>
      </c>
      <c r="BA883" s="318">
        <f>tabItens[[#This Row],[PontoPed]] - tabItens[[#This Row],[Saldo]] + (1/10)</f>
        <v>-795.9</v>
      </c>
      <c r="BB883" s="318">
        <f xml:space="preserve"> tabItens[[#This Row],[PontoMês]] * BB$2 - tabItens[[#This Row],[QTDE ATUAL]] - (1/10)</f>
        <v>-509.1</v>
      </c>
      <c r="BC883" s="320">
        <f>IF( tabItens[[#This Row],[PontoPed]]&gt;0, IF(tabItens[[#This Row],[PontoPed]]&lt;1, 1, IF( tabItens[[#This Row],[Saldo]]&gt;tabItens[[#This Row],[PontoPed]], 0, (tabItens[[#This Row],[PontoPed]]-tabItens[[#This Row],[Saldo]])/tabItens[[#This Row],[PontoPed]] ) ), 0 )</f>
        <v>0</v>
      </c>
      <c r="BD883" s="321">
        <f>ROUNDDOWN(IF( OR( AND(tabItens[[#This Row],[PontoPed]]&lt;tabItens[[#This Row],[Saldo]],tabItens[[#This Row],[Saldo]]&gt;0), tabItens[[#This Row],[PontoPed]]=0), 99, IF(AND(tabItens[[#This Row],[Saldo]]=0,tabItens[[#This Row],[PontoPed]]&gt;0), 0, (1-tabItens[[#This Row],[PctAb]])*10 ) ),0)</f>
        <v>99</v>
      </c>
      <c r="BE883" s="322">
        <f>MAX(ROUNDDOWN( IF(tabItens[[#This Row],[Abaixo]] &gt; 0,   tabItens[[#This Row],[Abaixo]] + (tabItens[[#This Row],[PontoMês]] * IF( OR( ISBLANK(tabItens[[#This Row],[ATA Nº/ANO]]), tabItens[[#This Row],[ATA Nº/ANO]] = ""),BE$2,BE$1)),0),0),0)</f>
        <v>0</v>
      </c>
      <c r="BF88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23">
        <f>SUMIF(Consumo!$C$3:$C$869,tabItens[[#This Row],[CÓDIGO]],Consumo!$E$3:$E$869)</f>
        <v>0</v>
      </c>
      <c r="BH883" s="324">
        <f>IF(AND(tabItens[[#This Row],[Pend]] &gt; 0,tabItens[[#This Row],[Consumo]] &lt;&gt; 0), tabItens[[#This Row],[Pend]] / tabItens[[#This Row],[Consumo]], 0 )</f>
        <v>0</v>
      </c>
      <c r="BI883" s="323"/>
      <c r="BJ883" s="323"/>
      <c r="BK883" s="325" t="s">
        <v>2064</v>
      </c>
    </row>
    <row r="884" spans="1:63" x14ac:dyDescent="0.3">
      <c r="A884" s="396">
        <v>78055</v>
      </c>
      <c r="B884" s="397" t="s">
        <v>1431</v>
      </c>
      <c r="C884" s="398" t="s">
        <v>301</v>
      </c>
      <c r="D884" s="399">
        <v>9.39</v>
      </c>
      <c r="E884" s="290"/>
      <c r="F884" s="400"/>
      <c r="G884" s="400" t="s">
        <v>883</v>
      </c>
      <c r="H884" s="401">
        <v>0</v>
      </c>
      <c r="I884" s="292">
        <v>103003</v>
      </c>
      <c r="J884" s="293">
        <v>9.39</v>
      </c>
      <c r="K884" s="402">
        <v>345</v>
      </c>
      <c r="L884" s="403">
        <f>IF(tabItens[[#This Row],[Média]] &gt; 0, tabItens[[#This Row],[QTDE ATUAL]] / tabItens[[#This Row],[Média]],999.9)</f>
        <v>0</v>
      </c>
      <c r="M884" s="404">
        <v>0</v>
      </c>
      <c r="N884" s="405">
        <f>tabItens[[#This Row],[VALOR UNIT.]] * tabItens[[#This Row],[LC]]</f>
        <v>0</v>
      </c>
      <c r="O884" s="406"/>
      <c r="P884" s="407"/>
      <c r="Q884" s="408"/>
      <c r="R884" s="297"/>
      <c r="S884" s="409"/>
      <c r="T884" s="410">
        <f>ROUNDDOWN(IFERROR(tabItens[[#This Row],[ATA DT.VALID.]] - $D$1,0) / 30,0)</f>
        <v>-1504</v>
      </c>
      <c r="U884" s="287" t="s">
        <v>1073</v>
      </c>
      <c r="V884" s="303">
        <v>1</v>
      </c>
      <c r="W884" s="411" t="s">
        <v>2057</v>
      </c>
      <c r="X884" s="412">
        <v>78</v>
      </c>
      <c r="Y884" s="413">
        <v>2</v>
      </c>
      <c r="Z884" s="414">
        <v>2504</v>
      </c>
      <c r="AA884" s="415">
        <v>2023</v>
      </c>
      <c r="AB884" s="416">
        <v>50</v>
      </c>
      <c r="AC884" s="416"/>
      <c r="AD884" s="415"/>
      <c r="AE884" s="416"/>
      <c r="AF884" s="302"/>
      <c r="AG884" s="417" t="s">
        <v>2050</v>
      </c>
      <c r="AH884" s="418"/>
      <c r="AI884" s="302">
        <v>116</v>
      </c>
      <c r="AJ884" s="418">
        <v>43553</v>
      </c>
      <c r="AK884" s="311">
        <v>38072</v>
      </c>
      <c r="AL884" s="311">
        <v>43523</v>
      </c>
      <c r="AM884" s="301"/>
      <c r="AN884" s="290"/>
      <c r="AO884" s="312" t="str">
        <f>_xlfn.IFNA(IF(VLOOKUP(tabItens[[#This Row],[CÓDIGO]],tabExcluirDoEstoque[#Data],1,FALSE),"sim",""),"")</f>
        <v/>
      </c>
      <c r="AP884" s="419" t="str">
        <f ca="1">IF(OR(ISBLANK(tabItens[[#This Row],[ATA DT.VALID.]]),tabItens[[#This Row],[ATA DT.VALID.]]="",tabItens[[#This Row],[ATA DT.VALID.]]=" "),"",IF(TYPE(tabItens[[#This Row],[ATA DT.VALID.]])=1,ROUNDUP((tabItens[[#This Row],[ATA DT.VALID.]]-TODAY())/7,0),""))</f>
        <v/>
      </c>
      <c r="AQ884" s="314"/>
      <c r="AR884" s="315" t="str">
        <f>IF(ISBLANK(tabItens[[#This Row],[CÓDIGO]]),"",IFERROR(VLOOKUP(tabItens[[#This Row],[CÓDIGO]],Consumo!$C$2:$AC$869,26,FALSE),0))</f>
        <v>04.2023</v>
      </c>
      <c r="AS884" s="316">
        <f>SUMIF(Consumo!$C$3:$C$869,tabItens[[#This Row],[CÓDIGO]],Consumo!$N$3:$N$869) + SUMIF(Consumo!$C$3:$C$869,tabItens[[#This Row],[CÓDIGO]],Consumo!$O$3:$O$869) + SUMIF(Consumo!$C$3:$C$869,tabItens[[#This Row],[CÓDIGO]],Consumo!$P$3:$P$869) + SUMIF(Consumo!$C$3:$C$869,tabItens[[#This Row],[CÓDIGO]],Consumo!$Q$3:$Q$869)</f>
        <v>218</v>
      </c>
      <c r="AT884" s="316">
        <f>SUMIF(Consumo!$C$3:$C$869,tabItens[[#This Row],[CÓDIGO]],Consumo!$Z$3:$Z$869)</f>
        <v>345</v>
      </c>
      <c r="AU884" s="317">
        <f>SUMIF(Consumo!$C$3:$C$869,tabItens[[#This Row],[CÓDIGO]],Consumo!$AA$3:$AA$869)</f>
        <v>218</v>
      </c>
      <c r="AV884" s="318">
        <f>SUMIF(Consumo!$C$3:$C$869,tabItens[[#This Row],[CÓDIGO]],Consumo!$Y$3:$Y$869)</f>
        <v>23.666666666666668</v>
      </c>
      <c r="AW884" s="401">
        <f>tabItens[[#This Row],[QTDE ATUAL]] + tabItens[[#This Row],[RC QTDE]] + tabItens[[#This Row],[AF SALDO]] + tabItens[[#This Row],[Recentes]]</f>
        <v>50</v>
      </c>
      <c r="AX884" s="420">
        <v>11</v>
      </c>
      <c r="AY884" s="420">
        <v>4</v>
      </c>
      <c r="AZ884" s="420">
        <f>IF(ISBLANK(tabItens[[#This Row],[CÓDIGO]]),"",tabItens[[#This Row],[PontoMês]] * (AZ$2+tabItens[[#This Row],[PontoQtM]]))</f>
        <v>44</v>
      </c>
      <c r="BA884" s="421">
        <f>tabItens[[#This Row],[PontoPed]] - tabItens[[#This Row],[Saldo]] + (1/10)</f>
        <v>-5.9</v>
      </c>
      <c r="BB884" s="421">
        <f xml:space="preserve"> tabItens[[#This Row],[PontoMês]] * BB$2 - tabItens[[#This Row],[QTDE ATUAL]] - (1/10)</f>
        <v>10.9</v>
      </c>
      <c r="BC884" s="320">
        <f>IF( tabItens[[#This Row],[PontoPed]]&gt;0, IF(tabItens[[#This Row],[PontoPed]]&lt;1, 1, IF( tabItens[[#This Row],[Saldo]]&gt;tabItens[[#This Row],[PontoPed]], 0, (tabItens[[#This Row],[PontoPed]]-tabItens[[#This Row],[Saldo]])/tabItens[[#This Row],[PontoPed]] ) ), 0 )</f>
        <v>0</v>
      </c>
      <c r="BD884" s="422">
        <f>ROUNDDOWN(IF( OR( AND(tabItens[[#This Row],[PontoPed]]&lt;tabItens[[#This Row],[Saldo]],tabItens[[#This Row],[Saldo]]&gt;0), tabItens[[#This Row],[PontoPed]]=0), 99, IF(AND(tabItens[[#This Row],[Saldo]]=0,tabItens[[#This Row],[PontoPed]]&gt;0), 0, (1-tabItens[[#This Row],[PctAb]])*10 ) ),0)</f>
        <v>99</v>
      </c>
      <c r="BE884" s="423">
        <f>MAX(ROUNDDOWN( IF(tabItens[[#This Row],[Abaixo]] &gt; 0,   tabItens[[#This Row],[Abaixo]] + (tabItens[[#This Row],[PontoMês]] * IF( OR( ISBLANK(tabItens[[#This Row],[ATA Nº/ANO]]), tabItens[[#This Row],[ATA Nº/ANO]] = ""),BE$2,BE$1)),0),0),0)</f>
        <v>0</v>
      </c>
      <c r="BF884"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23">
        <f>SUMIF(Consumo!$C$3:$C$869,tabItens[[#This Row],[CÓDIGO]],Consumo!$E$3:$E$869)</f>
        <v>0</v>
      </c>
      <c r="BH884" s="324">
        <f>IF(AND(tabItens[[#This Row],[Pend]] &gt; 0,tabItens[[#This Row],[Consumo]] &lt;&gt; 0), tabItens[[#This Row],[Pend]] / tabItens[[#This Row],[Consumo]], 0 )</f>
        <v>0</v>
      </c>
      <c r="BI884" s="323"/>
      <c r="BJ884" s="424"/>
      <c r="BK884" s="425" t="s">
        <v>2064</v>
      </c>
    </row>
    <row r="885" spans="1:63" x14ac:dyDescent="0.3">
      <c r="A885" s="396">
        <v>78057</v>
      </c>
      <c r="B885" s="397" t="s">
        <v>1432</v>
      </c>
      <c r="C885" s="398" t="s">
        <v>268</v>
      </c>
      <c r="D885" s="399">
        <v>15</v>
      </c>
      <c r="E885" s="290"/>
      <c r="F885" s="400"/>
      <c r="G885" s="400" t="s">
        <v>883</v>
      </c>
      <c r="H885" s="401">
        <v>0</v>
      </c>
      <c r="I885" s="292">
        <v>103003</v>
      </c>
      <c r="J885" s="293">
        <v>15</v>
      </c>
      <c r="K885" s="402">
        <v>297</v>
      </c>
      <c r="L885" s="403">
        <f>IF(tabItens[[#This Row],[Média]] &gt; 0, tabItens[[#This Row],[QTDE ATUAL]] / tabItens[[#This Row],[Média]],999.9)</f>
        <v>0</v>
      </c>
      <c r="M885" s="404">
        <v>0</v>
      </c>
      <c r="N885" s="405">
        <f>tabItens[[#This Row],[VALOR UNIT.]] * tabItens[[#This Row],[LC]]</f>
        <v>0</v>
      </c>
      <c r="O885" s="406"/>
      <c r="P885" s="407"/>
      <c r="Q885" s="408"/>
      <c r="R885" s="297"/>
      <c r="S885" s="409"/>
      <c r="T885" s="410">
        <f>ROUNDDOWN(IFERROR(tabItens[[#This Row],[ATA DT.VALID.]] - $D$1,0) / 30,0)</f>
        <v>-1504</v>
      </c>
      <c r="U885" s="287" t="s">
        <v>1073</v>
      </c>
      <c r="V885" s="303">
        <v>1</v>
      </c>
      <c r="W885" s="411" t="s">
        <v>2057</v>
      </c>
      <c r="X885" s="412">
        <v>78</v>
      </c>
      <c r="Y885" s="413">
        <v>2</v>
      </c>
      <c r="Z885" s="414">
        <v>7339</v>
      </c>
      <c r="AA885" s="415">
        <v>2023</v>
      </c>
      <c r="AB885" s="416">
        <v>150</v>
      </c>
      <c r="AC885" s="416"/>
      <c r="AD885" s="415"/>
      <c r="AE885" s="416"/>
      <c r="AF885" s="302"/>
      <c r="AG885" s="417" t="s">
        <v>2050</v>
      </c>
      <c r="AH885" s="418"/>
      <c r="AI885" s="302">
        <v>132</v>
      </c>
      <c r="AJ885" s="418">
        <v>44931</v>
      </c>
      <c r="AK885" s="311">
        <v>38072</v>
      </c>
      <c r="AL885" s="311">
        <v>44970</v>
      </c>
      <c r="AM885" s="301"/>
      <c r="AN885" s="290"/>
      <c r="AO885" s="312" t="str">
        <f>_xlfn.IFNA(IF(VLOOKUP(tabItens[[#This Row],[CÓDIGO]],tabExcluirDoEstoque[#Data],1,FALSE),"sim",""),"")</f>
        <v/>
      </c>
      <c r="AP885" s="419" t="str">
        <f ca="1">IF(OR(ISBLANK(tabItens[[#This Row],[ATA DT.VALID.]]),tabItens[[#This Row],[ATA DT.VALID.]]="",tabItens[[#This Row],[ATA DT.VALID.]]=" "),"",IF(TYPE(tabItens[[#This Row],[ATA DT.VALID.]])=1,ROUNDUP((tabItens[[#This Row],[ATA DT.VALID.]]-TODAY())/7,0),""))</f>
        <v/>
      </c>
      <c r="AQ885" s="314"/>
      <c r="AR885" s="315" t="str">
        <f>IF(ISBLANK(tabItens[[#This Row],[CÓDIGO]]),"",IFERROR(VLOOKUP(tabItens[[#This Row],[CÓDIGO]],Consumo!$C$2:$AC$869,26,FALSE),0))</f>
        <v>05.2023</v>
      </c>
      <c r="AS885" s="316">
        <f>SUMIF(Consumo!$C$3:$C$869,tabItens[[#This Row],[CÓDIGO]],Consumo!$N$3:$N$869) + SUMIF(Consumo!$C$3:$C$869,tabItens[[#This Row],[CÓDIGO]],Consumo!$O$3:$O$869) + SUMIF(Consumo!$C$3:$C$869,tabItens[[#This Row],[CÓDIGO]],Consumo!$P$3:$P$869) + SUMIF(Consumo!$C$3:$C$869,tabItens[[#This Row],[CÓDIGO]],Consumo!$Q$3:$Q$869)</f>
        <v>286</v>
      </c>
      <c r="AT885" s="316">
        <f>SUMIF(Consumo!$C$3:$C$869,tabItens[[#This Row],[CÓDIGO]],Consumo!$Z$3:$Z$869)</f>
        <v>1012</v>
      </c>
      <c r="AU885" s="317">
        <f>SUMIF(Consumo!$C$3:$C$869,tabItens[[#This Row],[CÓDIGO]],Consumo!$AA$3:$AA$869)</f>
        <v>285</v>
      </c>
      <c r="AV885" s="318">
        <f>SUMIF(Consumo!$C$3:$C$869,tabItens[[#This Row],[CÓDIGO]],Consumo!$Y$3:$Y$869)</f>
        <v>84.333333333333329</v>
      </c>
      <c r="AW885" s="401">
        <f>tabItens[[#This Row],[QTDE ATUAL]] + tabItens[[#This Row],[RC QTDE]] + tabItens[[#This Row],[AF SALDO]] + tabItens[[#This Row],[Recentes]]</f>
        <v>150</v>
      </c>
      <c r="AX885" s="420">
        <v>2</v>
      </c>
      <c r="AY885" s="420">
        <v>4</v>
      </c>
      <c r="AZ885" s="420">
        <f>IF(ISBLANK(tabItens[[#This Row],[CÓDIGO]]),"",tabItens[[#This Row],[PontoMês]] * (AZ$2+tabItens[[#This Row],[PontoQtM]]))</f>
        <v>8</v>
      </c>
      <c r="BA885" s="421">
        <f>tabItens[[#This Row],[PontoPed]] - tabItens[[#This Row],[Saldo]] + (1/10)</f>
        <v>-141.9</v>
      </c>
      <c r="BB885" s="421">
        <f xml:space="preserve"> tabItens[[#This Row],[PontoMês]] * BB$2 - tabItens[[#This Row],[QTDE ATUAL]] - (1/10)</f>
        <v>1.9</v>
      </c>
      <c r="BC885" s="320">
        <f>IF( tabItens[[#This Row],[PontoPed]]&gt;0, IF(tabItens[[#This Row],[PontoPed]]&lt;1, 1, IF( tabItens[[#This Row],[Saldo]]&gt;tabItens[[#This Row],[PontoPed]], 0, (tabItens[[#This Row],[PontoPed]]-tabItens[[#This Row],[Saldo]])/tabItens[[#This Row],[PontoPed]] ) ), 0 )</f>
        <v>0</v>
      </c>
      <c r="BD885" s="422">
        <f>ROUNDDOWN(IF( OR( AND(tabItens[[#This Row],[PontoPed]]&lt;tabItens[[#This Row],[Saldo]],tabItens[[#This Row],[Saldo]]&gt;0), tabItens[[#This Row],[PontoPed]]=0), 99, IF(AND(tabItens[[#This Row],[Saldo]]=0,tabItens[[#This Row],[PontoPed]]&gt;0), 0, (1-tabItens[[#This Row],[PctAb]])*10 ) ),0)</f>
        <v>99</v>
      </c>
      <c r="BE885" s="423">
        <f>MAX(ROUNDDOWN( IF(tabItens[[#This Row],[Abaixo]] &gt; 0,   tabItens[[#This Row],[Abaixo]] + (tabItens[[#This Row],[PontoMês]] * IF( OR( ISBLANK(tabItens[[#This Row],[ATA Nº/ANO]]), tabItens[[#This Row],[ATA Nº/ANO]] = ""),BE$2,BE$1)),0),0),0)</f>
        <v>0</v>
      </c>
      <c r="BF885"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23">
        <f>SUMIF(Consumo!$C$3:$C$869,tabItens[[#This Row],[CÓDIGO]],Consumo!$E$3:$E$869)</f>
        <v>715</v>
      </c>
      <c r="BH885" s="324">
        <f>IF(AND(tabItens[[#This Row],[Pend]] &gt; 0,tabItens[[#This Row],[Consumo]] &lt;&gt; 0), tabItens[[#This Row],[Pend]] / tabItens[[#This Row],[Consumo]], 0 )</f>
        <v>0.70652173913043481</v>
      </c>
      <c r="BI885" s="323"/>
      <c r="BJ885" s="424"/>
      <c r="BK885" s="425" t="s">
        <v>2064</v>
      </c>
    </row>
    <row r="886" spans="1:63" hidden="1" x14ac:dyDescent="0.3">
      <c r="A886" s="286">
        <v>107926</v>
      </c>
      <c r="B886" s="287" t="s">
        <v>1645</v>
      </c>
      <c r="C886" s="288" t="s">
        <v>256</v>
      </c>
      <c r="D886" s="289">
        <v>0.57999999999999996</v>
      </c>
      <c r="E886" s="290"/>
      <c r="F886" s="290"/>
      <c r="G886" s="290" t="s">
        <v>883</v>
      </c>
      <c r="H886" s="291">
        <v>4424</v>
      </c>
      <c r="I886" s="292">
        <v>103003</v>
      </c>
      <c r="J886" s="293">
        <v>0.57999999999999996</v>
      </c>
      <c r="K886" s="294">
        <v>3476</v>
      </c>
      <c r="L886" s="295">
        <f>IF(tabItens[[#This Row],[Média]] &gt; 0, tabItens[[#This Row],[QTDE ATUAL]] / tabItens[[#This Row],[Média]],999.9)</f>
        <v>18.414151925078045</v>
      </c>
      <c r="M886" s="296">
        <v>0</v>
      </c>
      <c r="N886" s="297">
        <f>tabItens[[#This Row],[VALOR UNIT.]] * tabItens[[#This Row],[LC]]</f>
        <v>0</v>
      </c>
      <c r="O886" s="298"/>
      <c r="P886" s="299"/>
      <c r="Q886" s="300"/>
      <c r="R886" s="297"/>
      <c r="S886" s="301"/>
      <c r="T886" s="302">
        <f>ROUNDDOWN(IFERROR(tabItens[[#This Row],[ATA DT.VALID.]] - $D$1,0) / 30,0)</f>
        <v>-1504</v>
      </c>
      <c r="U886" s="287" t="s">
        <v>1073</v>
      </c>
      <c r="V886" s="303">
        <v>1</v>
      </c>
      <c r="W886" s="304" t="s">
        <v>2057</v>
      </c>
      <c r="X886" s="305">
        <v>78</v>
      </c>
      <c r="Y886" s="306">
        <v>2</v>
      </c>
      <c r="Z886" s="307">
        <v>2506</v>
      </c>
      <c r="AA886" s="308">
        <v>2023</v>
      </c>
      <c r="AB886" s="309">
        <v>1000</v>
      </c>
      <c r="AC886" s="309"/>
      <c r="AD886" s="308"/>
      <c r="AE886" s="309"/>
      <c r="AF886" s="302"/>
      <c r="AG886" s="310" t="s">
        <v>2050</v>
      </c>
      <c r="AH886" s="311"/>
      <c r="AI886" s="302">
        <v>1158</v>
      </c>
      <c r="AJ886" s="311">
        <v>44068</v>
      </c>
      <c r="AK886" s="311">
        <v>39710</v>
      </c>
      <c r="AL886" s="311">
        <v>44040</v>
      </c>
      <c r="AM886" s="301"/>
      <c r="AN886" s="290"/>
      <c r="AO886" s="312" t="str">
        <f>_xlfn.IFNA(IF(VLOOKUP(tabItens[[#This Row],[CÓDIGO]],tabExcluirDoEstoque[#Data],1,FALSE),"sim",""),"")</f>
        <v/>
      </c>
      <c r="AP886" s="313" t="str">
        <f ca="1">IF(OR(ISBLANK(tabItens[[#This Row],[ATA DT.VALID.]]),tabItens[[#This Row],[ATA DT.VALID.]]="",tabItens[[#This Row],[ATA DT.VALID.]]=" "),"",IF(TYPE(tabItens[[#This Row],[ATA DT.VALID.]])=1,ROUNDUP((tabItens[[#This Row],[ATA DT.VALID.]]-TODAY())/7,0),""))</f>
        <v/>
      </c>
      <c r="AQ886" s="314"/>
      <c r="AR886" s="315" t="str">
        <f>IF(ISBLANK(tabItens[[#This Row],[CÓDIGO]]),"",IFERROR(VLOOKUP(tabItens[[#This Row],[CÓDIGO]],Consumo!$C$2:$AC$869,26,FALSE),0))</f>
        <v>06.2023</v>
      </c>
      <c r="AS886" s="316">
        <f>SUMIF(Consumo!$C$3:$C$869,tabItens[[#This Row],[CÓDIGO]],Consumo!$N$3:$N$869) + SUMIF(Consumo!$C$3:$C$869,tabItens[[#This Row],[CÓDIGO]],Consumo!$O$3:$O$869) + SUMIF(Consumo!$C$3:$C$869,tabItens[[#This Row],[CÓDIGO]],Consumo!$P$3:$P$869) + SUMIF(Consumo!$C$3:$C$869,tabItens[[#This Row],[CÓDIGO]],Consumo!$Q$3:$Q$869)</f>
        <v>516</v>
      </c>
      <c r="AT886" s="316">
        <f>SUMIF(Consumo!$C$3:$C$869,tabItens[[#This Row],[CÓDIGO]],Consumo!$Z$3:$Z$869)</f>
        <v>3476</v>
      </c>
      <c r="AU886" s="317">
        <f>SUMIF(Consumo!$C$3:$C$869,tabItens[[#This Row],[CÓDIGO]],Consumo!$AA$3:$AA$869)</f>
        <v>2060</v>
      </c>
      <c r="AV886" s="318">
        <f>SUMIF(Consumo!$C$3:$C$869,tabItens[[#This Row],[CÓDIGO]],Consumo!$Y$3:$Y$869)</f>
        <v>240.25</v>
      </c>
      <c r="AW886" s="291">
        <f>tabItens[[#This Row],[QTDE ATUAL]] + tabItens[[#This Row],[RC QTDE]] + tabItens[[#This Row],[AF SALDO]] + tabItens[[#This Row],[Recentes]]</f>
        <v>5424</v>
      </c>
      <c r="AX886" s="319">
        <v>209</v>
      </c>
      <c r="AY886" s="319">
        <v>4</v>
      </c>
      <c r="AZ886" s="319">
        <f>IF(ISBLANK(tabItens[[#This Row],[CÓDIGO]]),"",tabItens[[#This Row],[PontoMês]] * (AZ$2+tabItens[[#This Row],[PontoQtM]]))</f>
        <v>836</v>
      </c>
      <c r="BA886" s="318">
        <f>tabItens[[#This Row],[PontoPed]] - tabItens[[#This Row],[Saldo]] + (1/10)</f>
        <v>-4587.8999999999996</v>
      </c>
      <c r="BB886" s="318">
        <f xml:space="preserve"> tabItens[[#This Row],[PontoMês]] * BB$2 - tabItens[[#This Row],[QTDE ATUAL]] - (1/10)</f>
        <v>-4215.1000000000004</v>
      </c>
      <c r="BC886" s="320">
        <f>IF( tabItens[[#This Row],[PontoPed]]&gt;0, IF(tabItens[[#This Row],[PontoPed]]&lt;1, 1, IF( tabItens[[#This Row],[Saldo]]&gt;tabItens[[#This Row],[PontoPed]], 0, (tabItens[[#This Row],[PontoPed]]-tabItens[[#This Row],[Saldo]])/tabItens[[#This Row],[PontoPed]] ) ), 0 )</f>
        <v>0</v>
      </c>
      <c r="BD886" s="321">
        <f>ROUNDDOWN(IF( OR( AND(tabItens[[#This Row],[PontoPed]]&lt;tabItens[[#This Row],[Saldo]],tabItens[[#This Row],[Saldo]]&gt;0), tabItens[[#This Row],[PontoPed]]=0), 99, IF(AND(tabItens[[#This Row],[Saldo]]=0,tabItens[[#This Row],[PontoPed]]&gt;0), 0, (1-tabItens[[#This Row],[PctAb]])*10 ) ),0)</f>
        <v>99</v>
      </c>
      <c r="BE886" s="322">
        <f>MAX(ROUNDDOWN( IF(tabItens[[#This Row],[Abaixo]] &gt; 0,   tabItens[[#This Row],[Abaixo]] + (tabItens[[#This Row],[PontoMês]] * IF( OR( ISBLANK(tabItens[[#This Row],[ATA Nº/ANO]]), tabItens[[#This Row],[ATA Nº/ANO]] = ""),BE$2,BE$1)),0),0),0)</f>
        <v>0</v>
      </c>
      <c r="BF88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23">
        <f>SUMIF(Consumo!$C$3:$C$869,tabItens[[#This Row],[CÓDIGO]],Consumo!$E$3:$E$869)</f>
        <v>0</v>
      </c>
      <c r="BH886" s="324">
        <f>IF(AND(tabItens[[#This Row],[Pend]] &gt; 0,tabItens[[#This Row],[Consumo]] &lt;&gt; 0), tabItens[[#This Row],[Pend]] / tabItens[[#This Row],[Consumo]], 0 )</f>
        <v>0</v>
      </c>
      <c r="BI886" s="323"/>
      <c r="BJ886" s="323"/>
      <c r="BK886" s="325" t="s">
        <v>2064</v>
      </c>
    </row>
    <row r="887" spans="1:63" hidden="1" x14ac:dyDescent="0.3">
      <c r="A887" s="286">
        <v>126837</v>
      </c>
      <c r="B887" s="287" t="s">
        <v>1769</v>
      </c>
      <c r="C887" s="288" t="s">
        <v>31</v>
      </c>
      <c r="D887" s="289">
        <v>10</v>
      </c>
      <c r="E887" s="290"/>
      <c r="F887" s="290"/>
      <c r="G887" s="290" t="s">
        <v>883</v>
      </c>
      <c r="H887" s="291">
        <v>3519</v>
      </c>
      <c r="I887" s="292">
        <v>103003</v>
      </c>
      <c r="J887" s="293">
        <v>10</v>
      </c>
      <c r="K887" s="294">
        <v>1162</v>
      </c>
      <c r="L887" s="295">
        <f>IF(tabItens[[#This Row],[Média]] &gt; 0, tabItens[[#This Row],[QTDE ATUAL]] / tabItens[[#This Row],[Média]],999.9)</f>
        <v>37.009640666082383</v>
      </c>
      <c r="M887" s="296">
        <v>0</v>
      </c>
      <c r="N887" s="297">
        <f>tabItens[[#This Row],[VALOR UNIT.]] * tabItens[[#This Row],[LC]]</f>
        <v>0</v>
      </c>
      <c r="O887" s="298"/>
      <c r="P887" s="299"/>
      <c r="Q887" s="300"/>
      <c r="R887" s="297"/>
      <c r="S887" s="301"/>
      <c r="T887" s="302">
        <f>ROUNDDOWN(IFERROR(tabItens[[#This Row],[ATA DT.VALID.]] - $D$1,0) / 30,0)</f>
        <v>-1504</v>
      </c>
      <c r="U887" s="287" t="s">
        <v>1073</v>
      </c>
      <c r="V887" s="303">
        <v>1</v>
      </c>
      <c r="W887" s="304" t="s">
        <v>2057</v>
      </c>
      <c r="X887" s="305">
        <v>78</v>
      </c>
      <c r="Y887" s="306">
        <v>2</v>
      </c>
      <c r="Z887" s="307"/>
      <c r="AA887" s="308"/>
      <c r="AB887" s="309"/>
      <c r="AC887" s="309"/>
      <c r="AD887" s="308"/>
      <c r="AE887" s="309"/>
      <c r="AF887" s="302"/>
      <c r="AG887" s="310" t="s">
        <v>2050</v>
      </c>
      <c r="AH887" s="311"/>
      <c r="AI887" s="302">
        <v>388</v>
      </c>
      <c r="AJ887" s="311">
        <v>43845</v>
      </c>
      <c r="AK887" s="311">
        <v>41596</v>
      </c>
      <c r="AL887" s="311">
        <v>44785</v>
      </c>
      <c r="AM887" s="301"/>
      <c r="AN887" s="290"/>
      <c r="AO887" s="312" t="str">
        <f>_xlfn.IFNA(IF(VLOOKUP(tabItens[[#This Row],[CÓDIGO]],tabExcluirDoEstoque[#Data],1,FALSE),"sim",""),"")</f>
        <v/>
      </c>
      <c r="AP887" s="313" t="str">
        <f ca="1">IF(OR(ISBLANK(tabItens[[#This Row],[ATA DT.VALID.]]),tabItens[[#This Row],[ATA DT.VALID.]]="",tabItens[[#This Row],[ATA DT.VALID.]]=" "),"",IF(TYPE(tabItens[[#This Row],[ATA DT.VALID.]])=1,ROUNDUP((tabItens[[#This Row],[ATA DT.VALID.]]-TODAY())/7,0),""))</f>
        <v/>
      </c>
      <c r="AQ887" s="314"/>
      <c r="AR887" s="315" t="str">
        <f>IF(ISBLANK(tabItens[[#This Row],[CÓDIGO]]),"",IFERROR(VLOOKUP(tabItens[[#This Row],[CÓDIGO]],Consumo!$C$2:$AC$869,26,FALSE),0))</f>
        <v>04.2023</v>
      </c>
      <c r="AS887" s="316">
        <f>SUMIF(Consumo!$C$3:$C$869,tabItens[[#This Row],[CÓDIGO]],Consumo!$N$3:$N$869) + SUMIF(Consumo!$C$3:$C$869,tabItens[[#This Row],[CÓDIGO]],Consumo!$O$3:$O$869) + SUMIF(Consumo!$C$3:$C$869,tabItens[[#This Row],[CÓDIGO]],Consumo!$P$3:$P$869) + SUMIF(Consumo!$C$3:$C$869,tabItens[[#This Row],[CÓDIGO]],Consumo!$Q$3:$Q$869)</f>
        <v>400</v>
      </c>
      <c r="AT887" s="316">
        <f>SUMIF(Consumo!$C$3:$C$869,tabItens[[#This Row],[CÓDIGO]],Consumo!$Z$3:$Z$869)</f>
        <v>1162</v>
      </c>
      <c r="AU887" s="317">
        <f>SUMIF(Consumo!$C$3:$C$869,tabItens[[#This Row],[CÓDIGO]],Consumo!$AA$3:$AA$869)</f>
        <v>400</v>
      </c>
      <c r="AV887" s="318">
        <f>SUMIF(Consumo!$C$3:$C$869,tabItens[[#This Row],[CÓDIGO]],Consumo!$Y$3:$Y$869)</f>
        <v>95.083333333333329</v>
      </c>
      <c r="AW887" s="291">
        <f>tabItens[[#This Row],[QTDE ATUAL]] + tabItens[[#This Row],[RC QTDE]] + tabItens[[#This Row],[AF SALDO]] + tabItens[[#This Row],[Recentes]]</f>
        <v>3519</v>
      </c>
      <c r="AX887" s="319">
        <v>138</v>
      </c>
      <c r="AY887" s="319">
        <v>4</v>
      </c>
      <c r="AZ887" s="319">
        <f>IF(ISBLANK(tabItens[[#This Row],[CÓDIGO]]),"",tabItens[[#This Row],[PontoMês]] * (AZ$2+tabItens[[#This Row],[PontoQtM]]))</f>
        <v>552</v>
      </c>
      <c r="BA887" s="318">
        <f>tabItens[[#This Row],[PontoPed]] - tabItens[[#This Row],[Saldo]] + (1/10)</f>
        <v>-2966.9</v>
      </c>
      <c r="BB887" s="318">
        <f xml:space="preserve"> tabItens[[#This Row],[PontoMês]] * BB$2 - tabItens[[#This Row],[QTDE ATUAL]] - (1/10)</f>
        <v>-3381.1</v>
      </c>
      <c r="BC887" s="320">
        <f>IF( tabItens[[#This Row],[PontoPed]]&gt;0, IF(tabItens[[#This Row],[PontoPed]]&lt;1, 1, IF( tabItens[[#This Row],[Saldo]]&gt;tabItens[[#This Row],[PontoPed]], 0, (tabItens[[#This Row],[PontoPed]]-tabItens[[#This Row],[Saldo]])/tabItens[[#This Row],[PontoPed]] ) ), 0 )</f>
        <v>0</v>
      </c>
      <c r="BD887" s="321">
        <f>ROUNDDOWN(IF( OR( AND(tabItens[[#This Row],[PontoPed]]&lt;tabItens[[#This Row],[Saldo]],tabItens[[#This Row],[Saldo]]&gt;0), tabItens[[#This Row],[PontoPed]]=0), 99, IF(AND(tabItens[[#This Row],[Saldo]]=0,tabItens[[#This Row],[PontoPed]]&gt;0), 0, (1-tabItens[[#This Row],[PctAb]])*10 ) ),0)</f>
        <v>99</v>
      </c>
      <c r="BE887" s="322">
        <f>MAX(ROUNDDOWN( IF(tabItens[[#This Row],[Abaixo]] &gt; 0,   tabItens[[#This Row],[Abaixo]] + (tabItens[[#This Row],[PontoMês]] * IF( OR( ISBLANK(tabItens[[#This Row],[ATA Nº/ANO]]), tabItens[[#This Row],[ATA Nº/ANO]] = ""),BE$2,BE$1)),0),0),0)</f>
        <v>0</v>
      </c>
      <c r="BF88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323">
        <f>SUMIF(Consumo!$C$3:$C$869,tabItens[[#This Row],[CÓDIGO]],Consumo!$E$3:$E$869)</f>
        <v>0</v>
      </c>
      <c r="BH887" s="324">
        <f>IF(AND(tabItens[[#This Row],[Pend]] &gt; 0,tabItens[[#This Row],[Consumo]] &lt;&gt; 0), tabItens[[#This Row],[Pend]] / tabItens[[#This Row],[Consumo]], 0 )</f>
        <v>0</v>
      </c>
      <c r="BI887" s="323"/>
      <c r="BJ887" s="323"/>
      <c r="BK887" s="325" t="s">
        <v>2064</v>
      </c>
    </row>
    <row r="888" spans="1:63" hidden="1" x14ac:dyDescent="0.3">
      <c r="A888" s="286">
        <v>128782</v>
      </c>
      <c r="B888" s="287" t="s">
        <v>1781</v>
      </c>
      <c r="C888" s="288" t="s">
        <v>281</v>
      </c>
      <c r="D888" s="289">
        <v>188</v>
      </c>
      <c r="E888" s="290"/>
      <c r="F888" s="290"/>
      <c r="G888" s="290" t="s">
        <v>883</v>
      </c>
      <c r="H888" s="291">
        <v>97</v>
      </c>
      <c r="I888" s="292">
        <v>103003</v>
      </c>
      <c r="J888" s="293">
        <v>188</v>
      </c>
      <c r="K888" s="294"/>
      <c r="L888" s="295">
        <f>IF(tabItens[[#This Row],[Média]] &gt; 0, tabItens[[#This Row],[QTDE ATUAL]] / tabItens[[#This Row],[Média]],999.9)</f>
        <v>999.9</v>
      </c>
      <c r="M888" s="296">
        <v>0</v>
      </c>
      <c r="N888" s="297">
        <f>tabItens[[#This Row],[VALOR UNIT.]] * tabItens[[#This Row],[LC]]</f>
        <v>0</v>
      </c>
      <c r="O888" s="298"/>
      <c r="P888" s="299"/>
      <c r="Q888" s="300"/>
      <c r="R888" s="297"/>
      <c r="S888" s="301"/>
      <c r="T888" s="302">
        <f>ROUNDDOWN(IFERROR(tabItens[[#This Row],[ATA DT.VALID.]] - $D$1,0) / 30,0)</f>
        <v>-1504</v>
      </c>
      <c r="U888" s="287" t="s">
        <v>1073</v>
      </c>
      <c r="V888" s="303">
        <v>1</v>
      </c>
      <c r="W888" s="304" t="s">
        <v>2057</v>
      </c>
      <c r="X888" s="305">
        <v>78</v>
      </c>
      <c r="Y888" s="306">
        <v>2</v>
      </c>
      <c r="Z888" s="307"/>
      <c r="AA888" s="308"/>
      <c r="AB888" s="309"/>
      <c r="AC888" s="309"/>
      <c r="AD888" s="308"/>
      <c r="AE888" s="309"/>
      <c r="AF888" s="302"/>
      <c r="AG888" s="310" t="s">
        <v>2050</v>
      </c>
      <c r="AH888" s="311"/>
      <c r="AI888" s="302">
        <v>0</v>
      </c>
      <c r="AJ888" s="311">
        <v>42522</v>
      </c>
      <c r="AK888" s="311">
        <v>41914</v>
      </c>
      <c r="AL888" s="311">
        <v>42893</v>
      </c>
      <c r="AM888" s="301"/>
      <c r="AN888" s="290"/>
      <c r="AO888" s="312" t="str">
        <f>_xlfn.IFNA(IF(VLOOKUP(tabItens[[#This Row],[CÓDIGO]],tabExcluirDoEstoque[#Data],1,FALSE),"sim",""),"")</f>
        <v/>
      </c>
      <c r="AP888" s="313" t="str">
        <f ca="1">IF(OR(ISBLANK(tabItens[[#This Row],[ATA DT.VALID.]]),tabItens[[#This Row],[ATA DT.VALID.]]="",tabItens[[#This Row],[ATA DT.VALID.]]=" "),"",IF(TYPE(tabItens[[#This Row],[ATA DT.VALID.]])=1,ROUNDUP((tabItens[[#This Row],[ATA DT.VALID.]]-TODAY())/7,0),""))</f>
        <v/>
      </c>
      <c r="AQ888" s="314"/>
      <c r="AR888" s="315">
        <f>IF(ISBLANK(tabItens[[#This Row],[CÓDIGO]]),"",IFERROR(VLOOKUP(tabItens[[#This Row],[CÓDIGO]],Consumo!$C$2:$AC$869,26,FALSE),0))</f>
        <v>0</v>
      </c>
      <c r="AS888" s="316">
        <f>SUMIF(Consumo!$C$3:$C$869,tabItens[[#This Row],[CÓDIGO]],Consumo!$N$3:$N$869) + SUMIF(Consumo!$C$3:$C$869,tabItens[[#This Row],[CÓDIGO]],Consumo!$O$3:$O$869) + SUMIF(Consumo!$C$3:$C$869,tabItens[[#This Row],[CÓDIGO]],Consumo!$P$3:$P$869) + SUMIF(Consumo!$C$3:$C$869,tabItens[[#This Row],[CÓDIGO]],Consumo!$Q$3:$Q$869)</f>
        <v>0</v>
      </c>
      <c r="AT888" s="316">
        <f>SUMIF(Consumo!$C$3:$C$869,tabItens[[#This Row],[CÓDIGO]],Consumo!$Z$3:$Z$869)</f>
        <v>0</v>
      </c>
      <c r="AU888" s="317">
        <f>SUMIF(Consumo!$C$3:$C$869,tabItens[[#This Row],[CÓDIGO]],Consumo!$AA$3:$AA$869)</f>
        <v>0</v>
      </c>
      <c r="AV888" s="318">
        <f>SUMIF(Consumo!$C$3:$C$869,tabItens[[#This Row],[CÓDIGO]],Consumo!$Y$3:$Y$869)</f>
        <v>0</v>
      </c>
      <c r="AW888" s="291">
        <f>tabItens[[#This Row],[QTDE ATUAL]] + tabItens[[#This Row],[RC QTDE]] + tabItens[[#This Row],[AF SALDO]] + tabItens[[#This Row],[Recentes]]</f>
        <v>97</v>
      </c>
      <c r="AX888" s="319">
        <v>0</v>
      </c>
      <c r="AY888" s="319">
        <v>4</v>
      </c>
      <c r="AZ888" s="319">
        <f>IF(ISBLANK(tabItens[[#This Row],[CÓDIGO]]),"",tabItens[[#This Row],[PontoMês]] * (AZ$2+tabItens[[#This Row],[PontoQtM]]))</f>
        <v>0</v>
      </c>
      <c r="BA888" s="318">
        <f>tabItens[[#This Row],[PontoPed]] - tabItens[[#This Row],[Saldo]] + (1/10)</f>
        <v>-96.9</v>
      </c>
      <c r="BB888" s="318">
        <f xml:space="preserve"> tabItens[[#This Row],[PontoMês]] * BB$2 - tabItens[[#This Row],[QTDE ATUAL]] - (1/10)</f>
        <v>-97.1</v>
      </c>
      <c r="BC888" s="320">
        <f>IF( tabItens[[#This Row],[PontoPed]]&gt;0, IF(tabItens[[#This Row],[PontoPed]]&lt;1, 1, IF( tabItens[[#This Row],[Saldo]]&gt;tabItens[[#This Row],[PontoPed]], 0, (tabItens[[#This Row],[PontoPed]]-tabItens[[#This Row],[Saldo]])/tabItens[[#This Row],[PontoPed]] ) ), 0 )</f>
        <v>0</v>
      </c>
      <c r="BD888" s="321">
        <f>ROUNDDOWN(IF( OR( AND(tabItens[[#This Row],[PontoPed]]&lt;tabItens[[#This Row],[Saldo]],tabItens[[#This Row],[Saldo]]&gt;0), tabItens[[#This Row],[PontoPed]]=0), 99, IF(AND(tabItens[[#This Row],[Saldo]]=0,tabItens[[#This Row],[PontoPed]]&gt;0), 0, (1-tabItens[[#This Row],[PctAb]])*10 ) ),0)</f>
        <v>99</v>
      </c>
      <c r="BE888" s="322">
        <f>MAX(ROUNDDOWN( IF(tabItens[[#This Row],[Abaixo]] &gt; 0,   tabItens[[#This Row],[Abaixo]] + (tabItens[[#This Row],[PontoMês]] * IF( OR( ISBLANK(tabItens[[#This Row],[ATA Nº/ANO]]), tabItens[[#This Row],[ATA Nº/ANO]] = ""),BE$2,BE$1)),0),0),0)</f>
        <v>0</v>
      </c>
      <c r="BF88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23">
        <f>SUMIF(Consumo!$C$3:$C$869,tabItens[[#This Row],[CÓDIGO]],Consumo!$E$3:$E$869)</f>
        <v>0</v>
      </c>
      <c r="BH888" s="324">
        <f>IF(AND(tabItens[[#This Row],[Pend]] &gt; 0,tabItens[[#This Row],[Consumo]] &lt;&gt; 0), tabItens[[#This Row],[Pend]] / tabItens[[#This Row],[Consumo]], 0 )</f>
        <v>0</v>
      </c>
      <c r="BI888" s="323"/>
      <c r="BJ888" s="323"/>
      <c r="BK888" s="325" t="s">
        <v>2064</v>
      </c>
    </row>
    <row r="889" spans="1:63" x14ac:dyDescent="0.3">
      <c r="A889" s="396">
        <v>130618</v>
      </c>
      <c r="B889" s="397" t="s">
        <v>1795</v>
      </c>
      <c r="C889" s="398" t="s">
        <v>281</v>
      </c>
      <c r="D889" s="399">
        <v>30</v>
      </c>
      <c r="E889" s="290"/>
      <c r="F889" s="400"/>
      <c r="G889" s="400" t="s">
        <v>883</v>
      </c>
      <c r="H889" s="401">
        <v>0</v>
      </c>
      <c r="I889" s="292">
        <v>103003</v>
      </c>
      <c r="J889" s="293">
        <v>30</v>
      </c>
      <c r="K889" s="402">
        <v>81</v>
      </c>
      <c r="L889" s="403">
        <f>IF(tabItens[[#This Row],[Média]] &gt; 0, tabItens[[#This Row],[QTDE ATUAL]] / tabItens[[#This Row],[Média]],999.9)</f>
        <v>0</v>
      </c>
      <c r="M889" s="404">
        <v>0</v>
      </c>
      <c r="N889" s="405">
        <f>tabItens[[#This Row],[VALOR UNIT.]] * tabItens[[#This Row],[LC]]</f>
        <v>0</v>
      </c>
      <c r="O889" s="406"/>
      <c r="P889" s="407"/>
      <c r="Q889" s="408"/>
      <c r="R889" s="297"/>
      <c r="S889" s="409"/>
      <c r="T889" s="410">
        <f>ROUNDDOWN(IFERROR(tabItens[[#This Row],[ATA DT.VALID.]] - $D$1,0) / 30,0)</f>
        <v>-1504</v>
      </c>
      <c r="U889" s="287" t="s">
        <v>1073</v>
      </c>
      <c r="V889" s="303">
        <v>1</v>
      </c>
      <c r="W889" s="411" t="s">
        <v>2057</v>
      </c>
      <c r="X889" s="412">
        <v>78</v>
      </c>
      <c r="Y889" s="413">
        <v>2</v>
      </c>
      <c r="Z889" s="414">
        <v>3976</v>
      </c>
      <c r="AA889" s="415">
        <v>2023</v>
      </c>
      <c r="AB889" s="416">
        <v>30</v>
      </c>
      <c r="AC889" s="416"/>
      <c r="AD889" s="415"/>
      <c r="AE889" s="416"/>
      <c r="AF889" s="302"/>
      <c r="AG889" s="417" t="s">
        <v>2050</v>
      </c>
      <c r="AH889" s="418"/>
      <c r="AI889" s="302">
        <v>28</v>
      </c>
      <c r="AJ889" s="418">
        <v>42535</v>
      </c>
      <c r="AK889" s="311">
        <v>42201</v>
      </c>
      <c r="AL889" s="311">
        <v>42523</v>
      </c>
      <c r="AM889" s="301"/>
      <c r="AN889" s="290"/>
      <c r="AO889" s="312" t="str">
        <f>_xlfn.IFNA(IF(VLOOKUP(tabItens[[#This Row],[CÓDIGO]],tabExcluirDoEstoque[#Data],1,FALSE),"sim",""),"")</f>
        <v/>
      </c>
      <c r="AP889" s="419" t="str">
        <f ca="1">IF(OR(ISBLANK(tabItens[[#This Row],[ATA DT.VALID.]]),tabItens[[#This Row],[ATA DT.VALID.]]="",tabItens[[#This Row],[ATA DT.VALID.]]=" "),"",IF(TYPE(tabItens[[#This Row],[ATA DT.VALID.]])=1,ROUNDUP((tabItens[[#This Row],[ATA DT.VALID.]]-TODAY())/7,0),""))</f>
        <v/>
      </c>
      <c r="AQ889" s="314"/>
      <c r="AR889" s="315" t="str">
        <f>IF(ISBLANK(tabItens[[#This Row],[CÓDIGO]]),"",IFERROR(VLOOKUP(tabItens[[#This Row],[CÓDIGO]],Consumo!$C$2:$AC$869,26,FALSE),0))</f>
        <v>02.2023</v>
      </c>
      <c r="AS889" s="316">
        <f>SUMIF(Consumo!$C$3:$C$869,tabItens[[#This Row],[CÓDIGO]],Consumo!$N$3:$N$869) + SUMIF(Consumo!$C$3:$C$869,tabItens[[#This Row],[CÓDIGO]],Consumo!$O$3:$O$869) + SUMIF(Consumo!$C$3:$C$869,tabItens[[#This Row],[CÓDIGO]],Consumo!$P$3:$P$869) + SUMIF(Consumo!$C$3:$C$869,tabItens[[#This Row],[CÓDIGO]],Consumo!$Q$3:$Q$869)</f>
        <v>0</v>
      </c>
      <c r="AT889" s="316">
        <f>SUMIF(Consumo!$C$3:$C$869,tabItens[[#This Row],[CÓDIGO]],Consumo!$Z$3:$Z$869)</f>
        <v>110</v>
      </c>
      <c r="AU889" s="317">
        <f>SUMIF(Consumo!$C$3:$C$869,tabItens[[#This Row],[CÓDIGO]],Consumo!$AA$3:$AA$869)</f>
        <v>31</v>
      </c>
      <c r="AV889" s="318">
        <f>SUMIF(Consumo!$C$3:$C$869,tabItens[[#This Row],[CÓDIGO]],Consumo!$Y$3:$Y$869)</f>
        <v>9.1666666666666661</v>
      </c>
      <c r="AW889" s="401">
        <f>tabItens[[#This Row],[QTDE ATUAL]] + tabItens[[#This Row],[RC QTDE]] + tabItens[[#This Row],[AF SALDO]] + tabItens[[#This Row],[Recentes]]</f>
        <v>30</v>
      </c>
      <c r="AX889" s="420">
        <v>1</v>
      </c>
      <c r="AY889" s="420">
        <v>4</v>
      </c>
      <c r="AZ889" s="420">
        <f>IF(ISBLANK(tabItens[[#This Row],[CÓDIGO]]),"",tabItens[[#This Row],[PontoMês]] * (AZ$2+tabItens[[#This Row],[PontoQtM]]))</f>
        <v>4</v>
      </c>
      <c r="BA889" s="421">
        <f>tabItens[[#This Row],[PontoPed]] - tabItens[[#This Row],[Saldo]] + (1/10)</f>
        <v>-25.9</v>
      </c>
      <c r="BB889" s="421">
        <f xml:space="preserve"> tabItens[[#This Row],[PontoMês]] * BB$2 - tabItens[[#This Row],[QTDE ATUAL]] - (1/10)</f>
        <v>0.9</v>
      </c>
      <c r="BC889" s="320">
        <f>IF( tabItens[[#This Row],[PontoPed]]&gt;0, IF(tabItens[[#This Row],[PontoPed]]&lt;1, 1, IF( tabItens[[#This Row],[Saldo]]&gt;tabItens[[#This Row],[PontoPed]], 0, (tabItens[[#This Row],[PontoPed]]-tabItens[[#This Row],[Saldo]])/tabItens[[#This Row],[PontoPed]] ) ), 0 )</f>
        <v>0</v>
      </c>
      <c r="BD889" s="422">
        <f>ROUNDDOWN(IF( OR( AND(tabItens[[#This Row],[PontoPed]]&lt;tabItens[[#This Row],[Saldo]],tabItens[[#This Row],[Saldo]]&gt;0), tabItens[[#This Row],[PontoPed]]=0), 99, IF(AND(tabItens[[#This Row],[Saldo]]=0,tabItens[[#This Row],[PontoPed]]&gt;0), 0, (1-tabItens[[#This Row],[PctAb]])*10 ) ),0)</f>
        <v>99</v>
      </c>
      <c r="BE889" s="423">
        <f>MAX(ROUNDDOWN( IF(tabItens[[#This Row],[Abaixo]] &gt; 0,   tabItens[[#This Row],[Abaixo]] + (tabItens[[#This Row],[PontoMês]] * IF( OR( ISBLANK(tabItens[[#This Row],[ATA Nº/ANO]]), tabItens[[#This Row],[ATA Nº/ANO]] = ""),BE$2,BE$1)),0),0),0)</f>
        <v>0</v>
      </c>
      <c r="BF889"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23">
        <f>SUMIF(Consumo!$C$3:$C$869,tabItens[[#This Row],[CÓDIGO]],Consumo!$E$3:$E$869)</f>
        <v>29</v>
      </c>
      <c r="BH889" s="324">
        <f>IF(AND(tabItens[[#This Row],[Pend]] &gt; 0,tabItens[[#This Row],[Consumo]] &lt;&gt; 0), tabItens[[#This Row],[Pend]] / tabItens[[#This Row],[Consumo]], 0 )</f>
        <v>0.26363636363636361</v>
      </c>
      <c r="BI889" s="323"/>
      <c r="BJ889" s="424"/>
      <c r="BK889" s="425" t="s">
        <v>2064</v>
      </c>
    </row>
    <row r="890" spans="1:63" x14ac:dyDescent="0.3">
      <c r="A890" s="396">
        <v>134569</v>
      </c>
      <c r="B890" s="397" t="s">
        <v>1890</v>
      </c>
      <c r="C890" s="398" t="s">
        <v>301</v>
      </c>
      <c r="D890" s="399">
        <v>15.4</v>
      </c>
      <c r="E890" s="290"/>
      <c r="F890" s="400"/>
      <c r="G890" s="400" t="s">
        <v>883</v>
      </c>
      <c r="H890" s="401">
        <v>0</v>
      </c>
      <c r="I890" s="292">
        <v>103003</v>
      </c>
      <c r="J890" s="293">
        <v>15.4</v>
      </c>
      <c r="K890" s="402">
        <v>353</v>
      </c>
      <c r="L890" s="403">
        <f>IF(tabItens[[#This Row],[Média]] &gt; 0, tabItens[[#This Row],[QTDE ATUAL]] / tabItens[[#This Row],[Média]],999.9)</f>
        <v>0</v>
      </c>
      <c r="M890" s="404">
        <v>0</v>
      </c>
      <c r="N890" s="405">
        <f>tabItens[[#This Row],[VALOR UNIT.]] * tabItens[[#This Row],[LC]]</f>
        <v>0</v>
      </c>
      <c r="O890" s="406"/>
      <c r="P890" s="407"/>
      <c r="Q890" s="408"/>
      <c r="R890" s="297"/>
      <c r="S890" s="409"/>
      <c r="T890" s="410">
        <f>ROUNDDOWN(IFERROR(tabItens[[#This Row],[ATA DT.VALID.]] - $D$1,0) / 30,0)</f>
        <v>-1504</v>
      </c>
      <c r="U890" s="287" t="s">
        <v>1073</v>
      </c>
      <c r="V890" s="303">
        <v>1</v>
      </c>
      <c r="W890" s="411" t="s">
        <v>2057</v>
      </c>
      <c r="X890" s="412">
        <v>78</v>
      </c>
      <c r="Y890" s="413">
        <v>2</v>
      </c>
      <c r="Z890" s="414">
        <v>2511</v>
      </c>
      <c r="AA890" s="415">
        <v>2023</v>
      </c>
      <c r="AB890" s="416">
        <v>100</v>
      </c>
      <c r="AC890" s="416"/>
      <c r="AD890" s="415"/>
      <c r="AE890" s="416"/>
      <c r="AF890" s="302"/>
      <c r="AG890" s="417" t="s">
        <v>2050</v>
      </c>
      <c r="AH890" s="418"/>
      <c r="AI890" s="302">
        <v>128</v>
      </c>
      <c r="AJ890" s="418">
        <v>43845</v>
      </c>
      <c r="AK890" s="311">
        <v>43174</v>
      </c>
      <c r="AL890" s="311">
        <v>43826</v>
      </c>
      <c r="AM890" s="301"/>
      <c r="AN890" s="290"/>
      <c r="AO890" s="312" t="str">
        <f>_xlfn.IFNA(IF(VLOOKUP(tabItens[[#This Row],[CÓDIGO]],tabExcluirDoEstoque[#Data],1,FALSE),"sim",""),"")</f>
        <v/>
      </c>
      <c r="AP890" s="419" t="str">
        <f ca="1">IF(OR(ISBLANK(tabItens[[#This Row],[ATA DT.VALID.]]),tabItens[[#This Row],[ATA DT.VALID.]]="",tabItens[[#This Row],[ATA DT.VALID.]]=" "),"",IF(TYPE(tabItens[[#This Row],[ATA DT.VALID.]])=1,ROUNDUP((tabItens[[#This Row],[ATA DT.VALID.]]-TODAY())/7,0),""))</f>
        <v/>
      </c>
      <c r="AQ890" s="314"/>
      <c r="AR890" s="315" t="str">
        <f>IF(ISBLANK(tabItens[[#This Row],[CÓDIGO]]),"",IFERROR(VLOOKUP(tabItens[[#This Row],[CÓDIGO]],Consumo!$C$2:$AC$869,26,FALSE),0))</f>
        <v>05.2023</v>
      </c>
      <c r="AS890" s="316">
        <f>SUMIF(Consumo!$C$3:$C$869,tabItens[[#This Row],[CÓDIGO]],Consumo!$N$3:$N$869) + SUMIF(Consumo!$C$3:$C$869,tabItens[[#This Row],[CÓDIGO]],Consumo!$O$3:$O$869) + SUMIF(Consumo!$C$3:$C$869,tabItens[[#This Row],[CÓDIGO]],Consumo!$P$3:$P$869) + SUMIF(Consumo!$C$3:$C$869,tabItens[[#This Row],[CÓDIGO]],Consumo!$Q$3:$Q$869)</f>
        <v>186</v>
      </c>
      <c r="AT890" s="316">
        <f>SUMIF(Consumo!$C$3:$C$869,tabItens[[#This Row],[CÓDIGO]],Consumo!$Z$3:$Z$869)</f>
        <v>383</v>
      </c>
      <c r="AU890" s="317">
        <f>SUMIF(Consumo!$C$3:$C$869,tabItens[[#This Row],[CÓDIGO]],Consumo!$AA$3:$AA$869)</f>
        <v>100</v>
      </c>
      <c r="AV890" s="318">
        <f>SUMIF(Consumo!$C$3:$C$869,tabItens[[#This Row],[CÓDIGO]],Consumo!$Y$3:$Y$869)</f>
        <v>31.916666666666668</v>
      </c>
      <c r="AW890" s="401">
        <f>tabItens[[#This Row],[QTDE ATUAL]] + tabItens[[#This Row],[RC QTDE]] + tabItens[[#This Row],[AF SALDO]] + tabItens[[#This Row],[Recentes]]</f>
        <v>100</v>
      </c>
      <c r="AX890" s="420">
        <v>8</v>
      </c>
      <c r="AY890" s="420">
        <v>4</v>
      </c>
      <c r="AZ890" s="420">
        <f>IF(ISBLANK(tabItens[[#This Row],[CÓDIGO]]),"",tabItens[[#This Row],[PontoMês]] * (AZ$2+tabItens[[#This Row],[PontoQtM]]))</f>
        <v>32</v>
      </c>
      <c r="BA890" s="421">
        <f>tabItens[[#This Row],[PontoPed]] - tabItens[[#This Row],[Saldo]] + (1/10)</f>
        <v>-67.900000000000006</v>
      </c>
      <c r="BB890" s="421">
        <f xml:space="preserve"> tabItens[[#This Row],[PontoMês]] * BB$2 - tabItens[[#This Row],[QTDE ATUAL]] - (1/10)</f>
        <v>7.9</v>
      </c>
      <c r="BC890" s="320">
        <f>IF( tabItens[[#This Row],[PontoPed]]&gt;0, IF(tabItens[[#This Row],[PontoPed]]&lt;1, 1, IF( tabItens[[#This Row],[Saldo]]&gt;tabItens[[#This Row],[PontoPed]], 0, (tabItens[[#This Row],[PontoPed]]-tabItens[[#This Row],[Saldo]])/tabItens[[#This Row],[PontoPed]] ) ), 0 )</f>
        <v>0</v>
      </c>
      <c r="BD890" s="422">
        <f>ROUNDDOWN(IF( OR( AND(tabItens[[#This Row],[PontoPed]]&lt;tabItens[[#This Row],[Saldo]],tabItens[[#This Row],[Saldo]]&gt;0), tabItens[[#This Row],[PontoPed]]=0), 99, IF(AND(tabItens[[#This Row],[Saldo]]=0,tabItens[[#This Row],[PontoPed]]&gt;0), 0, (1-tabItens[[#This Row],[PctAb]])*10 ) ),0)</f>
        <v>99</v>
      </c>
      <c r="BE890" s="423">
        <f>MAX(ROUNDDOWN( IF(tabItens[[#This Row],[Abaixo]] &gt; 0,   tabItens[[#This Row],[Abaixo]] + (tabItens[[#This Row],[PontoMês]] * IF( OR( ISBLANK(tabItens[[#This Row],[ATA Nº/ANO]]), tabItens[[#This Row],[ATA Nº/ANO]] = ""),BE$2,BE$1)),0),0),0)</f>
        <v>0</v>
      </c>
      <c r="BF890"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323">
        <f>SUMIF(Consumo!$C$3:$C$869,tabItens[[#This Row],[CÓDIGO]],Consumo!$E$3:$E$869)</f>
        <v>0</v>
      </c>
      <c r="BH890" s="324">
        <f>IF(AND(tabItens[[#This Row],[Pend]] &gt; 0,tabItens[[#This Row],[Consumo]] &lt;&gt; 0), tabItens[[#This Row],[Pend]] / tabItens[[#This Row],[Consumo]], 0 )</f>
        <v>0</v>
      </c>
      <c r="BI890" s="323"/>
      <c r="BJ890" s="424"/>
      <c r="BK890" s="425" t="s">
        <v>2064</v>
      </c>
    </row>
    <row r="891" spans="1:63" hidden="1" x14ac:dyDescent="0.3">
      <c r="A891" s="286">
        <v>138528</v>
      </c>
      <c r="B891" s="287" t="s">
        <v>1967</v>
      </c>
      <c r="C891" s="288" t="s">
        <v>31</v>
      </c>
      <c r="D891" s="289">
        <v>184</v>
      </c>
      <c r="E891" s="290"/>
      <c r="F891" s="290"/>
      <c r="G891" s="290" t="s">
        <v>883</v>
      </c>
      <c r="H891" s="291">
        <v>29</v>
      </c>
      <c r="I891" s="292">
        <v>103003</v>
      </c>
      <c r="J891" s="293">
        <v>184</v>
      </c>
      <c r="K891" s="294"/>
      <c r="L891" s="295">
        <f>IF(tabItens[[#This Row],[Média]] &gt; 0, tabItens[[#This Row],[QTDE ATUAL]] / tabItens[[#This Row],[Média]],999.9)</f>
        <v>999.9</v>
      </c>
      <c r="M891" s="296">
        <v>0</v>
      </c>
      <c r="N891" s="297">
        <f>tabItens[[#This Row],[VALOR UNIT.]] * tabItens[[#This Row],[LC]]</f>
        <v>0</v>
      </c>
      <c r="O891" s="298"/>
      <c r="P891" s="299"/>
      <c r="Q891" s="300"/>
      <c r="R891" s="297"/>
      <c r="S891" s="301"/>
      <c r="T891" s="302">
        <f>ROUNDDOWN(IFERROR(tabItens[[#This Row],[ATA DT.VALID.]] - $D$1,0) / 30,0)</f>
        <v>-1504</v>
      </c>
      <c r="U891" s="287" t="s">
        <v>1968</v>
      </c>
      <c r="V891" s="303">
        <v>1</v>
      </c>
      <c r="W891" s="304" t="s">
        <v>2057</v>
      </c>
      <c r="X891" s="305">
        <v>78</v>
      </c>
      <c r="Y891" s="306">
        <v>4</v>
      </c>
      <c r="Z891" s="307"/>
      <c r="AA891" s="308"/>
      <c r="AB891" s="309"/>
      <c r="AC891" s="309"/>
      <c r="AD891" s="308"/>
      <c r="AE891" s="309"/>
      <c r="AF891" s="302"/>
      <c r="AG891" s="310" t="s">
        <v>2050</v>
      </c>
      <c r="AH891" s="311"/>
      <c r="AI891" s="302">
        <v>0</v>
      </c>
      <c r="AJ891" s="311">
        <v>43847</v>
      </c>
      <c r="AK891" s="311">
        <v>43727</v>
      </c>
      <c r="AL891" s="311">
        <v>43809</v>
      </c>
      <c r="AM891" s="301"/>
      <c r="AN891" s="290"/>
      <c r="AO891" s="312" t="str">
        <f>_xlfn.IFNA(IF(VLOOKUP(tabItens[[#This Row],[CÓDIGO]],tabExcluirDoEstoque[#Data],1,FALSE),"sim",""),"")</f>
        <v/>
      </c>
      <c r="AP891" s="313" t="str">
        <f ca="1">IF(OR(ISBLANK(tabItens[[#This Row],[ATA DT.VALID.]]),tabItens[[#This Row],[ATA DT.VALID.]]="",tabItens[[#This Row],[ATA DT.VALID.]]=" "),"",IF(TYPE(tabItens[[#This Row],[ATA DT.VALID.]])=1,ROUNDUP((tabItens[[#This Row],[ATA DT.VALID.]]-TODAY())/7,0),""))</f>
        <v/>
      </c>
      <c r="AQ891" s="314"/>
      <c r="AR891" s="315">
        <f>IF(ISBLANK(tabItens[[#This Row],[CÓDIGO]]),"",IFERROR(VLOOKUP(tabItens[[#This Row],[CÓDIGO]],Consumo!$C$2:$AC$869,26,FALSE),0))</f>
        <v>0</v>
      </c>
      <c r="AS891" s="316">
        <f>SUMIF(Consumo!$C$3:$C$869,tabItens[[#This Row],[CÓDIGO]],Consumo!$N$3:$N$869) + SUMIF(Consumo!$C$3:$C$869,tabItens[[#This Row],[CÓDIGO]],Consumo!$O$3:$O$869) + SUMIF(Consumo!$C$3:$C$869,tabItens[[#This Row],[CÓDIGO]],Consumo!$P$3:$P$869) + SUMIF(Consumo!$C$3:$C$869,tabItens[[#This Row],[CÓDIGO]],Consumo!$Q$3:$Q$869)</f>
        <v>0</v>
      </c>
      <c r="AT891" s="316">
        <f>SUMIF(Consumo!$C$3:$C$869,tabItens[[#This Row],[CÓDIGO]],Consumo!$Z$3:$Z$869)</f>
        <v>0</v>
      </c>
      <c r="AU891" s="317">
        <f>SUMIF(Consumo!$C$3:$C$869,tabItens[[#This Row],[CÓDIGO]],Consumo!$AA$3:$AA$869)</f>
        <v>0</v>
      </c>
      <c r="AV891" s="318">
        <f>SUMIF(Consumo!$C$3:$C$869,tabItens[[#This Row],[CÓDIGO]],Consumo!$Y$3:$Y$869)</f>
        <v>0</v>
      </c>
      <c r="AW891" s="291">
        <f>tabItens[[#This Row],[QTDE ATUAL]] + tabItens[[#This Row],[RC QTDE]] + tabItens[[#This Row],[AF SALDO]] + tabItens[[#This Row],[Recentes]]</f>
        <v>29</v>
      </c>
      <c r="AX891" s="319">
        <v>0</v>
      </c>
      <c r="AY891" s="319">
        <v>4</v>
      </c>
      <c r="AZ891" s="319">
        <f>IF(ISBLANK(tabItens[[#This Row],[CÓDIGO]]),"",tabItens[[#This Row],[PontoMês]] * (AZ$2+tabItens[[#This Row],[PontoQtM]]))</f>
        <v>0</v>
      </c>
      <c r="BA891" s="318">
        <f>tabItens[[#This Row],[PontoPed]] - tabItens[[#This Row],[Saldo]] + (1/10)</f>
        <v>-28.9</v>
      </c>
      <c r="BB891" s="318">
        <f xml:space="preserve"> tabItens[[#This Row],[PontoMês]] * BB$2 - tabItens[[#This Row],[QTDE ATUAL]] - (1/10)</f>
        <v>-29.1</v>
      </c>
      <c r="BC891" s="320">
        <f>IF( tabItens[[#This Row],[PontoPed]]&gt;0, IF(tabItens[[#This Row],[PontoPed]]&lt;1, 1, IF( tabItens[[#This Row],[Saldo]]&gt;tabItens[[#This Row],[PontoPed]], 0, (tabItens[[#This Row],[PontoPed]]-tabItens[[#This Row],[Saldo]])/tabItens[[#This Row],[PontoPed]] ) ), 0 )</f>
        <v>0</v>
      </c>
      <c r="BD891" s="321">
        <f>ROUNDDOWN(IF( OR( AND(tabItens[[#This Row],[PontoPed]]&lt;tabItens[[#This Row],[Saldo]],tabItens[[#This Row],[Saldo]]&gt;0), tabItens[[#This Row],[PontoPed]]=0), 99, IF(AND(tabItens[[#This Row],[Saldo]]=0,tabItens[[#This Row],[PontoPed]]&gt;0), 0, (1-tabItens[[#This Row],[PctAb]])*10 ) ),0)</f>
        <v>99</v>
      </c>
      <c r="BE891" s="322">
        <f>MAX(ROUNDDOWN( IF(tabItens[[#This Row],[Abaixo]] &gt; 0,   tabItens[[#This Row],[Abaixo]] + (tabItens[[#This Row],[PontoMês]] * IF( OR( ISBLANK(tabItens[[#This Row],[ATA Nº/ANO]]), tabItens[[#This Row],[ATA Nº/ANO]] = ""),BE$2,BE$1)),0),0),0)</f>
        <v>0</v>
      </c>
      <c r="BF89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23">
        <f>SUMIF(Consumo!$C$3:$C$869,tabItens[[#This Row],[CÓDIGO]],Consumo!$E$3:$E$869)</f>
        <v>0</v>
      </c>
      <c r="BH891" s="324">
        <f>IF(AND(tabItens[[#This Row],[Pend]] &gt; 0,tabItens[[#This Row],[Consumo]] &lt;&gt; 0), tabItens[[#This Row],[Pend]] / tabItens[[#This Row],[Consumo]], 0 )</f>
        <v>0</v>
      </c>
      <c r="BI891" s="323"/>
      <c r="BJ891" s="323"/>
      <c r="BK891" s="325" t="s">
        <v>2064</v>
      </c>
    </row>
    <row r="892" spans="1:63" x14ac:dyDescent="0.3">
      <c r="A892" s="396">
        <v>20167</v>
      </c>
      <c r="B892" s="397" t="s">
        <v>1164</v>
      </c>
      <c r="C892" s="398" t="s">
        <v>256</v>
      </c>
      <c r="D892" s="399">
        <v>390</v>
      </c>
      <c r="E892" s="290"/>
      <c r="F892" s="400"/>
      <c r="G892" s="400" t="s">
        <v>883</v>
      </c>
      <c r="H892" s="401">
        <v>0</v>
      </c>
      <c r="I892" s="292">
        <v>103003</v>
      </c>
      <c r="J892" s="293">
        <v>390</v>
      </c>
      <c r="K892" s="402">
        <v>16</v>
      </c>
      <c r="L892" s="403">
        <f>IF(tabItens[[#This Row],[Média]] &gt; 0, tabItens[[#This Row],[QTDE ATUAL]] / tabItens[[#This Row],[Média]],999.9)</f>
        <v>0</v>
      </c>
      <c r="M892" s="404">
        <v>0</v>
      </c>
      <c r="N892" s="405">
        <f>tabItens[[#This Row],[VALOR UNIT.]] * tabItens[[#This Row],[LC]]</f>
        <v>0</v>
      </c>
      <c r="O892" s="406"/>
      <c r="P892" s="407"/>
      <c r="Q892" s="408"/>
      <c r="R892" s="297"/>
      <c r="S892" s="409"/>
      <c r="T892" s="410">
        <f>ROUNDDOWN(IFERROR(tabItens[[#This Row],[ATA DT.VALID.]] - $D$1,0) / 30,0)</f>
        <v>-1504</v>
      </c>
      <c r="U892" s="287" t="s">
        <v>1165</v>
      </c>
      <c r="V892" s="303">
        <v>1</v>
      </c>
      <c r="W892" s="411" t="s">
        <v>2059</v>
      </c>
      <c r="X892" s="412">
        <v>79</v>
      </c>
      <c r="Y892" s="413">
        <v>5</v>
      </c>
      <c r="Z892" s="414">
        <v>2778</v>
      </c>
      <c r="AA892" s="415">
        <v>2023</v>
      </c>
      <c r="AB892" s="416">
        <v>15</v>
      </c>
      <c r="AC892" s="416"/>
      <c r="AD892" s="415"/>
      <c r="AE892" s="416"/>
      <c r="AF892" s="302"/>
      <c r="AG892" s="417" t="s">
        <v>2050</v>
      </c>
      <c r="AH892" s="418"/>
      <c r="AI892" s="302">
        <v>6</v>
      </c>
      <c r="AJ892" s="418">
        <v>44582</v>
      </c>
      <c r="AK892" s="311" t="s">
        <v>883</v>
      </c>
      <c r="AL892" s="311">
        <v>44567</v>
      </c>
      <c r="AM892" s="301"/>
      <c r="AN892" s="290"/>
      <c r="AO892" s="312" t="str">
        <f>_xlfn.IFNA(IF(VLOOKUP(tabItens[[#This Row],[CÓDIGO]],tabExcluirDoEstoque[#Data],1,FALSE),"sim",""),"")</f>
        <v/>
      </c>
      <c r="AP892" s="419" t="str">
        <f ca="1">IF(OR(ISBLANK(tabItens[[#This Row],[ATA DT.VALID.]]),tabItens[[#This Row],[ATA DT.VALID.]]="",tabItens[[#This Row],[ATA DT.VALID.]]=" "),"",IF(TYPE(tabItens[[#This Row],[ATA DT.VALID.]])=1,ROUNDUP((tabItens[[#This Row],[ATA DT.VALID.]]-TODAY())/7,0),""))</f>
        <v/>
      </c>
      <c r="AQ892" s="314"/>
      <c r="AR892" s="315" t="str">
        <f>IF(ISBLANK(tabItens[[#This Row],[CÓDIGO]]),"",IFERROR(VLOOKUP(tabItens[[#This Row],[CÓDIGO]],Consumo!$C$2:$AC$869,26,FALSE),0))</f>
        <v>05.2023</v>
      </c>
      <c r="AS892" s="316">
        <f>SUMIF(Consumo!$C$3:$C$869,tabItens[[#This Row],[CÓDIGO]],Consumo!$N$3:$N$869) + SUMIF(Consumo!$C$3:$C$869,tabItens[[#This Row],[CÓDIGO]],Consumo!$O$3:$O$869) + SUMIF(Consumo!$C$3:$C$869,tabItens[[#This Row],[CÓDIGO]],Consumo!$P$3:$P$869) + SUMIF(Consumo!$C$3:$C$869,tabItens[[#This Row],[CÓDIGO]],Consumo!$Q$3:$Q$869)</f>
        <v>2</v>
      </c>
      <c r="AT892" s="316">
        <f>SUMIF(Consumo!$C$3:$C$869,tabItens[[#This Row],[CÓDIGO]],Consumo!$Z$3:$Z$869)</f>
        <v>19</v>
      </c>
      <c r="AU892" s="317">
        <f>SUMIF(Consumo!$C$3:$C$869,tabItens[[#This Row],[CÓDIGO]],Consumo!$AA$3:$AA$869)</f>
        <v>5</v>
      </c>
      <c r="AV892" s="318">
        <f>SUMIF(Consumo!$C$3:$C$869,tabItens[[#This Row],[CÓDIGO]],Consumo!$Y$3:$Y$869)</f>
        <v>1.5</v>
      </c>
      <c r="AW892" s="401">
        <f>tabItens[[#This Row],[QTDE ATUAL]] + tabItens[[#This Row],[RC QTDE]] + tabItens[[#This Row],[AF SALDO]] + tabItens[[#This Row],[Recentes]]</f>
        <v>15</v>
      </c>
      <c r="AX892" s="420">
        <v>2</v>
      </c>
      <c r="AY892" s="420">
        <v>4</v>
      </c>
      <c r="AZ892" s="420">
        <f>IF(ISBLANK(tabItens[[#This Row],[CÓDIGO]]),"",tabItens[[#This Row],[PontoMês]] * (AZ$2+tabItens[[#This Row],[PontoQtM]]))</f>
        <v>8</v>
      </c>
      <c r="BA892" s="421">
        <f>tabItens[[#This Row],[PontoPed]] - tabItens[[#This Row],[Saldo]] + (1/10)</f>
        <v>-6.9</v>
      </c>
      <c r="BB892" s="421">
        <f xml:space="preserve"> tabItens[[#This Row],[PontoMês]] * BB$2 - tabItens[[#This Row],[QTDE ATUAL]] - (1/10)</f>
        <v>1.9</v>
      </c>
      <c r="BC892" s="320">
        <f>IF( tabItens[[#This Row],[PontoPed]]&gt;0, IF(tabItens[[#This Row],[PontoPed]]&lt;1, 1, IF( tabItens[[#This Row],[Saldo]]&gt;tabItens[[#This Row],[PontoPed]], 0, (tabItens[[#This Row],[PontoPed]]-tabItens[[#This Row],[Saldo]])/tabItens[[#This Row],[PontoPed]] ) ), 0 )</f>
        <v>0</v>
      </c>
      <c r="BD892" s="422">
        <f>ROUNDDOWN(IF( OR( AND(tabItens[[#This Row],[PontoPed]]&lt;tabItens[[#This Row],[Saldo]],tabItens[[#This Row],[Saldo]]&gt;0), tabItens[[#This Row],[PontoPed]]=0), 99, IF(AND(tabItens[[#This Row],[Saldo]]=0,tabItens[[#This Row],[PontoPed]]&gt;0), 0, (1-tabItens[[#This Row],[PctAb]])*10 ) ),0)</f>
        <v>99</v>
      </c>
      <c r="BE892" s="423">
        <f>MAX(ROUNDDOWN( IF(tabItens[[#This Row],[Abaixo]] &gt; 0,   tabItens[[#This Row],[Abaixo]] + (tabItens[[#This Row],[PontoMês]] * IF( OR( ISBLANK(tabItens[[#This Row],[ATA Nº/ANO]]), tabItens[[#This Row],[ATA Nº/ANO]] = ""),BE$2,BE$1)),0),0),0)</f>
        <v>0</v>
      </c>
      <c r="BF892"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23">
        <f>SUMIF(Consumo!$C$3:$C$869,tabItens[[#This Row],[CÓDIGO]],Consumo!$E$3:$E$869)</f>
        <v>2</v>
      </c>
      <c r="BH892" s="324">
        <f>IF(AND(tabItens[[#This Row],[Pend]] &gt; 0,tabItens[[#This Row],[Consumo]] &lt;&gt; 0), tabItens[[#This Row],[Pend]] / tabItens[[#This Row],[Consumo]], 0 )</f>
        <v>0.10526315789473684</v>
      </c>
      <c r="BI892" s="323"/>
      <c r="BJ892" s="424"/>
      <c r="BK892" s="425" t="s">
        <v>2064</v>
      </c>
    </row>
    <row r="893" spans="1:63" hidden="1" x14ac:dyDescent="0.3">
      <c r="A893" s="286">
        <v>24219</v>
      </c>
      <c r="B893" s="287" t="s">
        <v>1192</v>
      </c>
      <c r="C893" s="288" t="s">
        <v>256</v>
      </c>
      <c r="D893" s="289">
        <v>47</v>
      </c>
      <c r="E893" s="290"/>
      <c r="F893" s="290"/>
      <c r="G893" s="290" t="s">
        <v>883</v>
      </c>
      <c r="H893" s="291">
        <v>474</v>
      </c>
      <c r="I893" s="292">
        <v>103003</v>
      </c>
      <c r="J893" s="293">
        <v>47</v>
      </c>
      <c r="K893" s="294">
        <v>185</v>
      </c>
      <c r="L893" s="295">
        <f>IF(tabItens[[#This Row],[Média]] &gt; 0, tabItens[[#This Row],[QTDE ATUAL]] / tabItens[[#This Row],[Média]],999.9)</f>
        <v>19.28135593220339</v>
      </c>
      <c r="M893" s="296">
        <v>0</v>
      </c>
      <c r="N893" s="297">
        <f>tabItens[[#This Row],[VALOR UNIT.]] * tabItens[[#This Row],[LC]]</f>
        <v>0</v>
      </c>
      <c r="O893" s="298"/>
      <c r="P893" s="299"/>
      <c r="Q893" s="300"/>
      <c r="R893" s="297"/>
      <c r="S893" s="301"/>
      <c r="T893" s="302">
        <f>ROUNDDOWN(IFERROR(tabItens[[#This Row],[ATA DT.VALID.]] - $D$1,0) / 30,0)</f>
        <v>-1504</v>
      </c>
      <c r="U893" s="287" t="s">
        <v>1193</v>
      </c>
      <c r="V893" s="303">
        <v>1</v>
      </c>
      <c r="W893" s="304" t="s">
        <v>2051</v>
      </c>
      <c r="X893" s="305">
        <v>79</v>
      </c>
      <c r="Y893" s="306">
        <v>6</v>
      </c>
      <c r="Z893" s="307"/>
      <c r="AA893" s="308"/>
      <c r="AB893" s="309"/>
      <c r="AC893" s="309"/>
      <c r="AD893" s="308"/>
      <c r="AE893" s="309"/>
      <c r="AF893" s="302"/>
      <c r="AG893" s="310" t="s">
        <v>2050</v>
      </c>
      <c r="AH893" s="311"/>
      <c r="AI893" s="302">
        <v>98</v>
      </c>
      <c r="AJ893" s="311">
        <v>44610</v>
      </c>
      <c r="AK893" s="311" t="s">
        <v>883</v>
      </c>
      <c r="AL893" s="311">
        <v>44582</v>
      </c>
      <c r="AM893" s="301"/>
      <c r="AN893" s="290"/>
      <c r="AO893" s="312" t="str">
        <f>_xlfn.IFNA(IF(VLOOKUP(tabItens[[#This Row],[CÓDIGO]],tabExcluirDoEstoque[#Data],1,FALSE),"sim",""),"")</f>
        <v/>
      </c>
      <c r="AP893" s="313" t="str">
        <f ca="1">IF(OR(ISBLANK(tabItens[[#This Row],[ATA DT.VALID.]]),tabItens[[#This Row],[ATA DT.VALID.]]="",tabItens[[#This Row],[ATA DT.VALID.]]=" "),"",IF(TYPE(tabItens[[#This Row],[ATA DT.VALID.]])=1,ROUNDUP((tabItens[[#This Row],[ATA DT.VALID.]]-TODAY())/7,0),""))</f>
        <v/>
      </c>
      <c r="AQ893" s="314"/>
      <c r="AR893" s="315" t="str">
        <f>IF(ISBLANK(tabItens[[#This Row],[CÓDIGO]]),"",IFERROR(VLOOKUP(tabItens[[#This Row],[CÓDIGO]],Consumo!$C$2:$AC$869,26,FALSE),0))</f>
        <v>07.2023</v>
      </c>
      <c r="AS893" s="316">
        <f>SUMIF(Consumo!$C$3:$C$869,tabItens[[#This Row],[CÓDIGO]],Consumo!$N$3:$N$869) + SUMIF(Consumo!$C$3:$C$869,tabItens[[#This Row],[CÓDIGO]],Consumo!$O$3:$O$869) + SUMIF(Consumo!$C$3:$C$869,tabItens[[#This Row],[CÓDIGO]],Consumo!$P$3:$P$869) + SUMIF(Consumo!$C$3:$C$869,tabItens[[#This Row],[CÓDIGO]],Consumo!$Q$3:$Q$869)</f>
        <v>109</v>
      </c>
      <c r="AT893" s="316">
        <f>SUMIF(Consumo!$C$3:$C$869,tabItens[[#This Row],[CÓDIGO]],Consumo!$Z$3:$Z$869)</f>
        <v>295</v>
      </c>
      <c r="AU893" s="317">
        <f>SUMIF(Consumo!$C$3:$C$869,tabItens[[#This Row],[CÓDIGO]],Consumo!$AA$3:$AA$869)</f>
        <v>43</v>
      </c>
      <c r="AV893" s="318">
        <f>SUMIF(Consumo!$C$3:$C$869,tabItens[[#This Row],[CÓDIGO]],Consumo!$Y$3:$Y$869)</f>
        <v>24.583333333333332</v>
      </c>
      <c r="AW893" s="291">
        <f>tabItens[[#This Row],[QTDE ATUAL]] + tabItens[[#This Row],[RC QTDE]] + tabItens[[#This Row],[AF SALDO]] + tabItens[[#This Row],[Recentes]]</f>
        <v>474</v>
      </c>
      <c r="AX893" s="319">
        <v>30</v>
      </c>
      <c r="AY893" s="319">
        <v>4</v>
      </c>
      <c r="AZ893" s="319">
        <f>IF(ISBLANK(tabItens[[#This Row],[CÓDIGO]]),"",tabItens[[#This Row],[PontoMês]] * (AZ$2+tabItens[[#This Row],[PontoQtM]]))</f>
        <v>120</v>
      </c>
      <c r="BA893" s="318">
        <f>tabItens[[#This Row],[PontoPed]] - tabItens[[#This Row],[Saldo]] + (1/10)</f>
        <v>-353.9</v>
      </c>
      <c r="BB893" s="318">
        <f xml:space="preserve"> tabItens[[#This Row],[PontoMês]] * BB$2 - tabItens[[#This Row],[QTDE ATUAL]] - (1/10)</f>
        <v>-444.1</v>
      </c>
      <c r="BC893" s="320">
        <f>IF( tabItens[[#This Row],[PontoPed]]&gt;0, IF(tabItens[[#This Row],[PontoPed]]&lt;1, 1, IF( tabItens[[#This Row],[Saldo]]&gt;tabItens[[#This Row],[PontoPed]], 0, (tabItens[[#This Row],[PontoPed]]-tabItens[[#This Row],[Saldo]])/tabItens[[#This Row],[PontoPed]] ) ), 0 )</f>
        <v>0</v>
      </c>
      <c r="BD893" s="321">
        <f>ROUNDDOWN(IF( OR( AND(tabItens[[#This Row],[PontoPed]]&lt;tabItens[[#This Row],[Saldo]],tabItens[[#This Row],[Saldo]]&gt;0), tabItens[[#This Row],[PontoPed]]=0), 99, IF(AND(tabItens[[#This Row],[Saldo]]=0,tabItens[[#This Row],[PontoPed]]&gt;0), 0, (1-tabItens[[#This Row],[PctAb]])*10 ) ),0)</f>
        <v>99</v>
      </c>
      <c r="BE893" s="322">
        <f>MAX(ROUNDDOWN( IF(tabItens[[#This Row],[Abaixo]] &gt; 0,   tabItens[[#This Row],[Abaixo]] + (tabItens[[#This Row],[PontoMês]] * IF( OR( ISBLANK(tabItens[[#This Row],[ATA Nº/ANO]]), tabItens[[#This Row],[ATA Nº/ANO]] = ""),BE$2,BE$1)),0),0),0)</f>
        <v>0</v>
      </c>
      <c r="BF89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323">
        <f>SUMIF(Consumo!$C$3:$C$869,tabItens[[#This Row],[CÓDIGO]],Consumo!$E$3:$E$869)</f>
        <v>1</v>
      </c>
      <c r="BH893" s="324">
        <f>IF(AND(tabItens[[#This Row],[Pend]] &gt; 0,tabItens[[#This Row],[Consumo]] &lt;&gt; 0), tabItens[[#This Row],[Pend]] / tabItens[[#This Row],[Consumo]], 0 )</f>
        <v>3.3898305084745762E-3</v>
      </c>
      <c r="BI893" s="323"/>
      <c r="BJ893" s="323"/>
      <c r="BK893" s="325" t="s">
        <v>2064</v>
      </c>
    </row>
    <row r="894" spans="1:63" hidden="1" x14ac:dyDescent="0.3">
      <c r="A894" s="286">
        <v>120615</v>
      </c>
      <c r="B894" s="287" t="s">
        <v>1735</v>
      </c>
      <c r="C894" s="288" t="s">
        <v>331</v>
      </c>
      <c r="D894" s="289">
        <v>1.05</v>
      </c>
      <c r="E894" s="290"/>
      <c r="F894" s="290"/>
      <c r="G894" s="290" t="s">
        <v>883</v>
      </c>
      <c r="H894" s="291">
        <v>1276</v>
      </c>
      <c r="I894" s="292">
        <v>103003</v>
      </c>
      <c r="J894" s="293">
        <v>1.05</v>
      </c>
      <c r="K894" s="294"/>
      <c r="L894" s="295">
        <f>IF(tabItens[[#This Row],[Média]] &gt; 0, tabItens[[#This Row],[QTDE ATUAL]] / tabItens[[#This Row],[Média]],999.9)</f>
        <v>999.9</v>
      </c>
      <c r="M894" s="296">
        <v>0</v>
      </c>
      <c r="N894" s="297">
        <f>tabItens[[#This Row],[VALOR UNIT.]] * tabItens[[#This Row],[LC]]</f>
        <v>0</v>
      </c>
      <c r="O894" s="298"/>
      <c r="P894" s="299"/>
      <c r="Q894" s="300"/>
      <c r="R894" s="297"/>
      <c r="S894" s="301"/>
      <c r="T894" s="302">
        <f>ROUNDDOWN(IFERROR(tabItens[[#This Row],[ATA DT.VALID.]] - $D$1,0) / 30,0)</f>
        <v>-1504</v>
      </c>
      <c r="U894" s="287" t="s">
        <v>1736</v>
      </c>
      <c r="V894" s="303">
        <v>1</v>
      </c>
      <c r="W894" s="304" t="s">
        <v>2056</v>
      </c>
      <c r="X894" s="305">
        <v>80</v>
      </c>
      <c r="Y894" s="306">
        <v>13</v>
      </c>
      <c r="Z894" s="307"/>
      <c r="AA894" s="308"/>
      <c r="AB894" s="309"/>
      <c r="AC894" s="309"/>
      <c r="AD894" s="308"/>
      <c r="AE894" s="309"/>
      <c r="AF894" s="302"/>
      <c r="AG894" s="310" t="s">
        <v>2050</v>
      </c>
      <c r="AH894" s="311"/>
      <c r="AI894" s="302">
        <v>0</v>
      </c>
      <c r="AJ894" s="311">
        <v>42333</v>
      </c>
      <c r="AK894" s="311">
        <v>40756</v>
      </c>
      <c r="AL894" s="311">
        <v>42297</v>
      </c>
      <c r="AM894" s="301"/>
      <c r="AN894" s="290"/>
      <c r="AO894" s="312" t="str">
        <f>_xlfn.IFNA(IF(VLOOKUP(tabItens[[#This Row],[CÓDIGO]],tabExcluirDoEstoque[#Data],1,FALSE),"sim",""),"")</f>
        <v/>
      </c>
      <c r="AP894" s="313" t="str">
        <f ca="1">IF(OR(ISBLANK(tabItens[[#This Row],[ATA DT.VALID.]]),tabItens[[#This Row],[ATA DT.VALID.]]="",tabItens[[#This Row],[ATA DT.VALID.]]=" "),"",IF(TYPE(tabItens[[#This Row],[ATA DT.VALID.]])=1,ROUNDUP((tabItens[[#This Row],[ATA DT.VALID.]]-TODAY())/7,0),""))</f>
        <v/>
      </c>
      <c r="AQ894" s="314"/>
      <c r="AR894" s="315">
        <f>IF(ISBLANK(tabItens[[#This Row],[CÓDIGO]]),"",IFERROR(VLOOKUP(tabItens[[#This Row],[CÓDIGO]],Consumo!$C$2:$AC$869,26,FALSE),0))</f>
        <v>0</v>
      </c>
      <c r="AS894" s="316">
        <f>SUMIF(Consumo!$C$3:$C$869,tabItens[[#This Row],[CÓDIGO]],Consumo!$N$3:$N$869) + SUMIF(Consumo!$C$3:$C$869,tabItens[[#This Row],[CÓDIGO]],Consumo!$O$3:$O$869) + SUMIF(Consumo!$C$3:$C$869,tabItens[[#This Row],[CÓDIGO]],Consumo!$P$3:$P$869) + SUMIF(Consumo!$C$3:$C$869,tabItens[[#This Row],[CÓDIGO]],Consumo!$Q$3:$Q$869)</f>
        <v>0</v>
      </c>
      <c r="AT894" s="316">
        <f>SUMIF(Consumo!$C$3:$C$869,tabItens[[#This Row],[CÓDIGO]],Consumo!$Z$3:$Z$869)</f>
        <v>0</v>
      </c>
      <c r="AU894" s="317">
        <f>SUMIF(Consumo!$C$3:$C$869,tabItens[[#This Row],[CÓDIGO]],Consumo!$AA$3:$AA$869)</f>
        <v>0</v>
      </c>
      <c r="AV894" s="318">
        <f>SUMIF(Consumo!$C$3:$C$869,tabItens[[#This Row],[CÓDIGO]],Consumo!$Y$3:$Y$869)</f>
        <v>0</v>
      </c>
      <c r="AW894" s="291">
        <f>tabItens[[#This Row],[QTDE ATUAL]] + tabItens[[#This Row],[RC QTDE]] + tabItens[[#This Row],[AF SALDO]] + tabItens[[#This Row],[Recentes]]</f>
        <v>1276</v>
      </c>
      <c r="AX894" s="319">
        <v>21</v>
      </c>
      <c r="AY894" s="319">
        <v>4</v>
      </c>
      <c r="AZ894" s="319">
        <f>IF(ISBLANK(tabItens[[#This Row],[CÓDIGO]]),"",tabItens[[#This Row],[PontoMês]] * (AZ$2+tabItens[[#This Row],[PontoQtM]]))</f>
        <v>84</v>
      </c>
      <c r="BA894" s="318">
        <f>tabItens[[#This Row],[PontoPed]] - tabItens[[#This Row],[Saldo]] + (1/10)</f>
        <v>-1191.9000000000001</v>
      </c>
      <c r="BB894" s="318">
        <f xml:space="preserve"> tabItens[[#This Row],[PontoMês]] * BB$2 - tabItens[[#This Row],[QTDE ATUAL]] - (1/10)</f>
        <v>-1255.0999999999999</v>
      </c>
      <c r="BC894" s="320">
        <f>IF( tabItens[[#This Row],[PontoPed]]&gt;0, IF(tabItens[[#This Row],[PontoPed]]&lt;1, 1, IF( tabItens[[#This Row],[Saldo]]&gt;tabItens[[#This Row],[PontoPed]], 0, (tabItens[[#This Row],[PontoPed]]-tabItens[[#This Row],[Saldo]])/tabItens[[#This Row],[PontoPed]] ) ), 0 )</f>
        <v>0</v>
      </c>
      <c r="BD894" s="321">
        <f>ROUNDDOWN(IF( OR( AND(tabItens[[#This Row],[PontoPed]]&lt;tabItens[[#This Row],[Saldo]],tabItens[[#This Row],[Saldo]]&gt;0), tabItens[[#This Row],[PontoPed]]=0), 99, IF(AND(tabItens[[#This Row],[Saldo]]=0,tabItens[[#This Row],[PontoPed]]&gt;0), 0, (1-tabItens[[#This Row],[PctAb]])*10 ) ),0)</f>
        <v>99</v>
      </c>
      <c r="BE894" s="322">
        <f>MAX(ROUNDDOWN( IF(tabItens[[#This Row],[Abaixo]] &gt; 0,   tabItens[[#This Row],[Abaixo]] + (tabItens[[#This Row],[PontoMês]] * IF( OR( ISBLANK(tabItens[[#This Row],[ATA Nº/ANO]]), tabItens[[#This Row],[ATA Nº/ANO]] = ""),BE$2,BE$1)),0),0),0)</f>
        <v>0</v>
      </c>
      <c r="BF89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23">
        <f>SUMIF(Consumo!$C$3:$C$869,tabItens[[#This Row],[CÓDIGO]],Consumo!$E$3:$E$869)</f>
        <v>0</v>
      </c>
      <c r="BH894" s="324">
        <f>IF(AND(tabItens[[#This Row],[Pend]] &gt; 0,tabItens[[#This Row],[Consumo]] &lt;&gt; 0), tabItens[[#This Row],[Pend]] / tabItens[[#This Row],[Consumo]], 0 )</f>
        <v>0</v>
      </c>
      <c r="BI894" s="323"/>
      <c r="BJ894" s="323"/>
      <c r="BK894" s="325" t="s">
        <v>2064</v>
      </c>
    </row>
    <row r="895" spans="1:63" x14ac:dyDescent="0.3">
      <c r="A895" s="396">
        <v>24551</v>
      </c>
      <c r="B895" s="397" t="s">
        <v>1201</v>
      </c>
      <c r="C895" s="398" t="s">
        <v>256</v>
      </c>
      <c r="D895" s="399">
        <v>5.2</v>
      </c>
      <c r="E895" s="290"/>
      <c r="F895" s="400"/>
      <c r="G895" s="400" t="s">
        <v>883</v>
      </c>
      <c r="H895" s="401">
        <v>0</v>
      </c>
      <c r="I895" s="292">
        <v>103003</v>
      </c>
      <c r="J895" s="293">
        <v>5.2</v>
      </c>
      <c r="K895" s="402">
        <v>44</v>
      </c>
      <c r="L895" s="403">
        <f>IF(tabItens[[#This Row],[Média]] &gt; 0, tabItens[[#This Row],[QTDE ATUAL]] / tabItens[[#This Row],[Média]],999.9)</f>
        <v>0</v>
      </c>
      <c r="M895" s="404">
        <v>0</v>
      </c>
      <c r="N895" s="405">
        <f>tabItens[[#This Row],[VALOR UNIT.]] * tabItens[[#This Row],[LC]]</f>
        <v>0</v>
      </c>
      <c r="O895" s="406"/>
      <c r="P895" s="407"/>
      <c r="Q895" s="408"/>
      <c r="R895" s="297"/>
      <c r="S895" s="409"/>
      <c r="T895" s="410">
        <f>ROUNDDOWN(IFERROR(tabItens[[#This Row],[ATA DT.VALID.]] - $D$1,0) / 30,0)</f>
        <v>-1504</v>
      </c>
      <c r="U895" s="287" t="s">
        <v>1202</v>
      </c>
      <c r="V895" s="303">
        <v>1</v>
      </c>
      <c r="W895" s="411" t="s">
        <v>2057</v>
      </c>
      <c r="X895" s="412">
        <v>83</v>
      </c>
      <c r="Y895" s="413">
        <v>3</v>
      </c>
      <c r="Z895" s="414">
        <v>2222</v>
      </c>
      <c r="AA895" s="415">
        <v>2023</v>
      </c>
      <c r="AB895" s="416">
        <v>150</v>
      </c>
      <c r="AC895" s="416"/>
      <c r="AD895" s="415"/>
      <c r="AE895" s="416"/>
      <c r="AF895" s="302"/>
      <c r="AG895" s="417" t="s">
        <v>2050</v>
      </c>
      <c r="AH895" s="418"/>
      <c r="AI895" s="302">
        <v>14</v>
      </c>
      <c r="AJ895" s="418">
        <v>43889</v>
      </c>
      <c r="AK895" s="311" t="s">
        <v>883</v>
      </c>
      <c r="AL895" s="311">
        <v>43826</v>
      </c>
      <c r="AM895" s="301"/>
      <c r="AN895" s="290"/>
      <c r="AO895" s="312" t="str">
        <f>_xlfn.IFNA(IF(VLOOKUP(tabItens[[#This Row],[CÓDIGO]],tabExcluirDoEstoque[#Data],1,FALSE),"sim",""),"")</f>
        <v/>
      </c>
      <c r="AP895" s="419" t="str">
        <f ca="1">IF(OR(ISBLANK(tabItens[[#This Row],[ATA DT.VALID.]]),tabItens[[#This Row],[ATA DT.VALID.]]="",tabItens[[#This Row],[ATA DT.VALID.]]=" "),"",IF(TYPE(tabItens[[#This Row],[ATA DT.VALID.]])=1,ROUNDUP((tabItens[[#This Row],[ATA DT.VALID.]]-TODAY())/7,0),""))</f>
        <v/>
      </c>
      <c r="AQ895" s="314"/>
      <c r="AR895" s="315" t="str">
        <f>IF(ISBLANK(tabItens[[#This Row],[CÓDIGO]]),"",IFERROR(VLOOKUP(tabItens[[#This Row],[CÓDIGO]],Consumo!$C$2:$AC$869,26,FALSE),0))</f>
        <v>01.2023</v>
      </c>
      <c r="AS895" s="316">
        <f>SUMIF(Consumo!$C$3:$C$869,tabItens[[#This Row],[CÓDIGO]],Consumo!$N$3:$N$869) + SUMIF(Consumo!$C$3:$C$869,tabItens[[#This Row],[CÓDIGO]],Consumo!$O$3:$O$869) + SUMIF(Consumo!$C$3:$C$869,tabItens[[#This Row],[CÓDIGO]],Consumo!$P$3:$P$869) + SUMIF(Consumo!$C$3:$C$869,tabItens[[#This Row],[CÓDIGO]],Consumo!$Q$3:$Q$869)</f>
        <v>0</v>
      </c>
      <c r="AT895" s="316">
        <f>SUMIF(Consumo!$C$3:$C$869,tabItens[[#This Row],[CÓDIGO]],Consumo!$Z$3:$Z$869)</f>
        <v>66</v>
      </c>
      <c r="AU895" s="317">
        <f>SUMIF(Consumo!$C$3:$C$869,tabItens[[#This Row],[CÓDIGO]],Consumo!$AA$3:$AA$869)</f>
        <v>18</v>
      </c>
      <c r="AV895" s="318">
        <f>SUMIF(Consumo!$C$3:$C$869,tabItens[[#This Row],[CÓDIGO]],Consumo!$Y$3:$Y$869)</f>
        <v>5.5</v>
      </c>
      <c r="AW895" s="401">
        <f>tabItens[[#This Row],[QTDE ATUAL]] + tabItens[[#This Row],[RC QTDE]] + tabItens[[#This Row],[AF SALDO]] + tabItens[[#This Row],[Recentes]]</f>
        <v>150</v>
      </c>
      <c r="AX895" s="420">
        <v>4</v>
      </c>
      <c r="AY895" s="420">
        <v>4</v>
      </c>
      <c r="AZ895" s="420">
        <f>IF(ISBLANK(tabItens[[#This Row],[CÓDIGO]]),"",tabItens[[#This Row],[PontoMês]] * (AZ$2+tabItens[[#This Row],[PontoQtM]]))</f>
        <v>16</v>
      </c>
      <c r="BA895" s="421">
        <f>tabItens[[#This Row],[PontoPed]] - tabItens[[#This Row],[Saldo]] + (1/10)</f>
        <v>-133.9</v>
      </c>
      <c r="BB895" s="421">
        <f xml:space="preserve"> tabItens[[#This Row],[PontoMês]] * BB$2 - tabItens[[#This Row],[QTDE ATUAL]] - (1/10)</f>
        <v>3.9</v>
      </c>
      <c r="BC895" s="320">
        <f>IF( tabItens[[#This Row],[PontoPed]]&gt;0, IF(tabItens[[#This Row],[PontoPed]]&lt;1, 1, IF( tabItens[[#This Row],[Saldo]]&gt;tabItens[[#This Row],[PontoPed]], 0, (tabItens[[#This Row],[PontoPed]]-tabItens[[#This Row],[Saldo]])/tabItens[[#This Row],[PontoPed]] ) ), 0 )</f>
        <v>0</v>
      </c>
      <c r="BD895" s="422">
        <f>ROUNDDOWN(IF( OR( AND(tabItens[[#This Row],[PontoPed]]&lt;tabItens[[#This Row],[Saldo]],tabItens[[#This Row],[Saldo]]&gt;0), tabItens[[#This Row],[PontoPed]]=0), 99, IF(AND(tabItens[[#This Row],[Saldo]]=0,tabItens[[#This Row],[PontoPed]]&gt;0), 0, (1-tabItens[[#This Row],[PctAb]])*10 ) ),0)</f>
        <v>99</v>
      </c>
      <c r="BE895" s="423">
        <f>MAX(ROUNDDOWN( IF(tabItens[[#This Row],[Abaixo]] &gt; 0,   tabItens[[#This Row],[Abaixo]] + (tabItens[[#This Row],[PontoMês]] * IF( OR( ISBLANK(tabItens[[#This Row],[ATA Nº/ANO]]), tabItens[[#This Row],[ATA Nº/ANO]] = ""),BE$2,BE$1)),0),0),0)</f>
        <v>0</v>
      </c>
      <c r="BF895"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323">
        <f>SUMIF(Consumo!$C$3:$C$869,tabItens[[#This Row],[CÓDIGO]],Consumo!$E$3:$E$869)</f>
        <v>22</v>
      </c>
      <c r="BH895" s="324">
        <f>IF(AND(tabItens[[#This Row],[Pend]] &gt; 0,tabItens[[#This Row],[Consumo]] &lt;&gt; 0), tabItens[[#This Row],[Pend]] / tabItens[[#This Row],[Consumo]], 0 )</f>
        <v>0.33333333333333331</v>
      </c>
      <c r="BI895" s="323"/>
      <c r="BJ895" s="424"/>
      <c r="BK895" s="425" t="s">
        <v>2064</v>
      </c>
    </row>
    <row r="896" spans="1:63" x14ac:dyDescent="0.3">
      <c r="A896" s="396">
        <v>60973</v>
      </c>
      <c r="B896" s="397" t="s">
        <v>1349</v>
      </c>
      <c r="C896" s="398" t="s">
        <v>256</v>
      </c>
      <c r="D896" s="399">
        <v>8.33</v>
      </c>
      <c r="E896" s="290"/>
      <c r="F896" s="400"/>
      <c r="G896" s="400" t="s">
        <v>883</v>
      </c>
      <c r="H896" s="401">
        <v>0</v>
      </c>
      <c r="I896" s="292">
        <v>103003</v>
      </c>
      <c r="J896" s="293">
        <v>8.33</v>
      </c>
      <c r="K896" s="402">
        <v>83</v>
      </c>
      <c r="L896" s="403">
        <f>IF(tabItens[[#This Row],[Média]] &gt; 0, tabItens[[#This Row],[QTDE ATUAL]] / tabItens[[#This Row],[Média]],999.9)</f>
        <v>0</v>
      </c>
      <c r="M896" s="404">
        <v>0</v>
      </c>
      <c r="N896" s="405">
        <f>tabItens[[#This Row],[VALOR UNIT.]] * tabItens[[#This Row],[LC]]</f>
        <v>0</v>
      </c>
      <c r="O896" s="406"/>
      <c r="P896" s="407"/>
      <c r="Q896" s="408"/>
      <c r="R896" s="297"/>
      <c r="S896" s="409"/>
      <c r="T896" s="410">
        <f>ROUNDDOWN(IFERROR(tabItens[[#This Row],[ATA DT.VALID.]] - $D$1,0) / 30,0)</f>
        <v>-1504</v>
      </c>
      <c r="U896" s="287" t="s">
        <v>1202</v>
      </c>
      <c r="V896" s="303">
        <v>1</v>
      </c>
      <c r="W896" s="411" t="s">
        <v>2057</v>
      </c>
      <c r="X896" s="412">
        <v>83</v>
      </c>
      <c r="Y896" s="413">
        <v>3</v>
      </c>
      <c r="Z896" s="414">
        <v>2516</v>
      </c>
      <c r="AA896" s="415">
        <v>2023</v>
      </c>
      <c r="AB896" s="416">
        <v>50</v>
      </c>
      <c r="AC896" s="416"/>
      <c r="AD896" s="415"/>
      <c r="AE896" s="416"/>
      <c r="AF896" s="302"/>
      <c r="AG896" s="417" t="s">
        <v>2050</v>
      </c>
      <c r="AH896" s="418"/>
      <c r="AI896" s="302">
        <v>28</v>
      </c>
      <c r="AJ896" s="418">
        <v>44734</v>
      </c>
      <c r="AK896" s="311" t="s">
        <v>883</v>
      </c>
      <c r="AL896" s="311">
        <v>44714</v>
      </c>
      <c r="AM896" s="301"/>
      <c r="AN896" s="290"/>
      <c r="AO896" s="312" t="str">
        <f>_xlfn.IFNA(IF(VLOOKUP(tabItens[[#This Row],[CÓDIGO]],tabExcluirDoEstoque[#Data],1,FALSE),"sim",""),"")</f>
        <v/>
      </c>
      <c r="AP896" s="419" t="str">
        <f ca="1">IF(OR(ISBLANK(tabItens[[#This Row],[ATA DT.VALID.]]),tabItens[[#This Row],[ATA DT.VALID.]]="",tabItens[[#This Row],[ATA DT.VALID.]]=" "),"",IF(TYPE(tabItens[[#This Row],[ATA DT.VALID.]])=1,ROUNDUP((tabItens[[#This Row],[ATA DT.VALID.]]-TODAY())/7,0),""))</f>
        <v/>
      </c>
      <c r="AQ896" s="314"/>
      <c r="AR896" s="315" t="str">
        <f>IF(ISBLANK(tabItens[[#This Row],[CÓDIGO]]),"",IFERROR(VLOOKUP(tabItens[[#This Row],[CÓDIGO]],Consumo!$C$2:$AC$869,26,FALSE),0))</f>
        <v>02.2023</v>
      </c>
      <c r="AS896" s="316">
        <f>SUMIF(Consumo!$C$3:$C$869,tabItens[[#This Row],[CÓDIGO]],Consumo!$N$3:$N$869) + SUMIF(Consumo!$C$3:$C$869,tabItens[[#This Row],[CÓDIGO]],Consumo!$O$3:$O$869) + SUMIF(Consumo!$C$3:$C$869,tabItens[[#This Row],[CÓDIGO]],Consumo!$P$3:$P$869) + SUMIF(Consumo!$C$3:$C$869,tabItens[[#This Row],[CÓDIGO]],Consumo!$Q$3:$Q$869)</f>
        <v>0</v>
      </c>
      <c r="AT896" s="316">
        <f>SUMIF(Consumo!$C$3:$C$869,tabItens[[#This Row],[CÓDIGO]],Consumo!$Z$3:$Z$869)</f>
        <v>88</v>
      </c>
      <c r="AU896" s="317">
        <f>SUMIF(Consumo!$C$3:$C$869,tabItens[[#This Row],[CÓDIGO]],Consumo!$AA$3:$AA$869)</f>
        <v>27</v>
      </c>
      <c r="AV896" s="318">
        <f>SUMIF(Consumo!$C$3:$C$869,tabItens[[#This Row],[CÓDIGO]],Consumo!$Y$3:$Y$869)</f>
        <v>7.083333333333333</v>
      </c>
      <c r="AW896" s="401">
        <f>tabItens[[#This Row],[QTDE ATUAL]] + tabItens[[#This Row],[RC QTDE]] + tabItens[[#This Row],[AF SALDO]] + tabItens[[#This Row],[Recentes]]</f>
        <v>50</v>
      </c>
      <c r="AX896" s="420">
        <v>2</v>
      </c>
      <c r="AY896" s="420">
        <v>4</v>
      </c>
      <c r="AZ896" s="420">
        <f>IF(ISBLANK(tabItens[[#This Row],[CÓDIGO]]),"",tabItens[[#This Row],[PontoMês]] * (AZ$2+tabItens[[#This Row],[PontoQtM]]))</f>
        <v>8</v>
      </c>
      <c r="BA896" s="421">
        <f>tabItens[[#This Row],[PontoPed]] - tabItens[[#This Row],[Saldo]] + (1/10)</f>
        <v>-41.9</v>
      </c>
      <c r="BB896" s="421">
        <f xml:space="preserve"> tabItens[[#This Row],[PontoMês]] * BB$2 - tabItens[[#This Row],[QTDE ATUAL]] - (1/10)</f>
        <v>1.9</v>
      </c>
      <c r="BC896" s="320">
        <f>IF( tabItens[[#This Row],[PontoPed]]&gt;0, IF(tabItens[[#This Row],[PontoPed]]&lt;1, 1, IF( tabItens[[#This Row],[Saldo]]&gt;tabItens[[#This Row],[PontoPed]], 0, (tabItens[[#This Row],[PontoPed]]-tabItens[[#This Row],[Saldo]])/tabItens[[#This Row],[PontoPed]] ) ), 0 )</f>
        <v>0</v>
      </c>
      <c r="BD896" s="422">
        <f>ROUNDDOWN(IF( OR( AND(tabItens[[#This Row],[PontoPed]]&lt;tabItens[[#This Row],[Saldo]],tabItens[[#This Row],[Saldo]]&gt;0), tabItens[[#This Row],[PontoPed]]=0), 99, IF(AND(tabItens[[#This Row],[Saldo]]=0,tabItens[[#This Row],[PontoPed]]&gt;0), 0, (1-tabItens[[#This Row],[PctAb]])*10 ) ),0)</f>
        <v>99</v>
      </c>
      <c r="BE896" s="423">
        <f>MAX(ROUNDDOWN( IF(tabItens[[#This Row],[Abaixo]] &gt; 0,   tabItens[[#This Row],[Abaixo]] + (tabItens[[#This Row],[PontoMês]] * IF( OR( ISBLANK(tabItens[[#This Row],[ATA Nº/ANO]]), tabItens[[#This Row],[ATA Nº/ANO]] = ""),BE$2,BE$1)),0),0),0)</f>
        <v>0</v>
      </c>
      <c r="BF896" s="424">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23">
        <f>SUMIF(Consumo!$C$3:$C$869,tabItens[[#This Row],[CÓDIGO]],Consumo!$E$3:$E$869)</f>
        <v>5</v>
      </c>
      <c r="BH896" s="324">
        <f>IF(AND(tabItens[[#This Row],[Pend]] &gt; 0,tabItens[[#This Row],[Consumo]] &lt;&gt; 0), tabItens[[#This Row],[Pend]] / tabItens[[#This Row],[Consumo]], 0 )</f>
        <v>5.6818181818181816E-2</v>
      </c>
      <c r="BI896" s="323"/>
      <c r="BJ896" s="424"/>
      <c r="BK896" s="425" t="s">
        <v>2064</v>
      </c>
    </row>
    <row r="897" spans="1:63" hidden="1" x14ac:dyDescent="0.3">
      <c r="A897" s="286">
        <v>139545</v>
      </c>
      <c r="B897" s="287" t="s">
        <v>1977</v>
      </c>
      <c r="C897" s="288" t="s">
        <v>31</v>
      </c>
      <c r="D897" s="289">
        <v>4.28</v>
      </c>
      <c r="E897" s="290"/>
      <c r="F897" s="290"/>
      <c r="G897" s="290" t="s">
        <v>883</v>
      </c>
      <c r="H897" s="291">
        <v>373</v>
      </c>
      <c r="I897" s="292">
        <v>103003</v>
      </c>
      <c r="J897" s="293">
        <v>4.28</v>
      </c>
      <c r="K897" s="294">
        <v>77</v>
      </c>
      <c r="L897" s="295">
        <f>IF(tabItens[[#This Row],[Média]] &gt; 0, tabItens[[#This Row],[QTDE ATUAL]] / tabItens[[#This Row],[Média]],999.9)</f>
        <v>67.818181818181813</v>
      </c>
      <c r="M897" s="296">
        <v>0</v>
      </c>
      <c r="N897" s="297">
        <f>tabItens[[#This Row],[VALOR UNIT.]] * tabItens[[#This Row],[LC]]</f>
        <v>0</v>
      </c>
      <c r="O897" s="298"/>
      <c r="P897" s="299"/>
      <c r="Q897" s="300"/>
      <c r="R897" s="297"/>
      <c r="S897" s="301"/>
      <c r="T897" s="302">
        <f>ROUNDDOWN(IFERROR(tabItens[[#This Row],[ATA DT.VALID.]] - $D$1,0) / 30,0)</f>
        <v>-1504</v>
      </c>
      <c r="U897" s="287" t="s">
        <v>1275</v>
      </c>
      <c r="V897" s="303">
        <v>1</v>
      </c>
      <c r="W897" s="304" t="s">
        <v>2056</v>
      </c>
      <c r="X897" s="305">
        <v>83</v>
      </c>
      <c r="Y897" s="306">
        <v>4</v>
      </c>
      <c r="Z897" s="307"/>
      <c r="AA897" s="308"/>
      <c r="AB897" s="309"/>
      <c r="AC897" s="309"/>
      <c r="AD897" s="308"/>
      <c r="AE897" s="309"/>
      <c r="AF897" s="302"/>
      <c r="AG897" s="310" t="s">
        <v>2050</v>
      </c>
      <c r="AH897" s="311"/>
      <c r="AI897" s="302">
        <v>26</v>
      </c>
      <c r="AJ897" s="311">
        <v>44166</v>
      </c>
      <c r="AK897" s="311">
        <v>43983</v>
      </c>
      <c r="AL897" s="311">
        <v>44125</v>
      </c>
      <c r="AM897" s="301"/>
      <c r="AN897" s="290"/>
      <c r="AO897" s="312" t="str">
        <f>_xlfn.IFNA(IF(VLOOKUP(tabItens[[#This Row],[CÓDIGO]],tabExcluirDoEstoque[#Data],1,FALSE),"sim",""),"")</f>
        <v/>
      </c>
      <c r="AP897" s="313" t="str">
        <f ca="1">IF(OR(ISBLANK(tabItens[[#This Row],[ATA DT.VALID.]]),tabItens[[#This Row],[ATA DT.VALID.]]="",tabItens[[#This Row],[ATA DT.VALID.]]=" "),"",IF(TYPE(tabItens[[#This Row],[ATA DT.VALID.]])=1,ROUNDUP((tabItens[[#This Row],[ATA DT.VALID.]]-TODAY())/7,0),""))</f>
        <v/>
      </c>
      <c r="AQ897" s="314"/>
      <c r="AR897" s="315" t="str">
        <f>IF(ISBLANK(tabItens[[#This Row],[CÓDIGO]]),"",IFERROR(VLOOKUP(tabItens[[#This Row],[CÓDIGO]],Consumo!$C$2:$AC$869,26,FALSE),0))</f>
        <v>04.2023</v>
      </c>
      <c r="AS897" s="316">
        <f>SUMIF(Consumo!$C$3:$C$869,tabItens[[#This Row],[CÓDIGO]],Consumo!$N$3:$N$869) + SUMIF(Consumo!$C$3:$C$869,tabItens[[#This Row],[CÓDIGO]],Consumo!$O$3:$O$869) + SUMIF(Consumo!$C$3:$C$869,tabItens[[#This Row],[CÓDIGO]],Consumo!$P$3:$P$869) + SUMIF(Consumo!$C$3:$C$869,tabItens[[#This Row],[CÓDIGO]],Consumo!$Q$3:$Q$869)</f>
        <v>4</v>
      </c>
      <c r="AT897" s="316">
        <f>SUMIF(Consumo!$C$3:$C$869,tabItens[[#This Row],[CÓDIGO]],Consumo!$Z$3:$Z$869)</f>
        <v>79</v>
      </c>
      <c r="AU897" s="317">
        <f>SUMIF(Consumo!$C$3:$C$869,tabItens[[#This Row],[CÓDIGO]],Consumo!$AA$3:$AA$869)</f>
        <v>50</v>
      </c>
      <c r="AV897" s="318">
        <f>SUMIF(Consumo!$C$3:$C$869,tabItens[[#This Row],[CÓDIGO]],Consumo!$Y$3:$Y$869)</f>
        <v>5.5</v>
      </c>
      <c r="AW897" s="291">
        <f>tabItens[[#This Row],[QTDE ATUAL]] + tabItens[[#This Row],[RC QTDE]] + tabItens[[#This Row],[AF SALDO]] + tabItens[[#This Row],[Recentes]]</f>
        <v>373</v>
      </c>
      <c r="AX897" s="319">
        <v>3</v>
      </c>
      <c r="AY897" s="319">
        <v>4</v>
      </c>
      <c r="AZ897" s="319">
        <f>IF(ISBLANK(tabItens[[#This Row],[CÓDIGO]]),"",tabItens[[#This Row],[PontoMês]] * (AZ$2+tabItens[[#This Row],[PontoQtM]]))</f>
        <v>12</v>
      </c>
      <c r="BA897" s="318">
        <f>tabItens[[#This Row],[PontoPed]] - tabItens[[#This Row],[Saldo]] + (1/10)</f>
        <v>-360.9</v>
      </c>
      <c r="BB897" s="318">
        <f xml:space="preserve"> tabItens[[#This Row],[PontoMês]] * BB$2 - tabItens[[#This Row],[QTDE ATUAL]] - (1/10)</f>
        <v>-370.1</v>
      </c>
      <c r="BC897" s="320">
        <f>IF( tabItens[[#This Row],[PontoPed]]&gt;0, IF(tabItens[[#This Row],[PontoPed]]&lt;1, 1, IF( tabItens[[#This Row],[Saldo]]&gt;tabItens[[#This Row],[PontoPed]], 0, (tabItens[[#This Row],[PontoPed]]-tabItens[[#This Row],[Saldo]])/tabItens[[#This Row],[PontoPed]] ) ), 0 )</f>
        <v>0</v>
      </c>
      <c r="BD897" s="321">
        <f>ROUNDDOWN(IF( OR( AND(tabItens[[#This Row],[PontoPed]]&lt;tabItens[[#This Row],[Saldo]],tabItens[[#This Row],[Saldo]]&gt;0), tabItens[[#This Row],[PontoPed]]=0), 99, IF(AND(tabItens[[#This Row],[Saldo]]=0,tabItens[[#This Row],[PontoPed]]&gt;0), 0, (1-tabItens[[#This Row],[PctAb]])*10 ) ),0)</f>
        <v>99</v>
      </c>
      <c r="BE897" s="322">
        <f>MAX(ROUNDDOWN( IF(tabItens[[#This Row],[Abaixo]] &gt; 0,   tabItens[[#This Row],[Abaixo]] + (tabItens[[#This Row],[PontoMês]] * IF( OR( ISBLANK(tabItens[[#This Row],[ATA Nº/ANO]]), tabItens[[#This Row],[ATA Nº/ANO]] = ""),BE$2,BE$1)),0),0),0)</f>
        <v>0</v>
      </c>
      <c r="BF89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23">
        <f>SUMIF(Consumo!$C$3:$C$869,tabItens[[#This Row],[CÓDIGO]],Consumo!$E$3:$E$869)</f>
        <v>0</v>
      </c>
      <c r="BH897" s="324">
        <f>IF(AND(tabItens[[#This Row],[Pend]] &gt; 0,tabItens[[#This Row],[Consumo]] &lt;&gt; 0), tabItens[[#This Row],[Pend]] / tabItens[[#This Row],[Consumo]], 0 )</f>
        <v>0</v>
      </c>
      <c r="BI897" s="323"/>
      <c r="BJ897" s="323"/>
      <c r="BK897" s="325" t="s">
        <v>2064</v>
      </c>
    </row>
    <row r="898" spans="1:63" hidden="1" x14ac:dyDescent="0.3">
      <c r="A898" s="286">
        <v>64634</v>
      </c>
      <c r="B898" s="287" t="s">
        <v>1378</v>
      </c>
      <c r="C898" s="288" t="s">
        <v>256</v>
      </c>
      <c r="D898" s="289">
        <v>3</v>
      </c>
      <c r="E898" s="290"/>
      <c r="F898" s="290"/>
      <c r="G898" s="290" t="s">
        <v>883</v>
      </c>
      <c r="H898" s="291">
        <v>89</v>
      </c>
      <c r="I898" s="292">
        <v>103003</v>
      </c>
      <c r="J898" s="293">
        <v>3</v>
      </c>
      <c r="K898" s="294"/>
      <c r="L898" s="295">
        <f>IF(tabItens[[#This Row],[Média]] &gt; 0, tabItens[[#This Row],[QTDE ATUAL]] / tabItens[[#This Row],[Média]],999.9)</f>
        <v>999.9</v>
      </c>
      <c r="M898" s="296">
        <v>0</v>
      </c>
      <c r="N898" s="297">
        <f>tabItens[[#This Row],[VALOR UNIT.]] * tabItens[[#This Row],[LC]]</f>
        <v>0</v>
      </c>
      <c r="O898" s="298"/>
      <c r="P898" s="299"/>
      <c r="Q898" s="300"/>
      <c r="R898" s="297"/>
      <c r="S898" s="301"/>
      <c r="T898" s="302">
        <f>ROUNDDOWN(IFERROR(tabItens[[#This Row],[ATA DT.VALID.]] - $D$1,0) / 30,0)</f>
        <v>-1504</v>
      </c>
      <c r="U898" s="287" t="s">
        <v>1379</v>
      </c>
      <c r="V898" s="303">
        <v>1</v>
      </c>
      <c r="W898" s="304" t="s">
        <v>2056</v>
      </c>
      <c r="X898" s="305">
        <v>83</v>
      </c>
      <c r="Y898" s="306">
        <v>10</v>
      </c>
      <c r="Z898" s="307"/>
      <c r="AA898" s="308"/>
      <c r="AB898" s="309"/>
      <c r="AC898" s="309"/>
      <c r="AD898" s="308"/>
      <c r="AE898" s="309"/>
      <c r="AF898" s="302"/>
      <c r="AG898" s="310" t="s">
        <v>2050</v>
      </c>
      <c r="AH898" s="311"/>
      <c r="AI898" s="302">
        <v>0</v>
      </c>
      <c r="AJ898" s="311">
        <v>44162</v>
      </c>
      <c r="AK898" s="311" t="s">
        <v>883</v>
      </c>
      <c r="AL898" s="311">
        <v>44029</v>
      </c>
      <c r="AM898" s="301"/>
      <c r="AN898" s="290"/>
      <c r="AO898" s="312" t="str">
        <f>_xlfn.IFNA(IF(VLOOKUP(tabItens[[#This Row],[CÓDIGO]],tabExcluirDoEstoque[#Data],1,FALSE),"sim",""),"")</f>
        <v/>
      </c>
      <c r="AP898" s="313" t="str">
        <f ca="1">IF(OR(ISBLANK(tabItens[[#This Row],[ATA DT.VALID.]]),tabItens[[#This Row],[ATA DT.VALID.]]="",tabItens[[#This Row],[ATA DT.VALID.]]=" "),"",IF(TYPE(tabItens[[#This Row],[ATA DT.VALID.]])=1,ROUNDUP((tabItens[[#This Row],[ATA DT.VALID.]]-TODAY())/7,0),""))</f>
        <v/>
      </c>
      <c r="AQ898" s="314"/>
      <c r="AR898" s="315">
        <f>IF(ISBLANK(tabItens[[#This Row],[CÓDIGO]]),"",IFERROR(VLOOKUP(tabItens[[#This Row],[CÓDIGO]],Consumo!$C$2:$AC$869,26,FALSE),0))</f>
        <v>0</v>
      </c>
      <c r="AS898" s="316">
        <f>SUMIF(Consumo!$C$3:$C$869,tabItens[[#This Row],[CÓDIGO]],Consumo!$N$3:$N$869) + SUMIF(Consumo!$C$3:$C$869,tabItens[[#This Row],[CÓDIGO]],Consumo!$O$3:$O$869) + SUMIF(Consumo!$C$3:$C$869,tabItens[[#This Row],[CÓDIGO]],Consumo!$P$3:$P$869) + SUMIF(Consumo!$C$3:$C$869,tabItens[[#This Row],[CÓDIGO]],Consumo!$Q$3:$Q$869)</f>
        <v>0</v>
      </c>
      <c r="AT898" s="316">
        <f>SUMIF(Consumo!$C$3:$C$869,tabItens[[#This Row],[CÓDIGO]],Consumo!$Z$3:$Z$869)</f>
        <v>0</v>
      </c>
      <c r="AU898" s="317">
        <f>SUMIF(Consumo!$C$3:$C$869,tabItens[[#This Row],[CÓDIGO]],Consumo!$AA$3:$AA$869)</f>
        <v>0</v>
      </c>
      <c r="AV898" s="318">
        <f>SUMIF(Consumo!$C$3:$C$869,tabItens[[#This Row],[CÓDIGO]],Consumo!$Y$3:$Y$869)</f>
        <v>0</v>
      </c>
      <c r="AW898" s="291">
        <f>tabItens[[#This Row],[QTDE ATUAL]] + tabItens[[#This Row],[RC QTDE]] + tabItens[[#This Row],[AF SALDO]] + tabItens[[#This Row],[Recentes]]</f>
        <v>89</v>
      </c>
      <c r="AX898" s="319">
        <v>1</v>
      </c>
      <c r="AY898" s="319">
        <v>4</v>
      </c>
      <c r="AZ898" s="319">
        <f>IF(ISBLANK(tabItens[[#This Row],[CÓDIGO]]),"",tabItens[[#This Row],[PontoMês]] * (AZ$2+tabItens[[#This Row],[PontoQtM]]))</f>
        <v>4</v>
      </c>
      <c r="BA898" s="318">
        <f>tabItens[[#This Row],[PontoPed]] - tabItens[[#This Row],[Saldo]] + (1/10)</f>
        <v>-84.9</v>
      </c>
      <c r="BB898" s="318">
        <f xml:space="preserve"> tabItens[[#This Row],[PontoMês]] * BB$2 - tabItens[[#This Row],[QTDE ATUAL]] - (1/10)</f>
        <v>-88.1</v>
      </c>
      <c r="BC898" s="320">
        <f>IF( tabItens[[#This Row],[PontoPed]]&gt;0, IF(tabItens[[#This Row],[PontoPed]]&lt;1, 1, IF( tabItens[[#This Row],[Saldo]]&gt;tabItens[[#This Row],[PontoPed]], 0, (tabItens[[#This Row],[PontoPed]]-tabItens[[#This Row],[Saldo]])/tabItens[[#This Row],[PontoPed]] ) ), 0 )</f>
        <v>0</v>
      </c>
      <c r="BD898" s="321">
        <f>ROUNDDOWN(IF( OR( AND(tabItens[[#This Row],[PontoPed]]&lt;tabItens[[#This Row],[Saldo]],tabItens[[#This Row],[Saldo]]&gt;0), tabItens[[#This Row],[PontoPed]]=0), 99, IF(AND(tabItens[[#This Row],[Saldo]]=0,tabItens[[#This Row],[PontoPed]]&gt;0), 0, (1-tabItens[[#This Row],[PctAb]])*10 ) ),0)</f>
        <v>99</v>
      </c>
      <c r="BE898" s="322">
        <f>MAX(ROUNDDOWN( IF(tabItens[[#This Row],[Abaixo]] &gt; 0,   tabItens[[#This Row],[Abaixo]] + (tabItens[[#This Row],[PontoMês]] * IF( OR( ISBLANK(tabItens[[#This Row],[ATA Nº/ANO]]), tabItens[[#This Row],[ATA Nº/ANO]] = ""),BE$2,BE$1)),0),0),0)</f>
        <v>0</v>
      </c>
      <c r="BF89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23">
        <f>SUMIF(Consumo!$C$3:$C$869,tabItens[[#This Row],[CÓDIGO]],Consumo!$E$3:$E$869)</f>
        <v>0</v>
      </c>
      <c r="BH898" s="324">
        <f>IF(AND(tabItens[[#This Row],[Pend]] &gt; 0,tabItens[[#This Row],[Consumo]] &lt;&gt; 0), tabItens[[#This Row],[Pend]] / tabItens[[#This Row],[Consumo]], 0 )</f>
        <v>0</v>
      </c>
      <c r="BI898" s="323"/>
      <c r="BJ898" s="323"/>
      <c r="BK898" s="325" t="s">
        <v>2064</v>
      </c>
    </row>
    <row r="899" spans="1:63" hidden="1" x14ac:dyDescent="0.3">
      <c r="A899" s="286">
        <v>126345</v>
      </c>
      <c r="B899" s="287" t="s">
        <v>1767</v>
      </c>
      <c r="C899" s="288" t="s">
        <v>1659</v>
      </c>
      <c r="D899" s="289">
        <v>2.79</v>
      </c>
      <c r="E899" s="290"/>
      <c r="F899" s="290"/>
      <c r="G899" s="290" t="s">
        <v>883</v>
      </c>
      <c r="H899" s="291">
        <v>334</v>
      </c>
      <c r="I899" s="292">
        <v>103003</v>
      </c>
      <c r="J899" s="293">
        <v>2.79</v>
      </c>
      <c r="K899" s="294">
        <v>39</v>
      </c>
      <c r="L899" s="295">
        <f>IF(tabItens[[#This Row],[Média]] &gt; 0, tabItens[[#This Row],[QTDE ATUAL]] / tabItens[[#This Row],[Média]],999.9)</f>
        <v>91.090909090909093</v>
      </c>
      <c r="M899" s="296">
        <v>0</v>
      </c>
      <c r="N899" s="297">
        <f>tabItens[[#This Row],[VALOR UNIT.]] * tabItens[[#This Row],[LC]]</f>
        <v>0</v>
      </c>
      <c r="O899" s="298"/>
      <c r="P899" s="299"/>
      <c r="Q899" s="300"/>
      <c r="R899" s="297"/>
      <c r="S899" s="301"/>
      <c r="T899" s="302">
        <f>ROUNDDOWN(IFERROR(tabItens[[#This Row],[ATA DT.VALID.]] - $D$1,0) / 30,0)</f>
        <v>-1504</v>
      </c>
      <c r="U899" s="287" t="s">
        <v>1768</v>
      </c>
      <c r="V899" s="303">
        <v>1</v>
      </c>
      <c r="W899" s="304" t="s">
        <v>2059</v>
      </c>
      <c r="X899" s="305">
        <v>89</v>
      </c>
      <c r="Y899" s="306">
        <v>7</v>
      </c>
      <c r="Z899" s="307"/>
      <c r="AA899" s="308"/>
      <c r="AB899" s="309"/>
      <c r="AC899" s="309"/>
      <c r="AD899" s="308"/>
      <c r="AE899" s="309"/>
      <c r="AF899" s="302"/>
      <c r="AG899" s="310" t="s">
        <v>2050</v>
      </c>
      <c r="AH899" s="311"/>
      <c r="AI899" s="302">
        <v>14</v>
      </c>
      <c r="AJ899" s="311">
        <v>44085</v>
      </c>
      <c r="AK899" s="311">
        <v>41543</v>
      </c>
      <c r="AL899" s="311">
        <v>44082</v>
      </c>
      <c r="AM899" s="301"/>
      <c r="AN899" s="290"/>
      <c r="AO899" s="312" t="str">
        <f>_xlfn.IFNA(IF(VLOOKUP(tabItens[[#This Row],[CÓDIGO]],tabExcluirDoEstoque[#Data],1,FALSE),"sim",""),"")</f>
        <v/>
      </c>
      <c r="AP899" s="313" t="str">
        <f ca="1">IF(OR(ISBLANK(tabItens[[#This Row],[ATA DT.VALID.]]),tabItens[[#This Row],[ATA DT.VALID.]]="",tabItens[[#This Row],[ATA DT.VALID.]]=" "),"",IF(TYPE(tabItens[[#This Row],[ATA DT.VALID.]])=1,ROUNDUP((tabItens[[#This Row],[ATA DT.VALID.]]-TODAY())/7,0),""))</f>
        <v/>
      </c>
      <c r="AQ899" s="314"/>
      <c r="AR899" s="315" t="str">
        <f>IF(ISBLANK(tabItens[[#This Row],[CÓDIGO]]),"",IFERROR(VLOOKUP(tabItens[[#This Row],[CÓDIGO]],Consumo!$C$2:$AC$869,26,FALSE),0))</f>
        <v>07.2023</v>
      </c>
      <c r="AS899" s="316">
        <f>SUMIF(Consumo!$C$3:$C$869,tabItens[[#This Row],[CÓDIGO]],Consumo!$N$3:$N$869) + SUMIF(Consumo!$C$3:$C$869,tabItens[[#This Row],[CÓDIGO]],Consumo!$O$3:$O$869) + SUMIF(Consumo!$C$3:$C$869,tabItens[[#This Row],[CÓDIGO]],Consumo!$P$3:$P$869) + SUMIF(Consumo!$C$3:$C$869,tabItens[[#This Row],[CÓDIGO]],Consumo!$Q$3:$Q$869)</f>
        <v>7</v>
      </c>
      <c r="AT899" s="316">
        <f>SUMIF(Consumo!$C$3:$C$869,tabItens[[#This Row],[CÓDIGO]],Consumo!$Z$3:$Z$869)</f>
        <v>44</v>
      </c>
      <c r="AU899" s="317">
        <f>SUMIF(Consumo!$C$3:$C$869,tabItens[[#This Row],[CÓDIGO]],Consumo!$AA$3:$AA$869)</f>
        <v>10</v>
      </c>
      <c r="AV899" s="318">
        <f>SUMIF(Consumo!$C$3:$C$869,tabItens[[#This Row],[CÓDIGO]],Consumo!$Y$3:$Y$869)</f>
        <v>3.6666666666666665</v>
      </c>
      <c r="AW899" s="291">
        <f>tabItens[[#This Row],[QTDE ATUAL]] + tabItens[[#This Row],[RC QTDE]] + tabItens[[#This Row],[AF SALDO]] + tabItens[[#This Row],[Recentes]]</f>
        <v>334</v>
      </c>
      <c r="AX899" s="319">
        <v>40</v>
      </c>
      <c r="AY899" s="319">
        <v>4</v>
      </c>
      <c r="AZ899" s="319">
        <f>IF(ISBLANK(tabItens[[#This Row],[CÓDIGO]]),"",tabItens[[#This Row],[PontoMês]] * (AZ$2+tabItens[[#This Row],[PontoQtM]]))</f>
        <v>160</v>
      </c>
      <c r="BA899" s="318">
        <f>tabItens[[#This Row],[PontoPed]] - tabItens[[#This Row],[Saldo]] + (1/10)</f>
        <v>-173.9</v>
      </c>
      <c r="BB899" s="318">
        <f xml:space="preserve"> tabItens[[#This Row],[PontoMês]] * BB$2 - tabItens[[#This Row],[QTDE ATUAL]] - (1/10)</f>
        <v>-294.10000000000002</v>
      </c>
      <c r="BC899" s="320">
        <f>IF( tabItens[[#This Row],[PontoPed]]&gt;0, IF(tabItens[[#This Row],[PontoPed]]&lt;1, 1, IF( tabItens[[#This Row],[Saldo]]&gt;tabItens[[#This Row],[PontoPed]], 0, (tabItens[[#This Row],[PontoPed]]-tabItens[[#This Row],[Saldo]])/tabItens[[#This Row],[PontoPed]] ) ), 0 )</f>
        <v>0</v>
      </c>
      <c r="BD899" s="321">
        <f>ROUNDDOWN(IF( OR( AND(tabItens[[#This Row],[PontoPed]]&lt;tabItens[[#This Row],[Saldo]],tabItens[[#This Row],[Saldo]]&gt;0), tabItens[[#This Row],[PontoPed]]=0), 99, IF(AND(tabItens[[#This Row],[Saldo]]=0,tabItens[[#This Row],[PontoPed]]&gt;0), 0, (1-tabItens[[#This Row],[PctAb]])*10 ) ),0)</f>
        <v>99</v>
      </c>
      <c r="BE899" s="322">
        <f>MAX(ROUNDDOWN( IF(tabItens[[#This Row],[Abaixo]] &gt; 0,   tabItens[[#This Row],[Abaixo]] + (tabItens[[#This Row],[PontoMês]] * IF( OR( ISBLANK(tabItens[[#This Row],[ATA Nº/ANO]]), tabItens[[#This Row],[ATA Nº/ANO]] = ""),BE$2,BE$1)),0),0),0)</f>
        <v>0</v>
      </c>
      <c r="BF89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23">
        <f>SUMIF(Consumo!$C$3:$C$869,tabItens[[#This Row],[CÓDIGO]],Consumo!$E$3:$E$869)</f>
        <v>0</v>
      </c>
      <c r="BH899" s="324">
        <f>IF(AND(tabItens[[#This Row],[Pend]] &gt; 0,tabItens[[#This Row],[Consumo]] &lt;&gt; 0), tabItens[[#This Row],[Pend]] / tabItens[[#This Row],[Consumo]], 0 )</f>
        <v>0</v>
      </c>
      <c r="BI899" s="323"/>
      <c r="BJ899" s="323"/>
      <c r="BK899" s="325" t="s">
        <v>2064</v>
      </c>
    </row>
    <row r="900" spans="1:63" hidden="1" x14ac:dyDescent="0.3">
      <c r="A900" s="286">
        <v>36399</v>
      </c>
      <c r="B900" s="287" t="s">
        <v>1264</v>
      </c>
      <c r="C900" s="288" t="s">
        <v>256</v>
      </c>
      <c r="D900" s="289">
        <v>5.7</v>
      </c>
      <c r="E900" s="290"/>
      <c r="F900" s="290"/>
      <c r="G900" s="290" t="s">
        <v>883</v>
      </c>
      <c r="H900" s="291">
        <v>143</v>
      </c>
      <c r="I900" s="292">
        <v>103003</v>
      </c>
      <c r="J900" s="293">
        <v>5.7</v>
      </c>
      <c r="K900" s="294">
        <v>40</v>
      </c>
      <c r="L900" s="295">
        <f>IF(tabItens[[#This Row],[Média]] &gt; 0, tabItens[[#This Row],[QTDE ATUAL]] / tabItens[[#This Row],[Média]],999.9)</f>
        <v>47.666666666666664</v>
      </c>
      <c r="M900" s="296">
        <v>0</v>
      </c>
      <c r="N900" s="297">
        <f>tabItens[[#This Row],[VALOR UNIT.]] * tabItens[[#This Row],[LC]]</f>
        <v>0</v>
      </c>
      <c r="O900" s="298"/>
      <c r="P900" s="299"/>
      <c r="Q900" s="300"/>
      <c r="R900" s="297"/>
      <c r="S900" s="301"/>
      <c r="T900" s="302">
        <f>ROUNDDOWN(IFERROR(tabItens[[#This Row],[ATA DT.VALID.]] - $D$1,0) / 30,0)</f>
        <v>-1504</v>
      </c>
      <c r="U900" s="287" t="s">
        <v>1265</v>
      </c>
      <c r="V900" s="303">
        <v>1</v>
      </c>
      <c r="W900" s="304" t="s">
        <v>2059</v>
      </c>
      <c r="X900" s="305">
        <v>89</v>
      </c>
      <c r="Y900" s="306">
        <v>12</v>
      </c>
      <c r="Z900" s="307"/>
      <c r="AA900" s="308"/>
      <c r="AB900" s="309"/>
      <c r="AC900" s="309"/>
      <c r="AD900" s="308"/>
      <c r="AE900" s="309"/>
      <c r="AF900" s="302"/>
      <c r="AG900" s="310" t="s">
        <v>2050</v>
      </c>
      <c r="AH900" s="311"/>
      <c r="AI900" s="302">
        <v>14</v>
      </c>
      <c r="AJ900" s="311">
        <v>44406</v>
      </c>
      <c r="AK900" s="311" t="s">
        <v>883</v>
      </c>
      <c r="AL900" s="311">
        <v>44392</v>
      </c>
      <c r="AM900" s="301"/>
      <c r="AN900" s="290"/>
      <c r="AO900" s="312" t="str">
        <f>_xlfn.IFNA(IF(VLOOKUP(tabItens[[#This Row],[CÓDIGO]],tabExcluirDoEstoque[#Data],1,FALSE),"sim",""),"")</f>
        <v/>
      </c>
      <c r="AP900" s="313" t="str">
        <f ca="1">IF(OR(ISBLANK(tabItens[[#This Row],[ATA DT.VALID.]]),tabItens[[#This Row],[ATA DT.VALID.]]="",tabItens[[#This Row],[ATA DT.VALID.]]=" "),"",IF(TYPE(tabItens[[#This Row],[ATA DT.VALID.]])=1,ROUNDUP((tabItens[[#This Row],[ATA DT.VALID.]]-TODAY())/7,0),""))</f>
        <v/>
      </c>
      <c r="AQ900" s="314"/>
      <c r="AR900" s="315" t="str">
        <f>IF(ISBLANK(tabItens[[#This Row],[CÓDIGO]]),"",IFERROR(VLOOKUP(tabItens[[#This Row],[CÓDIGO]],Consumo!$C$2:$AC$869,26,FALSE),0))</f>
        <v>05.2023</v>
      </c>
      <c r="AS900" s="316">
        <f>SUMIF(Consumo!$C$3:$C$869,tabItens[[#This Row],[CÓDIGO]],Consumo!$N$3:$N$869) + SUMIF(Consumo!$C$3:$C$869,tabItens[[#This Row],[CÓDIGO]],Consumo!$O$3:$O$869) + SUMIF(Consumo!$C$3:$C$869,tabItens[[#This Row],[CÓDIGO]],Consumo!$P$3:$P$869) + SUMIF(Consumo!$C$3:$C$869,tabItens[[#This Row],[CÓDIGO]],Consumo!$Q$3:$Q$869)</f>
        <v>20</v>
      </c>
      <c r="AT900" s="316">
        <f>SUMIF(Consumo!$C$3:$C$869,tabItens[[#This Row],[CÓDIGO]],Consumo!$Z$3:$Z$869)</f>
        <v>40</v>
      </c>
      <c r="AU900" s="317">
        <f>SUMIF(Consumo!$C$3:$C$869,tabItens[[#This Row],[CÓDIGO]],Consumo!$AA$3:$AA$869)</f>
        <v>20</v>
      </c>
      <c r="AV900" s="318">
        <f>SUMIF(Consumo!$C$3:$C$869,tabItens[[#This Row],[CÓDIGO]],Consumo!$Y$3:$Y$869)</f>
        <v>3</v>
      </c>
      <c r="AW900" s="291">
        <f>tabItens[[#This Row],[QTDE ATUAL]] + tabItens[[#This Row],[RC QTDE]] + tabItens[[#This Row],[AF SALDO]] + tabItens[[#This Row],[Recentes]]</f>
        <v>143</v>
      </c>
      <c r="AX900" s="319">
        <v>3</v>
      </c>
      <c r="AY900" s="319">
        <v>4</v>
      </c>
      <c r="AZ900" s="319">
        <f>IF(ISBLANK(tabItens[[#This Row],[CÓDIGO]]),"",tabItens[[#This Row],[PontoMês]] * (AZ$2+tabItens[[#This Row],[PontoQtM]]))</f>
        <v>12</v>
      </c>
      <c r="BA900" s="318">
        <f>tabItens[[#This Row],[PontoPed]] - tabItens[[#This Row],[Saldo]] + (1/10)</f>
        <v>-130.9</v>
      </c>
      <c r="BB900" s="318">
        <f xml:space="preserve"> tabItens[[#This Row],[PontoMês]] * BB$2 - tabItens[[#This Row],[QTDE ATUAL]] - (1/10)</f>
        <v>-140.1</v>
      </c>
      <c r="BC900" s="320">
        <f>IF( tabItens[[#This Row],[PontoPed]]&gt;0, IF(tabItens[[#This Row],[PontoPed]]&lt;1, 1, IF( tabItens[[#This Row],[Saldo]]&gt;tabItens[[#This Row],[PontoPed]], 0, (tabItens[[#This Row],[PontoPed]]-tabItens[[#This Row],[Saldo]])/tabItens[[#This Row],[PontoPed]] ) ), 0 )</f>
        <v>0</v>
      </c>
      <c r="BD900" s="321">
        <f>ROUNDDOWN(IF( OR( AND(tabItens[[#This Row],[PontoPed]]&lt;tabItens[[#This Row],[Saldo]],tabItens[[#This Row],[Saldo]]&gt;0), tabItens[[#This Row],[PontoPed]]=0), 99, IF(AND(tabItens[[#This Row],[Saldo]]=0,tabItens[[#This Row],[PontoPed]]&gt;0), 0, (1-tabItens[[#This Row],[PctAb]])*10 ) ),0)</f>
        <v>99</v>
      </c>
      <c r="BE900" s="322">
        <f>MAX(ROUNDDOWN( IF(tabItens[[#This Row],[Abaixo]] &gt; 0,   tabItens[[#This Row],[Abaixo]] + (tabItens[[#This Row],[PontoMês]] * IF( OR( ISBLANK(tabItens[[#This Row],[ATA Nº/ANO]]), tabItens[[#This Row],[ATA Nº/ANO]] = ""),BE$2,BE$1)),0),0),0)</f>
        <v>0</v>
      </c>
      <c r="BF90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23">
        <f>SUMIF(Consumo!$C$3:$C$869,tabItens[[#This Row],[CÓDIGO]],Consumo!$E$3:$E$869)</f>
        <v>0</v>
      </c>
      <c r="BH900" s="324">
        <f>IF(AND(tabItens[[#This Row],[Pend]] &gt; 0,tabItens[[#This Row],[Consumo]] &lt;&gt; 0), tabItens[[#This Row],[Pend]] / tabItens[[#This Row],[Consumo]], 0 )</f>
        <v>0</v>
      </c>
      <c r="BI900" s="323"/>
      <c r="BJ900" s="323"/>
      <c r="BK900" s="325" t="s">
        <v>2064</v>
      </c>
    </row>
    <row r="901" spans="1:63" hidden="1" x14ac:dyDescent="0.3">
      <c r="A901" s="286">
        <v>71874</v>
      </c>
      <c r="B901" s="287" t="s">
        <v>1398</v>
      </c>
      <c r="C901" s="288" t="s">
        <v>256</v>
      </c>
      <c r="D901" s="289">
        <v>1.7</v>
      </c>
      <c r="E901" s="290"/>
      <c r="F901" s="290"/>
      <c r="G901" s="290" t="s">
        <v>883</v>
      </c>
      <c r="H901" s="291">
        <v>126</v>
      </c>
      <c r="I901" s="292">
        <v>103003</v>
      </c>
      <c r="J901" s="293">
        <v>1.7</v>
      </c>
      <c r="K901" s="294">
        <v>5</v>
      </c>
      <c r="L901" s="295">
        <f>IF(tabItens[[#This Row],[Média]] &gt; 0, tabItens[[#This Row],[QTDE ATUAL]] / tabItens[[#This Row],[Média]],999.9)</f>
        <v>504</v>
      </c>
      <c r="M901" s="296">
        <v>0</v>
      </c>
      <c r="N901" s="297">
        <f>tabItens[[#This Row],[VALOR UNIT.]] * tabItens[[#This Row],[LC]]</f>
        <v>0</v>
      </c>
      <c r="O901" s="298"/>
      <c r="P901" s="299"/>
      <c r="Q901" s="300"/>
      <c r="R901" s="297"/>
      <c r="S901" s="301"/>
      <c r="T901" s="302">
        <f>ROUNDDOWN(IFERROR(tabItens[[#This Row],[ATA DT.VALID.]] - $D$1,0) / 30,0)</f>
        <v>-1504</v>
      </c>
      <c r="U901" s="287" t="s">
        <v>1265</v>
      </c>
      <c r="V901" s="303">
        <v>1</v>
      </c>
      <c r="W901" s="304" t="s">
        <v>2059</v>
      </c>
      <c r="X901" s="305">
        <v>89</v>
      </c>
      <c r="Y901" s="306">
        <v>12</v>
      </c>
      <c r="Z901" s="307"/>
      <c r="AA901" s="308"/>
      <c r="AB901" s="309"/>
      <c r="AC901" s="309"/>
      <c r="AD901" s="308"/>
      <c r="AE901" s="309"/>
      <c r="AF901" s="302"/>
      <c r="AG901" s="310" t="s">
        <v>2050</v>
      </c>
      <c r="AH901" s="311"/>
      <c r="AI901" s="302">
        <v>2</v>
      </c>
      <c r="AJ901" s="311" t="s">
        <v>883</v>
      </c>
      <c r="AK901" s="311" t="s">
        <v>883</v>
      </c>
      <c r="AL901" s="311">
        <v>41570</v>
      </c>
      <c r="AM901" s="301"/>
      <c r="AN901" s="290"/>
      <c r="AO901" s="312" t="str">
        <f>_xlfn.IFNA(IF(VLOOKUP(tabItens[[#This Row],[CÓDIGO]],tabExcluirDoEstoque[#Data],1,FALSE),"sim",""),"")</f>
        <v/>
      </c>
      <c r="AP901" s="313" t="str">
        <f ca="1">IF(OR(ISBLANK(tabItens[[#This Row],[ATA DT.VALID.]]),tabItens[[#This Row],[ATA DT.VALID.]]="",tabItens[[#This Row],[ATA DT.VALID.]]=" "),"",IF(TYPE(tabItens[[#This Row],[ATA DT.VALID.]])=1,ROUNDUP((tabItens[[#This Row],[ATA DT.VALID.]]-TODAY())/7,0),""))</f>
        <v/>
      </c>
      <c r="AQ901" s="314"/>
      <c r="AR901" s="315" t="str">
        <f>IF(ISBLANK(tabItens[[#This Row],[CÓDIGO]]),"",IFERROR(VLOOKUP(tabItens[[#This Row],[CÓDIGO]],Consumo!$C$2:$AC$869,26,FALSE),0))</f>
        <v>05.2023</v>
      </c>
      <c r="AS901" s="316">
        <f>SUMIF(Consumo!$C$3:$C$869,tabItens[[#This Row],[CÓDIGO]],Consumo!$N$3:$N$869) + SUMIF(Consumo!$C$3:$C$869,tabItens[[#This Row],[CÓDIGO]],Consumo!$O$3:$O$869) + SUMIF(Consumo!$C$3:$C$869,tabItens[[#This Row],[CÓDIGO]],Consumo!$P$3:$P$869) + SUMIF(Consumo!$C$3:$C$869,tabItens[[#This Row],[CÓDIGO]],Consumo!$Q$3:$Q$869)</f>
        <v>5</v>
      </c>
      <c r="AT901" s="316">
        <f>SUMIF(Consumo!$C$3:$C$869,tabItens[[#This Row],[CÓDIGO]],Consumo!$Z$3:$Z$869)</f>
        <v>5</v>
      </c>
      <c r="AU901" s="317">
        <f>SUMIF(Consumo!$C$3:$C$869,tabItens[[#This Row],[CÓDIGO]],Consumo!$AA$3:$AA$869)</f>
        <v>5</v>
      </c>
      <c r="AV901" s="318">
        <f>SUMIF(Consumo!$C$3:$C$869,tabItens[[#This Row],[CÓDIGO]],Consumo!$Y$3:$Y$869)</f>
        <v>0.25</v>
      </c>
      <c r="AW901" s="291">
        <f>tabItens[[#This Row],[QTDE ATUAL]] + tabItens[[#This Row],[RC QTDE]] + tabItens[[#This Row],[AF SALDO]] + tabItens[[#This Row],[Recentes]]</f>
        <v>126</v>
      </c>
      <c r="AX901" s="319">
        <v>0</v>
      </c>
      <c r="AY901" s="319">
        <v>4</v>
      </c>
      <c r="AZ901" s="319">
        <f>IF(ISBLANK(tabItens[[#This Row],[CÓDIGO]]),"",tabItens[[#This Row],[PontoMês]] * (AZ$2+tabItens[[#This Row],[PontoQtM]]))</f>
        <v>0</v>
      </c>
      <c r="BA901" s="318">
        <f>tabItens[[#This Row],[PontoPed]] - tabItens[[#This Row],[Saldo]] + (1/10)</f>
        <v>-125.9</v>
      </c>
      <c r="BB901" s="318">
        <f xml:space="preserve"> tabItens[[#This Row],[PontoMês]] * BB$2 - tabItens[[#This Row],[QTDE ATUAL]] - (1/10)</f>
        <v>-126.1</v>
      </c>
      <c r="BC901" s="320">
        <f>IF( tabItens[[#This Row],[PontoPed]]&gt;0, IF(tabItens[[#This Row],[PontoPed]]&lt;1, 1, IF( tabItens[[#This Row],[Saldo]]&gt;tabItens[[#This Row],[PontoPed]], 0, (tabItens[[#This Row],[PontoPed]]-tabItens[[#This Row],[Saldo]])/tabItens[[#This Row],[PontoPed]] ) ), 0 )</f>
        <v>0</v>
      </c>
      <c r="BD901" s="321">
        <f>ROUNDDOWN(IF( OR( AND(tabItens[[#This Row],[PontoPed]]&lt;tabItens[[#This Row],[Saldo]],tabItens[[#This Row],[Saldo]]&gt;0), tabItens[[#This Row],[PontoPed]]=0), 99, IF(AND(tabItens[[#This Row],[Saldo]]=0,tabItens[[#This Row],[PontoPed]]&gt;0), 0, (1-tabItens[[#This Row],[PctAb]])*10 ) ),0)</f>
        <v>99</v>
      </c>
      <c r="BE901" s="322">
        <f>MAX(ROUNDDOWN( IF(tabItens[[#This Row],[Abaixo]] &gt; 0,   tabItens[[#This Row],[Abaixo]] + (tabItens[[#This Row],[PontoMês]] * IF( OR( ISBLANK(tabItens[[#This Row],[ATA Nº/ANO]]), tabItens[[#This Row],[ATA Nº/ANO]] = ""),BE$2,BE$1)),0),0),0)</f>
        <v>0</v>
      </c>
      <c r="BF90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23">
        <f>SUMIF(Consumo!$C$3:$C$869,tabItens[[#This Row],[CÓDIGO]],Consumo!$E$3:$E$869)</f>
        <v>0</v>
      </c>
      <c r="BH901" s="324">
        <f>IF(AND(tabItens[[#This Row],[Pend]] &gt; 0,tabItens[[#This Row],[Consumo]] &lt;&gt; 0), tabItens[[#This Row],[Pend]] / tabItens[[#This Row],[Consumo]], 0 )</f>
        <v>0</v>
      </c>
      <c r="BI901" s="323"/>
      <c r="BJ901" s="323"/>
      <c r="BK901" s="325" t="s">
        <v>2064</v>
      </c>
    </row>
    <row r="902" spans="1:63" hidden="1" x14ac:dyDescent="0.3">
      <c r="A902" s="286">
        <v>118244</v>
      </c>
      <c r="B902" s="287" t="s">
        <v>1718</v>
      </c>
      <c r="C902" s="288" t="s">
        <v>256</v>
      </c>
      <c r="D902" s="289">
        <v>5.99</v>
      </c>
      <c r="E902" s="290"/>
      <c r="F902" s="290"/>
      <c r="G902" s="290" t="s">
        <v>883</v>
      </c>
      <c r="H902" s="291">
        <v>173</v>
      </c>
      <c r="I902" s="292">
        <v>103003</v>
      </c>
      <c r="J902" s="293">
        <v>5.99</v>
      </c>
      <c r="K902" s="294">
        <v>5</v>
      </c>
      <c r="L902" s="295">
        <f>IF(tabItens[[#This Row],[Média]] &gt; 0, tabItens[[#This Row],[QTDE ATUAL]] / tabItens[[#This Row],[Média]],999.9)</f>
        <v>692</v>
      </c>
      <c r="M902" s="296">
        <v>0</v>
      </c>
      <c r="N902" s="297">
        <f>tabItens[[#This Row],[VALOR UNIT.]] * tabItens[[#This Row],[LC]]</f>
        <v>0</v>
      </c>
      <c r="O902" s="298"/>
      <c r="P902" s="299"/>
      <c r="Q902" s="300"/>
      <c r="R902" s="297"/>
      <c r="S902" s="301"/>
      <c r="T902" s="302">
        <f>ROUNDDOWN(IFERROR(tabItens[[#This Row],[ATA DT.VALID.]] - $D$1,0) / 30,0)</f>
        <v>-1504</v>
      </c>
      <c r="U902" s="287" t="s">
        <v>1265</v>
      </c>
      <c r="V902" s="303">
        <v>1</v>
      </c>
      <c r="W902" s="304" t="s">
        <v>2059</v>
      </c>
      <c r="X902" s="305">
        <v>89</v>
      </c>
      <c r="Y902" s="306">
        <v>12</v>
      </c>
      <c r="Z902" s="307"/>
      <c r="AA902" s="308"/>
      <c r="AB902" s="309"/>
      <c r="AC902" s="309"/>
      <c r="AD902" s="308"/>
      <c r="AE902" s="309"/>
      <c r="AF902" s="302"/>
      <c r="AG902" s="310" t="s">
        <v>2050</v>
      </c>
      <c r="AH902" s="311"/>
      <c r="AI902" s="302">
        <v>2</v>
      </c>
      <c r="AJ902" s="311">
        <v>40955</v>
      </c>
      <c r="AK902" s="311">
        <v>40466</v>
      </c>
      <c r="AL902" s="311">
        <v>44974</v>
      </c>
      <c r="AM902" s="301"/>
      <c r="AN902" s="290"/>
      <c r="AO902" s="312" t="str">
        <f>_xlfn.IFNA(IF(VLOOKUP(tabItens[[#This Row],[CÓDIGO]],tabExcluirDoEstoque[#Data],1,FALSE),"sim",""),"")</f>
        <v/>
      </c>
      <c r="AP902" s="313" t="str">
        <f ca="1">IF(OR(ISBLANK(tabItens[[#This Row],[ATA DT.VALID.]]),tabItens[[#This Row],[ATA DT.VALID.]]="",tabItens[[#This Row],[ATA DT.VALID.]]=" "),"",IF(TYPE(tabItens[[#This Row],[ATA DT.VALID.]])=1,ROUNDUP((tabItens[[#This Row],[ATA DT.VALID.]]-TODAY())/7,0),""))</f>
        <v/>
      </c>
      <c r="AQ902" s="314"/>
      <c r="AR902" s="315" t="str">
        <f>IF(ISBLANK(tabItens[[#This Row],[CÓDIGO]]),"",IFERROR(VLOOKUP(tabItens[[#This Row],[CÓDIGO]],Consumo!$C$2:$AC$869,26,FALSE),0))</f>
        <v>05.2023</v>
      </c>
      <c r="AS902" s="316">
        <f>SUMIF(Consumo!$C$3:$C$869,tabItens[[#This Row],[CÓDIGO]],Consumo!$N$3:$N$869) + SUMIF(Consumo!$C$3:$C$869,tabItens[[#This Row],[CÓDIGO]],Consumo!$O$3:$O$869) + SUMIF(Consumo!$C$3:$C$869,tabItens[[#This Row],[CÓDIGO]],Consumo!$P$3:$P$869) + SUMIF(Consumo!$C$3:$C$869,tabItens[[#This Row],[CÓDIGO]],Consumo!$Q$3:$Q$869)</f>
        <v>5</v>
      </c>
      <c r="AT902" s="316">
        <f>SUMIF(Consumo!$C$3:$C$869,tabItens[[#This Row],[CÓDIGO]],Consumo!$Z$3:$Z$869)</f>
        <v>5</v>
      </c>
      <c r="AU902" s="317">
        <f>SUMIF(Consumo!$C$3:$C$869,tabItens[[#This Row],[CÓDIGO]],Consumo!$AA$3:$AA$869)</f>
        <v>5</v>
      </c>
      <c r="AV902" s="318">
        <f>SUMIF(Consumo!$C$3:$C$869,tabItens[[#This Row],[CÓDIGO]],Consumo!$Y$3:$Y$869)</f>
        <v>0.25</v>
      </c>
      <c r="AW902" s="291">
        <f>tabItens[[#This Row],[QTDE ATUAL]] + tabItens[[#This Row],[RC QTDE]] + tabItens[[#This Row],[AF SALDO]] + tabItens[[#This Row],[Recentes]]</f>
        <v>173</v>
      </c>
      <c r="AX902" s="319">
        <v>0</v>
      </c>
      <c r="AY902" s="319">
        <v>4</v>
      </c>
      <c r="AZ902" s="319">
        <f>IF(ISBLANK(tabItens[[#This Row],[CÓDIGO]]),"",tabItens[[#This Row],[PontoMês]] * (AZ$2+tabItens[[#This Row],[PontoQtM]]))</f>
        <v>0</v>
      </c>
      <c r="BA902" s="318">
        <f>tabItens[[#This Row],[PontoPed]] - tabItens[[#This Row],[Saldo]] + (1/10)</f>
        <v>-172.9</v>
      </c>
      <c r="BB902" s="318">
        <f xml:space="preserve"> tabItens[[#This Row],[PontoMês]] * BB$2 - tabItens[[#This Row],[QTDE ATUAL]] - (1/10)</f>
        <v>-173.1</v>
      </c>
      <c r="BC902" s="320">
        <f>IF( tabItens[[#This Row],[PontoPed]]&gt;0, IF(tabItens[[#This Row],[PontoPed]]&lt;1, 1, IF( tabItens[[#This Row],[Saldo]]&gt;tabItens[[#This Row],[PontoPed]], 0, (tabItens[[#This Row],[PontoPed]]-tabItens[[#This Row],[Saldo]])/tabItens[[#This Row],[PontoPed]] ) ), 0 )</f>
        <v>0</v>
      </c>
      <c r="BD902" s="321">
        <f>ROUNDDOWN(IF( OR( AND(tabItens[[#This Row],[PontoPed]]&lt;tabItens[[#This Row],[Saldo]],tabItens[[#This Row],[Saldo]]&gt;0), tabItens[[#This Row],[PontoPed]]=0), 99, IF(AND(tabItens[[#This Row],[Saldo]]=0,tabItens[[#This Row],[PontoPed]]&gt;0), 0, (1-tabItens[[#This Row],[PctAb]])*10 ) ),0)</f>
        <v>99</v>
      </c>
      <c r="BE902" s="322">
        <f>MAX(ROUNDDOWN( IF(tabItens[[#This Row],[Abaixo]] &gt; 0,   tabItens[[#This Row],[Abaixo]] + (tabItens[[#This Row],[PontoMês]] * IF( OR( ISBLANK(tabItens[[#This Row],[ATA Nº/ANO]]), tabItens[[#This Row],[ATA Nº/ANO]] = ""),BE$2,BE$1)),0),0),0)</f>
        <v>0</v>
      </c>
      <c r="BF90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23">
        <f>SUMIF(Consumo!$C$3:$C$869,tabItens[[#This Row],[CÓDIGO]],Consumo!$E$3:$E$869)</f>
        <v>0</v>
      </c>
      <c r="BH902" s="324">
        <f>IF(AND(tabItens[[#This Row],[Pend]] &gt; 0,tabItens[[#This Row],[Consumo]] &lt;&gt; 0), tabItens[[#This Row],[Pend]] / tabItens[[#This Row],[Consumo]], 0 )</f>
        <v>0</v>
      </c>
      <c r="BI902" s="323"/>
      <c r="BJ902" s="323"/>
      <c r="BK902" s="325" t="s">
        <v>2064</v>
      </c>
    </row>
    <row r="903" spans="1:63" hidden="1" x14ac:dyDescent="0.3">
      <c r="A903" s="286">
        <v>118245</v>
      </c>
      <c r="B903" s="287" t="s">
        <v>1719</v>
      </c>
      <c r="C903" s="288" t="s">
        <v>256</v>
      </c>
      <c r="D903" s="289">
        <v>2.72</v>
      </c>
      <c r="E903" s="290"/>
      <c r="F903" s="290"/>
      <c r="G903" s="290" t="s">
        <v>883</v>
      </c>
      <c r="H903" s="291">
        <v>33</v>
      </c>
      <c r="I903" s="292">
        <v>103003</v>
      </c>
      <c r="J903" s="293">
        <v>2.72</v>
      </c>
      <c r="K903" s="294">
        <v>5</v>
      </c>
      <c r="L903" s="295">
        <f>IF(tabItens[[#This Row],[Média]] &gt; 0, tabItens[[#This Row],[QTDE ATUAL]] / tabItens[[#This Row],[Média]],999.9)</f>
        <v>132</v>
      </c>
      <c r="M903" s="296">
        <v>0</v>
      </c>
      <c r="N903" s="297">
        <f>tabItens[[#This Row],[VALOR UNIT.]] * tabItens[[#This Row],[LC]]</f>
        <v>0</v>
      </c>
      <c r="O903" s="298"/>
      <c r="P903" s="299"/>
      <c r="Q903" s="300"/>
      <c r="R903" s="297"/>
      <c r="S903" s="301"/>
      <c r="T903" s="302">
        <f>ROUNDDOWN(IFERROR(tabItens[[#This Row],[ATA DT.VALID.]] - $D$1,0) / 30,0)</f>
        <v>-1504</v>
      </c>
      <c r="U903" s="287" t="s">
        <v>1265</v>
      </c>
      <c r="V903" s="303">
        <v>1</v>
      </c>
      <c r="W903" s="304" t="s">
        <v>2059</v>
      </c>
      <c r="X903" s="305">
        <v>89</v>
      </c>
      <c r="Y903" s="306">
        <v>12</v>
      </c>
      <c r="Z903" s="307"/>
      <c r="AA903" s="308"/>
      <c r="AB903" s="309"/>
      <c r="AC903" s="309"/>
      <c r="AD903" s="308"/>
      <c r="AE903" s="309"/>
      <c r="AF903" s="302"/>
      <c r="AG903" s="310" t="s">
        <v>2050</v>
      </c>
      <c r="AH903" s="311"/>
      <c r="AI903" s="302">
        <v>2</v>
      </c>
      <c r="AJ903" s="311">
        <v>40955</v>
      </c>
      <c r="AK903" s="311">
        <v>40466</v>
      </c>
      <c r="AL903" s="311">
        <v>40941</v>
      </c>
      <c r="AM903" s="301"/>
      <c r="AN903" s="290"/>
      <c r="AO903" s="312" t="str">
        <f>_xlfn.IFNA(IF(VLOOKUP(tabItens[[#This Row],[CÓDIGO]],tabExcluirDoEstoque[#Data],1,FALSE),"sim",""),"")</f>
        <v/>
      </c>
      <c r="AP903" s="313" t="str">
        <f ca="1">IF(OR(ISBLANK(tabItens[[#This Row],[ATA DT.VALID.]]),tabItens[[#This Row],[ATA DT.VALID.]]="",tabItens[[#This Row],[ATA DT.VALID.]]=" "),"",IF(TYPE(tabItens[[#This Row],[ATA DT.VALID.]])=1,ROUNDUP((tabItens[[#This Row],[ATA DT.VALID.]]-TODAY())/7,0),""))</f>
        <v/>
      </c>
      <c r="AQ903" s="314"/>
      <c r="AR903" s="315" t="str">
        <f>IF(ISBLANK(tabItens[[#This Row],[CÓDIGO]]),"",IFERROR(VLOOKUP(tabItens[[#This Row],[CÓDIGO]],Consumo!$C$2:$AC$869,26,FALSE),0))</f>
        <v>05.2023</v>
      </c>
      <c r="AS903" s="316">
        <f>SUMIF(Consumo!$C$3:$C$869,tabItens[[#This Row],[CÓDIGO]],Consumo!$N$3:$N$869) + SUMIF(Consumo!$C$3:$C$869,tabItens[[#This Row],[CÓDIGO]],Consumo!$O$3:$O$869) + SUMIF(Consumo!$C$3:$C$869,tabItens[[#This Row],[CÓDIGO]],Consumo!$P$3:$P$869) + SUMIF(Consumo!$C$3:$C$869,tabItens[[#This Row],[CÓDIGO]],Consumo!$Q$3:$Q$869)</f>
        <v>5</v>
      </c>
      <c r="AT903" s="316">
        <f>SUMIF(Consumo!$C$3:$C$869,tabItens[[#This Row],[CÓDIGO]],Consumo!$Z$3:$Z$869)</f>
        <v>5</v>
      </c>
      <c r="AU903" s="317">
        <f>SUMIF(Consumo!$C$3:$C$869,tabItens[[#This Row],[CÓDIGO]],Consumo!$AA$3:$AA$869)</f>
        <v>5</v>
      </c>
      <c r="AV903" s="318">
        <f>SUMIF(Consumo!$C$3:$C$869,tabItens[[#This Row],[CÓDIGO]],Consumo!$Y$3:$Y$869)</f>
        <v>0.25</v>
      </c>
      <c r="AW903" s="291">
        <f>tabItens[[#This Row],[QTDE ATUAL]] + tabItens[[#This Row],[RC QTDE]] + tabItens[[#This Row],[AF SALDO]] + tabItens[[#This Row],[Recentes]]</f>
        <v>33</v>
      </c>
      <c r="AX903" s="319">
        <v>0</v>
      </c>
      <c r="AY903" s="319">
        <v>4</v>
      </c>
      <c r="AZ903" s="319">
        <f>IF(ISBLANK(tabItens[[#This Row],[CÓDIGO]]),"",tabItens[[#This Row],[PontoMês]] * (AZ$2+tabItens[[#This Row],[PontoQtM]]))</f>
        <v>0</v>
      </c>
      <c r="BA903" s="318">
        <f>tabItens[[#This Row],[PontoPed]] - tabItens[[#This Row],[Saldo]] + (1/10)</f>
        <v>-32.9</v>
      </c>
      <c r="BB903" s="318">
        <f xml:space="preserve"> tabItens[[#This Row],[PontoMês]] * BB$2 - tabItens[[#This Row],[QTDE ATUAL]] - (1/10)</f>
        <v>-33.1</v>
      </c>
      <c r="BC903" s="320">
        <f>IF( tabItens[[#This Row],[PontoPed]]&gt;0, IF(tabItens[[#This Row],[PontoPed]]&lt;1, 1, IF( tabItens[[#This Row],[Saldo]]&gt;tabItens[[#This Row],[PontoPed]], 0, (tabItens[[#This Row],[PontoPed]]-tabItens[[#This Row],[Saldo]])/tabItens[[#This Row],[PontoPed]] ) ), 0 )</f>
        <v>0</v>
      </c>
      <c r="BD903" s="321">
        <f>ROUNDDOWN(IF( OR( AND(tabItens[[#This Row],[PontoPed]]&lt;tabItens[[#This Row],[Saldo]],tabItens[[#This Row],[Saldo]]&gt;0), tabItens[[#This Row],[PontoPed]]=0), 99, IF(AND(tabItens[[#This Row],[Saldo]]=0,tabItens[[#This Row],[PontoPed]]&gt;0), 0, (1-tabItens[[#This Row],[PctAb]])*10 ) ),0)</f>
        <v>99</v>
      </c>
      <c r="BE903" s="322">
        <f>MAX(ROUNDDOWN( IF(tabItens[[#This Row],[Abaixo]] &gt; 0,   tabItens[[#This Row],[Abaixo]] + (tabItens[[#This Row],[PontoMês]] * IF( OR( ISBLANK(tabItens[[#This Row],[ATA Nº/ANO]]), tabItens[[#This Row],[ATA Nº/ANO]] = ""),BE$2,BE$1)),0),0),0)</f>
        <v>0</v>
      </c>
      <c r="BF90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3" s="323">
        <f>SUMIF(Consumo!$C$3:$C$869,tabItens[[#This Row],[CÓDIGO]],Consumo!$E$3:$E$869)</f>
        <v>0</v>
      </c>
      <c r="BH903" s="324">
        <f>IF(AND(tabItens[[#This Row],[Pend]] &gt; 0,tabItens[[#This Row],[Consumo]] &lt;&gt; 0), tabItens[[#This Row],[Pend]] / tabItens[[#This Row],[Consumo]], 0 )</f>
        <v>0</v>
      </c>
      <c r="BI903" s="323"/>
      <c r="BJ903" s="323"/>
      <c r="BK903" s="325" t="s">
        <v>2064</v>
      </c>
    </row>
    <row r="904" spans="1:63" hidden="1" x14ac:dyDescent="0.3">
      <c r="A904" s="286">
        <v>118246</v>
      </c>
      <c r="B904" s="287" t="s">
        <v>1720</v>
      </c>
      <c r="C904" s="288" t="s">
        <v>256</v>
      </c>
      <c r="D904" s="289">
        <v>1.1000000000000001</v>
      </c>
      <c r="E904" s="290"/>
      <c r="F904" s="290"/>
      <c r="G904" s="290" t="s">
        <v>883</v>
      </c>
      <c r="H904" s="291">
        <v>60</v>
      </c>
      <c r="I904" s="292">
        <v>103003</v>
      </c>
      <c r="J904" s="293">
        <v>1.1000000000000001</v>
      </c>
      <c r="K904" s="294">
        <v>5</v>
      </c>
      <c r="L904" s="295">
        <f>IF(tabItens[[#This Row],[Média]] &gt; 0, tabItens[[#This Row],[QTDE ATUAL]] / tabItens[[#This Row],[Média]],999.9)</f>
        <v>240</v>
      </c>
      <c r="M904" s="296">
        <v>0</v>
      </c>
      <c r="N904" s="297">
        <f>tabItens[[#This Row],[VALOR UNIT.]] * tabItens[[#This Row],[LC]]</f>
        <v>0</v>
      </c>
      <c r="O904" s="298"/>
      <c r="P904" s="299"/>
      <c r="Q904" s="300"/>
      <c r="R904" s="297"/>
      <c r="S904" s="301"/>
      <c r="T904" s="302">
        <f>ROUNDDOWN(IFERROR(tabItens[[#This Row],[ATA DT.VALID.]] - $D$1,0) / 30,0)</f>
        <v>-1504</v>
      </c>
      <c r="U904" s="287" t="s">
        <v>1265</v>
      </c>
      <c r="V904" s="303">
        <v>1</v>
      </c>
      <c r="W904" s="304" t="s">
        <v>2059</v>
      </c>
      <c r="X904" s="305">
        <v>89</v>
      </c>
      <c r="Y904" s="306">
        <v>12</v>
      </c>
      <c r="Z904" s="307"/>
      <c r="AA904" s="308"/>
      <c r="AB904" s="309"/>
      <c r="AC904" s="309"/>
      <c r="AD904" s="308"/>
      <c r="AE904" s="309"/>
      <c r="AF904" s="302"/>
      <c r="AG904" s="310" t="s">
        <v>2050</v>
      </c>
      <c r="AH904" s="311"/>
      <c r="AI904" s="302">
        <v>2</v>
      </c>
      <c r="AJ904" s="311">
        <v>40955</v>
      </c>
      <c r="AK904" s="311">
        <v>40466</v>
      </c>
      <c r="AL904" s="311">
        <v>40941</v>
      </c>
      <c r="AM904" s="301"/>
      <c r="AN904" s="290"/>
      <c r="AO904" s="312" t="str">
        <f>_xlfn.IFNA(IF(VLOOKUP(tabItens[[#This Row],[CÓDIGO]],tabExcluirDoEstoque[#Data],1,FALSE),"sim",""),"")</f>
        <v/>
      </c>
      <c r="AP904" s="313" t="str">
        <f ca="1">IF(OR(ISBLANK(tabItens[[#This Row],[ATA DT.VALID.]]),tabItens[[#This Row],[ATA DT.VALID.]]="",tabItens[[#This Row],[ATA DT.VALID.]]=" "),"",IF(TYPE(tabItens[[#This Row],[ATA DT.VALID.]])=1,ROUNDUP((tabItens[[#This Row],[ATA DT.VALID.]]-TODAY())/7,0),""))</f>
        <v/>
      </c>
      <c r="AQ904" s="314"/>
      <c r="AR904" s="315" t="str">
        <f>IF(ISBLANK(tabItens[[#This Row],[CÓDIGO]]),"",IFERROR(VLOOKUP(tabItens[[#This Row],[CÓDIGO]],Consumo!$C$2:$AC$869,26,FALSE),0))</f>
        <v>05.2023</v>
      </c>
      <c r="AS904" s="316">
        <f>SUMIF(Consumo!$C$3:$C$869,tabItens[[#This Row],[CÓDIGO]],Consumo!$N$3:$N$869) + SUMIF(Consumo!$C$3:$C$869,tabItens[[#This Row],[CÓDIGO]],Consumo!$O$3:$O$869) + SUMIF(Consumo!$C$3:$C$869,tabItens[[#This Row],[CÓDIGO]],Consumo!$P$3:$P$869) + SUMIF(Consumo!$C$3:$C$869,tabItens[[#This Row],[CÓDIGO]],Consumo!$Q$3:$Q$869)</f>
        <v>5</v>
      </c>
      <c r="AT904" s="316">
        <f>SUMIF(Consumo!$C$3:$C$869,tabItens[[#This Row],[CÓDIGO]],Consumo!$Z$3:$Z$869)</f>
        <v>5</v>
      </c>
      <c r="AU904" s="317">
        <f>SUMIF(Consumo!$C$3:$C$869,tabItens[[#This Row],[CÓDIGO]],Consumo!$AA$3:$AA$869)</f>
        <v>5</v>
      </c>
      <c r="AV904" s="318">
        <f>SUMIF(Consumo!$C$3:$C$869,tabItens[[#This Row],[CÓDIGO]],Consumo!$Y$3:$Y$869)</f>
        <v>0.25</v>
      </c>
      <c r="AW904" s="291">
        <f>tabItens[[#This Row],[QTDE ATUAL]] + tabItens[[#This Row],[RC QTDE]] + tabItens[[#This Row],[AF SALDO]] + tabItens[[#This Row],[Recentes]]</f>
        <v>60</v>
      </c>
      <c r="AX904" s="319">
        <v>2</v>
      </c>
      <c r="AY904" s="319">
        <v>4</v>
      </c>
      <c r="AZ904" s="319">
        <f>IF(ISBLANK(tabItens[[#This Row],[CÓDIGO]]),"",tabItens[[#This Row],[PontoMês]] * (AZ$2+tabItens[[#This Row],[PontoQtM]]))</f>
        <v>8</v>
      </c>
      <c r="BA904" s="318">
        <f>tabItens[[#This Row],[PontoPed]] - tabItens[[#This Row],[Saldo]] + (1/10)</f>
        <v>-51.9</v>
      </c>
      <c r="BB904" s="318">
        <f xml:space="preserve"> tabItens[[#This Row],[PontoMês]] * BB$2 - tabItens[[#This Row],[QTDE ATUAL]] - (1/10)</f>
        <v>-58.1</v>
      </c>
      <c r="BC904" s="320">
        <f>IF( tabItens[[#This Row],[PontoPed]]&gt;0, IF(tabItens[[#This Row],[PontoPed]]&lt;1, 1, IF( tabItens[[#This Row],[Saldo]]&gt;tabItens[[#This Row],[PontoPed]], 0, (tabItens[[#This Row],[PontoPed]]-tabItens[[#This Row],[Saldo]])/tabItens[[#This Row],[PontoPed]] ) ), 0 )</f>
        <v>0</v>
      </c>
      <c r="BD904" s="321">
        <f>ROUNDDOWN(IF( OR( AND(tabItens[[#This Row],[PontoPed]]&lt;tabItens[[#This Row],[Saldo]],tabItens[[#This Row],[Saldo]]&gt;0), tabItens[[#This Row],[PontoPed]]=0), 99, IF(AND(tabItens[[#This Row],[Saldo]]=0,tabItens[[#This Row],[PontoPed]]&gt;0), 0, (1-tabItens[[#This Row],[PctAb]])*10 ) ),0)</f>
        <v>99</v>
      </c>
      <c r="BE904" s="322">
        <f>MAX(ROUNDDOWN( IF(tabItens[[#This Row],[Abaixo]] &gt; 0,   tabItens[[#This Row],[Abaixo]] + (tabItens[[#This Row],[PontoMês]] * IF( OR( ISBLANK(tabItens[[#This Row],[ATA Nº/ANO]]), tabItens[[#This Row],[ATA Nº/ANO]] = ""),BE$2,BE$1)),0),0),0)</f>
        <v>0</v>
      </c>
      <c r="BF90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4" s="323">
        <f>SUMIF(Consumo!$C$3:$C$869,tabItens[[#This Row],[CÓDIGO]],Consumo!$E$3:$E$869)</f>
        <v>0</v>
      </c>
      <c r="BH904" s="324">
        <f>IF(AND(tabItens[[#This Row],[Pend]] &gt; 0,tabItens[[#This Row],[Consumo]] &lt;&gt; 0), tabItens[[#This Row],[Pend]] / tabItens[[#This Row],[Consumo]], 0 )</f>
        <v>0</v>
      </c>
      <c r="BI904" s="323"/>
      <c r="BJ904" s="323"/>
      <c r="BK904" s="325" t="s">
        <v>2064</v>
      </c>
    </row>
    <row r="905" spans="1:63" hidden="1" x14ac:dyDescent="0.3">
      <c r="A905" s="286">
        <v>104755</v>
      </c>
      <c r="B905" s="287" t="s">
        <v>781</v>
      </c>
      <c r="C905" s="288" t="s">
        <v>256</v>
      </c>
      <c r="D905" s="289">
        <v>23.92</v>
      </c>
      <c r="E905" s="290"/>
      <c r="F905" s="290"/>
      <c r="G905" s="290" t="s">
        <v>883</v>
      </c>
      <c r="H905" s="291">
        <v>60</v>
      </c>
      <c r="I905" s="292">
        <v>103003</v>
      </c>
      <c r="J905" s="293">
        <v>23.92</v>
      </c>
      <c r="K905" s="294"/>
      <c r="L905" s="295">
        <f>IF(tabItens[[#This Row],[Média]] &gt; 0, tabItens[[#This Row],[QTDE ATUAL]] / tabItens[[#This Row],[Média]],999.9)</f>
        <v>999.9</v>
      </c>
      <c r="M905" s="296">
        <v>0</v>
      </c>
      <c r="N905" s="297">
        <f>tabItens[[#This Row],[VALOR UNIT.]] * tabItens[[#This Row],[LC]]</f>
        <v>0</v>
      </c>
      <c r="O905" s="298" t="s">
        <v>2151</v>
      </c>
      <c r="P905" s="299"/>
      <c r="Q905" s="300"/>
      <c r="R905" s="297"/>
      <c r="S905" s="301"/>
      <c r="T905" s="302">
        <f>ROUNDDOWN(IFERROR(tabItens[[#This Row],[ATA DT.VALID.]] - $D$1,0) / 30,0)</f>
        <v>-1504</v>
      </c>
      <c r="U905" s="287" t="s">
        <v>1213</v>
      </c>
      <c r="V905" s="303">
        <v>1</v>
      </c>
      <c r="W905" s="304" t="s">
        <v>2052</v>
      </c>
      <c r="X905" s="305">
        <v>78</v>
      </c>
      <c r="Y905" s="306">
        <v>6</v>
      </c>
      <c r="Z905" s="307"/>
      <c r="AA905" s="308"/>
      <c r="AB905" s="309"/>
      <c r="AC905" s="309"/>
      <c r="AD905" s="308"/>
      <c r="AE905" s="309"/>
      <c r="AF905" s="302"/>
      <c r="AG905" s="310" t="s">
        <v>2050</v>
      </c>
      <c r="AH905" s="311"/>
      <c r="AI905" s="302">
        <v>0</v>
      </c>
      <c r="AJ905" s="311">
        <v>43376</v>
      </c>
      <c r="AK905" s="311">
        <v>39479</v>
      </c>
      <c r="AL905" s="311">
        <v>43347</v>
      </c>
      <c r="AM905" s="301"/>
      <c r="AN905" s="290"/>
      <c r="AO905" s="312" t="str">
        <f>_xlfn.IFNA(IF(VLOOKUP(tabItens[[#This Row],[CÓDIGO]],tabExcluirDoEstoque[#Data],1,FALSE),"sim",""),"")</f>
        <v>sim</v>
      </c>
      <c r="AP905" s="313" t="str">
        <f ca="1">IF(OR(ISBLANK(tabItens[[#This Row],[ATA DT.VALID.]]),tabItens[[#This Row],[ATA DT.VALID.]]="",tabItens[[#This Row],[ATA DT.VALID.]]=" "),"",IF(TYPE(tabItens[[#This Row],[ATA DT.VALID.]])=1,ROUNDUP((tabItens[[#This Row],[ATA DT.VALID.]]-TODAY())/7,0),""))</f>
        <v/>
      </c>
      <c r="AQ905" s="314">
        <v>0</v>
      </c>
      <c r="AR905" s="315">
        <f>IF(ISBLANK(tabItens[[#This Row],[CÓDIGO]]),"",IFERROR(VLOOKUP(tabItens[[#This Row],[CÓDIGO]],Consumo!$C$2:$AC$869,26,FALSE),0))</f>
        <v>0</v>
      </c>
      <c r="AS905" s="316">
        <f>SUMIF(Consumo!$C$3:$C$869,tabItens[[#This Row],[CÓDIGO]],Consumo!$N$3:$N$869) + SUMIF(Consumo!$C$3:$C$869,tabItens[[#This Row],[CÓDIGO]],Consumo!$O$3:$O$869) + SUMIF(Consumo!$C$3:$C$869,tabItens[[#This Row],[CÓDIGO]],Consumo!$P$3:$P$869) + SUMIF(Consumo!$C$3:$C$869,tabItens[[#This Row],[CÓDIGO]],Consumo!$Q$3:$Q$869)</f>
        <v>0</v>
      </c>
      <c r="AT905" s="316">
        <f>SUMIF(Consumo!$C$3:$C$869,tabItens[[#This Row],[CÓDIGO]],Consumo!$Z$3:$Z$869)</f>
        <v>0</v>
      </c>
      <c r="AU905" s="317">
        <f>SUMIF(Consumo!$C$3:$C$869,tabItens[[#This Row],[CÓDIGO]],Consumo!$AA$3:$AA$869)</f>
        <v>0</v>
      </c>
      <c r="AV905" s="318">
        <f>SUMIF(Consumo!$C$3:$C$869,tabItens[[#This Row],[CÓDIGO]],Consumo!$Y$3:$Y$869)</f>
        <v>0</v>
      </c>
      <c r="AW905" s="291">
        <f>tabItens[[#This Row],[QTDE ATUAL]] + tabItens[[#This Row],[RC QTDE]] + tabItens[[#This Row],[AF SALDO]] + tabItens[[#This Row],[Recentes]]</f>
        <v>60</v>
      </c>
      <c r="AX905" s="319">
        <v>109</v>
      </c>
      <c r="AY905" s="319">
        <v>4</v>
      </c>
      <c r="AZ905" s="319">
        <f>IF(ISBLANK(tabItens[[#This Row],[CÓDIGO]]),"",tabItens[[#This Row],[PontoMês]] * (AZ$2+tabItens[[#This Row],[PontoQtM]]))</f>
        <v>436</v>
      </c>
      <c r="BA905" s="318">
        <f>tabItens[[#This Row],[PontoPed]] - tabItens[[#This Row],[Saldo]] + (1/10)</f>
        <v>376.1</v>
      </c>
      <c r="BB905" s="318">
        <f xml:space="preserve"> tabItens[[#This Row],[PontoMês]] * BB$2 - tabItens[[#This Row],[QTDE ATUAL]] - (1/10)</f>
        <v>48.9</v>
      </c>
      <c r="BC905" s="320">
        <f>IF( tabItens[[#This Row],[PontoPed]]&gt;0, IF(tabItens[[#This Row],[PontoPed]]&lt;1, 1, IF( tabItens[[#This Row],[Saldo]]&gt;tabItens[[#This Row],[PontoPed]], 0, (tabItens[[#This Row],[PontoPed]]-tabItens[[#This Row],[Saldo]])/tabItens[[#This Row],[PontoPed]] ) ), 0 )</f>
        <v>0.86238532110091748</v>
      </c>
      <c r="BD905" s="321">
        <f>ROUNDDOWN(IF( OR( AND(tabItens[[#This Row],[PontoPed]]&lt;tabItens[[#This Row],[Saldo]],tabItens[[#This Row],[Saldo]]&gt;0), tabItens[[#This Row],[PontoPed]]=0), 99, IF(AND(tabItens[[#This Row],[Saldo]]=0,tabItens[[#This Row],[PontoPed]]&gt;0), 0, (1-tabItens[[#This Row],[PctAb]])*10 ) ),0)</f>
        <v>1</v>
      </c>
      <c r="BE905" s="322">
        <f>MAX(ROUNDDOWN( IF(tabItens[[#This Row],[Abaixo]] &gt; 0,   tabItens[[#This Row],[Abaixo]] + (tabItens[[#This Row],[PontoMês]] * IF( OR( ISBLANK(tabItens[[#This Row],[ATA Nº/ANO]]), tabItens[[#This Row],[ATA Nº/ANO]] = ""),BE$2,BE$1)),0),0),0)</f>
        <v>703</v>
      </c>
      <c r="BF90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323">
        <f>SUMIF(Consumo!$C$3:$C$869,tabItens[[#This Row],[CÓDIGO]],Consumo!$E$3:$E$869)</f>
        <v>0</v>
      </c>
      <c r="BH905" s="324">
        <f>IF(AND(tabItens[[#This Row],[Pend]] &gt; 0,tabItens[[#This Row],[Consumo]] &lt;&gt; 0), tabItens[[#This Row],[Pend]] / tabItens[[#This Row],[Consumo]], 0 )</f>
        <v>0</v>
      </c>
      <c r="BI905" s="323"/>
      <c r="BJ905" s="323"/>
      <c r="BK905" s="325" t="s">
        <v>2064</v>
      </c>
    </row>
    <row r="906" spans="1:63" hidden="1" x14ac:dyDescent="0.3">
      <c r="A906" s="286">
        <v>108440</v>
      </c>
      <c r="B906" s="287" t="s">
        <v>532</v>
      </c>
      <c r="C906" s="288" t="s">
        <v>31</v>
      </c>
      <c r="D906" s="289">
        <v>45</v>
      </c>
      <c r="E906" s="290"/>
      <c r="F906" s="290"/>
      <c r="G906" s="290" t="s">
        <v>883</v>
      </c>
      <c r="H906" s="291">
        <v>10</v>
      </c>
      <c r="I906" s="292">
        <v>103003</v>
      </c>
      <c r="J906" s="293">
        <v>45</v>
      </c>
      <c r="K906" s="294"/>
      <c r="L906" s="295">
        <f>IF(tabItens[[#This Row],[Média]] &gt; 0, tabItens[[#This Row],[QTDE ATUAL]] / tabItens[[#This Row],[Média]],999.9)</f>
        <v>999.9</v>
      </c>
      <c r="M906" s="296">
        <v>0</v>
      </c>
      <c r="N906" s="297">
        <f>tabItens[[#This Row],[VALOR UNIT.]] * tabItens[[#This Row],[LC]]</f>
        <v>0</v>
      </c>
      <c r="O906" s="298" t="s">
        <v>2154</v>
      </c>
      <c r="P906" s="299"/>
      <c r="Q906" s="300"/>
      <c r="R906" s="297"/>
      <c r="S906" s="301"/>
      <c r="T906" s="302">
        <f>ROUNDDOWN(IFERROR(tabItens[[#This Row],[ATA DT.VALID.]] - $D$1,0) / 30,0)</f>
        <v>-1504</v>
      </c>
      <c r="U906" s="287" t="s">
        <v>1083</v>
      </c>
      <c r="V906" s="303">
        <v>1</v>
      </c>
      <c r="W906" s="304" t="s">
        <v>2055</v>
      </c>
      <c r="X906" s="305">
        <v>55</v>
      </c>
      <c r="Y906" s="306">
        <v>49</v>
      </c>
      <c r="Z906" s="307"/>
      <c r="AA906" s="308"/>
      <c r="AB906" s="309"/>
      <c r="AC906" s="309"/>
      <c r="AD906" s="308"/>
      <c r="AE906" s="309"/>
      <c r="AF906" s="302"/>
      <c r="AG906" s="310" t="s">
        <v>2050</v>
      </c>
      <c r="AH906" s="311"/>
      <c r="AI906" s="302">
        <v>0</v>
      </c>
      <c r="AJ906" s="311">
        <v>43924</v>
      </c>
      <c r="AK906" s="311">
        <v>39738</v>
      </c>
      <c r="AL906" s="311">
        <v>43880</v>
      </c>
      <c r="AM906" s="301"/>
      <c r="AN906" s="290"/>
      <c r="AO906" s="312" t="str">
        <f>_xlfn.IFNA(IF(VLOOKUP(tabItens[[#This Row],[CÓDIGO]],tabExcluirDoEstoque[#Data],1,FALSE),"sim",""),"")</f>
        <v>sim</v>
      </c>
      <c r="AP906" s="313" t="str">
        <f ca="1">IF(OR(ISBLANK(tabItens[[#This Row],[ATA DT.VALID.]]),tabItens[[#This Row],[ATA DT.VALID.]]="",tabItens[[#This Row],[ATA DT.VALID.]]=" "),"",IF(TYPE(tabItens[[#This Row],[ATA DT.VALID.]])=1,ROUNDUP((tabItens[[#This Row],[ATA DT.VALID.]]-TODAY())/7,0),""))</f>
        <v/>
      </c>
      <c r="AQ906" s="314">
        <v>0</v>
      </c>
      <c r="AR906" s="315">
        <f>IF(ISBLANK(tabItens[[#This Row],[CÓDIGO]]),"",IFERROR(VLOOKUP(tabItens[[#This Row],[CÓDIGO]],Consumo!$C$2:$AC$869,26,FALSE),0))</f>
        <v>0</v>
      </c>
      <c r="AS906" s="316">
        <f>SUMIF(Consumo!$C$3:$C$869,tabItens[[#This Row],[CÓDIGO]],Consumo!$N$3:$N$869) + SUMIF(Consumo!$C$3:$C$869,tabItens[[#This Row],[CÓDIGO]],Consumo!$O$3:$O$869) + SUMIF(Consumo!$C$3:$C$869,tabItens[[#This Row],[CÓDIGO]],Consumo!$P$3:$P$869) + SUMIF(Consumo!$C$3:$C$869,tabItens[[#This Row],[CÓDIGO]],Consumo!$Q$3:$Q$869)</f>
        <v>0</v>
      </c>
      <c r="AT906" s="316">
        <f>SUMIF(Consumo!$C$3:$C$869,tabItens[[#This Row],[CÓDIGO]],Consumo!$Z$3:$Z$869)</f>
        <v>0</v>
      </c>
      <c r="AU906" s="317">
        <f>SUMIF(Consumo!$C$3:$C$869,tabItens[[#This Row],[CÓDIGO]],Consumo!$AA$3:$AA$869)</f>
        <v>0</v>
      </c>
      <c r="AV906" s="318">
        <f>SUMIF(Consumo!$C$3:$C$869,tabItens[[#This Row],[CÓDIGO]],Consumo!$Y$3:$Y$869)</f>
        <v>0</v>
      </c>
      <c r="AW906" s="291">
        <f>tabItens[[#This Row],[QTDE ATUAL]] + tabItens[[#This Row],[RC QTDE]] + tabItens[[#This Row],[AF SALDO]] + tabItens[[#This Row],[Recentes]]</f>
        <v>10</v>
      </c>
      <c r="AX906" s="319">
        <v>10</v>
      </c>
      <c r="AY906" s="319">
        <v>4</v>
      </c>
      <c r="AZ906" s="319">
        <f>IF(ISBLANK(tabItens[[#This Row],[CÓDIGO]]),"",tabItens[[#This Row],[PontoMês]] * (AZ$2+tabItens[[#This Row],[PontoQtM]]))</f>
        <v>40</v>
      </c>
      <c r="BA906" s="318">
        <f>tabItens[[#This Row],[PontoPed]] - tabItens[[#This Row],[Saldo]] + (1/10)</f>
        <v>30.1</v>
      </c>
      <c r="BB906" s="318">
        <f xml:space="preserve"> tabItens[[#This Row],[PontoMês]] * BB$2 - tabItens[[#This Row],[QTDE ATUAL]] - (1/10)</f>
        <v>-0.1</v>
      </c>
      <c r="BC906" s="320">
        <f>IF( tabItens[[#This Row],[PontoPed]]&gt;0, IF(tabItens[[#This Row],[PontoPed]]&lt;1, 1, IF( tabItens[[#This Row],[Saldo]]&gt;tabItens[[#This Row],[PontoPed]], 0, (tabItens[[#This Row],[PontoPed]]-tabItens[[#This Row],[Saldo]])/tabItens[[#This Row],[PontoPed]] ) ), 0 )</f>
        <v>0.75</v>
      </c>
      <c r="BD906" s="321">
        <f>ROUNDDOWN(IF( OR( AND(tabItens[[#This Row],[PontoPed]]&lt;tabItens[[#This Row],[Saldo]],tabItens[[#This Row],[Saldo]]&gt;0), tabItens[[#This Row],[PontoPed]]=0), 99, IF(AND(tabItens[[#This Row],[Saldo]]=0,tabItens[[#This Row],[PontoPed]]&gt;0), 0, (1-tabItens[[#This Row],[PctAb]])*10 ) ),0)</f>
        <v>2</v>
      </c>
      <c r="BE906" s="322">
        <f>MAX(ROUNDDOWN( IF(tabItens[[#This Row],[Abaixo]] &gt; 0,   tabItens[[#This Row],[Abaixo]] + (tabItens[[#This Row],[PontoMês]] * IF( OR( ISBLANK(tabItens[[#This Row],[ATA Nº/ANO]]), tabItens[[#This Row],[ATA Nº/ANO]] = ""),BE$2,BE$1)),0),0),0)</f>
        <v>60</v>
      </c>
      <c r="BF90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323">
        <f>SUMIF(Consumo!$C$3:$C$869,tabItens[[#This Row],[CÓDIGO]],Consumo!$E$3:$E$869)</f>
        <v>0</v>
      </c>
      <c r="BH906" s="324">
        <f>IF(AND(tabItens[[#This Row],[Pend]] &gt; 0,tabItens[[#This Row],[Consumo]] &lt;&gt; 0), tabItens[[#This Row],[Pend]] / tabItens[[#This Row],[Consumo]], 0 )</f>
        <v>0</v>
      </c>
      <c r="BI906" s="323"/>
      <c r="BJ906" s="323"/>
      <c r="BK906" s="325" t="s">
        <v>2064</v>
      </c>
    </row>
    <row r="907" spans="1:63" hidden="1" x14ac:dyDescent="0.3">
      <c r="A907" s="286">
        <v>103490</v>
      </c>
      <c r="B907" s="287" t="s">
        <v>866</v>
      </c>
      <c r="C907" s="288" t="s">
        <v>281</v>
      </c>
      <c r="D907" s="289">
        <v>416.18</v>
      </c>
      <c r="E907" s="290"/>
      <c r="F907" s="290"/>
      <c r="G907" s="290" t="s">
        <v>883</v>
      </c>
      <c r="H907" s="291">
        <v>3</v>
      </c>
      <c r="I907" s="292">
        <v>103003</v>
      </c>
      <c r="J907" s="293">
        <v>416.18</v>
      </c>
      <c r="K907" s="294"/>
      <c r="L907" s="295">
        <f>IF(tabItens[[#This Row],[Média]] &gt; 0, tabItens[[#This Row],[QTDE ATUAL]] / tabItens[[#This Row],[Média]],999.9)</f>
        <v>999.9</v>
      </c>
      <c r="M907" s="296">
        <v>0</v>
      </c>
      <c r="N907" s="297">
        <f>tabItens[[#This Row],[VALOR UNIT.]] * tabItens[[#This Row],[LC]]</f>
        <v>0</v>
      </c>
      <c r="O907" s="298"/>
      <c r="P907" s="299"/>
      <c r="Q907" s="300"/>
      <c r="R907" s="297"/>
      <c r="S907" s="301"/>
      <c r="T907" s="302">
        <f>ROUNDDOWN(IFERROR(tabItens[[#This Row],[ATA DT.VALID.]] - $D$1,0) / 30,0)</f>
        <v>-1504</v>
      </c>
      <c r="U907" s="287" t="s">
        <v>1270</v>
      </c>
      <c r="V907" s="303">
        <v>1</v>
      </c>
      <c r="W907" s="304" t="s">
        <v>2051</v>
      </c>
      <c r="X907" s="305">
        <v>59</v>
      </c>
      <c r="Y907" s="306">
        <v>18</v>
      </c>
      <c r="Z907" s="307"/>
      <c r="AA907" s="308"/>
      <c r="AB907" s="309"/>
      <c r="AC907" s="309"/>
      <c r="AD907" s="308"/>
      <c r="AE907" s="309"/>
      <c r="AF907" s="302"/>
      <c r="AG907" s="310" t="s">
        <v>2050</v>
      </c>
      <c r="AH907" s="311"/>
      <c r="AI907" s="302">
        <v>0</v>
      </c>
      <c r="AJ907" s="311">
        <v>40511</v>
      </c>
      <c r="AK907" s="311">
        <v>39407</v>
      </c>
      <c r="AL907" s="311">
        <v>44516</v>
      </c>
      <c r="AM907" s="301"/>
      <c r="AN907" s="290"/>
      <c r="AO907" s="312" t="str">
        <f>_xlfn.IFNA(IF(VLOOKUP(tabItens[[#This Row],[CÓDIGO]],tabExcluirDoEstoque[#Data],1,FALSE),"sim",""),"")</f>
        <v>sim</v>
      </c>
      <c r="AP907" s="313" t="str">
        <f ca="1">IF(OR(ISBLANK(tabItens[[#This Row],[ATA DT.VALID.]]),tabItens[[#This Row],[ATA DT.VALID.]]="",tabItens[[#This Row],[ATA DT.VALID.]]=" "),"",IF(TYPE(tabItens[[#This Row],[ATA DT.VALID.]])=1,ROUNDUP((tabItens[[#This Row],[ATA DT.VALID.]]-TODAY())/7,0),""))</f>
        <v/>
      </c>
      <c r="AQ907" s="314"/>
      <c r="AR907" s="315">
        <f>IF(ISBLANK(tabItens[[#This Row],[CÓDIGO]]),"",IFERROR(VLOOKUP(tabItens[[#This Row],[CÓDIGO]],Consumo!$C$2:$AC$869,26,FALSE),0))</f>
        <v>0</v>
      </c>
      <c r="AS907" s="316">
        <f>SUMIF(Consumo!$C$3:$C$869,tabItens[[#This Row],[CÓDIGO]],Consumo!$N$3:$N$869) + SUMIF(Consumo!$C$3:$C$869,tabItens[[#This Row],[CÓDIGO]],Consumo!$O$3:$O$869) + SUMIF(Consumo!$C$3:$C$869,tabItens[[#This Row],[CÓDIGO]],Consumo!$P$3:$P$869) + SUMIF(Consumo!$C$3:$C$869,tabItens[[#This Row],[CÓDIGO]],Consumo!$Q$3:$Q$869)</f>
        <v>0</v>
      </c>
      <c r="AT907" s="316">
        <f>SUMIF(Consumo!$C$3:$C$869,tabItens[[#This Row],[CÓDIGO]],Consumo!$Z$3:$Z$869)</f>
        <v>0</v>
      </c>
      <c r="AU907" s="317">
        <f>SUMIF(Consumo!$C$3:$C$869,tabItens[[#This Row],[CÓDIGO]],Consumo!$AA$3:$AA$869)</f>
        <v>0</v>
      </c>
      <c r="AV907" s="318">
        <f>SUMIF(Consumo!$C$3:$C$869,tabItens[[#This Row],[CÓDIGO]],Consumo!$Y$3:$Y$869)</f>
        <v>0</v>
      </c>
      <c r="AW907" s="291">
        <f>tabItens[[#This Row],[QTDE ATUAL]] + tabItens[[#This Row],[RC QTDE]] + tabItens[[#This Row],[AF SALDO]] + tabItens[[#This Row],[Recentes]]</f>
        <v>3</v>
      </c>
      <c r="AX907" s="319">
        <v>1</v>
      </c>
      <c r="AY907" s="319">
        <v>4</v>
      </c>
      <c r="AZ907" s="319">
        <f>IF(ISBLANK(tabItens[[#This Row],[CÓDIGO]]),"",tabItens[[#This Row],[PontoMês]] * (AZ$2+tabItens[[#This Row],[PontoQtM]]))</f>
        <v>4</v>
      </c>
      <c r="BA907" s="318">
        <f>tabItens[[#This Row],[PontoPed]] - tabItens[[#This Row],[Saldo]] + (1/10)</f>
        <v>1.1000000000000001</v>
      </c>
      <c r="BB907" s="318">
        <f xml:space="preserve"> tabItens[[#This Row],[PontoMês]] * BB$2 - tabItens[[#This Row],[QTDE ATUAL]] - (1/10)</f>
        <v>-2.1</v>
      </c>
      <c r="BC907" s="320">
        <f>IF( tabItens[[#This Row],[PontoPed]]&gt;0, IF(tabItens[[#This Row],[PontoPed]]&lt;1, 1, IF( tabItens[[#This Row],[Saldo]]&gt;tabItens[[#This Row],[PontoPed]], 0, (tabItens[[#This Row],[PontoPed]]-tabItens[[#This Row],[Saldo]])/tabItens[[#This Row],[PontoPed]] ) ), 0 )</f>
        <v>0.25</v>
      </c>
      <c r="BD907" s="321">
        <f>ROUNDDOWN(IF( OR( AND(tabItens[[#This Row],[PontoPed]]&lt;tabItens[[#This Row],[Saldo]],tabItens[[#This Row],[Saldo]]&gt;0), tabItens[[#This Row],[PontoPed]]=0), 99, IF(AND(tabItens[[#This Row],[Saldo]]=0,tabItens[[#This Row],[PontoPed]]&gt;0), 0, (1-tabItens[[#This Row],[PctAb]])*10 ) ),0)</f>
        <v>7</v>
      </c>
      <c r="BE907" s="322">
        <f>MAX(ROUNDDOWN( IF(tabItens[[#This Row],[Abaixo]] &gt; 0,   tabItens[[#This Row],[Abaixo]] + (tabItens[[#This Row],[PontoMês]] * IF( OR( ISBLANK(tabItens[[#This Row],[ATA Nº/ANO]]), tabItens[[#This Row],[ATA Nº/ANO]] = ""),BE$2,BE$1)),0),0),0)</f>
        <v>7</v>
      </c>
      <c r="BF90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7" s="323">
        <f>SUMIF(Consumo!$C$3:$C$869,tabItens[[#This Row],[CÓDIGO]],Consumo!$E$3:$E$869)</f>
        <v>0</v>
      </c>
      <c r="BH907" s="324">
        <f>IF(AND(tabItens[[#This Row],[Pend]] &gt; 0,tabItens[[#This Row],[Consumo]] &lt;&gt; 0), tabItens[[#This Row],[Pend]] / tabItens[[#This Row],[Consumo]], 0 )</f>
        <v>0</v>
      </c>
      <c r="BI907" s="323"/>
      <c r="BJ907" s="323"/>
      <c r="BK907" s="325" t="s">
        <v>2064</v>
      </c>
    </row>
    <row r="908" spans="1:63" hidden="1" x14ac:dyDescent="0.3">
      <c r="A908" s="286">
        <v>85798</v>
      </c>
      <c r="B908" s="287" t="s">
        <v>468</v>
      </c>
      <c r="C908" s="288" t="s">
        <v>256</v>
      </c>
      <c r="D908" s="289">
        <v>6.36</v>
      </c>
      <c r="E908" s="290"/>
      <c r="F908" s="290"/>
      <c r="G908" s="290" t="s">
        <v>883</v>
      </c>
      <c r="H908" s="291">
        <v>264</v>
      </c>
      <c r="I908" s="292">
        <v>103003</v>
      </c>
      <c r="J908" s="293">
        <v>6.36</v>
      </c>
      <c r="K908" s="294">
        <v>2</v>
      </c>
      <c r="L908" s="295">
        <f>IF(tabItens[[#This Row],[Média]] &gt; 0, tabItens[[#This Row],[QTDE ATUAL]] / tabItens[[#This Row],[Média]],999.9)</f>
        <v>3168</v>
      </c>
      <c r="M908" s="296">
        <v>0</v>
      </c>
      <c r="N908" s="297">
        <f>tabItens[[#This Row],[VALOR UNIT.]] * tabItens[[#This Row],[LC]]</f>
        <v>0</v>
      </c>
      <c r="O908" s="298" t="s">
        <v>2126</v>
      </c>
      <c r="P908" s="299"/>
      <c r="Q908" s="300"/>
      <c r="R908" s="297"/>
      <c r="S908" s="301"/>
      <c r="T908" s="302">
        <f>ROUNDDOWN(IFERROR(tabItens[[#This Row],[ATA DT.VALID.]] - $D$1,0) / 30,0)</f>
        <v>-1504</v>
      </c>
      <c r="U908" s="287" t="s">
        <v>1275</v>
      </c>
      <c r="V908" s="303">
        <v>1</v>
      </c>
      <c r="W908" s="304" t="s">
        <v>2056</v>
      </c>
      <c r="X908" s="305">
        <v>83</v>
      </c>
      <c r="Y908" s="306">
        <v>4</v>
      </c>
      <c r="Z908" s="307"/>
      <c r="AA908" s="308"/>
      <c r="AB908" s="309"/>
      <c r="AC908" s="309"/>
      <c r="AD908" s="308"/>
      <c r="AE908" s="309"/>
      <c r="AF908" s="302"/>
      <c r="AG908" s="310" t="s">
        <v>2050</v>
      </c>
      <c r="AH908" s="311"/>
      <c r="AI908" s="302">
        <v>0</v>
      </c>
      <c r="AJ908" s="311">
        <v>44055</v>
      </c>
      <c r="AK908" s="311">
        <v>38502</v>
      </c>
      <c r="AL908" s="311">
        <v>44594</v>
      </c>
      <c r="AM908" s="301"/>
      <c r="AN908" s="290"/>
      <c r="AO908" s="312" t="str">
        <f>_xlfn.IFNA(IF(VLOOKUP(tabItens[[#This Row],[CÓDIGO]],tabExcluirDoEstoque[#Data],1,FALSE),"sim",""),"")</f>
        <v>sim</v>
      </c>
      <c r="AP908" s="313" t="str">
        <f ca="1">IF(OR(ISBLANK(tabItens[[#This Row],[ATA DT.VALID.]]),tabItens[[#This Row],[ATA DT.VALID.]]="",tabItens[[#This Row],[ATA DT.VALID.]]=" "),"",IF(TYPE(tabItens[[#This Row],[ATA DT.VALID.]])=1,ROUNDUP((tabItens[[#This Row],[ATA DT.VALID.]]-TODAY())/7,0),""))</f>
        <v/>
      </c>
      <c r="AQ908" s="314">
        <v>0</v>
      </c>
      <c r="AR908" s="315" t="str">
        <f>IF(ISBLANK(tabItens[[#This Row],[CÓDIGO]]),"",IFERROR(VLOOKUP(tabItens[[#This Row],[CÓDIGO]],Consumo!$C$2:$AC$869,26,FALSE),0))</f>
        <v>04.2023</v>
      </c>
      <c r="AS908" s="316">
        <f>SUMIF(Consumo!$C$3:$C$869,tabItens[[#This Row],[CÓDIGO]],Consumo!$N$3:$N$869) + SUMIF(Consumo!$C$3:$C$869,tabItens[[#This Row],[CÓDIGO]],Consumo!$O$3:$O$869) + SUMIF(Consumo!$C$3:$C$869,tabItens[[#This Row],[CÓDIGO]],Consumo!$P$3:$P$869) + SUMIF(Consumo!$C$3:$C$869,tabItens[[#This Row],[CÓDIGO]],Consumo!$Q$3:$Q$869)</f>
        <v>2</v>
      </c>
      <c r="AT908" s="316">
        <f>SUMIF(Consumo!$C$3:$C$869,tabItens[[#This Row],[CÓDIGO]],Consumo!$Z$3:$Z$869)</f>
        <v>2</v>
      </c>
      <c r="AU908" s="317">
        <f>SUMIF(Consumo!$C$3:$C$869,tabItens[[#This Row],[CÓDIGO]],Consumo!$AA$3:$AA$869)</f>
        <v>2</v>
      </c>
      <c r="AV908" s="318">
        <f>SUMIF(Consumo!$C$3:$C$869,tabItens[[#This Row],[CÓDIGO]],Consumo!$Y$3:$Y$869)</f>
        <v>8.3333333333333329E-2</v>
      </c>
      <c r="AW908" s="291">
        <f>tabItens[[#This Row],[QTDE ATUAL]] + tabItens[[#This Row],[RC QTDE]] + tabItens[[#This Row],[AF SALDO]] + tabItens[[#This Row],[Recentes]]</f>
        <v>264</v>
      </c>
      <c r="AX908" s="319">
        <v>21</v>
      </c>
      <c r="AY908" s="319">
        <v>4</v>
      </c>
      <c r="AZ908" s="319">
        <f>IF(ISBLANK(tabItens[[#This Row],[CÓDIGO]]),"",tabItens[[#This Row],[PontoMês]] * (AZ$2+tabItens[[#This Row],[PontoQtM]]))</f>
        <v>84</v>
      </c>
      <c r="BA908" s="318">
        <f>tabItens[[#This Row],[PontoPed]] - tabItens[[#This Row],[Saldo]] + (1/10)</f>
        <v>-179.9</v>
      </c>
      <c r="BB908" s="318">
        <f xml:space="preserve"> tabItens[[#This Row],[PontoMês]] * BB$2 - tabItens[[#This Row],[QTDE ATUAL]] - (1/10)</f>
        <v>-243.1</v>
      </c>
      <c r="BC908" s="320">
        <f>IF( tabItens[[#This Row],[PontoPed]]&gt;0, IF(tabItens[[#This Row],[PontoPed]]&lt;1, 1, IF( tabItens[[#This Row],[Saldo]]&gt;tabItens[[#This Row],[PontoPed]], 0, (tabItens[[#This Row],[PontoPed]]-tabItens[[#This Row],[Saldo]])/tabItens[[#This Row],[PontoPed]] ) ), 0 )</f>
        <v>0</v>
      </c>
      <c r="BD908" s="321">
        <f>ROUNDDOWN(IF( OR( AND(tabItens[[#This Row],[PontoPed]]&lt;tabItens[[#This Row],[Saldo]],tabItens[[#This Row],[Saldo]]&gt;0), tabItens[[#This Row],[PontoPed]]=0), 99, IF(AND(tabItens[[#This Row],[Saldo]]=0,tabItens[[#This Row],[PontoPed]]&gt;0), 0, (1-tabItens[[#This Row],[PctAb]])*10 ) ),0)</f>
        <v>99</v>
      </c>
      <c r="BE908" s="322">
        <f>MAX(ROUNDDOWN( IF(tabItens[[#This Row],[Abaixo]] &gt; 0,   tabItens[[#This Row],[Abaixo]] + (tabItens[[#This Row],[PontoMês]] * IF( OR( ISBLANK(tabItens[[#This Row],[ATA Nº/ANO]]), tabItens[[#This Row],[ATA Nº/ANO]] = ""),BE$2,BE$1)),0),0),0)</f>
        <v>0</v>
      </c>
      <c r="BF90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23">
        <f>SUMIF(Consumo!$C$3:$C$869,tabItens[[#This Row],[CÓDIGO]],Consumo!$E$3:$E$869)</f>
        <v>0</v>
      </c>
      <c r="BH908" s="324">
        <f>IF(AND(tabItens[[#This Row],[Pend]] &gt; 0,tabItens[[#This Row],[Consumo]] &lt;&gt; 0), tabItens[[#This Row],[Pend]] / tabItens[[#This Row],[Consumo]], 0 )</f>
        <v>0</v>
      </c>
      <c r="BI908" s="323"/>
      <c r="BJ908" s="323"/>
      <c r="BK908" s="325" t="s">
        <v>2064</v>
      </c>
    </row>
    <row r="909" spans="1:63" hidden="1" x14ac:dyDescent="0.3">
      <c r="A909" s="286">
        <v>48178</v>
      </c>
      <c r="B909" s="287" t="s">
        <v>401</v>
      </c>
      <c r="C909" s="288" t="s">
        <v>256</v>
      </c>
      <c r="D909" s="289">
        <v>182</v>
      </c>
      <c r="E909" s="290"/>
      <c r="F909" s="290"/>
      <c r="G909" s="290" t="s">
        <v>883</v>
      </c>
      <c r="H909" s="291">
        <v>36</v>
      </c>
      <c r="I909" s="292">
        <v>103003</v>
      </c>
      <c r="J909" s="293">
        <v>182</v>
      </c>
      <c r="K909" s="294"/>
      <c r="L909" s="295">
        <f>IF(tabItens[[#This Row],[Média]] &gt; 0, tabItens[[#This Row],[QTDE ATUAL]] / tabItens[[#This Row],[Média]],999.9)</f>
        <v>999.9</v>
      </c>
      <c r="M909" s="296">
        <v>0</v>
      </c>
      <c r="N909" s="297">
        <f>tabItens[[#This Row],[VALOR UNIT.]] * tabItens[[#This Row],[LC]]</f>
        <v>0</v>
      </c>
      <c r="O909" s="298" t="s">
        <v>2121</v>
      </c>
      <c r="P909" s="299"/>
      <c r="Q909" s="300"/>
      <c r="R909" s="297"/>
      <c r="S909" s="301"/>
      <c r="T909" s="302">
        <f>ROUNDDOWN(IFERROR(tabItens[[#This Row],[ATA DT.VALID.]] - $D$1,0) / 30,0)</f>
        <v>-1504</v>
      </c>
      <c r="U909" s="287" t="s">
        <v>1112</v>
      </c>
      <c r="V909" s="303">
        <v>1</v>
      </c>
      <c r="W909" s="304" t="s">
        <v>2057</v>
      </c>
      <c r="X909" s="305">
        <v>74</v>
      </c>
      <c r="Y909" s="306">
        <v>8</v>
      </c>
      <c r="Z909" s="307"/>
      <c r="AA909" s="308"/>
      <c r="AB909" s="309"/>
      <c r="AC909" s="309"/>
      <c r="AD909" s="308"/>
      <c r="AE909" s="309"/>
      <c r="AF909" s="302"/>
      <c r="AG909" s="310" t="s">
        <v>2050</v>
      </c>
      <c r="AH909" s="311"/>
      <c r="AI909" s="302">
        <v>0</v>
      </c>
      <c r="AJ909" s="311">
        <v>43284</v>
      </c>
      <c r="AK909" s="311" t="s">
        <v>883</v>
      </c>
      <c r="AL909" s="311">
        <v>43224</v>
      </c>
      <c r="AM909" s="301"/>
      <c r="AN909" s="290"/>
      <c r="AO909" s="312" t="str">
        <f>_xlfn.IFNA(IF(VLOOKUP(tabItens[[#This Row],[CÓDIGO]],tabExcluirDoEstoque[#Data],1,FALSE),"sim",""),"")</f>
        <v>sim</v>
      </c>
      <c r="AP909" s="313" t="str">
        <f ca="1">IF(OR(ISBLANK(tabItens[[#This Row],[ATA DT.VALID.]]),tabItens[[#This Row],[ATA DT.VALID.]]="",tabItens[[#This Row],[ATA DT.VALID.]]=" "),"",IF(TYPE(tabItens[[#This Row],[ATA DT.VALID.]])=1,ROUNDUP((tabItens[[#This Row],[ATA DT.VALID.]]-TODAY())/7,0),""))</f>
        <v/>
      </c>
      <c r="AQ909" s="314">
        <v>0</v>
      </c>
      <c r="AR909" s="315">
        <f>IF(ISBLANK(tabItens[[#This Row],[CÓDIGO]]),"",IFERROR(VLOOKUP(tabItens[[#This Row],[CÓDIGO]],Consumo!$C$2:$AC$869,26,FALSE),0))</f>
        <v>0</v>
      </c>
      <c r="AS909" s="316">
        <f>SUMIF(Consumo!$C$3:$C$869,tabItens[[#This Row],[CÓDIGO]],Consumo!$N$3:$N$869) + SUMIF(Consumo!$C$3:$C$869,tabItens[[#This Row],[CÓDIGO]],Consumo!$O$3:$O$869) + SUMIF(Consumo!$C$3:$C$869,tabItens[[#This Row],[CÓDIGO]],Consumo!$P$3:$P$869) + SUMIF(Consumo!$C$3:$C$869,tabItens[[#This Row],[CÓDIGO]],Consumo!$Q$3:$Q$869)</f>
        <v>0</v>
      </c>
      <c r="AT909" s="316">
        <f>SUMIF(Consumo!$C$3:$C$869,tabItens[[#This Row],[CÓDIGO]],Consumo!$Z$3:$Z$869)</f>
        <v>0</v>
      </c>
      <c r="AU909" s="317">
        <f>SUMIF(Consumo!$C$3:$C$869,tabItens[[#This Row],[CÓDIGO]],Consumo!$AA$3:$AA$869)</f>
        <v>0</v>
      </c>
      <c r="AV909" s="318">
        <f>SUMIF(Consumo!$C$3:$C$869,tabItens[[#This Row],[CÓDIGO]],Consumo!$Y$3:$Y$869)</f>
        <v>0</v>
      </c>
      <c r="AW909" s="291">
        <f>tabItens[[#This Row],[QTDE ATUAL]] + tabItens[[#This Row],[RC QTDE]] + tabItens[[#This Row],[AF SALDO]] + tabItens[[#This Row],[Recentes]]</f>
        <v>36</v>
      </c>
      <c r="AX909" s="319">
        <v>0</v>
      </c>
      <c r="AY909" s="319">
        <v>0</v>
      </c>
      <c r="AZ909" s="319">
        <f>IF(ISBLANK(tabItens[[#This Row],[CÓDIGO]]),"",tabItens[[#This Row],[PontoMês]] * (AZ$2+tabItens[[#This Row],[PontoQtM]]))</f>
        <v>0</v>
      </c>
      <c r="BA909" s="318">
        <f>tabItens[[#This Row],[PontoPed]] - tabItens[[#This Row],[Saldo]] + (1/10)</f>
        <v>-35.9</v>
      </c>
      <c r="BB909" s="318">
        <f xml:space="preserve"> tabItens[[#This Row],[PontoMês]] * BB$2 - tabItens[[#This Row],[QTDE ATUAL]] - (1/10)</f>
        <v>-36.1</v>
      </c>
      <c r="BC909" s="320">
        <f>IF( tabItens[[#This Row],[PontoPed]]&gt;0, IF(tabItens[[#This Row],[PontoPed]]&lt;1, 1, IF( tabItens[[#This Row],[Saldo]]&gt;tabItens[[#This Row],[PontoPed]], 0, (tabItens[[#This Row],[PontoPed]]-tabItens[[#This Row],[Saldo]])/tabItens[[#This Row],[PontoPed]] ) ), 0 )</f>
        <v>0</v>
      </c>
      <c r="BD909" s="321">
        <f>ROUNDDOWN(IF( OR( AND(tabItens[[#This Row],[PontoPed]]&lt;tabItens[[#This Row],[Saldo]],tabItens[[#This Row],[Saldo]]&gt;0), tabItens[[#This Row],[PontoPed]]=0), 99, IF(AND(tabItens[[#This Row],[Saldo]]=0,tabItens[[#This Row],[PontoPed]]&gt;0), 0, (1-tabItens[[#This Row],[PctAb]])*10 ) ),0)</f>
        <v>99</v>
      </c>
      <c r="BE909" s="322">
        <f>MAX(ROUNDDOWN( IF(tabItens[[#This Row],[Abaixo]] &gt; 0,   tabItens[[#This Row],[Abaixo]] + (tabItens[[#This Row],[PontoMês]] * IF( OR( ISBLANK(tabItens[[#This Row],[ATA Nº/ANO]]), tabItens[[#This Row],[ATA Nº/ANO]] = ""),BE$2,BE$1)),0),0),0)</f>
        <v>0</v>
      </c>
      <c r="BF909"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23">
        <f>SUMIF(Consumo!$C$3:$C$869,tabItens[[#This Row],[CÓDIGO]],Consumo!$E$3:$E$869)</f>
        <v>0</v>
      </c>
      <c r="BH909" s="324">
        <f>IF(AND(tabItens[[#This Row],[Pend]] &gt; 0,tabItens[[#This Row],[Consumo]] &lt;&gt; 0), tabItens[[#This Row],[Pend]] / tabItens[[#This Row],[Consumo]], 0 )</f>
        <v>0</v>
      </c>
      <c r="BI909" s="323"/>
      <c r="BJ909" s="323"/>
      <c r="BK909" s="325" t="s">
        <v>2064</v>
      </c>
    </row>
    <row r="910" spans="1:63" hidden="1" x14ac:dyDescent="0.3">
      <c r="A910" s="286">
        <v>12812</v>
      </c>
      <c r="B910" s="287" t="s">
        <v>870</v>
      </c>
      <c r="C910" s="288" t="s">
        <v>256</v>
      </c>
      <c r="D910" s="289">
        <v>6.17</v>
      </c>
      <c r="E910" s="290"/>
      <c r="F910" s="290"/>
      <c r="G910" s="290" t="s">
        <v>883</v>
      </c>
      <c r="H910" s="291">
        <v>63</v>
      </c>
      <c r="I910" s="292">
        <v>103003</v>
      </c>
      <c r="J910" s="293">
        <v>6.17</v>
      </c>
      <c r="K910" s="294">
        <v>23</v>
      </c>
      <c r="L910" s="295">
        <f>IF(tabItens[[#This Row],[Média]] &gt; 0, tabItens[[#This Row],[QTDE ATUAL]] / tabItens[[#This Row],[Média]],999.9)</f>
        <v>36</v>
      </c>
      <c r="M910" s="296">
        <v>0</v>
      </c>
      <c r="N910" s="297">
        <f>tabItens[[#This Row],[VALOR UNIT.]] * tabItens[[#This Row],[LC]]</f>
        <v>0</v>
      </c>
      <c r="O910" s="298" t="s">
        <v>2073</v>
      </c>
      <c r="P910" s="299"/>
      <c r="Q910" s="300"/>
      <c r="R910" s="297"/>
      <c r="S910" s="301"/>
      <c r="T910" s="302">
        <f>ROUNDDOWN(IFERROR(tabItens[[#This Row],[ATA DT.VALID.]] - $D$1,0) / 30,0)</f>
        <v>-1504</v>
      </c>
      <c r="U910" s="287" t="s">
        <v>962</v>
      </c>
      <c r="V910" s="303">
        <v>1</v>
      </c>
      <c r="W910" s="304" t="s">
        <v>2053</v>
      </c>
      <c r="X910" s="305">
        <v>76</v>
      </c>
      <c r="Y910" s="306">
        <v>11</v>
      </c>
      <c r="Z910" s="307"/>
      <c r="AA910" s="308"/>
      <c r="AB910" s="309"/>
      <c r="AC910" s="309"/>
      <c r="AD910" s="308"/>
      <c r="AE910" s="309"/>
      <c r="AF910" s="302"/>
      <c r="AG910" s="310" t="s">
        <v>2050</v>
      </c>
      <c r="AH910" s="311"/>
      <c r="AI910" s="302">
        <v>8</v>
      </c>
      <c r="AJ910" s="311">
        <v>44358</v>
      </c>
      <c r="AK910" s="311" t="s">
        <v>883</v>
      </c>
      <c r="AL910" s="311">
        <v>44883</v>
      </c>
      <c r="AM910" s="301"/>
      <c r="AN910" s="290"/>
      <c r="AO910" s="312" t="str">
        <f>_xlfn.IFNA(IF(VLOOKUP(tabItens[[#This Row],[CÓDIGO]],tabExcluirDoEstoque[#Data],1,FALSE),"sim",""),"")</f>
        <v>sim</v>
      </c>
      <c r="AP910" s="313" t="str">
        <f ca="1">IF(OR(ISBLANK(tabItens[[#This Row],[ATA DT.VALID.]]),tabItens[[#This Row],[ATA DT.VALID.]]="",tabItens[[#This Row],[ATA DT.VALID.]]=" "),"",IF(TYPE(tabItens[[#This Row],[ATA DT.VALID.]])=1,ROUNDUP((tabItens[[#This Row],[ATA DT.VALID.]]-TODAY())/7,0),""))</f>
        <v/>
      </c>
      <c r="AQ910" s="314">
        <v>0</v>
      </c>
      <c r="AR910" s="315" t="str">
        <f>IF(ISBLANK(tabItens[[#This Row],[CÓDIGO]]),"",IFERROR(VLOOKUP(tabItens[[#This Row],[CÓDIGO]],Consumo!$C$2:$AC$869,26,FALSE),0))</f>
        <v>04.2023</v>
      </c>
      <c r="AS910" s="316">
        <f>SUMIF(Consumo!$C$3:$C$869,tabItens[[#This Row],[CÓDIGO]],Consumo!$N$3:$N$869) + SUMIF(Consumo!$C$3:$C$869,tabItens[[#This Row],[CÓDIGO]],Consumo!$O$3:$O$869) + SUMIF(Consumo!$C$3:$C$869,tabItens[[#This Row],[CÓDIGO]],Consumo!$P$3:$P$869) + SUMIF(Consumo!$C$3:$C$869,tabItens[[#This Row],[CÓDIGO]],Consumo!$Q$3:$Q$869)</f>
        <v>2</v>
      </c>
      <c r="AT910" s="316">
        <f>SUMIF(Consumo!$C$3:$C$869,tabItens[[#This Row],[CÓDIGO]],Consumo!$Z$3:$Z$869)</f>
        <v>24</v>
      </c>
      <c r="AU910" s="317">
        <f>SUMIF(Consumo!$C$3:$C$869,tabItens[[#This Row],[CÓDIGO]],Consumo!$AA$3:$AA$869)</f>
        <v>10</v>
      </c>
      <c r="AV910" s="318">
        <f>SUMIF(Consumo!$C$3:$C$869,tabItens[[#This Row],[CÓDIGO]],Consumo!$Y$3:$Y$869)</f>
        <v>1.75</v>
      </c>
      <c r="AW910" s="291">
        <f>tabItens[[#This Row],[QTDE ATUAL]] + tabItens[[#This Row],[RC QTDE]] + tabItens[[#This Row],[AF SALDO]] + tabItens[[#This Row],[Recentes]]</f>
        <v>63</v>
      </c>
      <c r="AX910" s="319">
        <v>4</v>
      </c>
      <c r="AY910" s="319">
        <v>4</v>
      </c>
      <c r="AZ910" s="319">
        <f>IF(ISBLANK(tabItens[[#This Row],[CÓDIGO]]),"",tabItens[[#This Row],[PontoMês]] * (AZ$2+tabItens[[#This Row],[PontoQtM]]))</f>
        <v>16</v>
      </c>
      <c r="BA910" s="318">
        <f>tabItens[[#This Row],[PontoPed]] - tabItens[[#This Row],[Saldo]] + (1/10)</f>
        <v>-46.9</v>
      </c>
      <c r="BB910" s="318">
        <f xml:space="preserve"> tabItens[[#This Row],[PontoMês]] * BB$2 - tabItens[[#This Row],[QTDE ATUAL]] - (1/10)</f>
        <v>-59.1</v>
      </c>
      <c r="BC910" s="320">
        <f>IF( tabItens[[#This Row],[PontoPed]]&gt;0, IF(tabItens[[#This Row],[PontoPed]]&lt;1, 1, IF( tabItens[[#This Row],[Saldo]]&gt;tabItens[[#This Row],[PontoPed]], 0, (tabItens[[#This Row],[PontoPed]]-tabItens[[#This Row],[Saldo]])/tabItens[[#This Row],[PontoPed]] ) ), 0 )</f>
        <v>0</v>
      </c>
      <c r="BD910" s="321">
        <f>ROUNDDOWN(IF( OR( AND(tabItens[[#This Row],[PontoPed]]&lt;tabItens[[#This Row],[Saldo]],tabItens[[#This Row],[Saldo]]&gt;0), tabItens[[#This Row],[PontoPed]]=0), 99, IF(AND(tabItens[[#This Row],[Saldo]]=0,tabItens[[#This Row],[PontoPed]]&gt;0), 0, (1-tabItens[[#This Row],[PctAb]])*10 ) ),0)</f>
        <v>99</v>
      </c>
      <c r="BE910" s="322">
        <f>MAX(ROUNDDOWN( IF(tabItens[[#This Row],[Abaixo]] &gt; 0,   tabItens[[#This Row],[Abaixo]] + (tabItens[[#This Row],[PontoMês]] * IF( OR( ISBLANK(tabItens[[#This Row],[ATA Nº/ANO]]), tabItens[[#This Row],[ATA Nº/ANO]] = ""),BE$2,BE$1)),0),0),0)</f>
        <v>0</v>
      </c>
      <c r="BF910"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23">
        <f>SUMIF(Consumo!$C$3:$C$869,tabItens[[#This Row],[CÓDIGO]],Consumo!$E$3:$E$869)</f>
        <v>0</v>
      </c>
      <c r="BH910" s="324">
        <f>IF(AND(tabItens[[#This Row],[Pend]] &gt; 0,tabItens[[#This Row],[Consumo]] &lt;&gt; 0), tabItens[[#This Row],[Pend]] / tabItens[[#This Row],[Consumo]], 0 )</f>
        <v>0</v>
      </c>
      <c r="BI910" s="323"/>
      <c r="BJ910" s="323"/>
      <c r="BK910" s="325" t="s">
        <v>2064</v>
      </c>
    </row>
    <row r="911" spans="1:63" hidden="1" x14ac:dyDescent="0.3">
      <c r="A911" s="286">
        <v>88718</v>
      </c>
      <c r="B911" s="287" t="s">
        <v>473</v>
      </c>
      <c r="C911" s="288" t="s">
        <v>256</v>
      </c>
      <c r="D911" s="289">
        <v>33.1</v>
      </c>
      <c r="E911" s="290"/>
      <c r="F911" s="290"/>
      <c r="G911" s="290" t="s">
        <v>883</v>
      </c>
      <c r="H911" s="291">
        <v>96</v>
      </c>
      <c r="I911" s="292">
        <v>103003</v>
      </c>
      <c r="J911" s="293">
        <v>33.1</v>
      </c>
      <c r="K911" s="294">
        <v>12</v>
      </c>
      <c r="L911" s="295">
        <f>IF(tabItens[[#This Row],[Média]] &gt; 0, tabItens[[#This Row],[QTDE ATUAL]] / tabItens[[#This Row],[Média]],999.9)</f>
        <v>104.72727272727273</v>
      </c>
      <c r="M911" s="296">
        <v>0</v>
      </c>
      <c r="N911" s="297">
        <f>tabItens[[#This Row],[VALOR UNIT.]] * tabItens[[#This Row],[LC]]</f>
        <v>0</v>
      </c>
      <c r="O911" s="298" t="s">
        <v>2100</v>
      </c>
      <c r="P911" s="299"/>
      <c r="Q911" s="300"/>
      <c r="R911" s="297"/>
      <c r="S911" s="301"/>
      <c r="T911" s="302">
        <f>ROUNDDOWN(IFERROR(tabItens[[#This Row],[ATA DT.VALID.]] - $D$1,0) / 30,0)</f>
        <v>-1504</v>
      </c>
      <c r="U911" s="287" t="s">
        <v>1491</v>
      </c>
      <c r="V911" s="303">
        <v>1</v>
      </c>
      <c r="W911" s="304" t="s">
        <v>2055</v>
      </c>
      <c r="X911" s="305">
        <v>55</v>
      </c>
      <c r="Y911" s="306">
        <v>26</v>
      </c>
      <c r="Z911" s="307"/>
      <c r="AA911" s="308"/>
      <c r="AB911" s="309"/>
      <c r="AC911" s="309"/>
      <c r="AD911" s="308"/>
      <c r="AE911" s="309"/>
      <c r="AF911" s="302"/>
      <c r="AG911" s="310" t="s">
        <v>2050</v>
      </c>
      <c r="AH911" s="311"/>
      <c r="AI911" s="302">
        <v>4</v>
      </c>
      <c r="AJ911" s="311">
        <v>44951</v>
      </c>
      <c r="AK911" s="311">
        <v>38656</v>
      </c>
      <c r="AL911" s="311">
        <v>44917</v>
      </c>
      <c r="AM911" s="301"/>
      <c r="AN911" s="290"/>
      <c r="AO911" s="312" t="str">
        <f>_xlfn.IFNA(IF(VLOOKUP(tabItens[[#This Row],[CÓDIGO]],tabExcluirDoEstoque[#Data],1,FALSE),"sim",""),"")</f>
        <v>sim</v>
      </c>
      <c r="AP911" s="313" t="str">
        <f ca="1">IF(OR(ISBLANK(tabItens[[#This Row],[ATA DT.VALID.]]),tabItens[[#This Row],[ATA DT.VALID.]]="",tabItens[[#This Row],[ATA DT.VALID.]]=" "),"",IF(TYPE(tabItens[[#This Row],[ATA DT.VALID.]])=1,ROUNDUP((tabItens[[#This Row],[ATA DT.VALID.]]-TODAY())/7,0),""))</f>
        <v/>
      </c>
      <c r="AQ911" s="314">
        <v>0</v>
      </c>
      <c r="AR911" s="315" t="str">
        <f>IF(ISBLANK(tabItens[[#This Row],[CÓDIGO]]),"",IFERROR(VLOOKUP(tabItens[[#This Row],[CÓDIGO]],Consumo!$C$2:$AC$869,26,FALSE),0))</f>
        <v>05.2023</v>
      </c>
      <c r="AS911" s="316">
        <f>SUMIF(Consumo!$C$3:$C$869,tabItens[[#This Row],[CÓDIGO]],Consumo!$N$3:$N$869) + SUMIF(Consumo!$C$3:$C$869,tabItens[[#This Row],[CÓDIGO]],Consumo!$O$3:$O$869) + SUMIF(Consumo!$C$3:$C$869,tabItens[[#This Row],[CÓDIGO]],Consumo!$P$3:$P$869) + SUMIF(Consumo!$C$3:$C$869,tabItens[[#This Row],[CÓDIGO]],Consumo!$Q$3:$Q$869)</f>
        <v>4</v>
      </c>
      <c r="AT911" s="316">
        <f>SUMIF(Consumo!$C$3:$C$869,tabItens[[#This Row],[CÓDIGO]],Consumo!$Z$3:$Z$869)</f>
        <v>12</v>
      </c>
      <c r="AU911" s="317">
        <f>SUMIF(Consumo!$C$3:$C$869,tabItens[[#This Row],[CÓDIGO]],Consumo!$AA$3:$AA$869)</f>
        <v>6</v>
      </c>
      <c r="AV911" s="318">
        <f>SUMIF(Consumo!$C$3:$C$869,tabItens[[#This Row],[CÓDIGO]],Consumo!$Y$3:$Y$869)</f>
        <v>0.91666666666666663</v>
      </c>
      <c r="AW911" s="291">
        <f>tabItens[[#This Row],[QTDE ATUAL]] + tabItens[[#This Row],[RC QTDE]] + tabItens[[#This Row],[AF SALDO]] + tabItens[[#This Row],[Recentes]]</f>
        <v>96</v>
      </c>
      <c r="AX911" s="319">
        <v>10</v>
      </c>
      <c r="AY911" s="319">
        <v>4</v>
      </c>
      <c r="AZ911" s="319">
        <f>IF(ISBLANK(tabItens[[#This Row],[CÓDIGO]]),"",tabItens[[#This Row],[PontoMês]] * (AZ$2+tabItens[[#This Row],[PontoQtM]]))</f>
        <v>40</v>
      </c>
      <c r="BA911" s="318">
        <f>tabItens[[#This Row],[PontoPed]] - tabItens[[#This Row],[Saldo]] + (1/10)</f>
        <v>-55.9</v>
      </c>
      <c r="BB911" s="318">
        <f xml:space="preserve"> tabItens[[#This Row],[PontoMês]] * BB$2 - tabItens[[#This Row],[QTDE ATUAL]] - (1/10)</f>
        <v>-86.1</v>
      </c>
      <c r="BC911" s="320">
        <f>IF( tabItens[[#This Row],[PontoPed]]&gt;0, IF(tabItens[[#This Row],[PontoPed]]&lt;1, 1, IF( tabItens[[#This Row],[Saldo]]&gt;tabItens[[#This Row],[PontoPed]], 0, (tabItens[[#This Row],[PontoPed]]-tabItens[[#This Row],[Saldo]])/tabItens[[#This Row],[PontoPed]] ) ), 0 )</f>
        <v>0</v>
      </c>
      <c r="BD911" s="321">
        <f>ROUNDDOWN(IF( OR( AND(tabItens[[#This Row],[PontoPed]]&lt;tabItens[[#This Row],[Saldo]],tabItens[[#This Row],[Saldo]]&gt;0), tabItens[[#This Row],[PontoPed]]=0), 99, IF(AND(tabItens[[#This Row],[Saldo]]=0,tabItens[[#This Row],[PontoPed]]&gt;0), 0, (1-tabItens[[#This Row],[PctAb]])*10 ) ),0)</f>
        <v>99</v>
      </c>
      <c r="BE911" s="322">
        <f>MAX(ROUNDDOWN( IF(tabItens[[#This Row],[Abaixo]] &gt; 0,   tabItens[[#This Row],[Abaixo]] + (tabItens[[#This Row],[PontoMês]] * IF( OR( ISBLANK(tabItens[[#This Row],[ATA Nº/ANO]]), tabItens[[#This Row],[ATA Nº/ANO]] = ""),BE$2,BE$1)),0),0),0)</f>
        <v>0</v>
      </c>
      <c r="BF911"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23">
        <f>SUMIF(Consumo!$C$3:$C$869,tabItens[[#This Row],[CÓDIGO]],Consumo!$E$3:$E$869)</f>
        <v>0</v>
      </c>
      <c r="BH911" s="324">
        <f>IF(AND(tabItens[[#This Row],[Pend]] &gt; 0,tabItens[[#This Row],[Consumo]] &lt;&gt; 0), tabItens[[#This Row],[Pend]] / tabItens[[#This Row],[Consumo]], 0 )</f>
        <v>0</v>
      </c>
      <c r="BI911" s="323"/>
      <c r="BJ911" s="323"/>
      <c r="BK911" s="325" t="s">
        <v>2064</v>
      </c>
    </row>
    <row r="912" spans="1:63" hidden="1" x14ac:dyDescent="0.3">
      <c r="A912" s="286">
        <v>64821</v>
      </c>
      <c r="B912" s="287" t="s">
        <v>830</v>
      </c>
      <c r="C912" s="288" t="s">
        <v>273</v>
      </c>
      <c r="D912" s="289">
        <v>99</v>
      </c>
      <c r="E912" s="290"/>
      <c r="F912" s="290"/>
      <c r="G912" s="290" t="s">
        <v>883</v>
      </c>
      <c r="H912" s="291">
        <v>20</v>
      </c>
      <c r="I912" s="292">
        <v>103003</v>
      </c>
      <c r="J912" s="293">
        <v>99</v>
      </c>
      <c r="K912" s="294">
        <v>7</v>
      </c>
      <c r="L912" s="295">
        <f>IF(tabItens[[#This Row],[Média]] &gt; 0, tabItens[[#This Row],[QTDE ATUAL]] / tabItens[[#This Row],[Média]],999.9)</f>
        <v>40</v>
      </c>
      <c r="M912" s="296">
        <v>0</v>
      </c>
      <c r="N912" s="297">
        <f>tabItens[[#This Row],[VALOR UNIT.]] * tabItens[[#This Row],[LC]]</f>
        <v>0</v>
      </c>
      <c r="O912" s="298" t="s">
        <v>2107</v>
      </c>
      <c r="P912" s="299"/>
      <c r="Q912" s="300"/>
      <c r="R912" s="297"/>
      <c r="S912" s="301"/>
      <c r="T912" s="302">
        <f>ROUNDDOWN(IFERROR(tabItens[[#This Row],[ATA DT.VALID.]] - $D$1,0) / 30,0)</f>
        <v>-1504</v>
      </c>
      <c r="U912" s="287" t="s">
        <v>1386</v>
      </c>
      <c r="V912" s="303">
        <v>1</v>
      </c>
      <c r="W912" s="304" t="s">
        <v>2053</v>
      </c>
      <c r="X912" s="305">
        <v>76</v>
      </c>
      <c r="Y912" s="306">
        <v>9</v>
      </c>
      <c r="Z912" s="307"/>
      <c r="AA912" s="308"/>
      <c r="AB912" s="309"/>
      <c r="AC912" s="309"/>
      <c r="AD912" s="308"/>
      <c r="AE912" s="309"/>
      <c r="AF912" s="302"/>
      <c r="AG912" s="310" t="s">
        <v>2050</v>
      </c>
      <c r="AH912" s="311"/>
      <c r="AI912" s="302">
        <v>2</v>
      </c>
      <c r="AJ912" s="311">
        <v>43497</v>
      </c>
      <c r="AK912" s="311" t="s">
        <v>883</v>
      </c>
      <c r="AL912" s="311">
        <v>43875</v>
      </c>
      <c r="AM912" s="301"/>
      <c r="AN912" s="290"/>
      <c r="AO912" s="312" t="str">
        <f>_xlfn.IFNA(IF(VLOOKUP(tabItens[[#This Row],[CÓDIGO]],tabExcluirDoEstoque[#Data],1,FALSE),"sim",""),"")</f>
        <v>sim</v>
      </c>
      <c r="AP912" s="313" t="str">
        <f ca="1">IF(OR(ISBLANK(tabItens[[#This Row],[ATA DT.VALID.]]),tabItens[[#This Row],[ATA DT.VALID.]]="",tabItens[[#This Row],[ATA DT.VALID.]]=" "),"",IF(TYPE(tabItens[[#This Row],[ATA DT.VALID.]])=1,ROUNDUP((tabItens[[#This Row],[ATA DT.VALID.]]-TODAY())/7,0),""))</f>
        <v/>
      </c>
      <c r="AQ912" s="314">
        <v>0</v>
      </c>
      <c r="AR912" s="315" t="str">
        <f>IF(ISBLANK(tabItens[[#This Row],[CÓDIGO]]),"",IFERROR(VLOOKUP(tabItens[[#This Row],[CÓDIGO]],Consumo!$C$2:$AC$869,26,FALSE),0))</f>
        <v>06.2023</v>
      </c>
      <c r="AS912" s="316">
        <f>SUMIF(Consumo!$C$3:$C$869,tabItens[[#This Row],[CÓDIGO]],Consumo!$N$3:$N$869) + SUMIF(Consumo!$C$3:$C$869,tabItens[[#This Row],[CÓDIGO]],Consumo!$O$3:$O$869) + SUMIF(Consumo!$C$3:$C$869,tabItens[[#This Row],[CÓDIGO]],Consumo!$P$3:$P$869) + SUMIF(Consumo!$C$3:$C$869,tabItens[[#This Row],[CÓDIGO]],Consumo!$Q$3:$Q$869)</f>
        <v>2</v>
      </c>
      <c r="AT912" s="316">
        <f>SUMIF(Consumo!$C$3:$C$869,tabItens[[#This Row],[CÓDIGO]],Consumo!$Z$3:$Z$869)</f>
        <v>7</v>
      </c>
      <c r="AU912" s="317">
        <f>SUMIF(Consumo!$C$3:$C$869,tabItens[[#This Row],[CÓDIGO]],Consumo!$AA$3:$AA$869)</f>
        <v>4</v>
      </c>
      <c r="AV912" s="318">
        <f>SUMIF(Consumo!$C$3:$C$869,tabItens[[#This Row],[CÓDIGO]],Consumo!$Y$3:$Y$869)</f>
        <v>0.5</v>
      </c>
      <c r="AW912" s="291">
        <f>tabItens[[#This Row],[QTDE ATUAL]] + tabItens[[#This Row],[RC QTDE]] + tabItens[[#This Row],[AF SALDO]] + tabItens[[#This Row],[Recentes]]</f>
        <v>20</v>
      </c>
      <c r="AX912" s="319">
        <v>3</v>
      </c>
      <c r="AY912" s="319">
        <v>4</v>
      </c>
      <c r="AZ912" s="319">
        <f>IF(ISBLANK(tabItens[[#This Row],[CÓDIGO]]),"",tabItens[[#This Row],[PontoMês]] * (AZ$2+tabItens[[#This Row],[PontoQtM]]))</f>
        <v>12</v>
      </c>
      <c r="BA912" s="318">
        <f>tabItens[[#This Row],[PontoPed]] - tabItens[[#This Row],[Saldo]] + (1/10)</f>
        <v>-7.9</v>
      </c>
      <c r="BB912" s="318">
        <f xml:space="preserve"> tabItens[[#This Row],[PontoMês]] * BB$2 - tabItens[[#This Row],[QTDE ATUAL]] - (1/10)</f>
        <v>-17.100000000000001</v>
      </c>
      <c r="BC912" s="320">
        <f>IF( tabItens[[#This Row],[PontoPed]]&gt;0, IF(tabItens[[#This Row],[PontoPed]]&lt;1, 1, IF( tabItens[[#This Row],[Saldo]]&gt;tabItens[[#This Row],[PontoPed]], 0, (tabItens[[#This Row],[PontoPed]]-tabItens[[#This Row],[Saldo]])/tabItens[[#This Row],[PontoPed]] ) ), 0 )</f>
        <v>0</v>
      </c>
      <c r="BD912" s="321">
        <f>ROUNDDOWN(IF( OR( AND(tabItens[[#This Row],[PontoPed]]&lt;tabItens[[#This Row],[Saldo]],tabItens[[#This Row],[Saldo]]&gt;0), tabItens[[#This Row],[PontoPed]]=0), 99, IF(AND(tabItens[[#This Row],[Saldo]]=0,tabItens[[#This Row],[PontoPed]]&gt;0), 0, (1-tabItens[[#This Row],[PctAb]])*10 ) ),0)</f>
        <v>99</v>
      </c>
      <c r="BE912" s="322">
        <f>MAX(ROUNDDOWN( IF(tabItens[[#This Row],[Abaixo]] &gt; 0,   tabItens[[#This Row],[Abaixo]] + (tabItens[[#This Row],[PontoMês]] * IF( OR( ISBLANK(tabItens[[#This Row],[ATA Nº/ANO]]), tabItens[[#This Row],[ATA Nº/ANO]] = ""),BE$2,BE$1)),0),0),0)</f>
        <v>0</v>
      </c>
      <c r="BF912"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23">
        <f>SUMIF(Consumo!$C$3:$C$869,tabItens[[#This Row],[CÓDIGO]],Consumo!$E$3:$E$869)</f>
        <v>0</v>
      </c>
      <c r="BH912" s="324">
        <f>IF(AND(tabItens[[#This Row],[Pend]] &gt; 0,tabItens[[#This Row],[Consumo]] &lt;&gt; 0), tabItens[[#This Row],[Pend]] / tabItens[[#This Row],[Consumo]], 0 )</f>
        <v>0</v>
      </c>
      <c r="BI912" s="323"/>
      <c r="BJ912" s="323"/>
      <c r="BK912" s="325" t="s">
        <v>2064</v>
      </c>
    </row>
    <row r="913" spans="1:63" hidden="1" x14ac:dyDescent="0.3">
      <c r="A913" s="286">
        <v>17663</v>
      </c>
      <c r="B913" s="287" t="s">
        <v>568</v>
      </c>
      <c r="C913" s="288" t="s">
        <v>569</v>
      </c>
      <c r="D913" s="289">
        <v>0.99</v>
      </c>
      <c r="E913" s="290"/>
      <c r="F913" s="290"/>
      <c r="G913" s="290" t="s">
        <v>883</v>
      </c>
      <c r="H913" s="291">
        <v>190</v>
      </c>
      <c r="I913" s="292">
        <v>103003</v>
      </c>
      <c r="J913" s="293">
        <v>0.99</v>
      </c>
      <c r="K913" s="294"/>
      <c r="L913" s="295">
        <f>IF(tabItens[[#This Row],[Média]] &gt; 0, tabItens[[#This Row],[QTDE ATUAL]] / tabItens[[#This Row],[Média]],999.9)</f>
        <v>999.9</v>
      </c>
      <c r="M913" s="296">
        <v>0</v>
      </c>
      <c r="N913" s="297">
        <f>tabItens[[#This Row],[VALOR UNIT.]] * tabItens[[#This Row],[LC]]</f>
        <v>0</v>
      </c>
      <c r="O913" s="298" t="s">
        <v>2107</v>
      </c>
      <c r="P913" s="299"/>
      <c r="Q913" s="300"/>
      <c r="R913" s="297"/>
      <c r="S913" s="301"/>
      <c r="T913" s="302">
        <f>ROUNDDOWN(IFERROR(tabItens[[#This Row],[ATA DT.VALID.]] - $D$1,0) / 30,0)</f>
        <v>-1504</v>
      </c>
      <c r="U913" s="287" t="s">
        <v>994</v>
      </c>
      <c r="V913" s="303">
        <v>1</v>
      </c>
      <c r="W913" s="304" t="s">
        <v>2056</v>
      </c>
      <c r="X913" s="305">
        <v>83</v>
      </c>
      <c r="Y913" s="306">
        <v>2</v>
      </c>
      <c r="Z913" s="307"/>
      <c r="AA913" s="308"/>
      <c r="AB913" s="309"/>
      <c r="AC913" s="309"/>
      <c r="AD913" s="308"/>
      <c r="AE913" s="309"/>
      <c r="AF913" s="302"/>
      <c r="AG913" s="310" t="s">
        <v>2050</v>
      </c>
      <c r="AH913" s="311"/>
      <c r="AI913" s="302">
        <v>0</v>
      </c>
      <c r="AJ913" s="311">
        <v>44067</v>
      </c>
      <c r="AK913" s="311" t="s">
        <v>883</v>
      </c>
      <c r="AL913" s="311">
        <v>44040</v>
      </c>
      <c r="AM913" s="301"/>
      <c r="AN913" s="290"/>
      <c r="AO913" s="312" t="str">
        <f>_xlfn.IFNA(IF(VLOOKUP(tabItens[[#This Row],[CÓDIGO]],tabExcluirDoEstoque[#Data],1,FALSE),"sim",""),"")</f>
        <v>sim</v>
      </c>
      <c r="AP913" s="313" t="str">
        <f ca="1">IF(OR(ISBLANK(tabItens[[#This Row],[ATA DT.VALID.]]),tabItens[[#This Row],[ATA DT.VALID.]]="",tabItens[[#This Row],[ATA DT.VALID.]]=" "),"",IF(TYPE(tabItens[[#This Row],[ATA DT.VALID.]])=1,ROUNDUP((tabItens[[#This Row],[ATA DT.VALID.]]-TODAY())/7,0),""))</f>
        <v/>
      </c>
      <c r="AQ913" s="314">
        <v>0</v>
      </c>
      <c r="AR913" s="315">
        <f>IF(ISBLANK(tabItens[[#This Row],[CÓDIGO]]),"",IFERROR(VLOOKUP(tabItens[[#This Row],[CÓDIGO]],Consumo!$C$2:$AC$869,26,FALSE),0))</f>
        <v>0</v>
      </c>
      <c r="AS913" s="316">
        <f>SUMIF(Consumo!$C$3:$C$869,tabItens[[#This Row],[CÓDIGO]],Consumo!$N$3:$N$869) + SUMIF(Consumo!$C$3:$C$869,tabItens[[#This Row],[CÓDIGO]],Consumo!$O$3:$O$869) + SUMIF(Consumo!$C$3:$C$869,tabItens[[#This Row],[CÓDIGO]],Consumo!$P$3:$P$869) + SUMIF(Consumo!$C$3:$C$869,tabItens[[#This Row],[CÓDIGO]],Consumo!$Q$3:$Q$869)</f>
        <v>0</v>
      </c>
      <c r="AT913" s="316">
        <f>SUMIF(Consumo!$C$3:$C$869,tabItens[[#This Row],[CÓDIGO]],Consumo!$Z$3:$Z$869)</f>
        <v>0</v>
      </c>
      <c r="AU913" s="317">
        <f>SUMIF(Consumo!$C$3:$C$869,tabItens[[#This Row],[CÓDIGO]],Consumo!$AA$3:$AA$869)</f>
        <v>0</v>
      </c>
      <c r="AV913" s="318">
        <f>SUMIF(Consumo!$C$3:$C$869,tabItens[[#This Row],[CÓDIGO]],Consumo!$Y$3:$Y$869)</f>
        <v>0</v>
      </c>
      <c r="AW913" s="291">
        <f>tabItens[[#This Row],[QTDE ATUAL]] + tabItens[[#This Row],[RC QTDE]] + tabItens[[#This Row],[AF SALDO]] + tabItens[[#This Row],[Recentes]]</f>
        <v>190</v>
      </c>
      <c r="AX913" s="319">
        <v>34</v>
      </c>
      <c r="AY913" s="319">
        <v>4</v>
      </c>
      <c r="AZ913" s="319">
        <f>IF(ISBLANK(tabItens[[#This Row],[CÓDIGO]]),"",tabItens[[#This Row],[PontoMês]] * (AZ$2+tabItens[[#This Row],[PontoQtM]]))</f>
        <v>136</v>
      </c>
      <c r="BA913" s="318">
        <f>tabItens[[#This Row],[PontoPed]] - tabItens[[#This Row],[Saldo]] + (1/10)</f>
        <v>-53.9</v>
      </c>
      <c r="BB913" s="318">
        <f xml:space="preserve"> tabItens[[#This Row],[PontoMês]] * BB$2 - tabItens[[#This Row],[QTDE ATUAL]] - (1/10)</f>
        <v>-156.1</v>
      </c>
      <c r="BC913" s="320">
        <f>IF( tabItens[[#This Row],[PontoPed]]&gt;0, IF(tabItens[[#This Row],[PontoPed]]&lt;1, 1, IF( tabItens[[#This Row],[Saldo]]&gt;tabItens[[#This Row],[PontoPed]], 0, (tabItens[[#This Row],[PontoPed]]-tabItens[[#This Row],[Saldo]])/tabItens[[#This Row],[PontoPed]] ) ), 0 )</f>
        <v>0</v>
      </c>
      <c r="BD913" s="321">
        <f>ROUNDDOWN(IF( OR( AND(tabItens[[#This Row],[PontoPed]]&lt;tabItens[[#This Row],[Saldo]],tabItens[[#This Row],[Saldo]]&gt;0), tabItens[[#This Row],[PontoPed]]=0), 99, IF(AND(tabItens[[#This Row],[Saldo]]=0,tabItens[[#This Row],[PontoPed]]&gt;0), 0, (1-tabItens[[#This Row],[PctAb]])*10 ) ),0)</f>
        <v>99</v>
      </c>
      <c r="BE913" s="322">
        <f>MAX(ROUNDDOWN( IF(tabItens[[#This Row],[Abaixo]] &gt; 0,   tabItens[[#This Row],[Abaixo]] + (tabItens[[#This Row],[PontoMês]] * IF( OR( ISBLANK(tabItens[[#This Row],[ATA Nº/ANO]]), tabItens[[#This Row],[ATA Nº/ANO]] = ""),BE$2,BE$1)),0),0),0)</f>
        <v>0</v>
      </c>
      <c r="BF913"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23">
        <f>SUMIF(Consumo!$C$3:$C$869,tabItens[[#This Row],[CÓDIGO]],Consumo!$E$3:$E$869)</f>
        <v>0</v>
      </c>
      <c r="BH913" s="324">
        <f>IF(AND(tabItens[[#This Row],[Pend]] &gt; 0,tabItens[[#This Row],[Consumo]] &lt;&gt; 0), tabItens[[#This Row],[Pend]] / tabItens[[#This Row],[Consumo]], 0 )</f>
        <v>0</v>
      </c>
      <c r="BI913" s="323"/>
      <c r="BJ913" s="323"/>
      <c r="BK913" s="325" t="s">
        <v>2064</v>
      </c>
    </row>
    <row r="914" spans="1:63" hidden="1" x14ac:dyDescent="0.3">
      <c r="A914" s="286">
        <v>116771</v>
      </c>
      <c r="B914" s="287" t="s">
        <v>407</v>
      </c>
      <c r="C914" s="288" t="s">
        <v>406</v>
      </c>
      <c r="D914" s="289">
        <v>299</v>
      </c>
      <c r="E914" s="290"/>
      <c r="F914" s="290"/>
      <c r="G914" s="290" t="s">
        <v>883</v>
      </c>
      <c r="H914" s="291">
        <v>28</v>
      </c>
      <c r="I914" s="292">
        <v>103003</v>
      </c>
      <c r="J914" s="293">
        <v>299</v>
      </c>
      <c r="K914" s="294">
        <v>11</v>
      </c>
      <c r="L914" s="295">
        <f>IF(tabItens[[#This Row],[Média]] &gt; 0, tabItens[[#This Row],[QTDE ATUAL]] / tabItens[[#This Row],[Média]],999.9)</f>
        <v>33.6</v>
      </c>
      <c r="M914" s="296">
        <v>0</v>
      </c>
      <c r="N914" s="297">
        <f>tabItens[[#This Row],[VALOR UNIT.]] * tabItens[[#This Row],[LC]]</f>
        <v>0</v>
      </c>
      <c r="O914" s="298" t="s">
        <v>2164</v>
      </c>
      <c r="P914" s="299"/>
      <c r="Q914" s="300"/>
      <c r="R914" s="297"/>
      <c r="S914" s="301"/>
      <c r="T914" s="302">
        <f>ROUNDDOWN(IFERROR(tabItens[[#This Row],[ATA DT.VALID.]] - $D$1,0) / 30,0)</f>
        <v>-1504</v>
      </c>
      <c r="U914" s="287" t="s">
        <v>1162</v>
      </c>
      <c r="V914" s="303">
        <v>1</v>
      </c>
      <c r="W914" s="304" t="s">
        <v>2056</v>
      </c>
      <c r="X914" s="305">
        <v>69</v>
      </c>
      <c r="Y914" s="306">
        <v>1</v>
      </c>
      <c r="Z914" s="307"/>
      <c r="AA914" s="308"/>
      <c r="AB914" s="309"/>
      <c r="AC914" s="309"/>
      <c r="AD914" s="308"/>
      <c r="AE914" s="309"/>
      <c r="AF914" s="302"/>
      <c r="AG914" s="310" t="s">
        <v>2050</v>
      </c>
      <c r="AH914" s="311"/>
      <c r="AI914" s="302">
        <v>4</v>
      </c>
      <c r="AJ914" s="311">
        <v>42360</v>
      </c>
      <c r="AK914" s="311">
        <v>40396</v>
      </c>
      <c r="AL914" s="311">
        <v>44040</v>
      </c>
      <c r="AM914" s="301"/>
      <c r="AN914" s="290"/>
      <c r="AO914" s="312" t="str">
        <f>_xlfn.IFNA(IF(VLOOKUP(tabItens[[#This Row],[CÓDIGO]],tabExcluirDoEstoque[#Data],1,FALSE),"sim",""),"")</f>
        <v>sim</v>
      </c>
      <c r="AP914" s="313" t="str">
        <f ca="1">IF(OR(ISBLANK(tabItens[[#This Row],[ATA DT.VALID.]]),tabItens[[#This Row],[ATA DT.VALID.]]="",tabItens[[#This Row],[ATA DT.VALID.]]=" "),"",IF(TYPE(tabItens[[#This Row],[ATA DT.VALID.]])=1,ROUNDUP((tabItens[[#This Row],[ATA DT.VALID.]]-TODAY())/7,0),""))</f>
        <v/>
      </c>
      <c r="AQ914" s="314">
        <v>0</v>
      </c>
      <c r="AR914" s="315" t="str">
        <f>IF(ISBLANK(tabItens[[#This Row],[CÓDIGO]]),"",IFERROR(VLOOKUP(tabItens[[#This Row],[CÓDIGO]],Consumo!$C$2:$AC$869,26,FALSE),0))</f>
        <v>07.2023</v>
      </c>
      <c r="AS914" s="316">
        <f>SUMIF(Consumo!$C$3:$C$869,tabItens[[#This Row],[CÓDIGO]],Consumo!$N$3:$N$869) + SUMIF(Consumo!$C$3:$C$869,tabItens[[#This Row],[CÓDIGO]],Consumo!$O$3:$O$869) + SUMIF(Consumo!$C$3:$C$869,tabItens[[#This Row],[CÓDIGO]],Consumo!$P$3:$P$869) + SUMIF(Consumo!$C$3:$C$869,tabItens[[#This Row],[CÓDIGO]],Consumo!$Q$3:$Q$869)</f>
        <v>9</v>
      </c>
      <c r="AT914" s="316">
        <f>SUMIF(Consumo!$C$3:$C$869,tabItens[[#This Row],[CÓDIGO]],Consumo!$Z$3:$Z$869)</f>
        <v>11</v>
      </c>
      <c r="AU914" s="317">
        <f>SUMIF(Consumo!$C$3:$C$869,tabItens[[#This Row],[CÓDIGO]],Consumo!$AA$3:$AA$869)</f>
        <v>5</v>
      </c>
      <c r="AV914" s="318">
        <f>SUMIF(Consumo!$C$3:$C$869,tabItens[[#This Row],[CÓDIGO]],Consumo!$Y$3:$Y$869)</f>
        <v>0.83333333333333337</v>
      </c>
      <c r="AW914" s="291">
        <f>tabItens[[#This Row],[QTDE ATUAL]] + tabItens[[#This Row],[RC QTDE]] + tabItens[[#This Row],[AF SALDO]] + tabItens[[#This Row],[Recentes]]</f>
        <v>28</v>
      </c>
      <c r="AX914" s="319">
        <v>0</v>
      </c>
      <c r="AY914" s="319">
        <v>0</v>
      </c>
      <c r="AZ914" s="319">
        <f>IF(ISBLANK(tabItens[[#This Row],[CÓDIGO]]),"",tabItens[[#This Row],[PontoMês]] * (AZ$2+tabItens[[#This Row],[PontoQtM]]))</f>
        <v>0</v>
      </c>
      <c r="BA914" s="318">
        <f>tabItens[[#This Row],[PontoPed]] - tabItens[[#This Row],[Saldo]] + (1/10)</f>
        <v>-27.9</v>
      </c>
      <c r="BB914" s="318">
        <f xml:space="preserve"> tabItens[[#This Row],[PontoMês]] * BB$2 - tabItens[[#This Row],[QTDE ATUAL]] - (1/10)</f>
        <v>-28.1</v>
      </c>
      <c r="BC914" s="320">
        <f>IF( tabItens[[#This Row],[PontoPed]]&gt;0, IF(tabItens[[#This Row],[PontoPed]]&lt;1, 1, IF( tabItens[[#This Row],[Saldo]]&gt;tabItens[[#This Row],[PontoPed]], 0, (tabItens[[#This Row],[PontoPed]]-tabItens[[#This Row],[Saldo]])/tabItens[[#This Row],[PontoPed]] ) ), 0 )</f>
        <v>0</v>
      </c>
      <c r="BD914" s="321">
        <f>ROUNDDOWN(IF( OR( AND(tabItens[[#This Row],[PontoPed]]&lt;tabItens[[#This Row],[Saldo]],tabItens[[#This Row],[Saldo]]&gt;0), tabItens[[#This Row],[PontoPed]]=0), 99, IF(AND(tabItens[[#This Row],[Saldo]]=0,tabItens[[#This Row],[PontoPed]]&gt;0), 0, (1-tabItens[[#This Row],[PctAb]])*10 ) ),0)</f>
        <v>99</v>
      </c>
      <c r="BE914" s="322">
        <f>MAX(ROUNDDOWN( IF(tabItens[[#This Row],[Abaixo]] &gt; 0,   tabItens[[#This Row],[Abaixo]] + (tabItens[[#This Row],[PontoMês]] * IF( OR( ISBLANK(tabItens[[#This Row],[ATA Nº/ANO]]), tabItens[[#This Row],[ATA Nº/ANO]] = ""),BE$2,BE$1)),0),0),0)</f>
        <v>0</v>
      </c>
      <c r="BF914"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23">
        <f>SUMIF(Consumo!$C$3:$C$869,tabItens[[#This Row],[CÓDIGO]],Consumo!$E$3:$E$869)</f>
        <v>0</v>
      </c>
      <c r="BH914" s="324">
        <f>IF(AND(tabItens[[#This Row],[Pend]] &gt; 0,tabItens[[#This Row],[Consumo]] &lt;&gt; 0), tabItens[[#This Row],[Pend]] / tabItens[[#This Row],[Consumo]], 0 )</f>
        <v>0</v>
      </c>
      <c r="BI914" s="323"/>
      <c r="BJ914" s="323"/>
      <c r="BK914" s="325" t="s">
        <v>2064</v>
      </c>
    </row>
    <row r="915" spans="1:63" hidden="1" x14ac:dyDescent="0.3">
      <c r="A915" s="286">
        <v>100383</v>
      </c>
      <c r="B915" s="287" t="s">
        <v>871</v>
      </c>
      <c r="C915" s="288" t="s">
        <v>281</v>
      </c>
      <c r="D915" s="289">
        <v>160</v>
      </c>
      <c r="E915" s="290"/>
      <c r="F915" s="290"/>
      <c r="G915" s="290" t="s">
        <v>883</v>
      </c>
      <c r="H915" s="291">
        <v>74</v>
      </c>
      <c r="I915" s="292">
        <v>103003</v>
      </c>
      <c r="J915" s="293">
        <v>160</v>
      </c>
      <c r="K915" s="294">
        <v>3</v>
      </c>
      <c r="L915" s="295">
        <f>IF(tabItens[[#This Row],[Média]] &gt; 0, tabItens[[#This Row],[QTDE ATUAL]] / tabItens[[#This Row],[Média]],999.9)</f>
        <v>888</v>
      </c>
      <c r="M915" s="296">
        <v>0</v>
      </c>
      <c r="N915" s="297">
        <f>tabItens[[#This Row],[VALOR UNIT.]] * tabItens[[#This Row],[LC]]</f>
        <v>0</v>
      </c>
      <c r="O915" s="298" t="s">
        <v>2149</v>
      </c>
      <c r="P915" s="299"/>
      <c r="Q915" s="300"/>
      <c r="R915" s="297"/>
      <c r="S915" s="301"/>
      <c r="T915" s="302">
        <f>ROUNDDOWN(IFERROR(tabItens[[#This Row],[ATA DT.VALID.]] - $D$1,0) / 30,0)</f>
        <v>-1504</v>
      </c>
      <c r="U915" s="287" t="s">
        <v>1563</v>
      </c>
      <c r="V915" s="303">
        <v>1</v>
      </c>
      <c r="W915" s="304" t="s">
        <v>2061</v>
      </c>
      <c r="X915" s="305">
        <v>80</v>
      </c>
      <c r="Y915" s="306">
        <v>7</v>
      </c>
      <c r="Z915" s="307"/>
      <c r="AA915" s="308"/>
      <c r="AB915" s="309"/>
      <c r="AC915" s="309"/>
      <c r="AD915" s="308"/>
      <c r="AE915" s="309"/>
      <c r="AF915" s="302"/>
      <c r="AG915" s="310" t="s">
        <v>2050</v>
      </c>
      <c r="AH915" s="311"/>
      <c r="AI915" s="302">
        <v>2</v>
      </c>
      <c r="AJ915" s="311">
        <v>44372</v>
      </c>
      <c r="AK915" s="311">
        <v>39260</v>
      </c>
      <c r="AL915" s="311">
        <v>44757</v>
      </c>
      <c r="AM915" s="301"/>
      <c r="AN915" s="290"/>
      <c r="AO915" s="312" t="str">
        <f>_xlfn.IFNA(IF(VLOOKUP(tabItens[[#This Row],[CÓDIGO]],tabExcluirDoEstoque[#Data],1,FALSE),"sim",""),"")</f>
        <v>sim</v>
      </c>
      <c r="AP915" s="313" t="str">
        <f ca="1">IF(OR(ISBLANK(tabItens[[#This Row],[ATA DT.VALID.]]),tabItens[[#This Row],[ATA DT.VALID.]]="",tabItens[[#This Row],[ATA DT.VALID.]]=" "),"",IF(TYPE(tabItens[[#This Row],[ATA DT.VALID.]])=1,ROUNDUP((tabItens[[#This Row],[ATA DT.VALID.]]-TODAY())/7,0),""))</f>
        <v/>
      </c>
      <c r="AQ915" s="314">
        <v>0</v>
      </c>
      <c r="AR915" s="315" t="str">
        <f>IF(ISBLANK(tabItens[[#This Row],[CÓDIGO]]),"",IFERROR(VLOOKUP(tabItens[[#This Row],[CÓDIGO]],Consumo!$C$2:$AC$869,26,FALSE),0))</f>
        <v>04.2023</v>
      </c>
      <c r="AS915" s="316">
        <f>SUMIF(Consumo!$C$3:$C$869,tabItens[[#This Row],[CÓDIGO]],Consumo!$N$3:$N$869) + SUMIF(Consumo!$C$3:$C$869,tabItens[[#This Row],[CÓDIGO]],Consumo!$O$3:$O$869) + SUMIF(Consumo!$C$3:$C$869,tabItens[[#This Row],[CÓDIGO]],Consumo!$P$3:$P$869) + SUMIF(Consumo!$C$3:$C$869,tabItens[[#This Row],[CÓDIGO]],Consumo!$Q$3:$Q$869)</f>
        <v>3</v>
      </c>
      <c r="AT915" s="316">
        <f>SUMIF(Consumo!$C$3:$C$869,tabItens[[#This Row],[CÓDIGO]],Consumo!$Z$3:$Z$869)</f>
        <v>3</v>
      </c>
      <c r="AU915" s="317">
        <f>SUMIF(Consumo!$C$3:$C$869,tabItens[[#This Row],[CÓDIGO]],Consumo!$AA$3:$AA$869)</f>
        <v>3</v>
      </c>
      <c r="AV915" s="318">
        <f>SUMIF(Consumo!$C$3:$C$869,tabItens[[#This Row],[CÓDIGO]],Consumo!$Y$3:$Y$869)</f>
        <v>8.3333333333333329E-2</v>
      </c>
      <c r="AW915" s="291">
        <f>tabItens[[#This Row],[QTDE ATUAL]] + tabItens[[#This Row],[RC QTDE]] + tabItens[[#This Row],[AF SALDO]] + tabItens[[#This Row],[Recentes]]</f>
        <v>74</v>
      </c>
      <c r="AX915" s="319">
        <v>5</v>
      </c>
      <c r="AY915" s="319">
        <v>4</v>
      </c>
      <c r="AZ915" s="319">
        <f>IF(ISBLANK(tabItens[[#This Row],[CÓDIGO]]),"",tabItens[[#This Row],[PontoMês]] * (AZ$2+tabItens[[#This Row],[PontoQtM]]))</f>
        <v>20</v>
      </c>
      <c r="BA915" s="318">
        <f>tabItens[[#This Row],[PontoPed]] - tabItens[[#This Row],[Saldo]] + (1/10)</f>
        <v>-53.9</v>
      </c>
      <c r="BB915" s="318">
        <f xml:space="preserve"> tabItens[[#This Row],[PontoMês]] * BB$2 - tabItens[[#This Row],[QTDE ATUAL]] - (1/10)</f>
        <v>-69.099999999999994</v>
      </c>
      <c r="BC915" s="320">
        <f>IF( tabItens[[#This Row],[PontoPed]]&gt;0, IF(tabItens[[#This Row],[PontoPed]]&lt;1, 1, IF( tabItens[[#This Row],[Saldo]]&gt;tabItens[[#This Row],[PontoPed]], 0, (tabItens[[#This Row],[PontoPed]]-tabItens[[#This Row],[Saldo]])/tabItens[[#This Row],[PontoPed]] ) ), 0 )</f>
        <v>0</v>
      </c>
      <c r="BD915" s="321">
        <f>ROUNDDOWN(IF( OR( AND(tabItens[[#This Row],[PontoPed]]&lt;tabItens[[#This Row],[Saldo]],tabItens[[#This Row],[Saldo]]&gt;0), tabItens[[#This Row],[PontoPed]]=0), 99, IF(AND(tabItens[[#This Row],[Saldo]]=0,tabItens[[#This Row],[PontoPed]]&gt;0), 0, (1-tabItens[[#This Row],[PctAb]])*10 ) ),0)</f>
        <v>99</v>
      </c>
      <c r="BE915" s="322">
        <f>MAX(ROUNDDOWN( IF(tabItens[[#This Row],[Abaixo]] &gt; 0,   tabItens[[#This Row],[Abaixo]] + (tabItens[[#This Row],[PontoMês]] * IF( OR( ISBLANK(tabItens[[#This Row],[ATA Nº/ANO]]), tabItens[[#This Row],[ATA Nº/ANO]] = ""),BE$2,BE$1)),0),0),0)</f>
        <v>0</v>
      </c>
      <c r="BF915"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23">
        <f>SUMIF(Consumo!$C$3:$C$869,tabItens[[#This Row],[CÓDIGO]],Consumo!$E$3:$E$869)</f>
        <v>0</v>
      </c>
      <c r="BH915" s="324">
        <f>IF(AND(tabItens[[#This Row],[Pend]] &gt; 0,tabItens[[#This Row],[Consumo]] &lt;&gt; 0), tabItens[[#This Row],[Pend]] / tabItens[[#This Row],[Consumo]], 0 )</f>
        <v>0</v>
      </c>
      <c r="BI915" s="323"/>
      <c r="BJ915" s="323"/>
      <c r="BK915" s="325" t="s">
        <v>2064</v>
      </c>
    </row>
    <row r="916" spans="1:63" hidden="1" x14ac:dyDescent="0.3">
      <c r="A916" s="286">
        <v>98360</v>
      </c>
      <c r="B916" s="287" t="s">
        <v>509</v>
      </c>
      <c r="C916" s="288" t="s">
        <v>281</v>
      </c>
      <c r="D916" s="289">
        <v>42</v>
      </c>
      <c r="E916" s="290"/>
      <c r="F916" s="290"/>
      <c r="G916" s="290" t="s">
        <v>883</v>
      </c>
      <c r="H916" s="291">
        <v>55</v>
      </c>
      <c r="I916" s="292">
        <v>103003</v>
      </c>
      <c r="J916" s="293">
        <v>42</v>
      </c>
      <c r="K916" s="294"/>
      <c r="L916" s="295">
        <f>IF(tabItens[[#This Row],[Média]] &gt; 0, tabItens[[#This Row],[QTDE ATUAL]] / tabItens[[#This Row],[Média]],999.9)</f>
        <v>999.9</v>
      </c>
      <c r="M916" s="296">
        <v>0</v>
      </c>
      <c r="N916" s="297">
        <f>tabItens[[#This Row],[VALOR UNIT.]] * tabItens[[#This Row],[LC]]</f>
        <v>0</v>
      </c>
      <c r="O916" s="298" t="s">
        <v>2148</v>
      </c>
      <c r="P916" s="299"/>
      <c r="Q916" s="300"/>
      <c r="R916" s="297"/>
      <c r="S916" s="301"/>
      <c r="T916" s="302">
        <f>ROUNDDOWN(IFERROR(tabItens[[#This Row],[ATA DT.VALID.]] - $D$1,0) / 30,0)</f>
        <v>-1504</v>
      </c>
      <c r="U916" s="287" t="s">
        <v>1552</v>
      </c>
      <c r="V916" s="303">
        <v>1</v>
      </c>
      <c r="W916" s="304" t="s">
        <v>2056</v>
      </c>
      <c r="X916" s="305">
        <v>70</v>
      </c>
      <c r="Y916" s="306">
        <v>47</v>
      </c>
      <c r="Z916" s="307"/>
      <c r="AA916" s="308"/>
      <c r="AB916" s="309"/>
      <c r="AC916" s="309"/>
      <c r="AD916" s="308"/>
      <c r="AE916" s="309"/>
      <c r="AF916" s="302"/>
      <c r="AG916" s="310" t="s">
        <v>2050</v>
      </c>
      <c r="AH916" s="311"/>
      <c r="AI916" s="302">
        <v>0</v>
      </c>
      <c r="AJ916" s="311">
        <v>43063</v>
      </c>
      <c r="AK916" s="311">
        <v>39168</v>
      </c>
      <c r="AL916" s="311">
        <v>44789</v>
      </c>
      <c r="AM916" s="301"/>
      <c r="AN916" s="290"/>
      <c r="AO916" s="312" t="str">
        <f>_xlfn.IFNA(IF(VLOOKUP(tabItens[[#This Row],[CÓDIGO]],tabExcluirDoEstoque[#Data],1,FALSE),"sim",""),"")</f>
        <v>sim</v>
      </c>
      <c r="AP916" s="313" t="str">
        <f ca="1">IF(OR(ISBLANK(tabItens[[#This Row],[ATA DT.VALID.]]),tabItens[[#This Row],[ATA DT.VALID.]]="",tabItens[[#This Row],[ATA DT.VALID.]]=" "),"",IF(TYPE(tabItens[[#This Row],[ATA DT.VALID.]])=1,ROUNDUP((tabItens[[#This Row],[ATA DT.VALID.]]-TODAY())/7,0),""))</f>
        <v/>
      </c>
      <c r="AQ916" s="314">
        <v>0</v>
      </c>
      <c r="AR916" s="315">
        <f>IF(ISBLANK(tabItens[[#This Row],[CÓDIGO]]),"",IFERROR(VLOOKUP(tabItens[[#This Row],[CÓDIGO]],Consumo!$C$2:$AC$869,26,FALSE),0))</f>
        <v>0</v>
      </c>
      <c r="AS916" s="316">
        <f>SUMIF(Consumo!$C$3:$C$869,tabItens[[#This Row],[CÓDIGO]],Consumo!$N$3:$N$869) + SUMIF(Consumo!$C$3:$C$869,tabItens[[#This Row],[CÓDIGO]],Consumo!$O$3:$O$869) + SUMIF(Consumo!$C$3:$C$869,tabItens[[#This Row],[CÓDIGO]],Consumo!$P$3:$P$869) + SUMIF(Consumo!$C$3:$C$869,tabItens[[#This Row],[CÓDIGO]],Consumo!$Q$3:$Q$869)</f>
        <v>0</v>
      </c>
      <c r="AT916" s="316">
        <f>SUMIF(Consumo!$C$3:$C$869,tabItens[[#This Row],[CÓDIGO]],Consumo!$Z$3:$Z$869)</f>
        <v>0</v>
      </c>
      <c r="AU916" s="317">
        <f>SUMIF(Consumo!$C$3:$C$869,tabItens[[#This Row],[CÓDIGO]],Consumo!$AA$3:$AA$869)</f>
        <v>0</v>
      </c>
      <c r="AV916" s="318">
        <f>SUMIF(Consumo!$C$3:$C$869,tabItens[[#This Row],[CÓDIGO]],Consumo!$Y$3:$Y$869)</f>
        <v>0</v>
      </c>
      <c r="AW916" s="291">
        <f>tabItens[[#This Row],[QTDE ATUAL]] + tabItens[[#This Row],[RC QTDE]] + tabItens[[#This Row],[AF SALDO]] + tabItens[[#This Row],[Recentes]]</f>
        <v>55</v>
      </c>
      <c r="AX916" s="319">
        <v>0</v>
      </c>
      <c r="AY916" s="319">
        <v>0</v>
      </c>
      <c r="AZ916" s="319">
        <f>IF(ISBLANK(tabItens[[#This Row],[CÓDIGO]]),"",tabItens[[#This Row],[PontoMês]] * (AZ$2+tabItens[[#This Row],[PontoQtM]]))</f>
        <v>0</v>
      </c>
      <c r="BA916" s="318">
        <f>tabItens[[#This Row],[PontoPed]] - tabItens[[#This Row],[Saldo]] + (1/10)</f>
        <v>-54.9</v>
      </c>
      <c r="BB916" s="318">
        <f xml:space="preserve"> tabItens[[#This Row],[PontoMês]] * BB$2 - tabItens[[#This Row],[QTDE ATUAL]] - (1/10)</f>
        <v>-55.1</v>
      </c>
      <c r="BC916" s="320">
        <f>IF( tabItens[[#This Row],[PontoPed]]&gt;0, IF(tabItens[[#This Row],[PontoPed]]&lt;1, 1, IF( tabItens[[#This Row],[Saldo]]&gt;tabItens[[#This Row],[PontoPed]], 0, (tabItens[[#This Row],[PontoPed]]-tabItens[[#This Row],[Saldo]])/tabItens[[#This Row],[PontoPed]] ) ), 0 )</f>
        <v>0</v>
      </c>
      <c r="BD916" s="321">
        <f>ROUNDDOWN(IF( OR( AND(tabItens[[#This Row],[PontoPed]]&lt;tabItens[[#This Row],[Saldo]],tabItens[[#This Row],[Saldo]]&gt;0), tabItens[[#This Row],[PontoPed]]=0), 99, IF(AND(tabItens[[#This Row],[Saldo]]=0,tabItens[[#This Row],[PontoPed]]&gt;0), 0, (1-tabItens[[#This Row],[PctAb]])*10 ) ),0)</f>
        <v>99</v>
      </c>
      <c r="BE916" s="322">
        <f>MAX(ROUNDDOWN( IF(tabItens[[#This Row],[Abaixo]] &gt; 0,   tabItens[[#This Row],[Abaixo]] + (tabItens[[#This Row],[PontoMês]] * IF( OR( ISBLANK(tabItens[[#This Row],[ATA Nº/ANO]]), tabItens[[#This Row],[ATA Nº/ANO]] = ""),BE$2,BE$1)),0),0),0)</f>
        <v>0</v>
      </c>
      <c r="BF916"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23">
        <f>SUMIF(Consumo!$C$3:$C$869,tabItens[[#This Row],[CÓDIGO]],Consumo!$E$3:$E$869)</f>
        <v>0</v>
      </c>
      <c r="BH916" s="324">
        <f>IF(AND(tabItens[[#This Row],[Pend]] &gt; 0,tabItens[[#This Row],[Consumo]] &lt;&gt; 0), tabItens[[#This Row],[Pend]] / tabItens[[#This Row],[Consumo]], 0 )</f>
        <v>0</v>
      </c>
      <c r="BI916" s="323"/>
      <c r="BJ916" s="323"/>
      <c r="BK916" s="325" t="s">
        <v>2064</v>
      </c>
    </row>
    <row r="917" spans="1:63" hidden="1" x14ac:dyDescent="0.3">
      <c r="A917" s="286">
        <v>132714</v>
      </c>
      <c r="B917" s="287" t="s">
        <v>452</v>
      </c>
      <c r="C917" s="288" t="s">
        <v>256</v>
      </c>
      <c r="D917" s="289">
        <v>20.3</v>
      </c>
      <c r="E917" s="290"/>
      <c r="F917" s="290"/>
      <c r="G917" s="290" t="s">
        <v>883</v>
      </c>
      <c r="H917" s="291">
        <v>153</v>
      </c>
      <c r="I917" s="292">
        <v>103003</v>
      </c>
      <c r="J917" s="293">
        <v>20.3</v>
      </c>
      <c r="K917" s="294"/>
      <c r="L917" s="295">
        <f>IF(tabItens[[#This Row],[Média]] &gt; 0, tabItens[[#This Row],[QTDE ATUAL]] / tabItens[[#This Row],[Média]],999.9)</f>
        <v>999.9</v>
      </c>
      <c r="M917" s="296">
        <v>0</v>
      </c>
      <c r="N917" s="297">
        <f>tabItens[[#This Row],[VALOR UNIT.]] * tabItens[[#This Row],[LC]]</f>
        <v>0</v>
      </c>
      <c r="O917" s="298" t="s">
        <v>2141</v>
      </c>
      <c r="P917" s="299"/>
      <c r="Q917" s="300"/>
      <c r="R917" s="297"/>
      <c r="S917" s="301"/>
      <c r="T917" s="302">
        <f>ROUNDDOWN(IFERROR(tabItens[[#This Row],[ATA DT.VALID.]] - $D$1,0) / 30,0)</f>
        <v>-1504</v>
      </c>
      <c r="U917" s="287" t="s">
        <v>1273</v>
      </c>
      <c r="V917" s="303">
        <v>1</v>
      </c>
      <c r="W917" s="304" t="s">
        <v>2049</v>
      </c>
      <c r="X917" s="305">
        <v>51</v>
      </c>
      <c r="Y917" s="306">
        <v>17</v>
      </c>
      <c r="Z917" s="307"/>
      <c r="AA917" s="308"/>
      <c r="AB917" s="309"/>
      <c r="AC917" s="309"/>
      <c r="AD917" s="308"/>
      <c r="AE917" s="309"/>
      <c r="AF917" s="302"/>
      <c r="AG917" s="310" t="s">
        <v>2050</v>
      </c>
      <c r="AH917" s="311"/>
      <c r="AI917" s="302">
        <v>0</v>
      </c>
      <c r="AJ917" s="311">
        <v>43754</v>
      </c>
      <c r="AK917" s="311">
        <v>42880</v>
      </c>
      <c r="AL917" s="311">
        <v>43731</v>
      </c>
      <c r="AM917" s="301"/>
      <c r="AN917" s="290"/>
      <c r="AO917" s="312" t="str">
        <f>_xlfn.IFNA(IF(VLOOKUP(tabItens[[#This Row],[CÓDIGO]],tabExcluirDoEstoque[#Data],1,FALSE),"sim",""),"")</f>
        <v>sim</v>
      </c>
      <c r="AP917" s="313" t="str">
        <f ca="1">IF(OR(ISBLANK(tabItens[[#This Row],[ATA DT.VALID.]]),tabItens[[#This Row],[ATA DT.VALID.]]="",tabItens[[#This Row],[ATA DT.VALID.]]=" "),"",IF(TYPE(tabItens[[#This Row],[ATA DT.VALID.]])=1,ROUNDUP((tabItens[[#This Row],[ATA DT.VALID.]]-TODAY())/7,0),""))</f>
        <v/>
      </c>
      <c r="AQ917" s="314">
        <v>0</v>
      </c>
      <c r="AR917" s="315">
        <f>IF(ISBLANK(tabItens[[#This Row],[CÓDIGO]]),"",IFERROR(VLOOKUP(tabItens[[#This Row],[CÓDIGO]],Consumo!$C$2:$AC$869,26,FALSE),0))</f>
        <v>0</v>
      </c>
      <c r="AS917" s="316">
        <f>SUMIF(Consumo!$C$3:$C$869,tabItens[[#This Row],[CÓDIGO]],Consumo!$N$3:$N$869) + SUMIF(Consumo!$C$3:$C$869,tabItens[[#This Row],[CÓDIGO]],Consumo!$O$3:$O$869) + SUMIF(Consumo!$C$3:$C$869,tabItens[[#This Row],[CÓDIGO]],Consumo!$P$3:$P$869) + SUMIF(Consumo!$C$3:$C$869,tabItens[[#This Row],[CÓDIGO]],Consumo!$Q$3:$Q$869)</f>
        <v>0</v>
      </c>
      <c r="AT917" s="316">
        <f>SUMIF(Consumo!$C$3:$C$869,tabItens[[#This Row],[CÓDIGO]],Consumo!$Z$3:$Z$869)</f>
        <v>0</v>
      </c>
      <c r="AU917" s="317">
        <f>SUMIF(Consumo!$C$3:$C$869,tabItens[[#This Row],[CÓDIGO]],Consumo!$AA$3:$AA$869)</f>
        <v>0</v>
      </c>
      <c r="AV917" s="318">
        <f>SUMIF(Consumo!$C$3:$C$869,tabItens[[#This Row],[CÓDIGO]],Consumo!$Y$3:$Y$869)</f>
        <v>0</v>
      </c>
      <c r="AW917" s="291">
        <f>tabItens[[#This Row],[QTDE ATUAL]] + tabItens[[#This Row],[RC QTDE]] + tabItens[[#This Row],[AF SALDO]] + tabItens[[#This Row],[Recentes]]</f>
        <v>153</v>
      </c>
      <c r="AX917" s="319">
        <v>5</v>
      </c>
      <c r="AY917" s="319">
        <v>4</v>
      </c>
      <c r="AZ917" s="319">
        <f>IF(ISBLANK(tabItens[[#This Row],[CÓDIGO]]),"",tabItens[[#This Row],[PontoMês]] * (AZ$2+tabItens[[#This Row],[PontoQtM]]))</f>
        <v>20</v>
      </c>
      <c r="BA917" s="318">
        <f>tabItens[[#This Row],[PontoPed]] - tabItens[[#This Row],[Saldo]] + (1/10)</f>
        <v>-132.9</v>
      </c>
      <c r="BB917" s="318">
        <f xml:space="preserve"> tabItens[[#This Row],[PontoMês]] * BB$2 - tabItens[[#This Row],[QTDE ATUAL]] - (1/10)</f>
        <v>-148.1</v>
      </c>
      <c r="BC917" s="320">
        <f>IF( tabItens[[#This Row],[PontoPed]]&gt;0, IF(tabItens[[#This Row],[PontoPed]]&lt;1, 1, IF( tabItens[[#This Row],[Saldo]]&gt;tabItens[[#This Row],[PontoPed]], 0, (tabItens[[#This Row],[PontoPed]]-tabItens[[#This Row],[Saldo]])/tabItens[[#This Row],[PontoPed]] ) ), 0 )</f>
        <v>0</v>
      </c>
      <c r="BD917" s="321">
        <f>ROUNDDOWN(IF( OR( AND(tabItens[[#This Row],[PontoPed]]&lt;tabItens[[#This Row],[Saldo]],tabItens[[#This Row],[Saldo]]&gt;0), tabItens[[#This Row],[PontoPed]]=0), 99, IF(AND(tabItens[[#This Row],[Saldo]]=0,tabItens[[#This Row],[PontoPed]]&gt;0), 0, (1-tabItens[[#This Row],[PctAb]])*10 ) ),0)</f>
        <v>99</v>
      </c>
      <c r="BE917" s="322">
        <f>MAX(ROUNDDOWN( IF(tabItens[[#This Row],[Abaixo]] &gt; 0,   tabItens[[#This Row],[Abaixo]] + (tabItens[[#This Row],[PontoMês]] * IF( OR( ISBLANK(tabItens[[#This Row],[ATA Nº/ANO]]), tabItens[[#This Row],[ATA Nº/ANO]] = ""),BE$2,BE$1)),0),0),0)</f>
        <v>0</v>
      </c>
      <c r="BF917"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323">
        <f>SUMIF(Consumo!$C$3:$C$869,tabItens[[#This Row],[CÓDIGO]],Consumo!$E$3:$E$869)</f>
        <v>0</v>
      </c>
      <c r="BH917" s="324">
        <f>IF(AND(tabItens[[#This Row],[Pend]] &gt; 0,tabItens[[#This Row],[Consumo]] &lt;&gt; 0), tabItens[[#This Row],[Pend]] / tabItens[[#This Row],[Consumo]], 0 )</f>
        <v>0</v>
      </c>
      <c r="BI917" s="323"/>
      <c r="BJ917" s="323"/>
      <c r="BK917" s="325" t="s">
        <v>2064</v>
      </c>
    </row>
    <row r="918" spans="1:63" hidden="1" x14ac:dyDescent="0.3">
      <c r="A918" s="286">
        <v>132715</v>
      </c>
      <c r="B918" s="287" t="s">
        <v>451</v>
      </c>
      <c r="C918" s="288" t="s">
        <v>256</v>
      </c>
      <c r="D918" s="289">
        <v>20.3</v>
      </c>
      <c r="E918" s="290"/>
      <c r="F918" s="290"/>
      <c r="G918" s="290" t="s">
        <v>883</v>
      </c>
      <c r="H918" s="291">
        <v>172</v>
      </c>
      <c r="I918" s="292">
        <v>103003</v>
      </c>
      <c r="J918" s="293">
        <v>20.3</v>
      </c>
      <c r="K918" s="294"/>
      <c r="L918" s="295">
        <f>IF(tabItens[[#This Row],[Média]] &gt; 0, tabItens[[#This Row],[QTDE ATUAL]] / tabItens[[#This Row],[Média]],999.9)</f>
        <v>999.9</v>
      </c>
      <c r="M918" s="296">
        <v>0</v>
      </c>
      <c r="N918" s="297">
        <f>tabItens[[#This Row],[VALOR UNIT.]] * tabItens[[#This Row],[LC]]</f>
        <v>0</v>
      </c>
      <c r="O918" s="298" t="s">
        <v>2141</v>
      </c>
      <c r="P918" s="299"/>
      <c r="Q918" s="300"/>
      <c r="R918" s="297"/>
      <c r="S918" s="301"/>
      <c r="T918" s="302">
        <f>ROUNDDOWN(IFERROR(tabItens[[#This Row],[ATA DT.VALID.]] - $D$1,0) / 30,0)</f>
        <v>-1504</v>
      </c>
      <c r="U918" s="287" t="s">
        <v>1273</v>
      </c>
      <c r="V918" s="303">
        <v>1</v>
      </c>
      <c r="W918" s="304" t="s">
        <v>2049</v>
      </c>
      <c r="X918" s="305">
        <v>51</v>
      </c>
      <c r="Y918" s="306">
        <v>17</v>
      </c>
      <c r="Z918" s="307"/>
      <c r="AA918" s="308"/>
      <c r="AB918" s="309"/>
      <c r="AC918" s="309"/>
      <c r="AD918" s="308"/>
      <c r="AE918" s="309"/>
      <c r="AF918" s="302"/>
      <c r="AG918" s="310" t="s">
        <v>2050</v>
      </c>
      <c r="AH918" s="311"/>
      <c r="AI918" s="302">
        <v>0</v>
      </c>
      <c r="AJ918" s="311">
        <v>43754</v>
      </c>
      <c r="AK918" s="311">
        <v>42880</v>
      </c>
      <c r="AL918" s="311">
        <v>43731</v>
      </c>
      <c r="AM918" s="301"/>
      <c r="AN918" s="290"/>
      <c r="AO918" s="312" t="str">
        <f>_xlfn.IFNA(IF(VLOOKUP(tabItens[[#This Row],[CÓDIGO]],tabExcluirDoEstoque[#Data],1,FALSE),"sim",""),"")</f>
        <v>sim</v>
      </c>
      <c r="AP918" s="313" t="str">
        <f ca="1">IF(OR(ISBLANK(tabItens[[#This Row],[ATA DT.VALID.]]),tabItens[[#This Row],[ATA DT.VALID.]]="",tabItens[[#This Row],[ATA DT.VALID.]]=" "),"",IF(TYPE(tabItens[[#This Row],[ATA DT.VALID.]])=1,ROUNDUP((tabItens[[#This Row],[ATA DT.VALID.]]-TODAY())/7,0),""))</f>
        <v/>
      </c>
      <c r="AQ918" s="314">
        <v>0</v>
      </c>
      <c r="AR918" s="315">
        <f>IF(ISBLANK(tabItens[[#This Row],[CÓDIGO]]),"",IFERROR(VLOOKUP(tabItens[[#This Row],[CÓDIGO]],Consumo!$C$2:$AC$869,26,FALSE),0))</f>
        <v>0</v>
      </c>
      <c r="AS918" s="316">
        <f>SUMIF(Consumo!$C$3:$C$869,tabItens[[#This Row],[CÓDIGO]],Consumo!$N$3:$N$869) + SUMIF(Consumo!$C$3:$C$869,tabItens[[#This Row],[CÓDIGO]],Consumo!$O$3:$O$869) + SUMIF(Consumo!$C$3:$C$869,tabItens[[#This Row],[CÓDIGO]],Consumo!$P$3:$P$869) + SUMIF(Consumo!$C$3:$C$869,tabItens[[#This Row],[CÓDIGO]],Consumo!$Q$3:$Q$869)</f>
        <v>0</v>
      </c>
      <c r="AT918" s="316">
        <f>SUMIF(Consumo!$C$3:$C$869,tabItens[[#This Row],[CÓDIGO]],Consumo!$Z$3:$Z$869)</f>
        <v>0</v>
      </c>
      <c r="AU918" s="317">
        <f>SUMIF(Consumo!$C$3:$C$869,tabItens[[#This Row],[CÓDIGO]],Consumo!$AA$3:$AA$869)</f>
        <v>0</v>
      </c>
      <c r="AV918" s="318">
        <f>SUMIF(Consumo!$C$3:$C$869,tabItens[[#This Row],[CÓDIGO]],Consumo!$Y$3:$Y$869)</f>
        <v>0</v>
      </c>
      <c r="AW918" s="291">
        <f>tabItens[[#This Row],[QTDE ATUAL]] + tabItens[[#This Row],[RC QTDE]] + tabItens[[#This Row],[AF SALDO]] + tabItens[[#This Row],[Recentes]]</f>
        <v>172</v>
      </c>
      <c r="AX918" s="319">
        <v>6</v>
      </c>
      <c r="AY918" s="319">
        <v>4</v>
      </c>
      <c r="AZ918" s="319">
        <f>IF(ISBLANK(tabItens[[#This Row],[CÓDIGO]]),"",tabItens[[#This Row],[PontoMês]] * (AZ$2+tabItens[[#This Row],[PontoQtM]]))</f>
        <v>24</v>
      </c>
      <c r="BA918" s="318">
        <f>tabItens[[#This Row],[PontoPed]] - tabItens[[#This Row],[Saldo]] + (1/10)</f>
        <v>-147.9</v>
      </c>
      <c r="BB918" s="318">
        <f xml:space="preserve"> tabItens[[#This Row],[PontoMês]] * BB$2 - tabItens[[#This Row],[QTDE ATUAL]] - (1/10)</f>
        <v>-166.1</v>
      </c>
      <c r="BC918" s="320">
        <f>IF( tabItens[[#This Row],[PontoPed]]&gt;0, IF(tabItens[[#This Row],[PontoPed]]&lt;1, 1, IF( tabItens[[#This Row],[Saldo]]&gt;tabItens[[#This Row],[PontoPed]], 0, (tabItens[[#This Row],[PontoPed]]-tabItens[[#This Row],[Saldo]])/tabItens[[#This Row],[PontoPed]] ) ), 0 )</f>
        <v>0</v>
      </c>
      <c r="BD918" s="321">
        <f>ROUNDDOWN(IF( OR( AND(tabItens[[#This Row],[PontoPed]]&lt;tabItens[[#This Row],[Saldo]],tabItens[[#This Row],[Saldo]]&gt;0), tabItens[[#This Row],[PontoPed]]=0), 99, IF(AND(tabItens[[#This Row],[Saldo]]=0,tabItens[[#This Row],[PontoPed]]&gt;0), 0, (1-tabItens[[#This Row],[PctAb]])*10 ) ),0)</f>
        <v>99</v>
      </c>
      <c r="BE918" s="322">
        <f>MAX(ROUNDDOWN( IF(tabItens[[#This Row],[Abaixo]] &gt; 0,   tabItens[[#This Row],[Abaixo]] + (tabItens[[#This Row],[PontoMês]] * IF( OR( ISBLANK(tabItens[[#This Row],[ATA Nº/ANO]]), tabItens[[#This Row],[ATA Nº/ANO]] = ""),BE$2,BE$1)),0),0),0)</f>
        <v>0</v>
      </c>
      <c r="BF918" s="32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8" s="323">
        <f>SUMIF(Consumo!$C$3:$C$869,tabItens[[#This Row],[CÓDIGO]],Consumo!$E$3:$E$869)</f>
        <v>0</v>
      </c>
      <c r="BH918" s="324">
        <f>IF(AND(tabItens[[#This Row],[Pend]] &gt; 0,tabItens[[#This Row],[Consumo]] &lt;&gt; 0), tabItens[[#This Row],[Pend]] / tabItens[[#This Row],[Consumo]], 0 )</f>
        <v>0</v>
      </c>
      <c r="BI918" s="323"/>
      <c r="BJ918" s="323"/>
      <c r="BK918" s="325" t="s">
        <v>2064</v>
      </c>
    </row>
    <row r="919" spans="1:63" hidden="1" x14ac:dyDescent="0.3">
      <c r="A919" s="286">
        <v>50476</v>
      </c>
      <c r="B919" s="287" t="s">
        <v>792</v>
      </c>
      <c r="C919" s="288" t="s">
        <v>256</v>
      </c>
      <c r="D919" s="289">
        <v>1.24</v>
      </c>
      <c r="E919" s="290"/>
      <c r="F919" s="290"/>
      <c r="G919" s="290" t="s">
        <v>883</v>
      </c>
      <c r="H919" s="291">
        <v>571</v>
      </c>
      <c r="I919" s="292">
        <v>103003</v>
      </c>
      <c r="J919" s="293">
        <v>1.24</v>
      </c>
      <c r="K919" s="294">
        <v>11</v>
      </c>
      <c r="L919" s="295">
        <f>IF(tabItens[[#This Row],[Média]] &gt; 0, tabItens[[#This Row],[QTDE ATUAL]] / tabItens[[#This Row],[Média]],999.9)</f>
        <v>978.85714285714278</v>
      </c>
      <c r="M919" s="296">
        <v>0</v>
      </c>
      <c r="N919" s="297">
        <f>tabItens[[#This Row],[VALOR UNIT.]] * tabItens[[#This Row],[LC]]</f>
        <v>0</v>
      </c>
      <c r="O919" s="298"/>
      <c r="P919" s="299"/>
      <c r="Q919" s="300"/>
      <c r="R919" s="297"/>
      <c r="S919" s="301"/>
      <c r="T919" s="302">
        <f>ROUNDDOWN(IFERROR(tabItens[[#This Row],[ATA DT.VALID.]] - $D$1,0) / 30,0)</f>
        <v>-1504</v>
      </c>
      <c r="U919" s="287" t="s">
        <v>1273</v>
      </c>
      <c r="V919" s="303">
        <v>1</v>
      </c>
      <c r="W919" s="304" t="s">
        <v>2049</v>
      </c>
      <c r="X919" s="305">
        <v>51</v>
      </c>
      <c r="Y919" s="306">
        <v>17</v>
      </c>
      <c r="Z919" s="307"/>
      <c r="AA919" s="308"/>
      <c r="AB919" s="309"/>
      <c r="AC919" s="309"/>
      <c r="AD919" s="308"/>
      <c r="AE919" s="309"/>
      <c r="AF919" s="302"/>
      <c r="AG919" s="310" t="s">
        <v>2050</v>
      </c>
      <c r="AH919" s="311"/>
      <c r="AI919" s="302">
        <v>4</v>
      </c>
      <c r="AJ919" s="311">
        <v>39820</v>
      </c>
      <c r="AK919" s="311" t="s">
        <v>883</v>
      </c>
      <c r="AL919" s="311">
        <v>40826</v>
      </c>
      <c r="AM919" s="301"/>
      <c r="AN919" s="290"/>
      <c r="AO919" s="312" t="str">
        <f>_xlfn.IFNA(IF(VLOOKUP(tabItens[[#This Row],[CÓDIGO]],tabExcluirDoEstoque[#Data],1,FALSE),"sim",""),"")</f>
        <v>sim</v>
      </c>
      <c r="AP919" s="313" t="str">
        <f ca="1">IF(OR(ISBLANK(tabItens[[#This Row],[ATA DT.VALID.]]),tabItens[[#This Row],[ATA DT.VALID.]]="",tabItens[[#This Row],[ATA DT.VALID.]]=" "),"",IF(TYPE(tabItens[[#This Row],[ATA DT.VALID.]])=1,ROUNDUP((tabItens[[#This Row],[ATA DT.VALID.]]-TODAY())/7,0),""))</f>
        <v/>
      </c>
      <c r="AQ919" s="314"/>
      <c r="AR919" s="315" t="str">
        <f>IF(ISBLANK(tabItens[[#This Row],[CÓDIGO]]),"",IFERROR(VLOOKUP(tabItens[[#This Row],[CÓDIGO]],Consumo!$C$2:$AC$869,26,FALSE),0))</f>
        <v>12.2022</v>
      </c>
      <c r="AS919" s="316">
        <f>SUMIF(Consumo!$C$3:$C$869,tabItens[[#This Row],[CÓDIGO]],Consumo!$N$3:$N$869) + SUMIF(Consumo!$C$3:$C$869,tabItens[[#This Row],[CÓDIGO]],Consumo!$O$3:$O$869) + SUMIF(Consumo!$C$3:$C$869,tabItens[[#This Row],[CÓDIGO]],Consumo!$P$3:$P$869) + SUMIF(Consumo!$C$3:$C$869,tabItens[[#This Row],[CÓDIGO]],Consumo!$Q$3:$Q$869)</f>
        <v>0</v>
      </c>
      <c r="AT919" s="316">
        <f>SUMIF(Consumo!$C$3:$C$869,tabItens[[#This Row],[CÓDIGO]],Consumo!$Z$3:$Z$869)</f>
        <v>11</v>
      </c>
      <c r="AU919" s="317">
        <f>SUMIF(Consumo!$C$3:$C$869,tabItens[[#This Row],[CÓDIGO]],Consumo!$AA$3:$AA$869)</f>
        <v>11</v>
      </c>
      <c r="AV919" s="318">
        <f>SUMIF(Consumo!$C$3:$C$869,tabItens[[#This Row],[CÓDIGO]],Consumo!$Y$3:$Y$869)</f>
        <v>0.58333333333333337</v>
      </c>
      <c r="AW919" s="291">
        <f>tabItens[[#This Row],[QTDE ATUAL]] + tabItens[[#This Row],[RC QTDE]] + tabItens[[#This Row],[AF SALDO]] + tabItens[[#This Row],[Recentes]]</f>
        <v>571</v>
      </c>
      <c r="AX919" s="319">
        <v>0</v>
      </c>
      <c r="AY919" s="319">
        <v>0</v>
      </c>
      <c r="AZ919" s="319">
        <f>IF(ISBLANK(tabItens[[#This Row],[CÓDIGO]]),"",tabItens[[#This Row],[PontoMês]] * (AZ$2+tabItens[[#This Row],[PontoQtM]]))</f>
        <v>0</v>
      </c>
      <c r="BA919" s="318">
        <f>tabItens[[#This Row],[PontoPed]] - tabItens[[#This Row],[Saldo]] + (1/10)</f>
        <v>-570.9</v>
      </c>
      <c r="BB919" s="318">
        <f xml:space="preserve"> tabItens[[#This Row],[PontoMês]] * BB$2 - tabItens[[#This Row],[QTDE ATUAL]] - (1/10)</f>
        <v>-571.1</v>
      </c>
      <c r="BC919" s="320">
        <f>IF( tabItens[[#This Row],[PontoPed]]&gt;0, IF(tabItens[[#This Row],[PontoPed]]&lt;1, 1, IF( tabItens[[#This Row],[Saldo]]&gt;tabItens[[#This Row],[PontoPed]], 0, (tabItens[[#This Row],[PontoPed]]-tabItens[[#This Row],[Saldo]])/tabItens[[#This Row],[PontoPed]] ) ), 0 )</f>
        <v>0</v>
      </c>
      <c r="BD919" s="321">
        <f>ROUNDDOWN(IF( OR( AND(tabItens[[#This Row],[PontoPed]]&lt;tabItens[[#This Row],[Saldo]],tabItens[[#This Row],[Saldo]]&gt;0), tabItens[[#This Row],[PontoPed]]=0), 99, IF(AND(tabItens[[#This Row],[Saldo]]=0,tabItens[[#This Row],[PontoPed]]&gt;0), 0, (1-tabItens[[#This Row],[PctAb]])*10 ) ),0)</f>
        <v>99</v>
      </c>
      <c r="BE919" s="322">
        <f>MAX(ROUNDDOWN( IF(tabItens[[#This Row],[Abaixo]] &gt; 0,   tabItens[[#This Row],[Abaixo]] + (tabItens[[#This Row],[PontoMês]] * IF( OR( ISBLANK(tabItens[[#This Row],[ATA Nº/ANO]]), tabItens[[#This Row],[ATA Nº/ANO]] = ""),BE$2,BE$1)),0),0),0)</f>
        <v>0</v>
      </c>
      <c r="BF91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23">
        <f>SUMIF(Consumo!$C$3:$C$869,tabItens[[#This Row],[CÓDIGO]],Consumo!$E$3:$E$869)</f>
        <v>0</v>
      </c>
      <c r="BH919" s="324">
        <f>IF(AND(tabItens[[#This Row],[Pend]] &gt; 0,tabItens[[#This Row],[Consumo]] &lt;&gt; 0), tabItens[[#This Row],[Pend]] / tabItens[[#This Row],[Consumo]], 0 )</f>
        <v>0</v>
      </c>
      <c r="BI919" s="323"/>
      <c r="BJ919" s="323"/>
      <c r="BK919" s="325" t="s">
        <v>2064</v>
      </c>
    </row>
    <row r="920" spans="1:63" hidden="1" x14ac:dyDescent="0.3">
      <c r="A920" s="286">
        <v>65609</v>
      </c>
      <c r="B920" s="287" t="s">
        <v>454</v>
      </c>
      <c r="C920" s="288" t="s">
        <v>256</v>
      </c>
      <c r="D920" s="289">
        <v>21</v>
      </c>
      <c r="E920" s="290"/>
      <c r="F920" s="290"/>
      <c r="G920" s="290" t="s">
        <v>883</v>
      </c>
      <c r="H920" s="291">
        <v>3</v>
      </c>
      <c r="I920" s="292">
        <v>103003</v>
      </c>
      <c r="J920" s="293">
        <v>21</v>
      </c>
      <c r="K920" s="294"/>
      <c r="L920" s="295">
        <f>IF(tabItens[[#This Row],[Média]] &gt; 0, tabItens[[#This Row],[QTDE ATUAL]] / tabItens[[#This Row],[Média]],999.9)</f>
        <v>999.9</v>
      </c>
      <c r="M920" s="296">
        <v>0</v>
      </c>
      <c r="N920" s="297">
        <f>tabItens[[#This Row],[VALOR UNIT.]] * tabItens[[#This Row],[LC]]</f>
        <v>0</v>
      </c>
      <c r="O920" s="298"/>
      <c r="P920" s="299"/>
      <c r="Q920" s="300"/>
      <c r="R920" s="297"/>
      <c r="S920" s="301"/>
      <c r="T920" s="302">
        <f>ROUNDDOWN(IFERROR(tabItens[[#This Row],[ATA DT.VALID.]] - $D$1,0) / 30,0)</f>
        <v>-1504</v>
      </c>
      <c r="U920" s="287" t="s">
        <v>1273</v>
      </c>
      <c r="V920" s="303">
        <v>1</v>
      </c>
      <c r="W920" s="304" t="s">
        <v>2049</v>
      </c>
      <c r="X920" s="305">
        <v>51</v>
      </c>
      <c r="Y920" s="306">
        <v>17</v>
      </c>
      <c r="Z920" s="307"/>
      <c r="AA920" s="308"/>
      <c r="AB920" s="309"/>
      <c r="AC920" s="309"/>
      <c r="AD920" s="308"/>
      <c r="AE920" s="309"/>
      <c r="AF920" s="302"/>
      <c r="AG920" s="310" t="s">
        <v>2050</v>
      </c>
      <c r="AH920" s="311"/>
      <c r="AI920" s="302">
        <v>0</v>
      </c>
      <c r="AJ920" s="311">
        <v>39779</v>
      </c>
      <c r="AK920" s="311" t="s">
        <v>883</v>
      </c>
      <c r="AL920" s="311">
        <v>39734</v>
      </c>
      <c r="AM920" s="301"/>
      <c r="AN920" s="290"/>
      <c r="AO920" s="312" t="str">
        <f>_xlfn.IFNA(IF(VLOOKUP(tabItens[[#This Row],[CÓDIGO]],tabExcluirDoEstoque[#Data],1,FALSE),"sim",""),"")</f>
        <v>sim</v>
      </c>
      <c r="AP920" s="313" t="str">
        <f ca="1">IF(OR(ISBLANK(tabItens[[#This Row],[ATA DT.VALID.]]),tabItens[[#This Row],[ATA DT.VALID.]]="",tabItens[[#This Row],[ATA DT.VALID.]]=" "),"",IF(TYPE(tabItens[[#This Row],[ATA DT.VALID.]])=1,ROUNDUP((tabItens[[#This Row],[ATA DT.VALID.]]-TODAY())/7,0),""))</f>
        <v/>
      </c>
      <c r="AQ920" s="314"/>
      <c r="AR920" s="315">
        <f>IF(ISBLANK(tabItens[[#This Row],[CÓDIGO]]),"",IFERROR(VLOOKUP(tabItens[[#This Row],[CÓDIGO]],Consumo!$C$2:$AC$869,26,FALSE),0))</f>
        <v>0</v>
      </c>
      <c r="AS920" s="316">
        <f>SUMIF(Consumo!$C$3:$C$869,tabItens[[#This Row],[CÓDIGO]],Consumo!$N$3:$N$869) + SUMIF(Consumo!$C$3:$C$869,tabItens[[#This Row],[CÓDIGO]],Consumo!$O$3:$O$869) + SUMIF(Consumo!$C$3:$C$869,tabItens[[#This Row],[CÓDIGO]],Consumo!$P$3:$P$869) + SUMIF(Consumo!$C$3:$C$869,tabItens[[#This Row],[CÓDIGO]],Consumo!$Q$3:$Q$869)</f>
        <v>0</v>
      </c>
      <c r="AT920" s="316">
        <f>SUMIF(Consumo!$C$3:$C$869,tabItens[[#This Row],[CÓDIGO]],Consumo!$Z$3:$Z$869)</f>
        <v>0</v>
      </c>
      <c r="AU920" s="317">
        <f>SUMIF(Consumo!$C$3:$C$869,tabItens[[#This Row],[CÓDIGO]],Consumo!$AA$3:$AA$869)</f>
        <v>0</v>
      </c>
      <c r="AV920" s="318">
        <f>SUMIF(Consumo!$C$3:$C$869,tabItens[[#This Row],[CÓDIGO]],Consumo!$Y$3:$Y$869)</f>
        <v>0</v>
      </c>
      <c r="AW920" s="291">
        <f>tabItens[[#This Row],[QTDE ATUAL]] + tabItens[[#This Row],[RC QTDE]] + tabItens[[#This Row],[AF SALDO]] + tabItens[[#This Row],[Recentes]]</f>
        <v>3</v>
      </c>
      <c r="AX920" s="319">
        <v>0</v>
      </c>
      <c r="AY920" s="319">
        <v>0</v>
      </c>
      <c r="AZ920" s="319">
        <f>IF(ISBLANK(tabItens[[#This Row],[CÓDIGO]]),"",tabItens[[#This Row],[PontoMês]] * (AZ$2+tabItens[[#This Row],[PontoQtM]]))</f>
        <v>0</v>
      </c>
      <c r="BA920" s="318">
        <f>tabItens[[#This Row],[PontoPed]] - tabItens[[#This Row],[Saldo]] + (1/10)</f>
        <v>-2.9</v>
      </c>
      <c r="BB920" s="318">
        <f xml:space="preserve"> tabItens[[#This Row],[PontoMês]] * BB$2 - tabItens[[#This Row],[QTDE ATUAL]] - (1/10)</f>
        <v>-3.1</v>
      </c>
      <c r="BC920" s="320">
        <f>IF( tabItens[[#This Row],[PontoPed]]&gt;0, IF(tabItens[[#This Row],[PontoPed]]&lt;1, 1, IF( tabItens[[#This Row],[Saldo]]&gt;tabItens[[#This Row],[PontoPed]], 0, (tabItens[[#This Row],[PontoPed]]-tabItens[[#This Row],[Saldo]])/tabItens[[#This Row],[PontoPed]] ) ), 0 )</f>
        <v>0</v>
      </c>
      <c r="BD920" s="321">
        <f>ROUNDDOWN(IF( OR( AND(tabItens[[#This Row],[PontoPed]]&lt;tabItens[[#This Row],[Saldo]],tabItens[[#This Row],[Saldo]]&gt;0), tabItens[[#This Row],[PontoPed]]=0), 99, IF(AND(tabItens[[#This Row],[Saldo]]=0,tabItens[[#This Row],[PontoPed]]&gt;0), 0, (1-tabItens[[#This Row],[PctAb]])*10 ) ),0)</f>
        <v>99</v>
      </c>
      <c r="BE920" s="322">
        <f>MAX(ROUNDDOWN( IF(tabItens[[#This Row],[Abaixo]] &gt; 0,   tabItens[[#This Row],[Abaixo]] + (tabItens[[#This Row],[PontoMês]] * IF( OR( ISBLANK(tabItens[[#This Row],[ATA Nº/ANO]]), tabItens[[#This Row],[ATA Nº/ANO]] = ""),BE$2,BE$1)),0),0),0)</f>
        <v>0</v>
      </c>
      <c r="BF92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23">
        <f>SUMIF(Consumo!$C$3:$C$869,tabItens[[#This Row],[CÓDIGO]],Consumo!$E$3:$E$869)</f>
        <v>0</v>
      </c>
      <c r="BH920" s="324">
        <f>IF(AND(tabItens[[#This Row],[Pend]] &gt; 0,tabItens[[#This Row],[Consumo]] &lt;&gt; 0), tabItens[[#This Row],[Pend]] / tabItens[[#This Row],[Consumo]], 0 )</f>
        <v>0</v>
      </c>
      <c r="BI920" s="323"/>
      <c r="BJ920" s="323"/>
      <c r="BK920" s="325" t="s">
        <v>2064</v>
      </c>
    </row>
    <row r="921" spans="1:63" hidden="1" x14ac:dyDescent="0.3">
      <c r="A921" s="286">
        <v>65610</v>
      </c>
      <c r="B921" s="287" t="s">
        <v>453</v>
      </c>
      <c r="C921" s="288" t="s">
        <v>256</v>
      </c>
      <c r="D921" s="289">
        <v>30</v>
      </c>
      <c r="E921" s="290"/>
      <c r="F921" s="290"/>
      <c r="G921" s="290" t="s">
        <v>883</v>
      </c>
      <c r="H921" s="291">
        <v>15</v>
      </c>
      <c r="I921" s="292">
        <v>103003</v>
      </c>
      <c r="J921" s="293">
        <v>28.95</v>
      </c>
      <c r="K921" s="294"/>
      <c r="L921" s="295">
        <f>IF(tabItens[[#This Row],[Média]] &gt; 0, tabItens[[#This Row],[QTDE ATUAL]] / tabItens[[#This Row],[Média]],999.9)</f>
        <v>999.9</v>
      </c>
      <c r="M921" s="296">
        <v>0</v>
      </c>
      <c r="N921" s="297">
        <f>tabItens[[#This Row],[VALOR UNIT.]] * tabItens[[#This Row],[LC]]</f>
        <v>0</v>
      </c>
      <c r="O921" s="298"/>
      <c r="P921" s="299"/>
      <c r="Q921" s="300"/>
      <c r="R921" s="297"/>
      <c r="S921" s="301"/>
      <c r="T921" s="302">
        <f>ROUNDDOWN(IFERROR(tabItens[[#This Row],[ATA DT.VALID.]] - $D$1,0) / 30,0)</f>
        <v>-1504</v>
      </c>
      <c r="U921" s="287" t="s">
        <v>1273</v>
      </c>
      <c r="V921" s="303">
        <v>1</v>
      </c>
      <c r="W921" s="304" t="s">
        <v>2049</v>
      </c>
      <c r="X921" s="305">
        <v>51</v>
      </c>
      <c r="Y921" s="306">
        <v>17</v>
      </c>
      <c r="Z921" s="307"/>
      <c r="AA921" s="308"/>
      <c r="AB921" s="309"/>
      <c r="AC921" s="309"/>
      <c r="AD921" s="308"/>
      <c r="AE921" s="309"/>
      <c r="AF921" s="302"/>
      <c r="AG921" s="310" t="s">
        <v>2050</v>
      </c>
      <c r="AH921" s="311"/>
      <c r="AI921" s="302">
        <v>0</v>
      </c>
      <c r="AJ921" s="311">
        <v>39636</v>
      </c>
      <c r="AK921" s="311" t="s">
        <v>883</v>
      </c>
      <c r="AL921" s="311">
        <v>39616</v>
      </c>
      <c r="AM921" s="301"/>
      <c r="AN921" s="290"/>
      <c r="AO921" s="312" t="str">
        <f>_xlfn.IFNA(IF(VLOOKUP(tabItens[[#This Row],[CÓDIGO]],tabExcluirDoEstoque[#Data],1,FALSE),"sim",""),"")</f>
        <v>sim</v>
      </c>
      <c r="AP921" s="313" t="str">
        <f ca="1">IF(OR(ISBLANK(tabItens[[#This Row],[ATA DT.VALID.]]),tabItens[[#This Row],[ATA DT.VALID.]]="",tabItens[[#This Row],[ATA DT.VALID.]]=" "),"",IF(TYPE(tabItens[[#This Row],[ATA DT.VALID.]])=1,ROUNDUP((tabItens[[#This Row],[ATA DT.VALID.]]-TODAY())/7,0),""))</f>
        <v/>
      </c>
      <c r="AQ921" s="314"/>
      <c r="AR921" s="315">
        <f>IF(ISBLANK(tabItens[[#This Row],[CÓDIGO]]),"",IFERROR(VLOOKUP(tabItens[[#This Row],[CÓDIGO]],Consumo!$C$2:$AC$869,26,FALSE),0))</f>
        <v>0</v>
      </c>
      <c r="AS921" s="316">
        <f>SUMIF(Consumo!$C$3:$C$869,tabItens[[#This Row],[CÓDIGO]],Consumo!$N$3:$N$869) + SUMIF(Consumo!$C$3:$C$869,tabItens[[#This Row],[CÓDIGO]],Consumo!$O$3:$O$869) + SUMIF(Consumo!$C$3:$C$869,tabItens[[#This Row],[CÓDIGO]],Consumo!$P$3:$P$869) + SUMIF(Consumo!$C$3:$C$869,tabItens[[#This Row],[CÓDIGO]],Consumo!$Q$3:$Q$869)</f>
        <v>0</v>
      </c>
      <c r="AT921" s="316">
        <f>SUMIF(Consumo!$C$3:$C$869,tabItens[[#This Row],[CÓDIGO]],Consumo!$Z$3:$Z$869)</f>
        <v>0</v>
      </c>
      <c r="AU921" s="317">
        <f>SUMIF(Consumo!$C$3:$C$869,tabItens[[#This Row],[CÓDIGO]],Consumo!$AA$3:$AA$869)</f>
        <v>0</v>
      </c>
      <c r="AV921" s="318">
        <f>SUMIF(Consumo!$C$3:$C$869,tabItens[[#This Row],[CÓDIGO]],Consumo!$Y$3:$Y$869)</f>
        <v>0</v>
      </c>
      <c r="AW921" s="291">
        <f>tabItens[[#This Row],[QTDE ATUAL]] + tabItens[[#This Row],[RC QTDE]] + tabItens[[#This Row],[AF SALDO]] + tabItens[[#This Row],[Recentes]]</f>
        <v>15</v>
      </c>
      <c r="AX921" s="319">
        <v>0</v>
      </c>
      <c r="AY921" s="319">
        <v>0</v>
      </c>
      <c r="AZ921" s="319">
        <f>IF(ISBLANK(tabItens[[#This Row],[CÓDIGO]]),"",tabItens[[#This Row],[PontoMês]] * (AZ$2+tabItens[[#This Row],[PontoQtM]]))</f>
        <v>0</v>
      </c>
      <c r="BA921" s="318">
        <f>tabItens[[#This Row],[PontoPed]] - tabItens[[#This Row],[Saldo]] + (1/10)</f>
        <v>-14.9</v>
      </c>
      <c r="BB921" s="318">
        <f xml:space="preserve"> tabItens[[#This Row],[PontoMês]] * BB$2 - tabItens[[#This Row],[QTDE ATUAL]] - (1/10)</f>
        <v>-15.1</v>
      </c>
      <c r="BC921" s="320">
        <f>IF( tabItens[[#This Row],[PontoPed]]&gt;0, IF(tabItens[[#This Row],[PontoPed]]&lt;1, 1, IF( tabItens[[#This Row],[Saldo]]&gt;tabItens[[#This Row],[PontoPed]], 0, (tabItens[[#This Row],[PontoPed]]-tabItens[[#This Row],[Saldo]])/tabItens[[#This Row],[PontoPed]] ) ), 0 )</f>
        <v>0</v>
      </c>
      <c r="BD921" s="321">
        <f>ROUNDDOWN(IF( OR( AND(tabItens[[#This Row],[PontoPed]]&lt;tabItens[[#This Row],[Saldo]],tabItens[[#This Row],[Saldo]]&gt;0), tabItens[[#This Row],[PontoPed]]=0), 99, IF(AND(tabItens[[#This Row],[Saldo]]=0,tabItens[[#This Row],[PontoPed]]&gt;0), 0, (1-tabItens[[#This Row],[PctAb]])*10 ) ),0)</f>
        <v>99</v>
      </c>
      <c r="BE921" s="322">
        <f>MAX(ROUNDDOWN( IF(tabItens[[#This Row],[Abaixo]] &gt; 0,   tabItens[[#This Row],[Abaixo]] + (tabItens[[#This Row],[PontoMês]] * IF( OR( ISBLANK(tabItens[[#This Row],[ATA Nº/ANO]]), tabItens[[#This Row],[ATA Nº/ANO]] = ""),BE$2,BE$1)),0),0),0)</f>
        <v>0</v>
      </c>
      <c r="BF92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23">
        <f>SUMIF(Consumo!$C$3:$C$869,tabItens[[#This Row],[CÓDIGO]],Consumo!$E$3:$E$869)</f>
        <v>0</v>
      </c>
      <c r="BH921" s="324">
        <f>IF(AND(tabItens[[#This Row],[Pend]] &gt; 0,tabItens[[#This Row],[Consumo]] &lt;&gt; 0), tabItens[[#This Row],[Pend]] / tabItens[[#This Row],[Consumo]], 0 )</f>
        <v>0</v>
      </c>
      <c r="BI921" s="323"/>
      <c r="BJ921" s="323"/>
      <c r="BK921" s="325" t="s">
        <v>2064</v>
      </c>
    </row>
    <row r="922" spans="1:63" hidden="1" x14ac:dyDescent="0.3">
      <c r="A922" s="286">
        <v>115135</v>
      </c>
      <c r="B922" s="287" t="s">
        <v>455</v>
      </c>
      <c r="C922" s="288" t="s">
        <v>256</v>
      </c>
      <c r="D922" s="289">
        <v>15</v>
      </c>
      <c r="E922" s="290"/>
      <c r="F922" s="290"/>
      <c r="G922" s="290" t="s">
        <v>883</v>
      </c>
      <c r="H922" s="291">
        <v>177</v>
      </c>
      <c r="I922" s="292">
        <v>103003</v>
      </c>
      <c r="J922" s="293">
        <v>15</v>
      </c>
      <c r="K922" s="294">
        <v>3</v>
      </c>
      <c r="L922" s="295">
        <f>IF(tabItens[[#This Row],[Média]] &gt; 0, tabItens[[#This Row],[QTDE ATUAL]] / tabItens[[#This Row],[Média]],999.9)</f>
        <v>2124</v>
      </c>
      <c r="M922" s="296">
        <v>0</v>
      </c>
      <c r="N922" s="297">
        <f>tabItens[[#This Row],[VALOR UNIT.]] * tabItens[[#This Row],[LC]]</f>
        <v>0</v>
      </c>
      <c r="O922" s="298"/>
      <c r="P922" s="299"/>
      <c r="Q922" s="300"/>
      <c r="R922" s="297"/>
      <c r="S922" s="301"/>
      <c r="T922" s="302">
        <f>ROUNDDOWN(IFERROR(tabItens[[#This Row],[ATA DT.VALID.]] - $D$1,0) / 30,0)</f>
        <v>-1504</v>
      </c>
      <c r="U922" s="287" t="s">
        <v>1273</v>
      </c>
      <c r="V922" s="303">
        <v>1</v>
      </c>
      <c r="W922" s="304" t="s">
        <v>2049</v>
      </c>
      <c r="X922" s="305">
        <v>51</v>
      </c>
      <c r="Y922" s="306">
        <v>17</v>
      </c>
      <c r="Z922" s="307"/>
      <c r="AA922" s="308"/>
      <c r="AB922" s="309"/>
      <c r="AC922" s="309"/>
      <c r="AD922" s="308"/>
      <c r="AE922" s="309"/>
      <c r="AF922" s="302"/>
      <c r="AG922" s="310" t="s">
        <v>2050</v>
      </c>
      <c r="AH922" s="311"/>
      <c r="AI922" s="302">
        <v>2</v>
      </c>
      <c r="AJ922" s="311">
        <v>40673</v>
      </c>
      <c r="AK922" s="311">
        <v>40303</v>
      </c>
      <c r="AL922" s="311">
        <v>40613</v>
      </c>
      <c r="AM922" s="301"/>
      <c r="AN922" s="290"/>
      <c r="AO922" s="312" t="str">
        <f>_xlfn.IFNA(IF(VLOOKUP(tabItens[[#This Row],[CÓDIGO]],tabExcluirDoEstoque[#Data],1,FALSE),"sim",""),"")</f>
        <v>sim</v>
      </c>
      <c r="AP922" s="313" t="str">
        <f ca="1">IF(OR(ISBLANK(tabItens[[#This Row],[ATA DT.VALID.]]),tabItens[[#This Row],[ATA DT.VALID.]]="",tabItens[[#This Row],[ATA DT.VALID.]]=" "),"",IF(TYPE(tabItens[[#This Row],[ATA DT.VALID.]])=1,ROUNDUP((tabItens[[#This Row],[ATA DT.VALID.]]-TODAY())/7,0),""))</f>
        <v/>
      </c>
      <c r="AQ922" s="314"/>
      <c r="AR922" s="315" t="str">
        <f>IF(ISBLANK(tabItens[[#This Row],[CÓDIGO]]),"",IFERROR(VLOOKUP(tabItens[[#This Row],[CÓDIGO]],Consumo!$C$2:$AC$869,26,FALSE),0))</f>
        <v>05.2023</v>
      </c>
      <c r="AS922" s="316">
        <f>SUMIF(Consumo!$C$3:$C$869,tabItens[[#This Row],[CÓDIGO]],Consumo!$N$3:$N$869) + SUMIF(Consumo!$C$3:$C$869,tabItens[[#This Row],[CÓDIGO]],Consumo!$O$3:$O$869) + SUMIF(Consumo!$C$3:$C$869,tabItens[[#This Row],[CÓDIGO]],Consumo!$P$3:$P$869) + SUMIF(Consumo!$C$3:$C$869,tabItens[[#This Row],[CÓDIGO]],Consumo!$Q$3:$Q$869)</f>
        <v>3</v>
      </c>
      <c r="AT922" s="316">
        <f>SUMIF(Consumo!$C$3:$C$869,tabItens[[#This Row],[CÓDIGO]],Consumo!$Z$3:$Z$869)</f>
        <v>3</v>
      </c>
      <c r="AU922" s="317">
        <f>SUMIF(Consumo!$C$3:$C$869,tabItens[[#This Row],[CÓDIGO]],Consumo!$AA$3:$AA$869)</f>
        <v>3</v>
      </c>
      <c r="AV922" s="318">
        <f>SUMIF(Consumo!$C$3:$C$869,tabItens[[#This Row],[CÓDIGO]],Consumo!$Y$3:$Y$869)</f>
        <v>8.3333333333333329E-2</v>
      </c>
      <c r="AW922" s="291">
        <f>tabItens[[#This Row],[QTDE ATUAL]] + tabItens[[#This Row],[RC QTDE]] + tabItens[[#This Row],[AF SALDO]] + tabItens[[#This Row],[Recentes]]</f>
        <v>177</v>
      </c>
      <c r="AX922" s="319">
        <v>0</v>
      </c>
      <c r="AY922" s="319">
        <v>0</v>
      </c>
      <c r="AZ922" s="319">
        <f>IF(ISBLANK(tabItens[[#This Row],[CÓDIGO]]),"",tabItens[[#This Row],[PontoMês]] * (AZ$2+tabItens[[#This Row],[PontoQtM]]))</f>
        <v>0</v>
      </c>
      <c r="BA922" s="318">
        <f>tabItens[[#This Row],[PontoPed]] - tabItens[[#This Row],[Saldo]] + (1/10)</f>
        <v>-176.9</v>
      </c>
      <c r="BB922" s="318">
        <f xml:space="preserve"> tabItens[[#This Row],[PontoMês]] * BB$2 - tabItens[[#This Row],[QTDE ATUAL]] - (1/10)</f>
        <v>-177.1</v>
      </c>
      <c r="BC922" s="320">
        <f>IF( tabItens[[#This Row],[PontoPed]]&gt;0, IF(tabItens[[#This Row],[PontoPed]]&lt;1, 1, IF( tabItens[[#This Row],[Saldo]]&gt;tabItens[[#This Row],[PontoPed]], 0, (tabItens[[#This Row],[PontoPed]]-tabItens[[#This Row],[Saldo]])/tabItens[[#This Row],[PontoPed]] ) ), 0 )</f>
        <v>0</v>
      </c>
      <c r="BD922" s="321">
        <f>ROUNDDOWN(IF( OR( AND(tabItens[[#This Row],[PontoPed]]&lt;tabItens[[#This Row],[Saldo]],tabItens[[#This Row],[Saldo]]&gt;0), tabItens[[#This Row],[PontoPed]]=0), 99, IF(AND(tabItens[[#This Row],[Saldo]]=0,tabItens[[#This Row],[PontoPed]]&gt;0), 0, (1-tabItens[[#This Row],[PctAb]])*10 ) ),0)</f>
        <v>99</v>
      </c>
      <c r="BE922" s="322">
        <f>MAX(ROUNDDOWN( IF(tabItens[[#This Row],[Abaixo]] &gt; 0,   tabItens[[#This Row],[Abaixo]] + (tabItens[[#This Row],[PontoMês]] * IF( OR( ISBLANK(tabItens[[#This Row],[ATA Nº/ANO]]), tabItens[[#This Row],[ATA Nº/ANO]] = ""),BE$2,BE$1)),0),0),0)</f>
        <v>0</v>
      </c>
      <c r="BF92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23">
        <f>SUMIF(Consumo!$C$3:$C$869,tabItens[[#This Row],[CÓDIGO]],Consumo!$E$3:$E$869)</f>
        <v>0</v>
      </c>
      <c r="BH922" s="324">
        <f>IF(AND(tabItens[[#This Row],[Pend]] &gt; 0,tabItens[[#This Row],[Consumo]] &lt;&gt; 0), tabItens[[#This Row],[Pend]] / tabItens[[#This Row],[Consumo]], 0 )</f>
        <v>0</v>
      </c>
      <c r="BI922" s="323"/>
      <c r="BJ922" s="323"/>
      <c r="BK922" s="325" t="s">
        <v>2064</v>
      </c>
    </row>
    <row r="923" spans="1:63" hidden="1" x14ac:dyDescent="0.3">
      <c r="A923" s="286">
        <v>133042</v>
      </c>
      <c r="B923" s="287" t="s">
        <v>795</v>
      </c>
      <c r="C923" s="288" t="s">
        <v>31</v>
      </c>
      <c r="D923" s="289">
        <v>55.26</v>
      </c>
      <c r="E923" s="290"/>
      <c r="F923" s="290"/>
      <c r="G923" s="290" t="s">
        <v>883</v>
      </c>
      <c r="H923" s="291">
        <v>50</v>
      </c>
      <c r="I923" s="292">
        <v>103003</v>
      </c>
      <c r="J923" s="293">
        <v>55.26</v>
      </c>
      <c r="K923" s="294"/>
      <c r="L923" s="295">
        <f>IF(tabItens[[#This Row],[Média]] &gt; 0, tabItens[[#This Row],[QTDE ATUAL]] / tabItens[[#This Row],[Média]],999.9)</f>
        <v>999.9</v>
      </c>
      <c r="M923" s="296">
        <v>0</v>
      </c>
      <c r="N923" s="297">
        <f>tabItens[[#This Row],[VALOR UNIT.]] * tabItens[[#This Row],[LC]]</f>
        <v>0</v>
      </c>
      <c r="O923" s="298"/>
      <c r="P923" s="299"/>
      <c r="Q923" s="300"/>
      <c r="R923" s="297"/>
      <c r="S923" s="301"/>
      <c r="T923" s="302">
        <f>ROUNDDOWN(IFERROR(tabItens[[#This Row],[ATA DT.VALID.]] - $D$1,0) / 30,0)</f>
        <v>-1504</v>
      </c>
      <c r="U923" s="287" t="s">
        <v>1273</v>
      </c>
      <c r="V923" s="303">
        <v>1</v>
      </c>
      <c r="W923" s="304" t="s">
        <v>2049</v>
      </c>
      <c r="X923" s="305">
        <v>51</v>
      </c>
      <c r="Y923" s="306">
        <v>17</v>
      </c>
      <c r="Z923" s="307"/>
      <c r="AA923" s="308"/>
      <c r="AB923" s="309"/>
      <c r="AC923" s="309"/>
      <c r="AD923" s="308"/>
      <c r="AE923" s="309"/>
      <c r="AF923" s="302"/>
      <c r="AG923" s="310" t="s">
        <v>2050</v>
      </c>
      <c r="AH923" s="311"/>
      <c r="AI923" s="302">
        <v>0</v>
      </c>
      <c r="AJ923" s="311">
        <v>43026</v>
      </c>
      <c r="AK923" s="311">
        <v>42930</v>
      </c>
      <c r="AL923" s="311">
        <v>42996</v>
      </c>
      <c r="AM923" s="301"/>
      <c r="AN923" s="290"/>
      <c r="AO923" s="312" t="str">
        <f>_xlfn.IFNA(IF(VLOOKUP(tabItens[[#This Row],[CÓDIGO]],tabExcluirDoEstoque[#Data],1,FALSE),"sim",""),"")</f>
        <v>sim</v>
      </c>
      <c r="AP923" s="313" t="str">
        <f ca="1">IF(OR(ISBLANK(tabItens[[#This Row],[ATA DT.VALID.]]),tabItens[[#This Row],[ATA DT.VALID.]]="",tabItens[[#This Row],[ATA DT.VALID.]]=" "),"",IF(TYPE(tabItens[[#This Row],[ATA DT.VALID.]])=1,ROUNDUP((tabItens[[#This Row],[ATA DT.VALID.]]-TODAY())/7,0),""))</f>
        <v/>
      </c>
      <c r="AQ923" s="314"/>
      <c r="AR923" s="315">
        <f>IF(ISBLANK(tabItens[[#This Row],[CÓDIGO]]),"",IFERROR(VLOOKUP(tabItens[[#This Row],[CÓDIGO]],Consumo!$C$2:$AC$869,26,FALSE),0))</f>
        <v>0</v>
      </c>
      <c r="AS923" s="316">
        <f>SUMIF(Consumo!$C$3:$C$869,tabItens[[#This Row],[CÓDIGO]],Consumo!$N$3:$N$869) + SUMIF(Consumo!$C$3:$C$869,tabItens[[#This Row],[CÓDIGO]],Consumo!$O$3:$O$869) + SUMIF(Consumo!$C$3:$C$869,tabItens[[#This Row],[CÓDIGO]],Consumo!$P$3:$P$869) + SUMIF(Consumo!$C$3:$C$869,tabItens[[#This Row],[CÓDIGO]],Consumo!$Q$3:$Q$869)</f>
        <v>0</v>
      </c>
      <c r="AT923" s="316">
        <f>SUMIF(Consumo!$C$3:$C$869,tabItens[[#This Row],[CÓDIGO]],Consumo!$Z$3:$Z$869)</f>
        <v>0</v>
      </c>
      <c r="AU923" s="317">
        <f>SUMIF(Consumo!$C$3:$C$869,tabItens[[#This Row],[CÓDIGO]],Consumo!$AA$3:$AA$869)</f>
        <v>0</v>
      </c>
      <c r="AV923" s="318">
        <f>SUMIF(Consumo!$C$3:$C$869,tabItens[[#This Row],[CÓDIGO]],Consumo!$Y$3:$Y$869)</f>
        <v>0</v>
      </c>
      <c r="AW923" s="291">
        <f>tabItens[[#This Row],[QTDE ATUAL]] + tabItens[[#This Row],[RC QTDE]] + tabItens[[#This Row],[AF SALDO]] + tabItens[[#This Row],[Recentes]]</f>
        <v>50</v>
      </c>
      <c r="AX923" s="319">
        <v>0</v>
      </c>
      <c r="AY923" s="319">
        <v>0</v>
      </c>
      <c r="AZ923" s="319">
        <f>IF(ISBLANK(tabItens[[#This Row],[CÓDIGO]]),"",tabItens[[#This Row],[PontoMês]] * (AZ$2+tabItens[[#This Row],[PontoQtM]]))</f>
        <v>0</v>
      </c>
      <c r="BA923" s="318">
        <f>tabItens[[#This Row],[PontoPed]] - tabItens[[#This Row],[Saldo]] + (1/10)</f>
        <v>-49.9</v>
      </c>
      <c r="BB923" s="318">
        <f xml:space="preserve"> tabItens[[#This Row],[PontoMês]] * BB$2 - tabItens[[#This Row],[QTDE ATUAL]] - (1/10)</f>
        <v>-50.1</v>
      </c>
      <c r="BC923" s="320">
        <f>IF( tabItens[[#This Row],[PontoPed]]&gt;0, IF(tabItens[[#This Row],[PontoPed]]&lt;1, 1, IF( tabItens[[#This Row],[Saldo]]&gt;tabItens[[#This Row],[PontoPed]], 0, (tabItens[[#This Row],[PontoPed]]-tabItens[[#This Row],[Saldo]])/tabItens[[#This Row],[PontoPed]] ) ), 0 )</f>
        <v>0</v>
      </c>
      <c r="BD923" s="321">
        <f>ROUNDDOWN(IF( OR( AND(tabItens[[#This Row],[PontoPed]]&lt;tabItens[[#This Row],[Saldo]],tabItens[[#This Row],[Saldo]]&gt;0), tabItens[[#This Row],[PontoPed]]=0), 99, IF(AND(tabItens[[#This Row],[Saldo]]=0,tabItens[[#This Row],[PontoPed]]&gt;0), 0, (1-tabItens[[#This Row],[PctAb]])*10 ) ),0)</f>
        <v>99</v>
      </c>
      <c r="BE923" s="322">
        <f>MAX(ROUNDDOWN( IF(tabItens[[#This Row],[Abaixo]] &gt; 0,   tabItens[[#This Row],[Abaixo]] + (tabItens[[#This Row],[PontoMês]] * IF( OR( ISBLANK(tabItens[[#This Row],[ATA Nº/ANO]]), tabItens[[#This Row],[ATA Nº/ANO]] = ""),BE$2,BE$1)),0),0),0)</f>
        <v>0</v>
      </c>
      <c r="BF92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23">
        <f>SUMIF(Consumo!$C$3:$C$869,tabItens[[#This Row],[CÓDIGO]],Consumo!$E$3:$E$869)</f>
        <v>0</v>
      </c>
      <c r="BH923" s="324">
        <f>IF(AND(tabItens[[#This Row],[Pend]] &gt; 0,tabItens[[#This Row],[Consumo]] &lt;&gt; 0), tabItens[[#This Row],[Pend]] / tabItens[[#This Row],[Consumo]], 0 )</f>
        <v>0</v>
      </c>
      <c r="BI923" s="323"/>
      <c r="BJ923" s="323"/>
      <c r="BK923" s="325" t="s">
        <v>2064</v>
      </c>
    </row>
    <row r="924" spans="1:63" hidden="1" x14ac:dyDescent="0.3">
      <c r="A924" s="286">
        <v>133043</v>
      </c>
      <c r="B924" s="287" t="s">
        <v>456</v>
      </c>
      <c r="C924" s="288" t="s">
        <v>31</v>
      </c>
      <c r="D924" s="289">
        <v>42</v>
      </c>
      <c r="E924" s="290"/>
      <c r="F924" s="290"/>
      <c r="G924" s="290" t="s">
        <v>883</v>
      </c>
      <c r="H924" s="291">
        <v>25</v>
      </c>
      <c r="I924" s="292">
        <v>103003</v>
      </c>
      <c r="J924" s="293">
        <v>42</v>
      </c>
      <c r="K924" s="294"/>
      <c r="L924" s="295">
        <f>IF(tabItens[[#This Row],[Média]] &gt; 0, tabItens[[#This Row],[QTDE ATUAL]] / tabItens[[#This Row],[Média]],999.9)</f>
        <v>999.9</v>
      </c>
      <c r="M924" s="296">
        <v>0</v>
      </c>
      <c r="N924" s="297">
        <f>tabItens[[#This Row],[VALOR UNIT.]] * tabItens[[#This Row],[LC]]</f>
        <v>0</v>
      </c>
      <c r="O924" s="298"/>
      <c r="P924" s="299"/>
      <c r="Q924" s="300"/>
      <c r="R924" s="297"/>
      <c r="S924" s="301"/>
      <c r="T924" s="302">
        <f>ROUNDDOWN(IFERROR(tabItens[[#This Row],[ATA DT.VALID.]] - $D$1,0) / 30,0)</f>
        <v>-1504</v>
      </c>
      <c r="U924" s="287" t="s">
        <v>1273</v>
      </c>
      <c r="V924" s="303">
        <v>1</v>
      </c>
      <c r="W924" s="304" t="s">
        <v>2049</v>
      </c>
      <c r="X924" s="305">
        <v>51</v>
      </c>
      <c r="Y924" s="306">
        <v>17</v>
      </c>
      <c r="Z924" s="307"/>
      <c r="AA924" s="308"/>
      <c r="AB924" s="309"/>
      <c r="AC924" s="309"/>
      <c r="AD924" s="308"/>
      <c r="AE924" s="309"/>
      <c r="AF924" s="302"/>
      <c r="AG924" s="310" t="s">
        <v>2050</v>
      </c>
      <c r="AH924" s="311"/>
      <c r="AI924" s="302">
        <v>0</v>
      </c>
      <c r="AJ924" s="311">
        <v>43026</v>
      </c>
      <c r="AK924" s="311">
        <v>42930</v>
      </c>
      <c r="AL924" s="311">
        <v>42996</v>
      </c>
      <c r="AM924" s="301"/>
      <c r="AN924" s="290"/>
      <c r="AO924" s="312" t="str">
        <f>_xlfn.IFNA(IF(VLOOKUP(tabItens[[#This Row],[CÓDIGO]],tabExcluirDoEstoque[#Data],1,FALSE),"sim",""),"")</f>
        <v>sim</v>
      </c>
      <c r="AP924" s="313" t="str">
        <f ca="1">IF(OR(ISBLANK(tabItens[[#This Row],[ATA DT.VALID.]]),tabItens[[#This Row],[ATA DT.VALID.]]="",tabItens[[#This Row],[ATA DT.VALID.]]=" "),"",IF(TYPE(tabItens[[#This Row],[ATA DT.VALID.]])=1,ROUNDUP((tabItens[[#This Row],[ATA DT.VALID.]]-TODAY())/7,0),""))</f>
        <v/>
      </c>
      <c r="AQ924" s="314"/>
      <c r="AR924" s="315">
        <f>IF(ISBLANK(tabItens[[#This Row],[CÓDIGO]]),"",IFERROR(VLOOKUP(tabItens[[#This Row],[CÓDIGO]],Consumo!$C$2:$AC$869,26,FALSE),0))</f>
        <v>0</v>
      </c>
      <c r="AS924" s="316">
        <f>SUMIF(Consumo!$C$3:$C$869,tabItens[[#This Row],[CÓDIGO]],Consumo!$N$3:$N$869) + SUMIF(Consumo!$C$3:$C$869,tabItens[[#This Row],[CÓDIGO]],Consumo!$O$3:$O$869) + SUMIF(Consumo!$C$3:$C$869,tabItens[[#This Row],[CÓDIGO]],Consumo!$P$3:$P$869) + SUMIF(Consumo!$C$3:$C$869,tabItens[[#This Row],[CÓDIGO]],Consumo!$Q$3:$Q$869)</f>
        <v>0</v>
      </c>
      <c r="AT924" s="316">
        <f>SUMIF(Consumo!$C$3:$C$869,tabItens[[#This Row],[CÓDIGO]],Consumo!$Z$3:$Z$869)</f>
        <v>0</v>
      </c>
      <c r="AU924" s="317">
        <f>SUMIF(Consumo!$C$3:$C$869,tabItens[[#This Row],[CÓDIGO]],Consumo!$AA$3:$AA$869)</f>
        <v>0</v>
      </c>
      <c r="AV924" s="318">
        <f>SUMIF(Consumo!$C$3:$C$869,tabItens[[#This Row],[CÓDIGO]],Consumo!$Y$3:$Y$869)</f>
        <v>0</v>
      </c>
      <c r="AW924" s="291">
        <f>tabItens[[#This Row],[QTDE ATUAL]] + tabItens[[#This Row],[RC QTDE]] + tabItens[[#This Row],[AF SALDO]] + tabItens[[#This Row],[Recentes]]</f>
        <v>25</v>
      </c>
      <c r="AX924" s="319">
        <v>0</v>
      </c>
      <c r="AY924" s="319">
        <v>0</v>
      </c>
      <c r="AZ924" s="319">
        <f>IF(ISBLANK(tabItens[[#This Row],[CÓDIGO]]),"",tabItens[[#This Row],[PontoMês]] * (AZ$2+tabItens[[#This Row],[PontoQtM]]))</f>
        <v>0</v>
      </c>
      <c r="BA924" s="318">
        <f>tabItens[[#This Row],[PontoPed]] - tabItens[[#This Row],[Saldo]] + (1/10)</f>
        <v>-24.9</v>
      </c>
      <c r="BB924" s="318">
        <f xml:space="preserve"> tabItens[[#This Row],[PontoMês]] * BB$2 - tabItens[[#This Row],[QTDE ATUAL]] - (1/10)</f>
        <v>-25.1</v>
      </c>
      <c r="BC924" s="320">
        <f>IF( tabItens[[#This Row],[PontoPed]]&gt;0, IF(tabItens[[#This Row],[PontoPed]]&lt;1, 1, IF( tabItens[[#This Row],[Saldo]]&gt;tabItens[[#This Row],[PontoPed]], 0, (tabItens[[#This Row],[PontoPed]]-tabItens[[#This Row],[Saldo]])/tabItens[[#This Row],[PontoPed]] ) ), 0 )</f>
        <v>0</v>
      </c>
      <c r="BD924" s="321">
        <f>ROUNDDOWN(IF( OR( AND(tabItens[[#This Row],[PontoPed]]&lt;tabItens[[#This Row],[Saldo]],tabItens[[#This Row],[Saldo]]&gt;0), tabItens[[#This Row],[PontoPed]]=0), 99, IF(AND(tabItens[[#This Row],[Saldo]]=0,tabItens[[#This Row],[PontoPed]]&gt;0), 0, (1-tabItens[[#This Row],[PctAb]])*10 ) ),0)</f>
        <v>99</v>
      </c>
      <c r="BE924" s="322">
        <f>MAX(ROUNDDOWN( IF(tabItens[[#This Row],[Abaixo]] &gt; 0,   tabItens[[#This Row],[Abaixo]] + (tabItens[[#This Row],[PontoMês]] * IF( OR( ISBLANK(tabItens[[#This Row],[ATA Nº/ANO]]), tabItens[[#This Row],[ATA Nº/ANO]] = ""),BE$2,BE$1)),0),0),0)</f>
        <v>0</v>
      </c>
      <c r="BF92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23">
        <f>SUMIF(Consumo!$C$3:$C$869,tabItens[[#This Row],[CÓDIGO]],Consumo!$E$3:$E$869)</f>
        <v>0</v>
      </c>
      <c r="BH924" s="324">
        <f>IF(AND(tabItens[[#This Row],[Pend]] &gt; 0,tabItens[[#This Row],[Consumo]] &lt;&gt; 0), tabItens[[#This Row],[Pend]] / tabItens[[#This Row],[Consumo]], 0 )</f>
        <v>0</v>
      </c>
      <c r="BI924" s="323"/>
      <c r="BJ924" s="323"/>
      <c r="BK924" s="325" t="s">
        <v>2064</v>
      </c>
    </row>
    <row r="925" spans="1:63" hidden="1" x14ac:dyDescent="0.3">
      <c r="A925" s="286">
        <v>87157</v>
      </c>
      <c r="B925" s="287" t="s">
        <v>632</v>
      </c>
      <c r="C925" s="288" t="s">
        <v>629</v>
      </c>
      <c r="D925" s="289">
        <v>20.9</v>
      </c>
      <c r="E925" s="290"/>
      <c r="F925" s="290"/>
      <c r="G925" s="290" t="s">
        <v>883</v>
      </c>
      <c r="H925" s="291">
        <v>329.48</v>
      </c>
      <c r="I925" s="292">
        <v>103003</v>
      </c>
      <c r="J925" s="293">
        <v>20.9</v>
      </c>
      <c r="K925" s="294">
        <v>26</v>
      </c>
      <c r="L925" s="295">
        <f>IF(tabItens[[#This Row],[Média]] &gt; 0, tabItens[[#This Row],[QTDE ATUAL]] / tabItens[[#This Row],[Média]],999.9)</f>
        <v>164.74</v>
      </c>
      <c r="M925" s="296">
        <v>0</v>
      </c>
      <c r="N925" s="297">
        <f>tabItens[[#This Row],[VALOR UNIT.]] * tabItens[[#This Row],[LC]]</f>
        <v>0</v>
      </c>
      <c r="O925" s="298"/>
      <c r="P925" s="299"/>
      <c r="Q925" s="300"/>
      <c r="R925" s="297"/>
      <c r="S925" s="301"/>
      <c r="T925" s="302">
        <f>ROUNDDOWN(IFERROR(tabItens[[#This Row],[ATA DT.VALID.]] - $D$1,0) / 30,0)</f>
        <v>-1504</v>
      </c>
      <c r="U925" s="287" t="s">
        <v>1305</v>
      </c>
      <c r="V925" s="303">
        <v>1</v>
      </c>
      <c r="W925" s="304" t="s">
        <v>2049</v>
      </c>
      <c r="X925" s="305">
        <v>51</v>
      </c>
      <c r="Y925" s="306">
        <v>19</v>
      </c>
      <c r="Z925" s="307"/>
      <c r="AA925" s="308"/>
      <c r="AB925" s="309"/>
      <c r="AC925" s="309"/>
      <c r="AD925" s="308"/>
      <c r="AE925" s="309"/>
      <c r="AF925" s="302"/>
      <c r="AG925" s="310" t="s">
        <v>2050</v>
      </c>
      <c r="AH925" s="311"/>
      <c r="AI925" s="302">
        <v>8</v>
      </c>
      <c r="AJ925" s="311">
        <v>40616</v>
      </c>
      <c r="AK925" s="311">
        <v>38580</v>
      </c>
      <c r="AL925" s="311">
        <v>40508</v>
      </c>
      <c r="AM925" s="301"/>
      <c r="AN925" s="290"/>
      <c r="AO925" s="312" t="str">
        <f>_xlfn.IFNA(IF(VLOOKUP(tabItens[[#This Row],[CÓDIGO]],tabExcluirDoEstoque[#Data],1,FALSE),"sim",""),"")</f>
        <v>sim</v>
      </c>
      <c r="AP925" s="313" t="str">
        <f ca="1">IF(OR(ISBLANK(tabItens[[#This Row],[ATA DT.VALID.]]),tabItens[[#This Row],[ATA DT.VALID.]]="",tabItens[[#This Row],[ATA DT.VALID.]]=" "),"",IF(TYPE(tabItens[[#This Row],[ATA DT.VALID.]])=1,ROUNDUP((tabItens[[#This Row],[ATA DT.VALID.]]-TODAY())/7,0),""))</f>
        <v/>
      </c>
      <c r="AQ925" s="314"/>
      <c r="AR925" s="315" t="str">
        <f>IF(ISBLANK(tabItens[[#This Row],[CÓDIGO]]),"",IFERROR(VLOOKUP(tabItens[[#This Row],[CÓDIGO]],Consumo!$C$2:$AC$869,26,FALSE),0))</f>
        <v>07.2023</v>
      </c>
      <c r="AS925" s="316">
        <f>SUMIF(Consumo!$C$3:$C$869,tabItens[[#This Row],[CÓDIGO]],Consumo!$N$3:$N$869) + SUMIF(Consumo!$C$3:$C$869,tabItens[[#This Row],[CÓDIGO]],Consumo!$O$3:$O$869) + SUMIF(Consumo!$C$3:$C$869,tabItens[[#This Row],[CÓDIGO]],Consumo!$P$3:$P$869) + SUMIF(Consumo!$C$3:$C$869,tabItens[[#This Row],[CÓDIGO]],Consumo!$Q$3:$Q$869)</f>
        <v>12</v>
      </c>
      <c r="AT925" s="316">
        <f>SUMIF(Consumo!$C$3:$C$869,tabItens[[#This Row],[CÓDIGO]],Consumo!$Z$3:$Z$869)</f>
        <v>26</v>
      </c>
      <c r="AU925" s="317">
        <f>SUMIF(Consumo!$C$3:$C$869,tabItens[[#This Row],[CÓDIGO]],Consumo!$AA$3:$AA$869)</f>
        <v>12</v>
      </c>
      <c r="AV925" s="318">
        <f>SUMIF(Consumo!$C$3:$C$869,tabItens[[#This Row],[CÓDIGO]],Consumo!$Y$3:$Y$869)</f>
        <v>2</v>
      </c>
      <c r="AW925" s="291">
        <f>tabItens[[#This Row],[QTDE ATUAL]] + tabItens[[#This Row],[RC QTDE]] + tabItens[[#This Row],[AF SALDO]] + tabItens[[#This Row],[Recentes]]</f>
        <v>329.48</v>
      </c>
      <c r="AX925" s="319">
        <v>0</v>
      </c>
      <c r="AY925" s="319">
        <v>0</v>
      </c>
      <c r="AZ925" s="319">
        <f>IF(ISBLANK(tabItens[[#This Row],[CÓDIGO]]),"",tabItens[[#This Row],[PontoMês]] * (AZ$2+tabItens[[#This Row],[PontoQtM]]))</f>
        <v>0</v>
      </c>
      <c r="BA925" s="318">
        <f>tabItens[[#This Row],[PontoPed]] - tabItens[[#This Row],[Saldo]] + (1/10)</f>
        <v>-329.38</v>
      </c>
      <c r="BB925" s="318">
        <f xml:space="preserve"> tabItens[[#This Row],[PontoMês]] * BB$2 - tabItens[[#This Row],[QTDE ATUAL]] - (1/10)</f>
        <v>-329.58000000000004</v>
      </c>
      <c r="BC925" s="320">
        <f>IF( tabItens[[#This Row],[PontoPed]]&gt;0, IF(tabItens[[#This Row],[PontoPed]]&lt;1, 1, IF( tabItens[[#This Row],[Saldo]]&gt;tabItens[[#This Row],[PontoPed]], 0, (tabItens[[#This Row],[PontoPed]]-tabItens[[#This Row],[Saldo]])/tabItens[[#This Row],[PontoPed]] ) ), 0 )</f>
        <v>0</v>
      </c>
      <c r="BD925" s="321">
        <f>ROUNDDOWN(IF( OR( AND(tabItens[[#This Row],[PontoPed]]&lt;tabItens[[#This Row],[Saldo]],tabItens[[#This Row],[Saldo]]&gt;0), tabItens[[#This Row],[PontoPed]]=0), 99, IF(AND(tabItens[[#This Row],[Saldo]]=0,tabItens[[#This Row],[PontoPed]]&gt;0), 0, (1-tabItens[[#This Row],[PctAb]])*10 ) ),0)</f>
        <v>99</v>
      </c>
      <c r="BE925" s="322">
        <f>MAX(ROUNDDOWN( IF(tabItens[[#This Row],[Abaixo]] &gt; 0,   tabItens[[#This Row],[Abaixo]] + (tabItens[[#This Row],[PontoMês]] * IF( OR( ISBLANK(tabItens[[#This Row],[ATA Nº/ANO]]), tabItens[[#This Row],[ATA Nº/ANO]] = ""),BE$2,BE$1)),0),0),0)</f>
        <v>0</v>
      </c>
      <c r="BF92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23">
        <f>SUMIF(Consumo!$C$3:$C$869,tabItens[[#This Row],[CÓDIGO]],Consumo!$E$3:$E$869)</f>
        <v>0</v>
      </c>
      <c r="BH925" s="324">
        <f>IF(AND(tabItens[[#This Row],[Pend]] &gt; 0,tabItens[[#This Row],[Consumo]] &lt;&gt; 0), tabItens[[#This Row],[Pend]] / tabItens[[#This Row],[Consumo]], 0 )</f>
        <v>0</v>
      </c>
      <c r="BI925" s="323"/>
      <c r="BJ925" s="323"/>
      <c r="BK925" s="325" t="s">
        <v>2064</v>
      </c>
    </row>
    <row r="926" spans="1:63" hidden="1" x14ac:dyDescent="0.3">
      <c r="A926" s="286">
        <v>136820</v>
      </c>
      <c r="B926" s="287" t="s">
        <v>321</v>
      </c>
      <c r="C926" s="288" t="s">
        <v>301</v>
      </c>
      <c r="D926" s="289">
        <v>73.010000000000005</v>
      </c>
      <c r="E926" s="290"/>
      <c r="F926" s="290"/>
      <c r="G926" s="290" t="s">
        <v>883</v>
      </c>
      <c r="H926" s="291">
        <v>12</v>
      </c>
      <c r="I926" s="292">
        <v>103003</v>
      </c>
      <c r="J926" s="293">
        <v>73.010000000000005</v>
      </c>
      <c r="K926" s="294">
        <v>3</v>
      </c>
      <c r="L926" s="295">
        <f>IF(tabItens[[#This Row],[Média]] &gt; 0, tabItens[[#This Row],[QTDE ATUAL]] / tabItens[[#This Row],[Média]],999.9)</f>
        <v>48</v>
      </c>
      <c r="M926" s="296">
        <v>0</v>
      </c>
      <c r="N926" s="297">
        <f>tabItens[[#This Row],[VALOR UNIT.]] * tabItens[[#This Row],[LC]]</f>
        <v>0</v>
      </c>
      <c r="O926" s="298"/>
      <c r="P926" s="299"/>
      <c r="Q926" s="300"/>
      <c r="R926" s="297"/>
      <c r="S926" s="301"/>
      <c r="T926" s="302">
        <f>ROUNDDOWN(IFERROR(tabItens[[#This Row],[ATA DT.VALID.]] - $D$1,0) / 30,0)</f>
        <v>-1504</v>
      </c>
      <c r="U926" s="287" t="s">
        <v>1481</v>
      </c>
      <c r="V926" s="303">
        <v>1</v>
      </c>
      <c r="W926" s="304" t="s">
        <v>2058</v>
      </c>
      <c r="X926" s="305">
        <v>54</v>
      </c>
      <c r="Y926" s="306">
        <v>4</v>
      </c>
      <c r="Z926" s="307"/>
      <c r="AA926" s="308"/>
      <c r="AB926" s="309"/>
      <c r="AC926" s="309"/>
      <c r="AD926" s="308"/>
      <c r="AE926" s="309"/>
      <c r="AF926" s="302"/>
      <c r="AG926" s="310" t="s">
        <v>2050</v>
      </c>
      <c r="AH926" s="311"/>
      <c r="AI926" s="302">
        <v>2</v>
      </c>
      <c r="AJ926" s="311">
        <v>43837</v>
      </c>
      <c r="AK926" s="311">
        <v>43572</v>
      </c>
      <c r="AL926" s="311">
        <v>44533</v>
      </c>
      <c r="AM926" s="301"/>
      <c r="AN926" s="290"/>
      <c r="AO926" s="312" t="str">
        <f>_xlfn.IFNA(IF(VLOOKUP(tabItens[[#This Row],[CÓDIGO]],tabExcluirDoEstoque[#Data],1,FALSE),"sim",""),"")</f>
        <v>sim</v>
      </c>
      <c r="AP926" s="313" t="str">
        <f ca="1">IF(OR(ISBLANK(tabItens[[#This Row],[ATA DT.VALID.]]),tabItens[[#This Row],[ATA DT.VALID.]]="",tabItens[[#This Row],[ATA DT.VALID.]]=" "),"",IF(TYPE(tabItens[[#This Row],[ATA DT.VALID.]])=1,ROUNDUP((tabItens[[#This Row],[ATA DT.VALID.]]-TODAY())/7,0),""))</f>
        <v/>
      </c>
      <c r="AQ926" s="314"/>
      <c r="AR926" s="315" t="str">
        <f>IF(ISBLANK(tabItens[[#This Row],[CÓDIGO]]),"",IFERROR(VLOOKUP(tabItens[[#This Row],[CÓDIGO]],Consumo!$C$2:$AC$869,26,FALSE),0))</f>
        <v>03.2023</v>
      </c>
      <c r="AS926" s="316">
        <f>SUMIF(Consumo!$C$3:$C$869,tabItens[[#This Row],[CÓDIGO]],Consumo!$N$3:$N$869) + SUMIF(Consumo!$C$3:$C$869,tabItens[[#This Row],[CÓDIGO]],Consumo!$O$3:$O$869) + SUMIF(Consumo!$C$3:$C$869,tabItens[[#This Row],[CÓDIGO]],Consumo!$P$3:$P$869) + SUMIF(Consumo!$C$3:$C$869,tabItens[[#This Row],[CÓDIGO]],Consumo!$Q$3:$Q$869)</f>
        <v>0</v>
      </c>
      <c r="AT926" s="316">
        <f>SUMIF(Consumo!$C$3:$C$869,tabItens[[#This Row],[CÓDIGO]],Consumo!$Z$3:$Z$869)</f>
        <v>3</v>
      </c>
      <c r="AU926" s="317">
        <f>SUMIF(Consumo!$C$3:$C$869,tabItens[[#This Row],[CÓDIGO]],Consumo!$AA$3:$AA$869)</f>
        <v>1</v>
      </c>
      <c r="AV926" s="318">
        <f>SUMIF(Consumo!$C$3:$C$869,tabItens[[#This Row],[CÓDIGO]],Consumo!$Y$3:$Y$869)</f>
        <v>0.25</v>
      </c>
      <c r="AW926" s="291">
        <f>tabItens[[#This Row],[QTDE ATUAL]] + tabItens[[#This Row],[RC QTDE]] + tabItens[[#This Row],[AF SALDO]] + tabItens[[#This Row],[Recentes]]</f>
        <v>12</v>
      </c>
      <c r="AX926" s="319">
        <v>0</v>
      </c>
      <c r="AY926" s="319">
        <v>4</v>
      </c>
      <c r="AZ926" s="319">
        <f>IF(ISBLANK(tabItens[[#This Row],[CÓDIGO]]),"",tabItens[[#This Row],[PontoMês]] * (AZ$2+tabItens[[#This Row],[PontoQtM]]))</f>
        <v>0</v>
      </c>
      <c r="BA926" s="318">
        <f>tabItens[[#This Row],[PontoPed]] - tabItens[[#This Row],[Saldo]] + (1/10)</f>
        <v>-11.9</v>
      </c>
      <c r="BB926" s="318">
        <f xml:space="preserve"> tabItens[[#This Row],[PontoMês]] * BB$2 - tabItens[[#This Row],[QTDE ATUAL]] - (1/10)</f>
        <v>-12.1</v>
      </c>
      <c r="BC926" s="320">
        <f>IF( tabItens[[#This Row],[PontoPed]]&gt;0, IF(tabItens[[#This Row],[PontoPed]]&lt;1, 1, IF( tabItens[[#This Row],[Saldo]]&gt;tabItens[[#This Row],[PontoPed]], 0, (tabItens[[#This Row],[PontoPed]]-tabItens[[#This Row],[Saldo]])/tabItens[[#This Row],[PontoPed]] ) ), 0 )</f>
        <v>0</v>
      </c>
      <c r="BD926" s="321">
        <f>ROUNDDOWN(IF( OR( AND(tabItens[[#This Row],[PontoPed]]&lt;tabItens[[#This Row],[Saldo]],tabItens[[#This Row],[Saldo]]&gt;0), tabItens[[#This Row],[PontoPed]]=0), 99, IF(AND(tabItens[[#This Row],[Saldo]]=0,tabItens[[#This Row],[PontoPed]]&gt;0), 0, (1-tabItens[[#This Row],[PctAb]])*10 ) ),0)</f>
        <v>99</v>
      </c>
      <c r="BE926" s="322">
        <f>MAX(ROUNDDOWN( IF(tabItens[[#This Row],[Abaixo]] &gt; 0,   tabItens[[#This Row],[Abaixo]] + (tabItens[[#This Row],[PontoMês]] * IF( OR( ISBLANK(tabItens[[#This Row],[ATA Nº/ANO]]), tabItens[[#This Row],[ATA Nº/ANO]] = ""),BE$2,BE$1)),0),0),0)</f>
        <v>0</v>
      </c>
      <c r="BF92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23">
        <f>SUMIF(Consumo!$C$3:$C$869,tabItens[[#This Row],[CÓDIGO]],Consumo!$E$3:$E$869)</f>
        <v>0</v>
      </c>
      <c r="BH926" s="324">
        <f>IF(AND(tabItens[[#This Row],[Pend]] &gt; 0,tabItens[[#This Row],[Consumo]] &lt;&gt; 0), tabItens[[#This Row],[Pend]] / tabItens[[#This Row],[Consumo]], 0 )</f>
        <v>0</v>
      </c>
      <c r="BI926" s="323"/>
      <c r="BJ926" s="323"/>
      <c r="BK926" s="325" t="s">
        <v>2064</v>
      </c>
    </row>
    <row r="927" spans="1:63" hidden="1" x14ac:dyDescent="0.3">
      <c r="A927" s="286">
        <v>136821</v>
      </c>
      <c r="B927" s="287" t="s">
        <v>322</v>
      </c>
      <c r="C927" s="288" t="s">
        <v>301</v>
      </c>
      <c r="D927" s="289">
        <v>73.010000000000005</v>
      </c>
      <c r="E927" s="290"/>
      <c r="F927" s="290"/>
      <c r="G927" s="290" t="s">
        <v>883</v>
      </c>
      <c r="H927" s="291">
        <v>5</v>
      </c>
      <c r="I927" s="292">
        <v>103003</v>
      </c>
      <c r="J927" s="293">
        <v>73.010000000000005</v>
      </c>
      <c r="K927" s="294">
        <v>1</v>
      </c>
      <c r="L927" s="295">
        <f>IF(tabItens[[#This Row],[Média]] &gt; 0, tabItens[[#This Row],[QTDE ATUAL]] / tabItens[[#This Row],[Média]],999.9)</f>
        <v>999.9</v>
      </c>
      <c r="M927" s="296">
        <v>0</v>
      </c>
      <c r="N927" s="297">
        <f>tabItens[[#This Row],[VALOR UNIT.]] * tabItens[[#This Row],[LC]]</f>
        <v>0</v>
      </c>
      <c r="O927" s="298"/>
      <c r="P927" s="299"/>
      <c r="Q927" s="300"/>
      <c r="R927" s="297"/>
      <c r="S927" s="301"/>
      <c r="T927" s="302">
        <f>ROUNDDOWN(IFERROR(tabItens[[#This Row],[ATA DT.VALID.]] - $D$1,0) / 30,0)</f>
        <v>-1504</v>
      </c>
      <c r="U927" s="287" t="s">
        <v>1481</v>
      </c>
      <c r="V927" s="303">
        <v>1</v>
      </c>
      <c r="W927" s="304" t="s">
        <v>2058</v>
      </c>
      <c r="X927" s="305">
        <v>54</v>
      </c>
      <c r="Y927" s="306">
        <v>4</v>
      </c>
      <c r="Z927" s="307"/>
      <c r="AA927" s="308"/>
      <c r="AB927" s="309"/>
      <c r="AC927" s="309"/>
      <c r="AD927" s="308"/>
      <c r="AE927" s="309"/>
      <c r="AF927" s="302"/>
      <c r="AG927" s="310" t="s">
        <v>2050</v>
      </c>
      <c r="AH927" s="311"/>
      <c r="AI927" s="302">
        <v>0</v>
      </c>
      <c r="AJ927" s="311">
        <v>43837</v>
      </c>
      <c r="AK927" s="311">
        <v>43572</v>
      </c>
      <c r="AL927" s="311">
        <v>44533</v>
      </c>
      <c r="AM927" s="301"/>
      <c r="AN927" s="290"/>
      <c r="AO927" s="312" t="str">
        <f>_xlfn.IFNA(IF(VLOOKUP(tabItens[[#This Row],[CÓDIGO]],tabExcluirDoEstoque[#Data],1,FALSE),"sim",""),"")</f>
        <v>sim</v>
      </c>
      <c r="AP927" s="313" t="str">
        <f ca="1">IF(OR(ISBLANK(tabItens[[#This Row],[ATA DT.VALID.]]),tabItens[[#This Row],[ATA DT.VALID.]]="",tabItens[[#This Row],[ATA DT.VALID.]]=" "),"",IF(TYPE(tabItens[[#This Row],[ATA DT.VALID.]])=1,ROUNDUP((tabItens[[#This Row],[ATA DT.VALID.]]-TODAY())/7,0),""))</f>
        <v/>
      </c>
      <c r="AQ927" s="314"/>
      <c r="AR927" s="315" t="str">
        <f>IF(ISBLANK(tabItens[[#This Row],[CÓDIGO]]),"",IFERROR(VLOOKUP(tabItens[[#This Row],[CÓDIGO]],Consumo!$C$2:$AC$869,26,FALSE),0))</f>
        <v>03.2023</v>
      </c>
      <c r="AS927" s="316">
        <f>SUMIF(Consumo!$C$3:$C$869,tabItens[[#This Row],[CÓDIGO]],Consumo!$N$3:$N$869) + SUMIF(Consumo!$C$3:$C$869,tabItens[[#This Row],[CÓDIGO]],Consumo!$O$3:$O$869) + SUMIF(Consumo!$C$3:$C$869,tabItens[[#This Row],[CÓDIGO]],Consumo!$P$3:$P$869) + SUMIF(Consumo!$C$3:$C$869,tabItens[[#This Row],[CÓDIGO]],Consumo!$Q$3:$Q$869)</f>
        <v>0</v>
      </c>
      <c r="AT927" s="316">
        <f>SUMIF(Consumo!$C$3:$C$869,tabItens[[#This Row],[CÓDIGO]],Consumo!$Z$3:$Z$869)</f>
        <v>1</v>
      </c>
      <c r="AU927" s="317">
        <f>SUMIF(Consumo!$C$3:$C$869,tabItens[[#This Row],[CÓDIGO]],Consumo!$AA$3:$AA$869)</f>
        <v>1</v>
      </c>
      <c r="AV927" s="318">
        <f>SUMIF(Consumo!$C$3:$C$869,tabItens[[#This Row],[CÓDIGO]],Consumo!$Y$3:$Y$869)</f>
        <v>0</v>
      </c>
      <c r="AW927" s="291">
        <f>tabItens[[#This Row],[QTDE ATUAL]] + tabItens[[#This Row],[RC QTDE]] + tabItens[[#This Row],[AF SALDO]] + tabItens[[#This Row],[Recentes]]</f>
        <v>5</v>
      </c>
      <c r="AX927" s="319">
        <v>0</v>
      </c>
      <c r="AY927" s="319">
        <v>4</v>
      </c>
      <c r="AZ927" s="319">
        <f>IF(ISBLANK(tabItens[[#This Row],[CÓDIGO]]),"",tabItens[[#This Row],[PontoMês]] * (AZ$2+tabItens[[#This Row],[PontoQtM]]))</f>
        <v>0</v>
      </c>
      <c r="BA927" s="318">
        <f>tabItens[[#This Row],[PontoPed]] - tabItens[[#This Row],[Saldo]] + (1/10)</f>
        <v>-4.9000000000000004</v>
      </c>
      <c r="BB927" s="318">
        <f xml:space="preserve"> tabItens[[#This Row],[PontoMês]] * BB$2 - tabItens[[#This Row],[QTDE ATUAL]] - (1/10)</f>
        <v>-5.0999999999999996</v>
      </c>
      <c r="BC927" s="320">
        <f>IF( tabItens[[#This Row],[PontoPed]]&gt;0, IF(tabItens[[#This Row],[PontoPed]]&lt;1, 1, IF( tabItens[[#This Row],[Saldo]]&gt;tabItens[[#This Row],[PontoPed]], 0, (tabItens[[#This Row],[PontoPed]]-tabItens[[#This Row],[Saldo]])/tabItens[[#This Row],[PontoPed]] ) ), 0 )</f>
        <v>0</v>
      </c>
      <c r="BD927" s="321">
        <f>ROUNDDOWN(IF( OR( AND(tabItens[[#This Row],[PontoPed]]&lt;tabItens[[#This Row],[Saldo]],tabItens[[#This Row],[Saldo]]&gt;0), tabItens[[#This Row],[PontoPed]]=0), 99, IF(AND(tabItens[[#This Row],[Saldo]]=0,tabItens[[#This Row],[PontoPed]]&gt;0), 0, (1-tabItens[[#This Row],[PctAb]])*10 ) ),0)</f>
        <v>99</v>
      </c>
      <c r="BE927" s="322">
        <f>MAX(ROUNDDOWN( IF(tabItens[[#This Row],[Abaixo]] &gt; 0,   tabItens[[#This Row],[Abaixo]] + (tabItens[[#This Row],[PontoMês]] * IF( OR( ISBLANK(tabItens[[#This Row],[ATA Nº/ANO]]), tabItens[[#This Row],[ATA Nº/ANO]] = ""),BE$2,BE$1)),0),0),0)</f>
        <v>0</v>
      </c>
      <c r="BF92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23">
        <f>SUMIF(Consumo!$C$3:$C$869,tabItens[[#This Row],[CÓDIGO]],Consumo!$E$3:$E$869)</f>
        <v>0</v>
      </c>
      <c r="BH927" s="324">
        <f>IF(AND(tabItens[[#This Row],[Pend]] &gt; 0,tabItens[[#This Row],[Consumo]] &lt;&gt; 0), tabItens[[#This Row],[Pend]] / tabItens[[#This Row],[Consumo]], 0 )</f>
        <v>0</v>
      </c>
      <c r="BI927" s="323"/>
      <c r="BJ927" s="323"/>
      <c r="BK927" s="325" t="s">
        <v>2064</v>
      </c>
    </row>
    <row r="928" spans="1:63" hidden="1" x14ac:dyDescent="0.3">
      <c r="A928" s="286">
        <v>136822</v>
      </c>
      <c r="B928" s="287" t="s">
        <v>323</v>
      </c>
      <c r="C928" s="288" t="s">
        <v>301</v>
      </c>
      <c r="D928" s="289">
        <v>61.58</v>
      </c>
      <c r="E928" s="290"/>
      <c r="F928" s="290"/>
      <c r="G928" s="290" t="s">
        <v>883</v>
      </c>
      <c r="H928" s="291">
        <v>77</v>
      </c>
      <c r="I928" s="292">
        <v>103003</v>
      </c>
      <c r="J928" s="293">
        <v>61.58</v>
      </c>
      <c r="K928" s="294">
        <v>3</v>
      </c>
      <c r="L928" s="295">
        <f>IF(tabItens[[#This Row],[Média]] &gt; 0, tabItens[[#This Row],[QTDE ATUAL]] / tabItens[[#This Row],[Média]],999.9)</f>
        <v>462</v>
      </c>
      <c r="M928" s="296">
        <v>0</v>
      </c>
      <c r="N928" s="297">
        <f>tabItens[[#This Row],[VALOR UNIT.]] * tabItens[[#This Row],[LC]]</f>
        <v>0</v>
      </c>
      <c r="O928" s="298"/>
      <c r="P928" s="299"/>
      <c r="Q928" s="300"/>
      <c r="R928" s="297"/>
      <c r="S928" s="301"/>
      <c r="T928" s="302">
        <f>ROUNDDOWN(IFERROR(tabItens[[#This Row],[ATA DT.VALID.]] - $D$1,0) / 30,0)</f>
        <v>-1504</v>
      </c>
      <c r="U928" s="287" t="s">
        <v>1481</v>
      </c>
      <c r="V928" s="303">
        <v>1</v>
      </c>
      <c r="W928" s="304" t="s">
        <v>2058</v>
      </c>
      <c r="X928" s="305">
        <v>54</v>
      </c>
      <c r="Y928" s="306">
        <v>4</v>
      </c>
      <c r="Z928" s="307"/>
      <c r="AA928" s="308"/>
      <c r="AB928" s="309"/>
      <c r="AC928" s="309"/>
      <c r="AD928" s="308"/>
      <c r="AE928" s="309"/>
      <c r="AF928" s="302"/>
      <c r="AG928" s="310" t="s">
        <v>2050</v>
      </c>
      <c r="AH928" s="311"/>
      <c r="AI928" s="302">
        <v>0</v>
      </c>
      <c r="AJ928" s="311">
        <v>43837</v>
      </c>
      <c r="AK928" s="311">
        <v>43572</v>
      </c>
      <c r="AL928" s="311">
        <v>44379</v>
      </c>
      <c r="AM928" s="301"/>
      <c r="AN928" s="290"/>
      <c r="AO928" s="312" t="str">
        <f>_xlfn.IFNA(IF(VLOOKUP(tabItens[[#This Row],[CÓDIGO]],tabExcluirDoEstoque[#Data],1,FALSE),"sim",""),"")</f>
        <v>sim</v>
      </c>
      <c r="AP928" s="313" t="str">
        <f ca="1">IF(OR(ISBLANK(tabItens[[#This Row],[ATA DT.VALID.]]),tabItens[[#This Row],[ATA DT.VALID.]]="",tabItens[[#This Row],[ATA DT.VALID.]]=" "),"",IF(TYPE(tabItens[[#This Row],[ATA DT.VALID.]])=1,ROUNDUP((tabItens[[#This Row],[ATA DT.VALID.]]-TODAY())/7,0),""))</f>
        <v/>
      </c>
      <c r="AQ928" s="314"/>
      <c r="AR928" s="315" t="str">
        <f>IF(ISBLANK(tabItens[[#This Row],[CÓDIGO]]),"",IFERROR(VLOOKUP(tabItens[[#This Row],[CÓDIGO]],Consumo!$C$2:$AC$869,26,FALSE),0))</f>
        <v>06.2023</v>
      </c>
      <c r="AS928" s="316">
        <f>SUMIF(Consumo!$C$3:$C$869,tabItens[[#This Row],[CÓDIGO]],Consumo!$N$3:$N$869) + SUMIF(Consumo!$C$3:$C$869,tabItens[[#This Row],[CÓDIGO]],Consumo!$O$3:$O$869) + SUMIF(Consumo!$C$3:$C$869,tabItens[[#This Row],[CÓDIGO]],Consumo!$P$3:$P$869) + SUMIF(Consumo!$C$3:$C$869,tabItens[[#This Row],[CÓDIGO]],Consumo!$Q$3:$Q$869)</f>
        <v>2</v>
      </c>
      <c r="AT928" s="316">
        <f>SUMIF(Consumo!$C$3:$C$869,tabItens[[#This Row],[CÓDIGO]],Consumo!$Z$3:$Z$869)</f>
        <v>3</v>
      </c>
      <c r="AU928" s="317">
        <f>SUMIF(Consumo!$C$3:$C$869,tabItens[[#This Row],[CÓDIGO]],Consumo!$AA$3:$AA$869)</f>
        <v>2</v>
      </c>
      <c r="AV928" s="318">
        <f>SUMIF(Consumo!$C$3:$C$869,tabItens[[#This Row],[CÓDIGO]],Consumo!$Y$3:$Y$869)</f>
        <v>0.16666666666666666</v>
      </c>
      <c r="AW928" s="291">
        <f>tabItens[[#This Row],[QTDE ATUAL]] + tabItens[[#This Row],[RC QTDE]] + tabItens[[#This Row],[AF SALDO]] + tabItens[[#This Row],[Recentes]]</f>
        <v>77</v>
      </c>
      <c r="AX928" s="319">
        <v>0</v>
      </c>
      <c r="AY928" s="319">
        <v>4</v>
      </c>
      <c r="AZ928" s="319">
        <f>IF(ISBLANK(tabItens[[#This Row],[CÓDIGO]]),"",tabItens[[#This Row],[PontoMês]] * (AZ$2+tabItens[[#This Row],[PontoQtM]]))</f>
        <v>0</v>
      </c>
      <c r="BA928" s="318">
        <f>tabItens[[#This Row],[PontoPed]] - tabItens[[#This Row],[Saldo]] + (1/10)</f>
        <v>-76.900000000000006</v>
      </c>
      <c r="BB928" s="318">
        <f xml:space="preserve"> tabItens[[#This Row],[PontoMês]] * BB$2 - tabItens[[#This Row],[QTDE ATUAL]] - (1/10)</f>
        <v>-77.099999999999994</v>
      </c>
      <c r="BC928" s="320">
        <f>IF( tabItens[[#This Row],[PontoPed]]&gt;0, IF(tabItens[[#This Row],[PontoPed]]&lt;1, 1, IF( tabItens[[#This Row],[Saldo]]&gt;tabItens[[#This Row],[PontoPed]], 0, (tabItens[[#This Row],[PontoPed]]-tabItens[[#This Row],[Saldo]])/tabItens[[#This Row],[PontoPed]] ) ), 0 )</f>
        <v>0</v>
      </c>
      <c r="BD928" s="321">
        <f>ROUNDDOWN(IF( OR( AND(tabItens[[#This Row],[PontoPed]]&lt;tabItens[[#This Row],[Saldo]],tabItens[[#This Row],[Saldo]]&gt;0), tabItens[[#This Row],[PontoPed]]=0), 99, IF(AND(tabItens[[#This Row],[Saldo]]=0,tabItens[[#This Row],[PontoPed]]&gt;0), 0, (1-tabItens[[#This Row],[PctAb]])*10 ) ),0)</f>
        <v>99</v>
      </c>
      <c r="BE928" s="322">
        <f>MAX(ROUNDDOWN( IF(tabItens[[#This Row],[Abaixo]] &gt; 0,   tabItens[[#This Row],[Abaixo]] + (tabItens[[#This Row],[PontoMês]] * IF( OR( ISBLANK(tabItens[[#This Row],[ATA Nº/ANO]]), tabItens[[#This Row],[ATA Nº/ANO]] = ""),BE$2,BE$1)),0),0),0)</f>
        <v>0</v>
      </c>
      <c r="BF92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23">
        <f>SUMIF(Consumo!$C$3:$C$869,tabItens[[#This Row],[CÓDIGO]],Consumo!$E$3:$E$869)</f>
        <v>0</v>
      </c>
      <c r="BH928" s="324">
        <f>IF(AND(tabItens[[#This Row],[Pend]] &gt; 0,tabItens[[#This Row],[Consumo]] &lt;&gt; 0), tabItens[[#This Row],[Pend]] / tabItens[[#This Row],[Consumo]], 0 )</f>
        <v>0</v>
      </c>
      <c r="BI928" s="323"/>
      <c r="BJ928" s="323"/>
      <c r="BK928" s="325" t="s">
        <v>2064</v>
      </c>
    </row>
    <row r="929" spans="1:63" hidden="1" x14ac:dyDescent="0.3">
      <c r="A929" s="286">
        <v>136837</v>
      </c>
      <c r="B929" s="287" t="s">
        <v>310</v>
      </c>
      <c r="C929" s="288" t="s">
        <v>301</v>
      </c>
      <c r="D929" s="289">
        <v>56.6</v>
      </c>
      <c r="E929" s="290"/>
      <c r="F929" s="290"/>
      <c r="G929" s="290" t="s">
        <v>883</v>
      </c>
      <c r="H929" s="291">
        <v>3</v>
      </c>
      <c r="I929" s="292">
        <v>103003</v>
      </c>
      <c r="J929" s="293">
        <v>56.6</v>
      </c>
      <c r="K929" s="294"/>
      <c r="L929" s="295">
        <f>IF(tabItens[[#This Row],[Média]] &gt; 0, tabItens[[#This Row],[QTDE ATUAL]] / tabItens[[#This Row],[Média]],999.9)</f>
        <v>999.9</v>
      </c>
      <c r="M929" s="296">
        <v>0</v>
      </c>
      <c r="N929" s="297">
        <f>tabItens[[#This Row],[VALOR UNIT.]] * tabItens[[#This Row],[LC]]</f>
        <v>0</v>
      </c>
      <c r="O929" s="298"/>
      <c r="P929" s="299"/>
      <c r="Q929" s="300"/>
      <c r="R929" s="297"/>
      <c r="S929" s="301"/>
      <c r="T929" s="302">
        <f>ROUNDDOWN(IFERROR(tabItens[[#This Row],[ATA DT.VALID.]] - $D$1,0) / 30,0)</f>
        <v>-1504</v>
      </c>
      <c r="U929" s="287" t="s">
        <v>1481</v>
      </c>
      <c r="V929" s="303">
        <v>1</v>
      </c>
      <c r="W929" s="304" t="s">
        <v>2058</v>
      </c>
      <c r="X929" s="305">
        <v>54</v>
      </c>
      <c r="Y929" s="306">
        <v>4</v>
      </c>
      <c r="Z929" s="307"/>
      <c r="AA929" s="308"/>
      <c r="AB929" s="309"/>
      <c r="AC929" s="309"/>
      <c r="AD929" s="308"/>
      <c r="AE929" s="309"/>
      <c r="AF929" s="302"/>
      <c r="AG929" s="310" t="s">
        <v>2050</v>
      </c>
      <c r="AH929" s="311"/>
      <c r="AI929" s="302">
        <v>0</v>
      </c>
      <c r="AJ929" s="311">
        <v>43819</v>
      </c>
      <c r="AK929" s="311">
        <v>43572</v>
      </c>
      <c r="AL929" s="311">
        <v>44461</v>
      </c>
      <c r="AM929" s="301"/>
      <c r="AN929" s="290"/>
      <c r="AO929" s="312" t="str">
        <f>_xlfn.IFNA(IF(VLOOKUP(tabItens[[#This Row],[CÓDIGO]],tabExcluirDoEstoque[#Data],1,FALSE),"sim",""),"")</f>
        <v>sim</v>
      </c>
      <c r="AP929" s="313" t="str">
        <f ca="1">IF(OR(ISBLANK(tabItens[[#This Row],[ATA DT.VALID.]]),tabItens[[#This Row],[ATA DT.VALID.]]="",tabItens[[#This Row],[ATA DT.VALID.]]=" "),"",IF(TYPE(tabItens[[#This Row],[ATA DT.VALID.]])=1,ROUNDUP((tabItens[[#This Row],[ATA DT.VALID.]]-TODAY())/7,0),""))</f>
        <v/>
      </c>
      <c r="AQ929" s="314"/>
      <c r="AR929" s="315">
        <f>IF(ISBLANK(tabItens[[#This Row],[CÓDIGO]]),"",IFERROR(VLOOKUP(tabItens[[#This Row],[CÓDIGO]],Consumo!$C$2:$AC$869,26,FALSE),0))</f>
        <v>0</v>
      </c>
      <c r="AS929" s="316">
        <f>SUMIF(Consumo!$C$3:$C$869,tabItens[[#This Row],[CÓDIGO]],Consumo!$N$3:$N$869) + SUMIF(Consumo!$C$3:$C$869,tabItens[[#This Row],[CÓDIGO]],Consumo!$O$3:$O$869) + SUMIF(Consumo!$C$3:$C$869,tabItens[[#This Row],[CÓDIGO]],Consumo!$P$3:$P$869) + SUMIF(Consumo!$C$3:$C$869,tabItens[[#This Row],[CÓDIGO]],Consumo!$Q$3:$Q$869)</f>
        <v>0</v>
      </c>
      <c r="AT929" s="316">
        <f>SUMIF(Consumo!$C$3:$C$869,tabItens[[#This Row],[CÓDIGO]],Consumo!$Z$3:$Z$869)</f>
        <v>0</v>
      </c>
      <c r="AU929" s="317">
        <f>SUMIF(Consumo!$C$3:$C$869,tabItens[[#This Row],[CÓDIGO]],Consumo!$AA$3:$AA$869)</f>
        <v>0</v>
      </c>
      <c r="AV929" s="318">
        <f>SUMIF(Consumo!$C$3:$C$869,tabItens[[#This Row],[CÓDIGO]],Consumo!$Y$3:$Y$869)</f>
        <v>0</v>
      </c>
      <c r="AW929" s="291">
        <f>tabItens[[#This Row],[QTDE ATUAL]] + tabItens[[#This Row],[RC QTDE]] + tabItens[[#This Row],[AF SALDO]] + tabItens[[#This Row],[Recentes]]</f>
        <v>3</v>
      </c>
      <c r="AX929" s="319">
        <v>0</v>
      </c>
      <c r="AY929" s="319">
        <v>4</v>
      </c>
      <c r="AZ929" s="319">
        <f>IF(ISBLANK(tabItens[[#This Row],[CÓDIGO]]),"",tabItens[[#This Row],[PontoMês]] * (AZ$2+tabItens[[#This Row],[PontoQtM]]))</f>
        <v>0</v>
      </c>
      <c r="BA929" s="318">
        <f>tabItens[[#This Row],[PontoPed]] - tabItens[[#This Row],[Saldo]] + (1/10)</f>
        <v>-2.9</v>
      </c>
      <c r="BB929" s="318">
        <f xml:space="preserve"> tabItens[[#This Row],[PontoMês]] * BB$2 - tabItens[[#This Row],[QTDE ATUAL]] - (1/10)</f>
        <v>-3.1</v>
      </c>
      <c r="BC929" s="320">
        <f>IF( tabItens[[#This Row],[PontoPed]]&gt;0, IF(tabItens[[#This Row],[PontoPed]]&lt;1, 1, IF( tabItens[[#This Row],[Saldo]]&gt;tabItens[[#This Row],[PontoPed]], 0, (tabItens[[#This Row],[PontoPed]]-tabItens[[#This Row],[Saldo]])/tabItens[[#This Row],[PontoPed]] ) ), 0 )</f>
        <v>0</v>
      </c>
      <c r="BD929" s="321">
        <f>ROUNDDOWN(IF( OR( AND(tabItens[[#This Row],[PontoPed]]&lt;tabItens[[#This Row],[Saldo]],tabItens[[#This Row],[Saldo]]&gt;0), tabItens[[#This Row],[PontoPed]]=0), 99, IF(AND(tabItens[[#This Row],[Saldo]]=0,tabItens[[#This Row],[PontoPed]]&gt;0), 0, (1-tabItens[[#This Row],[PctAb]])*10 ) ),0)</f>
        <v>99</v>
      </c>
      <c r="BE929" s="322">
        <f>MAX(ROUNDDOWN( IF(tabItens[[#This Row],[Abaixo]] &gt; 0,   tabItens[[#This Row],[Abaixo]] + (tabItens[[#This Row],[PontoMês]] * IF( OR( ISBLANK(tabItens[[#This Row],[ATA Nº/ANO]]), tabItens[[#This Row],[ATA Nº/ANO]] = ""),BE$2,BE$1)),0),0),0)</f>
        <v>0</v>
      </c>
      <c r="BF92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23">
        <f>SUMIF(Consumo!$C$3:$C$869,tabItens[[#This Row],[CÓDIGO]],Consumo!$E$3:$E$869)</f>
        <v>0</v>
      </c>
      <c r="BH929" s="324">
        <f>IF(AND(tabItens[[#This Row],[Pend]] &gt; 0,tabItens[[#This Row],[Consumo]] &lt;&gt; 0), tabItens[[#This Row],[Pend]] / tabItens[[#This Row],[Consumo]], 0 )</f>
        <v>0</v>
      </c>
      <c r="BI929" s="323"/>
      <c r="BJ929" s="323"/>
      <c r="BK929" s="325" t="s">
        <v>2064</v>
      </c>
    </row>
    <row r="930" spans="1:63" hidden="1" x14ac:dyDescent="0.3">
      <c r="A930" s="286">
        <v>136838</v>
      </c>
      <c r="B930" s="287" t="s">
        <v>311</v>
      </c>
      <c r="C930" s="288" t="s">
        <v>301</v>
      </c>
      <c r="D930" s="289">
        <v>21.3</v>
      </c>
      <c r="E930" s="290"/>
      <c r="F930" s="290"/>
      <c r="G930" s="290" t="s">
        <v>883</v>
      </c>
      <c r="H930" s="291">
        <v>4</v>
      </c>
      <c r="I930" s="292">
        <v>103003</v>
      </c>
      <c r="J930" s="293">
        <v>21.3</v>
      </c>
      <c r="K930" s="294"/>
      <c r="L930" s="295">
        <f>IF(tabItens[[#This Row],[Média]] &gt; 0, tabItens[[#This Row],[QTDE ATUAL]] / tabItens[[#This Row],[Média]],999.9)</f>
        <v>999.9</v>
      </c>
      <c r="M930" s="296">
        <v>0</v>
      </c>
      <c r="N930" s="297">
        <f>tabItens[[#This Row],[VALOR UNIT.]] * tabItens[[#This Row],[LC]]</f>
        <v>0</v>
      </c>
      <c r="O930" s="298"/>
      <c r="P930" s="299"/>
      <c r="Q930" s="300"/>
      <c r="R930" s="297"/>
      <c r="S930" s="301"/>
      <c r="T930" s="302">
        <f>ROUNDDOWN(IFERROR(tabItens[[#This Row],[ATA DT.VALID.]] - $D$1,0) / 30,0)</f>
        <v>-1504</v>
      </c>
      <c r="U930" s="287" t="s">
        <v>1481</v>
      </c>
      <c r="V930" s="303">
        <v>1</v>
      </c>
      <c r="W930" s="304" t="s">
        <v>2058</v>
      </c>
      <c r="X930" s="305">
        <v>54</v>
      </c>
      <c r="Y930" s="306">
        <v>4</v>
      </c>
      <c r="Z930" s="307"/>
      <c r="AA930" s="308"/>
      <c r="AB930" s="309"/>
      <c r="AC930" s="309"/>
      <c r="AD930" s="308"/>
      <c r="AE930" s="309"/>
      <c r="AF930" s="302"/>
      <c r="AG930" s="310" t="s">
        <v>2050</v>
      </c>
      <c r="AH930" s="311"/>
      <c r="AI930" s="302">
        <v>0</v>
      </c>
      <c r="AJ930" s="311">
        <v>43819</v>
      </c>
      <c r="AK930" s="311">
        <v>43572</v>
      </c>
      <c r="AL930" s="311">
        <v>43780</v>
      </c>
      <c r="AM930" s="301"/>
      <c r="AN930" s="290"/>
      <c r="AO930" s="312" t="str">
        <f>_xlfn.IFNA(IF(VLOOKUP(tabItens[[#This Row],[CÓDIGO]],tabExcluirDoEstoque[#Data],1,FALSE),"sim",""),"")</f>
        <v>sim</v>
      </c>
      <c r="AP930" s="313" t="str">
        <f ca="1">IF(OR(ISBLANK(tabItens[[#This Row],[ATA DT.VALID.]]),tabItens[[#This Row],[ATA DT.VALID.]]="",tabItens[[#This Row],[ATA DT.VALID.]]=" "),"",IF(TYPE(tabItens[[#This Row],[ATA DT.VALID.]])=1,ROUNDUP((tabItens[[#This Row],[ATA DT.VALID.]]-TODAY())/7,0),""))</f>
        <v/>
      </c>
      <c r="AQ930" s="314"/>
      <c r="AR930" s="315">
        <f>IF(ISBLANK(tabItens[[#This Row],[CÓDIGO]]),"",IFERROR(VLOOKUP(tabItens[[#This Row],[CÓDIGO]],Consumo!$C$2:$AC$869,26,FALSE),0))</f>
        <v>0</v>
      </c>
      <c r="AS930" s="316">
        <f>SUMIF(Consumo!$C$3:$C$869,tabItens[[#This Row],[CÓDIGO]],Consumo!$N$3:$N$869) + SUMIF(Consumo!$C$3:$C$869,tabItens[[#This Row],[CÓDIGO]],Consumo!$O$3:$O$869) + SUMIF(Consumo!$C$3:$C$869,tabItens[[#This Row],[CÓDIGO]],Consumo!$P$3:$P$869) + SUMIF(Consumo!$C$3:$C$869,tabItens[[#This Row],[CÓDIGO]],Consumo!$Q$3:$Q$869)</f>
        <v>0</v>
      </c>
      <c r="AT930" s="316">
        <f>SUMIF(Consumo!$C$3:$C$869,tabItens[[#This Row],[CÓDIGO]],Consumo!$Z$3:$Z$869)</f>
        <v>0</v>
      </c>
      <c r="AU930" s="317">
        <f>SUMIF(Consumo!$C$3:$C$869,tabItens[[#This Row],[CÓDIGO]],Consumo!$AA$3:$AA$869)</f>
        <v>0</v>
      </c>
      <c r="AV930" s="318">
        <f>SUMIF(Consumo!$C$3:$C$869,tabItens[[#This Row],[CÓDIGO]],Consumo!$Y$3:$Y$869)</f>
        <v>0</v>
      </c>
      <c r="AW930" s="291">
        <f>tabItens[[#This Row],[QTDE ATUAL]] + tabItens[[#This Row],[RC QTDE]] + tabItens[[#This Row],[AF SALDO]] + tabItens[[#This Row],[Recentes]]</f>
        <v>4</v>
      </c>
      <c r="AX930" s="319">
        <v>0</v>
      </c>
      <c r="AY930" s="319">
        <v>4</v>
      </c>
      <c r="AZ930" s="319">
        <f>IF(ISBLANK(tabItens[[#This Row],[CÓDIGO]]),"",tabItens[[#This Row],[PontoMês]] * (AZ$2+tabItens[[#This Row],[PontoQtM]]))</f>
        <v>0</v>
      </c>
      <c r="BA930" s="318">
        <f>tabItens[[#This Row],[PontoPed]] - tabItens[[#This Row],[Saldo]] + (1/10)</f>
        <v>-3.9</v>
      </c>
      <c r="BB930" s="318">
        <f xml:space="preserve"> tabItens[[#This Row],[PontoMês]] * BB$2 - tabItens[[#This Row],[QTDE ATUAL]] - (1/10)</f>
        <v>-4.0999999999999996</v>
      </c>
      <c r="BC930" s="320">
        <f>IF( tabItens[[#This Row],[PontoPed]]&gt;0, IF(tabItens[[#This Row],[PontoPed]]&lt;1, 1, IF( tabItens[[#This Row],[Saldo]]&gt;tabItens[[#This Row],[PontoPed]], 0, (tabItens[[#This Row],[PontoPed]]-tabItens[[#This Row],[Saldo]])/tabItens[[#This Row],[PontoPed]] ) ), 0 )</f>
        <v>0</v>
      </c>
      <c r="BD930" s="321">
        <f>ROUNDDOWN(IF( OR( AND(tabItens[[#This Row],[PontoPed]]&lt;tabItens[[#This Row],[Saldo]],tabItens[[#This Row],[Saldo]]&gt;0), tabItens[[#This Row],[PontoPed]]=0), 99, IF(AND(tabItens[[#This Row],[Saldo]]=0,tabItens[[#This Row],[PontoPed]]&gt;0), 0, (1-tabItens[[#This Row],[PctAb]])*10 ) ),0)</f>
        <v>99</v>
      </c>
      <c r="BE930" s="322">
        <f>MAX(ROUNDDOWN( IF(tabItens[[#This Row],[Abaixo]] &gt; 0,   tabItens[[#This Row],[Abaixo]] + (tabItens[[#This Row],[PontoMês]] * IF( OR( ISBLANK(tabItens[[#This Row],[ATA Nº/ANO]]), tabItens[[#This Row],[ATA Nº/ANO]] = ""),BE$2,BE$1)),0),0),0)</f>
        <v>0</v>
      </c>
      <c r="BF93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23">
        <f>SUMIF(Consumo!$C$3:$C$869,tabItens[[#This Row],[CÓDIGO]],Consumo!$E$3:$E$869)</f>
        <v>0</v>
      </c>
      <c r="BH930" s="324">
        <f>IF(AND(tabItens[[#This Row],[Pend]] &gt; 0,tabItens[[#This Row],[Consumo]] &lt;&gt; 0), tabItens[[#This Row],[Pend]] / tabItens[[#This Row],[Consumo]], 0 )</f>
        <v>0</v>
      </c>
      <c r="BI930" s="323"/>
      <c r="BJ930" s="323"/>
      <c r="BK930" s="325" t="s">
        <v>2064</v>
      </c>
    </row>
    <row r="931" spans="1:63" hidden="1" x14ac:dyDescent="0.3">
      <c r="A931" s="286">
        <v>136839</v>
      </c>
      <c r="B931" s="287" t="s">
        <v>312</v>
      </c>
      <c r="C931" s="288" t="s">
        <v>301</v>
      </c>
      <c r="D931" s="289">
        <v>21.3</v>
      </c>
      <c r="E931" s="290"/>
      <c r="F931" s="290"/>
      <c r="G931" s="290" t="s">
        <v>883</v>
      </c>
      <c r="H931" s="291">
        <v>16</v>
      </c>
      <c r="I931" s="292">
        <v>103003</v>
      </c>
      <c r="J931" s="293">
        <v>21.3</v>
      </c>
      <c r="K931" s="294"/>
      <c r="L931" s="295">
        <f>IF(tabItens[[#This Row],[Média]] &gt; 0, tabItens[[#This Row],[QTDE ATUAL]] / tabItens[[#This Row],[Média]],999.9)</f>
        <v>999.9</v>
      </c>
      <c r="M931" s="296">
        <v>0</v>
      </c>
      <c r="N931" s="297">
        <f>tabItens[[#This Row],[VALOR UNIT.]] * tabItens[[#This Row],[LC]]</f>
        <v>0</v>
      </c>
      <c r="O931" s="298"/>
      <c r="P931" s="299"/>
      <c r="Q931" s="300"/>
      <c r="R931" s="297"/>
      <c r="S931" s="301"/>
      <c r="T931" s="302">
        <f>ROUNDDOWN(IFERROR(tabItens[[#This Row],[ATA DT.VALID.]] - $D$1,0) / 30,0)</f>
        <v>-1504</v>
      </c>
      <c r="U931" s="287" t="s">
        <v>1481</v>
      </c>
      <c r="V931" s="303">
        <v>1</v>
      </c>
      <c r="W931" s="304" t="s">
        <v>2058</v>
      </c>
      <c r="X931" s="305">
        <v>54</v>
      </c>
      <c r="Y931" s="306">
        <v>4</v>
      </c>
      <c r="Z931" s="307"/>
      <c r="AA931" s="308"/>
      <c r="AB931" s="309"/>
      <c r="AC931" s="309"/>
      <c r="AD931" s="308"/>
      <c r="AE931" s="309"/>
      <c r="AF931" s="302"/>
      <c r="AG931" s="310" t="s">
        <v>2050</v>
      </c>
      <c r="AH931" s="311"/>
      <c r="AI931" s="302">
        <v>0</v>
      </c>
      <c r="AJ931" s="311">
        <v>43819</v>
      </c>
      <c r="AK931" s="311">
        <v>43572</v>
      </c>
      <c r="AL931" s="311">
        <v>43780</v>
      </c>
      <c r="AM931" s="301"/>
      <c r="AN931" s="290"/>
      <c r="AO931" s="312" t="str">
        <f>_xlfn.IFNA(IF(VLOOKUP(tabItens[[#This Row],[CÓDIGO]],tabExcluirDoEstoque[#Data],1,FALSE),"sim",""),"")</f>
        <v>sim</v>
      </c>
      <c r="AP931" s="313" t="str">
        <f ca="1">IF(OR(ISBLANK(tabItens[[#This Row],[ATA DT.VALID.]]),tabItens[[#This Row],[ATA DT.VALID.]]="",tabItens[[#This Row],[ATA DT.VALID.]]=" "),"",IF(TYPE(tabItens[[#This Row],[ATA DT.VALID.]])=1,ROUNDUP((tabItens[[#This Row],[ATA DT.VALID.]]-TODAY())/7,0),""))</f>
        <v/>
      </c>
      <c r="AQ931" s="314"/>
      <c r="AR931" s="315">
        <f>IF(ISBLANK(tabItens[[#This Row],[CÓDIGO]]),"",IFERROR(VLOOKUP(tabItens[[#This Row],[CÓDIGO]],Consumo!$C$2:$AC$869,26,FALSE),0))</f>
        <v>0</v>
      </c>
      <c r="AS931" s="316">
        <f>SUMIF(Consumo!$C$3:$C$869,tabItens[[#This Row],[CÓDIGO]],Consumo!$N$3:$N$869) + SUMIF(Consumo!$C$3:$C$869,tabItens[[#This Row],[CÓDIGO]],Consumo!$O$3:$O$869) + SUMIF(Consumo!$C$3:$C$869,tabItens[[#This Row],[CÓDIGO]],Consumo!$P$3:$P$869) + SUMIF(Consumo!$C$3:$C$869,tabItens[[#This Row],[CÓDIGO]],Consumo!$Q$3:$Q$869)</f>
        <v>0</v>
      </c>
      <c r="AT931" s="316">
        <f>SUMIF(Consumo!$C$3:$C$869,tabItens[[#This Row],[CÓDIGO]],Consumo!$Z$3:$Z$869)</f>
        <v>0</v>
      </c>
      <c r="AU931" s="317">
        <f>SUMIF(Consumo!$C$3:$C$869,tabItens[[#This Row],[CÓDIGO]],Consumo!$AA$3:$AA$869)</f>
        <v>0</v>
      </c>
      <c r="AV931" s="318">
        <f>SUMIF(Consumo!$C$3:$C$869,tabItens[[#This Row],[CÓDIGO]],Consumo!$Y$3:$Y$869)</f>
        <v>0</v>
      </c>
      <c r="AW931" s="291">
        <f>tabItens[[#This Row],[QTDE ATUAL]] + tabItens[[#This Row],[RC QTDE]] + tabItens[[#This Row],[AF SALDO]] + tabItens[[#This Row],[Recentes]]</f>
        <v>16</v>
      </c>
      <c r="AX931" s="319">
        <v>0</v>
      </c>
      <c r="AY931" s="319">
        <v>4</v>
      </c>
      <c r="AZ931" s="319">
        <f>IF(ISBLANK(tabItens[[#This Row],[CÓDIGO]]),"",tabItens[[#This Row],[PontoMês]] * (AZ$2+tabItens[[#This Row],[PontoQtM]]))</f>
        <v>0</v>
      </c>
      <c r="BA931" s="318">
        <f>tabItens[[#This Row],[PontoPed]] - tabItens[[#This Row],[Saldo]] + (1/10)</f>
        <v>-15.9</v>
      </c>
      <c r="BB931" s="318">
        <f xml:space="preserve"> tabItens[[#This Row],[PontoMês]] * BB$2 - tabItens[[#This Row],[QTDE ATUAL]] - (1/10)</f>
        <v>-16.100000000000001</v>
      </c>
      <c r="BC931" s="320">
        <f>IF( tabItens[[#This Row],[PontoPed]]&gt;0, IF(tabItens[[#This Row],[PontoPed]]&lt;1, 1, IF( tabItens[[#This Row],[Saldo]]&gt;tabItens[[#This Row],[PontoPed]], 0, (tabItens[[#This Row],[PontoPed]]-tabItens[[#This Row],[Saldo]])/tabItens[[#This Row],[PontoPed]] ) ), 0 )</f>
        <v>0</v>
      </c>
      <c r="BD931" s="321">
        <f>ROUNDDOWN(IF( OR( AND(tabItens[[#This Row],[PontoPed]]&lt;tabItens[[#This Row],[Saldo]],tabItens[[#This Row],[Saldo]]&gt;0), tabItens[[#This Row],[PontoPed]]=0), 99, IF(AND(tabItens[[#This Row],[Saldo]]=0,tabItens[[#This Row],[PontoPed]]&gt;0), 0, (1-tabItens[[#This Row],[PctAb]])*10 ) ),0)</f>
        <v>99</v>
      </c>
      <c r="BE931" s="322">
        <f>MAX(ROUNDDOWN( IF(tabItens[[#This Row],[Abaixo]] &gt; 0,   tabItens[[#This Row],[Abaixo]] + (tabItens[[#This Row],[PontoMês]] * IF( OR( ISBLANK(tabItens[[#This Row],[ATA Nº/ANO]]), tabItens[[#This Row],[ATA Nº/ANO]] = ""),BE$2,BE$1)),0),0),0)</f>
        <v>0</v>
      </c>
      <c r="BF93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23">
        <f>SUMIF(Consumo!$C$3:$C$869,tabItens[[#This Row],[CÓDIGO]],Consumo!$E$3:$E$869)</f>
        <v>0</v>
      </c>
      <c r="BH931" s="324">
        <f>IF(AND(tabItens[[#This Row],[Pend]] &gt; 0,tabItens[[#This Row],[Consumo]] &lt;&gt; 0), tabItens[[#This Row],[Pend]] / tabItens[[#This Row],[Consumo]], 0 )</f>
        <v>0</v>
      </c>
      <c r="BI931" s="323"/>
      <c r="BJ931" s="323"/>
      <c r="BK931" s="325" t="s">
        <v>2064</v>
      </c>
    </row>
    <row r="932" spans="1:63" hidden="1" x14ac:dyDescent="0.3">
      <c r="A932" s="286">
        <v>136840</v>
      </c>
      <c r="B932" s="287" t="s">
        <v>313</v>
      </c>
      <c r="C932" s="288" t="s">
        <v>301</v>
      </c>
      <c r="D932" s="289">
        <v>21.3</v>
      </c>
      <c r="E932" s="290"/>
      <c r="F932" s="290"/>
      <c r="G932" s="290" t="s">
        <v>883</v>
      </c>
      <c r="H932" s="291">
        <v>1</v>
      </c>
      <c r="I932" s="292">
        <v>103003</v>
      </c>
      <c r="J932" s="293">
        <v>21.3</v>
      </c>
      <c r="K932" s="294"/>
      <c r="L932" s="295">
        <f>IF(tabItens[[#This Row],[Média]] &gt; 0, tabItens[[#This Row],[QTDE ATUAL]] / tabItens[[#This Row],[Média]],999.9)</f>
        <v>999.9</v>
      </c>
      <c r="M932" s="296">
        <v>0</v>
      </c>
      <c r="N932" s="297">
        <f>tabItens[[#This Row],[VALOR UNIT.]] * tabItens[[#This Row],[LC]]</f>
        <v>0</v>
      </c>
      <c r="O932" s="298"/>
      <c r="P932" s="299"/>
      <c r="Q932" s="300"/>
      <c r="R932" s="297"/>
      <c r="S932" s="301"/>
      <c r="T932" s="302">
        <f>ROUNDDOWN(IFERROR(tabItens[[#This Row],[ATA DT.VALID.]] - $D$1,0) / 30,0)</f>
        <v>-1504</v>
      </c>
      <c r="U932" s="287" t="s">
        <v>1481</v>
      </c>
      <c r="V932" s="303">
        <v>1</v>
      </c>
      <c r="W932" s="304" t="s">
        <v>2058</v>
      </c>
      <c r="X932" s="305">
        <v>54</v>
      </c>
      <c r="Y932" s="306">
        <v>4</v>
      </c>
      <c r="Z932" s="307"/>
      <c r="AA932" s="308"/>
      <c r="AB932" s="309"/>
      <c r="AC932" s="309"/>
      <c r="AD932" s="308"/>
      <c r="AE932" s="309"/>
      <c r="AF932" s="302"/>
      <c r="AG932" s="310" t="s">
        <v>2050</v>
      </c>
      <c r="AH932" s="311"/>
      <c r="AI932" s="302">
        <v>0</v>
      </c>
      <c r="AJ932" s="311">
        <v>43819</v>
      </c>
      <c r="AK932" s="311">
        <v>43572</v>
      </c>
      <c r="AL932" s="311">
        <v>43780</v>
      </c>
      <c r="AM932" s="301"/>
      <c r="AN932" s="290"/>
      <c r="AO932" s="312" t="str">
        <f>_xlfn.IFNA(IF(VLOOKUP(tabItens[[#This Row],[CÓDIGO]],tabExcluirDoEstoque[#Data],1,FALSE),"sim",""),"")</f>
        <v>sim</v>
      </c>
      <c r="AP932" s="313" t="str">
        <f ca="1">IF(OR(ISBLANK(tabItens[[#This Row],[ATA DT.VALID.]]),tabItens[[#This Row],[ATA DT.VALID.]]="",tabItens[[#This Row],[ATA DT.VALID.]]=" "),"",IF(TYPE(tabItens[[#This Row],[ATA DT.VALID.]])=1,ROUNDUP((tabItens[[#This Row],[ATA DT.VALID.]]-TODAY())/7,0),""))</f>
        <v/>
      </c>
      <c r="AQ932" s="314"/>
      <c r="AR932" s="315">
        <f>IF(ISBLANK(tabItens[[#This Row],[CÓDIGO]]),"",IFERROR(VLOOKUP(tabItens[[#This Row],[CÓDIGO]],Consumo!$C$2:$AC$869,26,FALSE),0))</f>
        <v>0</v>
      </c>
      <c r="AS932" s="316">
        <f>SUMIF(Consumo!$C$3:$C$869,tabItens[[#This Row],[CÓDIGO]],Consumo!$N$3:$N$869) + SUMIF(Consumo!$C$3:$C$869,tabItens[[#This Row],[CÓDIGO]],Consumo!$O$3:$O$869) + SUMIF(Consumo!$C$3:$C$869,tabItens[[#This Row],[CÓDIGO]],Consumo!$P$3:$P$869) + SUMIF(Consumo!$C$3:$C$869,tabItens[[#This Row],[CÓDIGO]],Consumo!$Q$3:$Q$869)</f>
        <v>0</v>
      </c>
      <c r="AT932" s="316">
        <f>SUMIF(Consumo!$C$3:$C$869,tabItens[[#This Row],[CÓDIGO]],Consumo!$Z$3:$Z$869)</f>
        <v>0</v>
      </c>
      <c r="AU932" s="317">
        <f>SUMIF(Consumo!$C$3:$C$869,tabItens[[#This Row],[CÓDIGO]],Consumo!$AA$3:$AA$869)</f>
        <v>0</v>
      </c>
      <c r="AV932" s="318">
        <f>SUMIF(Consumo!$C$3:$C$869,tabItens[[#This Row],[CÓDIGO]],Consumo!$Y$3:$Y$869)</f>
        <v>0</v>
      </c>
      <c r="AW932" s="291">
        <f>tabItens[[#This Row],[QTDE ATUAL]] + tabItens[[#This Row],[RC QTDE]] + tabItens[[#This Row],[AF SALDO]] + tabItens[[#This Row],[Recentes]]</f>
        <v>1</v>
      </c>
      <c r="AX932" s="319">
        <v>0</v>
      </c>
      <c r="AY932" s="319">
        <v>4</v>
      </c>
      <c r="AZ932" s="319">
        <f>IF(ISBLANK(tabItens[[#This Row],[CÓDIGO]]),"",tabItens[[#This Row],[PontoMês]] * (AZ$2+tabItens[[#This Row],[PontoQtM]]))</f>
        <v>0</v>
      </c>
      <c r="BA932" s="318">
        <f>tabItens[[#This Row],[PontoPed]] - tabItens[[#This Row],[Saldo]] + (1/10)</f>
        <v>-0.9</v>
      </c>
      <c r="BB932" s="318">
        <f xml:space="preserve"> tabItens[[#This Row],[PontoMês]] * BB$2 - tabItens[[#This Row],[QTDE ATUAL]] - (1/10)</f>
        <v>-1.1000000000000001</v>
      </c>
      <c r="BC932" s="320">
        <f>IF( tabItens[[#This Row],[PontoPed]]&gt;0, IF(tabItens[[#This Row],[PontoPed]]&lt;1, 1, IF( tabItens[[#This Row],[Saldo]]&gt;tabItens[[#This Row],[PontoPed]], 0, (tabItens[[#This Row],[PontoPed]]-tabItens[[#This Row],[Saldo]])/tabItens[[#This Row],[PontoPed]] ) ), 0 )</f>
        <v>0</v>
      </c>
      <c r="BD932" s="321">
        <f>ROUNDDOWN(IF( OR( AND(tabItens[[#This Row],[PontoPed]]&lt;tabItens[[#This Row],[Saldo]],tabItens[[#This Row],[Saldo]]&gt;0), tabItens[[#This Row],[PontoPed]]=0), 99, IF(AND(tabItens[[#This Row],[Saldo]]=0,tabItens[[#This Row],[PontoPed]]&gt;0), 0, (1-tabItens[[#This Row],[PctAb]])*10 ) ),0)</f>
        <v>99</v>
      </c>
      <c r="BE932" s="322">
        <f>MAX(ROUNDDOWN( IF(tabItens[[#This Row],[Abaixo]] &gt; 0,   tabItens[[#This Row],[Abaixo]] + (tabItens[[#This Row],[PontoMês]] * IF( OR( ISBLANK(tabItens[[#This Row],[ATA Nº/ANO]]), tabItens[[#This Row],[ATA Nº/ANO]] = ""),BE$2,BE$1)),0),0),0)</f>
        <v>0</v>
      </c>
      <c r="BF93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23">
        <f>SUMIF(Consumo!$C$3:$C$869,tabItens[[#This Row],[CÓDIGO]],Consumo!$E$3:$E$869)</f>
        <v>0</v>
      </c>
      <c r="BH932" s="324">
        <f>IF(AND(tabItens[[#This Row],[Pend]] &gt; 0,tabItens[[#This Row],[Consumo]] &lt;&gt; 0), tabItens[[#This Row],[Pend]] / tabItens[[#This Row],[Consumo]], 0 )</f>
        <v>0</v>
      </c>
      <c r="BI932" s="323"/>
      <c r="BJ932" s="323"/>
      <c r="BK932" s="325" t="s">
        <v>2064</v>
      </c>
    </row>
    <row r="933" spans="1:63" hidden="1" x14ac:dyDescent="0.3">
      <c r="A933" s="286">
        <v>136841</v>
      </c>
      <c r="B933" s="287" t="s">
        <v>314</v>
      </c>
      <c r="C933" s="288" t="s">
        <v>301</v>
      </c>
      <c r="D933" s="289">
        <v>21.3</v>
      </c>
      <c r="E933" s="290"/>
      <c r="F933" s="290"/>
      <c r="G933" s="290" t="s">
        <v>883</v>
      </c>
      <c r="H933" s="291">
        <v>5</v>
      </c>
      <c r="I933" s="292">
        <v>103003</v>
      </c>
      <c r="J933" s="293">
        <v>21.3</v>
      </c>
      <c r="K933" s="294">
        <v>1</v>
      </c>
      <c r="L933" s="295">
        <f>IF(tabItens[[#This Row],[Média]] &gt; 0, tabItens[[#This Row],[QTDE ATUAL]] / tabItens[[#This Row],[Média]],999.9)</f>
        <v>999.9</v>
      </c>
      <c r="M933" s="296">
        <v>0</v>
      </c>
      <c r="N933" s="297">
        <f>tabItens[[#This Row],[VALOR UNIT.]] * tabItens[[#This Row],[LC]]</f>
        <v>0</v>
      </c>
      <c r="O933" s="298"/>
      <c r="P933" s="299"/>
      <c r="Q933" s="300"/>
      <c r="R933" s="297"/>
      <c r="S933" s="301"/>
      <c r="T933" s="302">
        <f>ROUNDDOWN(IFERROR(tabItens[[#This Row],[ATA DT.VALID.]] - $D$1,0) / 30,0)</f>
        <v>-1504</v>
      </c>
      <c r="U933" s="287" t="s">
        <v>1481</v>
      </c>
      <c r="V933" s="303">
        <v>1</v>
      </c>
      <c r="W933" s="304" t="s">
        <v>2058</v>
      </c>
      <c r="X933" s="305">
        <v>54</v>
      </c>
      <c r="Y933" s="306">
        <v>4</v>
      </c>
      <c r="Z933" s="307"/>
      <c r="AA933" s="308"/>
      <c r="AB933" s="309"/>
      <c r="AC933" s="309"/>
      <c r="AD933" s="308"/>
      <c r="AE933" s="309"/>
      <c r="AF933" s="302"/>
      <c r="AG933" s="310" t="s">
        <v>2050</v>
      </c>
      <c r="AH933" s="311"/>
      <c r="AI933" s="302">
        <v>0</v>
      </c>
      <c r="AJ933" s="311">
        <v>43819</v>
      </c>
      <c r="AK933" s="311">
        <v>43572</v>
      </c>
      <c r="AL933" s="311">
        <v>43780</v>
      </c>
      <c r="AM933" s="301"/>
      <c r="AN933" s="290"/>
      <c r="AO933" s="312" t="str">
        <f>_xlfn.IFNA(IF(VLOOKUP(tabItens[[#This Row],[CÓDIGO]],tabExcluirDoEstoque[#Data],1,FALSE),"sim",""),"")</f>
        <v>sim</v>
      </c>
      <c r="AP933" s="313" t="str">
        <f ca="1">IF(OR(ISBLANK(tabItens[[#This Row],[ATA DT.VALID.]]),tabItens[[#This Row],[ATA DT.VALID.]]="",tabItens[[#This Row],[ATA DT.VALID.]]=" "),"",IF(TYPE(tabItens[[#This Row],[ATA DT.VALID.]])=1,ROUNDUP((tabItens[[#This Row],[ATA DT.VALID.]]-TODAY())/7,0),""))</f>
        <v/>
      </c>
      <c r="AQ933" s="314"/>
      <c r="AR933" s="315" t="str">
        <f>IF(ISBLANK(tabItens[[#This Row],[CÓDIGO]]),"",IFERROR(VLOOKUP(tabItens[[#This Row],[CÓDIGO]],Consumo!$C$2:$AC$869,26,FALSE),0))</f>
        <v>03.2023</v>
      </c>
      <c r="AS933" s="316">
        <f>SUMIF(Consumo!$C$3:$C$869,tabItens[[#This Row],[CÓDIGO]],Consumo!$N$3:$N$869) + SUMIF(Consumo!$C$3:$C$869,tabItens[[#This Row],[CÓDIGO]],Consumo!$O$3:$O$869) + SUMIF(Consumo!$C$3:$C$869,tabItens[[#This Row],[CÓDIGO]],Consumo!$P$3:$P$869) + SUMIF(Consumo!$C$3:$C$869,tabItens[[#This Row],[CÓDIGO]],Consumo!$Q$3:$Q$869)</f>
        <v>0</v>
      </c>
      <c r="AT933" s="316">
        <f>SUMIF(Consumo!$C$3:$C$869,tabItens[[#This Row],[CÓDIGO]],Consumo!$Z$3:$Z$869)</f>
        <v>1</v>
      </c>
      <c r="AU933" s="317">
        <f>SUMIF(Consumo!$C$3:$C$869,tabItens[[#This Row],[CÓDIGO]],Consumo!$AA$3:$AA$869)</f>
        <v>1</v>
      </c>
      <c r="AV933" s="318">
        <f>SUMIF(Consumo!$C$3:$C$869,tabItens[[#This Row],[CÓDIGO]],Consumo!$Y$3:$Y$869)</f>
        <v>0</v>
      </c>
      <c r="AW933" s="291">
        <f>tabItens[[#This Row],[QTDE ATUAL]] + tabItens[[#This Row],[RC QTDE]] + tabItens[[#This Row],[AF SALDO]] + tabItens[[#This Row],[Recentes]]</f>
        <v>5</v>
      </c>
      <c r="AX933" s="319">
        <v>0</v>
      </c>
      <c r="AY933" s="319">
        <v>4</v>
      </c>
      <c r="AZ933" s="319">
        <f>IF(ISBLANK(tabItens[[#This Row],[CÓDIGO]]),"",tabItens[[#This Row],[PontoMês]] * (AZ$2+tabItens[[#This Row],[PontoQtM]]))</f>
        <v>0</v>
      </c>
      <c r="BA933" s="318">
        <f>tabItens[[#This Row],[PontoPed]] - tabItens[[#This Row],[Saldo]] + (1/10)</f>
        <v>-4.9000000000000004</v>
      </c>
      <c r="BB933" s="318">
        <f xml:space="preserve"> tabItens[[#This Row],[PontoMês]] * BB$2 - tabItens[[#This Row],[QTDE ATUAL]] - (1/10)</f>
        <v>-5.0999999999999996</v>
      </c>
      <c r="BC933" s="320">
        <f>IF( tabItens[[#This Row],[PontoPed]]&gt;0, IF(tabItens[[#This Row],[PontoPed]]&lt;1, 1, IF( tabItens[[#This Row],[Saldo]]&gt;tabItens[[#This Row],[PontoPed]], 0, (tabItens[[#This Row],[PontoPed]]-tabItens[[#This Row],[Saldo]])/tabItens[[#This Row],[PontoPed]] ) ), 0 )</f>
        <v>0</v>
      </c>
      <c r="BD933" s="321">
        <f>ROUNDDOWN(IF( OR( AND(tabItens[[#This Row],[PontoPed]]&lt;tabItens[[#This Row],[Saldo]],tabItens[[#This Row],[Saldo]]&gt;0), tabItens[[#This Row],[PontoPed]]=0), 99, IF(AND(tabItens[[#This Row],[Saldo]]=0,tabItens[[#This Row],[PontoPed]]&gt;0), 0, (1-tabItens[[#This Row],[PctAb]])*10 ) ),0)</f>
        <v>99</v>
      </c>
      <c r="BE933" s="322">
        <f>MAX(ROUNDDOWN( IF(tabItens[[#This Row],[Abaixo]] &gt; 0,   tabItens[[#This Row],[Abaixo]] + (tabItens[[#This Row],[PontoMês]] * IF( OR( ISBLANK(tabItens[[#This Row],[ATA Nº/ANO]]), tabItens[[#This Row],[ATA Nº/ANO]] = ""),BE$2,BE$1)),0),0),0)</f>
        <v>0</v>
      </c>
      <c r="BF93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23">
        <f>SUMIF(Consumo!$C$3:$C$869,tabItens[[#This Row],[CÓDIGO]],Consumo!$E$3:$E$869)</f>
        <v>0</v>
      </c>
      <c r="BH933" s="324">
        <f>IF(AND(tabItens[[#This Row],[Pend]] &gt; 0,tabItens[[#This Row],[Consumo]] &lt;&gt; 0), tabItens[[#This Row],[Pend]] / tabItens[[#This Row],[Consumo]], 0 )</f>
        <v>0</v>
      </c>
      <c r="BI933" s="323"/>
      <c r="BJ933" s="323"/>
      <c r="BK933" s="325" t="s">
        <v>2064</v>
      </c>
    </row>
    <row r="934" spans="1:63" hidden="1" x14ac:dyDescent="0.3">
      <c r="A934" s="286">
        <v>136842</v>
      </c>
      <c r="B934" s="287" t="s">
        <v>315</v>
      </c>
      <c r="C934" s="288" t="s">
        <v>301</v>
      </c>
      <c r="D934" s="289">
        <v>21.3</v>
      </c>
      <c r="E934" s="290"/>
      <c r="F934" s="290"/>
      <c r="G934" s="290" t="s">
        <v>883</v>
      </c>
      <c r="H934" s="291">
        <v>5</v>
      </c>
      <c r="I934" s="292">
        <v>103003</v>
      </c>
      <c r="J934" s="293">
        <v>21.3</v>
      </c>
      <c r="K934" s="294">
        <v>1</v>
      </c>
      <c r="L934" s="295">
        <f>IF(tabItens[[#This Row],[Média]] &gt; 0, tabItens[[#This Row],[QTDE ATUAL]] / tabItens[[#This Row],[Média]],999.9)</f>
        <v>999.9</v>
      </c>
      <c r="M934" s="296">
        <v>0</v>
      </c>
      <c r="N934" s="297">
        <f>tabItens[[#This Row],[VALOR UNIT.]] * tabItens[[#This Row],[LC]]</f>
        <v>0</v>
      </c>
      <c r="O934" s="298"/>
      <c r="P934" s="299"/>
      <c r="Q934" s="300"/>
      <c r="R934" s="297"/>
      <c r="S934" s="301"/>
      <c r="T934" s="302">
        <f>ROUNDDOWN(IFERROR(tabItens[[#This Row],[ATA DT.VALID.]] - $D$1,0) / 30,0)</f>
        <v>-1504</v>
      </c>
      <c r="U934" s="287" t="s">
        <v>1481</v>
      </c>
      <c r="V934" s="303">
        <v>1</v>
      </c>
      <c r="W934" s="304" t="s">
        <v>2058</v>
      </c>
      <c r="X934" s="305">
        <v>54</v>
      </c>
      <c r="Y934" s="306">
        <v>4</v>
      </c>
      <c r="Z934" s="307"/>
      <c r="AA934" s="308"/>
      <c r="AB934" s="309"/>
      <c r="AC934" s="309"/>
      <c r="AD934" s="308"/>
      <c r="AE934" s="309"/>
      <c r="AF934" s="302"/>
      <c r="AG934" s="310" t="s">
        <v>2050</v>
      </c>
      <c r="AH934" s="311"/>
      <c r="AI934" s="302">
        <v>0</v>
      </c>
      <c r="AJ934" s="311">
        <v>43819</v>
      </c>
      <c r="AK934" s="311">
        <v>43572</v>
      </c>
      <c r="AL934" s="311">
        <v>43780</v>
      </c>
      <c r="AM934" s="301"/>
      <c r="AN934" s="290"/>
      <c r="AO934" s="312" t="str">
        <f>_xlfn.IFNA(IF(VLOOKUP(tabItens[[#This Row],[CÓDIGO]],tabExcluirDoEstoque[#Data],1,FALSE),"sim",""),"")</f>
        <v>sim</v>
      </c>
      <c r="AP934" s="313" t="str">
        <f ca="1">IF(OR(ISBLANK(tabItens[[#This Row],[ATA DT.VALID.]]),tabItens[[#This Row],[ATA DT.VALID.]]="",tabItens[[#This Row],[ATA DT.VALID.]]=" "),"",IF(TYPE(tabItens[[#This Row],[ATA DT.VALID.]])=1,ROUNDUP((tabItens[[#This Row],[ATA DT.VALID.]]-TODAY())/7,0),""))</f>
        <v/>
      </c>
      <c r="AQ934" s="314"/>
      <c r="AR934" s="315" t="str">
        <f>IF(ISBLANK(tabItens[[#This Row],[CÓDIGO]]),"",IFERROR(VLOOKUP(tabItens[[#This Row],[CÓDIGO]],Consumo!$C$2:$AC$869,26,FALSE),0))</f>
        <v>03.2023</v>
      </c>
      <c r="AS934" s="316">
        <f>SUMIF(Consumo!$C$3:$C$869,tabItens[[#This Row],[CÓDIGO]],Consumo!$N$3:$N$869) + SUMIF(Consumo!$C$3:$C$869,tabItens[[#This Row],[CÓDIGO]],Consumo!$O$3:$O$869) + SUMIF(Consumo!$C$3:$C$869,tabItens[[#This Row],[CÓDIGO]],Consumo!$P$3:$P$869) + SUMIF(Consumo!$C$3:$C$869,tabItens[[#This Row],[CÓDIGO]],Consumo!$Q$3:$Q$869)</f>
        <v>0</v>
      </c>
      <c r="AT934" s="316">
        <f>SUMIF(Consumo!$C$3:$C$869,tabItens[[#This Row],[CÓDIGO]],Consumo!$Z$3:$Z$869)</f>
        <v>1</v>
      </c>
      <c r="AU934" s="317">
        <f>SUMIF(Consumo!$C$3:$C$869,tabItens[[#This Row],[CÓDIGO]],Consumo!$AA$3:$AA$869)</f>
        <v>1</v>
      </c>
      <c r="AV934" s="318">
        <f>SUMIF(Consumo!$C$3:$C$869,tabItens[[#This Row],[CÓDIGO]],Consumo!$Y$3:$Y$869)</f>
        <v>0</v>
      </c>
      <c r="AW934" s="291">
        <f>tabItens[[#This Row],[QTDE ATUAL]] + tabItens[[#This Row],[RC QTDE]] + tabItens[[#This Row],[AF SALDO]] + tabItens[[#This Row],[Recentes]]</f>
        <v>5</v>
      </c>
      <c r="AX934" s="319">
        <v>0</v>
      </c>
      <c r="AY934" s="319">
        <v>4</v>
      </c>
      <c r="AZ934" s="319">
        <f>IF(ISBLANK(tabItens[[#This Row],[CÓDIGO]]),"",tabItens[[#This Row],[PontoMês]] * (AZ$2+tabItens[[#This Row],[PontoQtM]]))</f>
        <v>0</v>
      </c>
      <c r="BA934" s="318">
        <f>tabItens[[#This Row],[PontoPed]] - tabItens[[#This Row],[Saldo]] + (1/10)</f>
        <v>-4.9000000000000004</v>
      </c>
      <c r="BB934" s="318">
        <f xml:space="preserve"> tabItens[[#This Row],[PontoMês]] * BB$2 - tabItens[[#This Row],[QTDE ATUAL]] - (1/10)</f>
        <v>-5.0999999999999996</v>
      </c>
      <c r="BC934" s="320">
        <f>IF( tabItens[[#This Row],[PontoPed]]&gt;0, IF(tabItens[[#This Row],[PontoPed]]&lt;1, 1, IF( tabItens[[#This Row],[Saldo]]&gt;tabItens[[#This Row],[PontoPed]], 0, (tabItens[[#This Row],[PontoPed]]-tabItens[[#This Row],[Saldo]])/tabItens[[#This Row],[PontoPed]] ) ), 0 )</f>
        <v>0</v>
      </c>
      <c r="BD934" s="321">
        <f>ROUNDDOWN(IF( OR( AND(tabItens[[#This Row],[PontoPed]]&lt;tabItens[[#This Row],[Saldo]],tabItens[[#This Row],[Saldo]]&gt;0), tabItens[[#This Row],[PontoPed]]=0), 99, IF(AND(tabItens[[#This Row],[Saldo]]=0,tabItens[[#This Row],[PontoPed]]&gt;0), 0, (1-tabItens[[#This Row],[PctAb]])*10 ) ),0)</f>
        <v>99</v>
      </c>
      <c r="BE934" s="322">
        <f>MAX(ROUNDDOWN( IF(tabItens[[#This Row],[Abaixo]] &gt; 0,   tabItens[[#This Row],[Abaixo]] + (tabItens[[#This Row],[PontoMês]] * IF( OR( ISBLANK(tabItens[[#This Row],[ATA Nº/ANO]]), tabItens[[#This Row],[ATA Nº/ANO]] = ""),BE$2,BE$1)),0),0),0)</f>
        <v>0</v>
      </c>
      <c r="BF93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23">
        <f>SUMIF(Consumo!$C$3:$C$869,tabItens[[#This Row],[CÓDIGO]],Consumo!$E$3:$E$869)</f>
        <v>0</v>
      </c>
      <c r="BH934" s="324">
        <f>IF(AND(tabItens[[#This Row],[Pend]] &gt; 0,tabItens[[#This Row],[Consumo]] &lt;&gt; 0), tabItens[[#This Row],[Pend]] / tabItens[[#This Row],[Consumo]], 0 )</f>
        <v>0</v>
      </c>
      <c r="BI934" s="323"/>
      <c r="BJ934" s="323"/>
      <c r="BK934" s="325" t="s">
        <v>2064</v>
      </c>
    </row>
    <row r="935" spans="1:63" hidden="1" x14ac:dyDescent="0.3">
      <c r="A935" s="286">
        <v>136843</v>
      </c>
      <c r="B935" s="287" t="s">
        <v>316</v>
      </c>
      <c r="C935" s="288" t="s">
        <v>301</v>
      </c>
      <c r="D935" s="289">
        <v>56.6</v>
      </c>
      <c r="E935" s="290"/>
      <c r="F935" s="290"/>
      <c r="G935" s="290" t="s">
        <v>883</v>
      </c>
      <c r="H935" s="291">
        <v>7</v>
      </c>
      <c r="I935" s="292">
        <v>103003</v>
      </c>
      <c r="J935" s="293">
        <v>56.6</v>
      </c>
      <c r="K935" s="294">
        <v>1</v>
      </c>
      <c r="L935" s="295">
        <f>IF(tabItens[[#This Row],[Média]] &gt; 0, tabItens[[#This Row],[QTDE ATUAL]] / tabItens[[#This Row],[Média]],999.9)</f>
        <v>999.9</v>
      </c>
      <c r="M935" s="296">
        <v>0</v>
      </c>
      <c r="N935" s="297">
        <f>tabItens[[#This Row],[VALOR UNIT.]] * tabItens[[#This Row],[LC]]</f>
        <v>0</v>
      </c>
      <c r="O935" s="298"/>
      <c r="P935" s="299"/>
      <c r="Q935" s="300"/>
      <c r="R935" s="297"/>
      <c r="S935" s="301"/>
      <c r="T935" s="302">
        <f>ROUNDDOWN(IFERROR(tabItens[[#This Row],[ATA DT.VALID.]] - $D$1,0) / 30,0)</f>
        <v>-1504</v>
      </c>
      <c r="U935" s="287" t="s">
        <v>1481</v>
      </c>
      <c r="V935" s="303">
        <v>1</v>
      </c>
      <c r="W935" s="304" t="s">
        <v>2058</v>
      </c>
      <c r="X935" s="305">
        <v>54</v>
      </c>
      <c r="Y935" s="306">
        <v>4</v>
      </c>
      <c r="Z935" s="307"/>
      <c r="AA935" s="308"/>
      <c r="AB935" s="309"/>
      <c r="AC935" s="309"/>
      <c r="AD935" s="308"/>
      <c r="AE935" s="309"/>
      <c r="AF935" s="302"/>
      <c r="AG935" s="310" t="s">
        <v>2050</v>
      </c>
      <c r="AH935" s="311"/>
      <c r="AI935" s="302">
        <v>0</v>
      </c>
      <c r="AJ935" s="311">
        <v>43819</v>
      </c>
      <c r="AK935" s="311">
        <v>43572</v>
      </c>
      <c r="AL935" s="311">
        <v>44461</v>
      </c>
      <c r="AM935" s="301"/>
      <c r="AN935" s="290"/>
      <c r="AO935" s="312" t="str">
        <f>_xlfn.IFNA(IF(VLOOKUP(tabItens[[#This Row],[CÓDIGO]],tabExcluirDoEstoque[#Data],1,FALSE),"sim",""),"")</f>
        <v>sim</v>
      </c>
      <c r="AP935" s="313" t="str">
        <f ca="1">IF(OR(ISBLANK(tabItens[[#This Row],[ATA DT.VALID.]]),tabItens[[#This Row],[ATA DT.VALID.]]="",tabItens[[#This Row],[ATA DT.VALID.]]=" "),"",IF(TYPE(tabItens[[#This Row],[ATA DT.VALID.]])=1,ROUNDUP((tabItens[[#This Row],[ATA DT.VALID.]]-TODAY())/7,0),""))</f>
        <v/>
      </c>
      <c r="AQ935" s="314"/>
      <c r="AR935" s="315" t="str">
        <f>IF(ISBLANK(tabItens[[#This Row],[CÓDIGO]]),"",IFERROR(VLOOKUP(tabItens[[#This Row],[CÓDIGO]],Consumo!$C$2:$AC$869,26,FALSE),0))</f>
        <v>09.2022</v>
      </c>
      <c r="AS935" s="316">
        <f>SUMIF(Consumo!$C$3:$C$869,tabItens[[#This Row],[CÓDIGO]],Consumo!$N$3:$N$869) + SUMIF(Consumo!$C$3:$C$869,tabItens[[#This Row],[CÓDIGO]],Consumo!$O$3:$O$869) + SUMIF(Consumo!$C$3:$C$869,tabItens[[#This Row],[CÓDIGO]],Consumo!$P$3:$P$869) + SUMIF(Consumo!$C$3:$C$869,tabItens[[#This Row],[CÓDIGO]],Consumo!$Q$3:$Q$869)</f>
        <v>0</v>
      </c>
      <c r="AT935" s="316">
        <f>SUMIF(Consumo!$C$3:$C$869,tabItens[[#This Row],[CÓDIGO]],Consumo!$Z$3:$Z$869)</f>
        <v>1</v>
      </c>
      <c r="AU935" s="317">
        <f>SUMIF(Consumo!$C$3:$C$869,tabItens[[#This Row],[CÓDIGO]],Consumo!$AA$3:$AA$869)</f>
        <v>1</v>
      </c>
      <c r="AV935" s="318">
        <f>SUMIF(Consumo!$C$3:$C$869,tabItens[[#This Row],[CÓDIGO]],Consumo!$Y$3:$Y$869)</f>
        <v>0</v>
      </c>
      <c r="AW935" s="291">
        <f>tabItens[[#This Row],[QTDE ATUAL]] + tabItens[[#This Row],[RC QTDE]] + tabItens[[#This Row],[AF SALDO]] + tabItens[[#This Row],[Recentes]]</f>
        <v>7</v>
      </c>
      <c r="AX935" s="319">
        <v>0</v>
      </c>
      <c r="AY935" s="319">
        <v>4</v>
      </c>
      <c r="AZ935" s="319">
        <f>IF(ISBLANK(tabItens[[#This Row],[CÓDIGO]]),"",tabItens[[#This Row],[PontoMês]] * (AZ$2+tabItens[[#This Row],[PontoQtM]]))</f>
        <v>0</v>
      </c>
      <c r="BA935" s="318">
        <f>tabItens[[#This Row],[PontoPed]] - tabItens[[#This Row],[Saldo]] + (1/10)</f>
        <v>-6.9</v>
      </c>
      <c r="BB935" s="318">
        <f xml:space="preserve"> tabItens[[#This Row],[PontoMês]] * BB$2 - tabItens[[#This Row],[QTDE ATUAL]] - (1/10)</f>
        <v>-7.1</v>
      </c>
      <c r="BC935" s="320">
        <f>IF( tabItens[[#This Row],[PontoPed]]&gt;0, IF(tabItens[[#This Row],[PontoPed]]&lt;1, 1, IF( tabItens[[#This Row],[Saldo]]&gt;tabItens[[#This Row],[PontoPed]], 0, (tabItens[[#This Row],[PontoPed]]-tabItens[[#This Row],[Saldo]])/tabItens[[#This Row],[PontoPed]] ) ), 0 )</f>
        <v>0</v>
      </c>
      <c r="BD935" s="321">
        <f>ROUNDDOWN(IF( OR( AND(tabItens[[#This Row],[PontoPed]]&lt;tabItens[[#This Row],[Saldo]],tabItens[[#This Row],[Saldo]]&gt;0), tabItens[[#This Row],[PontoPed]]=0), 99, IF(AND(tabItens[[#This Row],[Saldo]]=0,tabItens[[#This Row],[PontoPed]]&gt;0), 0, (1-tabItens[[#This Row],[PctAb]])*10 ) ),0)</f>
        <v>99</v>
      </c>
      <c r="BE935" s="322">
        <f>MAX(ROUNDDOWN( IF(tabItens[[#This Row],[Abaixo]] &gt; 0,   tabItens[[#This Row],[Abaixo]] + (tabItens[[#This Row],[PontoMês]] * IF( OR( ISBLANK(tabItens[[#This Row],[ATA Nº/ANO]]), tabItens[[#This Row],[ATA Nº/ANO]] = ""),BE$2,BE$1)),0),0),0)</f>
        <v>0</v>
      </c>
      <c r="BF93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23">
        <f>SUMIF(Consumo!$C$3:$C$869,tabItens[[#This Row],[CÓDIGO]],Consumo!$E$3:$E$869)</f>
        <v>0</v>
      </c>
      <c r="BH935" s="324">
        <f>IF(AND(tabItens[[#This Row],[Pend]] &gt; 0,tabItens[[#This Row],[Consumo]] &lt;&gt; 0), tabItens[[#This Row],[Pend]] / tabItens[[#This Row],[Consumo]], 0 )</f>
        <v>0</v>
      </c>
      <c r="BI935" s="323"/>
      <c r="BJ935" s="323"/>
      <c r="BK935" s="325" t="s">
        <v>2064</v>
      </c>
    </row>
    <row r="936" spans="1:63" hidden="1" x14ac:dyDescent="0.3">
      <c r="A936" s="286">
        <v>38648</v>
      </c>
      <c r="B936" s="287" t="s">
        <v>865</v>
      </c>
      <c r="C936" s="288" t="s">
        <v>331</v>
      </c>
      <c r="D936" s="289">
        <v>5.33</v>
      </c>
      <c r="E936" s="290"/>
      <c r="F936" s="290"/>
      <c r="G936" s="290" t="s">
        <v>883</v>
      </c>
      <c r="H936" s="291">
        <v>308</v>
      </c>
      <c r="I936" s="292">
        <v>103003</v>
      </c>
      <c r="J936" s="293">
        <v>5.33</v>
      </c>
      <c r="K936" s="294"/>
      <c r="L936" s="295">
        <f>IF(tabItens[[#This Row],[Média]] &gt; 0, tabItens[[#This Row],[QTDE ATUAL]] / tabItens[[#This Row],[Média]],999.9)</f>
        <v>999.9</v>
      </c>
      <c r="M936" s="296">
        <v>0</v>
      </c>
      <c r="N936" s="297">
        <f>tabItens[[#This Row],[VALOR UNIT.]] * tabItens[[#This Row],[LC]]</f>
        <v>0</v>
      </c>
      <c r="O936" s="298"/>
      <c r="P936" s="299"/>
      <c r="Q936" s="300"/>
      <c r="R936" s="297"/>
      <c r="S936" s="301"/>
      <c r="T936" s="302">
        <f>ROUNDDOWN(IFERROR(tabItens[[#This Row],[ATA DT.VALID.]] - $D$1,0) / 30,0)</f>
        <v>-1504</v>
      </c>
      <c r="U936" s="287" t="s">
        <v>1270</v>
      </c>
      <c r="V936" s="303">
        <v>1</v>
      </c>
      <c r="W936" s="304" t="s">
        <v>2051</v>
      </c>
      <c r="X936" s="305">
        <v>59</v>
      </c>
      <c r="Y936" s="306">
        <v>18</v>
      </c>
      <c r="Z936" s="307"/>
      <c r="AA936" s="308"/>
      <c r="AB936" s="309"/>
      <c r="AC936" s="309"/>
      <c r="AD936" s="308"/>
      <c r="AE936" s="309"/>
      <c r="AF936" s="302"/>
      <c r="AG936" s="310" t="s">
        <v>2050</v>
      </c>
      <c r="AH936" s="311"/>
      <c r="AI936" s="302">
        <v>0</v>
      </c>
      <c r="AJ936" s="311">
        <v>44034</v>
      </c>
      <c r="AK936" s="311" t="s">
        <v>883</v>
      </c>
      <c r="AL936" s="311">
        <v>44027</v>
      </c>
      <c r="AM936" s="301"/>
      <c r="AN936" s="290"/>
      <c r="AO936" s="312" t="str">
        <f>_xlfn.IFNA(IF(VLOOKUP(tabItens[[#This Row],[CÓDIGO]],tabExcluirDoEstoque[#Data],1,FALSE),"sim",""),"")</f>
        <v>sim</v>
      </c>
      <c r="AP936" s="313" t="str">
        <f ca="1">IF(OR(ISBLANK(tabItens[[#This Row],[ATA DT.VALID.]]),tabItens[[#This Row],[ATA DT.VALID.]]="",tabItens[[#This Row],[ATA DT.VALID.]]=" "),"",IF(TYPE(tabItens[[#This Row],[ATA DT.VALID.]])=1,ROUNDUP((tabItens[[#This Row],[ATA DT.VALID.]]-TODAY())/7,0),""))</f>
        <v/>
      </c>
      <c r="AQ936" s="314"/>
      <c r="AR936" s="315">
        <f>IF(ISBLANK(tabItens[[#This Row],[CÓDIGO]]),"",IFERROR(VLOOKUP(tabItens[[#This Row],[CÓDIGO]],Consumo!$C$2:$AC$869,26,FALSE),0))</f>
        <v>0</v>
      </c>
      <c r="AS936" s="316">
        <f>SUMIF(Consumo!$C$3:$C$869,tabItens[[#This Row],[CÓDIGO]],Consumo!$N$3:$N$869) + SUMIF(Consumo!$C$3:$C$869,tabItens[[#This Row],[CÓDIGO]],Consumo!$O$3:$O$869) + SUMIF(Consumo!$C$3:$C$869,tabItens[[#This Row],[CÓDIGO]],Consumo!$P$3:$P$869) + SUMIF(Consumo!$C$3:$C$869,tabItens[[#This Row],[CÓDIGO]],Consumo!$Q$3:$Q$869)</f>
        <v>0</v>
      </c>
      <c r="AT936" s="316">
        <f>SUMIF(Consumo!$C$3:$C$869,tabItens[[#This Row],[CÓDIGO]],Consumo!$Z$3:$Z$869)</f>
        <v>0</v>
      </c>
      <c r="AU936" s="317">
        <f>SUMIF(Consumo!$C$3:$C$869,tabItens[[#This Row],[CÓDIGO]],Consumo!$AA$3:$AA$869)</f>
        <v>0</v>
      </c>
      <c r="AV936" s="318">
        <f>SUMIF(Consumo!$C$3:$C$869,tabItens[[#This Row],[CÓDIGO]],Consumo!$Y$3:$Y$869)</f>
        <v>0</v>
      </c>
      <c r="AW936" s="291">
        <f>tabItens[[#This Row],[QTDE ATUAL]] + tabItens[[#This Row],[RC QTDE]] + tabItens[[#This Row],[AF SALDO]] + tabItens[[#This Row],[Recentes]]</f>
        <v>308</v>
      </c>
      <c r="AX936" s="319">
        <v>17</v>
      </c>
      <c r="AY936" s="319">
        <v>4</v>
      </c>
      <c r="AZ936" s="319">
        <f>IF(ISBLANK(tabItens[[#This Row],[CÓDIGO]]),"",tabItens[[#This Row],[PontoMês]] * (AZ$2+tabItens[[#This Row],[PontoQtM]]))</f>
        <v>68</v>
      </c>
      <c r="BA936" s="318">
        <f>tabItens[[#This Row],[PontoPed]] - tabItens[[#This Row],[Saldo]] + (1/10)</f>
        <v>-239.9</v>
      </c>
      <c r="BB936" s="318">
        <f xml:space="preserve"> tabItens[[#This Row],[PontoMês]] * BB$2 - tabItens[[#This Row],[QTDE ATUAL]] - (1/10)</f>
        <v>-291.10000000000002</v>
      </c>
      <c r="BC936" s="320">
        <f>IF( tabItens[[#This Row],[PontoPed]]&gt;0, IF(tabItens[[#This Row],[PontoPed]]&lt;1, 1, IF( tabItens[[#This Row],[Saldo]]&gt;tabItens[[#This Row],[PontoPed]], 0, (tabItens[[#This Row],[PontoPed]]-tabItens[[#This Row],[Saldo]])/tabItens[[#This Row],[PontoPed]] ) ), 0 )</f>
        <v>0</v>
      </c>
      <c r="BD936" s="321">
        <f>ROUNDDOWN(IF( OR( AND(tabItens[[#This Row],[PontoPed]]&lt;tabItens[[#This Row],[Saldo]],tabItens[[#This Row],[Saldo]]&gt;0), tabItens[[#This Row],[PontoPed]]=0), 99, IF(AND(tabItens[[#This Row],[Saldo]]=0,tabItens[[#This Row],[PontoPed]]&gt;0), 0, (1-tabItens[[#This Row],[PctAb]])*10 ) ),0)</f>
        <v>99</v>
      </c>
      <c r="BE936" s="322">
        <f>MAX(ROUNDDOWN( IF(tabItens[[#This Row],[Abaixo]] &gt; 0,   tabItens[[#This Row],[Abaixo]] + (tabItens[[#This Row],[PontoMês]] * IF( OR( ISBLANK(tabItens[[#This Row],[ATA Nº/ANO]]), tabItens[[#This Row],[ATA Nº/ANO]] = ""),BE$2,BE$1)),0),0),0)</f>
        <v>0</v>
      </c>
      <c r="BF936"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23">
        <f>SUMIF(Consumo!$C$3:$C$869,tabItens[[#This Row],[CÓDIGO]],Consumo!$E$3:$E$869)</f>
        <v>0</v>
      </c>
      <c r="BH936" s="324">
        <f>IF(AND(tabItens[[#This Row],[Pend]] &gt; 0,tabItens[[#This Row],[Consumo]] &lt;&gt; 0), tabItens[[#This Row],[Pend]] / tabItens[[#This Row],[Consumo]], 0 )</f>
        <v>0</v>
      </c>
      <c r="BI936" s="323"/>
      <c r="BJ936" s="323"/>
      <c r="BK936" s="325" t="s">
        <v>2064</v>
      </c>
    </row>
    <row r="937" spans="1:63" hidden="1" x14ac:dyDescent="0.3">
      <c r="A937" s="286">
        <v>119087</v>
      </c>
      <c r="B937" s="287" t="s">
        <v>867</v>
      </c>
      <c r="C937" s="288" t="s">
        <v>256</v>
      </c>
      <c r="D937" s="289">
        <v>5.48</v>
      </c>
      <c r="E937" s="290"/>
      <c r="F937" s="290"/>
      <c r="G937" s="290" t="s">
        <v>883</v>
      </c>
      <c r="H937" s="291">
        <v>255</v>
      </c>
      <c r="I937" s="292">
        <v>103003</v>
      </c>
      <c r="J937" s="293">
        <v>5.48</v>
      </c>
      <c r="K937" s="294">
        <v>30</v>
      </c>
      <c r="L937" s="295">
        <f>IF(tabItens[[#This Row],[Média]] &gt; 0, tabItens[[#This Row],[QTDE ATUAL]] / tabItens[[#This Row],[Média]],999.9)</f>
        <v>161.05263157894737</v>
      </c>
      <c r="M937" s="296">
        <v>0</v>
      </c>
      <c r="N937" s="297">
        <f>tabItens[[#This Row],[VALOR UNIT.]] * tabItens[[#This Row],[LC]]</f>
        <v>0</v>
      </c>
      <c r="O937" s="298"/>
      <c r="P937" s="299"/>
      <c r="Q937" s="300"/>
      <c r="R937" s="297"/>
      <c r="S937" s="301"/>
      <c r="T937" s="302">
        <f>ROUNDDOWN(IFERROR(tabItens[[#This Row],[ATA DT.VALID.]] - $D$1,0) / 30,0)</f>
        <v>-1504</v>
      </c>
      <c r="U937" s="287" t="s">
        <v>1270</v>
      </c>
      <c r="V937" s="303">
        <v>1</v>
      </c>
      <c r="W937" s="304" t="s">
        <v>2051</v>
      </c>
      <c r="X937" s="305">
        <v>59</v>
      </c>
      <c r="Y937" s="306">
        <v>18</v>
      </c>
      <c r="Z937" s="307"/>
      <c r="AA937" s="308"/>
      <c r="AB937" s="309"/>
      <c r="AC937" s="309"/>
      <c r="AD937" s="308"/>
      <c r="AE937" s="309"/>
      <c r="AF937" s="302"/>
      <c r="AG937" s="310" t="s">
        <v>2050</v>
      </c>
      <c r="AH937" s="311"/>
      <c r="AI937" s="302">
        <v>18</v>
      </c>
      <c r="AJ937" s="311">
        <v>40842</v>
      </c>
      <c r="AK937" s="311">
        <v>40575</v>
      </c>
      <c r="AL937" s="311">
        <v>40834</v>
      </c>
      <c r="AM937" s="301"/>
      <c r="AN937" s="290"/>
      <c r="AO937" s="312" t="str">
        <f>_xlfn.IFNA(IF(VLOOKUP(tabItens[[#This Row],[CÓDIGO]],tabExcluirDoEstoque[#Data],1,FALSE),"sim",""),"")</f>
        <v>sim</v>
      </c>
      <c r="AP937" s="313" t="str">
        <f ca="1">IF(OR(ISBLANK(tabItens[[#This Row],[ATA DT.VALID.]]),tabItens[[#This Row],[ATA DT.VALID.]]="",tabItens[[#This Row],[ATA DT.VALID.]]=" "),"",IF(TYPE(tabItens[[#This Row],[ATA DT.VALID.]])=1,ROUNDUP((tabItens[[#This Row],[ATA DT.VALID.]]-TODAY())/7,0),""))</f>
        <v/>
      </c>
      <c r="AQ937" s="314"/>
      <c r="AR937" s="315" t="str">
        <f>IF(ISBLANK(tabItens[[#This Row],[CÓDIGO]]),"",IFERROR(VLOOKUP(tabItens[[#This Row],[CÓDIGO]],Consumo!$C$2:$AC$869,26,FALSE),0))</f>
        <v>05.2023</v>
      </c>
      <c r="AS937" s="316">
        <f>SUMIF(Consumo!$C$3:$C$869,tabItens[[#This Row],[CÓDIGO]],Consumo!$N$3:$N$869) + SUMIF(Consumo!$C$3:$C$869,tabItens[[#This Row],[CÓDIGO]],Consumo!$O$3:$O$869) + SUMIF(Consumo!$C$3:$C$869,tabItens[[#This Row],[CÓDIGO]],Consumo!$P$3:$P$869) + SUMIF(Consumo!$C$3:$C$869,tabItens[[#This Row],[CÓDIGO]],Consumo!$Q$3:$Q$869)</f>
        <v>30</v>
      </c>
      <c r="AT937" s="316">
        <f>SUMIF(Consumo!$C$3:$C$869,tabItens[[#This Row],[CÓDIGO]],Consumo!$Z$3:$Z$869)</f>
        <v>30</v>
      </c>
      <c r="AU937" s="317">
        <f>SUMIF(Consumo!$C$3:$C$869,tabItens[[#This Row],[CÓDIGO]],Consumo!$AA$3:$AA$869)</f>
        <v>30</v>
      </c>
      <c r="AV937" s="318">
        <f>SUMIF(Consumo!$C$3:$C$869,tabItens[[#This Row],[CÓDIGO]],Consumo!$Y$3:$Y$869)</f>
        <v>1.5833333333333333</v>
      </c>
      <c r="AW937" s="291">
        <f>tabItens[[#This Row],[QTDE ATUAL]] + tabItens[[#This Row],[RC QTDE]] + tabItens[[#This Row],[AF SALDO]] + tabItens[[#This Row],[Recentes]]</f>
        <v>255</v>
      </c>
      <c r="AX937" s="319">
        <v>1</v>
      </c>
      <c r="AY937" s="319">
        <v>4</v>
      </c>
      <c r="AZ937" s="319">
        <f>IF(ISBLANK(tabItens[[#This Row],[CÓDIGO]]),"",tabItens[[#This Row],[PontoMês]] * (AZ$2+tabItens[[#This Row],[PontoQtM]]))</f>
        <v>4</v>
      </c>
      <c r="BA937" s="318">
        <f>tabItens[[#This Row],[PontoPed]] - tabItens[[#This Row],[Saldo]] + (1/10)</f>
        <v>-250.9</v>
      </c>
      <c r="BB937" s="318">
        <f xml:space="preserve"> tabItens[[#This Row],[PontoMês]] * BB$2 - tabItens[[#This Row],[QTDE ATUAL]] - (1/10)</f>
        <v>-254.1</v>
      </c>
      <c r="BC937" s="320">
        <f>IF( tabItens[[#This Row],[PontoPed]]&gt;0, IF(tabItens[[#This Row],[PontoPed]]&lt;1, 1, IF( tabItens[[#This Row],[Saldo]]&gt;tabItens[[#This Row],[PontoPed]], 0, (tabItens[[#This Row],[PontoPed]]-tabItens[[#This Row],[Saldo]])/tabItens[[#This Row],[PontoPed]] ) ), 0 )</f>
        <v>0</v>
      </c>
      <c r="BD937" s="321">
        <f>ROUNDDOWN(IF( OR( AND(tabItens[[#This Row],[PontoPed]]&lt;tabItens[[#This Row],[Saldo]],tabItens[[#This Row],[Saldo]]&gt;0), tabItens[[#This Row],[PontoPed]]=0), 99, IF(AND(tabItens[[#This Row],[Saldo]]=0,tabItens[[#This Row],[PontoPed]]&gt;0), 0, (1-tabItens[[#This Row],[PctAb]])*10 ) ),0)</f>
        <v>99</v>
      </c>
      <c r="BE937" s="322">
        <f>MAX(ROUNDDOWN( IF(tabItens[[#This Row],[Abaixo]] &gt; 0,   tabItens[[#This Row],[Abaixo]] + (tabItens[[#This Row],[PontoMês]] * IF( OR( ISBLANK(tabItens[[#This Row],[ATA Nº/ANO]]), tabItens[[#This Row],[ATA Nº/ANO]] = ""),BE$2,BE$1)),0),0),0)</f>
        <v>0</v>
      </c>
      <c r="BF937"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323">
        <f>SUMIF(Consumo!$C$3:$C$869,tabItens[[#This Row],[CÓDIGO]],Consumo!$E$3:$E$869)</f>
        <v>0</v>
      </c>
      <c r="BH937" s="324">
        <f>IF(AND(tabItens[[#This Row],[Pend]] &gt; 0,tabItens[[#This Row],[Consumo]] &lt;&gt; 0), tabItens[[#This Row],[Pend]] / tabItens[[#This Row],[Consumo]], 0 )</f>
        <v>0</v>
      </c>
      <c r="BI937" s="323"/>
      <c r="BJ937" s="323"/>
      <c r="BK937" s="325" t="s">
        <v>2064</v>
      </c>
    </row>
    <row r="938" spans="1:63" hidden="1" x14ac:dyDescent="0.3">
      <c r="A938" s="286">
        <v>13021</v>
      </c>
      <c r="B938" s="287" t="s">
        <v>864</v>
      </c>
      <c r="C938" s="288" t="s">
        <v>413</v>
      </c>
      <c r="D938" s="289">
        <v>0.95</v>
      </c>
      <c r="E938" s="290"/>
      <c r="F938" s="290"/>
      <c r="G938" s="290" t="s">
        <v>883</v>
      </c>
      <c r="H938" s="291">
        <v>250</v>
      </c>
      <c r="I938" s="292">
        <v>103003</v>
      </c>
      <c r="J938" s="293">
        <v>1.27</v>
      </c>
      <c r="K938" s="294"/>
      <c r="L938" s="295">
        <f>IF(tabItens[[#This Row],[Média]] &gt; 0, tabItens[[#This Row],[QTDE ATUAL]] / tabItens[[#This Row],[Média]],999.9)</f>
        <v>999.9</v>
      </c>
      <c r="M938" s="296">
        <v>0</v>
      </c>
      <c r="N938" s="297">
        <f>tabItens[[#This Row],[VALOR UNIT.]] * tabItens[[#This Row],[LC]]</f>
        <v>0</v>
      </c>
      <c r="O938" s="298"/>
      <c r="P938" s="299"/>
      <c r="Q938" s="300"/>
      <c r="R938" s="297"/>
      <c r="S938" s="301"/>
      <c r="T938" s="302">
        <f>ROUNDDOWN(IFERROR(tabItens[[#This Row],[ATA DT.VALID.]] - $D$1,0) / 30,0)</f>
        <v>-1504</v>
      </c>
      <c r="U938" s="287" t="s">
        <v>989</v>
      </c>
      <c r="V938" s="303">
        <v>1</v>
      </c>
      <c r="W938" s="304" t="s">
        <v>2049</v>
      </c>
      <c r="X938" s="305">
        <v>67</v>
      </c>
      <c r="Y938" s="306">
        <v>6</v>
      </c>
      <c r="Z938" s="307"/>
      <c r="AA938" s="308"/>
      <c r="AB938" s="309"/>
      <c r="AC938" s="309"/>
      <c r="AD938" s="308"/>
      <c r="AE938" s="309"/>
      <c r="AF938" s="302"/>
      <c r="AG938" s="310" t="s">
        <v>2050</v>
      </c>
      <c r="AH938" s="311"/>
      <c r="AI938" s="302">
        <v>0</v>
      </c>
      <c r="AJ938" s="311" t="s">
        <v>883</v>
      </c>
      <c r="AK938" s="311" t="s">
        <v>883</v>
      </c>
      <c r="AL938" s="311">
        <v>35536</v>
      </c>
      <c r="AM938" s="301"/>
      <c r="AN938" s="290"/>
      <c r="AO938" s="312" t="str">
        <f>_xlfn.IFNA(IF(VLOOKUP(tabItens[[#This Row],[CÓDIGO]],tabExcluirDoEstoque[#Data],1,FALSE),"sim",""),"")</f>
        <v>sim</v>
      </c>
      <c r="AP938" s="313" t="str">
        <f ca="1">IF(OR(ISBLANK(tabItens[[#This Row],[ATA DT.VALID.]]),tabItens[[#This Row],[ATA DT.VALID.]]="",tabItens[[#This Row],[ATA DT.VALID.]]=" "),"",IF(TYPE(tabItens[[#This Row],[ATA DT.VALID.]])=1,ROUNDUP((tabItens[[#This Row],[ATA DT.VALID.]]-TODAY())/7,0),""))</f>
        <v/>
      </c>
      <c r="AQ938" s="314"/>
      <c r="AR938" s="315">
        <f>IF(ISBLANK(tabItens[[#This Row],[CÓDIGO]]),"",IFERROR(VLOOKUP(tabItens[[#This Row],[CÓDIGO]],Consumo!$C$2:$AC$869,26,FALSE),0))</f>
        <v>0</v>
      </c>
      <c r="AS938" s="316">
        <f>SUMIF(Consumo!$C$3:$C$869,tabItens[[#This Row],[CÓDIGO]],Consumo!$N$3:$N$869) + SUMIF(Consumo!$C$3:$C$869,tabItens[[#This Row],[CÓDIGO]],Consumo!$O$3:$O$869) + SUMIF(Consumo!$C$3:$C$869,tabItens[[#This Row],[CÓDIGO]],Consumo!$P$3:$P$869) + SUMIF(Consumo!$C$3:$C$869,tabItens[[#This Row],[CÓDIGO]],Consumo!$Q$3:$Q$869)</f>
        <v>0</v>
      </c>
      <c r="AT938" s="316">
        <f>SUMIF(Consumo!$C$3:$C$869,tabItens[[#This Row],[CÓDIGO]],Consumo!$Z$3:$Z$869)</f>
        <v>0</v>
      </c>
      <c r="AU938" s="317">
        <f>SUMIF(Consumo!$C$3:$C$869,tabItens[[#This Row],[CÓDIGO]],Consumo!$AA$3:$AA$869)</f>
        <v>0</v>
      </c>
      <c r="AV938" s="318">
        <f>SUMIF(Consumo!$C$3:$C$869,tabItens[[#This Row],[CÓDIGO]],Consumo!$Y$3:$Y$869)</f>
        <v>0</v>
      </c>
      <c r="AW938" s="291">
        <f>tabItens[[#This Row],[QTDE ATUAL]] + tabItens[[#This Row],[RC QTDE]] + tabItens[[#This Row],[AF SALDO]] + tabItens[[#This Row],[Recentes]]</f>
        <v>250</v>
      </c>
      <c r="AX938" s="319">
        <v>0</v>
      </c>
      <c r="AY938" s="319">
        <v>4</v>
      </c>
      <c r="AZ938" s="319">
        <f>IF(ISBLANK(tabItens[[#This Row],[CÓDIGO]]),"",tabItens[[#This Row],[PontoMês]] * (AZ$2+tabItens[[#This Row],[PontoQtM]]))</f>
        <v>0</v>
      </c>
      <c r="BA938" s="318">
        <f>tabItens[[#This Row],[PontoPed]] - tabItens[[#This Row],[Saldo]] + (1/10)</f>
        <v>-249.9</v>
      </c>
      <c r="BB938" s="318">
        <f xml:space="preserve"> tabItens[[#This Row],[PontoMês]] * BB$2 - tabItens[[#This Row],[QTDE ATUAL]] - (1/10)</f>
        <v>-250.1</v>
      </c>
      <c r="BC938" s="320">
        <f>IF( tabItens[[#This Row],[PontoPed]]&gt;0, IF(tabItens[[#This Row],[PontoPed]]&lt;1, 1, IF( tabItens[[#This Row],[Saldo]]&gt;tabItens[[#This Row],[PontoPed]], 0, (tabItens[[#This Row],[PontoPed]]-tabItens[[#This Row],[Saldo]])/tabItens[[#This Row],[PontoPed]] ) ), 0 )</f>
        <v>0</v>
      </c>
      <c r="BD938" s="321">
        <f>ROUNDDOWN(IF( OR( AND(tabItens[[#This Row],[PontoPed]]&lt;tabItens[[#This Row],[Saldo]],tabItens[[#This Row],[Saldo]]&gt;0), tabItens[[#This Row],[PontoPed]]=0), 99, IF(AND(tabItens[[#This Row],[Saldo]]=0,tabItens[[#This Row],[PontoPed]]&gt;0), 0, (1-tabItens[[#This Row],[PctAb]])*10 ) ),0)</f>
        <v>99</v>
      </c>
      <c r="BE938" s="322">
        <f>MAX(ROUNDDOWN( IF(tabItens[[#This Row],[Abaixo]] &gt; 0,   tabItens[[#This Row],[Abaixo]] + (tabItens[[#This Row],[PontoMês]] * IF( OR( ISBLANK(tabItens[[#This Row],[ATA Nº/ANO]]), tabItens[[#This Row],[ATA Nº/ANO]] = ""),BE$2,BE$1)),0),0),0)</f>
        <v>0</v>
      </c>
      <c r="BF938"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23">
        <f>SUMIF(Consumo!$C$3:$C$869,tabItens[[#This Row],[CÓDIGO]],Consumo!$E$3:$E$869)</f>
        <v>0</v>
      </c>
      <c r="BH938" s="324">
        <f>IF(AND(tabItens[[#This Row],[Pend]] &gt; 0,tabItens[[#This Row],[Consumo]] &lt;&gt; 0), tabItens[[#This Row],[Pend]] / tabItens[[#This Row],[Consumo]], 0 )</f>
        <v>0</v>
      </c>
      <c r="BI938" s="323"/>
      <c r="BJ938" s="323"/>
      <c r="BK938" s="325" t="s">
        <v>2064</v>
      </c>
    </row>
    <row r="939" spans="1:63" hidden="1" x14ac:dyDescent="0.3">
      <c r="A939" s="286">
        <v>2278</v>
      </c>
      <c r="B939" s="287" t="s">
        <v>875</v>
      </c>
      <c r="C939" s="288" t="s">
        <v>281</v>
      </c>
      <c r="D939" s="289">
        <v>5.01</v>
      </c>
      <c r="E939" s="290"/>
      <c r="F939" s="290"/>
      <c r="G939" s="290" t="s">
        <v>883</v>
      </c>
      <c r="H939" s="291">
        <v>208</v>
      </c>
      <c r="I939" s="292">
        <v>103003</v>
      </c>
      <c r="J939" s="293">
        <v>5.01</v>
      </c>
      <c r="K939" s="294">
        <v>1</v>
      </c>
      <c r="L939" s="295">
        <f>IF(tabItens[[#This Row],[Média]] &gt; 0, tabItens[[#This Row],[QTDE ATUAL]] / tabItens[[#This Row],[Média]],999.9)</f>
        <v>999.9</v>
      </c>
      <c r="M939" s="296">
        <v>0</v>
      </c>
      <c r="N939" s="297">
        <f>tabItens[[#This Row],[VALOR UNIT.]] * tabItens[[#This Row],[LC]]</f>
        <v>0</v>
      </c>
      <c r="O939" s="298"/>
      <c r="P939" s="299"/>
      <c r="Q939" s="300"/>
      <c r="R939" s="297"/>
      <c r="S939" s="301"/>
      <c r="T939" s="302">
        <f>ROUNDDOWN(IFERROR(tabItens[[#This Row],[ATA DT.VALID.]] - $D$1,0) / 30,0)</f>
        <v>-1504</v>
      </c>
      <c r="U939" s="287" t="s">
        <v>884</v>
      </c>
      <c r="V939" s="303">
        <v>1</v>
      </c>
      <c r="W939" s="304" t="s">
        <v>2049</v>
      </c>
      <c r="X939" s="305">
        <v>70</v>
      </c>
      <c r="Y939" s="306">
        <v>17</v>
      </c>
      <c r="Z939" s="307"/>
      <c r="AA939" s="308"/>
      <c r="AB939" s="309"/>
      <c r="AC939" s="309"/>
      <c r="AD939" s="308"/>
      <c r="AE939" s="309"/>
      <c r="AF939" s="302"/>
      <c r="AG939" s="310" t="s">
        <v>2050</v>
      </c>
      <c r="AH939" s="311"/>
      <c r="AI939" s="302">
        <v>0</v>
      </c>
      <c r="AJ939" s="311">
        <v>44550</v>
      </c>
      <c r="AK939" s="311" t="s">
        <v>883</v>
      </c>
      <c r="AL939" s="311">
        <v>44536</v>
      </c>
      <c r="AM939" s="301"/>
      <c r="AN939" s="290"/>
      <c r="AO939" s="312" t="str">
        <f>_xlfn.IFNA(IF(VLOOKUP(tabItens[[#This Row],[CÓDIGO]],tabExcluirDoEstoque[#Data],1,FALSE),"sim",""),"")</f>
        <v>sim</v>
      </c>
      <c r="AP939" s="313" t="str">
        <f ca="1">IF(OR(ISBLANK(tabItens[[#This Row],[ATA DT.VALID.]]),tabItens[[#This Row],[ATA DT.VALID.]]="",tabItens[[#This Row],[ATA DT.VALID.]]=" "),"",IF(TYPE(tabItens[[#This Row],[ATA DT.VALID.]])=1,ROUNDUP((tabItens[[#This Row],[ATA DT.VALID.]]-TODAY())/7,0),""))</f>
        <v/>
      </c>
      <c r="AQ939" s="314"/>
      <c r="AR939" s="315" t="str">
        <f>IF(ISBLANK(tabItens[[#This Row],[CÓDIGO]]),"",IFERROR(VLOOKUP(tabItens[[#This Row],[CÓDIGO]],Consumo!$C$2:$AC$869,26,FALSE),0))</f>
        <v>10.2022</v>
      </c>
      <c r="AS939" s="316">
        <f>SUMIF(Consumo!$C$3:$C$869,tabItens[[#This Row],[CÓDIGO]],Consumo!$N$3:$N$869) + SUMIF(Consumo!$C$3:$C$869,tabItens[[#This Row],[CÓDIGO]],Consumo!$O$3:$O$869) + SUMIF(Consumo!$C$3:$C$869,tabItens[[#This Row],[CÓDIGO]],Consumo!$P$3:$P$869) + SUMIF(Consumo!$C$3:$C$869,tabItens[[#This Row],[CÓDIGO]],Consumo!$Q$3:$Q$869)</f>
        <v>0</v>
      </c>
      <c r="AT939" s="316">
        <f>SUMIF(Consumo!$C$3:$C$869,tabItens[[#This Row],[CÓDIGO]],Consumo!$Z$3:$Z$869)</f>
        <v>1</v>
      </c>
      <c r="AU939" s="317">
        <f>SUMIF(Consumo!$C$3:$C$869,tabItens[[#This Row],[CÓDIGO]],Consumo!$AA$3:$AA$869)</f>
        <v>1</v>
      </c>
      <c r="AV939" s="318">
        <f>SUMIF(Consumo!$C$3:$C$869,tabItens[[#This Row],[CÓDIGO]],Consumo!$Y$3:$Y$869)</f>
        <v>0</v>
      </c>
      <c r="AW939" s="291">
        <f>tabItens[[#This Row],[QTDE ATUAL]] + tabItens[[#This Row],[RC QTDE]] + tabItens[[#This Row],[AF SALDO]] + tabItens[[#This Row],[Recentes]]</f>
        <v>208</v>
      </c>
      <c r="AX939" s="319">
        <v>1</v>
      </c>
      <c r="AY939" s="319">
        <v>4</v>
      </c>
      <c r="AZ939" s="319">
        <f>IF(ISBLANK(tabItens[[#This Row],[CÓDIGO]]),"",tabItens[[#This Row],[PontoMês]] * (AZ$2+tabItens[[#This Row],[PontoQtM]]))</f>
        <v>4</v>
      </c>
      <c r="BA939" s="318">
        <f>tabItens[[#This Row],[PontoPed]] - tabItens[[#This Row],[Saldo]] + (1/10)</f>
        <v>-203.9</v>
      </c>
      <c r="BB939" s="318">
        <f xml:space="preserve"> tabItens[[#This Row],[PontoMês]] * BB$2 - tabItens[[#This Row],[QTDE ATUAL]] - (1/10)</f>
        <v>-207.1</v>
      </c>
      <c r="BC939" s="320">
        <f>IF( tabItens[[#This Row],[PontoPed]]&gt;0, IF(tabItens[[#This Row],[PontoPed]]&lt;1, 1, IF( tabItens[[#This Row],[Saldo]]&gt;tabItens[[#This Row],[PontoPed]], 0, (tabItens[[#This Row],[PontoPed]]-tabItens[[#This Row],[Saldo]])/tabItens[[#This Row],[PontoPed]] ) ), 0 )</f>
        <v>0</v>
      </c>
      <c r="BD939" s="321">
        <f>ROUNDDOWN(IF( OR( AND(tabItens[[#This Row],[PontoPed]]&lt;tabItens[[#This Row],[Saldo]],tabItens[[#This Row],[Saldo]]&gt;0), tabItens[[#This Row],[PontoPed]]=0), 99, IF(AND(tabItens[[#This Row],[Saldo]]=0,tabItens[[#This Row],[PontoPed]]&gt;0), 0, (1-tabItens[[#This Row],[PctAb]])*10 ) ),0)</f>
        <v>99</v>
      </c>
      <c r="BE939" s="322">
        <f>MAX(ROUNDDOWN( IF(tabItens[[#This Row],[Abaixo]] &gt; 0,   tabItens[[#This Row],[Abaixo]] + (tabItens[[#This Row],[PontoMês]] * IF( OR( ISBLANK(tabItens[[#This Row],[ATA Nº/ANO]]), tabItens[[#This Row],[ATA Nº/ANO]] = ""),BE$2,BE$1)),0),0),0)</f>
        <v>0</v>
      </c>
      <c r="BF939"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23">
        <f>SUMIF(Consumo!$C$3:$C$869,tabItens[[#This Row],[CÓDIGO]],Consumo!$E$3:$E$869)</f>
        <v>0</v>
      </c>
      <c r="BH939" s="324">
        <f>IF(AND(tabItens[[#This Row],[Pend]] &gt; 0,tabItens[[#This Row],[Consumo]] &lt;&gt; 0), tabItens[[#This Row],[Pend]] / tabItens[[#This Row],[Consumo]], 0 )</f>
        <v>0</v>
      </c>
      <c r="BI939" s="323"/>
      <c r="BJ939" s="323"/>
      <c r="BK939" s="325" t="s">
        <v>2064</v>
      </c>
    </row>
    <row r="940" spans="1:63" hidden="1" x14ac:dyDescent="0.3">
      <c r="A940" s="286">
        <v>128392</v>
      </c>
      <c r="B940" s="287" t="s">
        <v>510</v>
      </c>
      <c r="C940" s="288" t="s">
        <v>281</v>
      </c>
      <c r="D940" s="289">
        <v>210.5</v>
      </c>
      <c r="E940" s="290"/>
      <c r="F940" s="290"/>
      <c r="G940" s="290" t="s">
        <v>883</v>
      </c>
      <c r="H940" s="291">
        <v>103</v>
      </c>
      <c r="I940" s="292">
        <v>103003</v>
      </c>
      <c r="J940" s="293">
        <v>210.5</v>
      </c>
      <c r="K940" s="294"/>
      <c r="L940" s="295">
        <f>IF(tabItens[[#This Row],[Média]] &gt; 0, tabItens[[#This Row],[QTDE ATUAL]] / tabItens[[#This Row],[Média]],999.9)</f>
        <v>999.9</v>
      </c>
      <c r="M940" s="296">
        <v>0</v>
      </c>
      <c r="N940" s="297">
        <f>tabItens[[#This Row],[VALOR UNIT.]] * tabItens[[#This Row],[LC]]</f>
        <v>0</v>
      </c>
      <c r="O940" s="298"/>
      <c r="P940" s="299"/>
      <c r="Q940" s="300"/>
      <c r="R940" s="297"/>
      <c r="S940" s="301"/>
      <c r="T940" s="302">
        <f>ROUNDDOWN(IFERROR(tabItens[[#This Row],[ATA DT.VALID.]] - $D$1,0) / 30,0)</f>
        <v>-1504</v>
      </c>
      <c r="U940" s="287" t="s">
        <v>1552</v>
      </c>
      <c r="V940" s="303">
        <v>1</v>
      </c>
      <c r="W940" s="304" t="s">
        <v>2056</v>
      </c>
      <c r="X940" s="305">
        <v>70</v>
      </c>
      <c r="Y940" s="306">
        <v>47</v>
      </c>
      <c r="Z940" s="307"/>
      <c r="AA940" s="308"/>
      <c r="AB940" s="309"/>
      <c r="AC940" s="309"/>
      <c r="AD940" s="308"/>
      <c r="AE940" s="309"/>
      <c r="AF940" s="302"/>
      <c r="AG940" s="310" t="s">
        <v>2050</v>
      </c>
      <c r="AH940" s="311"/>
      <c r="AI940" s="302">
        <v>0</v>
      </c>
      <c r="AJ940" s="311">
        <v>42522</v>
      </c>
      <c r="AK940" s="311">
        <v>41851</v>
      </c>
      <c r="AL940" s="311">
        <v>42499</v>
      </c>
      <c r="AM940" s="301"/>
      <c r="AN940" s="290"/>
      <c r="AO940" s="312" t="str">
        <f>_xlfn.IFNA(IF(VLOOKUP(tabItens[[#This Row],[CÓDIGO]],tabExcluirDoEstoque[#Data],1,FALSE),"sim",""),"")</f>
        <v>sim</v>
      </c>
      <c r="AP940" s="313" t="str">
        <f ca="1">IF(OR(ISBLANK(tabItens[[#This Row],[ATA DT.VALID.]]),tabItens[[#This Row],[ATA DT.VALID.]]="",tabItens[[#This Row],[ATA DT.VALID.]]=" "),"",IF(TYPE(tabItens[[#This Row],[ATA DT.VALID.]])=1,ROUNDUP((tabItens[[#This Row],[ATA DT.VALID.]]-TODAY())/7,0),""))</f>
        <v/>
      </c>
      <c r="AQ940" s="314"/>
      <c r="AR940" s="315">
        <f>IF(ISBLANK(tabItens[[#This Row],[CÓDIGO]]),"",IFERROR(VLOOKUP(tabItens[[#This Row],[CÓDIGO]],Consumo!$C$2:$AC$869,26,FALSE),0))</f>
        <v>0</v>
      </c>
      <c r="AS940" s="316">
        <f>SUMIF(Consumo!$C$3:$C$869,tabItens[[#This Row],[CÓDIGO]],Consumo!$N$3:$N$869) + SUMIF(Consumo!$C$3:$C$869,tabItens[[#This Row],[CÓDIGO]],Consumo!$O$3:$O$869) + SUMIF(Consumo!$C$3:$C$869,tabItens[[#This Row],[CÓDIGO]],Consumo!$P$3:$P$869) + SUMIF(Consumo!$C$3:$C$869,tabItens[[#This Row],[CÓDIGO]],Consumo!$Q$3:$Q$869)</f>
        <v>0</v>
      </c>
      <c r="AT940" s="316">
        <f>SUMIF(Consumo!$C$3:$C$869,tabItens[[#This Row],[CÓDIGO]],Consumo!$Z$3:$Z$869)</f>
        <v>0</v>
      </c>
      <c r="AU940" s="317">
        <f>SUMIF(Consumo!$C$3:$C$869,tabItens[[#This Row],[CÓDIGO]],Consumo!$AA$3:$AA$869)</f>
        <v>0</v>
      </c>
      <c r="AV940" s="318">
        <f>SUMIF(Consumo!$C$3:$C$869,tabItens[[#This Row],[CÓDIGO]],Consumo!$Y$3:$Y$869)</f>
        <v>0</v>
      </c>
      <c r="AW940" s="291">
        <f>tabItens[[#This Row],[QTDE ATUAL]] + tabItens[[#This Row],[RC QTDE]] + tabItens[[#This Row],[AF SALDO]] + tabItens[[#This Row],[Recentes]]</f>
        <v>103</v>
      </c>
      <c r="AX940" s="319">
        <v>0</v>
      </c>
      <c r="AY940" s="319">
        <v>0</v>
      </c>
      <c r="AZ940" s="319">
        <f>IF(ISBLANK(tabItens[[#This Row],[CÓDIGO]]),"",tabItens[[#This Row],[PontoMês]] * (AZ$2+tabItens[[#This Row],[PontoQtM]]))</f>
        <v>0</v>
      </c>
      <c r="BA940" s="318">
        <f>tabItens[[#This Row],[PontoPed]] - tabItens[[#This Row],[Saldo]] + (1/10)</f>
        <v>-102.9</v>
      </c>
      <c r="BB940" s="318">
        <f xml:space="preserve"> tabItens[[#This Row],[PontoMês]] * BB$2 - tabItens[[#This Row],[QTDE ATUAL]] - (1/10)</f>
        <v>-103.1</v>
      </c>
      <c r="BC940" s="320">
        <f>IF( tabItens[[#This Row],[PontoPed]]&gt;0, IF(tabItens[[#This Row],[PontoPed]]&lt;1, 1, IF( tabItens[[#This Row],[Saldo]]&gt;tabItens[[#This Row],[PontoPed]], 0, (tabItens[[#This Row],[PontoPed]]-tabItens[[#This Row],[Saldo]])/tabItens[[#This Row],[PontoPed]] ) ), 0 )</f>
        <v>0</v>
      </c>
      <c r="BD940" s="321">
        <f>ROUNDDOWN(IF( OR( AND(tabItens[[#This Row],[PontoPed]]&lt;tabItens[[#This Row],[Saldo]],tabItens[[#This Row],[Saldo]]&gt;0), tabItens[[#This Row],[PontoPed]]=0), 99, IF(AND(tabItens[[#This Row],[Saldo]]=0,tabItens[[#This Row],[PontoPed]]&gt;0), 0, (1-tabItens[[#This Row],[PctAb]])*10 ) ),0)</f>
        <v>99</v>
      </c>
      <c r="BE940" s="322">
        <f>MAX(ROUNDDOWN( IF(tabItens[[#This Row],[Abaixo]] &gt; 0,   tabItens[[#This Row],[Abaixo]] + (tabItens[[#This Row],[PontoMês]] * IF( OR( ISBLANK(tabItens[[#This Row],[ATA Nº/ANO]]), tabItens[[#This Row],[ATA Nº/ANO]] = ""),BE$2,BE$1)),0),0),0)</f>
        <v>0</v>
      </c>
      <c r="BF940"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23">
        <f>SUMIF(Consumo!$C$3:$C$869,tabItens[[#This Row],[CÓDIGO]],Consumo!$E$3:$E$869)</f>
        <v>0</v>
      </c>
      <c r="BH940" s="324">
        <f>IF(AND(tabItens[[#This Row],[Pend]] &gt; 0,tabItens[[#This Row],[Consumo]] &lt;&gt; 0), tabItens[[#This Row],[Pend]] / tabItens[[#This Row],[Consumo]], 0 )</f>
        <v>0</v>
      </c>
      <c r="BI940" s="323"/>
      <c r="BJ940" s="323"/>
      <c r="BK940" s="325" t="s">
        <v>2064</v>
      </c>
    </row>
    <row r="941" spans="1:63" hidden="1" x14ac:dyDescent="0.3">
      <c r="A941" s="286">
        <v>130614</v>
      </c>
      <c r="B941" s="287" t="s">
        <v>869</v>
      </c>
      <c r="C941" s="288" t="s">
        <v>275</v>
      </c>
      <c r="D941" s="289">
        <v>32.25</v>
      </c>
      <c r="E941" s="290"/>
      <c r="F941" s="290"/>
      <c r="G941" s="290" t="s">
        <v>883</v>
      </c>
      <c r="H941" s="291">
        <v>726</v>
      </c>
      <c r="I941" s="292">
        <v>103003</v>
      </c>
      <c r="J941" s="293">
        <v>32.25</v>
      </c>
      <c r="K941" s="294">
        <v>39</v>
      </c>
      <c r="L941" s="295">
        <f>IF(tabItens[[#This Row],[Média]] &gt; 0, tabItens[[#This Row],[QTDE ATUAL]] / tabItens[[#This Row],[Média]],999.9)</f>
        <v>264</v>
      </c>
      <c r="M941" s="296">
        <v>0</v>
      </c>
      <c r="N941" s="297">
        <f>tabItens[[#This Row],[VALOR UNIT.]] * tabItens[[#This Row],[LC]]</f>
        <v>0</v>
      </c>
      <c r="O941" s="298"/>
      <c r="P941" s="299"/>
      <c r="Q941" s="300"/>
      <c r="R941" s="297"/>
      <c r="S941" s="301"/>
      <c r="T941" s="302">
        <f>ROUNDDOWN(IFERROR(tabItens[[#This Row],[ATA DT.VALID.]] - $D$1,0) / 30,0)</f>
        <v>-1504</v>
      </c>
      <c r="U941" s="287" t="s">
        <v>1740</v>
      </c>
      <c r="V941" s="303">
        <v>1</v>
      </c>
      <c r="W941" s="304" t="s">
        <v>2061</v>
      </c>
      <c r="X941" s="305">
        <v>75</v>
      </c>
      <c r="Y941" s="306">
        <v>5</v>
      </c>
      <c r="Z941" s="307"/>
      <c r="AA941" s="308"/>
      <c r="AB941" s="309"/>
      <c r="AC941" s="309"/>
      <c r="AD941" s="308"/>
      <c r="AE941" s="309"/>
      <c r="AF941" s="302"/>
      <c r="AG941" s="310" t="s">
        <v>2050</v>
      </c>
      <c r="AH941" s="311"/>
      <c r="AI941" s="302">
        <v>14</v>
      </c>
      <c r="AJ941" s="311">
        <v>43826</v>
      </c>
      <c r="AK941" s="311">
        <v>42201</v>
      </c>
      <c r="AL941" s="311">
        <v>45077</v>
      </c>
      <c r="AM941" s="301"/>
      <c r="AN941" s="290"/>
      <c r="AO941" s="312" t="str">
        <f>_xlfn.IFNA(IF(VLOOKUP(tabItens[[#This Row],[CÓDIGO]],tabExcluirDoEstoque[#Data],1,FALSE),"sim",""),"")</f>
        <v>sim</v>
      </c>
      <c r="AP941" s="313" t="str">
        <f ca="1">IF(OR(ISBLANK(tabItens[[#This Row],[ATA DT.VALID.]]),tabItens[[#This Row],[ATA DT.VALID.]]="",tabItens[[#This Row],[ATA DT.VALID.]]=" "),"",IF(TYPE(tabItens[[#This Row],[ATA DT.VALID.]])=1,ROUNDUP((tabItens[[#This Row],[ATA DT.VALID.]]-TODAY())/7,0),""))</f>
        <v/>
      </c>
      <c r="AQ941" s="314"/>
      <c r="AR941" s="315" t="str">
        <f>IF(ISBLANK(tabItens[[#This Row],[CÓDIGO]]),"",IFERROR(VLOOKUP(tabItens[[#This Row],[CÓDIGO]],Consumo!$C$2:$AC$869,26,FALSE),0))</f>
        <v>06.2023</v>
      </c>
      <c r="AS941" s="316">
        <f>SUMIF(Consumo!$C$3:$C$869,tabItens[[#This Row],[CÓDIGO]],Consumo!$N$3:$N$869) + SUMIF(Consumo!$C$3:$C$869,tabItens[[#This Row],[CÓDIGO]],Consumo!$O$3:$O$869) + SUMIF(Consumo!$C$3:$C$869,tabItens[[#This Row],[CÓDIGO]],Consumo!$P$3:$P$869) + SUMIF(Consumo!$C$3:$C$869,tabItens[[#This Row],[CÓDIGO]],Consumo!$Q$3:$Q$869)</f>
        <v>36</v>
      </c>
      <c r="AT941" s="316">
        <f>SUMIF(Consumo!$C$3:$C$869,tabItens[[#This Row],[CÓDIGO]],Consumo!$Z$3:$Z$869)</f>
        <v>39</v>
      </c>
      <c r="AU941" s="317">
        <f>SUMIF(Consumo!$C$3:$C$869,tabItens[[#This Row],[CÓDIGO]],Consumo!$AA$3:$AA$869)</f>
        <v>24</v>
      </c>
      <c r="AV941" s="318">
        <f>SUMIF(Consumo!$C$3:$C$869,tabItens[[#This Row],[CÓDIGO]],Consumo!$Y$3:$Y$869)</f>
        <v>2.75</v>
      </c>
      <c r="AW941" s="291">
        <f>tabItens[[#This Row],[QTDE ATUAL]] + tabItens[[#This Row],[RC QTDE]] + tabItens[[#This Row],[AF SALDO]] + tabItens[[#This Row],[Recentes]]</f>
        <v>726</v>
      </c>
      <c r="AX941" s="319">
        <v>1</v>
      </c>
      <c r="AY941" s="319">
        <v>4</v>
      </c>
      <c r="AZ941" s="319">
        <f>IF(ISBLANK(tabItens[[#This Row],[CÓDIGO]]),"",tabItens[[#This Row],[PontoMês]] * (AZ$2+tabItens[[#This Row],[PontoQtM]]))</f>
        <v>4</v>
      </c>
      <c r="BA941" s="318">
        <f>tabItens[[#This Row],[PontoPed]] - tabItens[[#This Row],[Saldo]] + (1/10)</f>
        <v>-721.9</v>
      </c>
      <c r="BB941" s="318">
        <f xml:space="preserve"> tabItens[[#This Row],[PontoMês]] * BB$2 - tabItens[[#This Row],[QTDE ATUAL]] - (1/10)</f>
        <v>-725.1</v>
      </c>
      <c r="BC941" s="320">
        <f>IF( tabItens[[#This Row],[PontoPed]]&gt;0, IF(tabItens[[#This Row],[PontoPed]]&lt;1, 1, IF( tabItens[[#This Row],[Saldo]]&gt;tabItens[[#This Row],[PontoPed]], 0, (tabItens[[#This Row],[PontoPed]]-tabItens[[#This Row],[Saldo]])/tabItens[[#This Row],[PontoPed]] ) ), 0 )</f>
        <v>0</v>
      </c>
      <c r="BD941" s="321">
        <f>ROUNDDOWN(IF( OR( AND(tabItens[[#This Row],[PontoPed]]&lt;tabItens[[#This Row],[Saldo]],tabItens[[#This Row],[Saldo]]&gt;0), tabItens[[#This Row],[PontoPed]]=0), 99, IF(AND(tabItens[[#This Row],[Saldo]]=0,tabItens[[#This Row],[PontoPed]]&gt;0), 0, (1-tabItens[[#This Row],[PctAb]])*10 ) ),0)</f>
        <v>99</v>
      </c>
      <c r="BE941" s="322">
        <f>MAX(ROUNDDOWN( IF(tabItens[[#This Row],[Abaixo]] &gt; 0,   tabItens[[#This Row],[Abaixo]] + (tabItens[[#This Row],[PontoMês]] * IF( OR( ISBLANK(tabItens[[#This Row],[ATA Nº/ANO]]), tabItens[[#This Row],[ATA Nº/ANO]] = ""),BE$2,BE$1)),0),0),0)</f>
        <v>0</v>
      </c>
      <c r="BF941"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23">
        <f>SUMIF(Consumo!$C$3:$C$869,tabItens[[#This Row],[CÓDIGO]],Consumo!$E$3:$E$869)</f>
        <v>0</v>
      </c>
      <c r="BH941" s="324">
        <f>IF(AND(tabItens[[#This Row],[Pend]] &gt; 0,tabItens[[#This Row],[Consumo]] &lt;&gt; 0), tabItens[[#This Row],[Pend]] / tabItens[[#This Row],[Consumo]], 0 )</f>
        <v>0</v>
      </c>
      <c r="BI941" s="323"/>
      <c r="BJ941" s="323"/>
      <c r="BK941" s="325" t="s">
        <v>2064</v>
      </c>
    </row>
    <row r="942" spans="1:63" hidden="1" x14ac:dyDescent="0.3">
      <c r="A942" s="286">
        <v>86891</v>
      </c>
      <c r="B942" s="287" t="s">
        <v>678</v>
      </c>
      <c r="C942" s="288" t="s">
        <v>256</v>
      </c>
      <c r="D942" s="289">
        <v>0.4</v>
      </c>
      <c r="E942" s="290"/>
      <c r="F942" s="290"/>
      <c r="G942" s="290" t="s">
        <v>883</v>
      </c>
      <c r="H942" s="291">
        <v>12840</v>
      </c>
      <c r="I942" s="292">
        <v>103003</v>
      </c>
      <c r="J942" s="293">
        <v>0.4</v>
      </c>
      <c r="K942" s="294"/>
      <c r="L942" s="295">
        <f>IF(tabItens[[#This Row],[Média]] &gt; 0, tabItens[[#This Row],[QTDE ATUAL]] / tabItens[[#This Row],[Média]],999.9)</f>
        <v>999.9</v>
      </c>
      <c r="M942" s="296">
        <v>0</v>
      </c>
      <c r="N942" s="297">
        <f>tabItens[[#This Row],[VALOR UNIT.]] * tabItens[[#This Row],[LC]]</f>
        <v>0</v>
      </c>
      <c r="O942" s="298"/>
      <c r="P942" s="299"/>
      <c r="Q942" s="300"/>
      <c r="R942" s="297"/>
      <c r="S942" s="301"/>
      <c r="T942" s="302">
        <f>ROUNDDOWN(IFERROR(tabItens[[#This Row],[ATA DT.VALID.]] - $D$1,0) / 30,0)</f>
        <v>-1504</v>
      </c>
      <c r="U942" s="287" t="s">
        <v>1073</v>
      </c>
      <c r="V942" s="303">
        <v>1</v>
      </c>
      <c r="W942" s="304" t="s">
        <v>2057</v>
      </c>
      <c r="X942" s="305">
        <v>78</v>
      </c>
      <c r="Y942" s="306">
        <v>2</v>
      </c>
      <c r="Z942" s="307"/>
      <c r="AA942" s="308"/>
      <c r="AB942" s="309"/>
      <c r="AC942" s="309"/>
      <c r="AD942" s="308"/>
      <c r="AE942" s="309"/>
      <c r="AF942" s="302"/>
      <c r="AG942" s="310" t="s">
        <v>2050</v>
      </c>
      <c r="AH942" s="311"/>
      <c r="AI942" s="302">
        <v>8</v>
      </c>
      <c r="AJ942" s="311" t="s">
        <v>883</v>
      </c>
      <c r="AK942" s="311">
        <v>38567</v>
      </c>
      <c r="AL942" s="311">
        <v>42142</v>
      </c>
      <c r="AM942" s="301"/>
      <c r="AN942" s="290"/>
      <c r="AO942" s="312" t="str">
        <f>_xlfn.IFNA(IF(VLOOKUP(tabItens[[#This Row],[CÓDIGO]],tabExcluirDoEstoque[#Data],1,FALSE),"sim",""),"")</f>
        <v>sim</v>
      </c>
      <c r="AP942" s="313" t="str">
        <f ca="1">IF(OR(ISBLANK(tabItens[[#This Row],[ATA DT.VALID.]]),tabItens[[#This Row],[ATA DT.VALID.]]="",tabItens[[#This Row],[ATA DT.VALID.]]=" "),"",IF(TYPE(tabItens[[#This Row],[ATA DT.VALID.]])=1,ROUNDUP((tabItens[[#This Row],[ATA DT.VALID.]]-TODAY())/7,0),""))</f>
        <v/>
      </c>
      <c r="AQ942" s="314"/>
      <c r="AR942" s="315">
        <f>IF(ISBLANK(tabItens[[#This Row],[CÓDIGO]]),"",IFERROR(VLOOKUP(tabItens[[#This Row],[CÓDIGO]],Consumo!$C$2:$AC$869,26,FALSE),0))</f>
        <v>0</v>
      </c>
      <c r="AS942" s="316">
        <f>SUMIF(Consumo!$C$3:$C$869,tabItens[[#This Row],[CÓDIGO]],Consumo!$N$3:$N$869) + SUMIF(Consumo!$C$3:$C$869,tabItens[[#This Row],[CÓDIGO]],Consumo!$O$3:$O$869) + SUMIF(Consumo!$C$3:$C$869,tabItens[[#This Row],[CÓDIGO]],Consumo!$P$3:$P$869) + SUMIF(Consumo!$C$3:$C$869,tabItens[[#This Row],[CÓDIGO]],Consumo!$Q$3:$Q$869)</f>
        <v>0</v>
      </c>
      <c r="AT942" s="316">
        <f>SUMIF(Consumo!$C$3:$C$869,tabItens[[#This Row],[CÓDIGO]],Consumo!$Z$3:$Z$869)</f>
        <v>0</v>
      </c>
      <c r="AU942" s="317">
        <f>SUMIF(Consumo!$C$3:$C$869,tabItens[[#This Row],[CÓDIGO]],Consumo!$AA$3:$AA$869)</f>
        <v>0</v>
      </c>
      <c r="AV942" s="318">
        <f>SUMIF(Consumo!$C$3:$C$869,tabItens[[#This Row],[CÓDIGO]],Consumo!$Y$3:$Y$869)</f>
        <v>0</v>
      </c>
      <c r="AW942" s="291">
        <f>tabItens[[#This Row],[QTDE ATUAL]] + tabItens[[#This Row],[RC QTDE]] + tabItens[[#This Row],[AF SALDO]] + tabItens[[#This Row],[Recentes]]</f>
        <v>12840</v>
      </c>
      <c r="AX942" s="319">
        <v>0</v>
      </c>
      <c r="AY942" s="319">
        <v>0</v>
      </c>
      <c r="AZ942" s="319">
        <f>IF(ISBLANK(tabItens[[#This Row],[CÓDIGO]]),"",tabItens[[#This Row],[PontoMês]] * (AZ$2+tabItens[[#This Row],[PontoQtM]]))</f>
        <v>0</v>
      </c>
      <c r="BA942" s="318">
        <f>tabItens[[#This Row],[PontoPed]] - tabItens[[#This Row],[Saldo]] + (1/10)</f>
        <v>-12839.9</v>
      </c>
      <c r="BB942" s="318">
        <f xml:space="preserve"> tabItens[[#This Row],[PontoMês]] * BB$2 - tabItens[[#This Row],[QTDE ATUAL]] - (1/10)</f>
        <v>-12840.1</v>
      </c>
      <c r="BC942" s="320">
        <f>IF( tabItens[[#This Row],[PontoPed]]&gt;0, IF(tabItens[[#This Row],[PontoPed]]&lt;1, 1, IF( tabItens[[#This Row],[Saldo]]&gt;tabItens[[#This Row],[PontoPed]], 0, (tabItens[[#This Row],[PontoPed]]-tabItens[[#This Row],[Saldo]])/tabItens[[#This Row],[PontoPed]] ) ), 0 )</f>
        <v>0</v>
      </c>
      <c r="BD942" s="321">
        <f>ROUNDDOWN(IF( OR( AND(tabItens[[#This Row],[PontoPed]]&lt;tabItens[[#This Row],[Saldo]],tabItens[[#This Row],[Saldo]]&gt;0), tabItens[[#This Row],[PontoPed]]=0), 99, IF(AND(tabItens[[#This Row],[Saldo]]=0,tabItens[[#This Row],[PontoPed]]&gt;0), 0, (1-tabItens[[#This Row],[PctAb]])*10 ) ),0)</f>
        <v>99</v>
      </c>
      <c r="BE942" s="322">
        <f>MAX(ROUNDDOWN( IF(tabItens[[#This Row],[Abaixo]] &gt; 0,   tabItens[[#This Row],[Abaixo]] + (tabItens[[#This Row],[PontoMês]] * IF( OR( ISBLANK(tabItens[[#This Row],[ATA Nº/ANO]]), tabItens[[#This Row],[ATA Nº/ANO]] = ""),BE$2,BE$1)),0),0),0)</f>
        <v>0</v>
      </c>
      <c r="BF942"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23">
        <f>SUMIF(Consumo!$C$3:$C$869,tabItens[[#This Row],[CÓDIGO]],Consumo!$E$3:$E$869)</f>
        <v>0</v>
      </c>
      <c r="BH942" s="324">
        <f>IF(AND(tabItens[[#This Row],[Pend]] &gt; 0,tabItens[[#This Row],[Consumo]] &lt;&gt; 0), tabItens[[#This Row],[Pend]] / tabItens[[#This Row],[Consumo]], 0 )</f>
        <v>0</v>
      </c>
      <c r="BI942" s="323"/>
      <c r="BJ942" s="323"/>
      <c r="BK942" s="325" t="s">
        <v>2064</v>
      </c>
    </row>
    <row r="943" spans="1:63" hidden="1" x14ac:dyDescent="0.3">
      <c r="A943" s="286">
        <v>102443</v>
      </c>
      <c r="B943" s="287" t="s">
        <v>780</v>
      </c>
      <c r="C943" s="288" t="s">
        <v>256</v>
      </c>
      <c r="D943" s="289">
        <v>39.700000000000003</v>
      </c>
      <c r="E943" s="290"/>
      <c r="F943" s="290"/>
      <c r="G943" s="290" t="s">
        <v>883</v>
      </c>
      <c r="H943" s="291">
        <v>210</v>
      </c>
      <c r="I943" s="292">
        <v>103003</v>
      </c>
      <c r="J943" s="293">
        <v>39.700000000000003</v>
      </c>
      <c r="K943" s="294">
        <v>3</v>
      </c>
      <c r="L943" s="295">
        <f>IF(tabItens[[#This Row],[Média]] &gt; 0, tabItens[[#This Row],[QTDE ATUAL]] / tabItens[[#This Row],[Média]],999.9)</f>
        <v>2520</v>
      </c>
      <c r="M943" s="296">
        <v>0</v>
      </c>
      <c r="N943" s="297">
        <f>tabItens[[#This Row],[VALOR UNIT.]] * tabItens[[#This Row],[LC]]</f>
        <v>0</v>
      </c>
      <c r="O943" s="298"/>
      <c r="P943" s="299"/>
      <c r="Q943" s="300"/>
      <c r="R943" s="297"/>
      <c r="S943" s="301"/>
      <c r="T943" s="302">
        <f>ROUNDDOWN(IFERROR(tabItens[[#This Row],[ATA DT.VALID.]] - $D$1,0) / 30,0)</f>
        <v>-1504</v>
      </c>
      <c r="U943" s="287" t="s">
        <v>1213</v>
      </c>
      <c r="V943" s="303">
        <v>1</v>
      </c>
      <c r="W943" s="304" t="s">
        <v>2052</v>
      </c>
      <c r="X943" s="305">
        <v>78</v>
      </c>
      <c r="Y943" s="306">
        <v>6</v>
      </c>
      <c r="Z943" s="307"/>
      <c r="AA943" s="308"/>
      <c r="AB943" s="309"/>
      <c r="AC943" s="309"/>
      <c r="AD943" s="308"/>
      <c r="AE943" s="309"/>
      <c r="AF943" s="302"/>
      <c r="AG943" s="310" t="s">
        <v>2050</v>
      </c>
      <c r="AH943" s="311"/>
      <c r="AI943" s="302">
        <v>2</v>
      </c>
      <c r="AJ943" s="311">
        <v>39457</v>
      </c>
      <c r="AK943" s="311">
        <v>39360</v>
      </c>
      <c r="AL943" s="311">
        <v>39414</v>
      </c>
      <c r="AM943" s="301"/>
      <c r="AN943" s="290"/>
      <c r="AO943" s="312" t="str">
        <f>_xlfn.IFNA(IF(VLOOKUP(tabItens[[#This Row],[CÓDIGO]],tabExcluirDoEstoque[#Data],1,FALSE),"sim",""),"")</f>
        <v>sim</v>
      </c>
      <c r="AP943" s="313" t="str">
        <f ca="1">IF(OR(ISBLANK(tabItens[[#This Row],[ATA DT.VALID.]]),tabItens[[#This Row],[ATA DT.VALID.]]="",tabItens[[#This Row],[ATA DT.VALID.]]=" "),"",IF(TYPE(tabItens[[#This Row],[ATA DT.VALID.]])=1,ROUNDUP((tabItens[[#This Row],[ATA DT.VALID.]]-TODAY())/7,0),""))</f>
        <v/>
      </c>
      <c r="AQ943" s="314"/>
      <c r="AR943" s="315" t="str">
        <f>IF(ISBLANK(tabItens[[#This Row],[CÓDIGO]]),"",IFERROR(VLOOKUP(tabItens[[#This Row],[CÓDIGO]],Consumo!$C$2:$AC$869,26,FALSE),0))</f>
        <v>12.2022</v>
      </c>
      <c r="AS943" s="316">
        <f>SUMIF(Consumo!$C$3:$C$869,tabItens[[#This Row],[CÓDIGO]],Consumo!$N$3:$N$869) + SUMIF(Consumo!$C$3:$C$869,tabItens[[#This Row],[CÓDIGO]],Consumo!$O$3:$O$869) + SUMIF(Consumo!$C$3:$C$869,tabItens[[#This Row],[CÓDIGO]],Consumo!$P$3:$P$869) + SUMIF(Consumo!$C$3:$C$869,tabItens[[#This Row],[CÓDIGO]],Consumo!$Q$3:$Q$869)</f>
        <v>0</v>
      </c>
      <c r="AT943" s="316">
        <f>SUMIF(Consumo!$C$3:$C$869,tabItens[[#This Row],[CÓDIGO]],Consumo!$Z$3:$Z$869)</f>
        <v>3</v>
      </c>
      <c r="AU943" s="317">
        <f>SUMIF(Consumo!$C$3:$C$869,tabItens[[#This Row],[CÓDIGO]],Consumo!$AA$3:$AA$869)</f>
        <v>3</v>
      </c>
      <c r="AV943" s="318">
        <f>SUMIF(Consumo!$C$3:$C$869,tabItens[[#This Row],[CÓDIGO]],Consumo!$Y$3:$Y$869)</f>
        <v>8.3333333333333329E-2</v>
      </c>
      <c r="AW943" s="291">
        <f>tabItens[[#This Row],[QTDE ATUAL]] + tabItens[[#This Row],[RC QTDE]] + tabItens[[#This Row],[AF SALDO]] + tabItens[[#This Row],[Recentes]]</f>
        <v>210</v>
      </c>
      <c r="AX943" s="319">
        <v>0</v>
      </c>
      <c r="AY943" s="319">
        <v>0</v>
      </c>
      <c r="AZ943" s="319">
        <f>IF(ISBLANK(tabItens[[#This Row],[CÓDIGO]]),"",tabItens[[#This Row],[PontoMês]] * (AZ$2+tabItens[[#This Row],[PontoQtM]]))</f>
        <v>0</v>
      </c>
      <c r="BA943" s="318">
        <f>tabItens[[#This Row],[PontoPed]] - tabItens[[#This Row],[Saldo]] + (1/10)</f>
        <v>-209.9</v>
      </c>
      <c r="BB943" s="318">
        <f xml:space="preserve"> tabItens[[#This Row],[PontoMês]] * BB$2 - tabItens[[#This Row],[QTDE ATUAL]] - (1/10)</f>
        <v>-210.1</v>
      </c>
      <c r="BC943" s="320">
        <f>IF( tabItens[[#This Row],[PontoPed]]&gt;0, IF(tabItens[[#This Row],[PontoPed]]&lt;1, 1, IF( tabItens[[#This Row],[Saldo]]&gt;tabItens[[#This Row],[PontoPed]], 0, (tabItens[[#This Row],[PontoPed]]-tabItens[[#This Row],[Saldo]])/tabItens[[#This Row],[PontoPed]] ) ), 0 )</f>
        <v>0</v>
      </c>
      <c r="BD943" s="321">
        <f>ROUNDDOWN(IF( OR( AND(tabItens[[#This Row],[PontoPed]]&lt;tabItens[[#This Row],[Saldo]],tabItens[[#This Row],[Saldo]]&gt;0), tabItens[[#This Row],[PontoPed]]=0), 99, IF(AND(tabItens[[#This Row],[Saldo]]=0,tabItens[[#This Row],[PontoPed]]&gt;0), 0, (1-tabItens[[#This Row],[PctAb]])*10 ) ),0)</f>
        <v>99</v>
      </c>
      <c r="BE943" s="322">
        <f>MAX(ROUNDDOWN( IF(tabItens[[#This Row],[Abaixo]] &gt; 0,   tabItens[[#This Row],[Abaixo]] + (tabItens[[#This Row],[PontoMês]] * IF( OR( ISBLANK(tabItens[[#This Row],[ATA Nº/ANO]]), tabItens[[#This Row],[ATA Nº/ANO]] = ""),BE$2,BE$1)),0),0),0)</f>
        <v>0</v>
      </c>
      <c r="BF943"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23">
        <f>SUMIF(Consumo!$C$3:$C$869,tabItens[[#This Row],[CÓDIGO]],Consumo!$E$3:$E$869)</f>
        <v>0</v>
      </c>
      <c r="BH943" s="324">
        <f>IF(AND(tabItens[[#This Row],[Pend]] &gt; 0,tabItens[[#This Row],[Consumo]] &lt;&gt; 0), tabItens[[#This Row],[Pend]] / tabItens[[#This Row],[Consumo]], 0 )</f>
        <v>0</v>
      </c>
      <c r="BI943" s="323"/>
      <c r="BJ943" s="323"/>
      <c r="BK943" s="325" t="s">
        <v>2064</v>
      </c>
    </row>
    <row r="944" spans="1:63" hidden="1" x14ac:dyDescent="0.3">
      <c r="A944" s="286">
        <v>128832</v>
      </c>
      <c r="B944" s="287" t="s">
        <v>676</v>
      </c>
      <c r="C944" s="288" t="s">
        <v>31</v>
      </c>
      <c r="D944" s="289">
        <v>1310</v>
      </c>
      <c r="E944" s="290"/>
      <c r="F944" s="290"/>
      <c r="G944" s="290" t="s">
        <v>883</v>
      </c>
      <c r="H944" s="291">
        <v>2</v>
      </c>
      <c r="I944" s="292">
        <v>103003</v>
      </c>
      <c r="J944" s="293">
        <v>1310</v>
      </c>
      <c r="K944" s="294"/>
      <c r="L944" s="295">
        <f>IF(tabItens[[#This Row],[Média]] &gt; 0, tabItens[[#This Row],[QTDE ATUAL]] / tabItens[[#This Row],[Média]],999.9)</f>
        <v>999.9</v>
      </c>
      <c r="M944" s="296">
        <v>0</v>
      </c>
      <c r="N944" s="297">
        <f>tabItens[[#This Row],[VALOR UNIT.]] * tabItens[[#This Row],[LC]]</f>
        <v>0</v>
      </c>
      <c r="O944" s="298"/>
      <c r="P944" s="299"/>
      <c r="Q944" s="300"/>
      <c r="R944" s="297"/>
      <c r="S944" s="301"/>
      <c r="T944" s="302">
        <f>ROUNDDOWN(IFERROR(tabItens[[#This Row],[ATA DT.VALID.]] - $D$1,0) / 30,0)</f>
        <v>-1504</v>
      </c>
      <c r="U944" s="287" t="s">
        <v>1786</v>
      </c>
      <c r="V944" s="303">
        <v>1</v>
      </c>
      <c r="W944" s="304" t="s">
        <v>2051</v>
      </c>
      <c r="X944" s="305">
        <v>84</v>
      </c>
      <c r="Y944" s="306">
        <v>5</v>
      </c>
      <c r="Z944" s="307"/>
      <c r="AA944" s="308"/>
      <c r="AB944" s="309"/>
      <c r="AC944" s="309"/>
      <c r="AD944" s="308"/>
      <c r="AE944" s="309"/>
      <c r="AF944" s="302"/>
      <c r="AG944" s="310" t="s">
        <v>2050</v>
      </c>
      <c r="AH944" s="311"/>
      <c r="AI944" s="302">
        <v>0</v>
      </c>
      <c r="AJ944" s="311">
        <v>42146</v>
      </c>
      <c r="AK944" s="311">
        <v>41932</v>
      </c>
      <c r="AL944" s="311">
        <v>42142</v>
      </c>
      <c r="AM944" s="301"/>
      <c r="AN944" s="290"/>
      <c r="AO944" s="312" t="str">
        <f>_xlfn.IFNA(IF(VLOOKUP(tabItens[[#This Row],[CÓDIGO]],tabExcluirDoEstoque[#Data],1,FALSE),"sim",""),"")</f>
        <v>sim</v>
      </c>
      <c r="AP944" s="313" t="str">
        <f ca="1">IF(OR(ISBLANK(tabItens[[#This Row],[ATA DT.VALID.]]),tabItens[[#This Row],[ATA DT.VALID.]]="",tabItens[[#This Row],[ATA DT.VALID.]]=" "),"",IF(TYPE(tabItens[[#This Row],[ATA DT.VALID.]])=1,ROUNDUP((tabItens[[#This Row],[ATA DT.VALID.]]-TODAY())/7,0),""))</f>
        <v/>
      </c>
      <c r="AQ944" s="314"/>
      <c r="AR944" s="315">
        <f>IF(ISBLANK(tabItens[[#This Row],[CÓDIGO]]),"",IFERROR(VLOOKUP(tabItens[[#This Row],[CÓDIGO]],Consumo!$C$2:$AC$869,26,FALSE),0))</f>
        <v>0</v>
      </c>
      <c r="AS944" s="316">
        <f>SUMIF(Consumo!$C$3:$C$869,tabItens[[#This Row],[CÓDIGO]],Consumo!$N$3:$N$869) + SUMIF(Consumo!$C$3:$C$869,tabItens[[#This Row],[CÓDIGO]],Consumo!$O$3:$O$869) + SUMIF(Consumo!$C$3:$C$869,tabItens[[#This Row],[CÓDIGO]],Consumo!$P$3:$P$869) + SUMIF(Consumo!$C$3:$C$869,tabItens[[#This Row],[CÓDIGO]],Consumo!$Q$3:$Q$869)</f>
        <v>0</v>
      </c>
      <c r="AT944" s="316">
        <f>SUMIF(Consumo!$C$3:$C$869,tabItens[[#This Row],[CÓDIGO]],Consumo!$Z$3:$Z$869)</f>
        <v>0</v>
      </c>
      <c r="AU944" s="317">
        <f>SUMIF(Consumo!$C$3:$C$869,tabItens[[#This Row],[CÓDIGO]],Consumo!$AA$3:$AA$869)</f>
        <v>0</v>
      </c>
      <c r="AV944" s="318">
        <f>SUMIF(Consumo!$C$3:$C$869,tabItens[[#This Row],[CÓDIGO]],Consumo!$Y$3:$Y$869)</f>
        <v>0</v>
      </c>
      <c r="AW944" s="291">
        <f>tabItens[[#This Row],[QTDE ATUAL]] + tabItens[[#This Row],[RC QTDE]] + tabItens[[#This Row],[AF SALDO]] + tabItens[[#This Row],[Recentes]]</f>
        <v>2</v>
      </c>
      <c r="AX944" s="319">
        <v>0</v>
      </c>
      <c r="AY944" s="319">
        <v>0</v>
      </c>
      <c r="AZ944" s="319">
        <f>IF(ISBLANK(tabItens[[#This Row],[CÓDIGO]]),"",tabItens[[#This Row],[PontoMês]] * (AZ$2+tabItens[[#This Row],[PontoQtM]]))</f>
        <v>0</v>
      </c>
      <c r="BA944" s="318">
        <f>tabItens[[#This Row],[PontoPed]] - tabItens[[#This Row],[Saldo]] + (1/10)</f>
        <v>-1.9</v>
      </c>
      <c r="BB944" s="318">
        <f xml:space="preserve"> tabItens[[#This Row],[PontoMês]] * BB$2 - tabItens[[#This Row],[QTDE ATUAL]] - (1/10)</f>
        <v>-2.1</v>
      </c>
      <c r="BC944" s="320">
        <f>IF( tabItens[[#This Row],[PontoPed]]&gt;0, IF(tabItens[[#This Row],[PontoPed]]&lt;1, 1, IF( tabItens[[#This Row],[Saldo]]&gt;tabItens[[#This Row],[PontoPed]], 0, (tabItens[[#This Row],[PontoPed]]-tabItens[[#This Row],[Saldo]])/tabItens[[#This Row],[PontoPed]] ) ), 0 )</f>
        <v>0</v>
      </c>
      <c r="BD944" s="321">
        <f>ROUNDDOWN(IF( OR( AND(tabItens[[#This Row],[PontoPed]]&lt;tabItens[[#This Row],[Saldo]],tabItens[[#This Row],[Saldo]]&gt;0), tabItens[[#This Row],[PontoPed]]=0), 99, IF(AND(tabItens[[#This Row],[Saldo]]=0,tabItens[[#This Row],[PontoPed]]&gt;0), 0, (1-tabItens[[#This Row],[PctAb]])*10 ) ),0)</f>
        <v>99</v>
      </c>
      <c r="BE944" s="322">
        <f>MAX(ROUNDDOWN( IF(tabItens[[#This Row],[Abaixo]] &gt; 0,   tabItens[[#This Row],[Abaixo]] + (tabItens[[#This Row],[PontoMês]] * IF( OR( ISBLANK(tabItens[[#This Row],[ATA Nº/ANO]]), tabItens[[#This Row],[ATA Nº/ANO]] = ""),BE$2,BE$1)),0),0),0)</f>
        <v>0</v>
      </c>
      <c r="BF944"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23">
        <f>SUMIF(Consumo!$C$3:$C$869,tabItens[[#This Row],[CÓDIGO]],Consumo!$E$3:$E$869)</f>
        <v>0</v>
      </c>
      <c r="BH944" s="324">
        <f>IF(AND(tabItens[[#This Row],[Pend]] &gt; 0,tabItens[[#This Row],[Consumo]] &lt;&gt; 0), tabItens[[#This Row],[Pend]] / tabItens[[#This Row],[Consumo]], 0 )</f>
        <v>0</v>
      </c>
      <c r="BI944" s="323"/>
      <c r="BJ944" s="323"/>
      <c r="BK944" s="325" t="s">
        <v>2064</v>
      </c>
    </row>
    <row r="945" spans="1:63" hidden="1" x14ac:dyDescent="0.3">
      <c r="A945" s="286">
        <v>125576</v>
      </c>
      <c r="B945" s="287" t="s">
        <v>677</v>
      </c>
      <c r="C945" s="288" t="s">
        <v>31</v>
      </c>
      <c r="D945" s="289">
        <v>1559</v>
      </c>
      <c r="E945" s="290"/>
      <c r="F945" s="290"/>
      <c r="G945" s="290" t="s">
        <v>883</v>
      </c>
      <c r="H945" s="291">
        <v>4</v>
      </c>
      <c r="I945" s="292">
        <v>103003</v>
      </c>
      <c r="J945" s="293">
        <v>1559</v>
      </c>
      <c r="K945" s="294"/>
      <c r="L945" s="295">
        <f>IF(tabItens[[#This Row],[Média]] &gt; 0, tabItens[[#This Row],[QTDE ATUAL]] / tabItens[[#This Row],[Média]],999.9)</f>
        <v>999.9</v>
      </c>
      <c r="M945" s="296">
        <v>0</v>
      </c>
      <c r="N945" s="297">
        <f>tabItens[[#This Row],[VALOR UNIT.]] * tabItens[[#This Row],[LC]]</f>
        <v>0</v>
      </c>
      <c r="O945" s="298"/>
      <c r="P945" s="299"/>
      <c r="Q945" s="300"/>
      <c r="R945" s="297"/>
      <c r="S945" s="301"/>
      <c r="T945" s="302">
        <f>ROUNDDOWN(IFERROR(tabItens[[#This Row],[ATA DT.VALID.]] - $D$1,0) / 30,0)</f>
        <v>-1504</v>
      </c>
      <c r="U945" s="287" t="s">
        <v>1761</v>
      </c>
      <c r="V945" s="303">
        <v>1</v>
      </c>
      <c r="W945" s="304" t="s">
        <v>2051</v>
      </c>
      <c r="X945" s="305">
        <v>84</v>
      </c>
      <c r="Y945" s="306">
        <v>7</v>
      </c>
      <c r="Z945" s="307"/>
      <c r="AA945" s="308"/>
      <c r="AB945" s="309"/>
      <c r="AC945" s="309"/>
      <c r="AD945" s="308"/>
      <c r="AE945" s="309"/>
      <c r="AF945" s="302"/>
      <c r="AG945" s="310" t="s">
        <v>2050</v>
      </c>
      <c r="AH945" s="311"/>
      <c r="AI945" s="302">
        <v>0</v>
      </c>
      <c r="AJ945" s="311">
        <v>41890</v>
      </c>
      <c r="AK945" s="311">
        <v>41422</v>
      </c>
      <c r="AL945" s="311">
        <v>44840</v>
      </c>
      <c r="AM945" s="301"/>
      <c r="AN945" s="290"/>
      <c r="AO945" s="312" t="str">
        <f>_xlfn.IFNA(IF(VLOOKUP(tabItens[[#This Row],[CÓDIGO]],tabExcluirDoEstoque[#Data],1,FALSE),"sim",""),"")</f>
        <v>sim</v>
      </c>
      <c r="AP945" s="313" t="str">
        <f ca="1">IF(OR(ISBLANK(tabItens[[#This Row],[ATA DT.VALID.]]),tabItens[[#This Row],[ATA DT.VALID.]]="",tabItens[[#This Row],[ATA DT.VALID.]]=" "),"",IF(TYPE(tabItens[[#This Row],[ATA DT.VALID.]])=1,ROUNDUP((tabItens[[#This Row],[ATA DT.VALID.]]-TODAY())/7,0),""))</f>
        <v/>
      </c>
      <c r="AQ945" s="314"/>
      <c r="AR945" s="315">
        <f>IF(ISBLANK(tabItens[[#This Row],[CÓDIGO]]),"",IFERROR(VLOOKUP(tabItens[[#This Row],[CÓDIGO]],Consumo!$C$2:$AC$869,26,FALSE),0))</f>
        <v>0</v>
      </c>
      <c r="AS945" s="316">
        <f>SUMIF(Consumo!$C$3:$C$869,tabItens[[#This Row],[CÓDIGO]],Consumo!$N$3:$N$869) + SUMIF(Consumo!$C$3:$C$869,tabItens[[#This Row],[CÓDIGO]],Consumo!$O$3:$O$869) + SUMIF(Consumo!$C$3:$C$869,tabItens[[#This Row],[CÓDIGO]],Consumo!$P$3:$P$869) + SUMIF(Consumo!$C$3:$C$869,tabItens[[#This Row],[CÓDIGO]],Consumo!$Q$3:$Q$869)</f>
        <v>0</v>
      </c>
      <c r="AT945" s="316">
        <f>SUMIF(Consumo!$C$3:$C$869,tabItens[[#This Row],[CÓDIGO]],Consumo!$Z$3:$Z$869)</f>
        <v>0</v>
      </c>
      <c r="AU945" s="317">
        <f>SUMIF(Consumo!$C$3:$C$869,tabItens[[#This Row],[CÓDIGO]],Consumo!$AA$3:$AA$869)</f>
        <v>0</v>
      </c>
      <c r="AV945" s="318">
        <f>SUMIF(Consumo!$C$3:$C$869,tabItens[[#This Row],[CÓDIGO]],Consumo!$Y$3:$Y$869)</f>
        <v>0</v>
      </c>
      <c r="AW945" s="291">
        <f>tabItens[[#This Row],[QTDE ATUAL]] + tabItens[[#This Row],[RC QTDE]] + tabItens[[#This Row],[AF SALDO]] + tabItens[[#This Row],[Recentes]]</f>
        <v>4</v>
      </c>
      <c r="AX945" s="319">
        <v>0</v>
      </c>
      <c r="AY945" s="319">
        <v>0</v>
      </c>
      <c r="AZ945" s="319">
        <f>IF(ISBLANK(tabItens[[#This Row],[CÓDIGO]]),"",tabItens[[#This Row],[PontoMês]] * (AZ$2+tabItens[[#This Row],[PontoQtM]]))</f>
        <v>0</v>
      </c>
      <c r="BA945" s="318">
        <f>tabItens[[#This Row],[PontoPed]] - tabItens[[#This Row],[Saldo]] + (1/10)</f>
        <v>-3.9</v>
      </c>
      <c r="BB945" s="318">
        <f xml:space="preserve"> tabItens[[#This Row],[PontoMês]] * BB$2 - tabItens[[#This Row],[QTDE ATUAL]] - (1/10)</f>
        <v>-4.0999999999999996</v>
      </c>
      <c r="BC945" s="320">
        <f>IF( tabItens[[#This Row],[PontoPed]]&gt;0, IF(tabItens[[#This Row],[PontoPed]]&lt;1, 1, IF( tabItens[[#This Row],[Saldo]]&gt;tabItens[[#This Row],[PontoPed]], 0, (tabItens[[#This Row],[PontoPed]]-tabItens[[#This Row],[Saldo]])/tabItens[[#This Row],[PontoPed]] ) ), 0 )</f>
        <v>0</v>
      </c>
      <c r="BD945" s="321">
        <f>ROUNDDOWN(IF( OR( AND(tabItens[[#This Row],[PontoPed]]&lt;tabItens[[#This Row],[Saldo]],tabItens[[#This Row],[Saldo]]&gt;0), tabItens[[#This Row],[PontoPed]]=0), 99, IF(AND(tabItens[[#This Row],[Saldo]]=0,tabItens[[#This Row],[PontoPed]]&gt;0), 0, (1-tabItens[[#This Row],[PctAb]])*10 ) ),0)</f>
        <v>99</v>
      </c>
      <c r="BE945" s="322">
        <f>MAX(ROUNDDOWN( IF(tabItens[[#This Row],[Abaixo]] &gt; 0,   tabItens[[#This Row],[Abaixo]] + (tabItens[[#This Row],[PontoMês]] * IF( OR( ISBLANK(tabItens[[#This Row],[ATA Nº/ANO]]), tabItens[[#This Row],[ATA Nº/ANO]] = ""),BE$2,BE$1)),0),0),0)</f>
        <v>0</v>
      </c>
      <c r="BF945" s="32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23">
        <f>SUMIF(Consumo!$C$3:$C$869,tabItens[[#This Row],[CÓDIGO]],Consumo!$E$3:$E$869)</f>
        <v>0</v>
      </c>
      <c r="BH945" s="324">
        <f>IF(AND(tabItens[[#This Row],[Pend]] &gt; 0,tabItens[[#This Row],[Consumo]] &lt;&gt; 0), tabItens[[#This Row],[Pend]] / tabItens[[#This Row],[Consumo]], 0 )</f>
        <v>0</v>
      </c>
      <c r="BI945" s="323"/>
      <c r="BJ945" s="323"/>
      <c r="BK945" s="325" t="s">
        <v>2064</v>
      </c>
    </row>
  </sheetData>
  <sortState xmlns:xlrd2="http://schemas.microsoft.com/office/spreadsheetml/2017/richdata2" ref="A4:BK945">
    <sortCondition ref="AO3:AO945"/>
    <sortCondition ref="BD3:BD945"/>
    <sortCondition ref="S3:S945"/>
    <sortCondition ref="O3:O945"/>
    <sortCondition ref="X3:X945"/>
    <sortCondition ref="Y3:Y945"/>
    <sortCondition ref="F3:F945"/>
    <sortCondition ref="A3:A945"/>
  </sortState>
  <dataConsolidate/>
  <mergeCells count="1">
    <mergeCell ref="A1:B2"/>
  </mergeCells>
  <conditionalFormatting sqref="AZ4:AZ945">
    <cfRule type="cellIs" dxfId="236" priority="284" operator="equal">
      <formula>0</formula>
    </cfRule>
  </conditionalFormatting>
  <conditionalFormatting sqref="M4:M945">
    <cfRule type="cellIs" dxfId="235" priority="285" stopIfTrue="1" operator="lessThan">
      <formula>-1</formula>
    </cfRule>
    <cfRule type="cellIs" dxfId="234" priority="1482" operator="equal">
      <formula>-1</formula>
    </cfRule>
  </conditionalFormatting>
  <conditionalFormatting sqref="D4:D945">
    <cfRule type="cellIs" dxfId="233" priority="163" operator="equal">
      <formula>0</formula>
    </cfRule>
  </conditionalFormatting>
  <conditionalFormatting sqref="P4:P945">
    <cfRule type="cellIs" dxfId="232" priority="1" operator="lessThan">
      <formula>0</formula>
    </cfRule>
    <cfRule type="cellIs" dxfId="231" priority="2" operator="lessThan">
      <formula>0</formula>
    </cfRule>
    <cfRule type="cellIs" dxfId="230" priority="3" operator="lessThan">
      <formula>0</formula>
    </cfRule>
    <cfRule type="cellIs" dxfId="229" priority="4" operator="lessThan">
      <formula>0</formula>
    </cfRule>
    <cfRule type="cellIs" dxfId="228" priority="85" operator="lessThan">
      <formula>0</formula>
    </cfRule>
    <cfRule type="cellIs" dxfId="227" priority="106" operator="greaterThan">
      <formula>$Q4</formula>
    </cfRule>
  </conditionalFormatting>
  <conditionalFormatting sqref="A4:BK945">
    <cfRule type="expression" dxfId="226" priority="1483" stopIfTrue="1">
      <formula>$AO4="sim"</formula>
    </cfRule>
  </conditionalFormatting>
  <conditionalFormatting sqref="O4:O945">
    <cfRule type="containsText" dxfId="225" priority="1585" operator="containsText" text="Impróspero">
      <formula>NOT(ISERROR(SEARCH("Impróspero",O4)))</formula>
    </cfRule>
  </conditionalFormatting>
  <conditionalFormatting sqref="A4:A945">
    <cfRule type="duplicateValues" dxfId="224" priority="1746"/>
  </conditionalFormatting>
  <dataValidations disablePrompts="1"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1150620</xdr:colOff>
                <xdr:row>1</xdr:row>
                <xdr:rowOff>38100</xdr:rowOff>
              </from>
              <to>
                <xdr:col>1</xdr:col>
                <xdr:colOff>2042160</xdr:colOff>
                <xdr:row>1</xdr:row>
                <xdr:rowOff>548640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236220</xdr:colOff>
                <xdr:row>0</xdr:row>
                <xdr:rowOff>60960</xdr:rowOff>
              </from>
              <to>
                <xdr:col>1</xdr:col>
                <xdr:colOff>1127760</xdr:colOff>
                <xdr:row>0</xdr:row>
                <xdr:rowOff>571500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236220</xdr:colOff>
                <xdr:row>1</xdr:row>
                <xdr:rowOff>38100</xdr:rowOff>
              </from>
              <to>
                <xdr:col>1</xdr:col>
                <xdr:colOff>1127760</xdr:colOff>
                <xdr:row>1</xdr:row>
                <xdr:rowOff>548640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53340</xdr:colOff>
                <xdr:row>1</xdr:row>
                <xdr:rowOff>38100</xdr:rowOff>
              </from>
              <to>
                <xdr:col>1</xdr:col>
                <xdr:colOff>213360</xdr:colOff>
                <xdr:row>1</xdr:row>
                <xdr:rowOff>548640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2979420</xdr:colOff>
                <xdr:row>0</xdr:row>
                <xdr:rowOff>60960</xdr:rowOff>
              </from>
              <to>
                <xdr:col>1</xdr:col>
                <xdr:colOff>4785360</xdr:colOff>
                <xdr:row>0</xdr:row>
                <xdr:rowOff>571500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53340</xdr:colOff>
                <xdr:row>0</xdr:row>
                <xdr:rowOff>60960</xdr:rowOff>
              </from>
              <to>
                <xdr:col>1</xdr:col>
                <xdr:colOff>213360</xdr:colOff>
                <xdr:row>0</xdr:row>
                <xdr:rowOff>571500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2065020</xdr:colOff>
                <xdr:row>1</xdr:row>
                <xdr:rowOff>38100</xdr:rowOff>
              </from>
              <to>
                <xdr:col>1</xdr:col>
                <xdr:colOff>2956560</xdr:colOff>
                <xdr:row>1</xdr:row>
                <xdr:rowOff>548640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2979420</xdr:colOff>
                <xdr:row>1</xdr:row>
                <xdr:rowOff>38100</xdr:rowOff>
              </from>
              <to>
                <xdr:col>1</xdr:col>
                <xdr:colOff>3870960</xdr:colOff>
                <xdr:row>1</xdr:row>
                <xdr:rowOff>548640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1150620</xdr:colOff>
                <xdr:row>0</xdr:row>
                <xdr:rowOff>60960</xdr:rowOff>
              </from>
              <to>
                <xdr:col>1</xdr:col>
                <xdr:colOff>2042160</xdr:colOff>
                <xdr:row>0</xdr:row>
                <xdr:rowOff>571500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2065020</xdr:colOff>
                <xdr:row>0</xdr:row>
                <xdr:rowOff>60960</xdr:rowOff>
              </from>
              <to>
                <xdr:col>1</xdr:col>
                <xdr:colOff>2956560</xdr:colOff>
                <xdr:row>0</xdr:row>
                <xdr:rowOff>571500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3893820</xdr:colOff>
                <xdr:row>1</xdr:row>
                <xdr:rowOff>38100</xdr:rowOff>
              </from>
              <to>
                <xdr:col>1</xdr:col>
                <xdr:colOff>4785360</xdr:colOff>
                <xdr:row>1</xdr:row>
                <xdr:rowOff>548640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2</xdr:col>
                <xdr:colOff>160020</xdr:colOff>
                <xdr:row>1</xdr:row>
                <xdr:rowOff>38100</xdr:rowOff>
              </from>
              <to>
                <xdr:col>3</xdr:col>
                <xdr:colOff>670560</xdr:colOff>
                <xdr:row>1</xdr:row>
                <xdr:rowOff>548640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4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2"/>
  <sheetViews>
    <sheetView zoomScale="85" zoomScaleNormal="85" workbookViewId="0">
      <pane xSplit="2" ySplit="2" topLeftCell="C490" activePane="bottomRight" state="frozen"/>
      <selection pane="topRight" activeCell="C1" sqref="C1"/>
      <selection pane="bottomLeft" activeCell="A3" sqref="A3"/>
      <selection pane="bottomRight" activeCell="C513" sqref="C513"/>
    </sheetView>
  </sheetViews>
  <sheetFormatPr defaultRowHeight="14.4" x14ac:dyDescent="0.3"/>
  <cols>
    <col min="1" max="1" width="13.44140625" style="2" bestFit="1" customWidth="1"/>
    <col min="2" max="2" width="50.6640625" style="4" customWidth="1"/>
    <col min="3" max="3" width="14.5546875" style="3" bestFit="1" customWidth="1"/>
    <col min="4" max="4" width="13.88671875" style="1" bestFit="1" customWidth="1"/>
    <col min="5" max="5" width="25.109375" style="4" bestFit="1" customWidth="1"/>
    <col min="6" max="6" width="25.6640625" style="4" customWidth="1"/>
    <col min="7" max="7" width="13.88671875" style="4" bestFit="1" customWidth="1"/>
    <col min="8" max="8" width="12" style="2" bestFit="1" customWidth="1"/>
    <col min="9" max="9" width="13.88671875" style="2" bestFit="1" customWidth="1"/>
    <col min="10" max="10" width="13.5546875" style="1" bestFit="1" customWidth="1"/>
    <col min="11" max="11" width="11.88671875" style="2" bestFit="1" customWidth="1"/>
    <col min="12" max="12" width="16.33203125" bestFit="1" customWidth="1"/>
    <col min="13" max="13" width="8.109375" style="2" bestFit="1" customWidth="1"/>
    <col min="14" max="14" width="10.6640625" style="1" bestFit="1" customWidth="1"/>
    <col min="15" max="15" width="12.88671875" bestFit="1" customWidth="1"/>
    <col min="16" max="16" width="9.6640625" style="2" bestFit="1" customWidth="1"/>
    <col min="17" max="17" width="12.33203125" style="1" bestFit="1" customWidth="1"/>
    <col min="18" max="18" width="19" style="32" bestFit="1" customWidth="1"/>
    <col min="19" max="19" width="25.6640625" style="4" customWidth="1"/>
    <col min="20" max="20" width="16.6640625" style="3" bestFit="1" customWidth="1"/>
    <col min="21" max="21" width="12.6640625" style="3" bestFit="1" customWidth="1"/>
    <col min="22" max="22" width="11.109375" style="3" bestFit="1" customWidth="1"/>
    <col min="23" max="23" width="11.44140625" style="18" bestFit="1" customWidth="1"/>
    <col min="24" max="24" width="13.109375" style="5" bestFit="1" customWidth="1"/>
    <col min="25" max="25" width="8.5546875" style="2" bestFit="1" customWidth="1"/>
    <col min="26" max="26" width="7.109375" style="2" bestFit="1" customWidth="1"/>
    <col min="27" max="27" width="13.109375" style="5" bestFit="1" customWidth="1"/>
    <col min="28" max="28" width="9.5546875" style="2" bestFit="1" customWidth="1"/>
    <col min="29" max="29" width="8.5546875" style="2" bestFit="1" customWidth="1"/>
    <col min="30" max="30" width="78" style="2" bestFit="1" customWidth="1"/>
    <col min="31" max="31" width="12.44140625" style="2" bestFit="1" customWidth="1"/>
    <col min="32" max="32" width="14.6640625" style="2" bestFit="1" customWidth="1"/>
    <col min="33" max="33" width="20" style="32" bestFit="1" customWidth="1"/>
    <col min="34" max="34" width="20.44140625" style="32" bestFit="1" customWidth="1"/>
    <col min="35" max="35" width="21.88671875" style="32" bestFit="1" customWidth="1"/>
    <col min="36" max="36" width="24" style="32" bestFit="1" customWidth="1"/>
    <col min="37" max="37" width="27.5546875" style="23" bestFit="1" customWidth="1"/>
  </cols>
  <sheetData>
    <row r="1" spans="1:37" ht="45" customHeight="1" x14ac:dyDescent="0.3"/>
    <row r="2" spans="1:37" x14ac:dyDescent="0.3">
      <c r="A2" s="193" t="s">
        <v>0</v>
      </c>
      <c r="B2" s="194" t="s">
        <v>1</v>
      </c>
      <c r="C2" s="193" t="s">
        <v>2</v>
      </c>
      <c r="D2" s="195" t="s">
        <v>3</v>
      </c>
      <c r="E2" s="194" t="s">
        <v>4</v>
      </c>
      <c r="F2" s="194" t="s">
        <v>5</v>
      </c>
      <c r="G2" s="194" t="s">
        <v>6</v>
      </c>
      <c r="H2" s="196" t="s">
        <v>7</v>
      </c>
      <c r="I2" s="197" t="s">
        <v>8</v>
      </c>
      <c r="J2" s="198" t="s">
        <v>9</v>
      </c>
      <c r="K2" s="196" t="s">
        <v>10</v>
      </c>
      <c r="L2" s="199" t="s">
        <v>11</v>
      </c>
      <c r="M2" s="200" t="s">
        <v>12</v>
      </c>
      <c r="N2" s="198" t="s">
        <v>13</v>
      </c>
      <c r="O2" s="201" t="s">
        <v>14</v>
      </c>
      <c r="P2" s="200" t="s">
        <v>15</v>
      </c>
      <c r="Q2" s="202" t="s">
        <v>16</v>
      </c>
      <c r="R2" s="203" t="s">
        <v>17</v>
      </c>
      <c r="S2" s="194" t="s">
        <v>18</v>
      </c>
      <c r="T2" s="204" t="s">
        <v>19</v>
      </c>
      <c r="U2" s="205" t="s">
        <v>20</v>
      </c>
      <c r="V2" s="206" t="s">
        <v>21</v>
      </c>
      <c r="W2" s="207" t="s">
        <v>22</v>
      </c>
      <c r="X2" s="208" t="s">
        <v>112</v>
      </c>
      <c r="Y2" s="200" t="s">
        <v>23</v>
      </c>
      <c r="Z2" s="200" t="s">
        <v>24</v>
      </c>
      <c r="AA2" s="208" t="s">
        <v>25</v>
      </c>
      <c r="AB2" s="202" t="s">
        <v>26</v>
      </c>
      <c r="AC2" s="200" t="s">
        <v>27</v>
      </c>
      <c r="AD2" s="209" t="s">
        <v>92</v>
      </c>
      <c r="AE2" s="209" t="s">
        <v>93</v>
      </c>
      <c r="AF2" s="200" t="s">
        <v>28</v>
      </c>
      <c r="AG2" s="203" t="s">
        <v>29</v>
      </c>
      <c r="AH2" s="203" t="s">
        <v>38</v>
      </c>
      <c r="AI2" s="203" t="s">
        <v>39</v>
      </c>
      <c r="AJ2" s="203" t="s">
        <v>40</v>
      </c>
      <c r="AK2" s="193" t="s">
        <v>41</v>
      </c>
    </row>
    <row r="3" spans="1:37" x14ac:dyDescent="0.3">
      <c r="A3" s="173">
        <v>2278</v>
      </c>
      <c r="B3" s="174" t="s">
        <v>875</v>
      </c>
      <c r="C3" s="175" t="s">
        <v>281</v>
      </c>
      <c r="D3" s="176">
        <v>5.01</v>
      </c>
      <c r="E3" s="174"/>
      <c r="F3" s="174"/>
      <c r="G3" s="174" t="s">
        <v>883</v>
      </c>
      <c r="H3" s="177">
        <v>208</v>
      </c>
      <c r="I3" s="24">
        <v>103003</v>
      </c>
      <c r="J3" s="178">
        <v>5.01</v>
      </c>
      <c r="K3" s="177">
        <v>1</v>
      </c>
      <c r="L3" s="179">
        <v>2600</v>
      </c>
      <c r="M3" s="180">
        <v>0</v>
      </c>
      <c r="N3" s="178">
        <v>0</v>
      </c>
      <c r="O3" s="181" t="s">
        <v>882</v>
      </c>
      <c r="P3" s="180">
        <v>0</v>
      </c>
      <c r="Q3" s="182">
        <v>0</v>
      </c>
      <c r="R3" s="183" t="s">
        <v>883</v>
      </c>
      <c r="S3" s="174" t="s">
        <v>884</v>
      </c>
      <c r="T3" s="44">
        <v>1</v>
      </c>
      <c r="U3" s="184">
        <v>70</v>
      </c>
      <c r="V3" s="185">
        <v>17</v>
      </c>
      <c r="W3" s="186" t="s">
        <v>883</v>
      </c>
      <c r="X3" s="187" t="s">
        <v>883</v>
      </c>
      <c r="Y3" s="188">
        <v>0</v>
      </c>
      <c r="Z3" s="188" t="s">
        <v>883</v>
      </c>
      <c r="AA3" s="187" t="s">
        <v>883</v>
      </c>
      <c r="AB3" s="188">
        <v>0</v>
      </c>
      <c r="AC3" s="188"/>
      <c r="AD3" s="189" t="s">
        <v>883</v>
      </c>
      <c r="AE3" s="190" t="s">
        <v>883</v>
      </c>
      <c r="AF3" s="180">
        <v>0</v>
      </c>
      <c r="AG3" s="183">
        <v>44550</v>
      </c>
      <c r="AH3" s="183" t="s">
        <v>883</v>
      </c>
      <c r="AI3" s="183">
        <v>44536</v>
      </c>
      <c r="AJ3" s="183" t="s">
        <v>883</v>
      </c>
      <c r="AK3" s="174"/>
    </row>
    <row r="4" spans="1:37" x14ac:dyDescent="0.3">
      <c r="A4" s="173">
        <v>4680</v>
      </c>
      <c r="B4" s="174" t="s">
        <v>885</v>
      </c>
      <c r="C4" s="175" t="s">
        <v>281</v>
      </c>
      <c r="D4" s="176">
        <v>8.14</v>
      </c>
      <c r="E4" s="174"/>
      <c r="F4" s="174"/>
      <c r="G4" s="174" t="s">
        <v>883</v>
      </c>
      <c r="H4" s="177">
        <v>27050</v>
      </c>
      <c r="I4" s="24">
        <v>103003</v>
      </c>
      <c r="J4" s="178">
        <v>8.14</v>
      </c>
      <c r="K4" s="177">
        <v>12122</v>
      </c>
      <c r="L4" s="179">
        <v>16.099561353910616</v>
      </c>
      <c r="M4" s="180">
        <v>0</v>
      </c>
      <c r="N4" s="178">
        <v>0</v>
      </c>
      <c r="O4" s="181" t="s">
        <v>882</v>
      </c>
      <c r="P4" s="180">
        <v>0</v>
      </c>
      <c r="Q4" s="182">
        <v>0</v>
      </c>
      <c r="R4" s="183" t="s">
        <v>883</v>
      </c>
      <c r="S4" s="174" t="s">
        <v>886</v>
      </c>
      <c r="T4" s="44">
        <v>1</v>
      </c>
      <c r="U4" s="184">
        <v>20</v>
      </c>
      <c r="V4" s="185">
        <v>3</v>
      </c>
      <c r="W4" s="186" t="s">
        <v>883</v>
      </c>
      <c r="X4" s="187" t="s">
        <v>883</v>
      </c>
      <c r="Y4" s="188">
        <v>0</v>
      </c>
      <c r="Z4" s="188" t="s">
        <v>883</v>
      </c>
      <c r="AA4" s="187" t="s">
        <v>883</v>
      </c>
      <c r="AB4" s="188">
        <v>0</v>
      </c>
      <c r="AC4" s="188"/>
      <c r="AD4" s="189" t="s">
        <v>883</v>
      </c>
      <c r="AE4" s="190" t="s">
        <v>883</v>
      </c>
      <c r="AF4" s="180">
        <v>6720</v>
      </c>
      <c r="AG4" s="183">
        <v>45069</v>
      </c>
      <c r="AH4" s="183" t="s">
        <v>883</v>
      </c>
      <c r="AI4" s="183">
        <v>45055</v>
      </c>
      <c r="AJ4" s="183" t="s">
        <v>883</v>
      </c>
      <c r="AK4" s="174"/>
    </row>
    <row r="5" spans="1:37" x14ac:dyDescent="0.3">
      <c r="A5" s="173">
        <v>9413</v>
      </c>
      <c r="B5" s="174" t="s">
        <v>887</v>
      </c>
      <c r="C5" s="175" t="s">
        <v>31</v>
      </c>
      <c r="D5" s="176">
        <v>0.67</v>
      </c>
      <c r="E5" s="174" t="s">
        <v>888</v>
      </c>
      <c r="F5" s="174" t="s">
        <v>889</v>
      </c>
      <c r="G5" s="174" t="s">
        <v>890</v>
      </c>
      <c r="H5" s="177">
        <v>9679</v>
      </c>
      <c r="I5" s="24">
        <v>103003</v>
      </c>
      <c r="J5" s="178">
        <v>0.67</v>
      </c>
      <c r="K5" s="177">
        <v>12397</v>
      </c>
      <c r="L5" s="179">
        <v>3.7657815387608209</v>
      </c>
      <c r="M5" s="180">
        <v>21164</v>
      </c>
      <c r="N5" s="178">
        <v>14179.88</v>
      </c>
      <c r="O5" s="181" t="s">
        <v>891</v>
      </c>
      <c r="P5" s="180">
        <v>106700</v>
      </c>
      <c r="Q5" s="182">
        <v>71489</v>
      </c>
      <c r="R5" s="183">
        <v>45377</v>
      </c>
      <c r="S5" s="174" t="s">
        <v>892</v>
      </c>
      <c r="T5" s="44">
        <v>1</v>
      </c>
      <c r="U5" s="184">
        <v>72</v>
      </c>
      <c r="V5" s="185">
        <v>6</v>
      </c>
      <c r="W5" s="186" t="s">
        <v>883</v>
      </c>
      <c r="X5" s="187" t="s">
        <v>883</v>
      </c>
      <c r="Y5" s="188">
        <v>0</v>
      </c>
      <c r="Z5" s="188" t="s">
        <v>883</v>
      </c>
      <c r="AA5" s="187" t="s">
        <v>883</v>
      </c>
      <c r="AB5" s="188">
        <v>0</v>
      </c>
      <c r="AC5" s="188"/>
      <c r="AD5" s="189" t="s">
        <v>883</v>
      </c>
      <c r="AE5" s="190" t="s">
        <v>883</v>
      </c>
      <c r="AF5" s="180">
        <v>10282</v>
      </c>
      <c r="AG5" s="183">
        <v>45098</v>
      </c>
      <c r="AH5" s="183" t="s">
        <v>883</v>
      </c>
      <c r="AI5" s="183">
        <v>45076</v>
      </c>
      <c r="AJ5" s="183" t="s">
        <v>883</v>
      </c>
      <c r="AK5" s="174"/>
    </row>
    <row r="6" spans="1:37" x14ac:dyDescent="0.3">
      <c r="A6" s="173">
        <v>10302</v>
      </c>
      <c r="B6" s="174" t="s">
        <v>893</v>
      </c>
      <c r="C6" s="175" t="s">
        <v>894</v>
      </c>
      <c r="D6" s="176">
        <v>15.86</v>
      </c>
      <c r="E6" s="174"/>
      <c r="F6" s="174"/>
      <c r="G6" s="174" t="s">
        <v>883</v>
      </c>
      <c r="H6" s="177">
        <v>8202</v>
      </c>
      <c r="I6" s="24">
        <v>103003</v>
      </c>
      <c r="J6" s="178">
        <v>15.86</v>
      </c>
      <c r="K6" s="177">
        <v>2768</v>
      </c>
      <c r="L6" s="179">
        <v>28.948575865598418</v>
      </c>
      <c r="M6" s="180">
        <v>0</v>
      </c>
      <c r="N6" s="178">
        <v>0</v>
      </c>
      <c r="O6" s="181" t="s">
        <v>882</v>
      </c>
      <c r="P6" s="180">
        <v>0</v>
      </c>
      <c r="Q6" s="182">
        <v>0</v>
      </c>
      <c r="R6" s="183" t="s">
        <v>883</v>
      </c>
      <c r="S6" s="174" t="s">
        <v>895</v>
      </c>
      <c r="T6" s="44">
        <v>1</v>
      </c>
      <c r="U6" s="184">
        <v>57</v>
      </c>
      <c r="V6" s="185">
        <v>19</v>
      </c>
      <c r="W6" s="186" t="s">
        <v>883</v>
      </c>
      <c r="X6" s="187" t="s">
        <v>883</v>
      </c>
      <c r="Y6" s="188">
        <v>0</v>
      </c>
      <c r="Z6" s="188" t="s">
        <v>883</v>
      </c>
      <c r="AA6" s="187" t="s">
        <v>883</v>
      </c>
      <c r="AB6" s="188">
        <v>0</v>
      </c>
      <c r="AC6" s="188"/>
      <c r="AD6" s="189" t="s">
        <v>883</v>
      </c>
      <c r="AE6" s="190" t="s">
        <v>883</v>
      </c>
      <c r="AF6" s="180">
        <v>1134</v>
      </c>
      <c r="AG6" s="183">
        <v>43826</v>
      </c>
      <c r="AH6" s="183" t="s">
        <v>883</v>
      </c>
      <c r="AI6" s="183">
        <v>43815</v>
      </c>
      <c r="AJ6" s="183" t="s">
        <v>883</v>
      </c>
      <c r="AK6" s="174"/>
    </row>
    <row r="7" spans="1:37" x14ac:dyDescent="0.3">
      <c r="A7" s="173">
        <v>10359</v>
      </c>
      <c r="B7" s="174" t="s">
        <v>896</v>
      </c>
      <c r="C7" s="175" t="s">
        <v>400</v>
      </c>
      <c r="D7" s="176">
        <v>35</v>
      </c>
      <c r="E7" s="174" t="s">
        <v>897</v>
      </c>
      <c r="F7" s="174" t="s">
        <v>898</v>
      </c>
      <c r="G7" s="174" t="s">
        <v>899</v>
      </c>
      <c r="H7" s="177">
        <v>914</v>
      </c>
      <c r="I7" s="24">
        <v>103003</v>
      </c>
      <c r="J7" s="178">
        <v>35</v>
      </c>
      <c r="K7" s="177">
        <v>1433</v>
      </c>
      <c r="L7" s="179">
        <v>4.2232695684317534</v>
      </c>
      <c r="M7" s="180">
        <v>1683.04</v>
      </c>
      <c r="N7" s="178">
        <v>58906.400000000001</v>
      </c>
      <c r="O7" s="181" t="s">
        <v>900</v>
      </c>
      <c r="P7" s="180">
        <v>162308</v>
      </c>
      <c r="Q7" s="182">
        <v>5680780</v>
      </c>
      <c r="R7" s="183">
        <v>45250</v>
      </c>
      <c r="S7" s="174" t="s">
        <v>901</v>
      </c>
      <c r="T7" s="44">
        <v>1</v>
      </c>
      <c r="U7" s="184">
        <v>71</v>
      </c>
      <c r="V7" s="185">
        <v>7</v>
      </c>
      <c r="W7" s="186" t="s">
        <v>883</v>
      </c>
      <c r="X7" s="187" t="s">
        <v>883</v>
      </c>
      <c r="Y7" s="188">
        <v>0</v>
      </c>
      <c r="Z7" s="188" t="s">
        <v>883</v>
      </c>
      <c r="AA7" s="187" t="s">
        <v>883</v>
      </c>
      <c r="AB7" s="188">
        <v>0</v>
      </c>
      <c r="AC7" s="188"/>
      <c r="AD7" s="189" t="s">
        <v>883</v>
      </c>
      <c r="AE7" s="190" t="s">
        <v>883</v>
      </c>
      <c r="AF7" s="180">
        <v>866</v>
      </c>
      <c r="AG7" s="183">
        <v>45127</v>
      </c>
      <c r="AH7" s="183" t="s">
        <v>883</v>
      </c>
      <c r="AI7" s="183">
        <v>45117</v>
      </c>
      <c r="AJ7" s="183" t="s">
        <v>883</v>
      </c>
      <c r="AK7" s="174"/>
    </row>
    <row r="8" spans="1:37" x14ac:dyDescent="0.3">
      <c r="A8" s="173">
        <v>10392</v>
      </c>
      <c r="B8" s="174" t="s">
        <v>902</v>
      </c>
      <c r="C8" s="175" t="s">
        <v>256</v>
      </c>
      <c r="D8" s="176">
        <v>0.9</v>
      </c>
      <c r="E8" s="174"/>
      <c r="F8" s="174"/>
      <c r="G8" s="174" t="s">
        <v>883</v>
      </c>
      <c r="H8" s="177">
        <v>0</v>
      </c>
      <c r="I8" s="24">
        <v>103003</v>
      </c>
      <c r="J8" s="178">
        <v>0.9</v>
      </c>
      <c r="K8" s="177">
        <v>7076</v>
      </c>
      <c r="L8" s="179">
        <v>0</v>
      </c>
      <c r="M8" s="180">
        <v>3205.04</v>
      </c>
      <c r="N8" s="178">
        <v>2884.5360000000001</v>
      </c>
      <c r="O8" s="181" t="s">
        <v>882</v>
      </c>
      <c r="P8" s="180">
        <v>0</v>
      </c>
      <c r="Q8" s="182">
        <v>0</v>
      </c>
      <c r="R8" s="183" t="s">
        <v>883</v>
      </c>
      <c r="S8" s="174" t="s">
        <v>903</v>
      </c>
      <c r="T8" s="44">
        <v>1</v>
      </c>
      <c r="U8" s="184">
        <v>45</v>
      </c>
      <c r="V8" s="185">
        <v>10</v>
      </c>
      <c r="W8" s="186">
        <v>6982</v>
      </c>
      <c r="X8" s="187">
        <v>2023</v>
      </c>
      <c r="Y8" s="188">
        <v>4300</v>
      </c>
      <c r="Z8" s="188" t="s">
        <v>883</v>
      </c>
      <c r="AA8" s="187" t="s">
        <v>883</v>
      </c>
      <c r="AB8" s="188">
        <v>0</v>
      </c>
      <c r="AC8" s="188"/>
      <c r="AD8" s="189" t="s">
        <v>883</v>
      </c>
      <c r="AE8" s="190" t="s">
        <v>883</v>
      </c>
      <c r="AF8" s="180">
        <v>2502</v>
      </c>
      <c r="AG8" s="183">
        <v>44936</v>
      </c>
      <c r="AH8" s="183" t="s">
        <v>883</v>
      </c>
      <c r="AI8" s="183">
        <v>45107</v>
      </c>
      <c r="AJ8" s="183" t="s">
        <v>883</v>
      </c>
      <c r="AK8" s="174"/>
    </row>
    <row r="9" spans="1:37" x14ac:dyDescent="0.3">
      <c r="A9" s="173">
        <v>10412</v>
      </c>
      <c r="B9" s="174" t="s">
        <v>904</v>
      </c>
      <c r="C9" s="175" t="s">
        <v>400</v>
      </c>
      <c r="D9" s="176">
        <v>13.5</v>
      </c>
      <c r="E9" s="174" t="s">
        <v>905</v>
      </c>
      <c r="F9" s="174" t="s">
        <v>906</v>
      </c>
      <c r="G9" s="174" t="s">
        <v>907</v>
      </c>
      <c r="H9" s="177">
        <v>52.5</v>
      </c>
      <c r="I9" s="24">
        <v>103003</v>
      </c>
      <c r="J9" s="178">
        <v>13.5</v>
      </c>
      <c r="K9" s="177">
        <v>691.5</v>
      </c>
      <c r="L9" s="179">
        <v>0.51959619952494063</v>
      </c>
      <c r="M9" s="180">
        <v>1159.98</v>
      </c>
      <c r="N9" s="178">
        <v>15659.73</v>
      </c>
      <c r="O9" s="181" t="s">
        <v>908</v>
      </c>
      <c r="P9" s="180">
        <v>9184</v>
      </c>
      <c r="Q9" s="182">
        <v>124794</v>
      </c>
      <c r="R9" s="183">
        <v>45489</v>
      </c>
      <c r="S9" s="174" t="s">
        <v>909</v>
      </c>
      <c r="T9" s="44">
        <v>1</v>
      </c>
      <c r="U9" s="184">
        <v>71</v>
      </c>
      <c r="V9" s="185">
        <v>24</v>
      </c>
      <c r="W9" s="186" t="s">
        <v>883</v>
      </c>
      <c r="X9" s="187" t="s">
        <v>883</v>
      </c>
      <c r="Y9" s="188">
        <v>0</v>
      </c>
      <c r="Z9" s="188" t="s">
        <v>883</v>
      </c>
      <c r="AA9" s="187" t="s">
        <v>883</v>
      </c>
      <c r="AB9" s="188">
        <v>0</v>
      </c>
      <c r="AC9" s="188"/>
      <c r="AD9" s="189" t="s">
        <v>883</v>
      </c>
      <c r="AE9" s="190" t="s">
        <v>883</v>
      </c>
      <c r="AF9" s="180">
        <v>404</v>
      </c>
      <c r="AG9" s="183">
        <v>45110</v>
      </c>
      <c r="AH9" s="183" t="s">
        <v>883</v>
      </c>
      <c r="AI9" s="183">
        <v>45139</v>
      </c>
      <c r="AJ9" s="183" t="s">
        <v>883</v>
      </c>
      <c r="AK9" s="174"/>
    </row>
    <row r="10" spans="1:37" x14ac:dyDescent="0.3">
      <c r="A10" s="173">
        <v>10547</v>
      </c>
      <c r="B10" s="174" t="s">
        <v>910</v>
      </c>
      <c r="C10" s="175" t="s">
        <v>281</v>
      </c>
      <c r="D10" s="176">
        <v>2.68</v>
      </c>
      <c r="E10" s="174"/>
      <c r="F10" s="174"/>
      <c r="G10" s="174" t="s">
        <v>883</v>
      </c>
      <c r="H10" s="177">
        <v>0</v>
      </c>
      <c r="I10" s="24">
        <v>103003</v>
      </c>
      <c r="J10" s="178">
        <v>2.68</v>
      </c>
      <c r="K10" s="177">
        <v>15113</v>
      </c>
      <c r="L10" s="179">
        <v>0</v>
      </c>
      <c r="M10" s="180">
        <v>37213.040000000001</v>
      </c>
      <c r="N10" s="178">
        <v>99730.947199999995</v>
      </c>
      <c r="O10" s="181" t="s">
        <v>882</v>
      </c>
      <c r="P10" s="180">
        <v>0</v>
      </c>
      <c r="Q10" s="182">
        <v>0</v>
      </c>
      <c r="R10" s="183" t="s">
        <v>883</v>
      </c>
      <c r="S10" s="174" t="s">
        <v>911</v>
      </c>
      <c r="T10" s="44">
        <v>1</v>
      </c>
      <c r="U10" s="184">
        <v>45</v>
      </c>
      <c r="V10" s="185">
        <v>14</v>
      </c>
      <c r="W10" s="186">
        <v>6982</v>
      </c>
      <c r="X10" s="187">
        <v>2023</v>
      </c>
      <c r="Y10" s="188">
        <v>7900</v>
      </c>
      <c r="Z10" s="188" t="s">
        <v>883</v>
      </c>
      <c r="AA10" s="187" t="s">
        <v>883</v>
      </c>
      <c r="AB10" s="188">
        <v>0</v>
      </c>
      <c r="AC10" s="188"/>
      <c r="AD10" s="189" t="s">
        <v>883</v>
      </c>
      <c r="AE10" s="190" t="s">
        <v>883</v>
      </c>
      <c r="AF10" s="180">
        <v>15038</v>
      </c>
      <c r="AG10" s="183">
        <v>44924</v>
      </c>
      <c r="AH10" s="183" t="s">
        <v>883</v>
      </c>
      <c r="AI10" s="183">
        <v>45107</v>
      </c>
      <c r="AJ10" s="183" t="s">
        <v>883</v>
      </c>
      <c r="AK10" s="174"/>
    </row>
    <row r="11" spans="1:37" x14ac:dyDescent="0.3">
      <c r="A11" s="173">
        <v>10719</v>
      </c>
      <c r="B11" s="174" t="s">
        <v>912</v>
      </c>
      <c r="C11" s="175" t="s">
        <v>268</v>
      </c>
      <c r="D11" s="176">
        <v>11.99</v>
      </c>
      <c r="E11" s="174" t="s">
        <v>913</v>
      </c>
      <c r="F11" s="174" t="s">
        <v>914</v>
      </c>
      <c r="G11" s="174" t="s">
        <v>915</v>
      </c>
      <c r="H11" s="177">
        <v>2702</v>
      </c>
      <c r="I11" s="24">
        <v>103003</v>
      </c>
      <c r="J11" s="178">
        <v>11.99</v>
      </c>
      <c r="K11" s="177">
        <v>24696</v>
      </c>
      <c r="L11" s="179">
        <v>0.76205625453017345</v>
      </c>
      <c r="M11" s="180">
        <v>29546.04</v>
      </c>
      <c r="N11" s="178">
        <v>354257.0196</v>
      </c>
      <c r="O11" s="181" t="s">
        <v>916</v>
      </c>
      <c r="P11" s="180">
        <v>121100</v>
      </c>
      <c r="Q11" s="182">
        <v>1451989</v>
      </c>
      <c r="R11" s="183">
        <v>45422</v>
      </c>
      <c r="S11" s="174" t="s">
        <v>917</v>
      </c>
      <c r="T11" s="44">
        <v>1</v>
      </c>
      <c r="U11" s="184">
        <v>71</v>
      </c>
      <c r="V11" s="185">
        <v>26</v>
      </c>
      <c r="W11" s="186" t="s">
        <v>883</v>
      </c>
      <c r="X11" s="187" t="s">
        <v>883</v>
      </c>
      <c r="Y11" s="188">
        <v>0</v>
      </c>
      <c r="Z11" s="188">
        <v>7206</v>
      </c>
      <c r="AA11" s="187">
        <v>2023</v>
      </c>
      <c r="AB11" s="188">
        <v>10300</v>
      </c>
      <c r="AC11" s="188">
        <v>10300</v>
      </c>
      <c r="AD11" s="189" t="s">
        <v>2034</v>
      </c>
      <c r="AE11" s="190">
        <v>45110</v>
      </c>
      <c r="AF11" s="180">
        <v>14182</v>
      </c>
      <c r="AG11" s="183">
        <v>44896</v>
      </c>
      <c r="AH11" s="183" t="s">
        <v>883</v>
      </c>
      <c r="AI11" s="183">
        <v>45097</v>
      </c>
      <c r="AJ11" s="183" t="s">
        <v>883</v>
      </c>
      <c r="AK11" s="174"/>
    </row>
    <row r="12" spans="1:37" x14ac:dyDescent="0.3">
      <c r="A12" s="173">
        <v>10867</v>
      </c>
      <c r="B12" s="174" t="s">
        <v>918</v>
      </c>
      <c r="C12" s="175" t="s">
        <v>268</v>
      </c>
      <c r="D12" s="176">
        <v>3.55</v>
      </c>
      <c r="E12" s="174" t="s">
        <v>919</v>
      </c>
      <c r="F12" s="174" t="s">
        <v>920</v>
      </c>
      <c r="G12" s="174" t="s">
        <v>921</v>
      </c>
      <c r="H12" s="177">
        <v>22834</v>
      </c>
      <c r="I12" s="24">
        <v>103003</v>
      </c>
      <c r="J12" s="178">
        <v>3.55</v>
      </c>
      <c r="K12" s="177">
        <v>23157</v>
      </c>
      <c r="L12" s="179">
        <v>5.7596165973010471</v>
      </c>
      <c r="M12" s="180">
        <v>24740</v>
      </c>
      <c r="N12" s="178">
        <v>87827</v>
      </c>
      <c r="O12" s="181" t="s">
        <v>922</v>
      </c>
      <c r="P12" s="180">
        <v>33100</v>
      </c>
      <c r="Q12" s="182">
        <v>117505</v>
      </c>
      <c r="R12" s="183">
        <v>45268</v>
      </c>
      <c r="S12" s="174" t="s">
        <v>923</v>
      </c>
      <c r="T12" s="44">
        <v>1</v>
      </c>
      <c r="U12" s="184">
        <v>71</v>
      </c>
      <c r="V12" s="185">
        <v>20</v>
      </c>
      <c r="W12" s="186" t="s">
        <v>883</v>
      </c>
      <c r="X12" s="187" t="s">
        <v>883</v>
      </c>
      <c r="Y12" s="188">
        <v>0</v>
      </c>
      <c r="Z12" s="188" t="s">
        <v>883</v>
      </c>
      <c r="AA12" s="187" t="s">
        <v>883</v>
      </c>
      <c r="AB12" s="188">
        <v>0</v>
      </c>
      <c r="AC12" s="188"/>
      <c r="AD12" s="189" t="s">
        <v>883</v>
      </c>
      <c r="AE12" s="190" t="s">
        <v>883</v>
      </c>
      <c r="AF12" s="180">
        <v>15858</v>
      </c>
      <c r="AG12" s="183">
        <v>45048</v>
      </c>
      <c r="AH12" s="183" t="s">
        <v>883</v>
      </c>
      <c r="AI12" s="183">
        <v>45117</v>
      </c>
      <c r="AJ12" s="183" t="s">
        <v>883</v>
      </c>
      <c r="AK12" s="174"/>
    </row>
    <row r="13" spans="1:37" x14ac:dyDescent="0.3">
      <c r="A13" s="173">
        <v>11072</v>
      </c>
      <c r="B13" s="174" t="s">
        <v>924</v>
      </c>
      <c r="C13" s="175" t="s">
        <v>256</v>
      </c>
      <c r="D13" s="176">
        <v>1.59</v>
      </c>
      <c r="E13" s="174"/>
      <c r="F13" s="174"/>
      <c r="G13" s="174" t="s">
        <v>883</v>
      </c>
      <c r="H13" s="177">
        <v>465</v>
      </c>
      <c r="I13" s="24">
        <v>103003</v>
      </c>
      <c r="J13" s="178">
        <v>1.59</v>
      </c>
      <c r="K13" s="177">
        <v>371</v>
      </c>
      <c r="L13" s="179">
        <v>9.0291262135922334</v>
      </c>
      <c r="M13" s="180">
        <v>153</v>
      </c>
      <c r="N13" s="178">
        <v>243.27</v>
      </c>
      <c r="O13" s="181" t="s">
        <v>882</v>
      </c>
      <c r="P13" s="180">
        <v>0</v>
      </c>
      <c r="Q13" s="182">
        <v>0</v>
      </c>
      <c r="R13" s="183" t="s">
        <v>883</v>
      </c>
      <c r="S13" s="174" t="s">
        <v>925</v>
      </c>
      <c r="T13" s="44">
        <v>1</v>
      </c>
      <c r="U13" s="184">
        <v>45</v>
      </c>
      <c r="V13" s="185">
        <v>12</v>
      </c>
      <c r="W13" s="186" t="s">
        <v>883</v>
      </c>
      <c r="X13" s="187" t="s">
        <v>883</v>
      </c>
      <c r="Y13" s="188">
        <v>0</v>
      </c>
      <c r="Z13" s="188" t="s">
        <v>883</v>
      </c>
      <c r="AA13" s="187" t="s">
        <v>883</v>
      </c>
      <c r="AB13" s="188">
        <v>0</v>
      </c>
      <c r="AC13" s="188"/>
      <c r="AD13" s="189" t="s">
        <v>883</v>
      </c>
      <c r="AE13" s="190" t="s">
        <v>883</v>
      </c>
      <c r="AF13" s="180">
        <v>206</v>
      </c>
      <c r="AG13" s="183">
        <v>43616</v>
      </c>
      <c r="AH13" s="183" t="s">
        <v>883</v>
      </c>
      <c r="AI13" s="183">
        <v>44998</v>
      </c>
      <c r="AJ13" s="183" t="s">
        <v>883</v>
      </c>
      <c r="AK13" s="174"/>
    </row>
    <row r="14" spans="1:37" x14ac:dyDescent="0.3">
      <c r="A14" s="173">
        <v>11109</v>
      </c>
      <c r="B14" s="174" t="s">
        <v>926</v>
      </c>
      <c r="C14" s="175" t="s">
        <v>413</v>
      </c>
      <c r="D14" s="176">
        <v>1.2</v>
      </c>
      <c r="E14" s="174"/>
      <c r="F14" s="174"/>
      <c r="G14" s="174" t="s">
        <v>883</v>
      </c>
      <c r="H14" s="177">
        <v>393</v>
      </c>
      <c r="I14" s="24">
        <v>103003</v>
      </c>
      <c r="J14" s="178">
        <v>1.2</v>
      </c>
      <c r="K14" s="177">
        <v>2306</v>
      </c>
      <c r="L14" s="179">
        <v>1.4802259887005651</v>
      </c>
      <c r="M14" s="180">
        <v>2193</v>
      </c>
      <c r="N14" s="178">
        <v>2631.6</v>
      </c>
      <c r="O14" s="181" t="s">
        <v>882</v>
      </c>
      <c r="P14" s="180">
        <v>0</v>
      </c>
      <c r="Q14" s="182">
        <v>0</v>
      </c>
      <c r="R14" s="183" t="s">
        <v>883</v>
      </c>
      <c r="S14" s="174" t="s">
        <v>925</v>
      </c>
      <c r="T14" s="44">
        <v>1</v>
      </c>
      <c r="U14" s="184">
        <v>45</v>
      </c>
      <c r="V14" s="185">
        <v>12</v>
      </c>
      <c r="W14" s="186">
        <v>6978</v>
      </c>
      <c r="X14" s="187">
        <v>2023</v>
      </c>
      <c r="Y14" s="188">
        <v>600</v>
      </c>
      <c r="Z14" s="188" t="s">
        <v>883</v>
      </c>
      <c r="AA14" s="187" t="s">
        <v>883</v>
      </c>
      <c r="AB14" s="188">
        <v>0</v>
      </c>
      <c r="AC14" s="188"/>
      <c r="AD14" s="189" t="s">
        <v>883</v>
      </c>
      <c r="AE14" s="190" t="s">
        <v>883</v>
      </c>
      <c r="AF14" s="180">
        <v>1062</v>
      </c>
      <c r="AG14" s="183">
        <v>45014</v>
      </c>
      <c r="AH14" s="183" t="s">
        <v>883</v>
      </c>
      <c r="AI14" s="183">
        <v>45107</v>
      </c>
      <c r="AJ14" s="183" t="s">
        <v>883</v>
      </c>
      <c r="AK14" s="174"/>
    </row>
    <row r="15" spans="1:37" x14ac:dyDescent="0.3">
      <c r="A15" s="173">
        <v>11116</v>
      </c>
      <c r="B15" s="174" t="s">
        <v>927</v>
      </c>
      <c r="C15" s="175" t="s">
        <v>413</v>
      </c>
      <c r="D15" s="176">
        <v>3.79</v>
      </c>
      <c r="E15" s="174"/>
      <c r="F15" s="174"/>
      <c r="G15" s="174" t="s">
        <v>883</v>
      </c>
      <c r="H15" s="177">
        <v>1479</v>
      </c>
      <c r="I15" s="24">
        <v>103003</v>
      </c>
      <c r="J15" s="178">
        <v>3.79</v>
      </c>
      <c r="K15" s="177">
        <v>375</v>
      </c>
      <c r="L15" s="179">
        <v>28.262946684502197</v>
      </c>
      <c r="M15" s="180">
        <v>0</v>
      </c>
      <c r="N15" s="178">
        <v>0</v>
      </c>
      <c r="O15" s="181" t="s">
        <v>882</v>
      </c>
      <c r="P15" s="180">
        <v>0</v>
      </c>
      <c r="Q15" s="182">
        <v>0</v>
      </c>
      <c r="R15" s="183" t="s">
        <v>883</v>
      </c>
      <c r="S15" s="174" t="s">
        <v>925</v>
      </c>
      <c r="T15" s="44">
        <v>1</v>
      </c>
      <c r="U15" s="184">
        <v>45</v>
      </c>
      <c r="V15" s="185">
        <v>12</v>
      </c>
      <c r="W15" s="186" t="s">
        <v>883</v>
      </c>
      <c r="X15" s="187" t="s">
        <v>883</v>
      </c>
      <c r="Y15" s="188">
        <v>0</v>
      </c>
      <c r="Z15" s="188" t="s">
        <v>883</v>
      </c>
      <c r="AA15" s="187" t="s">
        <v>883</v>
      </c>
      <c r="AB15" s="188">
        <v>0</v>
      </c>
      <c r="AC15" s="188"/>
      <c r="AD15" s="189" t="s">
        <v>883</v>
      </c>
      <c r="AE15" s="190" t="s">
        <v>883</v>
      </c>
      <c r="AF15" s="180">
        <v>210</v>
      </c>
      <c r="AG15" s="183">
        <v>43521</v>
      </c>
      <c r="AH15" s="183" t="s">
        <v>883</v>
      </c>
      <c r="AI15" s="183">
        <v>45107</v>
      </c>
      <c r="AJ15" s="183" t="s">
        <v>883</v>
      </c>
      <c r="AK15" s="174"/>
    </row>
    <row r="16" spans="1:37" x14ac:dyDescent="0.3">
      <c r="A16" s="173">
        <v>11264</v>
      </c>
      <c r="B16" s="174" t="s">
        <v>928</v>
      </c>
      <c r="C16" s="175" t="s">
        <v>256</v>
      </c>
      <c r="D16" s="176">
        <v>13.92</v>
      </c>
      <c r="E16" s="174"/>
      <c r="F16" s="174"/>
      <c r="G16" s="174" t="s">
        <v>883</v>
      </c>
      <c r="H16" s="177">
        <v>242</v>
      </c>
      <c r="I16" s="24">
        <v>103003</v>
      </c>
      <c r="J16" s="178">
        <v>13.92</v>
      </c>
      <c r="K16" s="177">
        <v>234</v>
      </c>
      <c r="L16" s="179">
        <v>8.203389830508474</v>
      </c>
      <c r="M16" s="180">
        <v>112</v>
      </c>
      <c r="N16" s="178">
        <v>1559.04</v>
      </c>
      <c r="O16" s="181" t="s">
        <v>882</v>
      </c>
      <c r="P16" s="180">
        <v>0</v>
      </c>
      <c r="Q16" s="182">
        <v>0</v>
      </c>
      <c r="R16" s="183" t="s">
        <v>883</v>
      </c>
      <c r="S16" s="174" t="s">
        <v>925</v>
      </c>
      <c r="T16" s="44">
        <v>1</v>
      </c>
      <c r="U16" s="184">
        <v>45</v>
      </c>
      <c r="V16" s="185">
        <v>12</v>
      </c>
      <c r="W16" s="186" t="s">
        <v>883</v>
      </c>
      <c r="X16" s="187" t="s">
        <v>883</v>
      </c>
      <c r="Y16" s="188">
        <v>0</v>
      </c>
      <c r="Z16" s="188" t="s">
        <v>883</v>
      </c>
      <c r="AA16" s="187" t="s">
        <v>883</v>
      </c>
      <c r="AB16" s="188">
        <v>0</v>
      </c>
      <c r="AC16" s="188"/>
      <c r="AD16" s="189" t="s">
        <v>883</v>
      </c>
      <c r="AE16" s="190" t="s">
        <v>883</v>
      </c>
      <c r="AF16" s="180">
        <v>118</v>
      </c>
      <c r="AG16" s="183">
        <v>45013</v>
      </c>
      <c r="AH16" s="183" t="s">
        <v>883</v>
      </c>
      <c r="AI16" s="183">
        <v>44998</v>
      </c>
      <c r="AJ16" s="183" t="s">
        <v>883</v>
      </c>
      <c r="AK16" s="174"/>
    </row>
    <row r="17" spans="1:37" x14ac:dyDescent="0.3">
      <c r="A17" s="173">
        <v>11418</v>
      </c>
      <c r="B17" s="174" t="s">
        <v>929</v>
      </c>
      <c r="C17" s="175" t="s">
        <v>256</v>
      </c>
      <c r="D17" s="176">
        <v>1.39</v>
      </c>
      <c r="E17" s="174"/>
      <c r="F17" s="174"/>
      <c r="G17" s="174" t="s">
        <v>883</v>
      </c>
      <c r="H17" s="177">
        <v>2478</v>
      </c>
      <c r="I17" s="24">
        <v>103003</v>
      </c>
      <c r="J17" s="178">
        <v>1.39</v>
      </c>
      <c r="K17" s="177">
        <v>7387</v>
      </c>
      <c r="L17" s="179">
        <v>3.4823912982377245</v>
      </c>
      <c r="M17" s="180">
        <v>5060.96</v>
      </c>
      <c r="N17" s="178">
        <v>7034.7344000000003</v>
      </c>
      <c r="O17" s="181" t="s">
        <v>882</v>
      </c>
      <c r="P17" s="180">
        <v>0</v>
      </c>
      <c r="Q17" s="182">
        <v>0</v>
      </c>
      <c r="R17" s="183" t="s">
        <v>883</v>
      </c>
      <c r="S17" s="174" t="s">
        <v>903</v>
      </c>
      <c r="T17" s="44">
        <v>1</v>
      </c>
      <c r="U17" s="184">
        <v>45</v>
      </c>
      <c r="V17" s="185">
        <v>10</v>
      </c>
      <c r="W17" s="186">
        <v>6209</v>
      </c>
      <c r="X17" s="187">
        <v>2023</v>
      </c>
      <c r="Y17" s="188">
        <v>1000</v>
      </c>
      <c r="Z17" s="188" t="s">
        <v>883</v>
      </c>
      <c r="AA17" s="187" t="s">
        <v>883</v>
      </c>
      <c r="AB17" s="188">
        <v>0</v>
      </c>
      <c r="AC17" s="188"/>
      <c r="AD17" s="189" t="s">
        <v>883</v>
      </c>
      <c r="AE17" s="190" t="s">
        <v>883</v>
      </c>
      <c r="AF17" s="180">
        <v>2846</v>
      </c>
      <c r="AG17" s="183">
        <v>44956</v>
      </c>
      <c r="AH17" s="183" t="s">
        <v>883</v>
      </c>
      <c r="AI17" s="183">
        <v>44910</v>
      </c>
      <c r="AJ17" s="183" t="s">
        <v>883</v>
      </c>
      <c r="AK17" s="174"/>
    </row>
    <row r="18" spans="1:37" x14ac:dyDescent="0.3">
      <c r="A18" s="173">
        <v>11448</v>
      </c>
      <c r="B18" s="174" t="s">
        <v>930</v>
      </c>
      <c r="C18" s="175" t="s">
        <v>275</v>
      </c>
      <c r="D18" s="176">
        <v>1.8</v>
      </c>
      <c r="E18" s="174"/>
      <c r="F18" s="174"/>
      <c r="G18" s="174" t="s">
        <v>883</v>
      </c>
      <c r="H18" s="177">
        <v>682</v>
      </c>
      <c r="I18" s="24">
        <v>103003</v>
      </c>
      <c r="J18" s="178">
        <v>1.8</v>
      </c>
      <c r="K18" s="177">
        <v>452</v>
      </c>
      <c r="L18" s="179">
        <v>13.052631578947368</v>
      </c>
      <c r="M18" s="180">
        <v>0</v>
      </c>
      <c r="N18" s="178">
        <v>0</v>
      </c>
      <c r="O18" s="181" t="s">
        <v>882</v>
      </c>
      <c r="P18" s="180">
        <v>0</v>
      </c>
      <c r="Q18" s="182">
        <v>0</v>
      </c>
      <c r="R18" s="183" t="s">
        <v>883</v>
      </c>
      <c r="S18" s="174" t="s">
        <v>931</v>
      </c>
      <c r="T18" s="44">
        <v>1</v>
      </c>
      <c r="U18" s="184">
        <v>45</v>
      </c>
      <c r="V18" s="185">
        <v>9</v>
      </c>
      <c r="W18" s="186" t="s">
        <v>883</v>
      </c>
      <c r="X18" s="187" t="s">
        <v>883</v>
      </c>
      <c r="Y18" s="188">
        <v>0</v>
      </c>
      <c r="Z18" s="188" t="s">
        <v>883</v>
      </c>
      <c r="AA18" s="187" t="s">
        <v>883</v>
      </c>
      <c r="AB18" s="188">
        <v>0</v>
      </c>
      <c r="AC18" s="188"/>
      <c r="AD18" s="189" t="s">
        <v>883</v>
      </c>
      <c r="AE18" s="190" t="s">
        <v>883</v>
      </c>
      <c r="AF18" s="180">
        <v>210</v>
      </c>
      <c r="AG18" s="183">
        <v>45013</v>
      </c>
      <c r="AH18" s="183" t="s">
        <v>883</v>
      </c>
      <c r="AI18" s="183">
        <v>45107</v>
      </c>
      <c r="AJ18" s="183" t="s">
        <v>883</v>
      </c>
      <c r="AK18" s="174"/>
    </row>
    <row r="19" spans="1:37" x14ac:dyDescent="0.3">
      <c r="A19" s="173">
        <v>11509</v>
      </c>
      <c r="B19" s="174" t="s">
        <v>932</v>
      </c>
      <c r="C19" s="175" t="s">
        <v>256</v>
      </c>
      <c r="D19" s="176">
        <v>1.31</v>
      </c>
      <c r="E19" s="174"/>
      <c r="F19" s="174"/>
      <c r="G19" s="174" t="s">
        <v>883</v>
      </c>
      <c r="H19" s="177">
        <v>3819</v>
      </c>
      <c r="I19" s="24">
        <v>103003</v>
      </c>
      <c r="J19" s="178">
        <v>1.31</v>
      </c>
      <c r="K19" s="177">
        <v>7025</v>
      </c>
      <c r="L19" s="179">
        <v>5.3164979883897372</v>
      </c>
      <c r="M19" s="180">
        <v>4800.96</v>
      </c>
      <c r="N19" s="178">
        <v>6289.2575999999999</v>
      </c>
      <c r="O19" s="181" t="s">
        <v>882</v>
      </c>
      <c r="P19" s="180">
        <v>0</v>
      </c>
      <c r="Q19" s="182">
        <v>0</v>
      </c>
      <c r="R19" s="183" t="s">
        <v>883</v>
      </c>
      <c r="S19" s="174" t="s">
        <v>903</v>
      </c>
      <c r="T19" s="44">
        <v>1</v>
      </c>
      <c r="U19" s="184">
        <v>45</v>
      </c>
      <c r="V19" s="185">
        <v>10</v>
      </c>
      <c r="W19" s="186" t="s">
        <v>883</v>
      </c>
      <c r="X19" s="187" t="s">
        <v>883</v>
      </c>
      <c r="Y19" s="188">
        <v>0</v>
      </c>
      <c r="Z19" s="188" t="s">
        <v>883</v>
      </c>
      <c r="AA19" s="187" t="s">
        <v>883</v>
      </c>
      <c r="AB19" s="188">
        <v>0</v>
      </c>
      <c r="AC19" s="188"/>
      <c r="AD19" s="189" t="s">
        <v>883</v>
      </c>
      <c r="AE19" s="190" t="s">
        <v>883</v>
      </c>
      <c r="AF19" s="180">
        <v>2874</v>
      </c>
      <c r="AG19" s="183">
        <v>44956</v>
      </c>
      <c r="AH19" s="183" t="s">
        <v>883</v>
      </c>
      <c r="AI19" s="183">
        <v>44910</v>
      </c>
      <c r="AJ19" s="183" t="s">
        <v>883</v>
      </c>
      <c r="AK19" s="174"/>
    </row>
    <row r="20" spans="1:37" x14ac:dyDescent="0.3">
      <c r="A20" s="173">
        <v>11590</v>
      </c>
      <c r="B20" s="174" t="s">
        <v>933</v>
      </c>
      <c r="C20" s="175" t="s">
        <v>256</v>
      </c>
      <c r="D20" s="176">
        <v>1.1000000000000001</v>
      </c>
      <c r="E20" s="174"/>
      <c r="F20" s="174"/>
      <c r="G20" s="174" t="s">
        <v>883</v>
      </c>
      <c r="H20" s="177">
        <v>0</v>
      </c>
      <c r="I20" s="24">
        <v>103003</v>
      </c>
      <c r="J20" s="178">
        <v>1.1000000000000001</v>
      </c>
      <c r="K20" s="177">
        <v>4080</v>
      </c>
      <c r="L20" s="179">
        <v>0</v>
      </c>
      <c r="M20" s="180">
        <v>2482.04</v>
      </c>
      <c r="N20" s="178">
        <v>2730.2440000000001</v>
      </c>
      <c r="O20" s="181" t="s">
        <v>882</v>
      </c>
      <c r="P20" s="180">
        <v>0</v>
      </c>
      <c r="Q20" s="182">
        <v>0</v>
      </c>
      <c r="R20" s="183" t="s">
        <v>883</v>
      </c>
      <c r="S20" s="174" t="s">
        <v>903</v>
      </c>
      <c r="T20" s="44">
        <v>1</v>
      </c>
      <c r="U20" s="184">
        <v>45</v>
      </c>
      <c r="V20" s="185">
        <v>10</v>
      </c>
      <c r="W20" s="186">
        <v>6982</v>
      </c>
      <c r="X20" s="187">
        <v>2023</v>
      </c>
      <c r="Y20" s="188">
        <v>2200</v>
      </c>
      <c r="Z20" s="188" t="s">
        <v>883</v>
      </c>
      <c r="AA20" s="187" t="s">
        <v>883</v>
      </c>
      <c r="AB20" s="188">
        <v>0</v>
      </c>
      <c r="AC20" s="188"/>
      <c r="AD20" s="189" t="s">
        <v>883</v>
      </c>
      <c r="AE20" s="190" t="s">
        <v>883</v>
      </c>
      <c r="AF20" s="180">
        <v>1560</v>
      </c>
      <c r="AG20" s="183">
        <v>44923</v>
      </c>
      <c r="AH20" s="183" t="s">
        <v>883</v>
      </c>
      <c r="AI20" s="183">
        <v>45107</v>
      </c>
      <c r="AJ20" s="183" t="s">
        <v>883</v>
      </c>
      <c r="AK20" s="174"/>
    </row>
    <row r="21" spans="1:37" x14ac:dyDescent="0.3">
      <c r="A21" s="173">
        <v>11857</v>
      </c>
      <c r="B21" s="174" t="s">
        <v>934</v>
      </c>
      <c r="C21" s="175" t="s">
        <v>31</v>
      </c>
      <c r="D21" s="176">
        <v>0.15</v>
      </c>
      <c r="E21" s="174"/>
      <c r="F21" s="174"/>
      <c r="G21" s="174" t="s">
        <v>883</v>
      </c>
      <c r="H21" s="177">
        <v>24790</v>
      </c>
      <c r="I21" s="24">
        <v>103003</v>
      </c>
      <c r="J21" s="178">
        <v>0.15</v>
      </c>
      <c r="K21" s="177">
        <v>12227</v>
      </c>
      <c r="L21" s="179">
        <v>15.403925857344362</v>
      </c>
      <c r="M21" s="180">
        <v>0</v>
      </c>
      <c r="N21" s="178">
        <v>0</v>
      </c>
      <c r="O21" s="181" t="s">
        <v>882</v>
      </c>
      <c r="P21" s="180">
        <v>0</v>
      </c>
      <c r="Q21" s="182">
        <v>0</v>
      </c>
      <c r="R21" s="183" t="s">
        <v>883</v>
      </c>
      <c r="S21" s="174" t="s">
        <v>935</v>
      </c>
      <c r="T21" s="44">
        <v>1</v>
      </c>
      <c r="U21" s="184">
        <v>45</v>
      </c>
      <c r="V21" s="185">
        <v>11</v>
      </c>
      <c r="W21" s="186" t="s">
        <v>883</v>
      </c>
      <c r="X21" s="187" t="s">
        <v>883</v>
      </c>
      <c r="Y21" s="188">
        <v>0</v>
      </c>
      <c r="Z21" s="188" t="s">
        <v>883</v>
      </c>
      <c r="AA21" s="187" t="s">
        <v>883</v>
      </c>
      <c r="AB21" s="188">
        <v>0</v>
      </c>
      <c r="AC21" s="188"/>
      <c r="AD21" s="189" t="s">
        <v>883</v>
      </c>
      <c r="AE21" s="190" t="s">
        <v>883</v>
      </c>
      <c r="AF21" s="180">
        <v>6438</v>
      </c>
      <c r="AG21" s="183">
        <v>43635</v>
      </c>
      <c r="AH21" s="183" t="s">
        <v>883</v>
      </c>
      <c r="AI21" s="183">
        <v>45107</v>
      </c>
      <c r="AJ21" s="183" t="s">
        <v>883</v>
      </c>
      <c r="AK21" s="174"/>
    </row>
    <row r="22" spans="1:37" x14ac:dyDescent="0.3">
      <c r="A22" s="173">
        <v>12018</v>
      </c>
      <c r="B22" s="174" t="s">
        <v>936</v>
      </c>
      <c r="C22" s="175" t="s">
        <v>31</v>
      </c>
      <c r="D22" s="176">
        <v>10.16</v>
      </c>
      <c r="E22" s="174"/>
      <c r="F22" s="174"/>
      <c r="G22" s="174" t="s">
        <v>883</v>
      </c>
      <c r="H22" s="177">
        <v>2898</v>
      </c>
      <c r="I22" s="24">
        <v>103003</v>
      </c>
      <c r="J22" s="178">
        <v>10.16</v>
      </c>
      <c r="K22" s="177">
        <v>116</v>
      </c>
      <c r="L22" s="179">
        <v>204.51658433309805</v>
      </c>
      <c r="M22" s="180">
        <v>0</v>
      </c>
      <c r="N22" s="178">
        <v>0</v>
      </c>
      <c r="O22" s="181" t="s">
        <v>882</v>
      </c>
      <c r="P22" s="180">
        <v>0</v>
      </c>
      <c r="Q22" s="182">
        <v>0</v>
      </c>
      <c r="R22" s="183" t="s">
        <v>883</v>
      </c>
      <c r="S22" s="174" t="s">
        <v>935</v>
      </c>
      <c r="T22" s="44">
        <v>1</v>
      </c>
      <c r="U22" s="184">
        <v>45</v>
      </c>
      <c r="V22" s="185">
        <v>11</v>
      </c>
      <c r="W22" s="186" t="s">
        <v>883</v>
      </c>
      <c r="X22" s="187" t="s">
        <v>883</v>
      </c>
      <c r="Y22" s="188">
        <v>0</v>
      </c>
      <c r="Z22" s="188" t="s">
        <v>883</v>
      </c>
      <c r="AA22" s="187" t="s">
        <v>883</v>
      </c>
      <c r="AB22" s="188">
        <v>0</v>
      </c>
      <c r="AC22" s="188"/>
      <c r="AD22" s="189" t="s">
        <v>883</v>
      </c>
      <c r="AE22" s="190" t="s">
        <v>883</v>
      </c>
      <c r="AF22" s="180">
        <v>56</v>
      </c>
      <c r="AG22" s="183">
        <v>43620</v>
      </c>
      <c r="AH22" s="183" t="s">
        <v>883</v>
      </c>
      <c r="AI22" s="183">
        <v>45107</v>
      </c>
      <c r="AJ22" s="183" t="s">
        <v>883</v>
      </c>
      <c r="AK22" s="174"/>
    </row>
    <row r="23" spans="1:37" x14ac:dyDescent="0.3">
      <c r="A23" s="173">
        <v>12613</v>
      </c>
      <c r="B23" s="174" t="s">
        <v>937</v>
      </c>
      <c r="C23" s="175" t="s">
        <v>31</v>
      </c>
      <c r="D23" s="176">
        <v>0.28000000000000003</v>
      </c>
      <c r="E23" s="174"/>
      <c r="F23" s="174"/>
      <c r="G23" s="174" t="s">
        <v>883</v>
      </c>
      <c r="H23" s="177">
        <v>439</v>
      </c>
      <c r="I23" s="24">
        <v>103003</v>
      </c>
      <c r="J23" s="178">
        <v>0.28000000000000003</v>
      </c>
      <c r="K23" s="177">
        <v>38032</v>
      </c>
      <c r="L23" s="179">
        <v>3.4543809261517885E-2</v>
      </c>
      <c r="M23" s="180">
        <v>142063</v>
      </c>
      <c r="N23" s="178">
        <v>39777.64</v>
      </c>
      <c r="O23" s="181" t="s">
        <v>882</v>
      </c>
      <c r="P23" s="180">
        <v>0</v>
      </c>
      <c r="Q23" s="182">
        <v>0</v>
      </c>
      <c r="R23" s="183" t="s">
        <v>883</v>
      </c>
      <c r="S23" s="174" t="s">
        <v>935</v>
      </c>
      <c r="T23" s="44">
        <v>1</v>
      </c>
      <c r="U23" s="184">
        <v>45</v>
      </c>
      <c r="V23" s="185">
        <v>11</v>
      </c>
      <c r="W23" s="186">
        <v>6211</v>
      </c>
      <c r="X23" s="187">
        <v>2023</v>
      </c>
      <c r="Y23" s="188">
        <v>10000</v>
      </c>
      <c r="Z23" s="188" t="s">
        <v>883</v>
      </c>
      <c r="AA23" s="187" t="s">
        <v>883</v>
      </c>
      <c r="AB23" s="188">
        <v>0</v>
      </c>
      <c r="AC23" s="188"/>
      <c r="AD23" s="189" t="s">
        <v>883</v>
      </c>
      <c r="AE23" s="190" t="s">
        <v>883</v>
      </c>
      <c r="AF23" s="180">
        <v>50834</v>
      </c>
      <c r="AG23" s="183">
        <v>44950</v>
      </c>
      <c r="AH23" s="183" t="s">
        <v>883</v>
      </c>
      <c r="AI23" s="183">
        <v>45107</v>
      </c>
      <c r="AJ23" s="183" t="s">
        <v>883</v>
      </c>
      <c r="AK23" s="174"/>
    </row>
    <row r="24" spans="1:37" x14ac:dyDescent="0.3">
      <c r="A24" s="173">
        <v>12614</v>
      </c>
      <c r="B24" s="174" t="s">
        <v>938</v>
      </c>
      <c r="C24" s="175" t="s">
        <v>31</v>
      </c>
      <c r="D24" s="176">
        <v>0.47</v>
      </c>
      <c r="E24" s="174"/>
      <c r="F24" s="174"/>
      <c r="G24" s="174" t="s">
        <v>883</v>
      </c>
      <c r="H24" s="177">
        <v>356</v>
      </c>
      <c r="I24" s="24">
        <v>103003</v>
      </c>
      <c r="J24" s="178">
        <v>0.47</v>
      </c>
      <c r="K24" s="177">
        <v>26319</v>
      </c>
      <c r="L24" s="179">
        <v>0.11257806941260179</v>
      </c>
      <c r="M24" s="180">
        <v>35791</v>
      </c>
      <c r="N24" s="178">
        <v>16821.77</v>
      </c>
      <c r="O24" s="181" t="s">
        <v>882</v>
      </c>
      <c r="P24" s="180">
        <v>0</v>
      </c>
      <c r="Q24" s="182">
        <v>0</v>
      </c>
      <c r="R24" s="183" t="s">
        <v>883</v>
      </c>
      <c r="S24" s="174" t="s">
        <v>935</v>
      </c>
      <c r="T24" s="44">
        <v>1</v>
      </c>
      <c r="U24" s="184">
        <v>45</v>
      </c>
      <c r="V24" s="185">
        <v>11</v>
      </c>
      <c r="W24" s="186">
        <v>6982</v>
      </c>
      <c r="X24" s="187">
        <v>2023</v>
      </c>
      <c r="Y24" s="188">
        <v>1800</v>
      </c>
      <c r="Z24" s="188" t="s">
        <v>883</v>
      </c>
      <c r="AA24" s="187" t="s">
        <v>883</v>
      </c>
      <c r="AB24" s="188">
        <v>0</v>
      </c>
      <c r="AC24" s="188"/>
      <c r="AD24" s="189" t="s">
        <v>883</v>
      </c>
      <c r="AE24" s="190" t="s">
        <v>883</v>
      </c>
      <c r="AF24" s="180">
        <v>12650</v>
      </c>
      <c r="AG24" s="183">
        <v>43804</v>
      </c>
      <c r="AH24" s="183" t="s">
        <v>883</v>
      </c>
      <c r="AI24" s="183">
        <v>45107</v>
      </c>
      <c r="AJ24" s="183" t="s">
        <v>883</v>
      </c>
      <c r="AK24" s="174"/>
    </row>
    <row r="25" spans="1:37" x14ac:dyDescent="0.3">
      <c r="A25" s="173">
        <v>12616</v>
      </c>
      <c r="B25" s="174" t="s">
        <v>939</v>
      </c>
      <c r="C25" s="175" t="s">
        <v>894</v>
      </c>
      <c r="D25" s="176">
        <v>21.82</v>
      </c>
      <c r="E25" s="174"/>
      <c r="F25" s="174"/>
      <c r="G25" s="174" t="s">
        <v>883</v>
      </c>
      <c r="H25" s="177">
        <v>29016</v>
      </c>
      <c r="I25" s="24">
        <v>103003</v>
      </c>
      <c r="J25" s="178">
        <v>21.234549999999999</v>
      </c>
      <c r="K25" s="177">
        <v>33095</v>
      </c>
      <c r="L25" s="179">
        <v>6.3991813564517805</v>
      </c>
      <c r="M25" s="180">
        <v>18595.96</v>
      </c>
      <c r="N25" s="178">
        <v>405763.84720000002</v>
      </c>
      <c r="O25" s="181" t="s">
        <v>882</v>
      </c>
      <c r="P25" s="180">
        <v>0</v>
      </c>
      <c r="Q25" s="182">
        <v>0</v>
      </c>
      <c r="R25" s="183" t="s">
        <v>883</v>
      </c>
      <c r="S25" s="174" t="s">
        <v>895</v>
      </c>
      <c r="T25" s="44">
        <v>1</v>
      </c>
      <c r="U25" s="184">
        <v>57</v>
      </c>
      <c r="V25" s="185">
        <v>19</v>
      </c>
      <c r="W25" s="186" t="s">
        <v>883</v>
      </c>
      <c r="X25" s="187" t="s">
        <v>883</v>
      </c>
      <c r="Y25" s="188">
        <v>0</v>
      </c>
      <c r="Z25" s="188">
        <v>15792</v>
      </c>
      <c r="AA25" s="187">
        <v>2022</v>
      </c>
      <c r="AB25" s="188">
        <v>6800</v>
      </c>
      <c r="AC25" s="188">
        <v>50000</v>
      </c>
      <c r="AD25" s="189" t="s">
        <v>2035</v>
      </c>
      <c r="AE25" s="190">
        <v>44960</v>
      </c>
      <c r="AF25" s="180">
        <v>18138</v>
      </c>
      <c r="AG25" s="183">
        <v>45111</v>
      </c>
      <c r="AH25" s="183" t="s">
        <v>883</v>
      </c>
      <c r="AI25" s="183">
        <v>45107</v>
      </c>
      <c r="AJ25" s="183" t="s">
        <v>883</v>
      </c>
      <c r="AK25" s="174"/>
    </row>
    <row r="26" spans="1:37" x14ac:dyDescent="0.3">
      <c r="A26" s="173">
        <v>12623</v>
      </c>
      <c r="B26" s="174" t="s">
        <v>940</v>
      </c>
      <c r="C26" s="175" t="s">
        <v>569</v>
      </c>
      <c r="D26" s="176">
        <v>1.1499999999999999</v>
      </c>
      <c r="E26" s="174"/>
      <c r="F26" s="174"/>
      <c r="G26" s="174" t="s">
        <v>883</v>
      </c>
      <c r="H26" s="177">
        <v>57846</v>
      </c>
      <c r="I26" s="24">
        <v>103003</v>
      </c>
      <c r="J26" s="178">
        <v>1.1499999999999999</v>
      </c>
      <c r="K26" s="177">
        <v>23478</v>
      </c>
      <c r="L26" s="179">
        <v>28.151233922027611</v>
      </c>
      <c r="M26" s="180">
        <v>0</v>
      </c>
      <c r="N26" s="178">
        <v>0</v>
      </c>
      <c r="O26" s="181" t="s">
        <v>882</v>
      </c>
      <c r="P26" s="180">
        <v>0</v>
      </c>
      <c r="Q26" s="182">
        <v>0</v>
      </c>
      <c r="R26" s="183" t="s">
        <v>883</v>
      </c>
      <c r="S26" s="174" t="s">
        <v>941</v>
      </c>
      <c r="T26" s="44">
        <v>1</v>
      </c>
      <c r="U26" s="184">
        <v>57</v>
      </c>
      <c r="V26" s="185">
        <v>16</v>
      </c>
      <c r="W26" s="186" t="s">
        <v>883</v>
      </c>
      <c r="X26" s="187" t="s">
        <v>883</v>
      </c>
      <c r="Y26" s="188">
        <v>0</v>
      </c>
      <c r="Z26" s="188" t="s">
        <v>883</v>
      </c>
      <c r="AA26" s="187" t="s">
        <v>883</v>
      </c>
      <c r="AB26" s="188">
        <v>0</v>
      </c>
      <c r="AC26" s="188"/>
      <c r="AD26" s="189" t="s">
        <v>883</v>
      </c>
      <c r="AE26" s="190" t="s">
        <v>883</v>
      </c>
      <c r="AF26" s="180">
        <v>8220</v>
      </c>
      <c r="AG26" s="183">
        <v>44971</v>
      </c>
      <c r="AH26" s="183" t="s">
        <v>883</v>
      </c>
      <c r="AI26" s="183">
        <v>45089</v>
      </c>
      <c r="AJ26" s="183" t="s">
        <v>883</v>
      </c>
      <c r="AK26" s="174"/>
    </row>
    <row r="27" spans="1:37" x14ac:dyDescent="0.3">
      <c r="A27" s="173">
        <v>12635</v>
      </c>
      <c r="B27" s="174" t="s">
        <v>942</v>
      </c>
      <c r="C27" s="175" t="s">
        <v>569</v>
      </c>
      <c r="D27" s="176">
        <v>0.93</v>
      </c>
      <c r="E27" s="174"/>
      <c r="F27" s="174"/>
      <c r="G27" s="174" t="s">
        <v>883</v>
      </c>
      <c r="H27" s="177">
        <v>4034</v>
      </c>
      <c r="I27" s="24">
        <v>103003</v>
      </c>
      <c r="J27" s="178">
        <v>0.93</v>
      </c>
      <c r="K27" s="177">
        <v>10963</v>
      </c>
      <c r="L27" s="179">
        <v>2.7820689655172415</v>
      </c>
      <c r="M27" s="180">
        <v>12866</v>
      </c>
      <c r="N27" s="178">
        <v>11965.38</v>
      </c>
      <c r="O27" s="181" t="s">
        <v>882</v>
      </c>
      <c r="P27" s="180">
        <v>0</v>
      </c>
      <c r="Q27" s="182">
        <v>0</v>
      </c>
      <c r="R27" s="183" t="s">
        <v>883</v>
      </c>
      <c r="S27" s="174" t="s">
        <v>941</v>
      </c>
      <c r="T27" s="44">
        <v>1</v>
      </c>
      <c r="U27" s="184">
        <v>57</v>
      </c>
      <c r="V27" s="185">
        <v>16</v>
      </c>
      <c r="W27" s="186">
        <v>6984</v>
      </c>
      <c r="X27" s="187">
        <v>2023</v>
      </c>
      <c r="Y27" s="188">
        <v>500</v>
      </c>
      <c r="Z27" s="188" t="s">
        <v>883</v>
      </c>
      <c r="AA27" s="187" t="s">
        <v>883</v>
      </c>
      <c r="AB27" s="188">
        <v>0</v>
      </c>
      <c r="AC27" s="188"/>
      <c r="AD27" s="189" t="s">
        <v>883</v>
      </c>
      <c r="AE27" s="190" t="s">
        <v>883</v>
      </c>
      <c r="AF27" s="180">
        <v>5800</v>
      </c>
      <c r="AG27" s="183">
        <v>44425</v>
      </c>
      <c r="AH27" s="183" t="s">
        <v>883</v>
      </c>
      <c r="AI27" s="183">
        <v>45048</v>
      </c>
      <c r="AJ27" s="183" t="s">
        <v>883</v>
      </c>
      <c r="AK27" s="174"/>
    </row>
    <row r="28" spans="1:37" x14ac:dyDescent="0.3">
      <c r="A28" s="173">
        <v>12652</v>
      </c>
      <c r="B28" s="174" t="s">
        <v>943</v>
      </c>
      <c r="C28" s="175" t="s">
        <v>268</v>
      </c>
      <c r="D28" s="176">
        <v>1.82</v>
      </c>
      <c r="E28" s="174" t="s">
        <v>944</v>
      </c>
      <c r="F28" s="174" t="s">
        <v>906</v>
      </c>
      <c r="G28" s="174" t="s">
        <v>945</v>
      </c>
      <c r="H28" s="177">
        <v>401</v>
      </c>
      <c r="I28" s="24">
        <v>103003</v>
      </c>
      <c r="J28" s="178">
        <v>1.98</v>
      </c>
      <c r="K28" s="177">
        <v>7100</v>
      </c>
      <c r="L28" s="179">
        <v>0.54744027303754272</v>
      </c>
      <c r="M28" s="180">
        <v>7389</v>
      </c>
      <c r="N28" s="178">
        <v>13447.98</v>
      </c>
      <c r="O28" s="181" t="s">
        <v>946</v>
      </c>
      <c r="P28" s="180">
        <v>66000</v>
      </c>
      <c r="Q28" s="182">
        <v>120120</v>
      </c>
      <c r="R28" s="183">
        <v>45454</v>
      </c>
      <c r="S28" s="174" t="s">
        <v>947</v>
      </c>
      <c r="T28" s="44">
        <v>1</v>
      </c>
      <c r="U28" s="184">
        <v>52</v>
      </c>
      <c r="V28" s="185">
        <v>6</v>
      </c>
      <c r="W28" s="186">
        <v>2986</v>
      </c>
      <c r="X28" s="187">
        <v>2023</v>
      </c>
      <c r="Y28" s="188">
        <v>1000</v>
      </c>
      <c r="Z28" s="188" t="s">
        <v>883</v>
      </c>
      <c r="AA28" s="187" t="s">
        <v>883</v>
      </c>
      <c r="AB28" s="188">
        <v>0</v>
      </c>
      <c r="AC28" s="188"/>
      <c r="AD28" s="189" t="s">
        <v>883</v>
      </c>
      <c r="AE28" s="190" t="s">
        <v>883</v>
      </c>
      <c r="AF28" s="180">
        <v>2930</v>
      </c>
      <c r="AG28" s="183">
        <v>44852</v>
      </c>
      <c r="AH28" s="183" t="s">
        <v>883</v>
      </c>
      <c r="AI28" s="183">
        <v>45008</v>
      </c>
      <c r="AJ28" s="183" t="s">
        <v>883</v>
      </c>
      <c r="AK28" s="174"/>
    </row>
    <row r="29" spans="1:37" x14ac:dyDescent="0.3">
      <c r="A29" s="173">
        <v>12654</v>
      </c>
      <c r="B29" s="174" t="s">
        <v>948</v>
      </c>
      <c r="C29" s="175" t="s">
        <v>268</v>
      </c>
      <c r="D29" s="176">
        <v>3.81</v>
      </c>
      <c r="E29" s="174"/>
      <c r="F29" s="174"/>
      <c r="G29" s="174" t="s">
        <v>883</v>
      </c>
      <c r="H29" s="177">
        <v>85443</v>
      </c>
      <c r="I29" s="24">
        <v>103003</v>
      </c>
      <c r="J29" s="178">
        <v>3.81</v>
      </c>
      <c r="K29" s="177">
        <v>57678</v>
      </c>
      <c r="L29" s="179">
        <v>9.8410219376595904</v>
      </c>
      <c r="M29" s="180">
        <v>18744.96</v>
      </c>
      <c r="N29" s="178">
        <v>71418.297600000005</v>
      </c>
      <c r="O29" s="181" t="s">
        <v>882</v>
      </c>
      <c r="P29" s="180">
        <v>0</v>
      </c>
      <c r="Q29" s="182">
        <v>0</v>
      </c>
      <c r="R29" s="183" t="s">
        <v>883</v>
      </c>
      <c r="S29" s="174" t="s">
        <v>947</v>
      </c>
      <c r="T29" s="44">
        <v>1</v>
      </c>
      <c r="U29" s="184">
        <v>52</v>
      </c>
      <c r="V29" s="185">
        <v>6</v>
      </c>
      <c r="W29" s="186" t="s">
        <v>883</v>
      </c>
      <c r="X29" s="187" t="s">
        <v>883</v>
      </c>
      <c r="Y29" s="188">
        <v>0</v>
      </c>
      <c r="Z29" s="188" t="s">
        <v>883</v>
      </c>
      <c r="AA29" s="187" t="s">
        <v>883</v>
      </c>
      <c r="AB29" s="188">
        <v>0</v>
      </c>
      <c r="AC29" s="188"/>
      <c r="AD29" s="189" t="s">
        <v>883</v>
      </c>
      <c r="AE29" s="190" t="s">
        <v>883</v>
      </c>
      <c r="AF29" s="180">
        <v>34730</v>
      </c>
      <c r="AG29" s="183">
        <v>44950</v>
      </c>
      <c r="AH29" s="183" t="s">
        <v>883</v>
      </c>
      <c r="AI29" s="183">
        <v>45008</v>
      </c>
      <c r="AJ29" s="183" t="s">
        <v>883</v>
      </c>
      <c r="AK29" s="174"/>
    </row>
    <row r="30" spans="1:37" x14ac:dyDescent="0.3">
      <c r="A30" s="173">
        <v>12659</v>
      </c>
      <c r="B30" s="174" t="s">
        <v>949</v>
      </c>
      <c r="C30" s="175" t="s">
        <v>31</v>
      </c>
      <c r="D30" s="176">
        <v>3.53</v>
      </c>
      <c r="E30" s="174" t="s">
        <v>950</v>
      </c>
      <c r="F30" s="174" t="s">
        <v>951</v>
      </c>
      <c r="G30" s="174" t="s">
        <v>952</v>
      </c>
      <c r="H30" s="177">
        <v>1371</v>
      </c>
      <c r="I30" s="24">
        <v>103003</v>
      </c>
      <c r="J30" s="178">
        <v>3.53</v>
      </c>
      <c r="K30" s="177">
        <v>2286</v>
      </c>
      <c r="L30" s="179">
        <v>4.6447809736761867</v>
      </c>
      <c r="M30" s="180">
        <v>2171.04</v>
      </c>
      <c r="N30" s="178">
        <v>7663.7712000000001</v>
      </c>
      <c r="O30" s="181" t="s">
        <v>953</v>
      </c>
      <c r="P30" s="180">
        <v>1150</v>
      </c>
      <c r="Q30" s="182">
        <v>4059.5</v>
      </c>
      <c r="R30" s="183">
        <v>45189</v>
      </c>
      <c r="S30" s="174" t="s">
        <v>954</v>
      </c>
      <c r="T30" s="44">
        <v>1</v>
      </c>
      <c r="U30" s="184">
        <v>72</v>
      </c>
      <c r="V30" s="185">
        <v>7</v>
      </c>
      <c r="W30" s="186" t="s">
        <v>883</v>
      </c>
      <c r="X30" s="187" t="s">
        <v>883</v>
      </c>
      <c r="Y30" s="188">
        <v>0</v>
      </c>
      <c r="Z30" s="188" t="s">
        <v>883</v>
      </c>
      <c r="AA30" s="187" t="s">
        <v>883</v>
      </c>
      <c r="AB30" s="188">
        <v>0</v>
      </c>
      <c r="AC30" s="188"/>
      <c r="AD30" s="189" t="s">
        <v>883</v>
      </c>
      <c r="AE30" s="190" t="s">
        <v>883</v>
      </c>
      <c r="AF30" s="180">
        <v>1180</v>
      </c>
      <c r="AG30" s="183">
        <v>45051</v>
      </c>
      <c r="AH30" s="183" t="s">
        <v>883</v>
      </c>
      <c r="AI30" s="183">
        <v>45114</v>
      </c>
      <c r="AJ30" s="183" t="s">
        <v>883</v>
      </c>
      <c r="AK30" s="174"/>
    </row>
    <row r="31" spans="1:37" x14ac:dyDescent="0.3">
      <c r="A31" s="173">
        <v>12685</v>
      </c>
      <c r="B31" s="174" t="s">
        <v>955</v>
      </c>
      <c r="C31" s="175" t="s">
        <v>275</v>
      </c>
      <c r="D31" s="176">
        <v>1.8</v>
      </c>
      <c r="E31" s="174" t="s">
        <v>956</v>
      </c>
      <c r="F31" s="174" t="s">
        <v>957</v>
      </c>
      <c r="G31" s="174" t="s">
        <v>890</v>
      </c>
      <c r="H31" s="177">
        <v>188</v>
      </c>
      <c r="I31" s="24">
        <v>103003</v>
      </c>
      <c r="J31" s="178">
        <v>1.8</v>
      </c>
      <c r="K31" s="177">
        <v>304</v>
      </c>
      <c r="L31" s="179">
        <v>6.9423929098966033</v>
      </c>
      <c r="M31" s="180">
        <v>136.96</v>
      </c>
      <c r="N31" s="178">
        <v>246.52799999999999</v>
      </c>
      <c r="O31" s="181" t="s">
        <v>891</v>
      </c>
      <c r="P31" s="180">
        <v>22440</v>
      </c>
      <c r="Q31" s="182">
        <v>40392</v>
      </c>
      <c r="R31" s="183">
        <v>45377</v>
      </c>
      <c r="S31" s="174" t="s">
        <v>958</v>
      </c>
      <c r="T31" s="44">
        <v>1</v>
      </c>
      <c r="U31" s="184">
        <v>72</v>
      </c>
      <c r="V31" s="185">
        <v>10</v>
      </c>
      <c r="W31" s="186" t="s">
        <v>883</v>
      </c>
      <c r="X31" s="187" t="s">
        <v>883</v>
      </c>
      <c r="Y31" s="188">
        <v>0</v>
      </c>
      <c r="Z31" s="188" t="s">
        <v>883</v>
      </c>
      <c r="AA31" s="187" t="s">
        <v>883</v>
      </c>
      <c r="AB31" s="188">
        <v>0</v>
      </c>
      <c r="AC31" s="188"/>
      <c r="AD31" s="189" t="s">
        <v>883</v>
      </c>
      <c r="AE31" s="190" t="s">
        <v>883</v>
      </c>
      <c r="AF31" s="180">
        <v>108</v>
      </c>
      <c r="AG31" s="183">
        <v>45132</v>
      </c>
      <c r="AH31" s="183" t="s">
        <v>883</v>
      </c>
      <c r="AI31" s="183">
        <v>45126</v>
      </c>
      <c r="AJ31" s="183" t="s">
        <v>883</v>
      </c>
      <c r="AK31" s="174"/>
    </row>
    <row r="32" spans="1:37" x14ac:dyDescent="0.3">
      <c r="A32" s="173">
        <v>12754</v>
      </c>
      <c r="B32" s="174" t="s">
        <v>959</v>
      </c>
      <c r="C32" s="175" t="s">
        <v>268</v>
      </c>
      <c r="D32" s="176">
        <v>1.76</v>
      </c>
      <c r="E32" s="174"/>
      <c r="F32" s="174"/>
      <c r="G32" s="174" t="s">
        <v>883</v>
      </c>
      <c r="H32" s="177">
        <v>641</v>
      </c>
      <c r="I32" s="24">
        <v>103003</v>
      </c>
      <c r="J32" s="178">
        <v>1.76</v>
      </c>
      <c r="K32" s="177">
        <v>847</v>
      </c>
      <c r="L32" s="179">
        <v>6.0329411764705885</v>
      </c>
      <c r="M32" s="180">
        <v>634</v>
      </c>
      <c r="N32" s="178">
        <v>1115.8399999999999</v>
      </c>
      <c r="O32" s="181" t="s">
        <v>882</v>
      </c>
      <c r="P32" s="180">
        <v>0</v>
      </c>
      <c r="Q32" s="182">
        <v>0</v>
      </c>
      <c r="R32" s="183" t="s">
        <v>883</v>
      </c>
      <c r="S32" s="174" t="s">
        <v>892</v>
      </c>
      <c r="T32" s="44">
        <v>1</v>
      </c>
      <c r="U32" s="184">
        <v>72</v>
      </c>
      <c r="V32" s="185">
        <v>6</v>
      </c>
      <c r="W32" s="186" t="s">
        <v>883</v>
      </c>
      <c r="X32" s="187" t="s">
        <v>883</v>
      </c>
      <c r="Y32" s="188">
        <v>0</v>
      </c>
      <c r="Z32" s="188" t="s">
        <v>883</v>
      </c>
      <c r="AA32" s="187" t="s">
        <v>883</v>
      </c>
      <c r="AB32" s="188">
        <v>0</v>
      </c>
      <c r="AC32" s="188"/>
      <c r="AD32" s="189" t="s">
        <v>883</v>
      </c>
      <c r="AE32" s="190" t="s">
        <v>883</v>
      </c>
      <c r="AF32" s="180">
        <v>426</v>
      </c>
      <c r="AG32" s="183">
        <v>44874</v>
      </c>
      <c r="AH32" s="183" t="s">
        <v>883</v>
      </c>
      <c r="AI32" s="183">
        <v>45133</v>
      </c>
      <c r="AJ32" s="183" t="s">
        <v>883</v>
      </c>
      <c r="AK32" s="174"/>
    </row>
    <row r="33" spans="1:37" x14ac:dyDescent="0.3">
      <c r="A33" s="173">
        <v>12763</v>
      </c>
      <c r="B33" s="174" t="s">
        <v>960</v>
      </c>
      <c r="C33" s="175" t="s">
        <v>411</v>
      </c>
      <c r="D33" s="176">
        <v>15.95</v>
      </c>
      <c r="E33" s="174"/>
      <c r="F33" s="174"/>
      <c r="G33" s="174" t="s">
        <v>883</v>
      </c>
      <c r="H33" s="177">
        <v>60</v>
      </c>
      <c r="I33" s="24">
        <v>103003</v>
      </c>
      <c r="J33" s="178">
        <v>15.95</v>
      </c>
      <c r="K33" s="177">
        <v>859</v>
      </c>
      <c r="L33" s="179">
        <v>0.69028992176714232</v>
      </c>
      <c r="M33" s="180">
        <v>0</v>
      </c>
      <c r="N33" s="178">
        <v>0</v>
      </c>
      <c r="O33" s="181" t="s">
        <v>882</v>
      </c>
      <c r="P33" s="180">
        <v>0</v>
      </c>
      <c r="Q33" s="182">
        <v>0</v>
      </c>
      <c r="R33" s="183" t="s">
        <v>883</v>
      </c>
      <c r="S33" s="174" t="s">
        <v>961</v>
      </c>
      <c r="T33" s="44">
        <v>1</v>
      </c>
      <c r="U33" s="184">
        <v>51</v>
      </c>
      <c r="V33" s="185">
        <v>3</v>
      </c>
      <c r="W33" s="186">
        <v>2525</v>
      </c>
      <c r="X33" s="187">
        <v>2023</v>
      </c>
      <c r="Y33" s="188">
        <v>1000</v>
      </c>
      <c r="Z33" s="188" t="s">
        <v>883</v>
      </c>
      <c r="AA33" s="187" t="s">
        <v>883</v>
      </c>
      <c r="AB33" s="188">
        <v>0</v>
      </c>
      <c r="AC33" s="188"/>
      <c r="AD33" s="189" t="s">
        <v>883</v>
      </c>
      <c r="AE33" s="190" t="s">
        <v>883</v>
      </c>
      <c r="AF33" s="180">
        <v>348</v>
      </c>
      <c r="AG33" s="183">
        <v>44951</v>
      </c>
      <c r="AH33" s="183" t="s">
        <v>883</v>
      </c>
      <c r="AI33" s="183">
        <v>44957</v>
      </c>
      <c r="AJ33" s="183" t="s">
        <v>883</v>
      </c>
      <c r="AK33" s="174"/>
    </row>
    <row r="34" spans="1:37" x14ac:dyDescent="0.3">
      <c r="A34" s="173">
        <v>12812</v>
      </c>
      <c r="B34" s="174" t="s">
        <v>870</v>
      </c>
      <c r="C34" s="175" t="s">
        <v>256</v>
      </c>
      <c r="D34" s="176">
        <v>6.17</v>
      </c>
      <c r="E34" s="174"/>
      <c r="F34" s="174"/>
      <c r="G34" s="174" t="s">
        <v>883</v>
      </c>
      <c r="H34" s="177">
        <v>63</v>
      </c>
      <c r="I34" s="24">
        <v>103003</v>
      </c>
      <c r="J34" s="178">
        <v>6.17</v>
      </c>
      <c r="K34" s="177">
        <v>23</v>
      </c>
      <c r="L34" s="179">
        <v>31.5</v>
      </c>
      <c r="M34" s="180">
        <v>0</v>
      </c>
      <c r="N34" s="178">
        <v>0</v>
      </c>
      <c r="O34" s="181" t="s">
        <v>882</v>
      </c>
      <c r="P34" s="180">
        <v>0</v>
      </c>
      <c r="Q34" s="182">
        <v>0</v>
      </c>
      <c r="R34" s="183" t="s">
        <v>883</v>
      </c>
      <c r="S34" s="174" t="s">
        <v>962</v>
      </c>
      <c r="T34" s="44">
        <v>1</v>
      </c>
      <c r="U34" s="184">
        <v>76</v>
      </c>
      <c r="V34" s="185">
        <v>11</v>
      </c>
      <c r="W34" s="186" t="s">
        <v>883</v>
      </c>
      <c r="X34" s="187" t="s">
        <v>883</v>
      </c>
      <c r="Y34" s="188">
        <v>0</v>
      </c>
      <c r="Z34" s="188" t="s">
        <v>883</v>
      </c>
      <c r="AA34" s="187" t="s">
        <v>883</v>
      </c>
      <c r="AB34" s="188">
        <v>0</v>
      </c>
      <c r="AC34" s="188"/>
      <c r="AD34" s="189" t="s">
        <v>883</v>
      </c>
      <c r="AE34" s="190" t="s">
        <v>883</v>
      </c>
      <c r="AF34" s="180">
        <v>8</v>
      </c>
      <c r="AG34" s="183">
        <v>44358</v>
      </c>
      <c r="AH34" s="183" t="s">
        <v>883</v>
      </c>
      <c r="AI34" s="183">
        <v>44883</v>
      </c>
      <c r="AJ34" s="183" t="s">
        <v>883</v>
      </c>
      <c r="AK34" s="174"/>
    </row>
    <row r="35" spans="1:37" x14ac:dyDescent="0.3">
      <c r="A35" s="173">
        <v>12813</v>
      </c>
      <c r="B35" s="174" t="s">
        <v>963</v>
      </c>
      <c r="C35" s="175" t="s">
        <v>256</v>
      </c>
      <c r="D35" s="176">
        <v>11.08</v>
      </c>
      <c r="E35" s="174"/>
      <c r="F35" s="174"/>
      <c r="G35" s="174" t="s">
        <v>883</v>
      </c>
      <c r="H35" s="177">
        <v>61</v>
      </c>
      <c r="I35" s="24">
        <v>103003</v>
      </c>
      <c r="J35" s="178">
        <v>11.08</v>
      </c>
      <c r="K35" s="177">
        <v>27</v>
      </c>
      <c r="L35" s="179">
        <v>27.111111111111111</v>
      </c>
      <c r="M35" s="180">
        <v>0</v>
      </c>
      <c r="N35" s="178">
        <v>0</v>
      </c>
      <c r="O35" s="181" t="s">
        <v>882</v>
      </c>
      <c r="P35" s="180">
        <v>0</v>
      </c>
      <c r="Q35" s="182">
        <v>0</v>
      </c>
      <c r="R35" s="183" t="s">
        <v>883</v>
      </c>
      <c r="S35" s="174" t="s">
        <v>964</v>
      </c>
      <c r="T35" s="44">
        <v>1</v>
      </c>
      <c r="U35" s="184">
        <v>61</v>
      </c>
      <c r="V35" s="185">
        <v>8</v>
      </c>
      <c r="W35" s="186" t="s">
        <v>883</v>
      </c>
      <c r="X35" s="187" t="s">
        <v>883</v>
      </c>
      <c r="Y35" s="188">
        <v>0</v>
      </c>
      <c r="Z35" s="188" t="s">
        <v>883</v>
      </c>
      <c r="AA35" s="187" t="s">
        <v>883</v>
      </c>
      <c r="AB35" s="188">
        <v>0</v>
      </c>
      <c r="AC35" s="188"/>
      <c r="AD35" s="189" t="s">
        <v>883</v>
      </c>
      <c r="AE35" s="190" t="s">
        <v>883</v>
      </c>
      <c r="AF35" s="180">
        <v>10</v>
      </c>
      <c r="AG35" s="183">
        <v>44298</v>
      </c>
      <c r="AH35" s="183" t="s">
        <v>883</v>
      </c>
      <c r="AI35" s="183">
        <v>44257</v>
      </c>
      <c r="AJ35" s="183" t="s">
        <v>883</v>
      </c>
      <c r="AK35" s="174"/>
    </row>
    <row r="36" spans="1:37" x14ac:dyDescent="0.3">
      <c r="A36" s="173">
        <v>12821</v>
      </c>
      <c r="B36" s="174" t="s">
        <v>965</v>
      </c>
      <c r="C36" s="175" t="s">
        <v>256</v>
      </c>
      <c r="D36" s="176">
        <v>25.42</v>
      </c>
      <c r="E36" s="174"/>
      <c r="F36" s="174"/>
      <c r="G36" s="174" t="s">
        <v>883</v>
      </c>
      <c r="H36" s="177">
        <v>137</v>
      </c>
      <c r="I36" s="24">
        <v>103003</v>
      </c>
      <c r="J36" s="178">
        <v>25.42</v>
      </c>
      <c r="K36" s="177">
        <v>13</v>
      </c>
      <c r="L36" s="179">
        <v>126.85185185185185</v>
      </c>
      <c r="M36" s="180">
        <v>0</v>
      </c>
      <c r="N36" s="178">
        <v>0</v>
      </c>
      <c r="O36" s="181" t="s">
        <v>882</v>
      </c>
      <c r="P36" s="180">
        <v>0</v>
      </c>
      <c r="Q36" s="182">
        <v>0</v>
      </c>
      <c r="R36" s="183" t="s">
        <v>883</v>
      </c>
      <c r="S36" s="174" t="s">
        <v>964</v>
      </c>
      <c r="T36" s="44">
        <v>1</v>
      </c>
      <c r="U36" s="184">
        <v>61</v>
      </c>
      <c r="V36" s="185">
        <v>8</v>
      </c>
      <c r="W36" s="186" t="s">
        <v>883</v>
      </c>
      <c r="X36" s="187" t="s">
        <v>883</v>
      </c>
      <c r="Y36" s="188">
        <v>0</v>
      </c>
      <c r="Z36" s="188" t="s">
        <v>883</v>
      </c>
      <c r="AA36" s="187" t="s">
        <v>883</v>
      </c>
      <c r="AB36" s="188">
        <v>0</v>
      </c>
      <c r="AC36" s="188"/>
      <c r="AD36" s="189" t="s">
        <v>883</v>
      </c>
      <c r="AE36" s="190" t="s">
        <v>883</v>
      </c>
      <c r="AF36" s="180">
        <v>4</v>
      </c>
      <c r="AG36" s="183">
        <v>44806</v>
      </c>
      <c r="AH36" s="183" t="s">
        <v>883</v>
      </c>
      <c r="AI36" s="183">
        <v>44776</v>
      </c>
      <c r="AJ36" s="183" t="s">
        <v>883</v>
      </c>
      <c r="AK36" s="174"/>
    </row>
    <row r="37" spans="1:37" x14ac:dyDescent="0.3">
      <c r="A37" s="173">
        <v>12824</v>
      </c>
      <c r="B37" s="174" t="s">
        <v>966</v>
      </c>
      <c r="C37" s="175" t="s">
        <v>256</v>
      </c>
      <c r="D37" s="176">
        <v>10.71</v>
      </c>
      <c r="E37" s="174"/>
      <c r="F37" s="174"/>
      <c r="G37" s="174" t="s">
        <v>883</v>
      </c>
      <c r="H37" s="177">
        <v>92</v>
      </c>
      <c r="I37" s="24">
        <v>103003</v>
      </c>
      <c r="J37" s="178">
        <v>10.71</v>
      </c>
      <c r="K37" s="177">
        <v>22</v>
      </c>
      <c r="L37" s="179">
        <v>25.068119891008173</v>
      </c>
      <c r="M37" s="180">
        <v>0</v>
      </c>
      <c r="N37" s="178">
        <v>0</v>
      </c>
      <c r="O37" s="181" t="s">
        <v>882</v>
      </c>
      <c r="P37" s="180">
        <v>0</v>
      </c>
      <c r="Q37" s="182">
        <v>0</v>
      </c>
      <c r="R37" s="183" t="s">
        <v>883</v>
      </c>
      <c r="S37" s="174" t="s">
        <v>964</v>
      </c>
      <c r="T37" s="44">
        <v>1</v>
      </c>
      <c r="U37" s="184">
        <v>61</v>
      </c>
      <c r="V37" s="185">
        <v>8</v>
      </c>
      <c r="W37" s="186" t="s">
        <v>883</v>
      </c>
      <c r="X37" s="187" t="s">
        <v>883</v>
      </c>
      <c r="Y37" s="188">
        <v>0</v>
      </c>
      <c r="Z37" s="188" t="s">
        <v>883</v>
      </c>
      <c r="AA37" s="187" t="s">
        <v>883</v>
      </c>
      <c r="AB37" s="188">
        <v>0</v>
      </c>
      <c r="AC37" s="188"/>
      <c r="AD37" s="189" t="s">
        <v>883</v>
      </c>
      <c r="AE37" s="190" t="s">
        <v>883</v>
      </c>
      <c r="AF37" s="180">
        <v>14</v>
      </c>
      <c r="AG37" s="183">
        <v>44188</v>
      </c>
      <c r="AH37" s="183" t="s">
        <v>883</v>
      </c>
      <c r="AI37" s="183">
        <v>44637</v>
      </c>
      <c r="AJ37" s="183" t="s">
        <v>883</v>
      </c>
      <c r="AK37" s="174"/>
    </row>
    <row r="38" spans="1:37" x14ac:dyDescent="0.3">
      <c r="A38" s="173">
        <v>12830</v>
      </c>
      <c r="B38" s="174" t="s">
        <v>967</v>
      </c>
      <c r="C38" s="175" t="s">
        <v>256</v>
      </c>
      <c r="D38" s="176">
        <v>4.0999999999999996</v>
      </c>
      <c r="E38" s="174"/>
      <c r="F38" s="174"/>
      <c r="G38" s="174" t="s">
        <v>883</v>
      </c>
      <c r="H38" s="177">
        <v>1482</v>
      </c>
      <c r="I38" s="24">
        <v>103003</v>
      </c>
      <c r="J38" s="178">
        <v>4.0999999999999996</v>
      </c>
      <c r="K38" s="177">
        <v>219</v>
      </c>
      <c r="L38" s="179">
        <v>61.95652173913043</v>
      </c>
      <c r="M38" s="180">
        <v>0</v>
      </c>
      <c r="N38" s="178">
        <v>0</v>
      </c>
      <c r="O38" s="181" t="s">
        <v>882</v>
      </c>
      <c r="P38" s="180">
        <v>0</v>
      </c>
      <c r="Q38" s="182">
        <v>0</v>
      </c>
      <c r="R38" s="183" t="s">
        <v>883</v>
      </c>
      <c r="S38" s="174" t="s">
        <v>964</v>
      </c>
      <c r="T38" s="44">
        <v>1</v>
      </c>
      <c r="U38" s="184">
        <v>61</v>
      </c>
      <c r="V38" s="185">
        <v>8</v>
      </c>
      <c r="W38" s="186" t="s">
        <v>883</v>
      </c>
      <c r="X38" s="187" t="s">
        <v>883</v>
      </c>
      <c r="Y38" s="188">
        <v>0</v>
      </c>
      <c r="Z38" s="188" t="s">
        <v>883</v>
      </c>
      <c r="AA38" s="187" t="s">
        <v>883</v>
      </c>
      <c r="AB38" s="188">
        <v>0</v>
      </c>
      <c r="AC38" s="188"/>
      <c r="AD38" s="189" t="s">
        <v>883</v>
      </c>
      <c r="AE38" s="190" t="s">
        <v>883</v>
      </c>
      <c r="AF38" s="180">
        <v>96</v>
      </c>
      <c r="AG38" s="183">
        <v>44533</v>
      </c>
      <c r="AH38" s="183" t="s">
        <v>883</v>
      </c>
      <c r="AI38" s="183">
        <v>44522</v>
      </c>
      <c r="AJ38" s="183" t="s">
        <v>883</v>
      </c>
      <c r="AK38" s="174"/>
    </row>
    <row r="39" spans="1:37" x14ac:dyDescent="0.3">
      <c r="A39" s="173">
        <v>12835</v>
      </c>
      <c r="B39" s="174" t="s">
        <v>968</v>
      </c>
      <c r="C39" s="175" t="s">
        <v>256</v>
      </c>
      <c r="D39" s="176">
        <v>0.62</v>
      </c>
      <c r="E39" s="174"/>
      <c r="F39" s="174"/>
      <c r="G39" s="174" t="s">
        <v>883</v>
      </c>
      <c r="H39" s="177">
        <v>209</v>
      </c>
      <c r="I39" s="24">
        <v>103003</v>
      </c>
      <c r="J39" s="178">
        <v>0.62</v>
      </c>
      <c r="K39" s="177">
        <v>242</v>
      </c>
      <c r="L39" s="179">
        <v>9.720930232558139</v>
      </c>
      <c r="M39" s="180">
        <v>0</v>
      </c>
      <c r="N39" s="178">
        <v>0</v>
      </c>
      <c r="O39" s="181" t="s">
        <v>882</v>
      </c>
      <c r="P39" s="180">
        <v>0</v>
      </c>
      <c r="Q39" s="182">
        <v>0</v>
      </c>
      <c r="R39" s="183" t="s">
        <v>883</v>
      </c>
      <c r="S39" s="174" t="s">
        <v>964</v>
      </c>
      <c r="T39" s="44">
        <v>1</v>
      </c>
      <c r="U39" s="184">
        <v>61</v>
      </c>
      <c r="V39" s="185">
        <v>8</v>
      </c>
      <c r="W39" s="186">
        <v>2453</v>
      </c>
      <c r="X39" s="187">
        <v>2023</v>
      </c>
      <c r="Y39" s="188">
        <v>300</v>
      </c>
      <c r="Z39" s="188" t="s">
        <v>883</v>
      </c>
      <c r="AA39" s="187" t="s">
        <v>883</v>
      </c>
      <c r="AB39" s="188">
        <v>0</v>
      </c>
      <c r="AC39" s="188"/>
      <c r="AD39" s="189" t="s">
        <v>883</v>
      </c>
      <c r="AE39" s="190" t="s">
        <v>883</v>
      </c>
      <c r="AF39" s="180">
        <v>86</v>
      </c>
      <c r="AG39" s="183">
        <v>44530</v>
      </c>
      <c r="AH39" s="183" t="s">
        <v>883</v>
      </c>
      <c r="AI39" s="183">
        <v>44722</v>
      </c>
      <c r="AJ39" s="183" t="s">
        <v>883</v>
      </c>
      <c r="AK39" s="174"/>
    </row>
    <row r="40" spans="1:37" x14ac:dyDescent="0.3">
      <c r="A40" s="173">
        <v>12847</v>
      </c>
      <c r="B40" s="174" t="s">
        <v>969</v>
      </c>
      <c r="C40" s="175" t="s">
        <v>256</v>
      </c>
      <c r="D40" s="176">
        <v>1.02</v>
      </c>
      <c r="E40" s="174"/>
      <c r="F40" s="174"/>
      <c r="G40" s="174" t="s">
        <v>883</v>
      </c>
      <c r="H40" s="177">
        <v>1135</v>
      </c>
      <c r="I40" s="24">
        <v>103003</v>
      </c>
      <c r="J40" s="178">
        <v>1.02</v>
      </c>
      <c r="K40" s="177">
        <v>4444</v>
      </c>
      <c r="L40" s="179">
        <v>2.8410513141426788</v>
      </c>
      <c r="M40" s="180">
        <v>2759</v>
      </c>
      <c r="N40" s="178">
        <v>2814.18</v>
      </c>
      <c r="O40" s="181" t="s">
        <v>882</v>
      </c>
      <c r="P40" s="180">
        <v>0</v>
      </c>
      <c r="Q40" s="182">
        <v>0</v>
      </c>
      <c r="R40" s="183" t="s">
        <v>883</v>
      </c>
      <c r="S40" s="174" t="s">
        <v>962</v>
      </c>
      <c r="T40" s="44">
        <v>1</v>
      </c>
      <c r="U40" s="184">
        <v>76</v>
      </c>
      <c r="V40" s="185">
        <v>11</v>
      </c>
      <c r="W40" s="186">
        <v>9007</v>
      </c>
      <c r="X40" s="187">
        <v>2023</v>
      </c>
      <c r="Y40" s="188">
        <v>900</v>
      </c>
      <c r="Z40" s="188" t="s">
        <v>883</v>
      </c>
      <c r="AA40" s="187" t="s">
        <v>883</v>
      </c>
      <c r="AB40" s="188">
        <v>0</v>
      </c>
      <c r="AC40" s="188"/>
      <c r="AD40" s="189" t="s">
        <v>883</v>
      </c>
      <c r="AE40" s="190" t="s">
        <v>883</v>
      </c>
      <c r="AF40" s="180">
        <v>1598</v>
      </c>
      <c r="AG40" s="183">
        <v>44874</v>
      </c>
      <c r="AH40" s="183" t="s">
        <v>883</v>
      </c>
      <c r="AI40" s="183">
        <v>44865</v>
      </c>
      <c r="AJ40" s="183" t="s">
        <v>883</v>
      </c>
      <c r="AK40" s="174"/>
    </row>
    <row r="41" spans="1:37" x14ac:dyDescent="0.3">
      <c r="A41" s="173">
        <v>12856</v>
      </c>
      <c r="B41" s="174" t="s">
        <v>970</v>
      </c>
      <c r="C41" s="175" t="s">
        <v>256</v>
      </c>
      <c r="D41" s="176">
        <v>3.35</v>
      </c>
      <c r="E41" s="174"/>
      <c r="F41" s="174"/>
      <c r="G41" s="174" t="s">
        <v>883</v>
      </c>
      <c r="H41" s="177">
        <v>5644</v>
      </c>
      <c r="I41" s="24">
        <v>103003</v>
      </c>
      <c r="J41" s="178">
        <v>3.35</v>
      </c>
      <c r="K41" s="177">
        <v>2461</v>
      </c>
      <c r="L41" s="179">
        <v>21.528016172712359</v>
      </c>
      <c r="M41" s="180">
        <v>0</v>
      </c>
      <c r="N41" s="178">
        <v>0</v>
      </c>
      <c r="O41" s="181" t="s">
        <v>882</v>
      </c>
      <c r="P41" s="180">
        <v>0</v>
      </c>
      <c r="Q41" s="182">
        <v>0</v>
      </c>
      <c r="R41" s="183" t="s">
        <v>883</v>
      </c>
      <c r="S41" s="174" t="s">
        <v>962</v>
      </c>
      <c r="T41" s="44">
        <v>1</v>
      </c>
      <c r="U41" s="184">
        <v>76</v>
      </c>
      <c r="V41" s="185">
        <v>11</v>
      </c>
      <c r="W41" s="186" t="s">
        <v>883</v>
      </c>
      <c r="X41" s="187" t="s">
        <v>883</v>
      </c>
      <c r="Y41" s="188">
        <v>0</v>
      </c>
      <c r="Z41" s="188" t="s">
        <v>883</v>
      </c>
      <c r="AA41" s="187" t="s">
        <v>883</v>
      </c>
      <c r="AB41" s="188">
        <v>0</v>
      </c>
      <c r="AC41" s="188"/>
      <c r="AD41" s="189" t="s">
        <v>883</v>
      </c>
      <c r="AE41" s="190" t="s">
        <v>883</v>
      </c>
      <c r="AF41" s="180">
        <v>1048</v>
      </c>
      <c r="AG41" s="183">
        <v>44874</v>
      </c>
      <c r="AH41" s="183" t="s">
        <v>883</v>
      </c>
      <c r="AI41" s="183">
        <v>44865</v>
      </c>
      <c r="AJ41" s="183" t="s">
        <v>883</v>
      </c>
      <c r="AK41" s="174"/>
    </row>
    <row r="42" spans="1:37" x14ac:dyDescent="0.3">
      <c r="A42" s="173">
        <v>12877</v>
      </c>
      <c r="B42" s="174" t="s">
        <v>971</v>
      </c>
      <c r="C42" s="175" t="s">
        <v>273</v>
      </c>
      <c r="D42" s="176">
        <v>100</v>
      </c>
      <c r="E42" s="174"/>
      <c r="F42" s="174"/>
      <c r="G42" s="174" t="s">
        <v>883</v>
      </c>
      <c r="H42" s="177">
        <v>0</v>
      </c>
      <c r="I42" s="24">
        <v>103003</v>
      </c>
      <c r="J42" s="178">
        <v>100</v>
      </c>
      <c r="K42" s="177">
        <v>326</v>
      </c>
      <c r="L42" s="179">
        <v>0</v>
      </c>
      <c r="M42" s="180">
        <v>0</v>
      </c>
      <c r="N42" s="178">
        <v>0</v>
      </c>
      <c r="O42" s="181" t="s">
        <v>882</v>
      </c>
      <c r="P42" s="180">
        <v>0</v>
      </c>
      <c r="Q42" s="182">
        <v>0</v>
      </c>
      <c r="R42" s="183" t="s">
        <v>883</v>
      </c>
      <c r="S42" s="174" t="s">
        <v>972</v>
      </c>
      <c r="T42" s="44">
        <v>1</v>
      </c>
      <c r="U42" s="184">
        <v>76</v>
      </c>
      <c r="V42" s="185">
        <v>10</v>
      </c>
      <c r="W42" s="186">
        <v>2794</v>
      </c>
      <c r="X42" s="187">
        <v>2023</v>
      </c>
      <c r="Y42" s="188">
        <v>500</v>
      </c>
      <c r="Z42" s="188" t="s">
        <v>883</v>
      </c>
      <c r="AA42" s="187" t="s">
        <v>883</v>
      </c>
      <c r="AB42" s="188">
        <v>0</v>
      </c>
      <c r="AC42" s="188"/>
      <c r="AD42" s="189" t="s">
        <v>883</v>
      </c>
      <c r="AE42" s="190" t="s">
        <v>883</v>
      </c>
      <c r="AF42" s="180">
        <v>154</v>
      </c>
      <c r="AG42" s="183">
        <v>44882</v>
      </c>
      <c r="AH42" s="183" t="s">
        <v>883</v>
      </c>
      <c r="AI42" s="183">
        <v>44865</v>
      </c>
      <c r="AJ42" s="183" t="s">
        <v>883</v>
      </c>
      <c r="AK42" s="174"/>
    </row>
    <row r="43" spans="1:37" x14ac:dyDescent="0.3">
      <c r="A43" s="173">
        <v>12881</v>
      </c>
      <c r="B43" s="174" t="s">
        <v>973</v>
      </c>
      <c r="C43" s="175" t="s">
        <v>256</v>
      </c>
      <c r="D43" s="176">
        <v>2.6</v>
      </c>
      <c r="E43" s="174"/>
      <c r="F43" s="174"/>
      <c r="G43" s="174" t="s">
        <v>883</v>
      </c>
      <c r="H43" s="177">
        <v>501</v>
      </c>
      <c r="I43" s="24">
        <v>103003</v>
      </c>
      <c r="J43" s="178">
        <v>2.6</v>
      </c>
      <c r="K43" s="177">
        <v>155</v>
      </c>
      <c r="L43" s="179">
        <v>26.368421052631579</v>
      </c>
      <c r="M43" s="180">
        <v>0</v>
      </c>
      <c r="N43" s="178">
        <v>0</v>
      </c>
      <c r="O43" s="181" t="s">
        <v>882</v>
      </c>
      <c r="P43" s="180">
        <v>0</v>
      </c>
      <c r="Q43" s="182">
        <v>0</v>
      </c>
      <c r="R43" s="183" t="s">
        <v>883</v>
      </c>
      <c r="S43" s="174" t="s">
        <v>964</v>
      </c>
      <c r="T43" s="44">
        <v>1</v>
      </c>
      <c r="U43" s="184">
        <v>61</v>
      </c>
      <c r="V43" s="185">
        <v>8</v>
      </c>
      <c r="W43" s="186" t="s">
        <v>883</v>
      </c>
      <c r="X43" s="187" t="s">
        <v>883</v>
      </c>
      <c r="Y43" s="188">
        <v>0</v>
      </c>
      <c r="Z43" s="188" t="s">
        <v>883</v>
      </c>
      <c r="AA43" s="187" t="s">
        <v>883</v>
      </c>
      <c r="AB43" s="188">
        <v>0</v>
      </c>
      <c r="AC43" s="188"/>
      <c r="AD43" s="189" t="s">
        <v>883</v>
      </c>
      <c r="AE43" s="190" t="s">
        <v>883</v>
      </c>
      <c r="AF43" s="180">
        <v>76</v>
      </c>
      <c r="AG43" s="183">
        <v>44573</v>
      </c>
      <c r="AH43" s="183" t="s">
        <v>883</v>
      </c>
      <c r="AI43" s="183">
        <v>44813</v>
      </c>
      <c r="AJ43" s="183" t="s">
        <v>883</v>
      </c>
      <c r="AK43" s="174"/>
    </row>
    <row r="44" spans="1:37" x14ac:dyDescent="0.3">
      <c r="A44" s="173">
        <v>12884</v>
      </c>
      <c r="B44" s="174" t="s">
        <v>974</v>
      </c>
      <c r="C44" s="175" t="s">
        <v>256</v>
      </c>
      <c r="D44" s="176">
        <v>6.64</v>
      </c>
      <c r="E44" s="174"/>
      <c r="F44" s="174"/>
      <c r="G44" s="174" t="s">
        <v>883</v>
      </c>
      <c r="H44" s="177">
        <v>58</v>
      </c>
      <c r="I44" s="24">
        <v>103003</v>
      </c>
      <c r="J44" s="178">
        <v>6.64</v>
      </c>
      <c r="K44" s="177">
        <v>176</v>
      </c>
      <c r="L44" s="179">
        <v>2.7619047619047619</v>
      </c>
      <c r="M44" s="180">
        <v>144</v>
      </c>
      <c r="N44" s="178">
        <v>956.16</v>
      </c>
      <c r="O44" s="181" t="s">
        <v>882</v>
      </c>
      <c r="P44" s="180">
        <v>0</v>
      </c>
      <c r="Q44" s="182">
        <v>0</v>
      </c>
      <c r="R44" s="183" t="s">
        <v>883</v>
      </c>
      <c r="S44" s="174" t="s">
        <v>964</v>
      </c>
      <c r="T44" s="44">
        <v>1</v>
      </c>
      <c r="U44" s="184">
        <v>61</v>
      </c>
      <c r="V44" s="185">
        <v>8</v>
      </c>
      <c r="W44" s="186">
        <v>2453</v>
      </c>
      <c r="X44" s="187">
        <v>2023</v>
      </c>
      <c r="Y44" s="188">
        <v>50</v>
      </c>
      <c r="Z44" s="188" t="s">
        <v>883</v>
      </c>
      <c r="AA44" s="187" t="s">
        <v>883</v>
      </c>
      <c r="AB44" s="188">
        <v>0</v>
      </c>
      <c r="AC44" s="188"/>
      <c r="AD44" s="189" t="s">
        <v>883</v>
      </c>
      <c r="AE44" s="190" t="s">
        <v>883</v>
      </c>
      <c r="AF44" s="180">
        <v>84</v>
      </c>
      <c r="AG44" s="183">
        <v>44187</v>
      </c>
      <c r="AH44" s="183" t="s">
        <v>883</v>
      </c>
      <c r="AI44" s="183">
        <v>44813</v>
      </c>
      <c r="AJ44" s="183" t="s">
        <v>883</v>
      </c>
      <c r="AK44" s="174"/>
    </row>
    <row r="45" spans="1:37" x14ac:dyDescent="0.3">
      <c r="A45" s="173">
        <v>12886</v>
      </c>
      <c r="B45" s="174" t="s">
        <v>975</v>
      </c>
      <c r="C45" s="175" t="s">
        <v>256</v>
      </c>
      <c r="D45" s="176">
        <v>3.75</v>
      </c>
      <c r="E45" s="174"/>
      <c r="F45" s="174"/>
      <c r="G45" s="174" t="s">
        <v>883</v>
      </c>
      <c r="H45" s="177">
        <v>225</v>
      </c>
      <c r="I45" s="24">
        <v>103003</v>
      </c>
      <c r="J45" s="178">
        <v>3.75</v>
      </c>
      <c r="K45" s="177">
        <v>126</v>
      </c>
      <c r="L45" s="179">
        <v>15.980113636363637</v>
      </c>
      <c r="M45" s="180">
        <v>0</v>
      </c>
      <c r="N45" s="178">
        <v>0</v>
      </c>
      <c r="O45" s="181" t="s">
        <v>882</v>
      </c>
      <c r="P45" s="180">
        <v>0</v>
      </c>
      <c r="Q45" s="182">
        <v>0</v>
      </c>
      <c r="R45" s="183" t="s">
        <v>883</v>
      </c>
      <c r="S45" s="174" t="s">
        <v>964</v>
      </c>
      <c r="T45" s="44">
        <v>1</v>
      </c>
      <c r="U45" s="184">
        <v>61</v>
      </c>
      <c r="V45" s="185">
        <v>8</v>
      </c>
      <c r="W45" s="186">
        <v>2522</v>
      </c>
      <c r="X45" s="187">
        <v>2023</v>
      </c>
      <c r="Y45" s="188">
        <v>200</v>
      </c>
      <c r="Z45" s="188" t="s">
        <v>883</v>
      </c>
      <c r="AA45" s="187" t="s">
        <v>883</v>
      </c>
      <c r="AB45" s="188">
        <v>0</v>
      </c>
      <c r="AC45" s="188"/>
      <c r="AD45" s="189" t="s">
        <v>883</v>
      </c>
      <c r="AE45" s="190" t="s">
        <v>883</v>
      </c>
      <c r="AF45" s="180">
        <v>56</v>
      </c>
      <c r="AG45" s="183">
        <v>44547</v>
      </c>
      <c r="AH45" s="183" t="s">
        <v>883</v>
      </c>
      <c r="AI45" s="183">
        <v>44522</v>
      </c>
      <c r="AJ45" s="183" t="s">
        <v>883</v>
      </c>
      <c r="AK45" s="174"/>
    </row>
    <row r="46" spans="1:37" x14ac:dyDescent="0.3">
      <c r="A46" s="173">
        <v>12891</v>
      </c>
      <c r="B46" s="174" t="s">
        <v>976</v>
      </c>
      <c r="C46" s="175" t="s">
        <v>256</v>
      </c>
      <c r="D46" s="176">
        <v>1.7</v>
      </c>
      <c r="E46" s="174"/>
      <c r="F46" s="174"/>
      <c r="G46" s="174" t="s">
        <v>883</v>
      </c>
      <c r="H46" s="177">
        <v>104</v>
      </c>
      <c r="I46" s="24">
        <v>103003</v>
      </c>
      <c r="J46" s="178">
        <v>1.7</v>
      </c>
      <c r="K46" s="177">
        <v>62</v>
      </c>
      <c r="L46" s="179">
        <v>18.086956521739129</v>
      </c>
      <c r="M46" s="180">
        <v>0</v>
      </c>
      <c r="N46" s="178">
        <v>0</v>
      </c>
      <c r="O46" s="181" t="s">
        <v>882</v>
      </c>
      <c r="P46" s="180">
        <v>0</v>
      </c>
      <c r="Q46" s="182">
        <v>0</v>
      </c>
      <c r="R46" s="183" t="s">
        <v>883</v>
      </c>
      <c r="S46" s="174" t="s">
        <v>964</v>
      </c>
      <c r="T46" s="44">
        <v>1</v>
      </c>
      <c r="U46" s="184">
        <v>61</v>
      </c>
      <c r="V46" s="185">
        <v>8</v>
      </c>
      <c r="W46" s="186">
        <v>2960</v>
      </c>
      <c r="X46" s="187">
        <v>2023</v>
      </c>
      <c r="Y46" s="188">
        <v>50</v>
      </c>
      <c r="Z46" s="188" t="s">
        <v>883</v>
      </c>
      <c r="AA46" s="187" t="s">
        <v>883</v>
      </c>
      <c r="AB46" s="188">
        <v>0</v>
      </c>
      <c r="AC46" s="188"/>
      <c r="AD46" s="189" t="s">
        <v>883</v>
      </c>
      <c r="AE46" s="190" t="s">
        <v>883</v>
      </c>
      <c r="AF46" s="180">
        <v>24</v>
      </c>
      <c r="AG46" s="183">
        <v>44823</v>
      </c>
      <c r="AH46" s="183" t="s">
        <v>883</v>
      </c>
      <c r="AI46" s="183">
        <v>44776</v>
      </c>
      <c r="AJ46" s="183" t="s">
        <v>883</v>
      </c>
      <c r="AK46" s="174"/>
    </row>
    <row r="47" spans="1:37" x14ac:dyDescent="0.3">
      <c r="A47" s="173">
        <v>12894</v>
      </c>
      <c r="B47" s="174" t="s">
        <v>977</v>
      </c>
      <c r="C47" s="175" t="s">
        <v>256</v>
      </c>
      <c r="D47" s="176">
        <v>0.44</v>
      </c>
      <c r="E47" s="174"/>
      <c r="F47" s="174"/>
      <c r="G47" s="174" t="s">
        <v>883</v>
      </c>
      <c r="H47" s="177">
        <v>3371</v>
      </c>
      <c r="I47" s="24">
        <v>103003</v>
      </c>
      <c r="J47" s="178">
        <v>0.44</v>
      </c>
      <c r="K47" s="177">
        <v>1228</v>
      </c>
      <c r="L47" s="179">
        <v>23.794734241547257</v>
      </c>
      <c r="M47" s="180">
        <v>0</v>
      </c>
      <c r="N47" s="178">
        <v>0</v>
      </c>
      <c r="O47" s="181" t="s">
        <v>882</v>
      </c>
      <c r="P47" s="180">
        <v>0</v>
      </c>
      <c r="Q47" s="182">
        <v>0</v>
      </c>
      <c r="R47" s="183" t="s">
        <v>883</v>
      </c>
      <c r="S47" s="174" t="s">
        <v>964</v>
      </c>
      <c r="T47" s="44">
        <v>1</v>
      </c>
      <c r="U47" s="184">
        <v>61</v>
      </c>
      <c r="V47" s="185">
        <v>8</v>
      </c>
      <c r="W47" s="186">
        <v>2522</v>
      </c>
      <c r="X47" s="187">
        <v>2023</v>
      </c>
      <c r="Y47" s="188">
        <v>1000</v>
      </c>
      <c r="Z47" s="188" t="s">
        <v>883</v>
      </c>
      <c r="AA47" s="187" t="s">
        <v>883</v>
      </c>
      <c r="AB47" s="188">
        <v>0</v>
      </c>
      <c r="AC47" s="188"/>
      <c r="AD47" s="189" t="s">
        <v>883</v>
      </c>
      <c r="AE47" s="190" t="s">
        <v>883</v>
      </c>
      <c r="AF47" s="180">
        <v>566</v>
      </c>
      <c r="AG47" s="183">
        <v>44573</v>
      </c>
      <c r="AH47" s="183" t="s">
        <v>883</v>
      </c>
      <c r="AI47" s="183">
        <v>45096</v>
      </c>
      <c r="AJ47" s="183" t="s">
        <v>883</v>
      </c>
      <c r="AK47" s="174"/>
    </row>
    <row r="48" spans="1:37" x14ac:dyDescent="0.3">
      <c r="A48" s="173">
        <v>12922</v>
      </c>
      <c r="B48" s="174" t="s">
        <v>978</v>
      </c>
      <c r="C48" s="175" t="s">
        <v>256</v>
      </c>
      <c r="D48" s="176">
        <v>3.17</v>
      </c>
      <c r="E48" s="174"/>
      <c r="F48" s="174"/>
      <c r="G48" s="174" t="s">
        <v>883</v>
      </c>
      <c r="H48" s="177">
        <v>51</v>
      </c>
      <c r="I48" s="24">
        <v>103003</v>
      </c>
      <c r="J48" s="178">
        <v>3.17</v>
      </c>
      <c r="K48" s="177">
        <v>29</v>
      </c>
      <c r="L48" s="179">
        <v>21.074380165289259</v>
      </c>
      <c r="M48" s="180">
        <v>0</v>
      </c>
      <c r="N48" s="178">
        <v>0</v>
      </c>
      <c r="O48" s="181" t="s">
        <v>882</v>
      </c>
      <c r="P48" s="180">
        <v>0</v>
      </c>
      <c r="Q48" s="182">
        <v>0</v>
      </c>
      <c r="R48" s="183" t="s">
        <v>883</v>
      </c>
      <c r="S48" s="174" t="s">
        <v>964</v>
      </c>
      <c r="T48" s="44">
        <v>1</v>
      </c>
      <c r="U48" s="184">
        <v>61</v>
      </c>
      <c r="V48" s="185">
        <v>8</v>
      </c>
      <c r="W48" s="186">
        <v>2228</v>
      </c>
      <c r="X48" s="187">
        <v>2023</v>
      </c>
      <c r="Y48" s="188">
        <v>100</v>
      </c>
      <c r="Z48" s="188" t="s">
        <v>883</v>
      </c>
      <c r="AA48" s="187" t="s">
        <v>883</v>
      </c>
      <c r="AB48" s="188">
        <v>0</v>
      </c>
      <c r="AC48" s="188"/>
      <c r="AD48" s="189" t="s">
        <v>883</v>
      </c>
      <c r="AE48" s="190" t="s">
        <v>883</v>
      </c>
      <c r="AF48" s="180">
        <v>10</v>
      </c>
      <c r="AG48" s="183">
        <v>45006</v>
      </c>
      <c r="AH48" s="183" t="s">
        <v>883</v>
      </c>
      <c r="AI48" s="183">
        <v>44942</v>
      </c>
      <c r="AJ48" s="183" t="s">
        <v>883</v>
      </c>
      <c r="AK48" s="174"/>
    </row>
    <row r="49" spans="1:37" x14ac:dyDescent="0.3">
      <c r="A49" s="173">
        <v>12948</v>
      </c>
      <c r="B49" s="174" t="s">
        <v>979</v>
      </c>
      <c r="C49" s="175" t="s">
        <v>256</v>
      </c>
      <c r="D49" s="176">
        <v>10.15</v>
      </c>
      <c r="E49" s="174"/>
      <c r="F49" s="174"/>
      <c r="G49" s="174" t="s">
        <v>883</v>
      </c>
      <c r="H49" s="177">
        <v>30</v>
      </c>
      <c r="I49" s="24">
        <v>103003</v>
      </c>
      <c r="J49" s="178">
        <v>10.15</v>
      </c>
      <c r="K49" s="177">
        <v>17</v>
      </c>
      <c r="L49" s="179">
        <v>21.126760563380284</v>
      </c>
      <c r="M49" s="180">
        <v>0</v>
      </c>
      <c r="N49" s="178">
        <v>0</v>
      </c>
      <c r="O49" s="181" t="s">
        <v>882</v>
      </c>
      <c r="P49" s="180">
        <v>0</v>
      </c>
      <c r="Q49" s="182">
        <v>0</v>
      </c>
      <c r="R49" s="183" t="s">
        <v>883</v>
      </c>
      <c r="S49" s="174" t="s">
        <v>964</v>
      </c>
      <c r="T49" s="44">
        <v>1</v>
      </c>
      <c r="U49" s="184">
        <v>61</v>
      </c>
      <c r="V49" s="185">
        <v>8</v>
      </c>
      <c r="W49" s="186">
        <v>2960</v>
      </c>
      <c r="X49" s="187">
        <v>2023</v>
      </c>
      <c r="Y49" s="188">
        <v>10</v>
      </c>
      <c r="Z49" s="188" t="s">
        <v>883</v>
      </c>
      <c r="AA49" s="187" t="s">
        <v>883</v>
      </c>
      <c r="AB49" s="188">
        <v>0</v>
      </c>
      <c r="AC49" s="188"/>
      <c r="AD49" s="189" t="s">
        <v>883</v>
      </c>
      <c r="AE49" s="190" t="s">
        <v>883</v>
      </c>
      <c r="AF49" s="180">
        <v>6</v>
      </c>
      <c r="AG49" s="183">
        <v>39763</v>
      </c>
      <c r="AH49" s="183" t="s">
        <v>883</v>
      </c>
      <c r="AI49" s="183">
        <v>44813</v>
      </c>
      <c r="AJ49" s="183" t="s">
        <v>883</v>
      </c>
      <c r="AK49" s="174"/>
    </row>
    <row r="50" spans="1:37" x14ac:dyDescent="0.3">
      <c r="A50" s="173">
        <v>12950</v>
      </c>
      <c r="B50" s="174" t="s">
        <v>980</v>
      </c>
      <c r="C50" s="175" t="s">
        <v>256</v>
      </c>
      <c r="D50" s="176">
        <v>4.2</v>
      </c>
      <c r="E50" s="174"/>
      <c r="F50" s="174"/>
      <c r="G50" s="174" t="s">
        <v>883</v>
      </c>
      <c r="H50" s="177">
        <v>151</v>
      </c>
      <c r="I50" s="24">
        <v>103003</v>
      </c>
      <c r="J50" s="178">
        <v>4.2</v>
      </c>
      <c r="K50" s="177">
        <v>128</v>
      </c>
      <c r="L50" s="179">
        <v>12.326530612244898</v>
      </c>
      <c r="M50" s="180">
        <v>0</v>
      </c>
      <c r="N50" s="178">
        <v>0</v>
      </c>
      <c r="O50" s="181" t="s">
        <v>882</v>
      </c>
      <c r="P50" s="180">
        <v>0</v>
      </c>
      <c r="Q50" s="182">
        <v>0</v>
      </c>
      <c r="R50" s="183" t="s">
        <v>883</v>
      </c>
      <c r="S50" s="174" t="s">
        <v>964</v>
      </c>
      <c r="T50" s="44">
        <v>1</v>
      </c>
      <c r="U50" s="184">
        <v>61</v>
      </c>
      <c r="V50" s="185">
        <v>8</v>
      </c>
      <c r="W50" s="186">
        <v>2960</v>
      </c>
      <c r="X50" s="187">
        <v>2023</v>
      </c>
      <c r="Y50" s="188">
        <v>100</v>
      </c>
      <c r="Z50" s="188" t="s">
        <v>883</v>
      </c>
      <c r="AA50" s="187" t="s">
        <v>883</v>
      </c>
      <c r="AB50" s="188">
        <v>0</v>
      </c>
      <c r="AC50" s="188"/>
      <c r="AD50" s="189" t="s">
        <v>883</v>
      </c>
      <c r="AE50" s="190" t="s">
        <v>883</v>
      </c>
      <c r="AF50" s="180">
        <v>50</v>
      </c>
      <c r="AG50" s="183">
        <v>43903</v>
      </c>
      <c r="AH50" s="183" t="s">
        <v>883</v>
      </c>
      <c r="AI50" s="183">
        <v>44536</v>
      </c>
      <c r="AJ50" s="183" t="s">
        <v>883</v>
      </c>
      <c r="AK50" s="174"/>
    </row>
    <row r="51" spans="1:37" x14ac:dyDescent="0.3">
      <c r="A51" s="173">
        <v>12956</v>
      </c>
      <c r="B51" s="174" t="s">
        <v>981</v>
      </c>
      <c r="C51" s="175" t="s">
        <v>256</v>
      </c>
      <c r="D51" s="176">
        <v>0.47</v>
      </c>
      <c r="E51" s="174"/>
      <c r="F51" s="174"/>
      <c r="G51" s="174" t="s">
        <v>883</v>
      </c>
      <c r="H51" s="177">
        <v>618</v>
      </c>
      <c r="I51" s="24">
        <v>103003</v>
      </c>
      <c r="J51" s="178">
        <v>0.47</v>
      </c>
      <c r="K51" s="177">
        <v>431</v>
      </c>
      <c r="L51" s="179">
        <v>13.362162162162162</v>
      </c>
      <c r="M51" s="180">
        <v>0</v>
      </c>
      <c r="N51" s="178">
        <v>0</v>
      </c>
      <c r="O51" s="181" t="s">
        <v>882</v>
      </c>
      <c r="P51" s="180">
        <v>0</v>
      </c>
      <c r="Q51" s="182">
        <v>0</v>
      </c>
      <c r="R51" s="183" t="s">
        <v>883</v>
      </c>
      <c r="S51" s="174" t="s">
        <v>964</v>
      </c>
      <c r="T51" s="44">
        <v>1</v>
      </c>
      <c r="U51" s="184">
        <v>61</v>
      </c>
      <c r="V51" s="185">
        <v>8</v>
      </c>
      <c r="W51" s="186">
        <v>2453</v>
      </c>
      <c r="X51" s="187">
        <v>2023</v>
      </c>
      <c r="Y51" s="188">
        <v>400</v>
      </c>
      <c r="Z51" s="188" t="s">
        <v>883</v>
      </c>
      <c r="AA51" s="187" t="s">
        <v>883</v>
      </c>
      <c r="AB51" s="188">
        <v>0</v>
      </c>
      <c r="AC51" s="188"/>
      <c r="AD51" s="189" t="s">
        <v>883</v>
      </c>
      <c r="AE51" s="190" t="s">
        <v>883</v>
      </c>
      <c r="AF51" s="180">
        <v>186</v>
      </c>
      <c r="AG51" s="183">
        <v>44860</v>
      </c>
      <c r="AH51" s="183" t="s">
        <v>883</v>
      </c>
      <c r="AI51" s="183">
        <v>45105</v>
      </c>
      <c r="AJ51" s="183" t="s">
        <v>883</v>
      </c>
      <c r="AK51" s="174"/>
    </row>
    <row r="52" spans="1:37" x14ac:dyDescent="0.3">
      <c r="A52" s="173">
        <v>12971</v>
      </c>
      <c r="B52" s="174" t="s">
        <v>982</v>
      </c>
      <c r="C52" s="175" t="s">
        <v>256</v>
      </c>
      <c r="D52" s="176">
        <v>0.36</v>
      </c>
      <c r="E52" s="174"/>
      <c r="F52" s="174"/>
      <c r="G52" s="174" t="s">
        <v>883</v>
      </c>
      <c r="H52" s="177">
        <v>401</v>
      </c>
      <c r="I52" s="24">
        <v>103003</v>
      </c>
      <c r="J52" s="178">
        <v>0.36</v>
      </c>
      <c r="K52" s="177">
        <v>100</v>
      </c>
      <c r="L52" s="179">
        <v>48.139255702280913</v>
      </c>
      <c r="M52" s="180">
        <v>0</v>
      </c>
      <c r="N52" s="178">
        <v>0</v>
      </c>
      <c r="O52" s="181" t="s">
        <v>882</v>
      </c>
      <c r="P52" s="180">
        <v>0</v>
      </c>
      <c r="Q52" s="182">
        <v>0</v>
      </c>
      <c r="R52" s="183" t="s">
        <v>883</v>
      </c>
      <c r="S52" s="174" t="s">
        <v>983</v>
      </c>
      <c r="T52" s="44">
        <v>1</v>
      </c>
      <c r="U52" s="184">
        <v>55</v>
      </c>
      <c r="V52" s="185">
        <v>31</v>
      </c>
      <c r="W52" s="186" t="s">
        <v>883</v>
      </c>
      <c r="X52" s="187" t="s">
        <v>883</v>
      </c>
      <c r="Y52" s="188">
        <v>0</v>
      </c>
      <c r="Z52" s="188" t="s">
        <v>883</v>
      </c>
      <c r="AA52" s="187" t="s">
        <v>883</v>
      </c>
      <c r="AB52" s="188">
        <v>0</v>
      </c>
      <c r="AC52" s="188"/>
      <c r="AD52" s="189" t="s">
        <v>883</v>
      </c>
      <c r="AE52" s="190" t="s">
        <v>883</v>
      </c>
      <c r="AF52" s="180">
        <v>34</v>
      </c>
      <c r="AG52" s="183">
        <v>42360</v>
      </c>
      <c r="AH52" s="183" t="s">
        <v>883</v>
      </c>
      <c r="AI52" s="183">
        <v>43657</v>
      </c>
      <c r="AJ52" s="183" t="s">
        <v>883</v>
      </c>
      <c r="AK52" s="174"/>
    </row>
    <row r="53" spans="1:37" x14ac:dyDescent="0.3">
      <c r="A53" s="173">
        <v>12989</v>
      </c>
      <c r="B53" s="174" t="s">
        <v>984</v>
      </c>
      <c r="C53" s="175" t="s">
        <v>256</v>
      </c>
      <c r="D53" s="176">
        <v>6.66</v>
      </c>
      <c r="E53" s="174"/>
      <c r="F53" s="174"/>
      <c r="G53" s="174" t="s">
        <v>883</v>
      </c>
      <c r="H53" s="177">
        <v>0</v>
      </c>
      <c r="I53" s="24">
        <v>103003</v>
      </c>
      <c r="J53" s="178">
        <v>6.66</v>
      </c>
      <c r="K53" s="177">
        <v>185</v>
      </c>
      <c r="L53" s="179">
        <v>0</v>
      </c>
      <c r="M53" s="180">
        <v>0</v>
      </c>
      <c r="N53" s="178">
        <v>0</v>
      </c>
      <c r="O53" s="181" t="s">
        <v>882</v>
      </c>
      <c r="P53" s="180">
        <v>0</v>
      </c>
      <c r="Q53" s="182">
        <v>0</v>
      </c>
      <c r="R53" s="183" t="s">
        <v>883</v>
      </c>
      <c r="S53" s="174" t="s">
        <v>985</v>
      </c>
      <c r="T53" s="44">
        <v>1</v>
      </c>
      <c r="U53" s="184">
        <v>55</v>
      </c>
      <c r="V53" s="185">
        <v>7</v>
      </c>
      <c r="W53" s="186">
        <v>2448</v>
      </c>
      <c r="X53" s="187">
        <v>2023</v>
      </c>
      <c r="Y53" s="188">
        <v>300</v>
      </c>
      <c r="Z53" s="188" t="s">
        <v>883</v>
      </c>
      <c r="AA53" s="187" t="s">
        <v>883</v>
      </c>
      <c r="AB53" s="188">
        <v>0</v>
      </c>
      <c r="AC53" s="188"/>
      <c r="AD53" s="189" t="s">
        <v>883</v>
      </c>
      <c r="AE53" s="190" t="s">
        <v>883</v>
      </c>
      <c r="AF53" s="180">
        <v>68</v>
      </c>
      <c r="AG53" s="183">
        <v>43656</v>
      </c>
      <c r="AH53" s="183" t="s">
        <v>883</v>
      </c>
      <c r="AI53" s="183">
        <v>44917</v>
      </c>
      <c r="AJ53" s="183" t="s">
        <v>883</v>
      </c>
      <c r="AK53" s="174"/>
    </row>
    <row r="54" spans="1:37" x14ac:dyDescent="0.3">
      <c r="A54" s="173">
        <v>12992</v>
      </c>
      <c r="B54" s="174" t="s">
        <v>986</v>
      </c>
      <c r="C54" s="175" t="s">
        <v>256</v>
      </c>
      <c r="D54" s="176">
        <v>9.82</v>
      </c>
      <c r="E54" s="174"/>
      <c r="F54" s="174"/>
      <c r="G54" s="174" t="s">
        <v>883</v>
      </c>
      <c r="H54" s="177">
        <v>0</v>
      </c>
      <c r="I54" s="24">
        <v>103003</v>
      </c>
      <c r="J54" s="178">
        <v>9.82</v>
      </c>
      <c r="K54" s="177">
        <v>66</v>
      </c>
      <c r="L54" s="179">
        <v>0</v>
      </c>
      <c r="M54" s="180">
        <v>61.04</v>
      </c>
      <c r="N54" s="178">
        <v>599.41279999999995</v>
      </c>
      <c r="O54" s="181" t="s">
        <v>882</v>
      </c>
      <c r="P54" s="180">
        <v>0</v>
      </c>
      <c r="Q54" s="182">
        <v>0</v>
      </c>
      <c r="R54" s="183" t="s">
        <v>883</v>
      </c>
      <c r="S54" s="174" t="s">
        <v>985</v>
      </c>
      <c r="T54" s="44">
        <v>1</v>
      </c>
      <c r="U54" s="184">
        <v>55</v>
      </c>
      <c r="V54" s="185">
        <v>7</v>
      </c>
      <c r="W54" s="186">
        <v>2442</v>
      </c>
      <c r="X54" s="187">
        <v>2023</v>
      </c>
      <c r="Y54" s="188">
        <v>10</v>
      </c>
      <c r="Z54" s="188" t="s">
        <v>883</v>
      </c>
      <c r="AA54" s="187" t="s">
        <v>883</v>
      </c>
      <c r="AB54" s="188">
        <v>0</v>
      </c>
      <c r="AC54" s="188"/>
      <c r="AD54" s="189" t="s">
        <v>883</v>
      </c>
      <c r="AE54" s="190" t="s">
        <v>883</v>
      </c>
      <c r="AF54" s="180">
        <v>24</v>
      </c>
      <c r="AG54" s="183">
        <v>44951</v>
      </c>
      <c r="AH54" s="183" t="s">
        <v>883</v>
      </c>
      <c r="AI54" s="183">
        <v>44917</v>
      </c>
      <c r="AJ54" s="183" t="s">
        <v>883</v>
      </c>
      <c r="AK54" s="174"/>
    </row>
    <row r="55" spans="1:37" x14ac:dyDescent="0.3">
      <c r="A55" s="173">
        <v>13009</v>
      </c>
      <c r="B55" s="174" t="s">
        <v>987</v>
      </c>
      <c r="C55" s="175" t="s">
        <v>331</v>
      </c>
      <c r="D55" s="176">
        <v>1</v>
      </c>
      <c r="E55" s="174"/>
      <c r="F55" s="174"/>
      <c r="G55" s="174" t="s">
        <v>883</v>
      </c>
      <c r="H55" s="177">
        <v>606</v>
      </c>
      <c r="I55" s="24">
        <v>103003</v>
      </c>
      <c r="J55" s="178">
        <v>1</v>
      </c>
      <c r="K55" s="177">
        <v>345</v>
      </c>
      <c r="L55" s="179">
        <v>21.078260869565216</v>
      </c>
      <c r="M55" s="180">
        <v>0</v>
      </c>
      <c r="N55" s="178">
        <v>0</v>
      </c>
      <c r="O55" s="181" t="s">
        <v>882</v>
      </c>
      <c r="P55" s="180">
        <v>0</v>
      </c>
      <c r="Q55" s="182">
        <v>0</v>
      </c>
      <c r="R55" s="183" t="s">
        <v>883</v>
      </c>
      <c r="S55" s="174" t="s">
        <v>988</v>
      </c>
      <c r="T55" s="44">
        <v>1</v>
      </c>
      <c r="U55" s="184">
        <v>55</v>
      </c>
      <c r="V55" s="185">
        <v>32</v>
      </c>
      <c r="W55" s="186" t="s">
        <v>883</v>
      </c>
      <c r="X55" s="187" t="s">
        <v>883</v>
      </c>
      <c r="Y55" s="188">
        <v>0</v>
      </c>
      <c r="Z55" s="188" t="s">
        <v>883</v>
      </c>
      <c r="AA55" s="187" t="s">
        <v>883</v>
      </c>
      <c r="AB55" s="188">
        <v>0</v>
      </c>
      <c r="AC55" s="188"/>
      <c r="AD55" s="189" t="s">
        <v>883</v>
      </c>
      <c r="AE55" s="190" t="s">
        <v>883</v>
      </c>
      <c r="AF55" s="180">
        <v>116</v>
      </c>
      <c r="AG55" s="183">
        <v>43837</v>
      </c>
      <c r="AH55" s="183" t="s">
        <v>883</v>
      </c>
      <c r="AI55" s="183">
        <v>44655</v>
      </c>
      <c r="AJ55" s="183" t="s">
        <v>883</v>
      </c>
      <c r="AK55" s="174"/>
    </row>
    <row r="56" spans="1:37" x14ac:dyDescent="0.3">
      <c r="A56" s="173">
        <v>13021</v>
      </c>
      <c r="B56" s="174" t="s">
        <v>864</v>
      </c>
      <c r="C56" s="175" t="s">
        <v>413</v>
      </c>
      <c r="D56" s="176">
        <v>0.95</v>
      </c>
      <c r="E56" s="174"/>
      <c r="F56" s="174"/>
      <c r="G56" s="174" t="s">
        <v>883</v>
      </c>
      <c r="H56" s="177">
        <v>250</v>
      </c>
      <c r="I56" s="24">
        <v>103003</v>
      </c>
      <c r="J56" s="178">
        <v>1.27</v>
      </c>
      <c r="K56" s="177"/>
      <c r="L56" s="179">
        <v>0</v>
      </c>
      <c r="M56" s="180">
        <v>0</v>
      </c>
      <c r="N56" s="178">
        <v>0</v>
      </c>
      <c r="O56" s="181" t="s">
        <v>882</v>
      </c>
      <c r="P56" s="180">
        <v>0</v>
      </c>
      <c r="Q56" s="182">
        <v>0</v>
      </c>
      <c r="R56" s="183" t="s">
        <v>883</v>
      </c>
      <c r="S56" s="174" t="s">
        <v>989</v>
      </c>
      <c r="T56" s="44">
        <v>1</v>
      </c>
      <c r="U56" s="184">
        <v>67</v>
      </c>
      <c r="V56" s="185">
        <v>6</v>
      </c>
      <c r="W56" s="186" t="s">
        <v>883</v>
      </c>
      <c r="X56" s="187" t="s">
        <v>883</v>
      </c>
      <c r="Y56" s="188">
        <v>0</v>
      </c>
      <c r="Z56" s="188" t="s">
        <v>883</v>
      </c>
      <c r="AA56" s="187" t="s">
        <v>883</v>
      </c>
      <c r="AB56" s="188">
        <v>0</v>
      </c>
      <c r="AC56" s="188"/>
      <c r="AD56" s="189" t="s">
        <v>883</v>
      </c>
      <c r="AE56" s="190" t="s">
        <v>883</v>
      </c>
      <c r="AF56" s="180">
        <v>0</v>
      </c>
      <c r="AG56" s="183" t="s">
        <v>883</v>
      </c>
      <c r="AH56" s="183" t="s">
        <v>883</v>
      </c>
      <c r="AI56" s="183">
        <v>35536</v>
      </c>
      <c r="AJ56" s="183" t="s">
        <v>883</v>
      </c>
      <c r="AK56" s="174"/>
    </row>
    <row r="57" spans="1:37" x14ac:dyDescent="0.3">
      <c r="A57" s="173">
        <v>13063</v>
      </c>
      <c r="B57" s="174" t="s">
        <v>990</v>
      </c>
      <c r="C57" s="175" t="s">
        <v>270</v>
      </c>
      <c r="D57" s="176">
        <v>4.5</v>
      </c>
      <c r="E57" s="174"/>
      <c r="F57" s="174"/>
      <c r="G57" s="174" t="s">
        <v>883</v>
      </c>
      <c r="H57" s="177">
        <v>723</v>
      </c>
      <c r="I57" s="24">
        <v>103003</v>
      </c>
      <c r="J57" s="178">
        <v>4.0741300000000003</v>
      </c>
      <c r="K57" s="177">
        <v>532</v>
      </c>
      <c r="L57" s="179">
        <v>11.756097560975611</v>
      </c>
      <c r="M57" s="180">
        <v>0</v>
      </c>
      <c r="N57" s="178">
        <v>0</v>
      </c>
      <c r="O57" s="181" t="s">
        <v>882</v>
      </c>
      <c r="P57" s="180">
        <v>0</v>
      </c>
      <c r="Q57" s="182">
        <v>0</v>
      </c>
      <c r="R57" s="183" t="s">
        <v>883</v>
      </c>
      <c r="S57" s="174" t="s">
        <v>991</v>
      </c>
      <c r="T57" s="44">
        <v>1</v>
      </c>
      <c r="U57" s="184">
        <v>61</v>
      </c>
      <c r="V57" s="185">
        <v>9</v>
      </c>
      <c r="W57" s="186">
        <v>2555</v>
      </c>
      <c r="X57" s="187">
        <v>2023</v>
      </c>
      <c r="Y57" s="188">
        <v>600</v>
      </c>
      <c r="Z57" s="188" t="s">
        <v>883</v>
      </c>
      <c r="AA57" s="187" t="s">
        <v>883</v>
      </c>
      <c r="AB57" s="188">
        <v>0</v>
      </c>
      <c r="AC57" s="188"/>
      <c r="AD57" s="189" t="s">
        <v>883</v>
      </c>
      <c r="AE57" s="190" t="s">
        <v>883</v>
      </c>
      <c r="AF57" s="180">
        <v>246</v>
      </c>
      <c r="AG57" s="183">
        <v>44952</v>
      </c>
      <c r="AH57" s="183" t="s">
        <v>883</v>
      </c>
      <c r="AI57" s="183">
        <v>44939</v>
      </c>
      <c r="AJ57" s="183" t="s">
        <v>883</v>
      </c>
      <c r="AK57" s="174"/>
    </row>
    <row r="58" spans="1:37" x14ac:dyDescent="0.3">
      <c r="A58" s="173">
        <v>13064</v>
      </c>
      <c r="B58" s="174" t="s">
        <v>992</v>
      </c>
      <c r="C58" s="175" t="s">
        <v>281</v>
      </c>
      <c r="D58" s="176">
        <v>1.83</v>
      </c>
      <c r="E58" s="174"/>
      <c r="F58" s="174"/>
      <c r="G58" s="174" t="s">
        <v>883</v>
      </c>
      <c r="H58" s="177">
        <v>877</v>
      </c>
      <c r="I58" s="24">
        <v>103003</v>
      </c>
      <c r="J58" s="178">
        <v>1.83</v>
      </c>
      <c r="K58" s="177">
        <v>1217</v>
      </c>
      <c r="L58" s="179">
        <v>5.3694973366803405</v>
      </c>
      <c r="M58" s="180">
        <v>782.96</v>
      </c>
      <c r="N58" s="178">
        <v>1432.8168000000001</v>
      </c>
      <c r="O58" s="181" t="s">
        <v>882</v>
      </c>
      <c r="P58" s="180">
        <v>0</v>
      </c>
      <c r="Q58" s="182">
        <v>0</v>
      </c>
      <c r="R58" s="183" t="s">
        <v>883</v>
      </c>
      <c r="S58" s="174" t="s">
        <v>991</v>
      </c>
      <c r="T58" s="44">
        <v>1</v>
      </c>
      <c r="U58" s="184">
        <v>61</v>
      </c>
      <c r="V58" s="185">
        <v>9</v>
      </c>
      <c r="W58" s="186">
        <v>2556</v>
      </c>
      <c r="X58" s="187">
        <v>2023</v>
      </c>
      <c r="Y58" s="188">
        <v>300</v>
      </c>
      <c r="Z58" s="188" t="s">
        <v>883</v>
      </c>
      <c r="AA58" s="187" t="s">
        <v>883</v>
      </c>
      <c r="AB58" s="188">
        <v>0</v>
      </c>
      <c r="AC58" s="188"/>
      <c r="AD58" s="189" t="s">
        <v>883</v>
      </c>
      <c r="AE58" s="190" t="s">
        <v>883</v>
      </c>
      <c r="AF58" s="180">
        <v>654</v>
      </c>
      <c r="AG58" s="183">
        <v>44796</v>
      </c>
      <c r="AH58" s="183" t="s">
        <v>883</v>
      </c>
      <c r="AI58" s="183">
        <v>45105</v>
      </c>
      <c r="AJ58" s="183" t="s">
        <v>883</v>
      </c>
      <c r="AK58" s="174"/>
    </row>
    <row r="59" spans="1:37" x14ac:dyDescent="0.3">
      <c r="A59" s="173">
        <v>13066</v>
      </c>
      <c r="B59" s="174" t="s">
        <v>993</v>
      </c>
      <c r="C59" s="175" t="s">
        <v>569</v>
      </c>
      <c r="D59" s="176">
        <v>0.99</v>
      </c>
      <c r="E59" s="174"/>
      <c r="F59" s="174"/>
      <c r="G59" s="174" t="s">
        <v>883</v>
      </c>
      <c r="H59" s="177">
        <v>855</v>
      </c>
      <c r="I59" s="24">
        <v>103003</v>
      </c>
      <c r="J59" s="178">
        <v>0.99</v>
      </c>
      <c r="K59" s="177">
        <v>10</v>
      </c>
      <c r="L59" s="179">
        <v>1030.1204819277107</v>
      </c>
      <c r="M59" s="180">
        <v>0</v>
      </c>
      <c r="N59" s="178">
        <v>0</v>
      </c>
      <c r="O59" s="181" t="s">
        <v>882</v>
      </c>
      <c r="P59" s="180">
        <v>0</v>
      </c>
      <c r="Q59" s="182">
        <v>0</v>
      </c>
      <c r="R59" s="183" t="s">
        <v>883</v>
      </c>
      <c r="S59" s="174" t="s">
        <v>994</v>
      </c>
      <c r="T59" s="44">
        <v>1</v>
      </c>
      <c r="U59" s="184">
        <v>83</v>
      </c>
      <c r="V59" s="185">
        <v>2</v>
      </c>
      <c r="W59" s="186" t="s">
        <v>883</v>
      </c>
      <c r="X59" s="187" t="s">
        <v>883</v>
      </c>
      <c r="Y59" s="188">
        <v>0</v>
      </c>
      <c r="Z59" s="188" t="s">
        <v>883</v>
      </c>
      <c r="AA59" s="187" t="s">
        <v>883</v>
      </c>
      <c r="AB59" s="188">
        <v>0</v>
      </c>
      <c r="AC59" s="188"/>
      <c r="AD59" s="189" t="s">
        <v>883</v>
      </c>
      <c r="AE59" s="190" t="s">
        <v>883</v>
      </c>
      <c r="AF59" s="180">
        <v>4</v>
      </c>
      <c r="AG59" s="183">
        <v>44067</v>
      </c>
      <c r="AH59" s="183" t="s">
        <v>883</v>
      </c>
      <c r="AI59" s="183">
        <v>44040</v>
      </c>
      <c r="AJ59" s="183" t="s">
        <v>883</v>
      </c>
      <c r="AK59" s="174"/>
    </row>
    <row r="60" spans="1:37" x14ac:dyDescent="0.3">
      <c r="A60" s="173">
        <v>13068</v>
      </c>
      <c r="B60" s="174" t="s">
        <v>995</v>
      </c>
      <c r="C60" s="175" t="s">
        <v>256</v>
      </c>
      <c r="D60" s="176">
        <v>4.3</v>
      </c>
      <c r="E60" s="174"/>
      <c r="F60" s="174"/>
      <c r="G60" s="174" t="s">
        <v>883</v>
      </c>
      <c r="H60" s="177">
        <v>163</v>
      </c>
      <c r="I60" s="24">
        <v>103003</v>
      </c>
      <c r="J60" s="178">
        <v>4.3</v>
      </c>
      <c r="K60" s="177">
        <v>40</v>
      </c>
      <c r="L60" s="179">
        <v>47.66081871345029</v>
      </c>
      <c r="M60" s="180">
        <v>0</v>
      </c>
      <c r="N60" s="178">
        <v>0</v>
      </c>
      <c r="O60" s="181" t="s">
        <v>882</v>
      </c>
      <c r="P60" s="180">
        <v>0</v>
      </c>
      <c r="Q60" s="182">
        <v>0</v>
      </c>
      <c r="R60" s="183" t="s">
        <v>883</v>
      </c>
      <c r="S60" s="174" t="s">
        <v>964</v>
      </c>
      <c r="T60" s="44">
        <v>1</v>
      </c>
      <c r="U60" s="184">
        <v>61</v>
      </c>
      <c r="V60" s="185">
        <v>8</v>
      </c>
      <c r="W60" s="186" t="s">
        <v>883</v>
      </c>
      <c r="X60" s="187" t="s">
        <v>883</v>
      </c>
      <c r="Y60" s="188">
        <v>0</v>
      </c>
      <c r="Z60" s="188" t="s">
        <v>883</v>
      </c>
      <c r="AA60" s="187" t="s">
        <v>883</v>
      </c>
      <c r="AB60" s="188">
        <v>0</v>
      </c>
      <c r="AC60" s="188"/>
      <c r="AD60" s="189" t="s">
        <v>883</v>
      </c>
      <c r="AE60" s="190" t="s">
        <v>883</v>
      </c>
      <c r="AF60" s="180">
        <v>14</v>
      </c>
      <c r="AG60" s="183">
        <v>44069</v>
      </c>
      <c r="AH60" s="183" t="s">
        <v>883</v>
      </c>
      <c r="AI60" s="183">
        <v>44029</v>
      </c>
      <c r="AJ60" s="183" t="s">
        <v>883</v>
      </c>
      <c r="AK60" s="174"/>
    </row>
    <row r="61" spans="1:37" x14ac:dyDescent="0.3">
      <c r="A61" s="173">
        <v>13072</v>
      </c>
      <c r="B61" s="174" t="s">
        <v>996</v>
      </c>
      <c r="C61" s="175" t="s">
        <v>256</v>
      </c>
      <c r="D61" s="176">
        <v>1.05</v>
      </c>
      <c r="E61" s="174"/>
      <c r="F61" s="174"/>
      <c r="G61" s="174" t="s">
        <v>883</v>
      </c>
      <c r="H61" s="177">
        <v>305</v>
      </c>
      <c r="I61" s="24">
        <v>103003</v>
      </c>
      <c r="J61" s="178">
        <v>1.04565</v>
      </c>
      <c r="K61" s="177">
        <v>284</v>
      </c>
      <c r="L61" s="179">
        <v>9.9445712422562753</v>
      </c>
      <c r="M61" s="180">
        <v>0</v>
      </c>
      <c r="N61" s="178">
        <v>0</v>
      </c>
      <c r="O61" s="181" t="s">
        <v>882</v>
      </c>
      <c r="P61" s="180">
        <v>0</v>
      </c>
      <c r="Q61" s="182">
        <v>0</v>
      </c>
      <c r="R61" s="183" t="s">
        <v>883</v>
      </c>
      <c r="S61" s="174" t="s">
        <v>964</v>
      </c>
      <c r="T61" s="44">
        <v>1</v>
      </c>
      <c r="U61" s="184">
        <v>61</v>
      </c>
      <c r="V61" s="185">
        <v>8</v>
      </c>
      <c r="W61" s="186">
        <v>2453</v>
      </c>
      <c r="X61" s="187">
        <v>2023</v>
      </c>
      <c r="Y61" s="188">
        <v>100</v>
      </c>
      <c r="Z61" s="188" t="s">
        <v>883</v>
      </c>
      <c r="AA61" s="187" t="s">
        <v>883</v>
      </c>
      <c r="AB61" s="188">
        <v>0</v>
      </c>
      <c r="AC61" s="188"/>
      <c r="AD61" s="189" t="s">
        <v>883</v>
      </c>
      <c r="AE61" s="190" t="s">
        <v>883</v>
      </c>
      <c r="AF61" s="180">
        <v>122</v>
      </c>
      <c r="AG61" s="183">
        <v>43805</v>
      </c>
      <c r="AH61" s="183" t="s">
        <v>883</v>
      </c>
      <c r="AI61" s="183">
        <v>44533</v>
      </c>
      <c r="AJ61" s="183" t="s">
        <v>883</v>
      </c>
      <c r="AK61" s="174"/>
    </row>
    <row r="62" spans="1:37" x14ac:dyDescent="0.3">
      <c r="A62" s="173">
        <v>13087</v>
      </c>
      <c r="B62" s="174" t="s">
        <v>997</v>
      </c>
      <c r="C62" s="175" t="s">
        <v>569</v>
      </c>
      <c r="D62" s="176">
        <v>1.3</v>
      </c>
      <c r="E62" s="174"/>
      <c r="F62" s="174"/>
      <c r="G62" s="174" t="s">
        <v>883</v>
      </c>
      <c r="H62" s="177">
        <v>222</v>
      </c>
      <c r="I62" s="24">
        <v>103003</v>
      </c>
      <c r="J62" s="178">
        <v>1.3</v>
      </c>
      <c r="K62" s="177">
        <v>55</v>
      </c>
      <c r="L62" s="179">
        <v>48.471615720524014</v>
      </c>
      <c r="M62" s="180">
        <v>0</v>
      </c>
      <c r="N62" s="178">
        <v>0</v>
      </c>
      <c r="O62" s="181" t="s">
        <v>882</v>
      </c>
      <c r="P62" s="180">
        <v>0</v>
      </c>
      <c r="Q62" s="182">
        <v>0</v>
      </c>
      <c r="R62" s="183" t="s">
        <v>883</v>
      </c>
      <c r="S62" s="174" t="s">
        <v>994</v>
      </c>
      <c r="T62" s="44">
        <v>1</v>
      </c>
      <c r="U62" s="184">
        <v>83</v>
      </c>
      <c r="V62" s="185">
        <v>2</v>
      </c>
      <c r="W62" s="186" t="s">
        <v>883</v>
      </c>
      <c r="X62" s="187" t="s">
        <v>883</v>
      </c>
      <c r="Y62" s="188">
        <v>0</v>
      </c>
      <c r="Z62" s="188" t="s">
        <v>883</v>
      </c>
      <c r="AA62" s="187" t="s">
        <v>883</v>
      </c>
      <c r="AB62" s="188">
        <v>0</v>
      </c>
      <c r="AC62" s="188"/>
      <c r="AD62" s="189" t="s">
        <v>883</v>
      </c>
      <c r="AE62" s="190" t="s">
        <v>883</v>
      </c>
      <c r="AF62" s="180">
        <v>18</v>
      </c>
      <c r="AG62" s="183">
        <v>44067</v>
      </c>
      <c r="AH62" s="183" t="s">
        <v>883</v>
      </c>
      <c r="AI62" s="183">
        <v>44922</v>
      </c>
      <c r="AJ62" s="183" t="s">
        <v>883</v>
      </c>
      <c r="AK62" s="174"/>
    </row>
    <row r="63" spans="1:37" x14ac:dyDescent="0.3">
      <c r="A63" s="173">
        <v>13088</v>
      </c>
      <c r="B63" s="174" t="s">
        <v>998</v>
      </c>
      <c r="C63" s="175" t="s">
        <v>569</v>
      </c>
      <c r="D63" s="176">
        <v>1.2</v>
      </c>
      <c r="E63" s="174"/>
      <c r="F63" s="174"/>
      <c r="G63" s="174" t="s">
        <v>883</v>
      </c>
      <c r="H63" s="177">
        <v>0</v>
      </c>
      <c r="I63" s="24">
        <v>103003</v>
      </c>
      <c r="J63" s="178">
        <v>1.2</v>
      </c>
      <c r="K63" s="177">
        <v>44</v>
      </c>
      <c r="L63" s="179">
        <v>0</v>
      </c>
      <c r="M63" s="180">
        <v>0</v>
      </c>
      <c r="N63" s="178">
        <v>0</v>
      </c>
      <c r="O63" s="181" t="s">
        <v>882</v>
      </c>
      <c r="P63" s="180">
        <v>0</v>
      </c>
      <c r="Q63" s="182">
        <v>0</v>
      </c>
      <c r="R63" s="183" t="s">
        <v>883</v>
      </c>
      <c r="S63" s="174" t="s">
        <v>994</v>
      </c>
      <c r="T63" s="44">
        <v>1</v>
      </c>
      <c r="U63" s="184">
        <v>83</v>
      </c>
      <c r="V63" s="185">
        <v>2</v>
      </c>
      <c r="W63" s="186">
        <v>2516</v>
      </c>
      <c r="X63" s="187">
        <v>2023</v>
      </c>
      <c r="Y63" s="188">
        <v>50</v>
      </c>
      <c r="Z63" s="188" t="s">
        <v>883</v>
      </c>
      <c r="AA63" s="187" t="s">
        <v>883</v>
      </c>
      <c r="AB63" s="188">
        <v>0</v>
      </c>
      <c r="AC63" s="188"/>
      <c r="AD63" s="189" t="s">
        <v>883</v>
      </c>
      <c r="AE63" s="190" t="s">
        <v>883</v>
      </c>
      <c r="AF63" s="180">
        <v>14</v>
      </c>
      <c r="AG63" s="183">
        <v>43336</v>
      </c>
      <c r="AH63" s="183" t="s">
        <v>883</v>
      </c>
      <c r="AI63" s="183">
        <v>44922</v>
      </c>
      <c r="AJ63" s="183" t="s">
        <v>883</v>
      </c>
      <c r="AK63" s="174"/>
    </row>
    <row r="64" spans="1:37" x14ac:dyDescent="0.3">
      <c r="A64" s="173">
        <v>13091</v>
      </c>
      <c r="B64" s="174" t="s">
        <v>999</v>
      </c>
      <c r="C64" s="175" t="s">
        <v>569</v>
      </c>
      <c r="D64" s="176">
        <v>0.95</v>
      </c>
      <c r="E64" s="174"/>
      <c r="F64" s="174"/>
      <c r="G64" s="174" t="s">
        <v>883</v>
      </c>
      <c r="H64" s="177">
        <v>0</v>
      </c>
      <c r="I64" s="24">
        <v>103003</v>
      </c>
      <c r="J64" s="178">
        <v>0.95</v>
      </c>
      <c r="K64" s="177">
        <v>2323</v>
      </c>
      <c r="L64" s="179">
        <v>0</v>
      </c>
      <c r="M64" s="180">
        <v>322.95999999999998</v>
      </c>
      <c r="N64" s="178">
        <v>306.81200000000001</v>
      </c>
      <c r="O64" s="181" t="s">
        <v>882</v>
      </c>
      <c r="P64" s="180">
        <v>0</v>
      </c>
      <c r="Q64" s="182">
        <v>0</v>
      </c>
      <c r="R64" s="183" t="s">
        <v>883</v>
      </c>
      <c r="S64" s="174" t="s">
        <v>911</v>
      </c>
      <c r="T64" s="44">
        <v>1</v>
      </c>
      <c r="U64" s="184">
        <v>45</v>
      </c>
      <c r="V64" s="185">
        <v>14</v>
      </c>
      <c r="W64" s="186">
        <v>7338</v>
      </c>
      <c r="X64" s="187">
        <v>2023</v>
      </c>
      <c r="Y64" s="188">
        <v>2000</v>
      </c>
      <c r="Z64" s="188" t="s">
        <v>883</v>
      </c>
      <c r="AA64" s="187" t="s">
        <v>883</v>
      </c>
      <c r="AB64" s="188">
        <v>0</v>
      </c>
      <c r="AC64" s="188"/>
      <c r="AD64" s="189" t="s">
        <v>883</v>
      </c>
      <c r="AE64" s="190" t="s">
        <v>883</v>
      </c>
      <c r="AF64" s="180">
        <v>774</v>
      </c>
      <c r="AG64" s="183">
        <v>44952</v>
      </c>
      <c r="AH64" s="183" t="s">
        <v>883</v>
      </c>
      <c r="AI64" s="183">
        <v>44999</v>
      </c>
      <c r="AJ64" s="183" t="s">
        <v>883</v>
      </c>
      <c r="AK64" s="174"/>
    </row>
    <row r="65" spans="1:37" x14ac:dyDescent="0.3">
      <c r="A65" s="173">
        <v>13092</v>
      </c>
      <c r="B65" s="174" t="s">
        <v>1000</v>
      </c>
      <c r="C65" s="175" t="s">
        <v>256</v>
      </c>
      <c r="D65" s="176">
        <v>13.5</v>
      </c>
      <c r="E65" s="174"/>
      <c r="F65" s="174"/>
      <c r="G65" s="174" t="s">
        <v>883</v>
      </c>
      <c r="H65" s="177">
        <v>200</v>
      </c>
      <c r="I65" s="24">
        <v>103003</v>
      </c>
      <c r="J65" s="178">
        <v>13.5</v>
      </c>
      <c r="K65" s="177">
        <v>35</v>
      </c>
      <c r="L65" s="179">
        <v>64.935064935064943</v>
      </c>
      <c r="M65" s="180">
        <v>0</v>
      </c>
      <c r="N65" s="178">
        <v>0</v>
      </c>
      <c r="O65" s="181" t="s">
        <v>882</v>
      </c>
      <c r="P65" s="180">
        <v>0</v>
      </c>
      <c r="Q65" s="182">
        <v>0</v>
      </c>
      <c r="R65" s="183" t="s">
        <v>883</v>
      </c>
      <c r="S65" s="174" t="s">
        <v>1001</v>
      </c>
      <c r="T65" s="44">
        <v>1</v>
      </c>
      <c r="U65" s="184">
        <v>61</v>
      </c>
      <c r="V65" s="185">
        <v>11</v>
      </c>
      <c r="W65" s="186" t="s">
        <v>883</v>
      </c>
      <c r="X65" s="187" t="s">
        <v>883</v>
      </c>
      <c r="Y65" s="188">
        <v>0</v>
      </c>
      <c r="Z65" s="188" t="s">
        <v>883</v>
      </c>
      <c r="AA65" s="187" t="s">
        <v>883</v>
      </c>
      <c r="AB65" s="188">
        <v>0</v>
      </c>
      <c r="AC65" s="188"/>
      <c r="AD65" s="189" t="s">
        <v>883</v>
      </c>
      <c r="AE65" s="190" t="s">
        <v>883</v>
      </c>
      <c r="AF65" s="180">
        <v>12</v>
      </c>
      <c r="AG65" s="183">
        <v>44533</v>
      </c>
      <c r="AH65" s="183" t="s">
        <v>883</v>
      </c>
      <c r="AI65" s="183">
        <v>44522</v>
      </c>
      <c r="AJ65" s="183" t="s">
        <v>883</v>
      </c>
      <c r="AK65" s="174"/>
    </row>
    <row r="66" spans="1:37" x14ac:dyDescent="0.3">
      <c r="A66" s="173">
        <v>13094</v>
      </c>
      <c r="B66" s="174" t="s">
        <v>1002</v>
      </c>
      <c r="C66" s="175" t="s">
        <v>256</v>
      </c>
      <c r="D66" s="176">
        <v>3.32</v>
      </c>
      <c r="E66" s="174"/>
      <c r="F66" s="174"/>
      <c r="G66" s="174" t="s">
        <v>883</v>
      </c>
      <c r="H66" s="177">
        <v>323</v>
      </c>
      <c r="I66" s="24">
        <v>103003</v>
      </c>
      <c r="J66" s="178">
        <v>3.32</v>
      </c>
      <c r="K66" s="177">
        <v>608</v>
      </c>
      <c r="L66" s="179">
        <v>5.3609958506224062</v>
      </c>
      <c r="M66" s="180">
        <v>300</v>
      </c>
      <c r="N66" s="178">
        <v>996</v>
      </c>
      <c r="O66" s="181" t="s">
        <v>882</v>
      </c>
      <c r="P66" s="180">
        <v>0</v>
      </c>
      <c r="Q66" s="182">
        <v>0</v>
      </c>
      <c r="R66" s="183" t="s">
        <v>883</v>
      </c>
      <c r="S66" s="174" t="s">
        <v>1003</v>
      </c>
      <c r="T66" s="44">
        <v>1</v>
      </c>
      <c r="U66" s="184">
        <v>51</v>
      </c>
      <c r="V66" s="185">
        <v>11</v>
      </c>
      <c r="W66" s="186">
        <v>2980</v>
      </c>
      <c r="X66" s="187">
        <v>2023</v>
      </c>
      <c r="Y66" s="188">
        <v>100</v>
      </c>
      <c r="Z66" s="188" t="s">
        <v>883</v>
      </c>
      <c r="AA66" s="187" t="s">
        <v>883</v>
      </c>
      <c r="AB66" s="188">
        <v>0</v>
      </c>
      <c r="AC66" s="188"/>
      <c r="AD66" s="189" t="s">
        <v>883</v>
      </c>
      <c r="AE66" s="190" t="s">
        <v>883</v>
      </c>
      <c r="AF66" s="180">
        <v>242</v>
      </c>
      <c r="AG66" s="183">
        <v>44602</v>
      </c>
      <c r="AH66" s="183" t="s">
        <v>883</v>
      </c>
      <c r="AI66" s="183">
        <v>44592</v>
      </c>
      <c r="AJ66" s="183" t="s">
        <v>883</v>
      </c>
      <c r="AK66" s="174"/>
    </row>
    <row r="67" spans="1:37" x14ac:dyDescent="0.3">
      <c r="A67" s="173">
        <v>13095</v>
      </c>
      <c r="B67" s="174" t="s">
        <v>1004</v>
      </c>
      <c r="C67" s="175" t="s">
        <v>256</v>
      </c>
      <c r="D67" s="176">
        <v>8.41</v>
      </c>
      <c r="E67" s="174"/>
      <c r="F67" s="174"/>
      <c r="G67" s="174" t="s">
        <v>883</v>
      </c>
      <c r="H67" s="177">
        <v>152</v>
      </c>
      <c r="I67" s="24">
        <v>103003</v>
      </c>
      <c r="J67" s="178">
        <v>8.41</v>
      </c>
      <c r="K67" s="177">
        <v>90</v>
      </c>
      <c r="L67" s="179">
        <v>17.531718569780853</v>
      </c>
      <c r="M67" s="180">
        <v>0</v>
      </c>
      <c r="N67" s="178">
        <v>0</v>
      </c>
      <c r="O67" s="181" t="s">
        <v>882</v>
      </c>
      <c r="P67" s="180">
        <v>0</v>
      </c>
      <c r="Q67" s="182">
        <v>0</v>
      </c>
      <c r="R67" s="183" t="s">
        <v>883</v>
      </c>
      <c r="S67" s="174" t="s">
        <v>964</v>
      </c>
      <c r="T67" s="44">
        <v>1</v>
      </c>
      <c r="U67" s="184">
        <v>61</v>
      </c>
      <c r="V67" s="185">
        <v>8</v>
      </c>
      <c r="W67" s="186">
        <v>2522</v>
      </c>
      <c r="X67" s="187">
        <v>2023</v>
      </c>
      <c r="Y67" s="188">
        <v>100</v>
      </c>
      <c r="Z67" s="188" t="s">
        <v>883</v>
      </c>
      <c r="AA67" s="187" t="s">
        <v>883</v>
      </c>
      <c r="AB67" s="188">
        <v>0</v>
      </c>
      <c r="AC67" s="188"/>
      <c r="AD67" s="189" t="s">
        <v>883</v>
      </c>
      <c r="AE67" s="190" t="s">
        <v>883</v>
      </c>
      <c r="AF67" s="180">
        <v>34</v>
      </c>
      <c r="AG67" s="183">
        <v>44573</v>
      </c>
      <c r="AH67" s="183" t="s">
        <v>883</v>
      </c>
      <c r="AI67" s="183">
        <v>44522</v>
      </c>
      <c r="AJ67" s="183" t="s">
        <v>883</v>
      </c>
      <c r="AK67" s="174"/>
    </row>
    <row r="68" spans="1:37" x14ac:dyDescent="0.3">
      <c r="A68" s="173">
        <v>13101</v>
      </c>
      <c r="B68" s="174" t="s">
        <v>1005</v>
      </c>
      <c r="C68" s="175" t="s">
        <v>569</v>
      </c>
      <c r="D68" s="176">
        <v>2.5</v>
      </c>
      <c r="E68" s="174"/>
      <c r="F68" s="174"/>
      <c r="G68" s="174" t="s">
        <v>883</v>
      </c>
      <c r="H68" s="177">
        <v>45</v>
      </c>
      <c r="I68" s="24">
        <v>103003</v>
      </c>
      <c r="J68" s="178">
        <v>2.5</v>
      </c>
      <c r="K68" s="177">
        <v>96</v>
      </c>
      <c r="L68" s="179">
        <v>5.5693069306930694</v>
      </c>
      <c r="M68" s="180">
        <v>1.96</v>
      </c>
      <c r="N68" s="178">
        <v>4.9000000000000004</v>
      </c>
      <c r="O68" s="181" t="s">
        <v>882</v>
      </c>
      <c r="P68" s="180">
        <v>0</v>
      </c>
      <c r="Q68" s="182">
        <v>0</v>
      </c>
      <c r="R68" s="183" t="s">
        <v>883</v>
      </c>
      <c r="S68" s="174" t="s">
        <v>994</v>
      </c>
      <c r="T68" s="44">
        <v>1</v>
      </c>
      <c r="U68" s="184">
        <v>83</v>
      </c>
      <c r="V68" s="185">
        <v>2</v>
      </c>
      <c r="W68" s="186">
        <v>2995</v>
      </c>
      <c r="X68" s="187">
        <v>2023</v>
      </c>
      <c r="Y68" s="188">
        <v>50</v>
      </c>
      <c r="Z68" s="188" t="s">
        <v>883</v>
      </c>
      <c r="AA68" s="187" t="s">
        <v>883</v>
      </c>
      <c r="AB68" s="188">
        <v>0</v>
      </c>
      <c r="AC68" s="188"/>
      <c r="AD68" s="189" t="s">
        <v>883</v>
      </c>
      <c r="AE68" s="190" t="s">
        <v>883</v>
      </c>
      <c r="AF68" s="180">
        <v>32</v>
      </c>
      <c r="AG68" s="183">
        <v>43748</v>
      </c>
      <c r="AH68" s="183" t="s">
        <v>883</v>
      </c>
      <c r="AI68" s="183">
        <v>45096</v>
      </c>
      <c r="AJ68" s="183" t="s">
        <v>883</v>
      </c>
      <c r="AK68" s="174"/>
    </row>
    <row r="69" spans="1:37" x14ac:dyDescent="0.3">
      <c r="A69" s="173">
        <v>13102</v>
      </c>
      <c r="B69" s="174" t="s">
        <v>1006</v>
      </c>
      <c r="C69" s="175" t="s">
        <v>256</v>
      </c>
      <c r="D69" s="176">
        <v>2.75</v>
      </c>
      <c r="E69" s="174"/>
      <c r="F69" s="174"/>
      <c r="G69" s="174" t="s">
        <v>883</v>
      </c>
      <c r="H69" s="177">
        <v>4</v>
      </c>
      <c r="I69" s="24">
        <v>103003</v>
      </c>
      <c r="J69" s="178">
        <v>2.75</v>
      </c>
      <c r="K69" s="177">
        <v>26</v>
      </c>
      <c r="L69" s="179">
        <v>1.8433179723502304</v>
      </c>
      <c r="M69" s="180">
        <v>2.04</v>
      </c>
      <c r="N69" s="178">
        <v>5.61</v>
      </c>
      <c r="O69" s="181" t="s">
        <v>882</v>
      </c>
      <c r="P69" s="180">
        <v>0</v>
      </c>
      <c r="Q69" s="182">
        <v>0</v>
      </c>
      <c r="R69" s="183" t="s">
        <v>883</v>
      </c>
      <c r="S69" s="174" t="s">
        <v>964</v>
      </c>
      <c r="T69" s="44">
        <v>1</v>
      </c>
      <c r="U69" s="184">
        <v>61</v>
      </c>
      <c r="V69" s="185">
        <v>8</v>
      </c>
      <c r="W69" s="186">
        <v>2453</v>
      </c>
      <c r="X69" s="187">
        <v>2023</v>
      </c>
      <c r="Y69" s="188">
        <v>20</v>
      </c>
      <c r="Z69" s="188" t="s">
        <v>883</v>
      </c>
      <c r="AA69" s="187" t="s">
        <v>883</v>
      </c>
      <c r="AB69" s="188">
        <v>0</v>
      </c>
      <c r="AC69" s="188"/>
      <c r="AD69" s="189" t="s">
        <v>883</v>
      </c>
      <c r="AE69" s="190" t="s">
        <v>883</v>
      </c>
      <c r="AF69" s="180">
        <v>8</v>
      </c>
      <c r="AG69" s="183">
        <v>39763</v>
      </c>
      <c r="AH69" s="183" t="s">
        <v>883</v>
      </c>
      <c r="AI69" s="183">
        <v>42153</v>
      </c>
      <c r="AJ69" s="183" t="s">
        <v>883</v>
      </c>
      <c r="AK69" s="174"/>
    </row>
    <row r="70" spans="1:37" x14ac:dyDescent="0.3">
      <c r="A70" s="173">
        <v>13109</v>
      </c>
      <c r="B70" s="174" t="s">
        <v>1007</v>
      </c>
      <c r="C70" s="175" t="s">
        <v>569</v>
      </c>
      <c r="D70" s="176">
        <v>1.66</v>
      </c>
      <c r="E70" s="174"/>
      <c r="F70" s="174"/>
      <c r="G70" s="174" t="s">
        <v>883</v>
      </c>
      <c r="H70" s="177">
        <v>0</v>
      </c>
      <c r="I70" s="24">
        <v>103003</v>
      </c>
      <c r="J70" s="178">
        <v>1.66</v>
      </c>
      <c r="K70" s="177">
        <v>277</v>
      </c>
      <c r="L70" s="179">
        <v>0</v>
      </c>
      <c r="M70" s="180">
        <v>0</v>
      </c>
      <c r="N70" s="178">
        <v>0</v>
      </c>
      <c r="O70" s="181" t="s">
        <v>882</v>
      </c>
      <c r="P70" s="180">
        <v>0</v>
      </c>
      <c r="Q70" s="182">
        <v>0</v>
      </c>
      <c r="R70" s="183" t="s">
        <v>883</v>
      </c>
      <c r="S70" s="174" t="s">
        <v>994</v>
      </c>
      <c r="T70" s="44">
        <v>1</v>
      </c>
      <c r="U70" s="184">
        <v>83</v>
      </c>
      <c r="V70" s="185">
        <v>2</v>
      </c>
      <c r="W70" s="186">
        <v>2222</v>
      </c>
      <c r="X70" s="187">
        <v>2023</v>
      </c>
      <c r="Y70" s="188">
        <v>600</v>
      </c>
      <c r="Z70" s="188" t="s">
        <v>883</v>
      </c>
      <c r="AA70" s="187" t="s">
        <v>883</v>
      </c>
      <c r="AB70" s="188">
        <v>0</v>
      </c>
      <c r="AC70" s="188"/>
      <c r="AD70" s="189" t="s">
        <v>883</v>
      </c>
      <c r="AE70" s="190" t="s">
        <v>883</v>
      </c>
      <c r="AF70" s="180">
        <v>96</v>
      </c>
      <c r="AG70" s="183">
        <v>44211</v>
      </c>
      <c r="AH70" s="183" t="s">
        <v>883</v>
      </c>
      <c r="AI70" s="183">
        <v>44438</v>
      </c>
      <c r="AJ70" s="183" t="s">
        <v>883</v>
      </c>
      <c r="AK70" s="174"/>
    </row>
    <row r="71" spans="1:37" x14ac:dyDescent="0.3">
      <c r="A71" s="173">
        <v>13116</v>
      </c>
      <c r="B71" s="174" t="s">
        <v>1008</v>
      </c>
      <c r="C71" s="175" t="s">
        <v>256</v>
      </c>
      <c r="D71" s="176">
        <v>59.9</v>
      </c>
      <c r="E71" s="174"/>
      <c r="F71" s="174"/>
      <c r="G71" s="174" t="s">
        <v>883</v>
      </c>
      <c r="H71" s="177">
        <v>40</v>
      </c>
      <c r="I71" s="24">
        <v>103003</v>
      </c>
      <c r="J71" s="178">
        <v>59.9</v>
      </c>
      <c r="K71" s="177">
        <v>29</v>
      </c>
      <c r="L71" s="179">
        <v>16.528925619834713</v>
      </c>
      <c r="M71" s="180">
        <v>0</v>
      </c>
      <c r="N71" s="178">
        <v>0</v>
      </c>
      <c r="O71" s="181" t="s">
        <v>882</v>
      </c>
      <c r="P71" s="180">
        <v>0</v>
      </c>
      <c r="Q71" s="182">
        <v>0</v>
      </c>
      <c r="R71" s="183" t="s">
        <v>883</v>
      </c>
      <c r="S71" s="174" t="s">
        <v>1009</v>
      </c>
      <c r="T71" s="44">
        <v>1</v>
      </c>
      <c r="U71" s="184">
        <v>61</v>
      </c>
      <c r="V71" s="185">
        <v>15</v>
      </c>
      <c r="W71" s="186" t="s">
        <v>883</v>
      </c>
      <c r="X71" s="187" t="s">
        <v>883</v>
      </c>
      <c r="Y71" s="188">
        <v>0</v>
      </c>
      <c r="Z71" s="188" t="s">
        <v>883</v>
      </c>
      <c r="AA71" s="187" t="s">
        <v>883</v>
      </c>
      <c r="AB71" s="188">
        <v>0</v>
      </c>
      <c r="AC71" s="188"/>
      <c r="AD71" s="189" t="s">
        <v>883</v>
      </c>
      <c r="AE71" s="190" t="s">
        <v>883</v>
      </c>
      <c r="AF71" s="180">
        <v>10</v>
      </c>
      <c r="AG71" s="183">
        <v>43416</v>
      </c>
      <c r="AH71" s="183" t="s">
        <v>883</v>
      </c>
      <c r="AI71" s="183">
        <v>44985</v>
      </c>
      <c r="AJ71" s="183" t="s">
        <v>883</v>
      </c>
      <c r="AK71" s="174"/>
    </row>
    <row r="72" spans="1:37" x14ac:dyDescent="0.3">
      <c r="A72" s="173">
        <v>13117</v>
      </c>
      <c r="B72" s="174" t="s">
        <v>1010</v>
      </c>
      <c r="C72" s="175" t="s">
        <v>256</v>
      </c>
      <c r="D72" s="176">
        <v>30</v>
      </c>
      <c r="E72" s="174"/>
      <c r="F72" s="174"/>
      <c r="G72" s="174" t="s">
        <v>883</v>
      </c>
      <c r="H72" s="177">
        <v>104</v>
      </c>
      <c r="I72" s="24">
        <v>103003</v>
      </c>
      <c r="J72" s="178">
        <v>30</v>
      </c>
      <c r="K72" s="177">
        <v>37</v>
      </c>
      <c r="L72" s="179">
        <v>28.337874659400544</v>
      </c>
      <c r="M72" s="180">
        <v>0</v>
      </c>
      <c r="N72" s="178">
        <v>0</v>
      </c>
      <c r="O72" s="181" t="s">
        <v>882</v>
      </c>
      <c r="P72" s="180">
        <v>0</v>
      </c>
      <c r="Q72" s="182">
        <v>0</v>
      </c>
      <c r="R72" s="183" t="s">
        <v>883</v>
      </c>
      <c r="S72" s="174" t="s">
        <v>1009</v>
      </c>
      <c r="T72" s="44">
        <v>1</v>
      </c>
      <c r="U72" s="184">
        <v>61</v>
      </c>
      <c r="V72" s="185">
        <v>15</v>
      </c>
      <c r="W72" s="186" t="s">
        <v>883</v>
      </c>
      <c r="X72" s="187" t="s">
        <v>883</v>
      </c>
      <c r="Y72" s="188">
        <v>0</v>
      </c>
      <c r="Z72" s="188" t="s">
        <v>883</v>
      </c>
      <c r="AA72" s="187" t="s">
        <v>883</v>
      </c>
      <c r="AB72" s="188">
        <v>0</v>
      </c>
      <c r="AC72" s="188"/>
      <c r="AD72" s="189" t="s">
        <v>883</v>
      </c>
      <c r="AE72" s="190" t="s">
        <v>883</v>
      </c>
      <c r="AF72" s="180">
        <v>14</v>
      </c>
      <c r="AG72" s="183">
        <v>44144</v>
      </c>
      <c r="AH72" s="183" t="s">
        <v>883</v>
      </c>
      <c r="AI72" s="183">
        <v>44946</v>
      </c>
      <c r="AJ72" s="183" t="s">
        <v>883</v>
      </c>
      <c r="AK72" s="174"/>
    </row>
    <row r="73" spans="1:37" x14ac:dyDescent="0.3">
      <c r="A73" s="173">
        <v>13120</v>
      </c>
      <c r="B73" s="174" t="s">
        <v>1011</v>
      </c>
      <c r="C73" s="175" t="s">
        <v>256</v>
      </c>
      <c r="D73" s="176">
        <v>24</v>
      </c>
      <c r="E73" s="174"/>
      <c r="F73" s="174"/>
      <c r="G73" s="174" t="s">
        <v>883</v>
      </c>
      <c r="H73" s="177">
        <v>54</v>
      </c>
      <c r="I73" s="24">
        <v>103003</v>
      </c>
      <c r="J73" s="178">
        <v>24</v>
      </c>
      <c r="K73" s="177">
        <v>26</v>
      </c>
      <c r="L73" s="179">
        <v>23.175965665236053</v>
      </c>
      <c r="M73" s="180">
        <v>0</v>
      </c>
      <c r="N73" s="178">
        <v>0</v>
      </c>
      <c r="O73" s="181" t="s">
        <v>882</v>
      </c>
      <c r="P73" s="180">
        <v>0</v>
      </c>
      <c r="Q73" s="182">
        <v>0</v>
      </c>
      <c r="R73" s="183" t="s">
        <v>883</v>
      </c>
      <c r="S73" s="174" t="s">
        <v>1009</v>
      </c>
      <c r="T73" s="44">
        <v>1</v>
      </c>
      <c r="U73" s="184">
        <v>61</v>
      </c>
      <c r="V73" s="185">
        <v>15</v>
      </c>
      <c r="W73" s="186" t="s">
        <v>883</v>
      </c>
      <c r="X73" s="187" t="s">
        <v>883</v>
      </c>
      <c r="Y73" s="188">
        <v>0</v>
      </c>
      <c r="Z73" s="188" t="s">
        <v>883</v>
      </c>
      <c r="AA73" s="187" t="s">
        <v>883</v>
      </c>
      <c r="AB73" s="188">
        <v>0</v>
      </c>
      <c r="AC73" s="188"/>
      <c r="AD73" s="189" t="s">
        <v>883</v>
      </c>
      <c r="AE73" s="190" t="s">
        <v>883</v>
      </c>
      <c r="AF73" s="180">
        <v>10</v>
      </c>
      <c r="AG73" s="183">
        <v>44174</v>
      </c>
      <c r="AH73" s="183" t="s">
        <v>883</v>
      </c>
      <c r="AI73" s="183">
        <v>44133</v>
      </c>
      <c r="AJ73" s="183" t="s">
        <v>883</v>
      </c>
      <c r="AK73" s="174"/>
    </row>
    <row r="74" spans="1:37" x14ac:dyDescent="0.3">
      <c r="A74" s="173">
        <v>13161</v>
      </c>
      <c r="B74" s="174" t="s">
        <v>1012</v>
      </c>
      <c r="C74" s="175" t="s">
        <v>256</v>
      </c>
      <c r="D74" s="176">
        <v>23.84</v>
      </c>
      <c r="E74" s="174"/>
      <c r="F74" s="174"/>
      <c r="G74" s="174" t="s">
        <v>883</v>
      </c>
      <c r="H74" s="177">
        <v>106</v>
      </c>
      <c r="I74" s="24">
        <v>103003</v>
      </c>
      <c r="J74" s="178">
        <v>23.84</v>
      </c>
      <c r="K74" s="177">
        <v>238</v>
      </c>
      <c r="L74" s="179">
        <v>4.4019933554817277</v>
      </c>
      <c r="M74" s="180">
        <v>132.96</v>
      </c>
      <c r="N74" s="178">
        <v>3169.7664</v>
      </c>
      <c r="O74" s="181" t="s">
        <v>882</v>
      </c>
      <c r="P74" s="180">
        <v>0</v>
      </c>
      <c r="Q74" s="182">
        <v>0</v>
      </c>
      <c r="R74" s="183" t="s">
        <v>883</v>
      </c>
      <c r="S74" s="174" t="s">
        <v>1013</v>
      </c>
      <c r="T74" s="44">
        <v>1</v>
      </c>
      <c r="U74" s="184">
        <v>61</v>
      </c>
      <c r="V74" s="185">
        <v>14</v>
      </c>
      <c r="W74" s="186">
        <v>2960</v>
      </c>
      <c r="X74" s="187">
        <v>2023</v>
      </c>
      <c r="Y74" s="188">
        <v>50</v>
      </c>
      <c r="Z74" s="188" t="s">
        <v>883</v>
      </c>
      <c r="AA74" s="187" t="s">
        <v>883</v>
      </c>
      <c r="AB74" s="188">
        <v>0</v>
      </c>
      <c r="AC74" s="188"/>
      <c r="AD74" s="189" t="s">
        <v>883</v>
      </c>
      <c r="AE74" s="190" t="s">
        <v>883</v>
      </c>
      <c r="AF74" s="180">
        <v>96</v>
      </c>
      <c r="AG74" s="183">
        <v>44609</v>
      </c>
      <c r="AH74" s="183" t="s">
        <v>883</v>
      </c>
      <c r="AI74" s="183">
        <v>44942</v>
      </c>
      <c r="AJ74" s="183" t="s">
        <v>883</v>
      </c>
      <c r="AK74" s="174"/>
    </row>
    <row r="75" spans="1:37" x14ac:dyDescent="0.3">
      <c r="A75" s="173">
        <v>13165</v>
      </c>
      <c r="B75" s="174" t="s">
        <v>1014</v>
      </c>
      <c r="C75" s="175" t="s">
        <v>256</v>
      </c>
      <c r="D75" s="176">
        <v>25.4</v>
      </c>
      <c r="E75" s="174"/>
      <c r="F75" s="174"/>
      <c r="G75" s="174" t="s">
        <v>883</v>
      </c>
      <c r="H75" s="177">
        <v>132</v>
      </c>
      <c r="I75" s="24">
        <v>103003</v>
      </c>
      <c r="J75" s="178">
        <v>25.4</v>
      </c>
      <c r="K75" s="177">
        <v>356</v>
      </c>
      <c r="L75" s="179">
        <v>2.9716343989194058</v>
      </c>
      <c r="M75" s="180">
        <v>301.04000000000002</v>
      </c>
      <c r="N75" s="178">
        <v>7646.4160000000002</v>
      </c>
      <c r="O75" s="181" t="s">
        <v>882</v>
      </c>
      <c r="P75" s="180">
        <v>0</v>
      </c>
      <c r="Q75" s="182">
        <v>0</v>
      </c>
      <c r="R75" s="183" t="s">
        <v>883</v>
      </c>
      <c r="S75" s="174" t="s">
        <v>1013</v>
      </c>
      <c r="T75" s="44">
        <v>1</v>
      </c>
      <c r="U75" s="184">
        <v>61</v>
      </c>
      <c r="V75" s="185">
        <v>14</v>
      </c>
      <c r="W75" s="186">
        <v>2555</v>
      </c>
      <c r="X75" s="187">
        <v>2023</v>
      </c>
      <c r="Y75" s="188">
        <v>100</v>
      </c>
      <c r="Z75" s="188" t="s">
        <v>883</v>
      </c>
      <c r="AA75" s="187" t="s">
        <v>883</v>
      </c>
      <c r="AB75" s="188">
        <v>0</v>
      </c>
      <c r="AC75" s="188"/>
      <c r="AD75" s="189" t="s">
        <v>883</v>
      </c>
      <c r="AE75" s="190" t="s">
        <v>883</v>
      </c>
      <c r="AF75" s="180">
        <v>178</v>
      </c>
      <c r="AG75" s="183">
        <v>44946</v>
      </c>
      <c r="AH75" s="183" t="s">
        <v>883</v>
      </c>
      <c r="AI75" s="183">
        <v>44942</v>
      </c>
      <c r="AJ75" s="183" t="s">
        <v>883</v>
      </c>
      <c r="AK75" s="174"/>
    </row>
    <row r="76" spans="1:37" x14ac:dyDescent="0.3">
      <c r="A76" s="173">
        <v>13178</v>
      </c>
      <c r="B76" s="174" t="s">
        <v>1015</v>
      </c>
      <c r="C76" s="175" t="s">
        <v>256</v>
      </c>
      <c r="D76" s="176">
        <v>0.03</v>
      </c>
      <c r="E76" s="174"/>
      <c r="F76" s="174"/>
      <c r="G76" s="174" t="s">
        <v>883</v>
      </c>
      <c r="H76" s="177">
        <v>0</v>
      </c>
      <c r="I76" s="24">
        <v>103003</v>
      </c>
      <c r="J76" s="178">
        <v>0.03</v>
      </c>
      <c r="K76" s="177">
        <v>15133</v>
      </c>
      <c r="L76" s="179">
        <v>0</v>
      </c>
      <c r="M76" s="180">
        <v>17343.04</v>
      </c>
      <c r="N76" s="178">
        <v>520.2912</v>
      </c>
      <c r="O76" s="181" t="s">
        <v>882</v>
      </c>
      <c r="P76" s="180">
        <v>0</v>
      </c>
      <c r="Q76" s="182">
        <v>0</v>
      </c>
      <c r="R76" s="183" t="s">
        <v>883</v>
      </c>
      <c r="S76" s="174" t="s">
        <v>1016</v>
      </c>
      <c r="T76" s="44">
        <v>1</v>
      </c>
      <c r="U76" s="184">
        <v>67</v>
      </c>
      <c r="V76" s="185">
        <v>9</v>
      </c>
      <c r="W76" s="186">
        <v>2483</v>
      </c>
      <c r="X76" s="187">
        <v>2023</v>
      </c>
      <c r="Y76" s="188">
        <v>2000</v>
      </c>
      <c r="Z76" s="188" t="s">
        <v>883</v>
      </c>
      <c r="AA76" s="187" t="s">
        <v>883</v>
      </c>
      <c r="AB76" s="188">
        <v>0</v>
      </c>
      <c r="AC76" s="188"/>
      <c r="AD76" s="189" t="s">
        <v>883</v>
      </c>
      <c r="AE76" s="190" t="s">
        <v>883</v>
      </c>
      <c r="AF76" s="180">
        <v>6448</v>
      </c>
      <c r="AG76" s="183">
        <v>44607</v>
      </c>
      <c r="AH76" s="183" t="s">
        <v>883</v>
      </c>
      <c r="AI76" s="183">
        <v>44592</v>
      </c>
      <c r="AJ76" s="183" t="s">
        <v>883</v>
      </c>
      <c r="AK76" s="174"/>
    </row>
    <row r="77" spans="1:37" x14ac:dyDescent="0.3">
      <c r="A77" s="173">
        <v>13179</v>
      </c>
      <c r="B77" s="174" t="s">
        <v>1017</v>
      </c>
      <c r="C77" s="175" t="s">
        <v>256</v>
      </c>
      <c r="D77" s="176">
        <v>0.03</v>
      </c>
      <c r="E77" s="174"/>
      <c r="F77" s="174"/>
      <c r="G77" s="174" t="s">
        <v>883</v>
      </c>
      <c r="H77" s="177">
        <v>2611</v>
      </c>
      <c r="I77" s="24">
        <v>103003</v>
      </c>
      <c r="J77" s="178">
        <v>0.03</v>
      </c>
      <c r="K77" s="177">
        <v>16696</v>
      </c>
      <c r="L77" s="179">
        <v>1.3583606028603088</v>
      </c>
      <c r="M77" s="180">
        <v>10455.040000000001</v>
      </c>
      <c r="N77" s="178">
        <v>313.65120000000002</v>
      </c>
      <c r="O77" s="181" t="s">
        <v>882</v>
      </c>
      <c r="P77" s="180">
        <v>0</v>
      </c>
      <c r="Q77" s="182">
        <v>0</v>
      </c>
      <c r="R77" s="183" t="s">
        <v>883</v>
      </c>
      <c r="S77" s="174" t="s">
        <v>1016</v>
      </c>
      <c r="T77" s="44">
        <v>1</v>
      </c>
      <c r="U77" s="184">
        <v>67</v>
      </c>
      <c r="V77" s="185">
        <v>9</v>
      </c>
      <c r="W77" s="186">
        <v>2483</v>
      </c>
      <c r="X77" s="187">
        <v>2023</v>
      </c>
      <c r="Y77" s="188">
        <v>10000</v>
      </c>
      <c r="Z77" s="188" t="s">
        <v>883</v>
      </c>
      <c r="AA77" s="187" t="s">
        <v>883</v>
      </c>
      <c r="AB77" s="188">
        <v>0</v>
      </c>
      <c r="AC77" s="188"/>
      <c r="AD77" s="189" t="s">
        <v>883</v>
      </c>
      <c r="AE77" s="190" t="s">
        <v>883</v>
      </c>
      <c r="AF77" s="180">
        <v>7688</v>
      </c>
      <c r="AG77" s="183">
        <v>44581</v>
      </c>
      <c r="AH77" s="183" t="s">
        <v>883</v>
      </c>
      <c r="AI77" s="183">
        <v>44547</v>
      </c>
      <c r="AJ77" s="183" t="s">
        <v>883</v>
      </c>
      <c r="AK77" s="174"/>
    </row>
    <row r="78" spans="1:37" x14ac:dyDescent="0.3">
      <c r="A78" s="173">
        <v>13180</v>
      </c>
      <c r="B78" s="174" t="s">
        <v>1018</v>
      </c>
      <c r="C78" s="175" t="s">
        <v>256</v>
      </c>
      <c r="D78" s="176">
        <v>16.899999999999999</v>
      </c>
      <c r="E78" s="174"/>
      <c r="F78" s="174"/>
      <c r="G78" s="174" t="s">
        <v>883</v>
      </c>
      <c r="H78" s="177">
        <v>0</v>
      </c>
      <c r="I78" s="24">
        <v>103003</v>
      </c>
      <c r="J78" s="178">
        <v>16.899999999999999</v>
      </c>
      <c r="K78" s="177">
        <v>425</v>
      </c>
      <c r="L78" s="179">
        <v>0</v>
      </c>
      <c r="M78" s="180">
        <v>138</v>
      </c>
      <c r="N78" s="178">
        <v>2332.1999999999998</v>
      </c>
      <c r="O78" s="181" t="s">
        <v>882</v>
      </c>
      <c r="P78" s="180">
        <v>0</v>
      </c>
      <c r="Q78" s="182">
        <v>0</v>
      </c>
      <c r="R78" s="183" t="s">
        <v>883</v>
      </c>
      <c r="S78" s="174" t="s">
        <v>1019</v>
      </c>
      <c r="T78" s="44">
        <v>1</v>
      </c>
      <c r="U78" s="184">
        <v>51</v>
      </c>
      <c r="V78" s="185">
        <v>12</v>
      </c>
      <c r="W78" s="186">
        <v>2980</v>
      </c>
      <c r="X78" s="187">
        <v>2023</v>
      </c>
      <c r="Y78" s="188">
        <v>300</v>
      </c>
      <c r="Z78" s="188" t="s">
        <v>883</v>
      </c>
      <c r="AA78" s="187" t="s">
        <v>883</v>
      </c>
      <c r="AB78" s="188">
        <v>0</v>
      </c>
      <c r="AC78" s="188"/>
      <c r="AD78" s="189" t="s">
        <v>883</v>
      </c>
      <c r="AE78" s="190" t="s">
        <v>883</v>
      </c>
      <c r="AF78" s="180">
        <v>146</v>
      </c>
      <c r="AG78" s="183">
        <v>44140</v>
      </c>
      <c r="AH78" s="183" t="s">
        <v>883</v>
      </c>
      <c r="AI78" s="183">
        <v>44658</v>
      </c>
      <c r="AJ78" s="183" t="s">
        <v>883</v>
      </c>
      <c r="AK78" s="174"/>
    </row>
    <row r="79" spans="1:37" x14ac:dyDescent="0.3">
      <c r="A79" s="173">
        <v>13181</v>
      </c>
      <c r="B79" s="174" t="s">
        <v>1020</v>
      </c>
      <c r="C79" s="175" t="s">
        <v>256</v>
      </c>
      <c r="D79" s="176">
        <v>27.33</v>
      </c>
      <c r="E79" s="174"/>
      <c r="F79" s="174"/>
      <c r="G79" s="174" t="s">
        <v>883</v>
      </c>
      <c r="H79" s="177">
        <v>167</v>
      </c>
      <c r="I79" s="24">
        <v>103003</v>
      </c>
      <c r="J79" s="178">
        <v>27.33</v>
      </c>
      <c r="K79" s="177">
        <v>61</v>
      </c>
      <c r="L79" s="179">
        <v>23.291492329149232</v>
      </c>
      <c r="M79" s="180">
        <v>0</v>
      </c>
      <c r="N79" s="178">
        <v>0</v>
      </c>
      <c r="O79" s="181" t="s">
        <v>882</v>
      </c>
      <c r="P79" s="180">
        <v>0</v>
      </c>
      <c r="Q79" s="182">
        <v>0</v>
      </c>
      <c r="R79" s="183" t="s">
        <v>883</v>
      </c>
      <c r="S79" s="174" t="s">
        <v>1019</v>
      </c>
      <c r="T79" s="44">
        <v>1</v>
      </c>
      <c r="U79" s="184">
        <v>51</v>
      </c>
      <c r="V79" s="185">
        <v>12</v>
      </c>
      <c r="W79" s="186">
        <v>2430</v>
      </c>
      <c r="X79" s="187">
        <v>2023</v>
      </c>
      <c r="Y79" s="188">
        <v>100</v>
      </c>
      <c r="Z79" s="188" t="s">
        <v>883</v>
      </c>
      <c r="AA79" s="187" t="s">
        <v>883</v>
      </c>
      <c r="AB79" s="188">
        <v>0</v>
      </c>
      <c r="AC79" s="188"/>
      <c r="AD79" s="189" t="s">
        <v>883</v>
      </c>
      <c r="AE79" s="190" t="s">
        <v>883</v>
      </c>
      <c r="AF79" s="180">
        <v>28</v>
      </c>
      <c r="AG79" s="183">
        <v>44140</v>
      </c>
      <c r="AH79" s="183" t="s">
        <v>883</v>
      </c>
      <c r="AI79" s="183">
        <v>44592</v>
      </c>
      <c r="AJ79" s="183" t="s">
        <v>883</v>
      </c>
      <c r="AK79" s="174"/>
    </row>
    <row r="80" spans="1:37" x14ac:dyDescent="0.3">
      <c r="A80" s="173">
        <v>13186</v>
      </c>
      <c r="B80" s="174" t="s">
        <v>1021</v>
      </c>
      <c r="C80" s="175" t="s">
        <v>275</v>
      </c>
      <c r="D80" s="176">
        <v>25.63</v>
      </c>
      <c r="E80" s="174"/>
      <c r="F80" s="174"/>
      <c r="G80" s="174" t="s">
        <v>883</v>
      </c>
      <c r="H80" s="177">
        <v>0</v>
      </c>
      <c r="I80" s="24">
        <v>103003</v>
      </c>
      <c r="J80" s="178">
        <v>25.63</v>
      </c>
      <c r="K80" s="177">
        <v>48</v>
      </c>
      <c r="L80" s="179">
        <v>0</v>
      </c>
      <c r="M80" s="180">
        <v>0</v>
      </c>
      <c r="N80" s="178">
        <v>0</v>
      </c>
      <c r="O80" s="181" t="s">
        <v>882</v>
      </c>
      <c r="P80" s="180">
        <v>0</v>
      </c>
      <c r="Q80" s="182">
        <v>0</v>
      </c>
      <c r="R80" s="183" t="s">
        <v>883</v>
      </c>
      <c r="S80" s="174" t="s">
        <v>1022</v>
      </c>
      <c r="T80" s="44">
        <v>1</v>
      </c>
      <c r="U80" s="184">
        <v>74</v>
      </c>
      <c r="V80" s="185">
        <v>4</v>
      </c>
      <c r="W80" s="186">
        <v>2217</v>
      </c>
      <c r="X80" s="187">
        <v>2023</v>
      </c>
      <c r="Y80" s="188">
        <v>90</v>
      </c>
      <c r="Z80" s="188" t="s">
        <v>883</v>
      </c>
      <c r="AA80" s="187" t="s">
        <v>883</v>
      </c>
      <c r="AB80" s="188">
        <v>0</v>
      </c>
      <c r="AC80" s="188"/>
      <c r="AD80" s="189" t="s">
        <v>883</v>
      </c>
      <c r="AE80" s="190" t="s">
        <v>883</v>
      </c>
      <c r="AF80" s="180">
        <v>24</v>
      </c>
      <c r="AG80" s="183">
        <v>44055</v>
      </c>
      <c r="AH80" s="183" t="s">
        <v>883</v>
      </c>
      <c r="AI80" s="183">
        <v>45056</v>
      </c>
      <c r="AJ80" s="183" t="s">
        <v>883</v>
      </c>
      <c r="AK80" s="174"/>
    </row>
    <row r="81" spans="1:37" x14ac:dyDescent="0.3">
      <c r="A81" s="173">
        <v>13192</v>
      </c>
      <c r="B81" s="174" t="s">
        <v>1023</v>
      </c>
      <c r="C81" s="175" t="s">
        <v>256</v>
      </c>
      <c r="D81" s="176">
        <v>133.85</v>
      </c>
      <c r="E81" s="174"/>
      <c r="F81" s="174"/>
      <c r="G81" s="174" t="s">
        <v>883</v>
      </c>
      <c r="H81" s="177">
        <v>0</v>
      </c>
      <c r="I81" s="24">
        <v>103003</v>
      </c>
      <c r="J81" s="178">
        <v>133.85</v>
      </c>
      <c r="K81" s="177">
        <v>52</v>
      </c>
      <c r="L81" s="179">
        <v>0</v>
      </c>
      <c r="M81" s="180">
        <v>0</v>
      </c>
      <c r="N81" s="178">
        <v>0</v>
      </c>
      <c r="O81" s="181" t="s">
        <v>882</v>
      </c>
      <c r="P81" s="180">
        <v>0</v>
      </c>
      <c r="Q81" s="182">
        <v>0</v>
      </c>
      <c r="R81" s="183" t="s">
        <v>883</v>
      </c>
      <c r="S81" s="174" t="s">
        <v>1024</v>
      </c>
      <c r="T81" s="44">
        <v>1</v>
      </c>
      <c r="U81" s="184">
        <v>51</v>
      </c>
      <c r="V81" s="185">
        <v>35</v>
      </c>
      <c r="W81" s="186" t="s">
        <v>883</v>
      </c>
      <c r="X81" s="187" t="s">
        <v>883</v>
      </c>
      <c r="Y81" s="188">
        <v>0</v>
      </c>
      <c r="Z81" s="188">
        <v>8937</v>
      </c>
      <c r="AA81" s="187">
        <v>2023</v>
      </c>
      <c r="AB81" s="188">
        <v>80</v>
      </c>
      <c r="AC81" s="188">
        <v>80</v>
      </c>
      <c r="AD81" s="189" t="s">
        <v>2036</v>
      </c>
      <c r="AE81" s="190">
        <v>45162</v>
      </c>
      <c r="AF81" s="180">
        <v>18</v>
      </c>
      <c r="AG81" s="183">
        <v>44509</v>
      </c>
      <c r="AH81" s="183" t="s">
        <v>883</v>
      </c>
      <c r="AI81" s="183">
        <v>45131</v>
      </c>
      <c r="AJ81" s="183" t="s">
        <v>883</v>
      </c>
      <c r="AK81" s="174"/>
    </row>
    <row r="82" spans="1:37" x14ac:dyDescent="0.3">
      <c r="A82" s="173">
        <v>13197</v>
      </c>
      <c r="B82" s="174" t="s">
        <v>1025</v>
      </c>
      <c r="C82" s="175" t="s">
        <v>256</v>
      </c>
      <c r="D82" s="176">
        <v>0.28999999999999998</v>
      </c>
      <c r="E82" s="174"/>
      <c r="F82" s="174"/>
      <c r="G82" s="174" t="s">
        <v>883</v>
      </c>
      <c r="H82" s="177">
        <v>269</v>
      </c>
      <c r="I82" s="24">
        <v>103003</v>
      </c>
      <c r="J82" s="178">
        <v>0.28999999999999998</v>
      </c>
      <c r="K82" s="177">
        <v>103</v>
      </c>
      <c r="L82" s="179">
        <v>31.351981351981351</v>
      </c>
      <c r="M82" s="180">
        <v>0</v>
      </c>
      <c r="N82" s="178">
        <v>0</v>
      </c>
      <c r="O82" s="181" t="s">
        <v>882</v>
      </c>
      <c r="P82" s="180">
        <v>0</v>
      </c>
      <c r="Q82" s="182">
        <v>0</v>
      </c>
      <c r="R82" s="183" t="s">
        <v>883</v>
      </c>
      <c r="S82" s="174" t="s">
        <v>1026</v>
      </c>
      <c r="T82" s="44">
        <v>1</v>
      </c>
      <c r="U82" s="184">
        <v>51</v>
      </c>
      <c r="V82" s="185">
        <v>8</v>
      </c>
      <c r="W82" s="186" t="s">
        <v>883</v>
      </c>
      <c r="X82" s="187" t="s">
        <v>883</v>
      </c>
      <c r="Y82" s="188">
        <v>0</v>
      </c>
      <c r="Z82" s="188" t="s">
        <v>883</v>
      </c>
      <c r="AA82" s="187" t="s">
        <v>883</v>
      </c>
      <c r="AB82" s="188">
        <v>0</v>
      </c>
      <c r="AC82" s="188"/>
      <c r="AD82" s="189" t="s">
        <v>883</v>
      </c>
      <c r="AE82" s="190" t="s">
        <v>883</v>
      </c>
      <c r="AF82" s="180">
        <v>34</v>
      </c>
      <c r="AG82" s="183">
        <v>41550</v>
      </c>
      <c r="AH82" s="183" t="s">
        <v>883</v>
      </c>
      <c r="AI82" s="183">
        <v>42501</v>
      </c>
      <c r="AJ82" s="183" t="s">
        <v>883</v>
      </c>
      <c r="AK82" s="174"/>
    </row>
    <row r="83" spans="1:37" x14ac:dyDescent="0.3">
      <c r="A83" s="173">
        <v>13199</v>
      </c>
      <c r="B83" s="174" t="s">
        <v>1027</v>
      </c>
      <c r="C83" s="175" t="s">
        <v>256</v>
      </c>
      <c r="D83" s="176">
        <v>1.9</v>
      </c>
      <c r="E83" s="174"/>
      <c r="F83" s="174"/>
      <c r="G83" s="174" t="s">
        <v>883</v>
      </c>
      <c r="H83" s="177">
        <v>47</v>
      </c>
      <c r="I83" s="24">
        <v>103003</v>
      </c>
      <c r="J83" s="178">
        <v>1.9</v>
      </c>
      <c r="K83" s="177">
        <v>124</v>
      </c>
      <c r="L83" s="179">
        <v>4.549854791868345</v>
      </c>
      <c r="M83" s="180">
        <v>46.96</v>
      </c>
      <c r="N83" s="178">
        <v>89.224000000000004</v>
      </c>
      <c r="O83" s="181" t="s">
        <v>882</v>
      </c>
      <c r="P83" s="180">
        <v>0</v>
      </c>
      <c r="Q83" s="182">
        <v>0</v>
      </c>
      <c r="R83" s="183" t="s">
        <v>883</v>
      </c>
      <c r="S83" s="174" t="s">
        <v>1026</v>
      </c>
      <c r="T83" s="44">
        <v>1</v>
      </c>
      <c r="U83" s="184">
        <v>51</v>
      </c>
      <c r="V83" s="185">
        <v>8</v>
      </c>
      <c r="W83" s="186">
        <v>3002</v>
      </c>
      <c r="X83" s="187">
        <v>2023</v>
      </c>
      <c r="Y83" s="188">
        <v>30</v>
      </c>
      <c r="Z83" s="188" t="s">
        <v>883</v>
      </c>
      <c r="AA83" s="187" t="s">
        <v>883</v>
      </c>
      <c r="AB83" s="188">
        <v>0</v>
      </c>
      <c r="AC83" s="188"/>
      <c r="AD83" s="189" t="s">
        <v>883</v>
      </c>
      <c r="AE83" s="190" t="s">
        <v>883</v>
      </c>
      <c r="AF83" s="180">
        <v>42</v>
      </c>
      <c r="AG83" s="183">
        <v>43320</v>
      </c>
      <c r="AH83" s="183" t="s">
        <v>883</v>
      </c>
      <c r="AI83" s="183">
        <v>45105</v>
      </c>
      <c r="AJ83" s="183" t="s">
        <v>883</v>
      </c>
      <c r="AK83" s="174"/>
    </row>
    <row r="84" spans="1:37" x14ac:dyDescent="0.3">
      <c r="A84" s="173">
        <v>13218</v>
      </c>
      <c r="B84" s="174" t="s">
        <v>1028</v>
      </c>
      <c r="C84" s="175" t="s">
        <v>569</v>
      </c>
      <c r="D84" s="176">
        <v>1.3</v>
      </c>
      <c r="E84" s="174"/>
      <c r="F84" s="174"/>
      <c r="G84" s="174" t="s">
        <v>883</v>
      </c>
      <c r="H84" s="177">
        <v>204</v>
      </c>
      <c r="I84" s="24">
        <v>103003</v>
      </c>
      <c r="J84" s="178">
        <v>1.3</v>
      </c>
      <c r="K84" s="177">
        <v>1</v>
      </c>
      <c r="L84" s="179">
        <v>2550</v>
      </c>
      <c r="M84" s="180">
        <v>0</v>
      </c>
      <c r="N84" s="178">
        <v>0</v>
      </c>
      <c r="O84" s="181" t="s">
        <v>882</v>
      </c>
      <c r="P84" s="180">
        <v>0</v>
      </c>
      <c r="Q84" s="182">
        <v>0</v>
      </c>
      <c r="R84" s="183" t="s">
        <v>883</v>
      </c>
      <c r="S84" s="174" t="s">
        <v>994</v>
      </c>
      <c r="T84" s="44">
        <v>1</v>
      </c>
      <c r="U84" s="184">
        <v>83</v>
      </c>
      <c r="V84" s="185">
        <v>2</v>
      </c>
      <c r="W84" s="186" t="s">
        <v>883</v>
      </c>
      <c r="X84" s="187" t="s">
        <v>883</v>
      </c>
      <c r="Y84" s="188">
        <v>0</v>
      </c>
      <c r="Z84" s="188" t="s">
        <v>883</v>
      </c>
      <c r="AA84" s="187" t="s">
        <v>883</v>
      </c>
      <c r="AB84" s="188">
        <v>0</v>
      </c>
      <c r="AC84" s="188"/>
      <c r="AD84" s="189" t="s">
        <v>883</v>
      </c>
      <c r="AE84" s="190" t="s">
        <v>883</v>
      </c>
      <c r="AF84" s="180">
        <v>0</v>
      </c>
      <c r="AG84" s="183">
        <v>44067</v>
      </c>
      <c r="AH84" s="183" t="s">
        <v>883</v>
      </c>
      <c r="AI84" s="183">
        <v>44922</v>
      </c>
      <c r="AJ84" s="183" t="s">
        <v>883</v>
      </c>
      <c r="AK84" s="174"/>
    </row>
    <row r="85" spans="1:37" x14ac:dyDescent="0.3">
      <c r="A85" s="173">
        <v>13221</v>
      </c>
      <c r="B85" s="174" t="s">
        <v>1029</v>
      </c>
      <c r="C85" s="175" t="s">
        <v>256</v>
      </c>
      <c r="D85" s="176">
        <v>0.34</v>
      </c>
      <c r="E85" s="174"/>
      <c r="F85" s="174"/>
      <c r="G85" s="174" t="s">
        <v>883</v>
      </c>
      <c r="H85" s="177">
        <v>1994</v>
      </c>
      <c r="I85" s="24">
        <v>103003</v>
      </c>
      <c r="J85" s="178">
        <v>0.34</v>
      </c>
      <c r="K85" s="177">
        <v>2814</v>
      </c>
      <c r="L85" s="179">
        <v>7.3085804347029288</v>
      </c>
      <c r="M85" s="180">
        <v>1279.96</v>
      </c>
      <c r="N85" s="178">
        <v>435.18639999999999</v>
      </c>
      <c r="O85" s="181" t="s">
        <v>882</v>
      </c>
      <c r="P85" s="180">
        <v>0</v>
      </c>
      <c r="Q85" s="182">
        <v>0</v>
      </c>
      <c r="R85" s="183" t="s">
        <v>883</v>
      </c>
      <c r="S85" s="174" t="s">
        <v>1030</v>
      </c>
      <c r="T85" s="44">
        <v>1</v>
      </c>
      <c r="U85" s="184">
        <v>67</v>
      </c>
      <c r="V85" s="185">
        <v>1</v>
      </c>
      <c r="W85" s="186" t="s">
        <v>883</v>
      </c>
      <c r="X85" s="187" t="s">
        <v>883</v>
      </c>
      <c r="Y85" s="188">
        <v>0</v>
      </c>
      <c r="Z85" s="188" t="s">
        <v>883</v>
      </c>
      <c r="AA85" s="187" t="s">
        <v>883</v>
      </c>
      <c r="AB85" s="188">
        <v>0</v>
      </c>
      <c r="AC85" s="188"/>
      <c r="AD85" s="189" t="s">
        <v>883</v>
      </c>
      <c r="AE85" s="190" t="s">
        <v>883</v>
      </c>
      <c r="AF85" s="180">
        <v>1092</v>
      </c>
      <c r="AG85" s="183">
        <v>43857</v>
      </c>
      <c r="AH85" s="183" t="s">
        <v>883</v>
      </c>
      <c r="AI85" s="183">
        <v>43826</v>
      </c>
      <c r="AJ85" s="183" t="s">
        <v>883</v>
      </c>
      <c r="AK85" s="174"/>
    </row>
    <row r="86" spans="1:37" x14ac:dyDescent="0.3">
      <c r="A86" s="173">
        <v>13222</v>
      </c>
      <c r="B86" s="174" t="s">
        <v>1031</v>
      </c>
      <c r="C86" s="175" t="s">
        <v>256</v>
      </c>
      <c r="D86" s="176">
        <v>0.92</v>
      </c>
      <c r="E86" s="174"/>
      <c r="F86" s="174"/>
      <c r="G86" s="174" t="s">
        <v>883</v>
      </c>
      <c r="H86" s="177">
        <v>1141</v>
      </c>
      <c r="I86" s="24">
        <v>103003</v>
      </c>
      <c r="J86" s="178">
        <v>0.92</v>
      </c>
      <c r="K86" s="177">
        <v>95</v>
      </c>
      <c r="L86" s="179">
        <v>144.06565656565655</v>
      </c>
      <c r="M86" s="180">
        <v>0</v>
      </c>
      <c r="N86" s="178">
        <v>0</v>
      </c>
      <c r="O86" s="181" t="s">
        <v>882</v>
      </c>
      <c r="P86" s="180">
        <v>0</v>
      </c>
      <c r="Q86" s="182">
        <v>0</v>
      </c>
      <c r="R86" s="183" t="s">
        <v>883</v>
      </c>
      <c r="S86" s="174" t="s">
        <v>1030</v>
      </c>
      <c r="T86" s="44">
        <v>1</v>
      </c>
      <c r="U86" s="184">
        <v>67</v>
      </c>
      <c r="V86" s="185">
        <v>1</v>
      </c>
      <c r="W86" s="186" t="s">
        <v>883</v>
      </c>
      <c r="X86" s="187" t="s">
        <v>883</v>
      </c>
      <c r="Y86" s="188">
        <v>0</v>
      </c>
      <c r="Z86" s="188" t="s">
        <v>883</v>
      </c>
      <c r="AA86" s="187" t="s">
        <v>883</v>
      </c>
      <c r="AB86" s="188">
        <v>0</v>
      </c>
      <c r="AC86" s="188"/>
      <c r="AD86" s="189" t="s">
        <v>883</v>
      </c>
      <c r="AE86" s="190" t="s">
        <v>883</v>
      </c>
      <c r="AF86" s="180">
        <v>32</v>
      </c>
      <c r="AG86" s="183">
        <v>44071</v>
      </c>
      <c r="AH86" s="183" t="s">
        <v>883</v>
      </c>
      <c r="AI86" s="183">
        <v>44040</v>
      </c>
      <c r="AJ86" s="183" t="s">
        <v>883</v>
      </c>
      <c r="AK86" s="174"/>
    </row>
    <row r="87" spans="1:37" x14ac:dyDescent="0.3">
      <c r="A87" s="173">
        <v>13517</v>
      </c>
      <c r="B87" s="174" t="s">
        <v>1032</v>
      </c>
      <c r="C87" s="175" t="s">
        <v>256</v>
      </c>
      <c r="D87" s="176">
        <v>5.15</v>
      </c>
      <c r="E87" s="174"/>
      <c r="F87" s="174"/>
      <c r="G87" s="174" t="s">
        <v>883</v>
      </c>
      <c r="H87" s="177">
        <v>362</v>
      </c>
      <c r="I87" s="24">
        <v>103003</v>
      </c>
      <c r="J87" s="178">
        <v>5.15</v>
      </c>
      <c r="K87" s="177">
        <v>46</v>
      </c>
      <c r="L87" s="179">
        <v>92.34693877551021</v>
      </c>
      <c r="M87" s="180">
        <v>0</v>
      </c>
      <c r="N87" s="178">
        <v>0</v>
      </c>
      <c r="O87" s="181" t="s">
        <v>882</v>
      </c>
      <c r="P87" s="180">
        <v>0</v>
      </c>
      <c r="Q87" s="182">
        <v>0</v>
      </c>
      <c r="R87" s="183" t="s">
        <v>883</v>
      </c>
      <c r="S87" s="174" t="s">
        <v>964</v>
      </c>
      <c r="T87" s="44">
        <v>1</v>
      </c>
      <c r="U87" s="184">
        <v>61</v>
      </c>
      <c r="V87" s="185">
        <v>8</v>
      </c>
      <c r="W87" s="186" t="s">
        <v>883</v>
      </c>
      <c r="X87" s="187" t="s">
        <v>883</v>
      </c>
      <c r="Y87" s="188">
        <v>0</v>
      </c>
      <c r="Z87" s="188" t="s">
        <v>883</v>
      </c>
      <c r="AA87" s="187" t="s">
        <v>883</v>
      </c>
      <c r="AB87" s="188">
        <v>0</v>
      </c>
      <c r="AC87" s="188"/>
      <c r="AD87" s="189" t="s">
        <v>883</v>
      </c>
      <c r="AE87" s="190" t="s">
        <v>883</v>
      </c>
      <c r="AF87" s="180">
        <v>16</v>
      </c>
      <c r="AG87" s="183">
        <v>44533</v>
      </c>
      <c r="AH87" s="183" t="s">
        <v>883</v>
      </c>
      <c r="AI87" s="183">
        <v>45096</v>
      </c>
      <c r="AJ87" s="183" t="s">
        <v>883</v>
      </c>
      <c r="AK87" s="174"/>
    </row>
    <row r="88" spans="1:37" x14ac:dyDescent="0.3">
      <c r="A88" s="173">
        <v>13518</v>
      </c>
      <c r="B88" s="174" t="s">
        <v>1033</v>
      </c>
      <c r="C88" s="175" t="s">
        <v>256</v>
      </c>
      <c r="D88" s="176">
        <v>13.33</v>
      </c>
      <c r="E88" s="174"/>
      <c r="F88" s="174"/>
      <c r="G88" s="174" t="s">
        <v>883</v>
      </c>
      <c r="H88" s="177">
        <v>125</v>
      </c>
      <c r="I88" s="24">
        <v>103003</v>
      </c>
      <c r="J88" s="178">
        <v>13.33</v>
      </c>
      <c r="K88" s="177">
        <v>44</v>
      </c>
      <c r="L88" s="179">
        <v>32.637075718015666</v>
      </c>
      <c r="M88" s="180">
        <v>0</v>
      </c>
      <c r="N88" s="178">
        <v>0</v>
      </c>
      <c r="O88" s="181" t="s">
        <v>882</v>
      </c>
      <c r="P88" s="180">
        <v>0</v>
      </c>
      <c r="Q88" s="182">
        <v>0</v>
      </c>
      <c r="R88" s="183" t="s">
        <v>883</v>
      </c>
      <c r="S88" s="174" t="s">
        <v>964</v>
      </c>
      <c r="T88" s="44">
        <v>1</v>
      </c>
      <c r="U88" s="184">
        <v>61</v>
      </c>
      <c r="V88" s="185">
        <v>8</v>
      </c>
      <c r="W88" s="186">
        <v>2522</v>
      </c>
      <c r="X88" s="187">
        <v>2023</v>
      </c>
      <c r="Y88" s="188">
        <v>50</v>
      </c>
      <c r="Z88" s="188" t="s">
        <v>883</v>
      </c>
      <c r="AA88" s="187" t="s">
        <v>883</v>
      </c>
      <c r="AB88" s="188">
        <v>0</v>
      </c>
      <c r="AC88" s="188"/>
      <c r="AD88" s="189" t="s">
        <v>883</v>
      </c>
      <c r="AE88" s="190" t="s">
        <v>883</v>
      </c>
      <c r="AF88" s="180">
        <v>16</v>
      </c>
      <c r="AG88" s="183">
        <v>44547</v>
      </c>
      <c r="AH88" s="183" t="s">
        <v>883</v>
      </c>
      <c r="AI88" s="183">
        <v>44522</v>
      </c>
      <c r="AJ88" s="183" t="s">
        <v>883</v>
      </c>
      <c r="AK88" s="174"/>
    </row>
    <row r="89" spans="1:37" x14ac:dyDescent="0.3">
      <c r="A89" s="173">
        <v>13539</v>
      </c>
      <c r="B89" s="174" t="s">
        <v>1034</v>
      </c>
      <c r="C89" s="175" t="s">
        <v>256</v>
      </c>
      <c r="D89" s="176">
        <v>5.12</v>
      </c>
      <c r="E89" s="174"/>
      <c r="F89" s="174"/>
      <c r="G89" s="174" t="s">
        <v>883</v>
      </c>
      <c r="H89" s="177">
        <v>1025</v>
      </c>
      <c r="I89" s="24">
        <v>103003</v>
      </c>
      <c r="J89" s="178">
        <v>5.12</v>
      </c>
      <c r="K89" s="177">
        <v>2779</v>
      </c>
      <c r="L89" s="179">
        <v>2.8211267993284346</v>
      </c>
      <c r="M89" s="180">
        <v>2934.96</v>
      </c>
      <c r="N89" s="178">
        <v>15026.995199999999</v>
      </c>
      <c r="O89" s="181" t="s">
        <v>882</v>
      </c>
      <c r="P89" s="180">
        <v>0</v>
      </c>
      <c r="Q89" s="182">
        <v>0</v>
      </c>
      <c r="R89" s="183" t="s">
        <v>883</v>
      </c>
      <c r="S89" s="174" t="s">
        <v>1035</v>
      </c>
      <c r="T89" s="44">
        <v>1</v>
      </c>
      <c r="U89" s="184">
        <v>45</v>
      </c>
      <c r="V89" s="185">
        <v>17</v>
      </c>
      <c r="W89" s="186">
        <v>6978</v>
      </c>
      <c r="X89" s="187">
        <v>2023</v>
      </c>
      <c r="Y89" s="188">
        <v>400</v>
      </c>
      <c r="Z89" s="188" t="s">
        <v>883</v>
      </c>
      <c r="AA89" s="187" t="s">
        <v>883</v>
      </c>
      <c r="AB89" s="188">
        <v>0</v>
      </c>
      <c r="AC89" s="188"/>
      <c r="AD89" s="189" t="s">
        <v>883</v>
      </c>
      <c r="AE89" s="190" t="s">
        <v>883</v>
      </c>
      <c r="AF89" s="180">
        <v>1454</v>
      </c>
      <c r="AG89" s="183">
        <v>44966</v>
      </c>
      <c r="AH89" s="183" t="s">
        <v>883</v>
      </c>
      <c r="AI89" s="183">
        <v>45114</v>
      </c>
      <c r="AJ89" s="183" t="s">
        <v>883</v>
      </c>
      <c r="AK89" s="174"/>
    </row>
    <row r="90" spans="1:37" x14ac:dyDescent="0.3">
      <c r="A90" s="173">
        <v>13556</v>
      </c>
      <c r="B90" s="174" t="s">
        <v>1036</v>
      </c>
      <c r="C90" s="175" t="s">
        <v>294</v>
      </c>
      <c r="D90" s="176">
        <v>940</v>
      </c>
      <c r="E90" s="174"/>
      <c r="F90" s="174"/>
      <c r="G90" s="174" t="s">
        <v>883</v>
      </c>
      <c r="H90" s="177">
        <v>44</v>
      </c>
      <c r="I90" s="24">
        <v>103003</v>
      </c>
      <c r="J90" s="178">
        <v>940</v>
      </c>
      <c r="K90" s="177"/>
      <c r="L90" s="179">
        <v>0</v>
      </c>
      <c r="M90" s="180">
        <v>0</v>
      </c>
      <c r="N90" s="178">
        <v>0</v>
      </c>
      <c r="O90" s="181" t="s">
        <v>882</v>
      </c>
      <c r="P90" s="180">
        <v>0</v>
      </c>
      <c r="Q90" s="182">
        <v>0</v>
      </c>
      <c r="R90" s="183" t="s">
        <v>883</v>
      </c>
      <c r="S90" s="174" t="s">
        <v>1037</v>
      </c>
      <c r="T90" s="44">
        <v>1</v>
      </c>
      <c r="U90" s="184">
        <v>69</v>
      </c>
      <c r="V90" s="185">
        <v>10</v>
      </c>
      <c r="W90" s="186" t="s">
        <v>883</v>
      </c>
      <c r="X90" s="187" t="s">
        <v>883</v>
      </c>
      <c r="Y90" s="188">
        <v>0</v>
      </c>
      <c r="Z90" s="188" t="s">
        <v>883</v>
      </c>
      <c r="AA90" s="187" t="s">
        <v>883</v>
      </c>
      <c r="AB90" s="188">
        <v>0</v>
      </c>
      <c r="AC90" s="188"/>
      <c r="AD90" s="189" t="s">
        <v>883</v>
      </c>
      <c r="AE90" s="190" t="s">
        <v>883</v>
      </c>
      <c r="AF90" s="180">
        <v>0</v>
      </c>
      <c r="AG90" s="183">
        <v>44516</v>
      </c>
      <c r="AH90" s="183" t="s">
        <v>883</v>
      </c>
      <c r="AI90" s="183">
        <v>44483</v>
      </c>
      <c r="AJ90" s="183" t="s">
        <v>883</v>
      </c>
      <c r="AK90" s="174"/>
    </row>
    <row r="91" spans="1:37" x14ac:dyDescent="0.3">
      <c r="A91" s="173">
        <v>13558</v>
      </c>
      <c r="B91" s="174" t="s">
        <v>1038</v>
      </c>
      <c r="C91" s="175" t="s">
        <v>294</v>
      </c>
      <c r="D91" s="176">
        <v>45.9</v>
      </c>
      <c r="E91" s="174"/>
      <c r="F91" s="174"/>
      <c r="G91" s="174" t="s">
        <v>883</v>
      </c>
      <c r="H91" s="177">
        <v>112</v>
      </c>
      <c r="I91" s="24">
        <v>103003</v>
      </c>
      <c r="J91" s="178">
        <v>45.9</v>
      </c>
      <c r="K91" s="177">
        <v>58</v>
      </c>
      <c r="L91" s="179">
        <v>18.421052631578949</v>
      </c>
      <c r="M91" s="180">
        <v>0</v>
      </c>
      <c r="N91" s="178">
        <v>0</v>
      </c>
      <c r="O91" s="181" t="s">
        <v>882</v>
      </c>
      <c r="P91" s="180">
        <v>0</v>
      </c>
      <c r="Q91" s="182">
        <v>0</v>
      </c>
      <c r="R91" s="183" t="s">
        <v>883</v>
      </c>
      <c r="S91" s="174" t="s">
        <v>1039</v>
      </c>
      <c r="T91" s="44">
        <v>1</v>
      </c>
      <c r="U91" s="184">
        <v>61</v>
      </c>
      <c r="V91" s="185">
        <v>2</v>
      </c>
      <c r="W91" s="186">
        <v>2674</v>
      </c>
      <c r="X91" s="187">
        <v>2023</v>
      </c>
      <c r="Y91" s="188">
        <v>50</v>
      </c>
      <c r="Z91" s="188" t="s">
        <v>883</v>
      </c>
      <c r="AA91" s="187" t="s">
        <v>883</v>
      </c>
      <c r="AB91" s="188">
        <v>0</v>
      </c>
      <c r="AC91" s="188"/>
      <c r="AD91" s="189" t="s">
        <v>883</v>
      </c>
      <c r="AE91" s="190" t="s">
        <v>883</v>
      </c>
      <c r="AF91" s="180">
        <v>24</v>
      </c>
      <c r="AG91" s="183">
        <v>44533</v>
      </c>
      <c r="AH91" s="183" t="s">
        <v>883</v>
      </c>
      <c r="AI91" s="183">
        <v>45096</v>
      </c>
      <c r="AJ91" s="183" t="s">
        <v>883</v>
      </c>
      <c r="AK91" s="174"/>
    </row>
    <row r="92" spans="1:37" x14ac:dyDescent="0.3">
      <c r="A92" s="173">
        <v>13559</v>
      </c>
      <c r="B92" s="174" t="s">
        <v>1040</v>
      </c>
      <c r="C92" s="175" t="s">
        <v>294</v>
      </c>
      <c r="D92" s="176">
        <v>89.77</v>
      </c>
      <c r="E92" s="174"/>
      <c r="F92" s="174"/>
      <c r="G92" s="174" t="s">
        <v>883</v>
      </c>
      <c r="H92" s="177">
        <v>0</v>
      </c>
      <c r="I92" s="24">
        <v>103003</v>
      </c>
      <c r="J92" s="178">
        <v>89.77</v>
      </c>
      <c r="K92" s="177">
        <v>157</v>
      </c>
      <c r="L92" s="179">
        <v>0</v>
      </c>
      <c r="M92" s="180">
        <v>0</v>
      </c>
      <c r="N92" s="178">
        <v>0</v>
      </c>
      <c r="O92" s="181" t="s">
        <v>882</v>
      </c>
      <c r="P92" s="180">
        <v>0</v>
      </c>
      <c r="Q92" s="182">
        <v>0</v>
      </c>
      <c r="R92" s="183" t="s">
        <v>883</v>
      </c>
      <c r="S92" s="174" t="s">
        <v>1039</v>
      </c>
      <c r="T92" s="44">
        <v>1</v>
      </c>
      <c r="U92" s="184">
        <v>61</v>
      </c>
      <c r="V92" s="185">
        <v>2</v>
      </c>
      <c r="W92" s="186">
        <v>2676</v>
      </c>
      <c r="X92" s="187">
        <v>2023</v>
      </c>
      <c r="Y92" s="188">
        <v>200</v>
      </c>
      <c r="Z92" s="188" t="s">
        <v>883</v>
      </c>
      <c r="AA92" s="187" t="s">
        <v>883</v>
      </c>
      <c r="AB92" s="188">
        <v>0</v>
      </c>
      <c r="AC92" s="188"/>
      <c r="AD92" s="189" t="s">
        <v>883</v>
      </c>
      <c r="AE92" s="190" t="s">
        <v>883</v>
      </c>
      <c r="AF92" s="180">
        <v>64</v>
      </c>
      <c r="AG92" s="183">
        <v>44578</v>
      </c>
      <c r="AH92" s="183" t="s">
        <v>883</v>
      </c>
      <c r="AI92" s="183">
        <v>44721</v>
      </c>
      <c r="AJ92" s="183" t="s">
        <v>883</v>
      </c>
      <c r="AK92" s="174"/>
    </row>
    <row r="93" spans="1:37" x14ac:dyDescent="0.3">
      <c r="A93" s="173">
        <v>13560</v>
      </c>
      <c r="B93" s="174" t="s">
        <v>1041</v>
      </c>
      <c r="C93" s="175" t="s">
        <v>294</v>
      </c>
      <c r="D93" s="176">
        <v>70</v>
      </c>
      <c r="E93" s="174"/>
      <c r="F93" s="174"/>
      <c r="G93" s="174" t="s">
        <v>883</v>
      </c>
      <c r="H93" s="177">
        <v>42</v>
      </c>
      <c r="I93" s="24">
        <v>103003</v>
      </c>
      <c r="J93" s="178">
        <v>70</v>
      </c>
      <c r="K93" s="177">
        <v>31</v>
      </c>
      <c r="L93" s="179">
        <v>15.272727272727272</v>
      </c>
      <c r="M93" s="180">
        <v>0</v>
      </c>
      <c r="N93" s="178">
        <v>0</v>
      </c>
      <c r="O93" s="181" t="s">
        <v>882</v>
      </c>
      <c r="P93" s="180">
        <v>0</v>
      </c>
      <c r="Q93" s="182">
        <v>0</v>
      </c>
      <c r="R93" s="183" t="s">
        <v>883</v>
      </c>
      <c r="S93" s="174" t="s">
        <v>1039</v>
      </c>
      <c r="T93" s="44">
        <v>1</v>
      </c>
      <c r="U93" s="184">
        <v>61</v>
      </c>
      <c r="V93" s="185">
        <v>2</v>
      </c>
      <c r="W93" s="186">
        <v>2674</v>
      </c>
      <c r="X93" s="187">
        <v>2023</v>
      </c>
      <c r="Y93" s="188">
        <v>20</v>
      </c>
      <c r="Z93" s="188" t="s">
        <v>883</v>
      </c>
      <c r="AA93" s="187" t="s">
        <v>883</v>
      </c>
      <c r="AB93" s="188">
        <v>0</v>
      </c>
      <c r="AC93" s="188"/>
      <c r="AD93" s="189" t="s">
        <v>883</v>
      </c>
      <c r="AE93" s="190" t="s">
        <v>883</v>
      </c>
      <c r="AF93" s="180">
        <v>12</v>
      </c>
      <c r="AG93" s="183">
        <v>44533</v>
      </c>
      <c r="AH93" s="183" t="s">
        <v>883</v>
      </c>
      <c r="AI93" s="183">
        <v>44522</v>
      </c>
      <c r="AJ93" s="183" t="s">
        <v>883</v>
      </c>
      <c r="AK93" s="174"/>
    </row>
    <row r="94" spans="1:37" x14ac:dyDescent="0.3">
      <c r="A94" s="173">
        <v>13561</v>
      </c>
      <c r="B94" s="174" t="s">
        <v>1042</v>
      </c>
      <c r="C94" s="175" t="s">
        <v>294</v>
      </c>
      <c r="D94" s="176">
        <v>100</v>
      </c>
      <c r="E94" s="174"/>
      <c r="F94" s="174"/>
      <c r="G94" s="174" t="s">
        <v>883</v>
      </c>
      <c r="H94" s="177">
        <v>76</v>
      </c>
      <c r="I94" s="24">
        <v>103003</v>
      </c>
      <c r="J94" s="178">
        <v>100</v>
      </c>
      <c r="K94" s="177">
        <v>129</v>
      </c>
      <c r="L94" s="179">
        <v>4.7263681592039806</v>
      </c>
      <c r="M94" s="180">
        <v>0</v>
      </c>
      <c r="N94" s="178">
        <v>0</v>
      </c>
      <c r="O94" s="181" t="s">
        <v>882</v>
      </c>
      <c r="P94" s="180">
        <v>0</v>
      </c>
      <c r="Q94" s="182">
        <v>0</v>
      </c>
      <c r="R94" s="183" t="s">
        <v>883</v>
      </c>
      <c r="S94" s="174" t="s">
        <v>1039</v>
      </c>
      <c r="T94" s="44">
        <v>1</v>
      </c>
      <c r="U94" s="184">
        <v>61</v>
      </c>
      <c r="V94" s="185">
        <v>2</v>
      </c>
      <c r="W94" s="186">
        <v>2636</v>
      </c>
      <c r="X94" s="187">
        <v>2023</v>
      </c>
      <c r="Y94" s="188">
        <v>250</v>
      </c>
      <c r="Z94" s="188" t="s">
        <v>883</v>
      </c>
      <c r="AA94" s="187" t="s">
        <v>883</v>
      </c>
      <c r="AB94" s="188">
        <v>0</v>
      </c>
      <c r="AC94" s="188"/>
      <c r="AD94" s="189" t="s">
        <v>883</v>
      </c>
      <c r="AE94" s="190" t="s">
        <v>883</v>
      </c>
      <c r="AF94" s="180">
        <v>64</v>
      </c>
      <c r="AG94" s="183">
        <v>44915</v>
      </c>
      <c r="AH94" s="183" t="s">
        <v>883</v>
      </c>
      <c r="AI94" s="183">
        <v>44860</v>
      </c>
      <c r="AJ94" s="183" t="s">
        <v>883</v>
      </c>
      <c r="AK94" s="174"/>
    </row>
    <row r="95" spans="1:37" x14ac:dyDescent="0.3">
      <c r="A95" s="173">
        <v>13562</v>
      </c>
      <c r="B95" s="174" t="s">
        <v>1043</v>
      </c>
      <c r="C95" s="175" t="s">
        <v>294</v>
      </c>
      <c r="D95" s="176">
        <v>16.78</v>
      </c>
      <c r="E95" s="174"/>
      <c r="F95" s="174"/>
      <c r="G95" s="174" t="s">
        <v>883</v>
      </c>
      <c r="H95" s="177">
        <v>412</v>
      </c>
      <c r="I95" s="24">
        <v>103003</v>
      </c>
      <c r="J95" s="178">
        <v>16.78</v>
      </c>
      <c r="K95" s="177">
        <v>315</v>
      </c>
      <c r="L95" s="179">
        <v>10.864978902953588</v>
      </c>
      <c r="M95" s="180">
        <v>0</v>
      </c>
      <c r="N95" s="178">
        <v>0</v>
      </c>
      <c r="O95" s="181" t="s">
        <v>882</v>
      </c>
      <c r="P95" s="180">
        <v>0</v>
      </c>
      <c r="Q95" s="182">
        <v>0</v>
      </c>
      <c r="R95" s="183" t="s">
        <v>883</v>
      </c>
      <c r="S95" s="174" t="s">
        <v>1039</v>
      </c>
      <c r="T95" s="44">
        <v>1</v>
      </c>
      <c r="U95" s="184">
        <v>61</v>
      </c>
      <c r="V95" s="185">
        <v>2</v>
      </c>
      <c r="W95" s="186">
        <v>2677</v>
      </c>
      <c r="X95" s="187">
        <v>2023</v>
      </c>
      <c r="Y95" s="188">
        <v>400</v>
      </c>
      <c r="Z95" s="188" t="s">
        <v>883</v>
      </c>
      <c r="AA95" s="187" t="s">
        <v>883</v>
      </c>
      <c r="AB95" s="188">
        <v>0</v>
      </c>
      <c r="AC95" s="188"/>
      <c r="AD95" s="189" t="s">
        <v>883</v>
      </c>
      <c r="AE95" s="190" t="s">
        <v>883</v>
      </c>
      <c r="AF95" s="180">
        <v>152</v>
      </c>
      <c r="AG95" s="183">
        <v>44915</v>
      </c>
      <c r="AH95" s="183" t="s">
        <v>883</v>
      </c>
      <c r="AI95" s="183">
        <v>45105</v>
      </c>
      <c r="AJ95" s="183" t="s">
        <v>883</v>
      </c>
      <c r="AK95" s="174"/>
    </row>
    <row r="96" spans="1:37" x14ac:dyDescent="0.3">
      <c r="A96" s="173">
        <v>13563</v>
      </c>
      <c r="B96" s="174" t="s">
        <v>1044</v>
      </c>
      <c r="C96" s="175" t="s">
        <v>256</v>
      </c>
      <c r="D96" s="176">
        <v>0.3</v>
      </c>
      <c r="E96" s="174"/>
      <c r="F96" s="174"/>
      <c r="G96" s="174" t="s">
        <v>883</v>
      </c>
      <c r="H96" s="177">
        <v>69</v>
      </c>
      <c r="I96" s="24">
        <v>103003</v>
      </c>
      <c r="J96" s="178">
        <v>0.3</v>
      </c>
      <c r="K96" s="177">
        <v>290</v>
      </c>
      <c r="L96" s="179">
        <v>2.6620370370370372</v>
      </c>
      <c r="M96" s="180">
        <v>0</v>
      </c>
      <c r="N96" s="178">
        <v>0</v>
      </c>
      <c r="O96" s="181" t="s">
        <v>882</v>
      </c>
      <c r="P96" s="180">
        <v>0</v>
      </c>
      <c r="Q96" s="182">
        <v>0</v>
      </c>
      <c r="R96" s="183" t="s">
        <v>883</v>
      </c>
      <c r="S96" s="174" t="s">
        <v>1009</v>
      </c>
      <c r="T96" s="44">
        <v>1</v>
      </c>
      <c r="U96" s="184">
        <v>61</v>
      </c>
      <c r="V96" s="185">
        <v>15</v>
      </c>
      <c r="W96" s="186">
        <v>2960</v>
      </c>
      <c r="X96" s="187">
        <v>2023</v>
      </c>
      <c r="Y96" s="188">
        <v>250</v>
      </c>
      <c r="Z96" s="188" t="s">
        <v>883</v>
      </c>
      <c r="AA96" s="187" t="s">
        <v>883</v>
      </c>
      <c r="AB96" s="188">
        <v>0</v>
      </c>
      <c r="AC96" s="188"/>
      <c r="AD96" s="189" t="s">
        <v>883</v>
      </c>
      <c r="AE96" s="190" t="s">
        <v>883</v>
      </c>
      <c r="AF96" s="180">
        <v>104</v>
      </c>
      <c r="AG96" s="183">
        <v>44273</v>
      </c>
      <c r="AH96" s="183" t="s">
        <v>883</v>
      </c>
      <c r="AI96" s="183">
        <v>44257</v>
      </c>
      <c r="AJ96" s="183" t="s">
        <v>883</v>
      </c>
      <c r="AK96" s="174"/>
    </row>
    <row r="97" spans="1:37" x14ac:dyDescent="0.3">
      <c r="A97" s="173">
        <v>13655</v>
      </c>
      <c r="B97" s="174" t="s">
        <v>1045</v>
      </c>
      <c r="C97" s="175" t="s">
        <v>31</v>
      </c>
      <c r="D97" s="176">
        <v>1.74</v>
      </c>
      <c r="E97" s="174"/>
      <c r="F97" s="174"/>
      <c r="G97" s="174" t="s">
        <v>883</v>
      </c>
      <c r="H97" s="177">
        <v>5920</v>
      </c>
      <c r="I97" s="24">
        <v>103003</v>
      </c>
      <c r="J97" s="178">
        <v>1.74</v>
      </c>
      <c r="K97" s="177">
        <v>14144</v>
      </c>
      <c r="L97" s="179">
        <v>3.982294931991551</v>
      </c>
      <c r="M97" s="180">
        <v>10918.96</v>
      </c>
      <c r="N97" s="178">
        <v>18998.990399999999</v>
      </c>
      <c r="O97" s="181" t="s">
        <v>882</v>
      </c>
      <c r="P97" s="180">
        <v>0</v>
      </c>
      <c r="Q97" s="182">
        <v>0</v>
      </c>
      <c r="R97" s="183" t="s">
        <v>883</v>
      </c>
      <c r="S97" s="174" t="s">
        <v>935</v>
      </c>
      <c r="T97" s="44">
        <v>1</v>
      </c>
      <c r="U97" s="184">
        <v>45</v>
      </c>
      <c r="V97" s="185">
        <v>11</v>
      </c>
      <c r="W97" s="186">
        <v>6211</v>
      </c>
      <c r="X97" s="187">
        <v>2023</v>
      </c>
      <c r="Y97" s="188">
        <v>1000</v>
      </c>
      <c r="Z97" s="188" t="s">
        <v>883</v>
      </c>
      <c r="AA97" s="187" t="s">
        <v>883</v>
      </c>
      <c r="AB97" s="188">
        <v>0</v>
      </c>
      <c r="AC97" s="188"/>
      <c r="AD97" s="189" t="s">
        <v>883</v>
      </c>
      <c r="AE97" s="190" t="s">
        <v>883</v>
      </c>
      <c r="AF97" s="180">
        <v>5946</v>
      </c>
      <c r="AG97" s="183">
        <v>44993</v>
      </c>
      <c r="AH97" s="183" t="s">
        <v>883</v>
      </c>
      <c r="AI97" s="183">
        <v>45107</v>
      </c>
      <c r="AJ97" s="183" t="s">
        <v>883</v>
      </c>
      <c r="AK97" s="174"/>
    </row>
    <row r="98" spans="1:37" x14ac:dyDescent="0.3">
      <c r="A98" s="173">
        <v>13768</v>
      </c>
      <c r="B98" s="174" t="s">
        <v>1046</v>
      </c>
      <c r="C98" s="175" t="s">
        <v>256</v>
      </c>
      <c r="D98" s="176">
        <v>4.29</v>
      </c>
      <c r="E98" s="174"/>
      <c r="F98" s="174"/>
      <c r="G98" s="174" t="s">
        <v>883</v>
      </c>
      <c r="H98" s="177">
        <v>1097</v>
      </c>
      <c r="I98" s="24">
        <v>103003</v>
      </c>
      <c r="J98" s="178">
        <v>4.29</v>
      </c>
      <c r="K98" s="177">
        <v>2585</v>
      </c>
      <c r="L98" s="179">
        <v>3.0542639975499069</v>
      </c>
      <c r="M98" s="180">
        <v>2413.04</v>
      </c>
      <c r="N98" s="178">
        <v>10351.9416</v>
      </c>
      <c r="O98" s="181" t="s">
        <v>882</v>
      </c>
      <c r="P98" s="180">
        <v>0</v>
      </c>
      <c r="Q98" s="182">
        <v>0</v>
      </c>
      <c r="R98" s="183" t="s">
        <v>883</v>
      </c>
      <c r="S98" s="174" t="s">
        <v>935</v>
      </c>
      <c r="T98" s="44">
        <v>1</v>
      </c>
      <c r="U98" s="184">
        <v>45</v>
      </c>
      <c r="V98" s="185">
        <v>11</v>
      </c>
      <c r="W98" s="186">
        <v>6982</v>
      </c>
      <c r="X98" s="187">
        <v>2023</v>
      </c>
      <c r="Y98" s="188">
        <v>800</v>
      </c>
      <c r="Z98" s="188" t="s">
        <v>883</v>
      </c>
      <c r="AA98" s="187" t="s">
        <v>883</v>
      </c>
      <c r="AB98" s="188">
        <v>0</v>
      </c>
      <c r="AC98" s="188"/>
      <c r="AD98" s="189" t="s">
        <v>883</v>
      </c>
      <c r="AE98" s="190" t="s">
        <v>883</v>
      </c>
      <c r="AF98" s="180">
        <v>1436</v>
      </c>
      <c r="AG98" s="183">
        <v>44573</v>
      </c>
      <c r="AH98" s="183" t="s">
        <v>883</v>
      </c>
      <c r="AI98" s="183">
        <v>44999</v>
      </c>
      <c r="AJ98" s="183" t="s">
        <v>883</v>
      </c>
      <c r="AK98" s="174"/>
    </row>
    <row r="99" spans="1:37" x14ac:dyDescent="0.3">
      <c r="A99" s="173">
        <v>13991</v>
      </c>
      <c r="B99" s="174" t="s">
        <v>1047</v>
      </c>
      <c r="C99" s="175" t="s">
        <v>256</v>
      </c>
      <c r="D99" s="176">
        <v>22.32</v>
      </c>
      <c r="E99" s="174"/>
      <c r="F99" s="174"/>
      <c r="G99" s="174" t="s">
        <v>883</v>
      </c>
      <c r="H99" s="177">
        <v>0</v>
      </c>
      <c r="I99" s="24">
        <v>103003</v>
      </c>
      <c r="J99" s="178">
        <v>22.32</v>
      </c>
      <c r="K99" s="177">
        <v>300</v>
      </c>
      <c r="L99" s="179">
        <v>0</v>
      </c>
      <c r="M99" s="180">
        <v>0</v>
      </c>
      <c r="N99" s="178">
        <v>0</v>
      </c>
      <c r="O99" s="181" t="s">
        <v>882</v>
      </c>
      <c r="P99" s="180">
        <v>0</v>
      </c>
      <c r="Q99" s="182">
        <v>0</v>
      </c>
      <c r="R99" s="183" t="s">
        <v>883</v>
      </c>
      <c r="S99" s="174" t="s">
        <v>892</v>
      </c>
      <c r="T99" s="44">
        <v>1</v>
      </c>
      <c r="U99" s="184">
        <v>72</v>
      </c>
      <c r="V99" s="185">
        <v>6</v>
      </c>
      <c r="W99" s="186">
        <v>5540</v>
      </c>
      <c r="X99" s="187">
        <v>2023</v>
      </c>
      <c r="Y99" s="188">
        <v>400</v>
      </c>
      <c r="Z99" s="188" t="s">
        <v>883</v>
      </c>
      <c r="AA99" s="187" t="s">
        <v>883</v>
      </c>
      <c r="AB99" s="188">
        <v>0</v>
      </c>
      <c r="AC99" s="188"/>
      <c r="AD99" s="189" t="s">
        <v>883</v>
      </c>
      <c r="AE99" s="190" t="s">
        <v>883</v>
      </c>
      <c r="AF99" s="180">
        <v>106</v>
      </c>
      <c r="AG99" s="183">
        <v>44937</v>
      </c>
      <c r="AH99" s="183" t="s">
        <v>883</v>
      </c>
      <c r="AI99" s="183">
        <v>44854</v>
      </c>
      <c r="AJ99" s="183" t="s">
        <v>883</v>
      </c>
      <c r="AK99" s="174"/>
    </row>
    <row r="100" spans="1:37" x14ac:dyDescent="0.3">
      <c r="A100" s="173">
        <v>14001</v>
      </c>
      <c r="B100" s="174" t="s">
        <v>1048</v>
      </c>
      <c r="C100" s="175" t="s">
        <v>273</v>
      </c>
      <c r="D100" s="176">
        <v>60</v>
      </c>
      <c r="E100" s="174"/>
      <c r="F100" s="174"/>
      <c r="G100" s="174" t="s">
        <v>883</v>
      </c>
      <c r="H100" s="177">
        <v>0</v>
      </c>
      <c r="I100" s="24">
        <v>103003</v>
      </c>
      <c r="J100" s="178">
        <v>60</v>
      </c>
      <c r="K100" s="177">
        <v>346</v>
      </c>
      <c r="L100" s="179">
        <v>0</v>
      </c>
      <c r="M100" s="180">
        <v>0</v>
      </c>
      <c r="N100" s="178">
        <v>0</v>
      </c>
      <c r="O100" s="181" t="s">
        <v>882</v>
      </c>
      <c r="P100" s="180">
        <v>0</v>
      </c>
      <c r="Q100" s="182">
        <v>0</v>
      </c>
      <c r="R100" s="183" t="s">
        <v>883</v>
      </c>
      <c r="S100" s="174" t="s">
        <v>961</v>
      </c>
      <c r="T100" s="44">
        <v>1</v>
      </c>
      <c r="U100" s="184">
        <v>51</v>
      </c>
      <c r="V100" s="185">
        <v>3</v>
      </c>
      <c r="W100" s="186">
        <v>2566</v>
      </c>
      <c r="X100" s="187">
        <v>2023</v>
      </c>
      <c r="Y100" s="188">
        <v>800</v>
      </c>
      <c r="Z100" s="188" t="s">
        <v>883</v>
      </c>
      <c r="AA100" s="187" t="s">
        <v>883</v>
      </c>
      <c r="AB100" s="188">
        <v>0</v>
      </c>
      <c r="AC100" s="188"/>
      <c r="AD100" s="189" t="s">
        <v>883</v>
      </c>
      <c r="AE100" s="190" t="s">
        <v>883</v>
      </c>
      <c r="AF100" s="180">
        <v>142</v>
      </c>
      <c r="AG100" s="183">
        <v>44762</v>
      </c>
      <c r="AH100" s="183" t="s">
        <v>883</v>
      </c>
      <c r="AI100" s="183">
        <v>45117</v>
      </c>
      <c r="AJ100" s="183" t="s">
        <v>883</v>
      </c>
      <c r="AK100" s="174"/>
    </row>
    <row r="101" spans="1:37" x14ac:dyDescent="0.3">
      <c r="A101" s="173">
        <v>14012</v>
      </c>
      <c r="B101" s="174" t="s">
        <v>1049</v>
      </c>
      <c r="C101" s="175" t="s">
        <v>256</v>
      </c>
      <c r="D101" s="176">
        <v>0.28000000000000003</v>
      </c>
      <c r="E101" s="174"/>
      <c r="F101" s="174"/>
      <c r="G101" s="174" t="s">
        <v>883</v>
      </c>
      <c r="H101" s="177">
        <v>3516</v>
      </c>
      <c r="I101" s="24">
        <v>103003</v>
      </c>
      <c r="J101" s="178">
        <v>0.28000000000000003</v>
      </c>
      <c r="K101" s="177">
        <v>982</v>
      </c>
      <c r="L101" s="179">
        <v>35.397160978556329</v>
      </c>
      <c r="M101" s="180">
        <v>0</v>
      </c>
      <c r="N101" s="178">
        <v>0</v>
      </c>
      <c r="O101" s="181" t="s">
        <v>882</v>
      </c>
      <c r="P101" s="180">
        <v>0</v>
      </c>
      <c r="Q101" s="182">
        <v>0</v>
      </c>
      <c r="R101" s="183" t="s">
        <v>883</v>
      </c>
      <c r="S101" s="174" t="s">
        <v>1050</v>
      </c>
      <c r="T101" s="44">
        <v>1</v>
      </c>
      <c r="U101" s="184">
        <v>55</v>
      </c>
      <c r="V101" s="185">
        <v>46</v>
      </c>
      <c r="W101" s="186" t="s">
        <v>883</v>
      </c>
      <c r="X101" s="187" t="s">
        <v>883</v>
      </c>
      <c r="Y101" s="188">
        <v>0</v>
      </c>
      <c r="Z101" s="188" t="s">
        <v>883</v>
      </c>
      <c r="AA101" s="187" t="s">
        <v>883</v>
      </c>
      <c r="AB101" s="188">
        <v>0</v>
      </c>
      <c r="AC101" s="188"/>
      <c r="AD101" s="189" t="s">
        <v>883</v>
      </c>
      <c r="AE101" s="190" t="s">
        <v>883</v>
      </c>
      <c r="AF101" s="180">
        <v>398</v>
      </c>
      <c r="AG101" s="183">
        <v>44649</v>
      </c>
      <c r="AH101" s="183" t="s">
        <v>883</v>
      </c>
      <c r="AI101" s="183">
        <v>44615</v>
      </c>
      <c r="AJ101" s="183" t="s">
        <v>883</v>
      </c>
      <c r="AK101" s="174"/>
    </row>
    <row r="102" spans="1:37" x14ac:dyDescent="0.3">
      <c r="A102" s="173">
        <v>14013</v>
      </c>
      <c r="B102" s="174" t="s">
        <v>1051</v>
      </c>
      <c r="C102" s="175" t="s">
        <v>256</v>
      </c>
      <c r="D102" s="176">
        <v>0.64</v>
      </c>
      <c r="E102" s="174"/>
      <c r="F102" s="174"/>
      <c r="G102" s="174" t="s">
        <v>883</v>
      </c>
      <c r="H102" s="177">
        <v>390</v>
      </c>
      <c r="I102" s="24">
        <v>103003</v>
      </c>
      <c r="J102" s="178">
        <v>0.64</v>
      </c>
      <c r="K102" s="177">
        <v>447</v>
      </c>
      <c r="L102" s="179">
        <v>7.8915418858761637</v>
      </c>
      <c r="M102" s="180">
        <v>0</v>
      </c>
      <c r="N102" s="178">
        <v>0</v>
      </c>
      <c r="O102" s="181" t="s">
        <v>882</v>
      </c>
      <c r="P102" s="180">
        <v>0</v>
      </c>
      <c r="Q102" s="182">
        <v>0</v>
      </c>
      <c r="R102" s="183" t="s">
        <v>883</v>
      </c>
      <c r="S102" s="174" t="s">
        <v>1050</v>
      </c>
      <c r="T102" s="44">
        <v>1</v>
      </c>
      <c r="U102" s="184">
        <v>55</v>
      </c>
      <c r="V102" s="185">
        <v>46</v>
      </c>
      <c r="W102" s="186">
        <v>2546</v>
      </c>
      <c r="X102" s="187">
        <v>2023</v>
      </c>
      <c r="Y102" s="188">
        <v>1000</v>
      </c>
      <c r="Z102" s="188" t="s">
        <v>883</v>
      </c>
      <c r="AA102" s="187" t="s">
        <v>883</v>
      </c>
      <c r="AB102" s="188">
        <v>0</v>
      </c>
      <c r="AC102" s="188"/>
      <c r="AD102" s="189" t="s">
        <v>883</v>
      </c>
      <c r="AE102" s="190" t="s">
        <v>883</v>
      </c>
      <c r="AF102" s="180">
        <v>198</v>
      </c>
      <c r="AG102" s="183">
        <v>44883</v>
      </c>
      <c r="AH102" s="183" t="s">
        <v>883</v>
      </c>
      <c r="AI102" s="183">
        <v>44845</v>
      </c>
      <c r="AJ102" s="183" t="s">
        <v>883</v>
      </c>
      <c r="AK102" s="174"/>
    </row>
    <row r="103" spans="1:37" x14ac:dyDescent="0.3">
      <c r="A103" s="173">
        <v>14055</v>
      </c>
      <c r="B103" s="174" t="s">
        <v>1052</v>
      </c>
      <c r="C103" s="175" t="s">
        <v>400</v>
      </c>
      <c r="D103" s="176">
        <v>13.8</v>
      </c>
      <c r="E103" s="174"/>
      <c r="F103" s="174"/>
      <c r="G103" s="174" t="s">
        <v>883</v>
      </c>
      <c r="H103" s="177">
        <v>482</v>
      </c>
      <c r="I103" s="24">
        <v>103003</v>
      </c>
      <c r="J103" s="178">
        <v>13.8</v>
      </c>
      <c r="K103" s="177">
        <v>79</v>
      </c>
      <c r="L103" s="179">
        <v>53.55555555555555</v>
      </c>
      <c r="M103" s="180">
        <v>0</v>
      </c>
      <c r="N103" s="178">
        <v>0</v>
      </c>
      <c r="O103" s="181" t="s">
        <v>882</v>
      </c>
      <c r="P103" s="180">
        <v>0</v>
      </c>
      <c r="Q103" s="182">
        <v>0</v>
      </c>
      <c r="R103" s="183" t="s">
        <v>883</v>
      </c>
      <c r="S103" s="174" t="s">
        <v>989</v>
      </c>
      <c r="T103" s="44">
        <v>1</v>
      </c>
      <c r="U103" s="184">
        <v>67</v>
      </c>
      <c r="V103" s="185">
        <v>6</v>
      </c>
      <c r="W103" s="186" t="s">
        <v>883</v>
      </c>
      <c r="X103" s="187" t="s">
        <v>883</v>
      </c>
      <c r="Y103" s="188">
        <v>0</v>
      </c>
      <c r="Z103" s="188" t="s">
        <v>883</v>
      </c>
      <c r="AA103" s="187" t="s">
        <v>883</v>
      </c>
      <c r="AB103" s="188">
        <v>0</v>
      </c>
      <c r="AC103" s="188"/>
      <c r="AD103" s="189" t="s">
        <v>883</v>
      </c>
      <c r="AE103" s="190" t="s">
        <v>883</v>
      </c>
      <c r="AF103" s="180">
        <v>36</v>
      </c>
      <c r="AG103" s="183">
        <v>43853</v>
      </c>
      <c r="AH103" s="183" t="s">
        <v>883</v>
      </c>
      <c r="AI103" s="183">
        <v>44921</v>
      </c>
      <c r="AJ103" s="183" t="s">
        <v>883</v>
      </c>
      <c r="AK103" s="174"/>
    </row>
    <row r="104" spans="1:37" x14ac:dyDescent="0.3">
      <c r="A104" s="173">
        <v>14056</v>
      </c>
      <c r="B104" s="174" t="s">
        <v>1053</v>
      </c>
      <c r="C104" s="175" t="s">
        <v>256</v>
      </c>
      <c r="D104" s="176">
        <v>2.98</v>
      </c>
      <c r="E104" s="174"/>
      <c r="F104" s="174"/>
      <c r="G104" s="174" t="s">
        <v>883</v>
      </c>
      <c r="H104" s="177">
        <v>122</v>
      </c>
      <c r="I104" s="24">
        <v>103003</v>
      </c>
      <c r="J104" s="178">
        <v>2.98</v>
      </c>
      <c r="K104" s="177">
        <v>8</v>
      </c>
      <c r="L104" s="179">
        <v>182.08955223880596</v>
      </c>
      <c r="M104" s="180">
        <v>0</v>
      </c>
      <c r="N104" s="178">
        <v>0</v>
      </c>
      <c r="O104" s="181" t="s">
        <v>882</v>
      </c>
      <c r="P104" s="180">
        <v>0</v>
      </c>
      <c r="Q104" s="182">
        <v>0</v>
      </c>
      <c r="R104" s="183" t="s">
        <v>883</v>
      </c>
      <c r="S104" s="174" t="s">
        <v>1019</v>
      </c>
      <c r="T104" s="44">
        <v>1</v>
      </c>
      <c r="U104" s="184">
        <v>51</v>
      </c>
      <c r="V104" s="185">
        <v>12</v>
      </c>
      <c r="W104" s="186" t="s">
        <v>883</v>
      </c>
      <c r="X104" s="187" t="s">
        <v>883</v>
      </c>
      <c r="Y104" s="188">
        <v>0</v>
      </c>
      <c r="Z104" s="188" t="s">
        <v>883</v>
      </c>
      <c r="AA104" s="187" t="s">
        <v>883</v>
      </c>
      <c r="AB104" s="188">
        <v>0</v>
      </c>
      <c r="AC104" s="188"/>
      <c r="AD104" s="189" t="s">
        <v>883</v>
      </c>
      <c r="AE104" s="190" t="s">
        <v>883</v>
      </c>
      <c r="AF104" s="180">
        <v>2</v>
      </c>
      <c r="AG104" s="183">
        <v>43668</v>
      </c>
      <c r="AH104" s="183" t="s">
        <v>883</v>
      </c>
      <c r="AI104" s="183">
        <v>43524</v>
      </c>
      <c r="AJ104" s="183" t="s">
        <v>883</v>
      </c>
      <c r="AK104" s="174"/>
    </row>
    <row r="105" spans="1:37" x14ac:dyDescent="0.3">
      <c r="A105" s="173">
        <v>14121</v>
      </c>
      <c r="B105" s="174" t="s">
        <v>1054</v>
      </c>
      <c r="C105" s="175" t="s">
        <v>31</v>
      </c>
      <c r="D105" s="176">
        <v>0.33</v>
      </c>
      <c r="E105" s="174" t="s">
        <v>1055</v>
      </c>
      <c r="F105" s="174" t="s">
        <v>1056</v>
      </c>
      <c r="G105" s="174" t="s">
        <v>1057</v>
      </c>
      <c r="H105" s="177">
        <v>5883</v>
      </c>
      <c r="I105" s="24">
        <v>103003</v>
      </c>
      <c r="J105" s="178">
        <v>0.33</v>
      </c>
      <c r="K105" s="177">
        <v>4015</v>
      </c>
      <c r="L105" s="179">
        <v>11.601719649759408</v>
      </c>
      <c r="M105" s="180">
        <v>201.96</v>
      </c>
      <c r="N105" s="178">
        <v>66.646799999999999</v>
      </c>
      <c r="O105" s="181" t="s">
        <v>1058</v>
      </c>
      <c r="P105" s="180">
        <v>47000</v>
      </c>
      <c r="Q105" s="182">
        <v>15510</v>
      </c>
      <c r="R105" s="183">
        <v>45446</v>
      </c>
      <c r="S105" s="174" t="s">
        <v>892</v>
      </c>
      <c r="T105" s="44">
        <v>1</v>
      </c>
      <c r="U105" s="184">
        <v>72</v>
      </c>
      <c r="V105" s="185">
        <v>6</v>
      </c>
      <c r="W105" s="186" t="s">
        <v>883</v>
      </c>
      <c r="X105" s="187" t="s">
        <v>883</v>
      </c>
      <c r="Y105" s="188">
        <v>0</v>
      </c>
      <c r="Z105" s="188" t="s">
        <v>883</v>
      </c>
      <c r="AA105" s="187" t="s">
        <v>883</v>
      </c>
      <c r="AB105" s="188">
        <v>0</v>
      </c>
      <c r="AC105" s="188"/>
      <c r="AD105" s="189" t="s">
        <v>883</v>
      </c>
      <c r="AE105" s="190" t="s">
        <v>883</v>
      </c>
      <c r="AF105" s="180">
        <v>2028</v>
      </c>
      <c r="AG105" s="183">
        <v>44865</v>
      </c>
      <c r="AH105" s="183" t="s">
        <v>883</v>
      </c>
      <c r="AI105" s="183">
        <v>45103</v>
      </c>
      <c r="AJ105" s="183" t="s">
        <v>883</v>
      </c>
      <c r="AK105" s="174"/>
    </row>
    <row r="106" spans="1:37" x14ac:dyDescent="0.3">
      <c r="A106" s="173">
        <v>14154</v>
      </c>
      <c r="B106" s="174" t="s">
        <v>1059</v>
      </c>
      <c r="C106" s="175" t="s">
        <v>256</v>
      </c>
      <c r="D106" s="176">
        <v>0.56000000000000005</v>
      </c>
      <c r="E106" s="174" t="s">
        <v>1060</v>
      </c>
      <c r="F106" s="174" t="s">
        <v>951</v>
      </c>
      <c r="G106" s="174" t="s">
        <v>890</v>
      </c>
      <c r="H106" s="177">
        <v>1670</v>
      </c>
      <c r="I106" s="24">
        <v>103003</v>
      </c>
      <c r="J106" s="178">
        <v>0.56000000000000005</v>
      </c>
      <c r="K106" s="177">
        <v>8297</v>
      </c>
      <c r="L106" s="179">
        <v>1.8565869927737633</v>
      </c>
      <c r="M106" s="180">
        <v>9124</v>
      </c>
      <c r="N106" s="178">
        <v>5109.4399999999996</v>
      </c>
      <c r="O106" s="181" t="s">
        <v>891</v>
      </c>
      <c r="P106" s="180">
        <v>27500</v>
      </c>
      <c r="Q106" s="182">
        <v>15400</v>
      </c>
      <c r="R106" s="183">
        <v>45377</v>
      </c>
      <c r="S106" s="174" t="s">
        <v>892</v>
      </c>
      <c r="T106" s="44">
        <v>1</v>
      </c>
      <c r="U106" s="184">
        <v>72</v>
      </c>
      <c r="V106" s="185">
        <v>6</v>
      </c>
      <c r="W106" s="186" t="s">
        <v>883</v>
      </c>
      <c r="X106" s="187" t="s">
        <v>883</v>
      </c>
      <c r="Y106" s="188">
        <v>0</v>
      </c>
      <c r="Z106" s="188" t="s">
        <v>883</v>
      </c>
      <c r="AA106" s="187" t="s">
        <v>883</v>
      </c>
      <c r="AB106" s="188">
        <v>0</v>
      </c>
      <c r="AC106" s="188"/>
      <c r="AD106" s="189" t="s">
        <v>883</v>
      </c>
      <c r="AE106" s="190" t="s">
        <v>883</v>
      </c>
      <c r="AF106" s="180">
        <v>3598</v>
      </c>
      <c r="AG106" s="183">
        <v>45092</v>
      </c>
      <c r="AH106" s="183" t="s">
        <v>883</v>
      </c>
      <c r="AI106" s="183">
        <v>45076</v>
      </c>
      <c r="AJ106" s="183" t="s">
        <v>883</v>
      </c>
      <c r="AK106" s="174"/>
    </row>
    <row r="107" spans="1:37" x14ac:dyDescent="0.3">
      <c r="A107" s="173">
        <v>14662</v>
      </c>
      <c r="B107" s="174" t="s">
        <v>1061</v>
      </c>
      <c r="C107" s="175" t="s">
        <v>411</v>
      </c>
      <c r="D107" s="176">
        <v>41.42</v>
      </c>
      <c r="E107" s="174" t="s">
        <v>1062</v>
      </c>
      <c r="F107" s="174" t="s">
        <v>1063</v>
      </c>
      <c r="G107" s="174" t="s">
        <v>1064</v>
      </c>
      <c r="H107" s="177">
        <v>262</v>
      </c>
      <c r="I107" s="24">
        <v>103003</v>
      </c>
      <c r="J107" s="178">
        <v>41.42</v>
      </c>
      <c r="K107" s="177">
        <v>3250</v>
      </c>
      <c r="L107" s="179">
        <v>0.41265041265041269</v>
      </c>
      <c r="M107" s="180">
        <v>5857.04</v>
      </c>
      <c r="N107" s="178">
        <v>242598.5968</v>
      </c>
      <c r="O107" s="181" t="s">
        <v>1065</v>
      </c>
      <c r="P107" s="180">
        <v>2653</v>
      </c>
      <c r="Q107" s="182">
        <v>109887.26</v>
      </c>
      <c r="R107" s="183">
        <v>45267</v>
      </c>
      <c r="S107" s="174" t="s">
        <v>961</v>
      </c>
      <c r="T107" s="44">
        <v>1</v>
      </c>
      <c r="U107" s="184">
        <v>51</v>
      </c>
      <c r="V107" s="185">
        <v>3</v>
      </c>
      <c r="W107" s="186" t="s">
        <v>883</v>
      </c>
      <c r="X107" s="187" t="s">
        <v>883</v>
      </c>
      <c r="Y107" s="188">
        <v>0</v>
      </c>
      <c r="Z107" s="188">
        <v>8596</v>
      </c>
      <c r="AA107" s="187">
        <v>2023</v>
      </c>
      <c r="AB107" s="188">
        <v>1500</v>
      </c>
      <c r="AC107" s="188">
        <v>1500</v>
      </c>
      <c r="AD107" s="189" t="s">
        <v>2037</v>
      </c>
      <c r="AE107" s="190">
        <v>45138</v>
      </c>
      <c r="AF107" s="180">
        <v>2540</v>
      </c>
      <c r="AG107" s="183">
        <v>45140</v>
      </c>
      <c r="AH107" s="183" t="s">
        <v>883</v>
      </c>
      <c r="AI107" s="183">
        <v>45124</v>
      </c>
      <c r="AJ107" s="183" t="s">
        <v>883</v>
      </c>
      <c r="AK107" s="174"/>
    </row>
    <row r="108" spans="1:37" x14ac:dyDescent="0.3">
      <c r="A108" s="173">
        <v>14737</v>
      </c>
      <c r="B108" s="174" t="s">
        <v>1066</v>
      </c>
      <c r="C108" s="175" t="s">
        <v>1067</v>
      </c>
      <c r="D108" s="176">
        <v>430</v>
      </c>
      <c r="E108" s="174"/>
      <c r="F108" s="174"/>
      <c r="G108" s="174" t="s">
        <v>883</v>
      </c>
      <c r="H108" s="177">
        <v>33</v>
      </c>
      <c r="I108" s="24">
        <v>103003</v>
      </c>
      <c r="J108" s="178">
        <v>430</v>
      </c>
      <c r="K108" s="177">
        <v>13</v>
      </c>
      <c r="L108" s="179">
        <v>30.555555555555554</v>
      </c>
      <c r="M108" s="180">
        <v>0</v>
      </c>
      <c r="N108" s="178">
        <v>0</v>
      </c>
      <c r="O108" s="181" t="s">
        <v>882</v>
      </c>
      <c r="P108" s="180">
        <v>0</v>
      </c>
      <c r="Q108" s="182">
        <v>0</v>
      </c>
      <c r="R108" s="183" t="s">
        <v>883</v>
      </c>
      <c r="S108" s="174" t="s">
        <v>1068</v>
      </c>
      <c r="T108" s="44">
        <v>1</v>
      </c>
      <c r="U108" s="184">
        <v>76</v>
      </c>
      <c r="V108" s="185">
        <v>5</v>
      </c>
      <c r="W108" s="186" t="s">
        <v>883</v>
      </c>
      <c r="X108" s="187" t="s">
        <v>883</v>
      </c>
      <c r="Y108" s="188">
        <v>0</v>
      </c>
      <c r="Z108" s="188" t="s">
        <v>883</v>
      </c>
      <c r="AA108" s="187" t="s">
        <v>883</v>
      </c>
      <c r="AB108" s="188">
        <v>0</v>
      </c>
      <c r="AC108" s="188"/>
      <c r="AD108" s="189" t="s">
        <v>883</v>
      </c>
      <c r="AE108" s="190" t="s">
        <v>883</v>
      </c>
      <c r="AF108" s="180">
        <v>4</v>
      </c>
      <c r="AG108" s="183">
        <v>44986</v>
      </c>
      <c r="AH108" s="183" t="s">
        <v>883</v>
      </c>
      <c r="AI108" s="183">
        <v>44916</v>
      </c>
      <c r="AJ108" s="183" t="s">
        <v>883</v>
      </c>
      <c r="AK108" s="174"/>
    </row>
    <row r="109" spans="1:37" x14ac:dyDescent="0.3">
      <c r="A109" s="173">
        <v>14754</v>
      </c>
      <c r="B109" s="174" t="s">
        <v>1069</v>
      </c>
      <c r="C109" s="175" t="s">
        <v>281</v>
      </c>
      <c r="D109" s="176">
        <v>7.58</v>
      </c>
      <c r="E109" s="174"/>
      <c r="F109" s="174"/>
      <c r="G109" s="174" t="s">
        <v>883</v>
      </c>
      <c r="H109" s="177">
        <v>61</v>
      </c>
      <c r="I109" s="24">
        <v>103003</v>
      </c>
      <c r="J109" s="178">
        <v>7.58</v>
      </c>
      <c r="K109" s="177">
        <v>25</v>
      </c>
      <c r="L109" s="179">
        <v>22.846441947565541</v>
      </c>
      <c r="M109" s="180">
        <v>0</v>
      </c>
      <c r="N109" s="178">
        <v>0</v>
      </c>
      <c r="O109" s="181" t="s">
        <v>882</v>
      </c>
      <c r="P109" s="180">
        <v>0</v>
      </c>
      <c r="Q109" s="182">
        <v>0</v>
      </c>
      <c r="R109" s="183" t="s">
        <v>883</v>
      </c>
      <c r="S109" s="174" t="s">
        <v>1070</v>
      </c>
      <c r="T109" s="44">
        <v>1</v>
      </c>
      <c r="U109" s="184">
        <v>55</v>
      </c>
      <c r="V109" s="185">
        <v>40</v>
      </c>
      <c r="W109" s="186" t="s">
        <v>883</v>
      </c>
      <c r="X109" s="187" t="s">
        <v>883</v>
      </c>
      <c r="Y109" s="188">
        <v>0</v>
      </c>
      <c r="Z109" s="188" t="s">
        <v>883</v>
      </c>
      <c r="AA109" s="187" t="s">
        <v>883</v>
      </c>
      <c r="AB109" s="188">
        <v>0</v>
      </c>
      <c r="AC109" s="188"/>
      <c r="AD109" s="189" t="s">
        <v>883</v>
      </c>
      <c r="AE109" s="190" t="s">
        <v>883</v>
      </c>
      <c r="AF109" s="180">
        <v>10</v>
      </c>
      <c r="AG109" s="183">
        <v>43915</v>
      </c>
      <c r="AH109" s="183" t="s">
        <v>883</v>
      </c>
      <c r="AI109" s="183">
        <v>43948</v>
      </c>
      <c r="AJ109" s="183" t="s">
        <v>883</v>
      </c>
      <c r="AK109" s="174"/>
    </row>
    <row r="110" spans="1:37" x14ac:dyDescent="0.3">
      <c r="A110" s="173">
        <v>14784</v>
      </c>
      <c r="B110" s="174" t="s">
        <v>1071</v>
      </c>
      <c r="C110" s="175" t="s">
        <v>256</v>
      </c>
      <c r="D110" s="176">
        <v>6.8</v>
      </c>
      <c r="E110" s="174"/>
      <c r="F110" s="174"/>
      <c r="G110" s="174" t="s">
        <v>883</v>
      </c>
      <c r="H110" s="177">
        <v>0</v>
      </c>
      <c r="I110" s="24">
        <v>103003</v>
      </c>
      <c r="J110" s="178">
        <v>6.8</v>
      </c>
      <c r="K110" s="177">
        <v>258</v>
      </c>
      <c r="L110" s="179">
        <v>0</v>
      </c>
      <c r="M110" s="180">
        <v>178.04</v>
      </c>
      <c r="N110" s="178">
        <v>1210.672</v>
      </c>
      <c r="O110" s="181" t="s">
        <v>882</v>
      </c>
      <c r="P110" s="180">
        <v>0</v>
      </c>
      <c r="Q110" s="182">
        <v>0</v>
      </c>
      <c r="R110" s="183" t="s">
        <v>883</v>
      </c>
      <c r="S110" s="174" t="s">
        <v>988</v>
      </c>
      <c r="T110" s="44">
        <v>1</v>
      </c>
      <c r="U110" s="184">
        <v>55</v>
      </c>
      <c r="V110" s="185">
        <v>32</v>
      </c>
      <c r="W110" s="186">
        <v>2686</v>
      </c>
      <c r="X110" s="187">
        <v>2023</v>
      </c>
      <c r="Y110" s="188">
        <v>100</v>
      </c>
      <c r="Z110" s="188" t="s">
        <v>883</v>
      </c>
      <c r="AA110" s="187" t="s">
        <v>883</v>
      </c>
      <c r="AB110" s="188">
        <v>0</v>
      </c>
      <c r="AC110" s="188"/>
      <c r="AD110" s="189" t="s">
        <v>883</v>
      </c>
      <c r="AE110" s="190" t="s">
        <v>883</v>
      </c>
      <c r="AF110" s="180">
        <v>92</v>
      </c>
      <c r="AG110" s="183">
        <v>44733</v>
      </c>
      <c r="AH110" s="183" t="s">
        <v>883</v>
      </c>
      <c r="AI110" s="183">
        <v>44722</v>
      </c>
      <c r="AJ110" s="183" t="s">
        <v>883</v>
      </c>
      <c r="AK110" s="174"/>
    </row>
    <row r="111" spans="1:37" x14ac:dyDescent="0.3">
      <c r="A111" s="173">
        <v>14831</v>
      </c>
      <c r="B111" s="174" t="s">
        <v>1072</v>
      </c>
      <c r="C111" s="175" t="s">
        <v>256</v>
      </c>
      <c r="D111" s="176">
        <v>1.69</v>
      </c>
      <c r="E111" s="174"/>
      <c r="F111" s="174"/>
      <c r="G111" s="174" t="s">
        <v>883</v>
      </c>
      <c r="H111" s="177">
        <v>430</v>
      </c>
      <c r="I111" s="24">
        <v>103003</v>
      </c>
      <c r="J111" s="178">
        <v>1.69</v>
      </c>
      <c r="K111" s="177">
        <v>236</v>
      </c>
      <c r="L111" s="179">
        <v>20.159399906235347</v>
      </c>
      <c r="M111" s="180">
        <v>0</v>
      </c>
      <c r="N111" s="178">
        <v>0</v>
      </c>
      <c r="O111" s="181" t="s">
        <v>882</v>
      </c>
      <c r="P111" s="180">
        <v>0</v>
      </c>
      <c r="Q111" s="182">
        <v>0</v>
      </c>
      <c r="R111" s="183" t="s">
        <v>883</v>
      </c>
      <c r="S111" s="174" t="s">
        <v>1073</v>
      </c>
      <c r="T111" s="44">
        <v>1</v>
      </c>
      <c r="U111" s="184">
        <v>55</v>
      </c>
      <c r="V111" s="185">
        <v>27</v>
      </c>
      <c r="W111" s="186" t="s">
        <v>883</v>
      </c>
      <c r="X111" s="187" t="s">
        <v>883</v>
      </c>
      <c r="Y111" s="188">
        <v>0</v>
      </c>
      <c r="Z111" s="188" t="s">
        <v>883</v>
      </c>
      <c r="AA111" s="187" t="s">
        <v>883</v>
      </c>
      <c r="AB111" s="188">
        <v>0</v>
      </c>
      <c r="AC111" s="188"/>
      <c r="AD111" s="189" t="s">
        <v>883</v>
      </c>
      <c r="AE111" s="190" t="s">
        <v>883</v>
      </c>
      <c r="AF111" s="180">
        <v>86</v>
      </c>
      <c r="AG111" s="183">
        <v>44544</v>
      </c>
      <c r="AH111" s="183" t="s">
        <v>883</v>
      </c>
      <c r="AI111" s="183">
        <v>44470</v>
      </c>
      <c r="AJ111" s="183" t="s">
        <v>883</v>
      </c>
      <c r="AK111" s="174"/>
    </row>
    <row r="112" spans="1:37" x14ac:dyDescent="0.3">
      <c r="A112" s="173">
        <v>14885</v>
      </c>
      <c r="B112" s="174" t="s">
        <v>1074</v>
      </c>
      <c r="C112" s="175" t="s">
        <v>331</v>
      </c>
      <c r="D112" s="176">
        <v>2.56</v>
      </c>
      <c r="E112" s="174"/>
      <c r="F112" s="174"/>
      <c r="G112" s="174" t="s">
        <v>883</v>
      </c>
      <c r="H112" s="177">
        <v>0</v>
      </c>
      <c r="I112" s="24">
        <v>103003</v>
      </c>
      <c r="J112" s="178">
        <v>2.56</v>
      </c>
      <c r="K112" s="177">
        <v>200</v>
      </c>
      <c r="L112" s="179">
        <v>0</v>
      </c>
      <c r="M112" s="180">
        <v>100.04</v>
      </c>
      <c r="N112" s="178">
        <v>256.10239999999999</v>
      </c>
      <c r="O112" s="181" t="s">
        <v>882</v>
      </c>
      <c r="P112" s="180">
        <v>0</v>
      </c>
      <c r="Q112" s="182">
        <v>0</v>
      </c>
      <c r="R112" s="183" t="s">
        <v>883</v>
      </c>
      <c r="S112" s="174" t="s">
        <v>988</v>
      </c>
      <c r="T112" s="44">
        <v>1</v>
      </c>
      <c r="U112" s="184">
        <v>55</v>
      </c>
      <c r="V112" s="185">
        <v>32</v>
      </c>
      <c r="W112" s="186">
        <v>2956</v>
      </c>
      <c r="X112" s="187">
        <v>2023</v>
      </c>
      <c r="Y112" s="188">
        <v>100</v>
      </c>
      <c r="Z112" s="188" t="s">
        <v>883</v>
      </c>
      <c r="AA112" s="187" t="s">
        <v>883</v>
      </c>
      <c r="AB112" s="188">
        <v>0</v>
      </c>
      <c r="AC112" s="188"/>
      <c r="AD112" s="189" t="s">
        <v>883</v>
      </c>
      <c r="AE112" s="190" t="s">
        <v>883</v>
      </c>
      <c r="AF112" s="180">
        <v>66</v>
      </c>
      <c r="AG112" s="183">
        <v>44883</v>
      </c>
      <c r="AH112" s="183" t="s">
        <v>883</v>
      </c>
      <c r="AI112" s="183">
        <v>44845</v>
      </c>
      <c r="AJ112" s="183" t="s">
        <v>883</v>
      </c>
      <c r="AK112" s="174"/>
    </row>
    <row r="113" spans="1:37" x14ac:dyDescent="0.3">
      <c r="A113" s="173">
        <v>14887</v>
      </c>
      <c r="B113" s="174" t="s">
        <v>1075</v>
      </c>
      <c r="C113" s="175" t="s">
        <v>331</v>
      </c>
      <c r="D113" s="176">
        <v>3.75</v>
      </c>
      <c r="E113" s="174"/>
      <c r="F113" s="174"/>
      <c r="G113" s="174" t="s">
        <v>883</v>
      </c>
      <c r="H113" s="177">
        <v>0</v>
      </c>
      <c r="I113" s="24">
        <v>103003</v>
      </c>
      <c r="J113" s="178">
        <v>3.75</v>
      </c>
      <c r="K113" s="177">
        <v>200</v>
      </c>
      <c r="L113" s="179">
        <v>0</v>
      </c>
      <c r="M113" s="180">
        <v>0</v>
      </c>
      <c r="N113" s="178">
        <v>0</v>
      </c>
      <c r="O113" s="181" t="s">
        <v>882</v>
      </c>
      <c r="P113" s="180">
        <v>0</v>
      </c>
      <c r="Q113" s="182">
        <v>0</v>
      </c>
      <c r="R113" s="183" t="s">
        <v>883</v>
      </c>
      <c r="S113" s="174" t="s">
        <v>988</v>
      </c>
      <c r="T113" s="44">
        <v>1</v>
      </c>
      <c r="U113" s="184">
        <v>55</v>
      </c>
      <c r="V113" s="185">
        <v>32</v>
      </c>
      <c r="W113" s="186">
        <v>2448</v>
      </c>
      <c r="X113" s="187">
        <v>2023</v>
      </c>
      <c r="Y113" s="188">
        <v>300</v>
      </c>
      <c r="Z113" s="188" t="s">
        <v>883</v>
      </c>
      <c r="AA113" s="187" t="s">
        <v>883</v>
      </c>
      <c r="AB113" s="188">
        <v>0</v>
      </c>
      <c r="AC113" s="188"/>
      <c r="AD113" s="189" t="s">
        <v>883</v>
      </c>
      <c r="AE113" s="190" t="s">
        <v>883</v>
      </c>
      <c r="AF113" s="180">
        <v>66</v>
      </c>
      <c r="AG113" s="183">
        <v>44883</v>
      </c>
      <c r="AH113" s="183" t="s">
        <v>883</v>
      </c>
      <c r="AI113" s="183">
        <v>44845</v>
      </c>
      <c r="AJ113" s="183" t="s">
        <v>883</v>
      </c>
      <c r="AK113" s="174"/>
    </row>
    <row r="114" spans="1:37" x14ac:dyDescent="0.3">
      <c r="A114" s="173">
        <v>14921</v>
      </c>
      <c r="B114" s="174" t="s">
        <v>1076</v>
      </c>
      <c r="C114" s="175" t="s">
        <v>281</v>
      </c>
      <c r="D114" s="176">
        <v>4.3499999999999996</v>
      </c>
      <c r="E114" s="174"/>
      <c r="F114" s="174"/>
      <c r="G114" s="174" t="s">
        <v>883</v>
      </c>
      <c r="H114" s="177">
        <v>616</v>
      </c>
      <c r="I114" s="24">
        <v>103003</v>
      </c>
      <c r="J114" s="178">
        <v>4.3499999999999996</v>
      </c>
      <c r="K114" s="177">
        <v>764</v>
      </c>
      <c r="L114" s="179">
        <v>5.8069381598793361</v>
      </c>
      <c r="M114" s="180">
        <v>0</v>
      </c>
      <c r="N114" s="178">
        <v>0</v>
      </c>
      <c r="O114" s="181" t="s">
        <v>882</v>
      </c>
      <c r="P114" s="180">
        <v>0</v>
      </c>
      <c r="Q114" s="182">
        <v>0</v>
      </c>
      <c r="R114" s="183" t="s">
        <v>883</v>
      </c>
      <c r="S114" s="174" t="s">
        <v>1070</v>
      </c>
      <c r="T114" s="44">
        <v>1</v>
      </c>
      <c r="U114" s="184">
        <v>55</v>
      </c>
      <c r="V114" s="185">
        <v>40</v>
      </c>
      <c r="W114" s="186">
        <v>2698</v>
      </c>
      <c r="X114" s="187">
        <v>2023</v>
      </c>
      <c r="Y114" s="188">
        <v>800</v>
      </c>
      <c r="Z114" s="188" t="s">
        <v>883</v>
      </c>
      <c r="AA114" s="187" t="s">
        <v>883</v>
      </c>
      <c r="AB114" s="188">
        <v>0</v>
      </c>
      <c r="AC114" s="188"/>
      <c r="AD114" s="189" t="s">
        <v>883</v>
      </c>
      <c r="AE114" s="190" t="s">
        <v>883</v>
      </c>
      <c r="AF114" s="180">
        <v>424</v>
      </c>
      <c r="AG114" s="183">
        <v>44545</v>
      </c>
      <c r="AH114" s="183" t="s">
        <v>883</v>
      </c>
      <c r="AI114" s="183">
        <v>44917</v>
      </c>
      <c r="AJ114" s="183" t="s">
        <v>883</v>
      </c>
      <c r="AK114" s="174"/>
    </row>
    <row r="115" spans="1:37" x14ac:dyDescent="0.3">
      <c r="A115" s="173">
        <v>14977</v>
      </c>
      <c r="B115" s="174" t="s">
        <v>1077</v>
      </c>
      <c r="C115" s="175" t="s">
        <v>256</v>
      </c>
      <c r="D115" s="176">
        <v>51.56</v>
      </c>
      <c r="E115" s="174"/>
      <c r="F115" s="174"/>
      <c r="G115" s="174" t="s">
        <v>883</v>
      </c>
      <c r="H115" s="177">
        <v>100</v>
      </c>
      <c r="I115" s="24">
        <v>103003</v>
      </c>
      <c r="J115" s="178">
        <v>51.56</v>
      </c>
      <c r="K115" s="177">
        <v>79</v>
      </c>
      <c r="L115" s="179">
        <v>12.771392081736909</v>
      </c>
      <c r="M115" s="180">
        <v>0</v>
      </c>
      <c r="N115" s="178">
        <v>0</v>
      </c>
      <c r="O115" s="181" t="s">
        <v>882</v>
      </c>
      <c r="P115" s="180">
        <v>0</v>
      </c>
      <c r="Q115" s="182">
        <v>0</v>
      </c>
      <c r="R115" s="183" t="s">
        <v>883</v>
      </c>
      <c r="S115" s="174" t="s">
        <v>1078</v>
      </c>
      <c r="T115" s="44">
        <v>1</v>
      </c>
      <c r="U115" s="184">
        <v>51</v>
      </c>
      <c r="V115" s="185">
        <v>37</v>
      </c>
      <c r="W115" s="186">
        <v>2549</v>
      </c>
      <c r="X115" s="187">
        <v>2023</v>
      </c>
      <c r="Y115" s="188">
        <v>100</v>
      </c>
      <c r="Z115" s="188" t="s">
        <v>883</v>
      </c>
      <c r="AA115" s="187" t="s">
        <v>883</v>
      </c>
      <c r="AB115" s="188">
        <v>0</v>
      </c>
      <c r="AC115" s="188"/>
      <c r="AD115" s="189" t="s">
        <v>883</v>
      </c>
      <c r="AE115" s="190" t="s">
        <v>883</v>
      </c>
      <c r="AF115" s="180">
        <v>32</v>
      </c>
      <c r="AG115" s="183">
        <v>44634</v>
      </c>
      <c r="AH115" s="183" t="s">
        <v>883</v>
      </c>
      <c r="AI115" s="183">
        <v>44607</v>
      </c>
      <c r="AJ115" s="183" t="s">
        <v>883</v>
      </c>
      <c r="AK115" s="174"/>
    </row>
    <row r="116" spans="1:37" x14ac:dyDescent="0.3">
      <c r="A116" s="173">
        <v>15051</v>
      </c>
      <c r="B116" s="174" t="s">
        <v>1079</v>
      </c>
      <c r="C116" s="175" t="s">
        <v>256</v>
      </c>
      <c r="D116" s="176">
        <v>9.8000000000000007</v>
      </c>
      <c r="E116" s="174"/>
      <c r="F116" s="174"/>
      <c r="G116" s="174" t="s">
        <v>883</v>
      </c>
      <c r="H116" s="177">
        <v>51</v>
      </c>
      <c r="I116" s="24">
        <v>103003</v>
      </c>
      <c r="J116" s="178">
        <v>9.8000000000000007</v>
      </c>
      <c r="K116" s="177">
        <v>4</v>
      </c>
      <c r="L116" s="179">
        <v>154.54545454545453</v>
      </c>
      <c r="M116" s="180">
        <v>0</v>
      </c>
      <c r="N116" s="178">
        <v>0</v>
      </c>
      <c r="O116" s="181" t="s">
        <v>882</v>
      </c>
      <c r="P116" s="180">
        <v>0</v>
      </c>
      <c r="Q116" s="182">
        <v>0</v>
      </c>
      <c r="R116" s="183" t="s">
        <v>883</v>
      </c>
      <c r="S116" s="174" t="s">
        <v>1001</v>
      </c>
      <c r="T116" s="44">
        <v>1</v>
      </c>
      <c r="U116" s="184">
        <v>61</v>
      </c>
      <c r="V116" s="185">
        <v>11</v>
      </c>
      <c r="W116" s="186" t="s">
        <v>883</v>
      </c>
      <c r="X116" s="187" t="s">
        <v>883</v>
      </c>
      <c r="Y116" s="188">
        <v>0</v>
      </c>
      <c r="Z116" s="188" t="s">
        <v>883</v>
      </c>
      <c r="AA116" s="187" t="s">
        <v>883</v>
      </c>
      <c r="AB116" s="188">
        <v>0</v>
      </c>
      <c r="AC116" s="188"/>
      <c r="AD116" s="189" t="s">
        <v>883</v>
      </c>
      <c r="AE116" s="190" t="s">
        <v>883</v>
      </c>
      <c r="AF116" s="180">
        <v>2</v>
      </c>
      <c r="AG116" s="183">
        <v>44312</v>
      </c>
      <c r="AH116" s="183" t="s">
        <v>883</v>
      </c>
      <c r="AI116" s="183">
        <v>44579</v>
      </c>
      <c r="AJ116" s="183" t="s">
        <v>883</v>
      </c>
      <c r="AK116" s="174"/>
    </row>
    <row r="117" spans="1:37" x14ac:dyDescent="0.3">
      <c r="A117" s="173">
        <v>15066</v>
      </c>
      <c r="B117" s="174" t="s">
        <v>1080</v>
      </c>
      <c r="C117" s="175" t="s">
        <v>256</v>
      </c>
      <c r="D117" s="176">
        <v>39</v>
      </c>
      <c r="E117" s="174"/>
      <c r="F117" s="174"/>
      <c r="G117" s="174" t="s">
        <v>883</v>
      </c>
      <c r="H117" s="177">
        <v>179</v>
      </c>
      <c r="I117" s="24">
        <v>103003</v>
      </c>
      <c r="J117" s="178">
        <v>39</v>
      </c>
      <c r="K117" s="177">
        <v>143</v>
      </c>
      <c r="L117" s="179">
        <v>15.016778523489933</v>
      </c>
      <c r="M117" s="180">
        <v>0</v>
      </c>
      <c r="N117" s="178">
        <v>0</v>
      </c>
      <c r="O117" s="181" t="s">
        <v>882</v>
      </c>
      <c r="P117" s="180">
        <v>0</v>
      </c>
      <c r="Q117" s="182">
        <v>0</v>
      </c>
      <c r="R117" s="183" t="s">
        <v>883</v>
      </c>
      <c r="S117" s="174" t="s">
        <v>1009</v>
      </c>
      <c r="T117" s="44">
        <v>1</v>
      </c>
      <c r="U117" s="184">
        <v>61</v>
      </c>
      <c r="V117" s="185">
        <v>15</v>
      </c>
      <c r="W117" s="186" t="s">
        <v>883</v>
      </c>
      <c r="X117" s="187" t="s">
        <v>883</v>
      </c>
      <c r="Y117" s="188">
        <v>0</v>
      </c>
      <c r="Z117" s="188" t="s">
        <v>883</v>
      </c>
      <c r="AA117" s="187" t="s">
        <v>883</v>
      </c>
      <c r="AB117" s="188">
        <v>0</v>
      </c>
      <c r="AC117" s="188"/>
      <c r="AD117" s="189" t="s">
        <v>883</v>
      </c>
      <c r="AE117" s="190" t="s">
        <v>883</v>
      </c>
      <c r="AF117" s="180">
        <v>48</v>
      </c>
      <c r="AG117" s="183">
        <v>44613</v>
      </c>
      <c r="AH117" s="183" t="s">
        <v>883</v>
      </c>
      <c r="AI117" s="183">
        <v>44607</v>
      </c>
      <c r="AJ117" s="183" t="s">
        <v>883</v>
      </c>
      <c r="AK117" s="174"/>
    </row>
    <row r="118" spans="1:37" x14ac:dyDescent="0.3">
      <c r="A118" s="173">
        <v>15085</v>
      </c>
      <c r="B118" s="174" t="s">
        <v>1081</v>
      </c>
      <c r="C118" s="175" t="s">
        <v>256</v>
      </c>
      <c r="D118" s="176">
        <v>0.14000000000000001</v>
      </c>
      <c r="E118" s="174"/>
      <c r="F118" s="174"/>
      <c r="G118" s="174" t="s">
        <v>883</v>
      </c>
      <c r="H118" s="177">
        <v>559</v>
      </c>
      <c r="I118" s="24">
        <v>103003</v>
      </c>
      <c r="J118" s="178">
        <v>0.14000000000000001</v>
      </c>
      <c r="K118" s="177">
        <v>140</v>
      </c>
      <c r="L118" s="179">
        <v>44.435612082670907</v>
      </c>
      <c r="M118" s="180">
        <v>0</v>
      </c>
      <c r="N118" s="178">
        <v>0</v>
      </c>
      <c r="O118" s="181" t="s">
        <v>882</v>
      </c>
      <c r="P118" s="180">
        <v>0</v>
      </c>
      <c r="Q118" s="182">
        <v>0</v>
      </c>
      <c r="R118" s="183" t="s">
        <v>883</v>
      </c>
      <c r="S118" s="174" t="s">
        <v>1009</v>
      </c>
      <c r="T118" s="44">
        <v>1</v>
      </c>
      <c r="U118" s="184">
        <v>61</v>
      </c>
      <c r="V118" s="185">
        <v>15</v>
      </c>
      <c r="W118" s="186" t="s">
        <v>883</v>
      </c>
      <c r="X118" s="187" t="s">
        <v>883</v>
      </c>
      <c r="Y118" s="188">
        <v>0</v>
      </c>
      <c r="Z118" s="188" t="s">
        <v>883</v>
      </c>
      <c r="AA118" s="187" t="s">
        <v>883</v>
      </c>
      <c r="AB118" s="188">
        <v>0</v>
      </c>
      <c r="AC118" s="188"/>
      <c r="AD118" s="189" t="s">
        <v>883</v>
      </c>
      <c r="AE118" s="190" t="s">
        <v>883</v>
      </c>
      <c r="AF118" s="180">
        <v>50</v>
      </c>
      <c r="AG118" s="183">
        <v>39752</v>
      </c>
      <c r="AH118" s="183" t="s">
        <v>883</v>
      </c>
      <c r="AI118" s="183">
        <v>42501</v>
      </c>
      <c r="AJ118" s="183" t="s">
        <v>883</v>
      </c>
      <c r="AK118" s="174"/>
    </row>
    <row r="119" spans="1:37" x14ac:dyDescent="0.3">
      <c r="A119" s="173">
        <v>15167</v>
      </c>
      <c r="B119" s="174" t="s">
        <v>1082</v>
      </c>
      <c r="C119" s="175" t="s">
        <v>256</v>
      </c>
      <c r="D119" s="176">
        <v>24.4</v>
      </c>
      <c r="E119" s="174"/>
      <c r="F119" s="174"/>
      <c r="G119" s="174" t="s">
        <v>883</v>
      </c>
      <c r="H119" s="177">
        <v>290</v>
      </c>
      <c r="I119" s="24">
        <v>103003</v>
      </c>
      <c r="J119" s="178">
        <v>24.4</v>
      </c>
      <c r="K119" s="177">
        <v>564</v>
      </c>
      <c r="L119" s="179">
        <v>5.6673832323627122</v>
      </c>
      <c r="M119" s="180">
        <v>0</v>
      </c>
      <c r="N119" s="178">
        <v>0</v>
      </c>
      <c r="O119" s="181" t="s">
        <v>882</v>
      </c>
      <c r="P119" s="180">
        <v>0</v>
      </c>
      <c r="Q119" s="182">
        <v>0</v>
      </c>
      <c r="R119" s="183" t="s">
        <v>883</v>
      </c>
      <c r="S119" s="174" t="s">
        <v>1083</v>
      </c>
      <c r="T119" s="44">
        <v>1</v>
      </c>
      <c r="U119" s="184">
        <v>55</v>
      </c>
      <c r="V119" s="185">
        <v>49</v>
      </c>
      <c r="W119" s="186">
        <v>2376</v>
      </c>
      <c r="X119" s="187">
        <v>2023</v>
      </c>
      <c r="Y119" s="188">
        <v>1100</v>
      </c>
      <c r="Z119" s="188" t="s">
        <v>883</v>
      </c>
      <c r="AA119" s="187" t="s">
        <v>883</v>
      </c>
      <c r="AB119" s="188">
        <v>0</v>
      </c>
      <c r="AC119" s="188"/>
      <c r="AD119" s="189" t="s">
        <v>883</v>
      </c>
      <c r="AE119" s="190" t="s">
        <v>883</v>
      </c>
      <c r="AF119" s="180">
        <v>204</v>
      </c>
      <c r="AG119" s="183">
        <v>45006</v>
      </c>
      <c r="AH119" s="183" t="s">
        <v>883</v>
      </c>
      <c r="AI119" s="183">
        <v>44917</v>
      </c>
      <c r="AJ119" s="183" t="s">
        <v>883</v>
      </c>
      <c r="AK119" s="174"/>
    </row>
    <row r="120" spans="1:37" x14ac:dyDescent="0.3">
      <c r="A120" s="173">
        <v>15267</v>
      </c>
      <c r="B120" s="174" t="s">
        <v>1084</v>
      </c>
      <c r="C120" s="175" t="s">
        <v>256</v>
      </c>
      <c r="D120" s="176">
        <v>2.38</v>
      </c>
      <c r="E120" s="174"/>
      <c r="F120" s="174"/>
      <c r="G120" s="174" t="s">
        <v>883</v>
      </c>
      <c r="H120" s="177">
        <v>23</v>
      </c>
      <c r="I120" s="24">
        <v>103003</v>
      </c>
      <c r="J120" s="178">
        <v>2.38</v>
      </c>
      <c r="K120" s="177">
        <v>30</v>
      </c>
      <c r="L120" s="179">
        <v>8.1272084805653702</v>
      </c>
      <c r="M120" s="180">
        <v>0</v>
      </c>
      <c r="N120" s="178">
        <v>0</v>
      </c>
      <c r="O120" s="181" t="s">
        <v>882</v>
      </c>
      <c r="P120" s="180">
        <v>0</v>
      </c>
      <c r="Q120" s="182">
        <v>0</v>
      </c>
      <c r="R120" s="183" t="s">
        <v>883</v>
      </c>
      <c r="S120" s="174" t="s">
        <v>1085</v>
      </c>
      <c r="T120" s="44">
        <v>1</v>
      </c>
      <c r="U120" s="184">
        <v>55</v>
      </c>
      <c r="V120" s="185">
        <v>34</v>
      </c>
      <c r="W120" s="186">
        <v>2956</v>
      </c>
      <c r="X120" s="187">
        <v>2023</v>
      </c>
      <c r="Y120" s="188">
        <v>20</v>
      </c>
      <c r="Z120" s="188" t="s">
        <v>883</v>
      </c>
      <c r="AA120" s="187" t="s">
        <v>883</v>
      </c>
      <c r="AB120" s="188">
        <v>0</v>
      </c>
      <c r="AC120" s="188"/>
      <c r="AD120" s="189" t="s">
        <v>883</v>
      </c>
      <c r="AE120" s="190" t="s">
        <v>883</v>
      </c>
      <c r="AF120" s="180">
        <v>12</v>
      </c>
      <c r="AG120" s="183">
        <v>43664</v>
      </c>
      <c r="AH120" s="183" t="s">
        <v>883</v>
      </c>
      <c r="AI120" s="183">
        <v>43623</v>
      </c>
      <c r="AJ120" s="183" t="s">
        <v>883</v>
      </c>
      <c r="AK120" s="174"/>
    </row>
    <row r="121" spans="1:37" x14ac:dyDescent="0.3">
      <c r="A121" s="173">
        <v>15271</v>
      </c>
      <c r="B121" s="174" t="s">
        <v>1086</v>
      </c>
      <c r="C121" s="175" t="s">
        <v>256</v>
      </c>
      <c r="D121" s="176">
        <v>17.16</v>
      </c>
      <c r="E121" s="174"/>
      <c r="F121" s="174"/>
      <c r="G121" s="174" t="s">
        <v>883</v>
      </c>
      <c r="H121" s="177">
        <v>263</v>
      </c>
      <c r="I121" s="24">
        <v>103003</v>
      </c>
      <c r="J121" s="178">
        <v>17.16</v>
      </c>
      <c r="K121" s="177"/>
      <c r="L121" s="179">
        <v>0</v>
      </c>
      <c r="M121" s="180">
        <v>0</v>
      </c>
      <c r="N121" s="178">
        <v>0</v>
      </c>
      <c r="O121" s="181" t="s">
        <v>882</v>
      </c>
      <c r="P121" s="180">
        <v>0</v>
      </c>
      <c r="Q121" s="182">
        <v>0</v>
      </c>
      <c r="R121" s="183" t="s">
        <v>883</v>
      </c>
      <c r="S121" s="174" t="s">
        <v>1085</v>
      </c>
      <c r="T121" s="44">
        <v>1</v>
      </c>
      <c r="U121" s="184">
        <v>55</v>
      </c>
      <c r="V121" s="185">
        <v>34</v>
      </c>
      <c r="W121" s="186" t="s">
        <v>883</v>
      </c>
      <c r="X121" s="187" t="s">
        <v>883</v>
      </c>
      <c r="Y121" s="188">
        <v>0</v>
      </c>
      <c r="Z121" s="188" t="s">
        <v>883</v>
      </c>
      <c r="AA121" s="187" t="s">
        <v>883</v>
      </c>
      <c r="AB121" s="188">
        <v>0</v>
      </c>
      <c r="AC121" s="188"/>
      <c r="AD121" s="189" t="s">
        <v>883</v>
      </c>
      <c r="AE121" s="190" t="s">
        <v>883</v>
      </c>
      <c r="AF121" s="180">
        <v>0</v>
      </c>
      <c r="AG121" s="183">
        <v>42086</v>
      </c>
      <c r="AH121" s="183" t="s">
        <v>883</v>
      </c>
      <c r="AI121" s="183">
        <v>43004</v>
      </c>
      <c r="AJ121" s="183" t="s">
        <v>883</v>
      </c>
      <c r="AK121" s="174"/>
    </row>
    <row r="122" spans="1:37" x14ac:dyDescent="0.3">
      <c r="A122" s="173">
        <v>15272</v>
      </c>
      <c r="B122" s="174" t="s">
        <v>1087</v>
      </c>
      <c r="C122" s="175" t="s">
        <v>256</v>
      </c>
      <c r="D122" s="176">
        <v>4.8</v>
      </c>
      <c r="E122" s="174"/>
      <c r="F122" s="174"/>
      <c r="G122" s="174" t="s">
        <v>883</v>
      </c>
      <c r="H122" s="177">
        <v>100</v>
      </c>
      <c r="I122" s="24">
        <v>103003</v>
      </c>
      <c r="J122" s="178">
        <v>4.8</v>
      </c>
      <c r="K122" s="177">
        <v>30</v>
      </c>
      <c r="L122" s="179">
        <v>40</v>
      </c>
      <c r="M122" s="180">
        <v>0</v>
      </c>
      <c r="N122" s="178">
        <v>0</v>
      </c>
      <c r="O122" s="181" t="s">
        <v>882</v>
      </c>
      <c r="P122" s="180">
        <v>0</v>
      </c>
      <c r="Q122" s="182">
        <v>0</v>
      </c>
      <c r="R122" s="183" t="s">
        <v>883</v>
      </c>
      <c r="S122" s="174" t="s">
        <v>1085</v>
      </c>
      <c r="T122" s="44">
        <v>1</v>
      </c>
      <c r="U122" s="184">
        <v>55</v>
      </c>
      <c r="V122" s="185">
        <v>34</v>
      </c>
      <c r="W122" s="186" t="s">
        <v>883</v>
      </c>
      <c r="X122" s="187" t="s">
        <v>883</v>
      </c>
      <c r="Y122" s="188">
        <v>0</v>
      </c>
      <c r="Z122" s="188" t="s">
        <v>883</v>
      </c>
      <c r="AA122" s="187" t="s">
        <v>883</v>
      </c>
      <c r="AB122" s="188">
        <v>0</v>
      </c>
      <c r="AC122" s="188"/>
      <c r="AD122" s="189" t="s">
        <v>883</v>
      </c>
      <c r="AE122" s="190" t="s">
        <v>883</v>
      </c>
      <c r="AF122" s="180">
        <v>10</v>
      </c>
      <c r="AG122" s="183">
        <v>44855</v>
      </c>
      <c r="AH122" s="183" t="s">
        <v>883</v>
      </c>
      <c r="AI122" s="183">
        <v>44845</v>
      </c>
      <c r="AJ122" s="183" t="s">
        <v>883</v>
      </c>
      <c r="AK122" s="174"/>
    </row>
    <row r="123" spans="1:37" x14ac:dyDescent="0.3">
      <c r="A123" s="173">
        <v>15299</v>
      </c>
      <c r="B123" s="174" t="s">
        <v>1088</v>
      </c>
      <c r="C123" s="175" t="s">
        <v>256</v>
      </c>
      <c r="D123" s="176">
        <v>4.2</v>
      </c>
      <c r="E123" s="174"/>
      <c r="F123" s="174"/>
      <c r="G123" s="174" t="s">
        <v>883</v>
      </c>
      <c r="H123" s="177">
        <v>46</v>
      </c>
      <c r="I123" s="24">
        <v>103003</v>
      </c>
      <c r="J123" s="178">
        <v>4.2</v>
      </c>
      <c r="K123" s="177">
        <v>324</v>
      </c>
      <c r="L123" s="179">
        <v>1.3597398758498376</v>
      </c>
      <c r="M123" s="180">
        <v>259.95999999999998</v>
      </c>
      <c r="N123" s="178">
        <v>1091.8320000000001</v>
      </c>
      <c r="O123" s="181" t="s">
        <v>882</v>
      </c>
      <c r="P123" s="180">
        <v>0</v>
      </c>
      <c r="Q123" s="182">
        <v>0</v>
      </c>
      <c r="R123" s="183" t="s">
        <v>883</v>
      </c>
      <c r="S123" s="174" t="s">
        <v>985</v>
      </c>
      <c r="T123" s="44">
        <v>1</v>
      </c>
      <c r="U123" s="184">
        <v>55</v>
      </c>
      <c r="V123" s="185">
        <v>7</v>
      </c>
      <c r="W123" s="186">
        <v>2442</v>
      </c>
      <c r="X123" s="187">
        <v>2023</v>
      </c>
      <c r="Y123" s="188">
        <v>100</v>
      </c>
      <c r="Z123" s="188" t="s">
        <v>883</v>
      </c>
      <c r="AA123" s="187" t="s">
        <v>883</v>
      </c>
      <c r="AB123" s="188">
        <v>0</v>
      </c>
      <c r="AC123" s="188"/>
      <c r="AD123" s="189" t="s">
        <v>883</v>
      </c>
      <c r="AE123" s="190" t="s">
        <v>883</v>
      </c>
      <c r="AF123" s="180">
        <v>136</v>
      </c>
      <c r="AG123" s="183">
        <v>44336</v>
      </c>
      <c r="AH123" s="183" t="s">
        <v>883</v>
      </c>
      <c r="AI123" s="183">
        <v>44722</v>
      </c>
      <c r="AJ123" s="183" t="s">
        <v>883</v>
      </c>
      <c r="AK123" s="174"/>
    </row>
    <row r="124" spans="1:37" x14ac:dyDescent="0.3">
      <c r="A124" s="173">
        <v>15436</v>
      </c>
      <c r="B124" s="174" t="s">
        <v>1089</v>
      </c>
      <c r="C124" s="175" t="s">
        <v>256</v>
      </c>
      <c r="D124" s="176">
        <v>29.62</v>
      </c>
      <c r="E124" s="174"/>
      <c r="F124" s="174"/>
      <c r="G124" s="174" t="s">
        <v>883</v>
      </c>
      <c r="H124" s="177">
        <v>0</v>
      </c>
      <c r="I124" s="24">
        <v>103003</v>
      </c>
      <c r="J124" s="178">
        <v>29.62</v>
      </c>
      <c r="K124" s="177">
        <v>806</v>
      </c>
      <c r="L124" s="179">
        <v>0</v>
      </c>
      <c r="M124" s="180">
        <v>425.04</v>
      </c>
      <c r="N124" s="178">
        <v>12589.684800000001</v>
      </c>
      <c r="O124" s="181" t="s">
        <v>882</v>
      </c>
      <c r="P124" s="180">
        <v>0</v>
      </c>
      <c r="Q124" s="182">
        <v>0</v>
      </c>
      <c r="R124" s="183" t="s">
        <v>883</v>
      </c>
      <c r="S124" s="174" t="s">
        <v>1090</v>
      </c>
      <c r="T124" s="44">
        <v>1</v>
      </c>
      <c r="U124" s="184">
        <v>51</v>
      </c>
      <c r="V124" s="185">
        <v>9</v>
      </c>
      <c r="W124" s="186">
        <v>2544</v>
      </c>
      <c r="X124" s="187">
        <v>2023</v>
      </c>
      <c r="Y124" s="188">
        <v>600</v>
      </c>
      <c r="Z124" s="188" t="s">
        <v>883</v>
      </c>
      <c r="AA124" s="187" t="s">
        <v>883</v>
      </c>
      <c r="AB124" s="188">
        <v>0</v>
      </c>
      <c r="AC124" s="188"/>
      <c r="AD124" s="189" t="s">
        <v>883</v>
      </c>
      <c r="AE124" s="190" t="s">
        <v>883</v>
      </c>
      <c r="AF124" s="180">
        <v>342</v>
      </c>
      <c r="AG124" s="183">
        <v>44161</v>
      </c>
      <c r="AH124" s="183" t="s">
        <v>883</v>
      </c>
      <c r="AI124" s="183">
        <v>44207</v>
      </c>
      <c r="AJ124" s="183" t="s">
        <v>883</v>
      </c>
      <c r="AK124" s="174"/>
    </row>
    <row r="125" spans="1:37" x14ac:dyDescent="0.3">
      <c r="A125" s="173">
        <v>15464</v>
      </c>
      <c r="B125" s="174" t="s">
        <v>1086</v>
      </c>
      <c r="C125" s="175" t="s">
        <v>256</v>
      </c>
      <c r="D125" s="176">
        <v>8.8000000000000007</v>
      </c>
      <c r="E125" s="174"/>
      <c r="F125" s="174"/>
      <c r="G125" s="174" t="s">
        <v>883</v>
      </c>
      <c r="H125" s="177">
        <v>185</v>
      </c>
      <c r="I125" s="24">
        <v>103003</v>
      </c>
      <c r="J125" s="178">
        <v>8.8000000000000007</v>
      </c>
      <c r="K125" s="177"/>
      <c r="L125" s="179">
        <v>2312.5</v>
      </c>
      <c r="M125" s="180">
        <v>0</v>
      </c>
      <c r="N125" s="178">
        <v>0</v>
      </c>
      <c r="O125" s="181" t="s">
        <v>882</v>
      </c>
      <c r="P125" s="180">
        <v>0</v>
      </c>
      <c r="Q125" s="182">
        <v>0</v>
      </c>
      <c r="R125" s="183" t="s">
        <v>883</v>
      </c>
      <c r="S125" s="174" t="s">
        <v>1085</v>
      </c>
      <c r="T125" s="44">
        <v>1</v>
      </c>
      <c r="U125" s="184">
        <v>55</v>
      </c>
      <c r="V125" s="185">
        <v>34</v>
      </c>
      <c r="W125" s="186" t="s">
        <v>883</v>
      </c>
      <c r="X125" s="187" t="s">
        <v>883</v>
      </c>
      <c r="Y125" s="188">
        <v>0</v>
      </c>
      <c r="Z125" s="188" t="s">
        <v>883</v>
      </c>
      <c r="AA125" s="187" t="s">
        <v>883</v>
      </c>
      <c r="AB125" s="188">
        <v>0</v>
      </c>
      <c r="AC125" s="188"/>
      <c r="AD125" s="189" t="s">
        <v>883</v>
      </c>
      <c r="AE125" s="190" t="s">
        <v>883</v>
      </c>
      <c r="AF125" s="180">
        <v>0</v>
      </c>
      <c r="AG125" s="183">
        <v>42086</v>
      </c>
      <c r="AH125" s="183" t="s">
        <v>883</v>
      </c>
      <c r="AI125" s="183">
        <v>42031</v>
      </c>
      <c r="AJ125" s="183" t="s">
        <v>883</v>
      </c>
      <c r="AK125" s="174"/>
    </row>
    <row r="126" spans="1:37" x14ac:dyDescent="0.3">
      <c r="A126" s="173">
        <v>15465</v>
      </c>
      <c r="B126" s="174" t="s">
        <v>1091</v>
      </c>
      <c r="C126" s="175" t="s">
        <v>256</v>
      </c>
      <c r="D126" s="176">
        <v>33.25</v>
      </c>
      <c r="E126" s="174"/>
      <c r="F126" s="174"/>
      <c r="G126" s="174" t="s">
        <v>883</v>
      </c>
      <c r="H126" s="177">
        <v>135</v>
      </c>
      <c r="I126" s="24">
        <v>103003</v>
      </c>
      <c r="J126" s="178">
        <v>33.25</v>
      </c>
      <c r="K126" s="177">
        <v>34</v>
      </c>
      <c r="L126" s="179">
        <v>47.703180212014132</v>
      </c>
      <c r="M126" s="180">
        <v>0</v>
      </c>
      <c r="N126" s="178">
        <v>0</v>
      </c>
      <c r="O126" s="181" t="s">
        <v>882</v>
      </c>
      <c r="P126" s="180">
        <v>0</v>
      </c>
      <c r="Q126" s="182">
        <v>0</v>
      </c>
      <c r="R126" s="183" t="s">
        <v>883</v>
      </c>
      <c r="S126" s="174" t="s">
        <v>1085</v>
      </c>
      <c r="T126" s="44">
        <v>1</v>
      </c>
      <c r="U126" s="184">
        <v>55</v>
      </c>
      <c r="V126" s="185">
        <v>34</v>
      </c>
      <c r="W126" s="186" t="s">
        <v>883</v>
      </c>
      <c r="X126" s="187" t="s">
        <v>883</v>
      </c>
      <c r="Y126" s="188">
        <v>0</v>
      </c>
      <c r="Z126" s="188" t="s">
        <v>883</v>
      </c>
      <c r="AA126" s="187" t="s">
        <v>883</v>
      </c>
      <c r="AB126" s="188">
        <v>0</v>
      </c>
      <c r="AC126" s="188"/>
      <c r="AD126" s="189" t="s">
        <v>883</v>
      </c>
      <c r="AE126" s="190" t="s">
        <v>883</v>
      </c>
      <c r="AF126" s="180">
        <v>12</v>
      </c>
      <c r="AG126" s="183">
        <v>42086</v>
      </c>
      <c r="AH126" s="183" t="s">
        <v>883</v>
      </c>
      <c r="AI126" s="183">
        <v>43584</v>
      </c>
      <c r="AJ126" s="183" t="s">
        <v>883</v>
      </c>
      <c r="AK126" s="174"/>
    </row>
    <row r="127" spans="1:37" x14ac:dyDescent="0.3">
      <c r="A127" s="173">
        <v>15466</v>
      </c>
      <c r="B127" s="174" t="s">
        <v>1092</v>
      </c>
      <c r="C127" s="175" t="s">
        <v>256</v>
      </c>
      <c r="D127" s="176">
        <v>2.16</v>
      </c>
      <c r="E127" s="174"/>
      <c r="F127" s="174"/>
      <c r="G127" s="174" t="s">
        <v>883</v>
      </c>
      <c r="H127" s="177">
        <v>192</v>
      </c>
      <c r="I127" s="24">
        <v>103003</v>
      </c>
      <c r="J127" s="178">
        <v>2.16</v>
      </c>
      <c r="K127" s="177">
        <v>39</v>
      </c>
      <c r="L127" s="179">
        <v>59.076923076923073</v>
      </c>
      <c r="M127" s="180">
        <v>0</v>
      </c>
      <c r="N127" s="178">
        <v>0</v>
      </c>
      <c r="O127" s="181" t="s">
        <v>882</v>
      </c>
      <c r="P127" s="180">
        <v>0</v>
      </c>
      <c r="Q127" s="182">
        <v>0</v>
      </c>
      <c r="R127" s="183" t="s">
        <v>883</v>
      </c>
      <c r="S127" s="174" t="s">
        <v>1085</v>
      </c>
      <c r="T127" s="44">
        <v>1</v>
      </c>
      <c r="U127" s="184">
        <v>55</v>
      </c>
      <c r="V127" s="185">
        <v>34</v>
      </c>
      <c r="W127" s="186" t="s">
        <v>883</v>
      </c>
      <c r="X127" s="187" t="s">
        <v>883</v>
      </c>
      <c r="Y127" s="188">
        <v>0</v>
      </c>
      <c r="Z127" s="188" t="s">
        <v>883</v>
      </c>
      <c r="AA127" s="187" t="s">
        <v>883</v>
      </c>
      <c r="AB127" s="188">
        <v>0</v>
      </c>
      <c r="AC127" s="188"/>
      <c r="AD127" s="189" t="s">
        <v>883</v>
      </c>
      <c r="AE127" s="190" t="s">
        <v>883</v>
      </c>
      <c r="AF127" s="180">
        <v>14</v>
      </c>
      <c r="AG127" s="183">
        <v>42076</v>
      </c>
      <c r="AH127" s="183" t="s">
        <v>883</v>
      </c>
      <c r="AI127" s="183">
        <v>42111</v>
      </c>
      <c r="AJ127" s="183" t="s">
        <v>883</v>
      </c>
      <c r="AK127" s="174"/>
    </row>
    <row r="128" spans="1:37" x14ac:dyDescent="0.3">
      <c r="A128" s="173">
        <v>15467</v>
      </c>
      <c r="B128" s="174" t="s">
        <v>1093</v>
      </c>
      <c r="C128" s="175" t="s">
        <v>256</v>
      </c>
      <c r="D128" s="176">
        <v>3.8</v>
      </c>
      <c r="E128" s="174"/>
      <c r="F128" s="174"/>
      <c r="G128" s="174" t="s">
        <v>883</v>
      </c>
      <c r="H128" s="177">
        <v>37</v>
      </c>
      <c r="I128" s="24">
        <v>103003</v>
      </c>
      <c r="J128" s="178">
        <v>3.8</v>
      </c>
      <c r="K128" s="177">
        <v>26</v>
      </c>
      <c r="L128" s="179">
        <v>17.05069124423963</v>
      </c>
      <c r="M128" s="180">
        <v>0</v>
      </c>
      <c r="N128" s="178">
        <v>0</v>
      </c>
      <c r="O128" s="181" t="s">
        <v>882</v>
      </c>
      <c r="P128" s="180">
        <v>0</v>
      </c>
      <c r="Q128" s="182">
        <v>0</v>
      </c>
      <c r="R128" s="183" t="s">
        <v>883</v>
      </c>
      <c r="S128" s="174" t="s">
        <v>1085</v>
      </c>
      <c r="T128" s="44">
        <v>1</v>
      </c>
      <c r="U128" s="184">
        <v>55</v>
      </c>
      <c r="V128" s="185">
        <v>34</v>
      </c>
      <c r="W128" s="186" t="s">
        <v>883</v>
      </c>
      <c r="X128" s="187" t="s">
        <v>883</v>
      </c>
      <c r="Y128" s="188">
        <v>0</v>
      </c>
      <c r="Z128" s="188" t="s">
        <v>883</v>
      </c>
      <c r="AA128" s="187" t="s">
        <v>883</v>
      </c>
      <c r="AB128" s="188">
        <v>0</v>
      </c>
      <c r="AC128" s="188"/>
      <c r="AD128" s="189" t="s">
        <v>883</v>
      </c>
      <c r="AE128" s="190" t="s">
        <v>883</v>
      </c>
      <c r="AF128" s="180">
        <v>8</v>
      </c>
      <c r="AG128" s="183">
        <v>42076</v>
      </c>
      <c r="AH128" s="183" t="s">
        <v>883</v>
      </c>
      <c r="AI128" s="183">
        <v>43004</v>
      </c>
      <c r="AJ128" s="183" t="s">
        <v>883</v>
      </c>
      <c r="AK128" s="174"/>
    </row>
    <row r="129" spans="1:37" x14ac:dyDescent="0.3">
      <c r="A129" s="173">
        <v>15469</v>
      </c>
      <c r="B129" s="174" t="s">
        <v>1094</v>
      </c>
      <c r="C129" s="175" t="s">
        <v>256</v>
      </c>
      <c r="D129" s="176">
        <v>6.12</v>
      </c>
      <c r="E129" s="174"/>
      <c r="F129" s="174"/>
      <c r="G129" s="174" t="s">
        <v>883</v>
      </c>
      <c r="H129" s="177">
        <v>75</v>
      </c>
      <c r="I129" s="24">
        <v>103003</v>
      </c>
      <c r="J129" s="178">
        <v>6.12</v>
      </c>
      <c r="K129" s="177">
        <v>48</v>
      </c>
      <c r="L129" s="179">
        <v>18.382352941176471</v>
      </c>
      <c r="M129" s="180">
        <v>0</v>
      </c>
      <c r="N129" s="178">
        <v>0</v>
      </c>
      <c r="O129" s="181" t="s">
        <v>882</v>
      </c>
      <c r="P129" s="180">
        <v>0</v>
      </c>
      <c r="Q129" s="182">
        <v>0</v>
      </c>
      <c r="R129" s="183" t="s">
        <v>883</v>
      </c>
      <c r="S129" s="174" t="s">
        <v>1085</v>
      </c>
      <c r="T129" s="44">
        <v>1</v>
      </c>
      <c r="U129" s="184">
        <v>55</v>
      </c>
      <c r="V129" s="185">
        <v>34</v>
      </c>
      <c r="W129" s="186" t="s">
        <v>883</v>
      </c>
      <c r="X129" s="187" t="s">
        <v>883</v>
      </c>
      <c r="Y129" s="188">
        <v>0</v>
      </c>
      <c r="Z129" s="188" t="s">
        <v>883</v>
      </c>
      <c r="AA129" s="187" t="s">
        <v>883</v>
      </c>
      <c r="AB129" s="188">
        <v>0</v>
      </c>
      <c r="AC129" s="188"/>
      <c r="AD129" s="189" t="s">
        <v>883</v>
      </c>
      <c r="AE129" s="190" t="s">
        <v>883</v>
      </c>
      <c r="AF129" s="180">
        <v>16</v>
      </c>
      <c r="AG129" s="183">
        <v>44068</v>
      </c>
      <c r="AH129" s="183" t="s">
        <v>883</v>
      </c>
      <c r="AI129" s="183">
        <v>44028</v>
      </c>
      <c r="AJ129" s="183" t="s">
        <v>883</v>
      </c>
      <c r="AK129" s="174"/>
    </row>
    <row r="130" spans="1:37" x14ac:dyDescent="0.3">
      <c r="A130" s="173">
        <v>15473</v>
      </c>
      <c r="B130" s="174" t="s">
        <v>1095</v>
      </c>
      <c r="C130" s="175" t="s">
        <v>256</v>
      </c>
      <c r="D130" s="176">
        <v>17</v>
      </c>
      <c r="E130" s="174"/>
      <c r="F130" s="174"/>
      <c r="G130" s="174" t="s">
        <v>883</v>
      </c>
      <c r="H130" s="177">
        <v>74</v>
      </c>
      <c r="I130" s="24">
        <v>103003</v>
      </c>
      <c r="J130" s="178">
        <v>17</v>
      </c>
      <c r="K130" s="177">
        <v>24</v>
      </c>
      <c r="L130" s="179">
        <v>37</v>
      </c>
      <c r="M130" s="180">
        <v>0</v>
      </c>
      <c r="N130" s="178">
        <v>0</v>
      </c>
      <c r="O130" s="181" t="s">
        <v>882</v>
      </c>
      <c r="P130" s="180">
        <v>0</v>
      </c>
      <c r="Q130" s="182">
        <v>0</v>
      </c>
      <c r="R130" s="183" t="s">
        <v>883</v>
      </c>
      <c r="S130" s="174" t="s">
        <v>1085</v>
      </c>
      <c r="T130" s="44">
        <v>1</v>
      </c>
      <c r="U130" s="184">
        <v>55</v>
      </c>
      <c r="V130" s="185">
        <v>34</v>
      </c>
      <c r="W130" s="186" t="s">
        <v>883</v>
      </c>
      <c r="X130" s="187" t="s">
        <v>883</v>
      </c>
      <c r="Y130" s="188">
        <v>0</v>
      </c>
      <c r="Z130" s="188" t="s">
        <v>883</v>
      </c>
      <c r="AA130" s="187" t="s">
        <v>883</v>
      </c>
      <c r="AB130" s="188">
        <v>0</v>
      </c>
      <c r="AC130" s="188"/>
      <c r="AD130" s="189" t="s">
        <v>883</v>
      </c>
      <c r="AE130" s="190" t="s">
        <v>883</v>
      </c>
      <c r="AF130" s="180">
        <v>0</v>
      </c>
      <c r="AG130" s="183">
        <v>42076</v>
      </c>
      <c r="AH130" s="183" t="s">
        <v>883</v>
      </c>
      <c r="AI130" s="183">
        <v>44146</v>
      </c>
      <c r="AJ130" s="183" t="s">
        <v>883</v>
      </c>
      <c r="AK130" s="174"/>
    </row>
    <row r="131" spans="1:37" x14ac:dyDescent="0.3">
      <c r="A131" s="173">
        <v>15475</v>
      </c>
      <c r="B131" s="174" t="s">
        <v>1096</v>
      </c>
      <c r="C131" s="175" t="s">
        <v>256</v>
      </c>
      <c r="D131" s="176">
        <v>23.5</v>
      </c>
      <c r="E131" s="174"/>
      <c r="F131" s="174"/>
      <c r="G131" s="174" t="s">
        <v>883</v>
      </c>
      <c r="H131" s="177">
        <v>132</v>
      </c>
      <c r="I131" s="24">
        <v>103003</v>
      </c>
      <c r="J131" s="178">
        <v>23.5</v>
      </c>
      <c r="K131" s="177">
        <v>30</v>
      </c>
      <c r="L131" s="179">
        <v>46.64310954063604</v>
      </c>
      <c r="M131" s="180">
        <v>0</v>
      </c>
      <c r="N131" s="178">
        <v>0</v>
      </c>
      <c r="O131" s="181" t="s">
        <v>882</v>
      </c>
      <c r="P131" s="180">
        <v>0</v>
      </c>
      <c r="Q131" s="182">
        <v>0</v>
      </c>
      <c r="R131" s="183" t="s">
        <v>883</v>
      </c>
      <c r="S131" s="174" t="s">
        <v>1085</v>
      </c>
      <c r="T131" s="44">
        <v>1</v>
      </c>
      <c r="U131" s="184">
        <v>55</v>
      </c>
      <c r="V131" s="185">
        <v>34</v>
      </c>
      <c r="W131" s="186" t="s">
        <v>883</v>
      </c>
      <c r="X131" s="187" t="s">
        <v>883</v>
      </c>
      <c r="Y131" s="188">
        <v>0</v>
      </c>
      <c r="Z131" s="188" t="s">
        <v>883</v>
      </c>
      <c r="AA131" s="187" t="s">
        <v>883</v>
      </c>
      <c r="AB131" s="188">
        <v>0</v>
      </c>
      <c r="AC131" s="188"/>
      <c r="AD131" s="189" t="s">
        <v>883</v>
      </c>
      <c r="AE131" s="190" t="s">
        <v>883</v>
      </c>
      <c r="AF131" s="180">
        <v>0</v>
      </c>
      <c r="AG131" s="183">
        <v>42076</v>
      </c>
      <c r="AH131" s="183" t="s">
        <v>883</v>
      </c>
      <c r="AI131" s="183">
        <v>44155</v>
      </c>
      <c r="AJ131" s="183" t="s">
        <v>883</v>
      </c>
      <c r="AK131" s="174"/>
    </row>
    <row r="132" spans="1:37" x14ac:dyDescent="0.3">
      <c r="A132" s="173">
        <v>15530</v>
      </c>
      <c r="B132" s="174" t="s">
        <v>1097</v>
      </c>
      <c r="C132" s="175" t="s">
        <v>569</v>
      </c>
      <c r="D132" s="176">
        <v>7.0000000000000007E-2</v>
      </c>
      <c r="E132" s="174"/>
      <c r="F132" s="174"/>
      <c r="G132" s="174" t="s">
        <v>883</v>
      </c>
      <c r="H132" s="177">
        <v>28619</v>
      </c>
      <c r="I132" s="24">
        <v>103003</v>
      </c>
      <c r="J132" s="178">
        <v>7.0000000000000007E-2</v>
      </c>
      <c r="K132" s="177">
        <v>15300</v>
      </c>
      <c r="L132" s="179">
        <v>13.770190489479534</v>
      </c>
      <c r="M132" s="180">
        <v>0</v>
      </c>
      <c r="N132" s="178">
        <v>0</v>
      </c>
      <c r="O132" s="181" t="s">
        <v>882</v>
      </c>
      <c r="P132" s="180">
        <v>0</v>
      </c>
      <c r="Q132" s="182">
        <v>0</v>
      </c>
      <c r="R132" s="183" t="s">
        <v>883</v>
      </c>
      <c r="S132" s="174" t="s">
        <v>1098</v>
      </c>
      <c r="T132" s="44">
        <v>1</v>
      </c>
      <c r="U132" s="184">
        <v>45</v>
      </c>
      <c r="V132" s="185">
        <v>13</v>
      </c>
      <c r="W132" s="186" t="s">
        <v>883</v>
      </c>
      <c r="X132" s="187" t="s">
        <v>883</v>
      </c>
      <c r="Y132" s="188">
        <v>0</v>
      </c>
      <c r="Z132" s="188" t="s">
        <v>883</v>
      </c>
      <c r="AA132" s="187" t="s">
        <v>883</v>
      </c>
      <c r="AB132" s="188">
        <v>0</v>
      </c>
      <c r="AC132" s="188"/>
      <c r="AD132" s="189" t="s">
        <v>883</v>
      </c>
      <c r="AE132" s="190" t="s">
        <v>883</v>
      </c>
      <c r="AF132" s="180">
        <v>8314</v>
      </c>
      <c r="AG132" s="183">
        <v>44204</v>
      </c>
      <c r="AH132" s="183" t="s">
        <v>883</v>
      </c>
      <c r="AI132" s="183">
        <v>44169</v>
      </c>
      <c r="AJ132" s="183" t="s">
        <v>883</v>
      </c>
      <c r="AK132" s="174"/>
    </row>
    <row r="133" spans="1:37" x14ac:dyDescent="0.3">
      <c r="A133" s="173">
        <v>15648</v>
      </c>
      <c r="B133" s="174" t="s">
        <v>1099</v>
      </c>
      <c r="C133" s="175" t="s">
        <v>256</v>
      </c>
      <c r="D133" s="176">
        <v>3.24</v>
      </c>
      <c r="E133" s="174"/>
      <c r="F133" s="174"/>
      <c r="G133" s="174" t="s">
        <v>883</v>
      </c>
      <c r="H133" s="177">
        <v>36</v>
      </c>
      <c r="I133" s="24">
        <v>103003</v>
      </c>
      <c r="J133" s="178">
        <v>3.24</v>
      </c>
      <c r="K133" s="177">
        <v>22</v>
      </c>
      <c r="L133" s="179">
        <v>19.672131147540984</v>
      </c>
      <c r="M133" s="180">
        <v>0</v>
      </c>
      <c r="N133" s="178">
        <v>0</v>
      </c>
      <c r="O133" s="181" t="s">
        <v>882</v>
      </c>
      <c r="P133" s="180">
        <v>0</v>
      </c>
      <c r="Q133" s="182">
        <v>0</v>
      </c>
      <c r="R133" s="183" t="s">
        <v>883</v>
      </c>
      <c r="S133" s="174" t="s">
        <v>1100</v>
      </c>
      <c r="T133" s="44">
        <v>1</v>
      </c>
      <c r="U133" s="184">
        <v>55</v>
      </c>
      <c r="V133" s="185">
        <v>35</v>
      </c>
      <c r="W133" s="186">
        <v>2442</v>
      </c>
      <c r="X133" s="187">
        <v>2023</v>
      </c>
      <c r="Y133" s="188">
        <v>10</v>
      </c>
      <c r="Z133" s="188" t="s">
        <v>883</v>
      </c>
      <c r="AA133" s="187" t="s">
        <v>883</v>
      </c>
      <c r="AB133" s="188">
        <v>0</v>
      </c>
      <c r="AC133" s="188"/>
      <c r="AD133" s="189" t="s">
        <v>883</v>
      </c>
      <c r="AE133" s="190" t="s">
        <v>883</v>
      </c>
      <c r="AF133" s="180">
        <v>8</v>
      </c>
      <c r="AG133" s="183">
        <v>43916</v>
      </c>
      <c r="AH133" s="183" t="s">
        <v>883</v>
      </c>
      <c r="AI133" s="183">
        <v>43865</v>
      </c>
      <c r="AJ133" s="183" t="s">
        <v>883</v>
      </c>
      <c r="AK133" s="174"/>
    </row>
    <row r="134" spans="1:37" x14ac:dyDescent="0.3">
      <c r="A134" s="173">
        <v>15656</v>
      </c>
      <c r="B134" s="174" t="s">
        <v>1101</v>
      </c>
      <c r="C134" s="175" t="s">
        <v>256</v>
      </c>
      <c r="D134" s="176">
        <v>5.75</v>
      </c>
      <c r="E134" s="174"/>
      <c r="F134" s="174"/>
      <c r="G134" s="174" t="s">
        <v>883</v>
      </c>
      <c r="H134" s="177">
        <v>136</v>
      </c>
      <c r="I134" s="24">
        <v>103003</v>
      </c>
      <c r="J134" s="178">
        <v>5.75</v>
      </c>
      <c r="K134" s="177">
        <v>15</v>
      </c>
      <c r="L134" s="179">
        <v>108.8</v>
      </c>
      <c r="M134" s="180">
        <v>0</v>
      </c>
      <c r="N134" s="178">
        <v>0</v>
      </c>
      <c r="O134" s="181" t="s">
        <v>882</v>
      </c>
      <c r="P134" s="180">
        <v>0</v>
      </c>
      <c r="Q134" s="182">
        <v>0</v>
      </c>
      <c r="R134" s="183" t="s">
        <v>883</v>
      </c>
      <c r="S134" s="174" t="s">
        <v>1100</v>
      </c>
      <c r="T134" s="44">
        <v>1</v>
      </c>
      <c r="U134" s="184">
        <v>55</v>
      </c>
      <c r="V134" s="185">
        <v>35</v>
      </c>
      <c r="W134" s="186" t="s">
        <v>883</v>
      </c>
      <c r="X134" s="187" t="s">
        <v>883</v>
      </c>
      <c r="Y134" s="188">
        <v>0</v>
      </c>
      <c r="Z134" s="188" t="s">
        <v>883</v>
      </c>
      <c r="AA134" s="187" t="s">
        <v>883</v>
      </c>
      <c r="AB134" s="188">
        <v>0</v>
      </c>
      <c r="AC134" s="188"/>
      <c r="AD134" s="189" t="s">
        <v>883</v>
      </c>
      <c r="AE134" s="190" t="s">
        <v>883</v>
      </c>
      <c r="AF134" s="180">
        <v>6</v>
      </c>
      <c r="AG134" s="183">
        <v>43966</v>
      </c>
      <c r="AH134" s="183" t="s">
        <v>883</v>
      </c>
      <c r="AI134" s="183">
        <v>43880</v>
      </c>
      <c r="AJ134" s="183" t="s">
        <v>883</v>
      </c>
      <c r="AK134" s="174"/>
    </row>
    <row r="135" spans="1:37" x14ac:dyDescent="0.3">
      <c r="A135" s="173">
        <v>15664</v>
      </c>
      <c r="B135" s="174" t="s">
        <v>1102</v>
      </c>
      <c r="C135" s="175" t="s">
        <v>256</v>
      </c>
      <c r="D135" s="176">
        <v>1.6</v>
      </c>
      <c r="E135" s="174"/>
      <c r="F135" s="174"/>
      <c r="G135" s="174" t="s">
        <v>883</v>
      </c>
      <c r="H135" s="177">
        <v>54</v>
      </c>
      <c r="I135" s="24">
        <v>103003</v>
      </c>
      <c r="J135" s="178">
        <v>1.6</v>
      </c>
      <c r="K135" s="177">
        <v>9</v>
      </c>
      <c r="L135" s="179">
        <v>72</v>
      </c>
      <c r="M135" s="180">
        <v>0</v>
      </c>
      <c r="N135" s="178">
        <v>0</v>
      </c>
      <c r="O135" s="181" t="s">
        <v>882</v>
      </c>
      <c r="P135" s="180">
        <v>0</v>
      </c>
      <c r="Q135" s="182">
        <v>0</v>
      </c>
      <c r="R135" s="183" t="s">
        <v>883</v>
      </c>
      <c r="S135" s="174" t="s">
        <v>1100</v>
      </c>
      <c r="T135" s="44">
        <v>1</v>
      </c>
      <c r="U135" s="184">
        <v>55</v>
      </c>
      <c r="V135" s="185">
        <v>35</v>
      </c>
      <c r="W135" s="186" t="s">
        <v>883</v>
      </c>
      <c r="X135" s="187" t="s">
        <v>883</v>
      </c>
      <c r="Y135" s="188">
        <v>0</v>
      </c>
      <c r="Z135" s="188" t="s">
        <v>883</v>
      </c>
      <c r="AA135" s="187" t="s">
        <v>883</v>
      </c>
      <c r="AB135" s="188">
        <v>0</v>
      </c>
      <c r="AC135" s="188"/>
      <c r="AD135" s="189" t="s">
        <v>883</v>
      </c>
      <c r="AE135" s="190" t="s">
        <v>883</v>
      </c>
      <c r="AF135" s="180">
        <v>4</v>
      </c>
      <c r="AG135" s="183">
        <v>43978</v>
      </c>
      <c r="AH135" s="183" t="s">
        <v>883</v>
      </c>
      <c r="AI135" s="183">
        <v>44516</v>
      </c>
      <c r="AJ135" s="183" t="s">
        <v>883</v>
      </c>
      <c r="AK135" s="174"/>
    </row>
    <row r="136" spans="1:37" x14ac:dyDescent="0.3">
      <c r="A136" s="173">
        <v>15668</v>
      </c>
      <c r="B136" s="174" t="s">
        <v>1103</v>
      </c>
      <c r="C136" s="175" t="s">
        <v>256</v>
      </c>
      <c r="D136" s="176">
        <v>10.14</v>
      </c>
      <c r="E136" s="174"/>
      <c r="F136" s="174"/>
      <c r="G136" s="174" t="s">
        <v>883</v>
      </c>
      <c r="H136" s="177">
        <v>244</v>
      </c>
      <c r="I136" s="24">
        <v>103003</v>
      </c>
      <c r="J136" s="178">
        <v>10.14</v>
      </c>
      <c r="K136" s="177">
        <v>20</v>
      </c>
      <c r="L136" s="179">
        <v>112.44239631336404</v>
      </c>
      <c r="M136" s="180">
        <v>0</v>
      </c>
      <c r="N136" s="178">
        <v>0</v>
      </c>
      <c r="O136" s="181" t="s">
        <v>882</v>
      </c>
      <c r="P136" s="180">
        <v>0</v>
      </c>
      <c r="Q136" s="182">
        <v>0</v>
      </c>
      <c r="R136" s="183" t="s">
        <v>883</v>
      </c>
      <c r="S136" s="174" t="s">
        <v>1100</v>
      </c>
      <c r="T136" s="44">
        <v>1</v>
      </c>
      <c r="U136" s="184">
        <v>55</v>
      </c>
      <c r="V136" s="185">
        <v>35</v>
      </c>
      <c r="W136" s="186" t="s">
        <v>883</v>
      </c>
      <c r="X136" s="187" t="s">
        <v>883</v>
      </c>
      <c r="Y136" s="188">
        <v>0</v>
      </c>
      <c r="Z136" s="188" t="s">
        <v>883</v>
      </c>
      <c r="AA136" s="187" t="s">
        <v>883</v>
      </c>
      <c r="AB136" s="188">
        <v>0</v>
      </c>
      <c r="AC136" s="188"/>
      <c r="AD136" s="189" t="s">
        <v>883</v>
      </c>
      <c r="AE136" s="190" t="s">
        <v>883</v>
      </c>
      <c r="AF136" s="180">
        <v>8</v>
      </c>
      <c r="AG136" s="183">
        <v>44168</v>
      </c>
      <c r="AH136" s="183" t="s">
        <v>883</v>
      </c>
      <c r="AI136" s="183">
        <v>44740</v>
      </c>
      <c r="AJ136" s="183" t="s">
        <v>883</v>
      </c>
      <c r="AK136" s="174"/>
    </row>
    <row r="137" spans="1:37" x14ac:dyDescent="0.3">
      <c r="A137" s="173">
        <v>15672</v>
      </c>
      <c r="B137" s="174" t="s">
        <v>1104</v>
      </c>
      <c r="C137" s="175" t="s">
        <v>256</v>
      </c>
      <c r="D137" s="176">
        <v>17.399999999999999</v>
      </c>
      <c r="E137" s="174"/>
      <c r="F137" s="174"/>
      <c r="G137" s="174" t="s">
        <v>883</v>
      </c>
      <c r="H137" s="177">
        <v>0</v>
      </c>
      <c r="I137" s="24">
        <v>103003</v>
      </c>
      <c r="J137" s="178">
        <v>17.399999999999999</v>
      </c>
      <c r="K137" s="177">
        <v>44</v>
      </c>
      <c r="L137" s="179">
        <v>0</v>
      </c>
      <c r="M137" s="180">
        <v>0</v>
      </c>
      <c r="N137" s="178">
        <v>0</v>
      </c>
      <c r="O137" s="181" t="s">
        <v>882</v>
      </c>
      <c r="P137" s="180">
        <v>0</v>
      </c>
      <c r="Q137" s="182">
        <v>0</v>
      </c>
      <c r="R137" s="183" t="s">
        <v>883</v>
      </c>
      <c r="S137" s="174" t="s">
        <v>1100</v>
      </c>
      <c r="T137" s="44">
        <v>1</v>
      </c>
      <c r="U137" s="184">
        <v>55</v>
      </c>
      <c r="V137" s="185">
        <v>35</v>
      </c>
      <c r="W137" s="186">
        <v>2235</v>
      </c>
      <c r="X137" s="187">
        <v>2023</v>
      </c>
      <c r="Y137" s="188">
        <v>500</v>
      </c>
      <c r="Z137" s="188" t="s">
        <v>883</v>
      </c>
      <c r="AA137" s="187" t="s">
        <v>883</v>
      </c>
      <c r="AB137" s="188">
        <v>0</v>
      </c>
      <c r="AC137" s="188"/>
      <c r="AD137" s="189" t="s">
        <v>883</v>
      </c>
      <c r="AE137" s="190" t="s">
        <v>883</v>
      </c>
      <c r="AF137" s="180">
        <v>14</v>
      </c>
      <c r="AG137" s="183">
        <v>44168</v>
      </c>
      <c r="AH137" s="183" t="s">
        <v>883</v>
      </c>
      <c r="AI137" s="183">
        <v>44146</v>
      </c>
      <c r="AJ137" s="183" t="s">
        <v>883</v>
      </c>
      <c r="AK137" s="174"/>
    </row>
    <row r="138" spans="1:37" x14ac:dyDescent="0.3">
      <c r="A138" s="173">
        <v>15673</v>
      </c>
      <c r="B138" s="174" t="s">
        <v>1105</v>
      </c>
      <c r="C138" s="175" t="s">
        <v>256</v>
      </c>
      <c r="D138" s="176">
        <v>4.5999999999999996</v>
      </c>
      <c r="E138" s="174"/>
      <c r="F138" s="174"/>
      <c r="G138" s="174" t="s">
        <v>883</v>
      </c>
      <c r="H138" s="177">
        <v>108</v>
      </c>
      <c r="I138" s="24">
        <v>103003</v>
      </c>
      <c r="J138" s="178">
        <v>4.5999999999999996</v>
      </c>
      <c r="K138" s="177">
        <v>63</v>
      </c>
      <c r="L138" s="179">
        <v>20.571428571428573</v>
      </c>
      <c r="M138" s="180">
        <v>0</v>
      </c>
      <c r="N138" s="178">
        <v>0</v>
      </c>
      <c r="O138" s="181" t="s">
        <v>882</v>
      </c>
      <c r="P138" s="180">
        <v>0</v>
      </c>
      <c r="Q138" s="182">
        <v>0</v>
      </c>
      <c r="R138" s="183" t="s">
        <v>883</v>
      </c>
      <c r="S138" s="174" t="s">
        <v>1100</v>
      </c>
      <c r="T138" s="44">
        <v>1</v>
      </c>
      <c r="U138" s="184">
        <v>55</v>
      </c>
      <c r="V138" s="185">
        <v>35</v>
      </c>
      <c r="W138" s="186">
        <v>2956</v>
      </c>
      <c r="X138" s="187">
        <v>2023</v>
      </c>
      <c r="Y138" s="188">
        <v>50</v>
      </c>
      <c r="Z138" s="188" t="s">
        <v>883</v>
      </c>
      <c r="AA138" s="187" t="s">
        <v>883</v>
      </c>
      <c r="AB138" s="188">
        <v>0</v>
      </c>
      <c r="AC138" s="188"/>
      <c r="AD138" s="189" t="s">
        <v>883</v>
      </c>
      <c r="AE138" s="190" t="s">
        <v>883</v>
      </c>
      <c r="AF138" s="180">
        <v>22</v>
      </c>
      <c r="AG138" s="183">
        <v>44337</v>
      </c>
      <c r="AH138" s="183" t="s">
        <v>883</v>
      </c>
      <c r="AI138" s="183">
        <v>44516</v>
      </c>
      <c r="AJ138" s="183" t="s">
        <v>883</v>
      </c>
      <c r="AK138" s="174"/>
    </row>
    <row r="139" spans="1:37" x14ac:dyDescent="0.3">
      <c r="A139" s="173">
        <v>15680</v>
      </c>
      <c r="B139" s="174" t="s">
        <v>1106</v>
      </c>
      <c r="C139" s="175" t="s">
        <v>256</v>
      </c>
      <c r="D139" s="176">
        <v>5.86</v>
      </c>
      <c r="E139" s="174"/>
      <c r="F139" s="174"/>
      <c r="G139" s="174" t="s">
        <v>883</v>
      </c>
      <c r="H139" s="177">
        <v>482</v>
      </c>
      <c r="I139" s="24">
        <v>103003</v>
      </c>
      <c r="J139" s="178">
        <v>5.86</v>
      </c>
      <c r="K139" s="177">
        <v>58</v>
      </c>
      <c r="L139" s="179">
        <v>99.792960662525886</v>
      </c>
      <c r="M139" s="180">
        <v>0</v>
      </c>
      <c r="N139" s="178">
        <v>0</v>
      </c>
      <c r="O139" s="181" t="s">
        <v>882</v>
      </c>
      <c r="P139" s="180">
        <v>0</v>
      </c>
      <c r="Q139" s="182">
        <v>0</v>
      </c>
      <c r="R139" s="183" t="s">
        <v>883</v>
      </c>
      <c r="S139" s="174" t="s">
        <v>1100</v>
      </c>
      <c r="T139" s="44">
        <v>1</v>
      </c>
      <c r="U139" s="184">
        <v>55</v>
      </c>
      <c r="V139" s="185">
        <v>35</v>
      </c>
      <c r="W139" s="186" t="s">
        <v>883</v>
      </c>
      <c r="X139" s="187" t="s">
        <v>883</v>
      </c>
      <c r="Y139" s="188">
        <v>0</v>
      </c>
      <c r="Z139" s="188" t="s">
        <v>883</v>
      </c>
      <c r="AA139" s="187" t="s">
        <v>883</v>
      </c>
      <c r="AB139" s="188">
        <v>0</v>
      </c>
      <c r="AC139" s="188"/>
      <c r="AD139" s="189" t="s">
        <v>883</v>
      </c>
      <c r="AE139" s="190" t="s">
        <v>883</v>
      </c>
      <c r="AF139" s="180">
        <v>20</v>
      </c>
      <c r="AG139" s="183">
        <v>44649</v>
      </c>
      <c r="AH139" s="183" t="s">
        <v>883</v>
      </c>
      <c r="AI139" s="183">
        <v>44755</v>
      </c>
      <c r="AJ139" s="183" t="s">
        <v>883</v>
      </c>
      <c r="AK139" s="174"/>
    </row>
    <row r="140" spans="1:37" x14ac:dyDescent="0.3">
      <c r="A140" s="173">
        <v>15813</v>
      </c>
      <c r="B140" s="174" t="s">
        <v>1107</v>
      </c>
      <c r="C140" s="175" t="s">
        <v>256</v>
      </c>
      <c r="D140" s="176">
        <v>0.6</v>
      </c>
      <c r="E140" s="174"/>
      <c r="F140" s="174"/>
      <c r="G140" s="174" t="s">
        <v>883</v>
      </c>
      <c r="H140" s="177">
        <v>2165</v>
      </c>
      <c r="I140" s="24">
        <v>103003</v>
      </c>
      <c r="J140" s="178">
        <v>0.6</v>
      </c>
      <c r="K140" s="177">
        <v>5815</v>
      </c>
      <c r="L140" s="179">
        <v>3.4117053799363357</v>
      </c>
      <c r="M140" s="180">
        <v>3249.96</v>
      </c>
      <c r="N140" s="178">
        <v>1949.9760000000001</v>
      </c>
      <c r="O140" s="181" t="s">
        <v>882</v>
      </c>
      <c r="P140" s="180">
        <v>0</v>
      </c>
      <c r="Q140" s="182">
        <v>0</v>
      </c>
      <c r="R140" s="183" t="s">
        <v>883</v>
      </c>
      <c r="S140" s="174" t="s">
        <v>1108</v>
      </c>
      <c r="T140" s="44">
        <v>1</v>
      </c>
      <c r="U140" s="184">
        <v>51</v>
      </c>
      <c r="V140" s="185">
        <v>6</v>
      </c>
      <c r="W140" s="186">
        <v>9011</v>
      </c>
      <c r="X140" s="187">
        <v>2023</v>
      </c>
      <c r="Y140" s="188">
        <v>2200</v>
      </c>
      <c r="Z140" s="188" t="s">
        <v>883</v>
      </c>
      <c r="AA140" s="187" t="s">
        <v>883</v>
      </c>
      <c r="AB140" s="188">
        <v>0</v>
      </c>
      <c r="AC140" s="188"/>
      <c r="AD140" s="189" t="s">
        <v>883</v>
      </c>
      <c r="AE140" s="190" t="s">
        <v>883</v>
      </c>
      <c r="AF140" s="180">
        <v>2538</v>
      </c>
      <c r="AG140" s="183">
        <v>44560</v>
      </c>
      <c r="AH140" s="183" t="s">
        <v>883</v>
      </c>
      <c r="AI140" s="183">
        <v>45078</v>
      </c>
      <c r="AJ140" s="183" t="s">
        <v>883</v>
      </c>
      <c r="AK140" s="174"/>
    </row>
    <row r="141" spans="1:37" x14ac:dyDescent="0.3">
      <c r="A141" s="173">
        <v>16053</v>
      </c>
      <c r="B141" s="174" t="s">
        <v>1109</v>
      </c>
      <c r="C141" s="175" t="s">
        <v>1067</v>
      </c>
      <c r="D141" s="176">
        <v>206</v>
      </c>
      <c r="E141" s="174"/>
      <c r="F141" s="174"/>
      <c r="G141" s="174" t="s">
        <v>883</v>
      </c>
      <c r="H141" s="177">
        <v>0</v>
      </c>
      <c r="I141" s="24">
        <v>103003</v>
      </c>
      <c r="J141" s="178">
        <v>206</v>
      </c>
      <c r="K141" s="177">
        <v>114</v>
      </c>
      <c r="L141" s="179">
        <v>0</v>
      </c>
      <c r="M141" s="180">
        <v>173.04</v>
      </c>
      <c r="N141" s="178">
        <v>35646.239999999998</v>
      </c>
      <c r="O141" s="181" t="s">
        <v>882</v>
      </c>
      <c r="P141" s="180">
        <v>0</v>
      </c>
      <c r="Q141" s="182">
        <v>0</v>
      </c>
      <c r="R141" s="183" t="s">
        <v>883</v>
      </c>
      <c r="S141" s="174" t="s">
        <v>1110</v>
      </c>
      <c r="T141" s="44">
        <v>1</v>
      </c>
      <c r="U141" s="184">
        <v>51</v>
      </c>
      <c r="V141" s="185">
        <v>33</v>
      </c>
      <c r="W141" s="186">
        <v>2568</v>
      </c>
      <c r="X141" s="187">
        <v>2023</v>
      </c>
      <c r="Y141" s="188">
        <v>30</v>
      </c>
      <c r="Z141" s="188" t="s">
        <v>883</v>
      </c>
      <c r="AA141" s="187" t="s">
        <v>883</v>
      </c>
      <c r="AB141" s="188">
        <v>0</v>
      </c>
      <c r="AC141" s="188"/>
      <c r="AD141" s="189" t="s">
        <v>883</v>
      </c>
      <c r="AE141" s="190" t="s">
        <v>883</v>
      </c>
      <c r="AF141" s="180">
        <v>68</v>
      </c>
      <c r="AG141" s="183">
        <v>44637</v>
      </c>
      <c r="AH141" s="183" t="s">
        <v>883</v>
      </c>
      <c r="AI141" s="183">
        <v>45117</v>
      </c>
      <c r="AJ141" s="183" t="s">
        <v>883</v>
      </c>
      <c r="AK141" s="174"/>
    </row>
    <row r="142" spans="1:37" x14ac:dyDescent="0.3">
      <c r="A142" s="173">
        <v>16363</v>
      </c>
      <c r="B142" s="174" t="s">
        <v>1111</v>
      </c>
      <c r="C142" s="175" t="s">
        <v>256</v>
      </c>
      <c r="D142" s="176">
        <v>28.65</v>
      </c>
      <c r="E142" s="174"/>
      <c r="F142" s="174"/>
      <c r="G142" s="174" t="s">
        <v>883</v>
      </c>
      <c r="H142" s="177">
        <v>135</v>
      </c>
      <c r="I142" s="24">
        <v>103003</v>
      </c>
      <c r="J142" s="178">
        <v>28.65</v>
      </c>
      <c r="K142" s="177">
        <v>417</v>
      </c>
      <c r="L142" s="179">
        <v>3.3473840813290354</v>
      </c>
      <c r="M142" s="180">
        <v>148.96</v>
      </c>
      <c r="N142" s="178">
        <v>4267.7039999999997</v>
      </c>
      <c r="O142" s="181" t="s">
        <v>882</v>
      </c>
      <c r="P142" s="180">
        <v>0</v>
      </c>
      <c r="Q142" s="182">
        <v>0</v>
      </c>
      <c r="R142" s="183" t="s">
        <v>883</v>
      </c>
      <c r="S142" s="174" t="s">
        <v>1112</v>
      </c>
      <c r="T142" s="44">
        <v>1</v>
      </c>
      <c r="U142" s="184">
        <v>74</v>
      </c>
      <c r="V142" s="185">
        <v>8</v>
      </c>
      <c r="W142" s="186">
        <v>2628</v>
      </c>
      <c r="X142" s="187">
        <v>2023</v>
      </c>
      <c r="Y142" s="188">
        <v>200</v>
      </c>
      <c r="Z142" s="188" t="s">
        <v>883</v>
      </c>
      <c r="AA142" s="187" t="s">
        <v>883</v>
      </c>
      <c r="AB142" s="188">
        <v>0</v>
      </c>
      <c r="AC142" s="188"/>
      <c r="AD142" s="189" t="s">
        <v>883</v>
      </c>
      <c r="AE142" s="190" t="s">
        <v>883</v>
      </c>
      <c r="AF142" s="180">
        <v>162</v>
      </c>
      <c r="AG142" s="183">
        <v>44153</v>
      </c>
      <c r="AH142" s="183" t="s">
        <v>883</v>
      </c>
      <c r="AI142" s="183">
        <v>44133</v>
      </c>
      <c r="AJ142" s="183" t="s">
        <v>883</v>
      </c>
      <c r="AK142" s="174"/>
    </row>
    <row r="143" spans="1:37" x14ac:dyDescent="0.3">
      <c r="A143" s="173">
        <v>16365</v>
      </c>
      <c r="B143" s="174" t="s">
        <v>1113</v>
      </c>
      <c r="C143" s="175" t="s">
        <v>256</v>
      </c>
      <c r="D143" s="176">
        <v>183.5</v>
      </c>
      <c r="E143" s="174"/>
      <c r="F143" s="174"/>
      <c r="G143" s="174" t="s">
        <v>883</v>
      </c>
      <c r="H143" s="177">
        <v>509</v>
      </c>
      <c r="I143" s="24">
        <v>103003</v>
      </c>
      <c r="J143" s="178">
        <v>183.5</v>
      </c>
      <c r="K143" s="177">
        <v>91</v>
      </c>
      <c r="L143" s="179">
        <v>67.150395778364114</v>
      </c>
      <c r="M143" s="180">
        <v>0</v>
      </c>
      <c r="N143" s="178">
        <v>0</v>
      </c>
      <c r="O143" s="181" t="s">
        <v>882</v>
      </c>
      <c r="P143" s="180">
        <v>0</v>
      </c>
      <c r="Q143" s="182">
        <v>0</v>
      </c>
      <c r="R143" s="183" t="s">
        <v>883</v>
      </c>
      <c r="S143" s="174" t="s">
        <v>1112</v>
      </c>
      <c r="T143" s="44">
        <v>1</v>
      </c>
      <c r="U143" s="184">
        <v>74</v>
      </c>
      <c r="V143" s="185">
        <v>8</v>
      </c>
      <c r="W143" s="186" t="s">
        <v>883</v>
      </c>
      <c r="X143" s="187" t="s">
        <v>883</v>
      </c>
      <c r="Y143" s="188">
        <v>0</v>
      </c>
      <c r="Z143" s="188" t="s">
        <v>883</v>
      </c>
      <c r="AA143" s="187" t="s">
        <v>883</v>
      </c>
      <c r="AB143" s="188">
        <v>0</v>
      </c>
      <c r="AC143" s="188"/>
      <c r="AD143" s="189" t="s">
        <v>883</v>
      </c>
      <c r="AE143" s="190" t="s">
        <v>883</v>
      </c>
      <c r="AF143" s="180">
        <v>30</v>
      </c>
      <c r="AG143" s="183">
        <v>44544</v>
      </c>
      <c r="AH143" s="183" t="s">
        <v>883</v>
      </c>
      <c r="AI143" s="183">
        <v>44539</v>
      </c>
      <c r="AJ143" s="183" t="s">
        <v>883</v>
      </c>
      <c r="AK143" s="174"/>
    </row>
    <row r="144" spans="1:37" x14ac:dyDescent="0.3">
      <c r="A144" s="173">
        <v>16512</v>
      </c>
      <c r="B144" s="174" t="s">
        <v>1114</v>
      </c>
      <c r="C144" s="175" t="s">
        <v>413</v>
      </c>
      <c r="D144" s="176">
        <v>3.49</v>
      </c>
      <c r="E144" s="174"/>
      <c r="F144" s="174"/>
      <c r="G144" s="174" t="s">
        <v>883</v>
      </c>
      <c r="H144" s="177">
        <v>0</v>
      </c>
      <c r="I144" s="24">
        <v>103003</v>
      </c>
      <c r="J144" s="178">
        <v>3.49</v>
      </c>
      <c r="K144" s="177">
        <v>1411</v>
      </c>
      <c r="L144" s="179">
        <v>0</v>
      </c>
      <c r="M144" s="180">
        <v>418.96</v>
      </c>
      <c r="N144" s="178">
        <v>1462.1704</v>
      </c>
      <c r="O144" s="181" t="s">
        <v>882</v>
      </c>
      <c r="P144" s="180">
        <v>0</v>
      </c>
      <c r="Q144" s="182">
        <v>0</v>
      </c>
      <c r="R144" s="183" t="s">
        <v>883</v>
      </c>
      <c r="S144" s="174" t="s">
        <v>1035</v>
      </c>
      <c r="T144" s="44">
        <v>1</v>
      </c>
      <c r="U144" s="184">
        <v>45</v>
      </c>
      <c r="V144" s="185">
        <v>17</v>
      </c>
      <c r="W144" s="186">
        <v>6978</v>
      </c>
      <c r="X144" s="187">
        <v>2023</v>
      </c>
      <c r="Y144" s="188">
        <v>1100</v>
      </c>
      <c r="Z144" s="188" t="s">
        <v>883</v>
      </c>
      <c r="AA144" s="187" t="s">
        <v>883</v>
      </c>
      <c r="AB144" s="188">
        <v>0</v>
      </c>
      <c r="AC144" s="188"/>
      <c r="AD144" s="189" t="s">
        <v>883</v>
      </c>
      <c r="AE144" s="190" t="s">
        <v>883</v>
      </c>
      <c r="AF144" s="180">
        <v>506</v>
      </c>
      <c r="AG144" s="183">
        <v>44942</v>
      </c>
      <c r="AH144" s="183" t="s">
        <v>883</v>
      </c>
      <c r="AI144" s="183">
        <v>44910</v>
      </c>
      <c r="AJ144" s="183" t="s">
        <v>883</v>
      </c>
      <c r="AK144" s="174"/>
    </row>
    <row r="145" spans="1:37" x14ac:dyDescent="0.3">
      <c r="A145" s="173">
        <v>16571</v>
      </c>
      <c r="B145" s="174" t="s">
        <v>1115</v>
      </c>
      <c r="C145" s="175" t="s">
        <v>275</v>
      </c>
      <c r="D145" s="176">
        <v>6.75</v>
      </c>
      <c r="E145" s="174"/>
      <c r="F145" s="174"/>
      <c r="G145" s="174" t="s">
        <v>883</v>
      </c>
      <c r="H145" s="177">
        <v>1334</v>
      </c>
      <c r="I145" s="24">
        <v>103003</v>
      </c>
      <c r="J145" s="178">
        <v>6.75</v>
      </c>
      <c r="K145" s="177">
        <v>1478</v>
      </c>
      <c r="L145" s="179">
        <v>6.639458490941669</v>
      </c>
      <c r="M145" s="180">
        <v>0</v>
      </c>
      <c r="N145" s="178">
        <v>0</v>
      </c>
      <c r="O145" s="181" t="s">
        <v>882</v>
      </c>
      <c r="P145" s="180">
        <v>0</v>
      </c>
      <c r="Q145" s="182">
        <v>0</v>
      </c>
      <c r="R145" s="183" t="s">
        <v>883</v>
      </c>
      <c r="S145" s="174" t="s">
        <v>1116</v>
      </c>
      <c r="T145" s="44">
        <v>1</v>
      </c>
      <c r="U145" s="184">
        <v>48</v>
      </c>
      <c r="V145" s="185">
        <v>24</v>
      </c>
      <c r="W145" s="186" t="s">
        <v>883</v>
      </c>
      <c r="X145" s="187" t="s">
        <v>883</v>
      </c>
      <c r="Y145" s="188">
        <v>0</v>
      </c>
      <c r="Z145" s="188">
        <v>9090</v>
      </c>
      <c r="AA145" s="187">
        <v>2023</v>
      </c>
      <c r="AB145" s="188">
        <v>2000</v>
      </c>
      <c r="AC145" s="188">
        <v>2000</v>
      </c>
      <c r="AD145" s="189" t="s">
        <v>2036</v>
      </c>
      <c r="AE145" s="190">
        <v>45159</v>
      </c>
      <c r="AF145" s="180">
        <v>804</v>
      </c>
      <c r="AG145" s="183">
        <v>44578</v>
      </c>
      <c r="AH145" s="183" t="s">
        <v>883</v>
      </c>
      <c r="AI145" s="183">
        <v>45133</v>
      </c>
      <c r="AJ145" s="183" t="s">
        <v>883</v>
      </c>
      <c r="AK145" s="174"/>
    </row>
    <row r="146" spans="1:37" x14ac:dyDescent="0.3">
      <c r="A146" s="173">
        <v>16956</v>
      </c>
      <c r="B146" s="174" t="s">
        <v>1117</v>
      </c>
      <c r="C146" s="175" t="s">
        <v>256</v>
      </c>
      <c r="D146" s="176">
        <v>0.93</v>
      </c>
      <c r="E146" s="174"/>
      <c r="F146" s="174"/>
      <c r="G146" s="174" t="s">
        <v>883</v>
      </c>
      <c r="H146" s="177">
        <v>143</v>
      </c>
      <c r="I146" s="24">
        <v>103003</v>
      </c>
      <c r="J146" s="178">
        <v>0.93</v>
      </c>
      <c r="K146" s="177">
        <v>82</v>
      </c>
      <c r="L146" s="179">
        <v>20.937042459736457</v>
      </c>
      <c r="M146" s="180">
        <v>0</v>
      </c>
      <c r="N146" s="178">
        <v>0</v>
      </c>
      <c r="O146" s="181" t="s">
        <v>882</v>
      </c>
      <c r="P146" s="180">
        <v>0</v>
      </c>
      <c r="Q146" s="182">
        <v>0</v>
      </c>
      <c r="R146" s="183" t="s">
        <v>883</v>
      </c>
      <c r="S146" s="174" t="s">
        <v>964</v>
      </c>
      <c r="T146" s="44">
        <v>1</v>
      </c>
      <c r="U146" s="184">
        <v>61</v>
      </c>
      <c r="V146" s="185">
        <v>8</v>
      </c>
      <c r="W146" s="186" t="s">
        <v>883</v>
      </c>
      <c r="X146" s="187" t="s">
        <v>883</v>
      </c>
      <c r="Y146" s="188">
        <v>0</v>
      </c>
      <c r="Z146" s="188" t="s">
        <v>883</v>
      </c>
      <c r="AA146" s="187" t="s">
        <v>883</v>
      </c>
      <c r="AB146" s="188">
        <v>0</v>
      </c>
      <c r="AC146" s="188"/>
      <c r="AD146" s="189" t="s">
        <v>883</v>
      </c>
      <c r="AE146" s="190" t="s">
        <v>883</v>
      </c>
      <c r="AF146" s="180">
        <v>28</v>
      </c>
      <c r="AG146" s="183">
        <v>44573</v>
      </c>
      <c r="AH146" s="183" t="s">
        <v>883</v>
      </c>
      <c r="AI146" s="183">
        <v>44985</v>
      </c>
      <c r="AJ146" s="183" t="s">
        <v>883</v>
      </c>
      <c r="AK146" s="174"/>
    </row>
    <row r="147" spans="1:37" x14ac:dyDescent="0.3">
      <c r="A147" s="173">
        <v>16978</v>
      </c>
      <c r="B147" s="174" t="s">
        <v>1118</v>
      </c>
      <c r="C147" s="175" t="s">
        <v>256</v>
      </c>
      <c r="D147" s="176">
        <v>0.55000000000000004</v>
      </c>
      <c r="E147" s="174"/>
      <c r="F147" s="174"/>
      <c r="G147" s="174" t="s">
        <v>883</v>
      </c>
      <c r="H147" s="177">
        <v>868</v>
      </c>
      <c r="I147" s="24">
        <v>103003</v>
      </c>
      <c r="J147" s="178">
        <v>0.55000000000000004</v>
      </c>
      <c r="K147" s="177">
        <v>147</v>
      </c>
      <c r="L147" s="179">
        <v>70.857142857142847</v>
      </c>
      <c r="M147" s="180">
        <v>0</v>
      </c>
      <c r="N147" s="178">
        <v>0</v>
      </c>
      <c r="O147" s="181" t="s">
        <v>882</v>
      </c>
      <c r="P147" s="180">
        <v>0</v>
      </c>
      <c r="Q147" s="182">
        <v>0</v>
      </c>
      <c r="R147" s="183" t="s">
        <v>883</v>
      </c>
      <c r="S147" s="174" t="s">
        <v>964</v>
      </c>
      <c r="T147" s="44">
        <v>1</v>
      </c>
      <c r="U147" s="184">
        <v>61</v>
      </c>
      <c r="V147" s="185">
        <v>8</v>
      </c>
      <c r="W147" s="186" t="s">
        <v>883</v>
      </c>
      <c r="X147" s="187" t="s">
        <v>883</v>
      </c>
      <c r="Y147" s="188">
        <v>0</v>
      </c>
      <c r="Z147" s="188" t="s">
        <v>883</v>
      </c>
      <c r="AA147" s="187" t="s">
        <v>883</v>
      </c>
      <c r="AB147" s="188">
        <v>0</v>
      </c>
      <c r="AC147" s="188"/>
      <c r="AD147" s="189" t="s">
        <v>883</v>
      </c>
      <c r="AE147" s="190" t="s">
        <v>883</v>
      </c>
      <c r="AF147" s="180">
        <v>50</v>
      </c>
      <c r="AG147" s="183">
        <v>44533</v>
      </c>
      <c r="AH147" s="183" t="s">
        <v>883</v>
      </c>
      <c r="AI147" s="183">
        <v>44985</v>
      </c>
      <c r="AJ147" s="183" t="s">
        <v>883</v>
      </c>
      <c r="AK147" s="174"/>
    </row>
    <row r="148" spans="1:37" x14ac:dyDescent="0.3">
      <c r="A148" s="173">
        <v>17115</v>
      </c>
      <c r="B148" s="174" t="s">
        <v>1119</v>
      </c>
      <c r="C148" s="175" t="s">
        <v>268</v>
      </c>
      <c r="D148" s="176">
        <v>0.9</v>
      </c>
      <c r="E148" s="174" t="s">
        <v>1120</v>
      </c>
      <c r="F148" s="174" t="s">
        <v>1121</v>
      </c>
      <c r="G148" s="174" t="s">
        <v>952</v>
      </c>
      <c r="H148" s="177">
        <v>0</v>
      </c>
      <c r="I148" s="24">
        <v>103003</v>
      </c>
      <c r="J148" s="178">
        <v>0.9</v>
      </c>
      <c r="K148" s="177">
        <v>4498</v>
      </c>
      <c r="L148" s="179">
        <v>0</v>
      </c>
      <c r="M148" s="180">
        <v>2543.96</v>
      </c>
      <c r="N148" s="178">
        <v>2289.5639999999999</v>
      </c>
      <c r="O148" s="181" t="s">
        <v>953</v>
      </c>
      <c r="P148" s="180">
        <v>3594</v>
      </c>
      <c r="Q148" s="182">
        <v>3240</v>
      </c>
      <c r="R148" s="183">
        <v>45189</v>
      </c>
      <c r="S148" s="174" t="s">
        <v>1122</v>
      </c>
      <c r="T148" s="44">
        <v>1</v>
      </c>
      <c r="U148" s="184">
        <v>79</v>
      </c>
      <c r="V148" s="185">
        <v>1</v>
      </c>
      <c r="W148" s="186" t="s">
        <v>883</v>
      </c>
      <c r="X148" s="187" t="s">
        <v>883</v>
      </c>
      <c r="Y148" s="188">
        <v>0</v>
      </c>
      <c r="Z148" s="188">
        <v>4567</v>
      </c>
      <c r="AA148" s="187">
        <v>2023</v>
      </c>
      <c r="AB148" s="188">
        <v>4000</v>
      </c>
      <c r="AC148" s="188">
        <v>4000</v>
      </c>
      <c r="AD148" s="189" t="s">
        <v>2038</v>
      </c>
      <c r="AE148" s="190">
        <v>45070</v>
      </c>
      <c r="AF148" s="180">
        <v>2182</v>
      </c>
      <c r="AG148" s="183">
        <v>44998</v>
      </c>
      <c r="AH148" s="183" t="s">
        <v>883</v>
      </c>
      <c r="AI148" s="183">
        <v>45036</v>
      </c>
      <c r="AJ148" s="183" t="s">
        <v>883</v>
      </c>
      <c r="AK148" s="174"/>
    </row>
    <row r="149" spans="1:37" x14ac:dyDescent="0.3">
      <c r="A149" s="173">
        <v>17132</v>
      </c>
      <c r="B149" s="174" t="s">
        <v>1123</v>
      </c>
      <c r="C149" s="175" t="s">
        <v>268</v>
      </c>
      <c r="D149" s="176">
        <v>2.0299999999999998</v>
      </c>
      <c r="E149" s="174"/>
      <c r="F149" s="174"/>
      <c r="G149" s="174" t="s">
        <v>883</v>
      </c>
      <c r="H149" s="177">
        <v>1580</v>
      </c>
      <c r="I149" s="24">
        <v>103003</v>
      </c>
      <c r="J149" s="178">
        <v>2.0299999999999998</v>
      </c>
      <c r="K149" s="177">
        <v>777</v>
      </c>
      <c r="L149" s="179">
        <v>19.346149136769927</v>
      </c>
      <c r="M149" s="180">
        <v>0</v>
      </c>
      <c r="N149" s="178">
        <v>0</v>
      </c>
      <c r="O149" s="181" t="s">
        <v>882</v>
      </c>
      <c r="P149" s="180">
        <v>0</v>
      </c>
      <c r="Q149" s="182">
        <v>0</v>
      </c>
      <c r="R149" s="183" t="s">
        <v>883</v>
      </c>
      <c r="S149" s="174" t="s">
        <v>925</v>
      </c>
      <c r="T149" s="44">
        <v>1</v>
      </c>
      <c r="U149" s="184">
        <v>45</v>
      </c>
      <c r="V149" s="185">
        <v>12</v>
      </c>
      <c r="W149" s="186" t="s">
        <v>883</v>
      </c>
      <c r="X149" s="187" t="s">
        <v>883</v>
      </c>
      <c r="Y149" s="188">
        <v>0</v>
      </c>
      <c r="Z149" s="188" t="s">
        <v>883</v>
      </c>
      <c r="AA149" s="187" t="s">
        <v>883</v>
      </c>
      <c r="AB149" s="188">
        <v>0</v>
      </c>
      <c r="AC149" s="188"/>
      <c r="AD149" s="189" t="s">
        <v>883</v>
      </c>
      <c r="AE149" s="190" t="s">
        <v>883</v>
      </c>
      <c r="AF149" s="180">
        <v>326</v>
      </c>
      <c r="AG149" s="183">
        <v>44678</v>
      </c>
      <c r="AH149" s="183" t="s">
        <v>883</v>
      </c>
      <c r="AI149" s="183">
        <v>45107</v>
      </c>
      <c r="AJ149" s="183" t="s">
        <v>883</v>
      </c>
      <c r="AK149" s="174"/>
    </row>
    <row r="150" spans="1:37" x14ac:dyDescent="0.3">
      <c r="A150" s="173">
        <v>17135</v>
      </c>
      <c r="B150" s="174" t="s">
        <v>1124</v>
      </c>
      <c r="C150" s="175" t="s">
        <v>256</v>
      </c>
      <c r="D150" s="176">
        <v>0.17</v>
      </c>
      <c r="E150" s="174"/>
      <c r="F150" s="174"/>
      <c r="G150" s="174" t="s">
        <v>883</v>
      </c>
      <c r="H150" s="177">
        <v>1580</v>
      </c>
      <c r="I150" s="24">
        <v>103003</v>
      </c>
      <c r="J150" s="178">
        <v>0.17</v>
      </c>
      <c r="K150" s="177">
        <v>6303</v>
      </c>
      <c r="L150" s="179">
        <v>2.2879318833444353</v>
      </c>
      <c r="M150" s="180">
        <v>5506.96</v>
      </c>
      <c r="N150" s="178">
        <v>936.18320000000006</v>
      </c>
      <c r="O150" s="181" t="s">
        <v>882</v>
      </c>
      <c r="P150" s="180">
        <v>0</v>
      </c>
      <c r="Q150" s="182">
        <v>0</v>
      </c>
      <c r="R150" s="183" t="s">
        <v>883</v>
      </c>
      <c r="S150" s="174" t="s">
        <v>925</v>
      </c>
      <c r="T150" s="44">
        <v>1</v>
      </c>
      <c r="U150" s="184">
        <v>45</v>
      </c>
      <c r="V150" s="185">
        <v>12</v>
      </c>
      <c r="W150" s="186">
        <v>6978</v>
      </c>
      <c r="X150" s="187">
        <v>2023</v>
      </c>
      <c r="Y150" s="188">
        <v>1200</v>
      </c>
      <c r="Z150" s="188" t="s">
        <v>883</v>
      </c>
      <c r="AA150" s="187" t="s">
        <v>883</v>
      </c>
      <c r="AB150" s="188">
        <v>0</v>
      </c>
      <c r="AC150" s="188"/>
      <c r="AD150" s="189" t="s">
        <v>883</v>
      </c>
      <c r="AE150" s="190" t="s">
        <v>883</v>
      </c>
      <c r="AF150" s="180">
        <v>2762</v>
      </c>
      <c r="AG150" s="183">
        <v>45020</v>
      </c>
      <c r="AH150" s="183" t="s">
        <v>883</v>
      </c>
      <c r="AI150" s="183">
        <v>44998</v>
      </c>
      <c r="AJ150" s="183" t="s">
        <v>883</v>
      </c>
      <c r="AK150" s="174"/>
    </row>
    <row r="151" spans="1:37" x14ac:dyDescent="0.3">
      <c r="A151" s="173">
        <v>17136</v>
      </c>
      <c r="B151" s="174" t="s">
        <v>1125</v>
      </c>
      <c r="C151" s="175" t="s">
        <v>413</v>
      </c>
      <c r="D151" s="176">
        <v>4</v>
      </c>
      <c r="E151" s="174"/>
      <c r="F151" s="174"/>
      <c r="G151" s="174" t="s">
        <v>883</v>
      </c>
      <c r="H151" s="177">
        <v>639</v>
      </c>
      <c r="I151" s="24">
        <v>103003</v>
      </c>
      <c r="J151" s="178">
        <v>4</v>
      </c>
      <c r="K151" s="177">
        <v>655</v>
      </c>
      <c r="L151" s="179">
        <v>9.5259391771019679</v>
      </c>
      <c r="M151" s="180">
        <v>165.96</v>
      </c>
      <c r="N151" s="178">
        <v>663.84</v>
      </c>
      <c r="O151" s="181" t="s">
        <v>882</v>
      </c>
      <c r="P151" s="180">
        <v>0</v>
      </c>
      <c r="Q151" s="182">
        <v>0</v>
      </c>
      <c r="R151" s="183" t="s">
        <v>883</v>
      </c>
      <c r="S151" s="174" t="s">
        <v>925</v>
      </c>
      <c r="T151" s="44">
        <v>1</v>
      </c>
      <c r="U151" s="184">
        <v>45</v>
      </c>
      <c r="V151" s="185">
        <v>12</v>
      </c>
      <c r="W151" s="186" t="s">
        <v>883</v>
      </c>
      <c r="X151" s="187" t="s">
        <v>883</v>
      </c>
      <c r="Y151" s="188">
        <v>0</v>
      </c>
      <c r="Z151" s="188" t="s">
        <v>883</v>
      </c>
      <c r="AA151" s="187" t="s">
        <v>883</v>
      </c>
      <c r="AB151" s="188">
        <v>0</v>
      </c>
      <c r="AC151" s="188"/>
      <c r="AD151" s="189" t="s">
        <v>883</v>
      </c>
      <c r="AE151" s="190" t="s">
        <v>883</v>
      </c>
      <c r="AF151" s="180">
        <v>268</v>
      </c>
      <c r="AG151" s="183">
        <v>45034</v>
      </c>
      <c r="AH151" s="183" t="s">
        <v>883</v>
      </c>
      <c r="AI151" s="183">
        <v>44998</v>
      </c>
      <c r="AJ151" s="183" t="s">
        <v>883</v>
      </c>
      <c r="AK151" s="174"/>
    </row>
    <row r="152" spans="1:37" x14ac:dyDescent="0.3">
      <c r="A152" s="173">
        <v>17299</v>
      </c>
      <c r="B152" s="174" t="s">
        <v>1126</v>
      </c>
      <c r="C152" s="175" t="s">
        <v>268</v>
      </c>
      <c r="D152" s="176">
        <v>278</v>
      </c>
      <c r="E152" s="174"/>
      <c r="F152" s="174"/>
      <c r="G152" s="174" t="s">
        <v>883</v>
      </c>
      <c r="H152" s="177">
        <v>42</v>
      </c>
      <c r="I152" s="24">
        <v>103003</v>
      </c>
      <c r="J152" s="178">
        <v>278</v>
      </c>
      <c r="K152" s="177"/>
      <c r="L152" s="179">
        <v>0</v>
      </c>
      <c r="M152" s="180">
        <v>0</v>
      </c>
      <c r="N152" s="178">
        <v>0</v>
      </c>
      <c r="O152" s="181" t="s">
        <v>882</v>
      </c>
      <c r="P152" s="180">
        <v>0</v>
      </c>
      <c r="Q152" s="182">
        <v>0</v>
      </c>
      <c r="R152" s="183" t="s">
        <v>883</v>
      </c>
      <c r="S152" s="174" t="s">
        <v>1127</v>
      </c>
      <c r="T152" s="44">
        <v>1</v>
      </c>
      <c r="U152" s="184">
        <v>57</v>
      </c>
      <c r="V152" s="185">
        <v>18</v>
      </c>
      <c r="W152" s="186" t="s">
        <v>883</v>
      </c>
      <c r="X152" s="187" t="s">
        <v>883</v>
      </c>
      <c r="Y152" s="188">
        <v>0</v>
      </c>
      <c r="Z152" s="188" t="s">
        <v>883</v>
      </c>
      <c r="AA152" s="187" t="s">
        <v>883</v>
      </c>
      <c r="AB152" s="188">
        <v>0</v>
      </c>
      <c r="AC152" s="188"/>
      <c r="AD152" s="189" t="s">
        <v>883</v>
      </c>
      <c r="AE152" s="190" t="s">
        <v>883</v>
      </c>
      <c r="AF152" s="180">
        <v>0</v>
      </c>
      <c r="AG152" s="183">
        <v>43622</v>
      </c>
      <c r="AH152" s="183" t="s">
        <v>883</v>
      </c>
      <c r="AI152" s="183">
        <v>44952</v>
      </c>
      <c r="AJ152" s="183" t="s">
        <v>883</v>
      </c>
      <c r="AK152" s="174"/>
    </row>
    <row r="153" spans="1:37" x14ac:dyDescent="0.3">
      <c r="A153" s="173">
        <v>17362</v>
      </c>
      <c r="B153" s="174" t="s">
        <v>1128</v>
      </c>
      <c r="C153" s="175" t="s">
        <v>569</v>
      </c>
      <c r="D153" s="176">
        <v>1.25</v>
      </c>
      <c r="E153" s="174"/>
      <c r="F153" s="174"/>
      <c r="G153" s="174" t="s">
        <v>883</v>
      </c>
      <c r="H153" s="177">
        <v>591</v>
      </c>
      <c r="I153" s="24">
        <v>103003</v>
      </c>
      <c r="J153" s="178">
        <v>1.25</v>
      </c>
      <c r="K153" s="177">
        <v>5946</v>
      </c>
      <c r="L153" s="179">
        <v>0.7872127872127872</v>
      </c>
      <c r="M153" s="180">
        <v>6518</v>
      </c>
      <c r="N153" s="178">
        <v>8147.5</v>
      </c>
      <c r="O153" s="181" t="s">
        <v>882</v>
      </c>
      <c r="P153" s="180">
        <v>0</v>
      </c>
      <c r="Q153" s="182">
        <v>0</v>
      </c>
      <c r="R153" s="183" t="s">
        <v>883</v>
      </c>
      <c r="S153" s="174" t="s">
        <v>1129</v>
      </c>
      <c r="T153" s="44">
        <v>1</v>
      </c>
      <c r="U153" s="184">
        <v>57</v>
      </c>
      <c r="V153" s="185">
        <v>15</v>
      </c>
      <c r="W153" s="186">
        <v>6989</v>
      </c>
      <c r="X153" s="187">
        <v>2023</v>
      </c>
      <c r="Y153" s="188">
        <v>1900</v>
      </c>
      <c r="Z153" s="188" t="s">
        <v>883</v>
      </c>
      <c r="AA153" s="187" t="s">
        <v>883</v>
      </c>
      <c r="AB153" s="188">
        <v>0</v>
      </c>
      <c r="AC153" s="188"/>
      <c r="AD153" s="189" t="s">
        <v>883</v>
      </c>
      <c r="AE153" s="190" t="s">
        <v>883</v>
      </c>
      <c r="AF153" s="180">
        <v>3004</v>
      </c>
      <c r="AG153" s="183">
        <v>44967</v>
      </c>
      <c r="AH153" s="183" t="s">
        <v>883</v>
      </c>
      <c r="AI153" s="183">
        <v>44959</v>
      </c>
      <c r="AJ153" s="183" t="s">
        <v>883</v>
      </c>
      <c r="AK153" s="174"/>
    </row>
    <row r="154" spans="1:37" x14ac:dyDescent="0.3">
      <c r="A154" s="173">
        <v>17370</v>
      </c>
      <c r="B154" s="174" t="s">
        <v>1130</v>
      </c>
      <c r="C154" s="175" t="s">
        <v>569</v>
      </c>
      <c r="D154" s="176">
        <v>1.25</v>
      </c>
      <c r="E154" s="174"/>
      <c r="F154" s="174"/>
      <c r="G154" s="174" t="s">
        <v>883</v>
      </c>
      <c r="H154" s="177">
        <v>283</v>
      </c>
      <c r="I154" s="24">
        <v>103003</v>
      </c>
      <c r="J154" s="178">
        <v>1.25</v>
      </c>
      <c r="K154" s="177">
        <v>5771</v>
      </c>
      <c r="L154" s="179">
        <v>0.41198392825947705</v>
      </c>
      <c r="M154" s="180">
        <v>6060.04</v>
      </c>
      <c r="N154" s="178">
        <v>7575.05</v>
      </c>
      <c r="O154" s="181" t="s">
        <v>882</v>
      </c>
      <c r="P154" s="180">
        <v>0</v>
      </c>
      <c r="Q154" s="182">
        <v>0</v>
      </c>
      <c r="R154" s="183" t="s">
        <v>883</v>
      </c>
      <c r="S154" s="174" t="s">
        <v>1129</v>
      </c>
      <c r="T154" s="44">
        <v>1</v>
      </c>
      <c r="U154" s="184">
        <v>57</v>
      </c>
      <c r="V154" s="185">
        <v>15</v>
      </c>
      <c r="W154" s="186">
        <v>6989</v>
      </c>
      <c r="X154" s="187">
        <v>2023</v>
      </c>
      <c r="Y154" s="188">
        <v>1900</v>
      </c>
      <c r="Z154" s="188" t="s">
        <v>883</v>
      </c>
      <c r="AA154" s="187" t="s">
        <v>883</v>
      </c>
      <c r="AB154" s="188">
        <v>0</v>
      </c>
      <c r="AC154" s="188"/>
      <c r="AD154" s="189" t="s">
        <v>883</v>
      </c>
      <c r="AE154" s="190" t="s">
        <v>883</v>
      </c>
      <c r="AF154" s="180">
        <v>2748</v>
      </c>
      <c r="AG154" s="183">
        <v>45009</v>
      </c>
      <c r="AH154" s="183" t="s">
        <v>883</v>
      </c>
      <c r="AI154" s="183">
        <v>44959</v>
      </c>
      <c r="AJ154" s="183" t="s">
        <v>883</v>
      </c>
      <c r="AK154" s="174"/>
    </row>
    <row r="155" spans="1:37" x14ac:dyDescent="0.3">
      <c r="A155" s="173">
        <v>17371</v>
      </c>
      <c r="B155" s="174" t="s">
        <v>1131</v>
      </c>
      <c r="C155" s="175" t="s">
        <v>569</v>
      </c>
      <c r="D155" s="176">
        <v>1.35</v>
      </c>
      <c r="E155" s="174"/>
      <c r="F155" s="174"/>
      <c r="G155" s="174" t="s">
        <v>883</v>
      </c>
      <c r="H155" s="177">
        <v>221</v>
      </c>
      <c r="I155" s="24">
        <v>103003</v>
      </c>
      <c r="J155" s="178">
        <v>1.35</v>
      </c>
      <c r="K155" s="177">
        <v>5751</v>
      </c>
      <c r="L155" s="179">
        <v>0.33034379671150971</v>
      </c>
      <c r="M155" s="180">
        <v>5907</v>
      </c>
      <c r="N155" s="178">
        <v>7974.45</v>
      </c>
      <c r="O155" s="181" t="s">
        <v>882</v>
      </c>
      <c r="P155" s="180">
        <v>0</v>
      </c>
      <c r="Q155" s="182">
        <v>0</v>
      </c>
      <c r="R155" s="183" t="s">
        <v>883</v>
      </c>
      <c r="S155" s="174" t="s">
        <v>1129</v>
      </c>
      <c r="T155" s="44">
        <v>1</v>
      </c>
      <c r="U155" s="184">
        <v>57</v>
      </c>
      <c r="V155" s="185">
        <v>15</v>
      </c>
      <c r="W155" s="186">
        <v>6989</v>
      </c>
      <c r="X155" s="187">
        <v>2023</v>
      </c>
      <c r="Y155" s="188">
        <v>1900</v>
      </c>
      <c r="Z155" s="188" t="s">
        <v>883</v>
      </c>
      <c r="AA155" s="187" t="s">
        <v>883</v>
      </c>
      <c r="AB155" s="188">
        <v>0</v>
      </c>
      <c r="AC155" s="188"/>
      <c r="AD155" s="189" t="s">
        <v>883</v>
      </c>
      <c r="AE155" s="190" t="s">
        <v>883</v>
      </c>
      <c r="AF155" s="180">
        <v>2676</v>
      </c>
      <c r="AG155" s="183">
        <v>44967</v>
      </c>
      <c r="AH155" s="183" t="s">
        <v>883</v>
      </c>
      <c r="AI155" s="183">
        <v>44959</v>
      </c>
      <c r="AJ155" s="183" t="s">
        <v>883</v>
      </c>
      <c r="AK155" s="174"/>
    </row>
    <row r="156" spans="1:37" x14ac:dyDescent="0.3">
      <c r="A156" s="173">
        <v>17422</v>
      </c>
      <c r="B156" s="174" t="s">
        <v>1132</v>
      </c>
      <c r="C156" s="175" t="s">
        <v>256</v>
      </c>
      <c r="D156" s="176">
        <v>33.6</v>
      </c>
      <c r="E156" s="174"/>
      <c r="F156" s="174"/>
      <c r="G156" s="174" t="s">
        <v>883</v>
      </c>
      <c r="H156" s="177">
        <v>27</v>
      </c>
      <c r="I156" s="24">
        <v>103003</v>
      </c>
      <c r="J156" s="178">
        <v>33.6</v>
      </c>
      <c r="K156" s="177">
        <v>2</v>
      </c>
      <c r="L156" s="179">
        <v>158.8235294117647</v>
      </c>
      <c r="M156" s="180">
        <v>0</v>
      </c>
      <c r="N156" s="178">
        <v>0</v>
      </c>
      <c r="O156" s="181" t="s">
        <v>882</v>
      </c>
      <c r="P156" s="180">
        <v>0</v>
      </c>
      <c r="Q156" s="182">
        <v>0</v>
      </c>
      <c r="R156" s="183" t="s">
        <v>883</v>
      </c>
      <c r="S156" s="174" t="s">
        <v>1001</v>
      </c>
      <c r="T156" s="44">
        <v>1</v>
      </c>
      <c r="U156" s="184">
        <v>61</v>
      </c>
      <c r="V156" s="185">
        <v>11</v>
      </c>
      <c r="W156" s="186">
        <v>2587</v>
      </c>
      <c r="X156" s="187">
        <v>2023</v>
      </c>
      <c r="Y156" s="188">
        <v>30</v>
      </c>
      <c r="Z156" s="188" t="s">
        <v>883</v>
      </c>
      <c r="AA156" s="187" t="s">
        <v>883</v>
      </c>
      <c r="AB156" s="188">
        <v>0</v>
      </c>
      <c r="AC156" s="188"/>
      <c r="AD156" s="189" t="s">
        <v>883</v>
      </c>
      <c r="AE156" s="190" t="s">
        <v>883</v>
      </c>
      <c r="AF156" s="180">
        <v>0</v>
      </c>
      <c r="AG156" s="183">
        <v>44952</v>
      </c>
      <c r="AH156" s="183" t="s">
        <v>883</v>
      </c>
      <c r="AI156" s="183">
        <v>44942</v>
      </c>
      <c r="AJ156" s="183" t="s">
        <v>883</v>
      </c>
      <c r="AK156" s="174"/>
    </row>
    <row r="157" spans="1:37" x14ac:dyDescent="0.3">
      <c r="A157" s="173">
        <v>17426</v>
      </c>
      <c r="B157" s="174" t="s">
        <v>1133</v>
      </c>
      <c r="C157" s="175" t="s">
        <v>256</v>
      </c>
      <c r="D157" s="176">
        <v>48.83</v>
      </c>
      <c r="E157" s="174"/>
      <c r="F157" s="174"/>
      <c r="G157" s="174" t="s">
        <v>883</v>
      </c>
      <c r="H157" s="177">
        <v>3</v>
      </c>
      <c r="I157" s="24">
        <v>103003</v>
      </c>
      <c r="J157" s="178">
        <v>48.83</v>
      </c>
      <c r="K157" s="177">
        <v>21</v>
      </c>
      <c r="L157" s="179">
        <v>1.639344262295082</v>
      </c>
      <c r="M157" s="180">
        <v>8.9600000000000009</v>
      </c>
      <c r="N157" s="178">
        <v>437.51679999999999</v>
      </c>
      <c r="O157" s="181" t="s">
        <v>882</v>
      </c>
      <c r="P157" s="180">
        <v>0</v>
      </c>
      <c r="Q157" s="182">
        <v>0</v>
      </c>
      <c r="R157" s="183" t="s">
        <v>883</v>
      </c>
      <c r="S157" s="174" t="s">
        <v>1001</v>
      </c>
      <c r="T157" s="44">
        <v>1</v>
      </c>
      <c r="U157" s="184">
        <v>61</v>
      </c>
      <c r="V157" s="185">
        <v>11</v>
      </c>
      <c r="W157" s="186">
        <v>2453</v>
      </c>
      <c r="X157" s="187">
        <v>2023</v>
      </c>
      <c r="Y157" s="188">
        <v>10</v>
      </c>
      <c r="Z157" s="188" t="s">
        <v>883</v>
      </c>
      <c r="AA157" s="187" t="s">
        <v>883</v>
      </c>
      <c r="AB157" s="188">
        <v>0</v>
      </c>
      <c r="AC157" s="188"/>
      <c r="AD157" s="189" t="s">
        <v>883</v>
      </c>
      <c r="AE157" s="190" t="s">
        <v>883</v>
      </c>
      <c r="AF157" s="180">
        <v>8</v>
      </c>
      <c r="AG157" s="183">
        <v>45006</v>
      </c>
      <c r="AH157" s="183" t="s">
        <v>883</v>
      </c>
      <c r="AI157" s="183">
        <v>44942</v>
      </c>
      <c r="AJ157" s="183" t="s">
        <v>883</v>
      </c>
      <c r="AK157" s="174"/>
    </row>
    <row r="158" spans="1:37" x14ac:dyDescent="0.3">
      <c r="A158" s="173">
        <v>17454</v>
      </c>
      <c r="B158" s="174" t="s">
        <v>1134</v>
      </c>
      <c r="C158" s="175" t="s">
        <v>569</v>
      </c>
      <c r="D158" s="176">
        <v>0.24</v>
      </c>
      <c r="E158" s="174"/>
      <c r="F158" s="174"/>
      <c r="G158" s="174" t="s">
        <v>883</v>
      </c>
      <c r="H158" s="177">
        <v>3420</v>
      </c>
      <c r="I158" s="24">
        <v>103003</v>
      </c>
      <c r="J158" s="178">
        <v>0.24</v>
      </c>
      <c r="K158" s="177">
        <v>4824</v>
      </c>
      <c r="L158" s="179">
        <v>5.5571804621234282</v>
      </c>
      <c r="M158" s="180">
        <v>3965.04</v>
      </c>
      <c r="N158" s="178">
        <v>951.6096</v>
      </c>
      <c r="O158" s="181" t="s">
        <v>882</v>
      </c>
      <c r="P158" s="180">
        <v>0</v>
      </c>
      <c r="Q158" s="182">
        <v>0</v>
      </c>
      <c r="R158" s="183" t="s">
        <v>883</v>
      </c>
      <c r="S158" s="174" t="s">
        <v>1135</v>
      </c>
      <c r="T158" s="44">
        <v>1</v>
      </c>
      <c r="U158" s="184">
        <v>57</v>
      </c>
      <c r="V158" s="185">
        <v>2</v>
      </c>
      <c r="W158" s="186" t="s">
        <v>883</v>
      </c>
      <c r="X158" s="187" t="s">
        <v>883</v>
      </c>
      <c r="Y158" s="188">
        <v>0</v>
      </c>
      <c r="Z158" s="188" t="s">
        <v>883</v>
      </c>
      <c r="AA158" s="187" t="s">
        <v>883</v>
      </c>
      <c r="AB158" s="188">
        <v>0</v>
      </c>
      <c r="AC158" s="188"/>
      <c r="AD158" s="189" t="s">
        <v>883</v>
      </c>
      <c r="AE158" s="190" t="s">
        <v>883</v>
      </c>
      <c r="AF158" s="180">
        <v>2462</v>
      </c>
      <c r="AG158" s="183">
        <v>44147</v>
      </c>
      <c r="AH158" s="183" t="s">
        <v>883</v>
      </c>
      <c r="AI158" s="183">
        <v>44126</v>
      </c>
      <c r="AJ158" s="183" t="s">
        <v>883</v>
      </c>
      <c r="AK158" s="174"/>
    </row>
    <row r="159" spans="1:37" x14ac:dyDescent="0.3">
      <c r="A159" s="173">
        <v>17562</v>
      </c>
      <c r="B159" s="174" t="s">
        <v>1136</v>
      </c>
      <c r="C159" s="175" t="s">
        <v>256</v>
      </c>
      <c r="D159" s="176">
        <v>6.35</v>
      </c>
      <c r="E159" s="174"/>
      <c r="F159" s="174"/>
      <c r="G159" s="174" t="s">
        <v>883</v>
      </c>
      <c r="H159" s="177">
        <v>443</v>
      </c>
      <c r="I159" s="24">
        <v>103003</v>
      </c>
      <c r="J159" s="178">
        <v>6.35</v>
      </c>
      <c r="K159" s="177">
        <v>40</v>
      </c>
      <c r="L159" s="179">
        <v>133.03303303303301</v>
      </c>
      <c r="M159" s="180">
        <v>0</v>
      </c>
      <c r="N159" s="178">
        <v>0</v>
      </c>
      <c r="O159" s="181" t="s">
        <v>882</v>
      </c>
      <c r="P159" s="180">
        <v>0</v>
      </c>
      <c r="Q159" s="182">
        <v>0</v>
      </c>
      <c r="R159" s="183" t="s">
        <v>883</v>
      </c>
      <c r="S159" s="174" t="s">
        <v>1137</v>
      </c>
      <c r="T159" s="44">
        <v>1</v>
      </c>
      <c r="U159" s="184">
        <v>83</v>
      </c>
      <c r="V159" s="185">
        <v>8</v>
      </c>
      <c r="W159" s="186" t="s">
        <v>883</v>
      </c>
      <c r="X159" s="187" t="s">
        <v>883</v>
      </c>
      <c r="Y159" s="188">
        <v>0</v>
      </c>
      <c r="Z159" s="188" t="s">
        <v>883</v>
      </c>
      <c r="AA159" s="187" t="s">
        <v>883</v>
      </c>
      <c r="AB159" s="188">
        <v>0</v>
      </c>
      <c r="AC159" s="188"/>
      <c r="AD159" s="189" t="s">
        <v>883</v>
      </c>
      <c r="AE159" s="190" t="s">
        <v>883</v>
      </c>
      <c r="AF159" s="180">
        <v>14</v>
      </c>
      <c r="AG159" s="183">
        <v>43280</v>
      </c>
      <c r="AH159" s="183" t="s">
        <v>883</v>
      </c>
      <c r="AI159" s="183">
        <v>44231</v>
      </c>
      <c r="AJ159" s="183" t="s">
        <v>883</v>
      </c>
      <c r="AK159" s="174"/>
    </row>
    <row r="160" spans="1:37" x14ac:dyDescent="0.3">
      <c r="A160" s="173">
        <v>17662</v>
      </c>
      <c r="B160" s="174" t="s">
        <v>1138</v>
      </c>
      <c r="C160" s="175" t="s">
        <v>569</v>
      </c>
      <c r="D160" s="176">
        <v>0.99</v>
      </c>
      <c r="E160" s="174"/>
      <c r="F160" s="174"/>
      <c r="G160" s="174" t="s">
        <v>883</v>
      </c>
      <c r="H160" s="177">
        <v>1410</v>
      </c>
      <c r="I160" s="24">
        <v>103003</v>
      </c>
      <c r="J160" s="178">
        <v>0.99</v>
      </c>
      <c r="K160" s="177">
        <v>10</v>
      </c>
      <c r="L160" s="179">
        <v>1698.7951807228915</v>
      </c>
      <c r="M160" s="180">
        <v>0</v>
      </c>
      <c r="N160" s="178">
        <v>0</v>
      </c>
      <c r="O160" s="181" t="s">
        <v>882</v>
      </c>
      <c r="P160" s="180">
        <v>0</v>
      </c>
      <c r="Q160" s="182">
        <v>0</v>
      </c>
      <c r="R160" s="183" t="s">
        <v>883</v>
      </c>
      <c r="S160" s="174" t="s">
        <v>994</v>
      </c>
      <c r="T160" s="44">
        <v>1</v>
      </c>
      <c r="U160" s="184">
        <v>83</v>
      </c>
      <c r="V160" s="185">
        <v>2</v>
      </c>
      <c r="W160" s="186" t="s">
        <v>883</v>
      </c>
      <c r="X160" s="187" t="s">
        <v>883</v>
      </c>
      <c r="Y160" s="188">
        <v>0</v>
      </c>
      <c r="Z160" s="188" t="s">
        <v>883</v>
      </c>
      <c r="AA160" s="187" t="s">
        <v>883</v>
      </c>
      <c r="AB160" s="188">
        <v>0</v>
      </c>
      <c r="AC160" s="188"/>
      <c r="AD160" s="189" t="s">
        <v>883</v>
      </c>
      <c r="AE160" s="190" t="s">
        <v>883</v>
      </c>
      <c r="AF160" s="180">
        <v>4</v>
      </c>
      <c r="AG160" s="183">
        <v>43826</v>
      </c>
      <c r="AH160" s="183" t="s">
        <v>883</v>
      </c>
      <c r="AI160" s="183">
        <v>44349</v>
      </c>
      <c r="AJ160" s="183" t="s">
        <v>883</v>
      </c>
      <c r="AK160" s="174"/>
    </row>
    <row r="161" spans="1:37" x14ac:dyDescent="0.3">
      <c r="A161" s="173">
        <v>17663</v>
      </c>
      <c r="B161" s="174" t="s">
        <v>568</v>
      </c>
      <c r="C161" s="175" t="s">
        <v>569</v>
      </c>
      <c r="D161" s="176">
        <v>0.99</v>
      </c>
      <c r="E161" s="174"/>
      <c r="F161" s="174"/>
      <c r="G161" s="174" t="s">
        <v>883</v>
      </c>
      <c r="H161" s="177">
        <v>190</v>
      </c>
      <c r="I161" s="24">
        <v>103003</v>
      </c>
      <c r="J161" s="178">
        <v>0.99</v>
      </c>
      <c r="K161" s="177"/>
      <c r="L161" s="179">
        <v>0</v>
      </c>
      <c r="M161" s="180">
        <v>0</v>
      </c>
      <c r="N161" s="178">
        <v>0</v>
      </c>
      <c r="O161" s="181" t="s">
        <v>882</v>
      </c>
      <c r="P161" s="180">
        <v>0</v>
      </c>
      <c r="Q161" s="182">
        <v>0</v>
      </c>
      <c r="R161" s="183" t="s">
        <v>883</v>
      </c>
      <c r="S161" s="174" t="s">
        <v>994</v>
      </c>
      <c r="T161" s="44">
        <v>1</v>
      </c>
      <c r="U161" s="184">
        <v>83</v>
      </c>
      <c r="V161" s="185">
        <v>2</v>
      </c>
      <c r="W161" s="186" t="s">
        <v>883</v>
      </c>
      <c r="X161" s="187" t="s">
        <v>883</v>
      </c>
      <c r="Y161" s="188">
        <v>0</v>
      </c>
      <c r="Z161" s="188" t="s">
        <v>883</v>
      </c>
      <c r="AA161" s="187" t="s">
        <v>883</v>
      </c>
      <c r="AB161" s="188">
        <v>0</v>
      </c>
      <c r="AC161" s="188"/>
      <c r="AD161" s="189" t="s">
        <v>883</v>
      </c>
      <c r="AE161" s="190" t="s">
        <v>883</v>
      </c>
      <c r="AF161" s="180">
        <v>0</v>
      </c>
      <c r="AG161" s="183">
        <v>44067</v>
      </c>
      <c r="AH161" s="183" t="s">
        <v>883</v>
      </c>
      <c r="AI161" s="183">
        <v>44040</v>
      </c>
      <c r="AJ161" s="183" t="s">
        <v>883</v>
      </c>
      <c r="AK161" s="174"/>
    </row>
    <row r="162" spans="1:37" x14ac:dyDescent="0.3">
      <c r="A162" s="173">
        <v>17696</v>
      </c>
      <c r="B162" s="174" t="s">
        <v>1139</v>
      </c>
      <c r="C162" s="175" t="s">
        <v>569</v>
      </c>
      <c r="D162" s="176">
        <v>2.4</v>
      </c>
      <c r="E162" s="174"/>
      <c r="F162" s="174"/>
      <c r="G162" s="174" t="s">
        <v>883</v>
      </c>
      <c r="H162" s="177">
        <v>0</v>
      </c>
      <c r="I162" s="24">
        <v>103003</v>
      </c>
      <c r="J162" s="178">
        <v>2.4</v>
      </c>
      <c r="K162" s="177">
        <v>89</v>
      </c>
      <c r="L162" s="179">
        <v>0</v>
      </c>
      <c r="M162" s="180">
        <v>0</v>
      </c>
      <c r="N162" s="178">
        <v>0</v>
      </c>
      <c r="O162" s="181" t="s">
        <v>882</v>
      </c>
      <c r="P162" s="180">
        <v>0</v>
      </c>
      <c r="Q162" s="182">
        <v>0</v>
      </c>
      <c r="R162" s="183" t="s">
        <v>883</v>
      </c>
      <c r="S162" s="174" t="s">
        <v>994</v>
      </c>
      <c r="T162" s="44">
        <v>1</v>
      </c>
      <c r="U162" s="184">
        <v>83</v>
      </c>
      <c r="V162" s="185">
        <v>2</v>
      </c>
      <c r="W162" s="186">
        <v>2222</v>
      </c>
      <c r="X162" s="187">
        <v>2023</v>
      </c>
      <c r="Y162" s="188">
        <v>300</v>
      </c>
      <c r="Z162" s="188" t="s">
        <v>883</v>
      </c>
      <c r="AA162" s="187" t="s">
        <v>883</v>
      </c>
      <c r="AB162" s="188">
        <v>0</v>
      </c>
      <c r="AC162" s="188"/>
      <c r="AD162" s="189" t="s">
        <v>883</v>
      </c>
      <c r="AE162" s="190" t="s">
        <v>883</v>
      </c>
      <c r="AF162" s="180">
        <v>30</v>
      </c>
      <c r="AG162" s="183">
        <v>44743</v>
      </c>
      <c r="AH162" s="183" t="s">
        <v>883</v>
      </c>
      <c r="AI162" s="183">
        <v>44922</v>
      </c>
      <c r="AJ162" s="183" t="s">
        <v>883</v>
      </c>
      <c r="AK162" s="174"/>
    </row>
    <row r="163" spans="1:37" x14ac:dyDescent="0.3">
      <c r="A163" s="173">
        <v>17698</v>
      </c>
      <c r="B163" s="174" t="s">
        <v>1140</v>
      </c>
      <c r="C163" s="175" t="s">
        <v>569</v>
      </c>
      <c r="D163" s="176">
        <v>2.76</v>
      </c>
      <c r="E163" s="174"/>
      <c r="F163" s="174"/>
      <c r="G163" s="174" t="s">
        <v>883</v>
      </c>
      <c r="H163" s="177">
        <v>146</v>
      </c>
      <c r="I163" s="24">
        <v>103003</v>
      </c>
      <c r="J163" s="178">
        <v>2.76</v>
      </c>
      <c r="K163" s="177">
        <v>308</v>
      </c>
      <c r="L163" s="179">
        <v>5.5619047619047617</v>
      </c>
      <c r="M163" s="180">
        <v>0</v>
      </c>
      <c r="N163" s="178">
        <v>0</v>
      </c>
      <c r="O163" s="181" t="s">
        <v>882</v>
      </c>
      <c r="P163" s="180">
        <v>0</v>
      </c>
      <c r="Q163" s="182">
        <v>0</v>
      </c>
      <c r="R163" s="183" t="s">
        <v>883</v>
      </c>
      <c r="S163" s="174" t="s">
        <v>994</v>
      </c>
      <c r="T163" s="44">
        <v>1</v>
      </c>
      <c r="U163" s="184">
        <v>83</v>
      </c>
      <c r="V163" s="185">
        <v>2</v>
      </c>
      <c r="W163" s="186">
        <v>2659</v>
      </c>
      <c r="X163" s="187">
        <v>2023</v>
      </c>
      <c r="Y163" s="188">
        <v>400</v>
      </c>
      <c r="Z163" s="188" t="s">
        <v>883</v>
      </c>
      <c r="AA163" s="187" t="s">
        <v>883</v>
      </c>
      <c r="AB163" s="188">
        <v>0</v>
      </c>
      <c r="AC163" s="188"/>
      <c r="AD163" s="189" t="s">
        <v>883</v>
      </c>
      <c r="AE163" s="190" t="s">
        <v>883</v>
      </c>
      <c r="AF163" s="180">
        <v>106</v>
      </c>
      <c r="AG163" s="183">
        <v>44928</v>
      </c>
      <c r="AH163" s="183" t="s">
        <v>883</v>
      </c>
      <c r="AI163" s="183">
        <v>44952</v>
      </c>
      <c r="AJ163" s="183" t="s">
        <v>883</v>
      </c>
      <c r="AK163" s="174"/>
    </row>
    <row r="164" spans="1:37" x14ac:dyDescent="0.3">
      <c r="A164" s="173">
        <v>17704</v>
      </c>
      <c r="B164" s="174" t="s">
        <v>1141</v>
      </c>
      <c r="C164" s="175" t="s">
        <v>256</v>
      </c>
      <c r="D164" s="176">
        <v>17.8</v>
      </c>
      <c r="E164" s="174"/>
      <c r="F164" s="174"/>
      <c r="G164" s="174" t="s">
        <v>883</v>
      </c>
      <c r="H164" s="177">
        <v>137</v>
      </c>
      <c r="I164" s="24">
        <v>103003</v>
      </c>
      <c r="J164" s="178">
        <v>17.8</v>
      </c>
      <c r="K164" s="177">
        <v>114</v>
      </c>
      <c r="L164" s="179">
        <v>10.603715170278637</v>
      </c>
      <c r="M164" s="180">
        <v>0</v>
      </c>
      <c r="N164" s="178">
        <v>0</v>
      </c>
      <c r="O164" s="181" t="s">
        <v>882</v>
      </c>
      <c r="P164" s="180">
        <v>0</v>
      </c>
      <c r="Q164" s="182">
        <v>0</v>
      </c>
      <c r="R164" s="183" t="s">
        <v>883</v>
      </c>
      <c r="S164" s="174" t="s">
        <v>1019</v>
      </c>
      <c r="T164" s="44">
        <v>1</v>
      </c>
      <c r="U164" s="184">
        <v>51</v>
      </c>
      <c r="V164" s="185">
        <v>12</v>
      </c>
      <c r="W164" s="186">
        <v>2430</v>
      </c>
      <c r="X164" s="187">
        <v>2023</v>
      </c>
      <c r="Y164" s="188">
        <v>100</v>
      </c>
      <c r="Z164" s="188" t="s">
        <v>883</v>
      </c>
      <c r="AA164" s="187" t="s">
        <v>883</v>
      </c>
      <c r="AB164" s="188">
        <v>0</v>
      </c>
      <c r="AC164" s="188"/>
      <c r="AD164" s="189" t="s">
        <v>883</v>
      </c>
      <c r="AE164" s="190" t="s">
        <v>883</v>
      </c>
      <c r="AF164" s="180">
        <v>52</v>
      </c>
      <c r="AG164" s="183">
        <v>44140</v>
      </c>
      <c r="AH164" s="183" t="s">
        <v>883</v>
      </c>
      <c r="AI164" s="183">
        <v>44592</v>
      </c>
      <c r="AJ164" s="183" t="s">
        <v>883</v>
      </c>
      <c r="AK164" s="174"/>
    </row>
    <row r="165" spans="1:37" x14ac:dyDescent="0.3">
      <c r="A165" s="173">
        <v>17946</v>
      </c>
      <c r="B165" s="174" t="s">
        <v>1142</v>
      </c>
      <c r="C165" s="175" t="s">
        <v>256</v>
      </c>
      <c r="D165" s="176">
        <v>5.29</v>
      </c>
      <c r="E165" s="174"/>
      <c r="F165" s="174"/>
      <c r="G165" s="174" t="s">
        <v>883</v>
      </c>
      <c r="H165" s="177">
        <v>2316</v>
      </c>
      <c r="I165" s="24">
        <v>103003</v>
      </c>
      <c r="J165" s="178">
        <v>5.29</v>
      </c>
      <c r="K165" s="177">
        <v>20</v>
      </c>
      <c r="L165" s="179">
        <v>1386.8263473053892</v>
      </c>
      <c r="M165" s="180">
        <v>0</v>
      </c>
      <c r="N165" s="178">
        <v>0</v>
      </c>
      <c r="O165" s="181" t="s">
        <v>882</v>
      </c>
      <c r="P165" s="180">
        <v>0</v>
      </c>
      <c r="Q165" s="182">
        <v>0</v>
      </c>
      <c r="R165" s="183" t="s">
        <v>883</v>
      </c>
      <c r="S165" s="174" t="s">
        <v>884</v>
      </c>
      <c r="T165" s="44">
        <v>1</v>
      </c>
      <c r="U165" s="184">
        <v>70</v>
      </c>
      <c r="V165" s="185">
        <v>17</v>
      </c>
      <c r="W165" s="186" t="s">
        <v>883</v>
      </c>
      <c r="X165" s="187" t="s">
        <v>883</v>
      </c>
      <c r="Y165" s="188">
        <v>0</v>
      </c>
      <c r="Z165" s="188" t="s">
        <v>883</v>
      </c>
      <c r="AA165" s="187" t="s">
        <v>883</v>
      </c>
      <c r="AB165" s="188">
        <v>0</v>
      </c>
      <c r="AC165" s="188"/>
      <c r="AD165" s="189" t="s">
        <v>883</v>
      </c>
      <c r="AE165" s="190" t="s">
        <v>883</v>
      </c>
      <c r="AF165" s="180">
        <v>6</v>
      </c>
      <c r="AG165" s="183">
        <v>43105</v>
      </c>
      <c r="AH165" s="183" t="s">
        <v>883</v>
      </c>
      <c r="AI165" s="183">
        <v>43045</v>
      </c>
      <c r="AJ165" s="183" t="s">
        <v>883</v>
      </c>
      <c r="AK165" s="174"/>
    </row>
    <row r="166" spans="1:37" x14ac:dyDescent="0.3">
      <c r="A166" s="173">
        <v>18337</v>
      </c>
      <c r="B166" s="174" t="s">
        <v>1143</v>
      </c>
      <c r="C166" s="175" t="s">
        <v>400</v>
      </c>
      <c r="D166" s="176">
        <v>28.66</v>
      </c>
      <c r="E166" s="174"/>
      <c r="F166" s="174"/>
      <c r="G166" s="174" t="s">
        <v>883</v>
      </c>
      <c r="H166" s="177">
        <v>22</v>
      </c>
      <c r="I166" s="24">
        <v>103003</v>
      </c>
      <c r="J166" s="178">
        <v>28.66</v>
      </c>
      <c r="K166" s="177">
        <v>7</v>
      </c>
      <c r="L166" s="179">
        <v>37.931034482758619</v>
      </c>
      <c r="M166" s="180">
        <v>0</v>
      </c>
      <c r="N166" s="178">
        <v>0</v>
      </c>
      <c r="O166" s="181" t="s">
        <v>882</v>
      </c>
      <c r="P166" s="180">
        <v>0</v>
      </c>
      <c r="Q166" s="182">
        <v>0</v>
      </c>
      <c r="R166" s="183" t="s">
        <v>883</v>
      </c>
      <c r="S166" s="174" t="s">
        <v>989</v>
      </c>
      <c r="T166" s="44">
        <v>1</v>
      </c>
      <c r="U166" s="184">
        <v>67</v>
      </c>
      <c r="V166" s="185">
        <v>6</v>
      </c>
      <c r="W166" s="186" t="s">
        <v>883</v>
      </c>
      <c r="X166" s="187" t="s">
        <v>883</v>
      </c>
      <c r="Y166" s="188">
        <v>0</v>
      </c>
      <c r="Z166" s="188" t="s">
        <v>883</v>
      </c>
      <c r="AA166" s="187" t="s">
        <v>883</v>
      </c>
      <c r="AB166" s="188">
        <v>0</v>
      </c>
      <c r="AC166" s="188"/>
      <c r="AD166" s="189" t="s">
        <v>883</v>
      </c>
      <c r="AE166" s="190" t="s">
        <v>883</v>
      </c>
      <c r="AF166" s="180">
        <v>2</v>
      </c>
      <c r="AG166" s="183">
        <v>43571</v>
      </c>
      <c r="AH166" s="183" t="s">
        <v>883</v>
      </c>
      <c r="AI166" s="183">
        <v>44547</v>
      </c>
      <c r="AJ166" s="183" t="s">
        <v>883</v>
      </c>
      <c r="AK166" s="174"/>
    </row>
    <row r="167" spans="1:37" x14ac:dyDescent="0.3">
      <c r="A167" s="173">
        <v>18346</v>
      </c>
      <c r="B167" s="174" t="s">
        <v>1144</v>
      </c>
      <c r="C167" s="175" t="s">
        <v>400</v>
      </c>
      <c r="D167" s="176">
        <v>14.87</v>
      </c>
      <c r="E167" s="174"/>
      <c r="F167" s="174"/>
      <c r="G167" s="174" t="s">
        <v>883</v>
      </c>
      <c r="H167" s="177">
        <v>251</v>
      </c>
      <c r="I167" s="24">
        <v>103003</v>
      </c>
      <c r="J167" s="178">
        <v>14.87</v>
      </c>
      <c r="K167" s="177">
        <v>10</v>
      </c>
      <c r="L167" s="179">
        <v>302.40963855421683</v>
      </c>
      <c r="M167" s="180">
        <v>0</v>
      </c>
      <c r="N167" s="178">
        <v>0</v>
      </c>
      <c r="O167" s="181" t="s">
        <v>882</v>
      </c>
      <c r="P167" s="180">
        <v>0</v>
      </c>
      <c r="Q167" s="182">
        <v>0</v>
      </c>
      <c r="R167" s="183" t="s">
        <v>883</v>
      </c>
      <c r="S167" s="174" t="s">
        <v>989</v>
      </c>
      <c r="T167" s="44">
        <v>1</v>
      </c>
      <c r="U167" s="184">
        <v>67</v>
      </c>
      <c r="V167" s="185">
        <v>6</v>
      </c>
      <c r="W167" s="186" t="s">
        <v>883</v>
      </c>
      <c r="X167" s="187" t="s">
        <v>883</v>
      </c>
      <c r="Y167" s="188">
        <v>0</v>
      </c>
      <c r="Z167" s="188" t="s">
        <v>883</v>
      </c>
      <c r="AA167" s="187" t="s">
        <v>883</v>
      </c>
      <c r="AB167" s="188">
        <v>0</v>
      </c>
      <c r="AC167" s="188"/>
      <c r="AD167" s="189" t="s">
        <v>883</v>
      </c>
      <c r="AE167" s="190" t="s">
        <v>883</v>
      </c>
      <c r="AF167" s="180">
        <v>4</v>
      </c>
      <c r="AG167" s="183">
        <v>43853</v>
      </c>
      <c r="AH167" s="183" t="s">
        <v>883</v>
      </c>
      <c r="AI167" s="183">
        <v>44922</v>
      </c>
      <c r="AJ167" s="183" t="s">
        <v>883</v>
      </c>
      <c r="AK167" s="174"/>
    </row>
    <row r="168" spans="1:37" x14ac:dyDescent="0.3">
      <c r="A168" s="173">
        <v>18353</v>
      </c>
      <c r="B168" s="174" t="s">
        <v>1145</v>
      </c>
      <c r="C168" s="175" t="s">
        <v>400</v>
      </c>
      <c r="D168" s="176">
        <v>10.9</v>
      </c>
      <c r="E168" s="174"/>
      <c r="F168" s="174"/>
      <c r="G168" s="174" t="s">
        <v>883</v>
      </c>
      <c r="H168" s="177">
        <v>0</v>
      </c>
      <c r="I168" s="24">
        <v>103003</v>
      </c>
      <c r="J168" s="178">
        <v>10.9</v>
      </c>
      <c r="K168" s="177">
        <v>125</v>
      </c>
      <c r="L168" s="179">
        <v>0</v>
      </c>
      <c r="M168" s="180">
        <v>0</v>
      </c>
      <c r="N168" s="178">
        <v>0</v>
      </c>
      <c r="O168" s="181" t="s">
        <v>882</v>
      </c>
      <c r="P168" s="180">
        <v>0</v>
      </c>
      <c r="Q168" s="182">
        <v>0</v>
      </c>
      <c r="R168" s="183" t="s">
        <v>883</v>
      </c>
      <c r="S168" s="174" t="s">
        <v>989</v>
      </c>
      <c r="T168" s="44">
        <v>1</v>
      </c>
      <c r="U168" s="184">
        <v>67</v>
      </c>
      <c r="V168" s="185">
        <v>6</v>
      </c>
      <c r="W168" s="186">
        <v>2480</v>
      </c>
      <c r="X168" s="187">
        <v>2023</v>
      </c>
      <c r="Y168" s="188">
        <v>1000</v>
      </c>
      <c r="Z168" s="188" t="s">
        <v>883</v>
      </c>
      <c r="AA168" s="187" t="s">
        <v>883</v>
      </c>
      <c r="AB168" s="188">
        <v>0</v>
      </c>
      <c r="AC168" s="188"/>
      <c r="AD168" s="189" t="s">
        <v>883</v>
      </c>
      <c r="AE168" s="190" t="s">
        <v>883</v>
      </c>
      <c r="AF168" s="180">
        <v>80</v>
      </c>
      <c r="AG168" s="183">
        <v>44943</v>
      </c>
      <c r="AH168" s="183" t="s">
        <v>883</v>
      </c>
      <c r="AI168" s="183">
        <v>45105</v>
      </c>
      <c r="AJ168" s="183" t="s">
        <v>883</v>
      </c>
      <c r="AK168" s="174"/>
    </row>
    <row r="169" spans="1:37" x14ac:dyDescent="0.3">
      <c r="A169" s="173">
        <v>18357</v>
      </c>
      <c r="B169" s="174" t="s">
        <v>1146</v>
      </c>
      <c r="C169" s="175" t="s">
        <v>400</v>
      </c>
      <c r="D169" s="176">
        <v>11.48</v>
      </c>
      <c r="E169" s="174"/>
      <c r="F169" s="174"/>
      <c r="G169" s="174" t="s">
        <v>883</v>
      </c>
      <c r="H169" s="177">
        <v>329</v>
      </c>
      <c r="I169" s="24">
        <v>103003</v>
      </c>
      <c r="J169" s="178">
        <v>11.48</v>
      </c>
      <c r="K169" s="177">
        <v>133</v>
      </c>
      <c r="L169" s="179">
        <v>16.384462151394423</v>
      </c>
      <c r="M169" s="180">
        <v>0</v>
      </c>
      <c r="N169" s="178">
        <v>0</v>
      </c>
      <c r="O169" s="181" t="s">
        <v>882</v>
      </c>
      <c r="P169" s="180">
        <v>0</v>
      </c>
      <c r="Q169" s="182">
        <v>0</v>
      </c>
      <c r="R169" s="183" t="s">
        <v>883</v>
      </c>
      <c r="S169" s="174" t="s">
        <v>989</v>
      </c>
      <c r="T169" s="44">
        <v>1</v>
      </c>
      <c r="U169" s="184">
        <v>67</v>
      </c>
      <c r="V169" s="185">
        <v>6</v>
      </c>
      <c r="W169" s="186">
        <v>2481</v>
      </c>
      <c r="X169" s="187">
        <v>2023</v>
      </c>
      <c r="Y169" s="188">
        <v>800</v>
      </c>
      <c r="Z169" s="188" t="s">
        <v>883</v>
      </c>
      <c r="AA169" s="187" t="s">
        <v>883</v>
      </c>
      <c r="AB169" s="188">
        <v>0</v>
      </c>
      <c r="AC169" s="188"/>
      <c r="AD169" s="189" t="s">
        <v>883</v>
      </c>
      <c r="AE169" s="190" t="s">
        <v>883</v>
      </c>
      <c r="AF169" s="180">
        <v>80</v>
      </c>
      <c r="AG169" s="183">
        <v>44943</v>
      </c>
      <c r="AH169" s="183" t="s">
        <v>883</v>
      </c>
      <c r="AI169" s="183">
        <v>45105</v>
      </c>
      <c r="AJ169" s="183" t="s">
        <v>883</v>
      </c>
      <c r="AK169" s="174"/>
    </row>
    <row r="170" spans="1:37" x14ac:dyDescent="0.3">
      <c r="A170" s="173">
        <v>18358</v>
      </c>
      <c r="B170" s="174" t="s">
        <v>1147</v>
      </c>
      <c r="C170" s="175" t="s">
        <v>400</v>
      </c>
      <c r="D170" s="176">
        <v>11.48</v>
      </c>
      <c r="E170" s="174"/>
      <c r="F170" s="174"/>
      <c r="G170" s="174" t="s">
        <v>883</v>
      </c>
      <c r="H170" s="177">
        <v>179</v>
      </c>
      <c r="I170" s="24">
        <v>103003</v>
      </c>
      <c r="J170" s="178">
        <v>11.48</v>
      </c>
      <c r="K170" s="177">
        <v>113</v>
      </c>
      <c r="L170" s="179">
        <v>14.03921568627451</v>
      </c>
      <c r="M170" s="180">
        <v>0</v>
      </c>
      <c r="N170" s="178">
        <v>0</v>
      </c>
      <c r="O170" s="181" t="s">
        <v>882</v>
      </c>
      <c r="P170" s="180">
        <v>0</v>
      </c>
      <c r="Q170" s="182">
        <v>0</v>
      </c>
      <c r="R170" s="183" t="s">
        <v>883</v>
      </c>
      <c r="S170" s="174" t="s">
        <v>989</v>
      </c>
      <c r="T170" s="44">
        <v>1</v>
      </c>
      <c r="U170" s="184">
        <v>67</v>
      </c>
      <c r="V170" s="185">
        <v>6</v>
      </c>
      <c r="W170" s="186">
        <v>2483</v>
      </c>
      <c r="X170" s="187">
        <v>2023</v>
      </c>
      <c r="Y170" s="188">
        <v>50</v>
      </c>
      <c r="Z170" s="188" t="s">
        <v>883</v>
      </c>
      <c r="AA170" s="187" t="s">
        <v>883</v>
      </c>
      <c r="AB170" s="188">
        <v>0</v>
      </c>
      <c r="AC170" s="188"/>
      <c r="AD170" s="189" t="s">
        <v>883</v>
      </c>
      <c r="AE170" s="190" t="s">
        <v>883</v>
      </c>
      <c r="AF170" s="180">
        <v>52</v>
      </c>
      <c r="AG170" s="183">
        <v>43839</v>
      </c>
      <c r="AH170" s="183" t="s">
        <v>883</v>
      </c>
      <c r="AI170" s="183">
        <v>45105</v>
      </c>
      <c r="AJ170" s="183" t="s">
        <v>883</v>
      </c>
      <c r="AK170" s="174"/>
    </row>
    <row r="171" spans="1:37" x14ac:dyDescent="0.3">
      <c r="A171" s="173">
        <v>19842</v>
      </c>
      <c r="B171" s="174" t="s">
        <v>1148</v>
      </c>
      <c r="C171" s="175" t="s">
        <v>256</v>
      </c>
      <c r="D171" s="176">
        <v>0.44</v>
      </c>
      <c r="E171" s="174"/>
      <c r="F171" s="174"/>
      <c r="G171" s="174" t="s">
        <v>883</v>
      </c>
      <c r="H171" s="177">
        <v>0</v>
      </c>
      <c r="I171" s="24">
        <v>103003</v>
      </c>
      <c r="J171" s="178">
        <v>0.44791999999999998</v>
      </c>
      <c r="K171" s="177">
        <v>8755</v>
      </c>
      <c r="L171" s="179">
        <v>0</v>
      </c>
      <c r="M171" s="180">
        <v>7757.96</v>
      </c>
      <c r="N171" s="178">
        <v>3413.5023999999999</v>
      </c>
      <c r="O171" s="181" t="s">
        <v>882</v>
      </c>
      <c r="P171" s="180">
        <v>0</v>
      </c>
      <c r="Q171" s="182">
        <v>0</v>
      </c>
      <c r="R171" s="183" t="s">
        <v>883</v>
      </c>
      <c r="S171" s="174" t="s">
        <v>1149</v>
      </c>
      <c r="T171" s="44">
        <v>1</v>
      </c>
      <c r="U171" s="184">
        <v>62</v>
      </c>
      <c r="V171" s="185">
        <v>12</v>
      </c>
      <c r="W171" s="186">
        <v>8985</v>
      </c>
      <c r="X171" s="187">
        <v>2023</v>
      </c>
      <c r="Y171" s="188">
        <v>2800</v>
      </c>
      <c r="Z171" s="188" t="s">
        <v>883</v>
      </c>
      <c r="AA171" s="187" t="s">
        <v>883</v>
      </c>
      <c r="AB171" s="188">
        <v>0</v>
      </c>
      <c r="AC171" s="188"/>
      <c r="AD171" s="189" t="s">
        <v>883</v>
      </c>
      <c r="AE171" s="190" t="s">
        <v>883</v>
      </c>
      <c r="AF171" s="180">
        <v>3520</v>
      </c>
      <c r="AG171" s="183">
        <v>44606</v>
      </c>
      <c r="AH171" s="183" t="s">
        <v>883</v>
      </c>
      <c r="AI171" s="183">
        <v>44582</v>
      </c>
      <c r="AJ171" s="183" t="s">
        <v>883</v>
      </c>
      <c r="AK171" s="174"/>
    </row>
    <row r="172" spans="1:37" x14ac:dyDescent="0.3">
      <c r="A172" s="173">
        <v>19871</v>
      </c>
      <c r="B172" s="174" t="s">
        <v>1150</v>
      </c>
      <c r="C172" s="175" t="s">
        <v>256</v>
      </c>
      <c r="D172" s="176">
        <v>4.17</v>
      </c>
      <c r="E172" s="174"/>
      <c r="F172" s="174"/>
      <c r="G172" s="174" t="s">
        <v>883</v>
      </c>
      <c r="H172" s="177">
        <v>96</v>
      </c>
      <c r="I172" s="24">
        <v>103003</v>
      </c>
      <c r="J172" s="178">
        <v>4.17</v>
      </c>
      <c r="K172" s="177">
        <v>40</v>
      </c>
      <c r="L172" s="179">
        <v>28.828828828828829</v>
      </c>
      <c r="M172" s="180">
        <v>0</v>
      </c>
      <c r="N172" s="178">
        <v>0</v>
      </c>
      <c r="O172" s="181" t="s">
        <v>882</v>
      </c>
      <c r="P172" s="180">
        <v>0</v>
      </c>
      <c r="Q172" s="182">
        <v>0</v>
      </c>
      <c r="R172" s="183" t="s">
        <v>883</v>
      </c>
      <c r="S172" s="174" t="s">
        <v>1151</v>
      </c>
      <c r="T172" s="44">
        <v>1</v>
      </c>
      <c r="U172" s="184">
        <v>70</v>
      </c>
      <c r="V172" s="185">
        <v>31</v>
      </c>
      <c r="W172" s="186" t="s">
        <v>883</v>
      </c>
      <c r="X172" s="187" t="s">
        <v>883</v>
      </c>
      <c r="Y172" s="188">
        <v>0</v>
      </c>
      <c r="Z172" s="188" t="s">
        <v>883</v>
      </c>
      <c r="AA172" s="187" t="s">
        <v>883</v>
      </c>
      <c r="AB172" s="188">
        <v>0</v>
      </c>
      <c r="AC172" s="188"/>
      <c r="AD172" s="189" t="s">
        <v>883</v>
      </c>
      <c r="AE172" s="190" t="s">
        <v>883</v>
      </c>
      <c r="AF172" s="180">
        <v>14</v>
      </c>
      <c r="AG172" s="183">
        <v>44375</v>
      </c>
      <c r="AH172" s="183" t="s">
        <v>883</v>
      </c>
      <c r="AI172" s="183">
        <v>44890</v>
      </c>
      <c r="AJ172" s="183" t="s">
        <v>883</v>
      </c>
      <c r="AK172" s="174"/>
    </row>
    <row r="173" spans="1:37" x14ac:dyDescent="0.3">
      <c r="A173" s="173">
        <v>19882</v>
      </c>
      <c r="B173" s="174" t="s">
        <v>1152</v>
      </c>
      <c r="C173" s="175" t="s">
        <v>256</v>
      </c>
      <c r="D173" s="176">
        <v>3.98</v>
      </c>
      <c r="E173" s="174"/>
      <c r="F173" s="174"/>
      <c r="G173" s="174" t="s">
        <v>883</v>
      </c>
      <c r="H173" s="177">
        <v>224</v>
      </c>
      <c r="I173" s="24">
        <v>103003</v>
      </c>
      <c r="J173" s="178">
        <v>3.9693100000000001</v>
      </c>
      <c r="K173" s="177">
        <v>35</v>
      </c>
      <c r="L173" s="179">
        <v>72.727272727272734</v>
      </c>
      <c r="M173" s="180">
        <v>0</v>
      </c>
      <c r="N173" s="178">
        <v>0</v>
      </c>
      <c r="O173" s="181" t="s">
        <v>882</v>
      </c>
      <c r="P173" s="180">
        <v>0</v>
      </c>
      <c r="Q173" s="182">
        <v>0</v>
      </c>
      <c r="R173" s="183" t="s">
        <v>883</v>
      </c>
      <c r="S173" s="174" t="s">
        <v>1151</v>
      </c>
      <c r="T173" s="44">
        <v>1</v>
      </c>
      <c r="U173" s="184">
        <v>70</v>
      </c>
      <c r="V173" s="185">
        <v>31</v>
      </c>
      <c r="W173" s="186" t="s">
        <v>883</v>
      </c>
      <c r="X173" s="187" t="s">
        <v>883</v>
      </c>
      <c r="Y173" s="188">
        <v>0</v>
      </c>
      <c r="Z173" s="188" t="s">
        <v>883</v>
      </c>
      <c r="AA173" s="187" t="s">
        <v>883</v>
      </c>
      <c r="AB173" s="188">
        <v>0</v>
      </c>
      <c r="AC173" s="188"/>
      <c r="AD173" s="189" t="s">
        <v>883</v>
      </c>
      <c r="AE173" s="190" t="s">
        <v>883</v>
      </c>
      <c r="AF173" s="180">
        <v>12</v>
      </c>
      <c r="AG173" s="183">
        <v>43748</v>
      </c>
      <c r="AH173" s="183" t="s">
        <v>883</v>
      </c>
      <c r="AI173" s="183">
        <v>43619</v>
      </c>
      <c r="AJ173" s="183" t="s">
        <v>883</v>
      </c>
      <c r="AK173" s="174"/>
    </row>
    <row r="174" spans="1:37" x14ac:dyDescent="0.3">
      <c r="A174" s="173">
        <v>19883</v>
      </c>
      <c r="B174" s="174" t="s">
        <v>1153</v>
      </c>
      <c r="C174" s="175" t="s">
        <v>256</v>
      </c>
      <c r="D174" s="176">
        <v>3.45</v>
      </c>
      <c r="E174" s="174"/>
      <c r="F174" s="174"/>
      <c r="G174" s="174" t="s">
        <v>883</v>
      </c>
      <c r="H174" s="177">
        <v>547</v>
      </c>
      <c r="I174" s="24">
        <v>103003</v>
      </c>
      <c r="J174" s="178">
        <v>3.45</v>
      </c>
      <c r="K174" s="177">
        <v>42</v>
      </c>
      <c r="L174" s="179">
        <v>142.81984334203653</v>
      </c>
      <c r="M174" s="180">
        <v>0</v>
      </c>
      <c r="N174" s="178">
        <v>0</v>
      </c>
      <c r="O174" s="181" t="s">
        <v>882</v>
      </c>
      <c r="P174" s="180">
        <v>0</v>
      </c>
      <c r="Q174" s="182">
        <v>0</v>
      </c>
      <c r="R174" s="183" t="s">
        <v>883</v>
      </c>
      <c r="S174" s="174" t="s">
        <v>1151</v>
      </c>
      <c r="T174" s="44">
        <v>1</v>
      </c>
      <c r="U174" s="184">
        <v>70</v>
      </c>
      <c r="V174" s="185">
        <v>31</v>
      </c>
      <c r="W174" s="186" t="s">
        <v>883</v>
      </c>
      <c r="X174" s="187" t="s">
        <v>883</v>
      </c>
      <c r="Y174" s="188">
        <v>0</v>
      </c>
      <c r="Z174" s="188" t="s">
        <v>883</v>
      </c>
      <c r="AA174" s="187" t="s">
        <v>883</v>
      </c>
      <c r="AB174" s="188">
        <v>0</v>
      </c>
      <c r="AC174" s="188"/>
      <c r="AD174" s="189" t="s">
        <v>883</v>
      </c>
      <c r="AE174" s="190" t="s">
        <v>883</v>
      </c>
      <c r="AF174" s="180">
        <v>16</v>
      </c>
      <c r="AG174" s="183">
        <v>44571</v>
      </c>
      <c r="AH174" s="183" t="s">
        <v>883</v>
      </c>
      <c r="AI174" s="183">
        <v>44536</v>
      </c>
      <c r="AJ174" s="183" t="s">
        <v>883</v>
      </c>
      <c r="AK174" s="174"/>
    </row>
    <row r="175" spans="1:37" x14ac:dyDescent="0.3">
      <c r="A175" s="173">
        <v>19998</v>
      </c>
      <c r="B175" s="174" t="s">
        <v>1154</v>
      </c>
      <c r="C175" s="175" t="s">
        <v>256</v>
      </c>
      <c r="D175" s="176">
        <v>10.45</v>
      </c>
      <c r="E175" s="174"/>
      <c r="F175" s="174"/>
      <c r="G175" s="174" t="s">
        <v>883</v>
      </c>
      <c r="H175" s="177">
        <v>0</v>
      </c>
      <c r="I175" s="24">
        <v>103003</v>
      </c>
      <c r="J175" s="178">
        <v>10.45</v>
      </c>
      <c r="K175" s="177">
        <v>24</v>
      </c>
      <c r="L175" s="179">
        <v>0</v>
      </c>
      <c r="M175" s="180">
        <v>0</v>
      </c>
      <c r="N175" s="178">
        <v>0</v>
      </c>
      <c r="O175" s="181" t="s">
        <v>882</v>
      </c>
      <c r="P175" s="180">
        <v>0</v>
      </c>
      <c r="Q175" s="182">
        <v>0</v>
      </c>
      <c r="R175" s="183" t="s">
        <v>883</v>
      </c>
      <c r="S175" s="174" t="s">
        <v>1151</v>
      </c>
      <c r="T175" s="44">
        <v>1</v>
      </c>
      <c r="U175" s="184">
        <v>70</v>
      </c>
      <c r="V175" s="185">
        <v>31</v>
      </c>
      <c r="W175" s="186">
        <v>2237</v>
      </c>
      <c r="X175" s="187">
        <v>2023</v>
      </c>
      <c r="Y175" s="188">
        <v>150</v>
      </c>
      <c r="Z175" s="188" t="s">
        <v>883</v>
      </c>
      <c r="AA175" s="187" t="s">
        <v>883</v>
      </c>
      <c r="AB175" s="188">
        <v>0</v>
      </c>
      <c r="AC175" s="188"/>
      <c r="AD175" s="189" t="s">
        <v>883</v>
      </c>
      <c r="AE175" s="190" t="s">
        <v>883</v>
      </c>
      <c r="AF175" s="180">
        <v>8</v>
      </c>
      <c r="AG175" s="183">
        <v>43553</v>
      </c>
      <c r="AH175" s="183" t="s">
        <v>883</v>
      </c>
      <c r="AI175" s="183">
        <v>43658</v>
      </c>
      <c r="AJ175" s="183" t="s">
        <v>883</v>
      </c>
      <c r="AK175" s="174"/>
    </row>
    <row r="176" spans="1:37" x14ac:dyDescent="0.3">
      <c r="A176" s="173">
        <v>20001</v>
      </c>
      <c r="B176" s="174" t="s">
        <v>1155</v>
      </c>
      <c r="C176" s="175" t="s">
        <v>256</v>
      </c>
      <c r="D176" s="176">
        <v>1.02</v>
      </c>
      <c r="E176" s="174"/>
      <c r="F176" s="174"/>
      <c r="G176" s="174" t="s">
        <v>883</v>
      </c>
      <c r="H176" s="177">
        <v>0</v>
      </c>
      <c r="I176" s="24">
        <v>103003</v>
      </c>
      <c r="J176" s="178">
        <v>1.02</v>
      </c>
      <c r="K176" s="177">
        <v>48</v>
      </c>
      <c r="L176" s="179">
        <v>0</v>
      </c>
      <c r="M176" s="180">
        <v>0</v>
      </c>
      <c r="N176" s="178">
        <v>0</v>
      </c>
      <c r="O176" s="181" t="s">
        <v>882</v>
      </c>
      <c r="P176" s="180">
        <v>0</v>
      </c>
      <c r="Q176" s="182">
        <v>0</v>
      </c>
      <c r="R176" s="183" t="s">
        <v>883</v>
      </c>
      <c r="S176" s="174" t="s">
        <v>1151</v>
      </c>
      <c r="T176" s="44">
        <v>1</v>
      </c>
      <c r="U176" s="184">
        <v>70</v>
      </c>
      <c r="V176" s="185">
        <v>31</v>
      </c>
      <c r="W176" s="186">
        <v>2237</v>
      </c>
      <c r="X176" s="187">
        <v>2023</v>
      </c>
      <c r="Y176" s="188">
        <v>700</v>
      </c>
      <c r="Z176" s="188" t="s">
        <v>883</v>
      </c>
      <c r="AA176" s="187" t="s">
        <v>883</v>
      </c>
      <c r="AB176" s="188">
        <v>0</v>
      </c>
      <c r="AC176" s="188"/>
      <c r="AD176" s="189" t="s">
        <v>883</v>
      </c>
      <c r="AE176" s="190" t="s">
        <v>883</v>
      </c>
      <c r="AF176" s="180">
        <v>18</v>
      </c>
      <c r="AG176" s="183">
        <v>43818</v>
      </c>
      <c r="AH176" s="183" t="s">
        <v>883</v>
      </c>
      <c r="AI176" s="183">
        <v>43812</v>
      </c>
      <c r="AJ176" s="183" t="s">
        <v>883</v>
      </c>
      <c r="AK176" s="174"/>
    </row>
    <row r="177" spans="1:37" x14ac:dyDescent="0.3">
      <c r="A177" s="173">
        <v>20034</v>
      </c>
      <c r="B177" s="174" t="s">
        <v>1156</v>
      </c>
      <c r="C177" s="175" t="s">
        <v>256</v>
      </c>
      <c r="D177" s="176">
        <v>2.44</v>
      </c>
      <c r="E177" s="174"/>
      <c r="F177" s="174"/>
      <c r="G177" s="174" t="s">
        <v>883</v>
      </c>
      <c r="H177" s="177">
        <v>342</v>
      </c>
      <c r="I177" s="24">
        <v>103003</v>
      </c>
      <c r="J177" s="178">
        <v>2.44</v>
      </c>
      <c r="K177" s="177">
        <v>498</v>
      </c>
      <c r="L177" s="179">
        <v>6.462585034013606</v>
      </c>
      <c r="M177" s="180">
        <v>0</v>
      </c>
      <c r="N177" s="178">
        <v>0</v>
      </c>
      <c r="O177" s="181" t="s">
        <v>882</v>
      </c>
      <c r="P177" s="180">
        <v>0</v>
      </c>
      <c r="Q177" s="182">
        <v>0</v>
      </c>
      <c r="R177" s="183" t="s">
        <v>883</v>
      </c>
      <c r="S177" s="174" t="s">
        <v>1151</v>
      </c>
      <c r="T177" s="44">
        <v>1</v>
      </c>
      <c r="U177" s="184">
        <v>70</v>
      </c>
      <c r="V177" s="185">
        <v>31</v>
      </c>
      <c r="W177" s="186">
        <v>2699</v>
      </c>
      <c r="X177" s="187">
        <v>2023</v>
      </c>
      <c r="Y177" s="188">
        <v>500</v>
      </c>
      <c r="Z177" s="188" t="s">
        <v>883</v>
      </c>
      <c r="AA177" s="187" t="s">
        <v>883</v>
      </c>
      <c r="AB177" s="188">
        <v>0</v>
      </c>
      <c r="AC177" s="188"/>
      <c r="AD177" s="189" t="s">
        <v>883</v>
      </c>
      <c r="AE177" s="190" t="s">
        <v>883</v>
      </c>
      <c r="AF177" s="180">
        <v>212</v>
      </c>
      <c r="AG177" s="183">
        <v>44607</v>
      </c>
      <c r="AH177" s="183" t="s">
        <v>883</v>
      </c>
      <c r="AI177" s="183">
        <v>44592</v>
      </c>
      <c r="AJ177" s="183" t="s">
        <v>883</v>
      </c>
      <c r="AK177" s="174"/>
    </row>
    <row r="178" spans="1:37" x14ac:dyDescent="0.3">
      <c r="A178" s="173">
        <v>20035</v>
      </c>
      <c r="B178" s="174" t="s">
        <v>1157</v>
      </c>
      <c r="C178" s="175" t="s">
        <v>256</v>
      </c>
      <c r="D178" s="176">
        <v>1.18</v>
      </c>
      <c r="E178" s="174"/>
      <c r="F178" s="174"/>
      <c r="G178" s="174" t="s">
        <v>883</v>
      </c>
      <c r="H178" s="177">
        <v>899</v>
      </c>
      <c r="I178" s="24">
        <v>103003</v>
      </c>
      <c r="J178" s="178">
        <v>1.18</v>
      </c>
      <c r="K178" s="177">
        <v>119</v>
      </c>
      <c r="L178" s="179">
        <v>74.420529801324506</v>
      </c>
      <c r="M178" s="180">
        <v>0</v>
      </c>
      <c r="N178" s="178">
        <v>0</v>
      </c>
      <c r="O178" s="181" t="s">
        <v>882</v>
      </c>
      <c r="P178" s="180">
        <v>0</v>
      </c>
      <c r="Q178" s="182">
        <v>0</v>
      </c>
      <c r="R178" s="183" t="s">
        <v>883</v>
      </c>
      <c r="S178" s="174" t="s">
        <v>1151</v>
      </c>
      <c r="T178" s="44">
        <v>1</v>
      </c>
      <c r="U178" s="184">
        <v>70</v>
      </c>
      <c r="V178" s="185">
        <v>31</v>
      </c>
      <c r="W178" s="186" t="s">
        <v>883</v>
      </c>
      <c r="X178" s="187" t="s">
        <v>883</v>
      </c>
      <c r="Y178" s="188">
        <v>0</v>
      </c>
      <c r="Z178" s="188" t="s">
        <v>883</v>
      </c>
      <c r="AA178" s="187" t="s">
        <v>883</v>
      </c>
      <c r="AB178" s="188">
        <v>0</v>
      </c>
      <c r="AC178" s="188"/>
      <c r="AD178" s="189" t="s">
        <v>883</v>
      </c>
      <c r="AE178" s="190" t="s">
        <v>883</v>
      </c>
      <c r="AF178" s="180">
        <v>48</v>
      </c>
      <c r="AG178" s="183">
        <v>44607</v>
      </c>
      <c r="AH178" s="183" t="s">
        <v>883</v>
      </c>
      <c r="AI178" s="183">
        <v>44592</v>
      </c>
      <c r="AJ178" s="183" t="s">
        <v>883</v>
      </c>
      <c r="AK178" s="174"/>
    </row>
    <row r="179" spans="1:37" x14ac:dyDescent="0.3">
      <c r="A179" s="173">
        <v>20037</v>
      </c>
      <c r="B179" s="174" t="s">
        <v>1158</v>
      </c>
      <c r="C179" s="175" t="s">
        <v>256</v>
      </c>
      <c r="D179" s="176">
        <v>9.98</v>
      </c>
      <c r="E179" s="174"/>
      <c r="F179" s="174"/>
      <c r="G179" s="174" t="s">
        <v>883</v>
      </c>
      <c r="H179" s="177">
        <v>158</v>
      </c>
      <c r="I179" s="24">
        <v>103003</v>
      </c>
      <c r="J179" s="178">
        <v>9.98</v>
      </c>
      <c r="K179" s="177">
        <v>110</v>
      </c>
      <c r="L179" s="179">
        <v>15.414634146341463</v>
      </c>
      <c r="M179" s="180">
        <v>0</v>
      </c>
      <c r="N179" s="178">
        <v>0</v>
      </c>
      <c r="O179" s="181" t="s">
        <v>882</v>
      </c>
      <c r="P179" s="180">
        <v>0</v>
      </c>
      <c r="Q179" s="182">
        <v>0</v>
      </c>
      <c r="R179" s="183" t="s">
        <v>883</v>
      </c>
      <c r="S179" s="174" t="s">
        <v>1151</v>
      </c>
      <c r="T179" s="44">
        <v>1</v>
      </c>
      <c r="U179" s="184">
        <v>70</v>
      </c>
      <c r="V179" s="185">
        <v>31</v>
      </c>
      <c r="W179" s="186" t="s">
        <v>883</v>
      </c>
      <c r="X179" s="187" t="s">
        <v>883</v>
      </c>
      <c r="Y179" s="188">
        <v>0</v>
      </c>
      <c r="Z179" s="188" t="s">
        <v>883</v>
      </c>
      <c r="AA179" s="187" t="s">
        <v>883</v>
      </c>
      <c r="AB179" s="188">
        <v>0</v>
      </c>
      <c r="AC179" s="188"/>
      <c r="AD179" s="189" t="s">
        <v>883</v>
      </c>
      <c r="AE179" s="190" t="s">
        <v>883</v>
      </c>
      <c r="AF179" s="180">
        <v>42</v>
      </c>
      <c r="AG179" s="183">
        <v>44607</v>
      </c>
      <c r="AH179" s="183" t="s">
        <v>883</v>
      </c>
      <c r="AI179" s="183">
        <v>44592</v>
      </c>
      <c r="AJ179" s="183" t="s">
        <v>883</v>
      </c>
      <c r="AK179" s="174"/>
    </row>
    <row r="180" spans="1:37" x14ac:dyDescent="0.3">
      <c r="A180" s="173">
        <v>20104</v>
      </c>
      <c r="B180" s="174" t="s">
        <v>1159</v>
      </c>
      <c r="C180" s="175" t="s">
        <v>256</v>
      </c>
      <c r="D180" s="176">
        <v>5.14</v>
      </c>
      <c r="E180" s="174"/>
      <c r="F180" s="174"/>
      <c r="G180" s="174" t="s">
        <v>883</v>
      </c>
      <c r="H180" s="177">
        <v>384</v>
      </c>
      <c r="I180" s="24">
        <v>103003</v>
      </c>
      <c r="J180" s="178">
        <v>5.14</v>
      </c>
      <c r="K180" s="177">
        <v>146</v>
      </c>
      <c r="L180" s="179">
        <v>28.807201800450112</v>
      </c>
      <c r="M180" s="180">
        <v>0</v>
      </c>
      <c r="N180" s="178">
        <v>0</v>
      </c>
      <c r="O180" s="181" t="s">
        <v>882</v>
      </c>
      <c r="P180" s="180">
        <v>0</v>
      </c>
      <c r="Q180" s="182">
        <v>0</v>
      </c>
      <c r="R180" s="183" t="s">
        <v>883</v>
      </c>
      <c r="S180" s="174" t="s">
        <v>1151</v>
      </c>
      <c r="T180" s="44">
        <v>1</v>
      </c>
      <c r="U180" s="184">
        <v>70</v>
      </c>
      <c r="V180" s="185">
        <v>31</v>
      </c>
      <c r="W180" s="186" t="s">
        <v>883</v>
      </c>
      <c r="X180" s="187" t="s">
        <v>883</v>
      </c>
      <c r="Y180" s="188">
        <v>0</v>
      </c>
      <c r="Z180" s="188" t="s">
        <v>883</v>
      </c>
      <c r="AA180" s="187" t="s">
        <v>883</v>
      </c>
      <c r="AB180" s="188">
        <v>0</v>
      </c>
      <c r="AC180" s="188"/>
      <c r="AD180" s="189" t="s">
        <v>883</v>
      </c>
      <c r="AE180" s="190" t="s">
        <v>883</v>
      </c>
      <c r="AF180" s="180">
        <v>54</v>
      </c>
      <c r="AG180" s="183">
        <v>44571</v>
      </c>
      <c r="AH180" s="183" t="s">
        <v>883</v>
      </c>
      <c r="AI180" s="183">
        <v>44536</v>
      </c>
      <c r="AJ180" s="183" t="s">
        <v>883</v>
      </c>
      <c r="AK180" s="174"/>
    </row>
    <row r="181" spans="1:37" x14ac:dyDescent="0.3">
      <c r="A181" s="173">
        <v>20106</v>
      </c>
      <c r="B181" s="174" t="s">
        <v>1160</v>
      </c>
      <c r="C181" s="175" t="s">
        <v>256</v>
      </c>
      <c r="D181" s="176">
        <v>1.42</v>
      </c>
      <c r="E181" s="174"/>
      <c r="F181" s="174"/>
      <c r="G181" s="174" t="s">
        <v>883</v>
      </c>
      <c r="H181" s="177">
        <v>569</v>
      </c>
      <c r="I181" s="24">
        <v>103003</v>
      </c>
      <c r="J181" s="178">
        <v>1.42</v>
      </c>
      <c r="K181" s="177">
        <v>317</v>
      </c>
      <c r="L181" s="179">
        <v>17.736907730673316</v>
      </c>
      <c r="M181" s="180">
        <v>0</v>
      </c>
      <c r="N181" s="178">
        <v>0</v>
      </c>
      <c r="O181" s="181" t="s">
        <v>882</v>
      </c>
      <c r="P181" s="180">
        <v>0</v>
      </c>
      <c r="Q181" s="182">
        <v>0</v>
      </c>
      <c r="R181" s="183" t="s">
        <v>883</v>
      </c>
      <c r="S181" s="174" t="s">
        <v>1151</v>
      </c>
      <c r="T181" s="44">
        <v>1</v>
      </c>
      <c r="U181" s="184">
        <v>70</v>
      </c>
      <c r="V181" s="185">
        <v>31</v>
      </c>
      <c r="W181" s="186">
        <v>3001</v>
      </c>
      <c r="X181" s="187">
        <v>2023</v>
      </c>
      <c r="Y181" s="188">
        <v>300</v>
      </c>
      <c r="Z181" s="188" t="s">
        <v>883</v>
      </c>
      <c r="AA181" s="187" t="s">
        <v>883</v>
      </c>
      <c r="AB181" s="188">
        <v>0</v>
      </c>
      <c r="AC181" s="188"/>
      <c r="AD181" s="189" t="s">
        <v>883</v>
      </c>
      <c r="AE181" s="190" t="s">
        <v>883</v>
      </c>
      <c r="AF181" s="180">
        <v>128</v>
      </c>
      <c r="AG181" s="183">
        <v>44607</v>
      </c>
      <c r="AH181" s="183" t="s">
        <v>883</v>
      </c>
      <c r="AI181" s="183">
        <v>44592</v>
      </c>
      <c r="AJ181" s="183" t="s">
        <v>883</v>
      </c>
      <c r="AK181" s="174"/>
    </row>
    <row r="182" spans="1:37" x14ac:dyDescent="0.3">
      <c r="A182" s="173">
        <v>20135</v>
      </c>
      <c r="B182" s="174" t="s">
        <v>1161</v>
      </c>
      <c r="C182" s="175" t="s">
        <v>256</v>
      </c>
      <c r="D182" s="176">
        <v>124</v>
      </c>
      <c r="E182" s="174"/>
      <c r="F182" s="174"/>
      <c r="G182" s="174" t="s">
        <v>883</v>
      </c>
      <c r="H182" s="177">
        <v>0</v>
      </c>
      <c r="I182" s="24">
        <v>103003</v>
      </c>
      <c r="J182" s="178">
        <v>124</v>
      </c>
      <c r="K182" s="177">
        <v>230</v>
      </c>
      <c r="L182" s="179">
        <v>0</v>
      </c>
      <c r="M182" s="180">
        <v>0</v>
      </c>
      <c r="N182" s="178">
        <v>0</v>
      </c>
      <c r="O182" s="181" t="s">
        <v>882</v>
      </c>
      <c r="P182" s="180">
        <v>0</v>
      </c>
      <c r="Q182" s="182">
        <v>0</v>
      </c>
      <c r="R182" s="183" t="s">
        <v>883</v>
      </c>
      <c r="S182" s="174" t="s">
        <v>1162</v>
      </c>
      <c r="T182" s="44">
        <v>1</v>
      </c>
      <c r="U182" s="184">
        <v>69</v>
      </c>
      <c r="V182" s="185">
        <v>1</v>
      </c>
      <c r="W182" s="186" t="s">
        <v>883</v>
      </c>
      <c r="X182" s="187" t="s">
        <v>883</v>
      </c>
      <c r="Y182" s="188">
        <v>0</v>
      </c>
      <c r="Z182" s="188">
        <v>8862</v>
      </c>
      <c r="AA182" s="187">
        <v>2023</v>
      </c>
      <c r="AB182" s="188">
        <v>300</v>
      </c>
      <c r="AC182" s="188">
        <v>300</v>
      </c>
      <c r="AD182" s="189" t="s">
        <v>2039</v>
      </c>
      <c r="AE182" s="190">
        <v>45159</v>
      </c>
      <c r="AF182" s="180">
        <v>84</v>
      </c>
      <c r="AG182" s="183">
        <v>44420</v>
      </c>
      <c r="AH182" s="183" t="s">
        <v>883</v>
      </c>
      <c r="AI182" s="183">
        <v>45128</v>
      </c>
      <c r="AJ182" s="183" t="s">
        <v>883</v>
      </c>
      <c r="AK182" s="174"/>
    </row>
    <row r="183" spans="1:37" x14ac:dyDescent="0.3">
      <c r="A183" s="173">
        <v>20144</v>
      </c>
      <c r="B183" s="174" t="s">
        <v>1163</v>
      </c>
      <c r="C183" s="175" t="s">
        <v>256</v>
      </c>
      <c r="D183" s="176">
        <v>3.43</v>
      </c>
      <c r="E183" s="174"/>
      <c r="F183" s="174"/>
      <c r="G183" s="174" t="s">
        <v>883</v>
      </c>
      <c r="H183" s="177">
        <v>117</v>
      </c>
      <c r="I183" s="24">
        <v>103003</v>
      </c>
      <c r="J183" s="178">
        <v>3.43</v>
      </c>
      <c r="K183" s="177">
        <v>223</v>
      </c>
      <c r="L183" s="179">
        <v>4.6650717703349285</v>
      </c>
      <c r="M183" s="180">
        <v>83.96</v>
      </c>
      <c r="N183" s="178">
        <v>287.9828</v>
      </c>
      <c r="O183" s="181" t="s">
        <v>882</v>
      </c>
      <c r="P183" s="180">
        <v>0</v>
      </c>
      <c r="Q183" s="182">
        <v>0</v>
      </c>
      <c r="R183" s="183" t="s">
        <v>883</v>
      </c>
      <c r="S183" s="174" t="s">
        <v>1151</v>
      </c>
      <c r="T183" s="44">
        <v>1</v>
      </c>
      <c r="U183" s="184">
        <v>70</v>
      </c>
      <c r="V183" s="185">
        <v>31</v>
      </c>
      <c r="W183" s="186">
        <v>2683</v>
      </c>
      <c r="X183" s="187">
        <v>2023</v>
      </c>
      <c r="Y183" s="188">
        <v>100</v>
      </c>
      <c r="Z183" s="188" t="s">
        <v>883</v>
      </c>
      <c r="AA183" s="187" t="s">
        <v>883</v>
      </c>
      <c r="AB183" s="188">
        <v>0</v>
      </c>
      <c r="AC183" s="188"/>
      <c r="AD183" s="189" t="s">
        <v>883</v>
      </c>
      <c r="AE183" s="190" t="s">
        <v>883</v>
      </c>
      <c r="AF183" s="180">
        <v>100</v>
      </c>
      <c r="AG183" s="183">
        <v>44202</v>
      </c>
      <c r="AH183" s="183" t="s">
        <v>883</v>
      </c>
      <c r="AI183" s="183">
        <v>44231</v>
      </c>
      <c r="AJ183" s="183" t="s">
        <v>883</v>
      </c>
      <c r="AK183" s="174"/>
    </row>
    <row r="184" spans="1:37" x14ac:dyDescent="0.3">
      <c r="A184" s="173">
        <v>20167</v>
      </c>
      <c r="B184" s="174" t="s">
        <v>1164</v>
      </c>
      <c r="C184" s="175" t="s">
        <v>256</v>
      </c>
      <c r="D184" s="176">
        <v>390</v>
      </c>
      <c r="E184" s="174"/>
      <c r="F184" s="174"/>
      <c r="G184" s="174" t="s">
        <v>883</v>
      </c>
      <c r="H184" s="177">
        <v>0</v>
      </c>
      <c r="I184" s="24">
        <v>103003</v>
      </c>
      <c r="J184" s="178">
        <v>390</v>
      </c>
      <c r="K184" s="177">
        <v>16</v>
      </c>
      <c r="L184" s="179">
        <v>0</v>
      </c>
      <c r="M184" s="180">
        <v>2.04</v>
      </c>
      <c r="N184" s="178">
        <v>795.6</v>
      </c>
      <c r="O184" s="181" t="s">
        <v>882</v>
      </c>
      <c r="P184" s="180">
        <v>0</v>
      </c>
      <c r="Q184" s="182">
        <v>0</v>
      </c>
      <c r="R184" s="183" t="s">
        <v>883</v>
      </c>
      <c r="S184" s="174" t="s">
        <v>1165</v>
      </c>
      <c r="T184" s="44">
        <v>1</v>
      </c>
      <c r="U184" s="184">
        <v>79</v>
      </c>
      <c r="V184" s="185">
        <v>5</v>
      </c>
      <c r="W184" s="186">
        <v>2778</v>
      </c>
      <c r="X184" s="187">
        <v>2023</v>
      </c>
      <c r="Y184" s="188">
        <v>15</v>
      </c>
      <c r="Z184" s="188" t="s">
        <v>883</v>
      </c>
      <c r="AA184" s="187" t="s">
        <v>883</v>
      </c>
      <c r="AB184" s="188">
        <v>0</v>
      </c>
      <c r="AC184" s="188"/>
      <c r="AD184" s="189" t="s">
        <v>883</v>
      </c>
      <c r="AE184" s="190" t="s">
        <v>883</v>
      </c>
      <c r="AF184" s="180">
        <v>6</v>
      </c>
      <c r="AG184" s="183">
        <v>44582</v>
      </c>
      <c r="AH184" s="183" t="s">
        <v>883</v>
      </c>
      <c r="AI184" s="183">
        <v>44567</v>
      </c>
      <c r="AJ184" s="183" t="s">
        <v>883</v>
      </c>
      <c r="AK184" s="174"/>
    </row>
    <row r="185" spans="1:37" x14ac:dyDescent="0.3">
      <c r="A185" s="173">
        <v>20537</v>
      </c>
      <c r="B185" s="174" t="s">
        <v>1166</v>
      </c>
      <c r="C185" s="175" t="s">
        <v>400</v>
      </c>
      <c r="D185" s="176">
        <v>8.9</v>
      </c>
      <c r="E185" s="174"/>
      <c r="F185" s="174"/>
      <c r="G185" s="174" t="s">
        <v>883</v>
      </c>
      <c r="H185" s="177">
        <v>137</v>
      </c>
      <c r="I185" s="24">
        <v>103003</v>
      </c>
      <c r="J185" s="178">
        <v>8.9</v>
      </c>
      <c r="K185" s="177">
        <v>15</v>
      </c>
      <c r="L185" s="179">
        <v>109.6</v>
      </c>
      <c r="M185" s="180">
        <v>0</v>
      </c>
      <c r="N185" s="178">
        <v>0</v>
      </c>
      <c r="O185" s="181" t="s">
        <v>882</v>
      </c>
      <c r="P185" s="180">
        <v>0</v>
      </c>
      <c r="Q185" s="182">
        <v>0</v>
      </c>
      <c r="R185" s="183" t="s">
        <v>883</v>
      </c>
      <c r="S185" s="174" t="s">
        <v>989</v>
      </c>
      <c r="T185" s="44">
        <v>1</v>
      </c>
      <c r="U185" s="184">
        <v>67</v>
      </c>
      <c r="V185" s="185">
        <v>6</v>
      </c>
      <c r="W185" s="186" t="s">
        <v>883</v>
      </c>
      <c r="X185" s="187" t="s">
        <v>883</v>
      </c>
      <c r="Y185" s="188">
        <v>0</v>
      </c>
      <c r="Z185" s="188" t="s">
        <v>883</v>
      </c>
      <c r="AA185" s="187" t="s">
        <v>883</v>
      </c>
      <c r="AB185" s="188">
        <v>0</v>
      </c>
      <c r="AC185" s="188"/>
      <c r="AD185" s="189" t="s">
        <v>883</v>
      </c>
      <c r="AE185" s="190" t="s">
        <v>883</v>
      </c>
      <c r="AF185" s="180">
        <v>6</v>
      </c>
      <c r="AG185" s="183">
        <v>43853</v>
      </c>
      <c r="AH185" s="183" t="s">
        <v>883</v>
      </c>
      <c r="AI185" s="183">
        <v>44055</v>
      </c>
      <c r="AJ185" s="183" t="s">
        <v>883</v>
      </c>
      <c r="AK185" s="174"/>
    </row>
    <row r="186" spans="1:37" x14ac:dyDescent="0.3">
      <c r="A186" s="173">
        <v>20554</v>
      </c>
      <c r="B186" s="174" t="s">
        <v>1167</v>
      </c>
      <c r="C186" s="175" t="s">
        <v>256</v>
      </c>
      <c r="D186" s="176">
        <v>0.04</v>
      </c>
      <c r="E186" s="174"/>
      <c r="F186" s="174"/>
      <c r="G186" s="174" t="s">
        <v>883</v>
      </c>
      <c r="H186" s="177">
        <v>12260</v>
      </c>
      <c r="I186" s="24">
        <v>103003</v>
      </c>
      <c r="J186" s="178">
        <v>0.04</v>
      </c>
      <c r="K186" s="177">
        <v>6860</v>
      </c>
      <c r="L186" s="179">
        <v>14.451923190267937</v>
      </c>
      <c r="M186" s="180">
        <v>0</v>
      </c>
      <c r="N186" s="178">
        <v>0</v>
      </c>
      <c r="O186" s="181" t="s">
        <v>882</v>
      </c>
      <c r="P186" s="180">
        <v>0</v>
      </c>
      <c r="Q186" s="182">
        <v>0</v>
      </c>
      <c r="R186" s="183" t="s">
        <v>883</v>
      </c>
      <c r="S186" s="174" t="s">
        <v>1168</v>
      </c>
      <c r="T186" s="44">
        <v>1</v>
      </c>
      <c r="U186" s="184">
        <v>67</v>
      </c>
      <c r="V186" s="185">
        <v>7</v>
      </c>
      <c r="W186" s="186">
        <v>2483</v>
      </c>
      <c r="X186" s="187">
        <v>2023</v>
      </c>
      <c r="Y186" s="188">
        <v>1000</v>
      </c>
      <c r="Z186" s="188" t="s">
        <v>883</v>
      </c>
      <c r="AA186" s="187" t="s">
        <v>883</v>
      </c>
      <c r="AB186" s="188">
        <v>0</v>
      </c>
      <c r="AC186" s="188"/>
      <c r="AD186" s="189" t="s">
        <v>883</v>
      </c>
      <c r="AE186" s="190" t="s">
        <v>883</v>
      </c>
      <c r="AF186" s="180">
        <v>3394</v>
      </c>
      <c r="AG186" s="183">
        <v>43847</v>
      </c>
      <c r="AH186" s="183" t="s">
        <v>883</v>
      </c>
      <c r="AI186" s="183">
        <v>43826</v>
      </c>
      <c r="AJ186" s="183" t="s">
        <v>883</v>
      </c>
      <c r="AK186" s="174"/>
    </row>
    <row r="187" spans="1:37" x14ac:dyDescent="0.3">
      <c r="A187" s="173">
        <v>20558</v>
      </c>
      <c r="B187" s="174" t="s">
        <v>1169</v>
      </c>
      <c r="C187" s="175" t="s">
        <v>256</v>
      </c>
      <c r="D187" s="176">
        <v>0.12</v>
      </c>
      <c r="E187" s="174"/>
      <c r="F187" s="174"/>
      <c r="G187" s="174" t="s">
        <v>883</v>
      </c>
      <c r="H187" s="177">
        <v>627</v>
      </c>
      <c r="I187" s="24">
        <v>103003</v>
      </c>
      <c r="J187" s="178">
        <v>0.12</v>
      </c>
      <c r="K187" s="177">
        <v>7795</v>
      </c>
      <c r="L187" s="179">
        <v>0.76736672051696286</v>
      </c>
      <c r="M187" s="180">
        <v>177.96</v>
      </c>
      <c r="N187" s="178">
        <v>21.3552</v>
      </c>
      <c r="O187" s="181" t="s">
        <v>882</v>
      </c>
      <c r="P187" s="180">
        <v>0</v>
      </c>
      <c r="Q187" s="182">
        <v>0</v>
      </c>
      <c r="R187" s="183" t="s">
        <v>883</v>
      </c>
      <c r="S187" s="174" t="s">
        <v>1168</v>
      </c>
      <c r="T187" s="44">
        <v>1</v>
      </c>
      <c r="U187" s="184">
        <v>67</v>
      </c>
      <c r="V187" s="185">
        <v>7</v>
      </c>
      <c r="W187" s="186">
        <v>2485</v>
      </c>
      <c r="X187" s="187">
        <v>2023</v>
      </c>
      <c r="Y187" s="188">
        <v>9000</v>
      </c>
      <c r="Z187" s="188" t="s">
        <v>883</v>
      </c>
      <c r="AA187" s="187" t="s">
        <v>883</v>
      </c>
      <c r="AB187" s="188">
        <v>0</v>
      </c>
      <c r="AC187" s="188"/>
      <c r="AD187" s="189" t="s">
        <v>883</v>
      </c>
      <c r="AE187" s="190" t="s">
        <v>883</v>
      </c>
      <c r="AF187" s="180">
        <v>3268</v>
      </c>
      <c r="AG187" s="183">
        <v>44942</v>
      </c>
      <c r="AH187" s="183" t="s">
        <v>883</v>
      </c>
      <c r="AI187" s="183">
        <v>44922</v>
      </c>
      <c r="AJ187" s="183" t="s">
        <v>883</v>
      </c>
      <c r="AK187" s="174"/>
    </row>
    <row r="188" spans="1:37" x14ac:dyDescent="0.3">
      <c r="A188" s="173">
        <v>20576</v>
      </c>
      <c r="B188" s="174" t="s">
        <v>1170</v>
      </c>
      <c r="C188" s="175" t="s">
        <v>256</v>
      </c>
      <c r="D188" s="176">
        <v>0.08</v>
      </c>
      <c r="E188" s="174"/>
      <c r="F188" s="174"/>
      <c r="G188" s="174" t="s">
        <v>883</v>
      </c>
      <c r="H188" s="177">
        <v>7415</v>
      </c>
      <c r="I188" s="24">
        <v>103003</v>
      </c>
      <c r="J188" s="178">
        <v>0.08</v>
      </c>
      <c r="K188" s="177">
        <v>5100</v>
      </c>
      <c r="L188" s="179">
        <v>16.178299478541664</v>
      </c>
      <c r="M188" s="180">
        <v>0</v>
      </c>
      <c r="N188" s="178">
        <v>0</v>
      </c>
      <c r="O188" s="181" t="s">
        <v>882</v>
      </c>
      <c r="P188" s="180">
        <v>0</v>
      </c>
      <c r="Q188" s="182">
        <v>0</v>
      </c>
      <c r="R188" s="183" t="s">
        <v>883</v>
      </c>
      <c r="S188" s="174" t="s">
        <v>1168</v>
      </c>
      <c r="T188" s="44">
        <v>1</v>
      </c>
      <c r="U188" s="184">
        <v>67</v>
      </c>
      <c r="V188" s="185">
        <v>7</v>
      </c>
      <c r="W188" s="186" t="s">
        <v>883</v>
      </c>
      <c r="X188" s="187" t="s">
        <v>883</v>
      </c>
      <c r="Y188" s="188">
        <v>0</v>
      </c>
      <c r="Z188" s="188" t="s">
        <v>883</v>
      </c>
      <c r="AA188" s="187" t="s">
        <v>883</v>
      </c>
      <c r="AB188" s="188">
        <v>0</v>
      </c>
      <c r="AC188" s="188"/>
      <c r="AD188" s="189" t="s">
        <v>883</v>
      </c>
      <c r="AE188" s="190" t="s">
        <v>883</v>
      </c>
      <c r="AF188" s="180">
        <v>1834</v>
      </c>
      <c r="AG188" s="183">
        <v>44092</v>
      </c>
      <c r="AH188" s="183" t="s">
        <v>883</v>
      </c>
      <c r="AI188" s="183">
        <v>44040</v>
      </c>
      <c r="AJ188" s="183" t="s">
        <v>883</v>
      </c>
      <c r="AK188" s="174"/>
    </row>
    <row r="189" spans="1:37" x14ac:dyDescent="0.3">
      <c r="A189" s="173">
        <v>20583</v>
      </c>
      <c r="B189" s="174" t="s">
        <v>1171</v>
      </c>
      <c r="C189" s="175" t="s">
        <v>256</v>
      </c>
      <c r="D189" s="176">
        <v>0.09</v>
      </c>
      <c r="E189" s="174"/>
      <c r="F189" s="174"/>
      <c r="G189" s="174" t="s">
        <v>883</v>
      </c>
      <c r="H189" s="177">
        <v>13063</v>
      </c>
      <c r="I189" s="24">
        <v>103003</v>
      </c>
      <c r="J189" s="178">
        <v>0.09</v>
      </c>
      <c r="K189" s="177">
        <v>3300</v>
      </c>
      <c r="L189" s="179">
        <v>46.792277107139014</v>
      </c>
      <c r="M189" s="180">
        <v>0</v>
      </c>
      <c r="N189" s="178">
        <v>0</v>
      </c>
      <c r="O189" s="181" t="s">
        <v>882</v>
      </c>
      <c r="P189" s="180">
        <v>0</v>
      </c>
      <c r="Q189" s="182">
        <v>0</v>
      </c>
      <c r="R189" s="183" t="s">
        <v>883</v>
      </c>
      <c r="S189" s="174" t="s">
        <v>1168</v>
      </c>
      <c r="T189" s="44">
        <v>1</v>
      </c>
      <c r="U189" s="184">
        <v>67</v>
      </c>
      <c r="V189" s="185">
        <v>7</v>
      </c>
      <c r="W189" s="186" t="s">
        <v>883</v>
      </c>
      <c r="X189" s="187" t="s">
        <v>883</v>
      </c>
      <c r="Y189" s="188">
        <v>0</v>
      </c>
      <c r="Z189" s="188" t="s">
        <v>883</v>
      </c>
      <c r="AA189" s="187" t="s">
        <v>883</v>
      </c>
      <c r="AB189" s="188">
        <v>0</v>
      </c>
      <c r="AC189" s="188"/>
      <c r="AD189" s="189" t="s">
        <v>883</v>
      </c>
      <c r="AE189" s="190" t="s">
        <v>883</v>
      </c>
      <c r="AF189" s="180">
        <v>1116</v>
      </c>
      <c r="AG189" s="183">
        <v>43853</v>
      </c>
      <c r="AH189" s="183" t="s">
        <v>883</v>
      </c>
      <c r="AI189" s="183">
        <v>43826</v>
      </c>
      <c r="AJ189" s="183" t="s">
        <v>883</v>
      </c>
      <c r="AK189" s="174"/>
    </row>
    <row r="190" spans="1:37" x14ac:dyDescent="0.3">
      <c r="A190" s="173">
        <v>20584</v>
      </c>
      <c r="B190" s="174" t="s">
        <v>1172</v>
      </c>
      <c r="C190" s="175" t="s">
        <v>256</v>
      </c>
      <c r="D190" s="176">
        <v>0.09</v>
      </c>
      <c r="E190" s="174"/>
      <c r="F190" s="174"/>
      <c r="G190" s="174" t="s">
        <v>883</v>
      </c>
      <c r="H190" s="177">
        <v>24460</v>
      </c>
      <c r="I190" s="24">
        <v>103003</v>
      </c>
      <c r="J190" s="178">
        <v>0.09</v>
      </c>
      <c r="K190" s="177">
        <v>1850</v>
      </c>
      <c r="L190" s="179">
        <v>95.857663518438684</v>
      </c>
      <c r="M190" s="180">
        <v>0</v>
      </c>
      <c r="N190" s="178">
        <v>0</v>
      </c>
      <c r="O190" s="181" t="s">
        <v>882</v>
      </c>
      <c r="P190" s="180">
        <v>0</v>
      </c>
      <c r="Q190" s="182">
        <v>0</v>
      </c>
      <c r="R190" s="183" t="s">
        <v>883</v>
      </c>
      <c r="S190" s="174" t="s">
        <v>1168</v>
      </c>
      <c r="T190" s="44">
        <v>1</v>
      </c>
      <c r="U190" s="184">
        <v>67</v>
      </c>
      <c r="V190" s="185">
        <v>7</v>
      </c>
      <c r="W190" s="186" t="s">
        <v>883</v>
      </c>
      <c r="X190" s="187" t="s">
        <v>883</v>
      </c>
      <c r="Y190" s="188">
        <v>0</v>
      </c>
      <c r="Z190" s="188" t="s">
        <v>883</v>
      </c>
      <c r="AA190" s="187" t="s">
        <v>883</v>
      </c>
      <c r="AB190" s="188">
        <v>0</v>
      </c>
      <c r="AC190" s="188"/>
      <c r="AD190" s="189" t="s">
        <v>883</v>
      </c>
      <c r="AE190" s="190" t="s">
        <v>883</v>
      </c>
      <c r="AF190" s="180">
        <v>1020</v>
      </c>
      <c r="AG190" s="183">
        <v>43754</v>
      </c>
      <c r="AH190" s="183" t="s">
        <v>883</v>
      </c>
      <c r="AI190" s="183">
        <v>43747</v>
      </c>
      <c r="AJ190" s="183" t="s">
        <v>883</v>
      </c>
      <c r="AK190" s="174"/>
    </row>
    <row r="191" spans="1:37" x14ac:dyDescent="0.3">
      <c r="A191" s="173">
        <v>20760</v>
      </c>
      <c r="B191" s="174" t="s">
        <v>1173</v>
      </c>
      <c r="C191" s="175" t="s">
        <v>1067</v>
      </c>
      <c r="D191" s="176">
        <v>425.98</v>
      </c>
      <c r="E191" s="174"/>
      <c r="F191" s="174"/>
      <c r="G191" s="174" t="s">
        <v>883</v>
      </c>
      <c r="H191" s="177">
        <v>45</v>
      </c>
      <c r="I191" s="24">
        <v>103003</v>
      </c>
      <c r="J191" s="178">
        <v>425.98</v>
      </c>
      <c r="K191" s="177">
        <v>85</v>
      </c>
      <c r="L191" s="179">
        <v>5.1903114186851207</v>
      </c>
      <c r="M191" s="180">
        <v>0</v>
      </c>
      <c r="N191" s="178">
        <v>0</v>
      </c>
      <c r="O191" s="181" t="s">
        <v>882</v>
      </c>
      <c r="P191" s="180">
        <v>0</v>
      </c>
      <c r="Q191" s="182">
        <v>0</v>
      </c>
      <c r="R191" s="183" t="s">
        <v>883</v>
      </c>
      <c r="S191" s="174" t="s">
        <v>1068</v>
      </c>
      <c r="T191" s="44">
        <v>1</v>
      </c>
      <c r="U191" s="184">
        <v>76</v>
      </c>
      <c r="V191" s="185">
        <v>5</v>
      </c>
      <c r="W191" s="186">
        <v>2973</v>
      </c>
      <c r="X191" s="187">
        <v>2023</v>
      </c>
      <c r="Y191" s="188">
        <v>60</v>
      </c>
      <c r="Z191" s="188" t="s">
        <v>883</v>
      </c>
      <c r="AA191" s="187" t="s">
        <v>883</v>
      </c>
      <c r="AB191" s="188">
        <v>0</v>
      </c>
      <c r="AC191" s="188"/>
      <c r="AD191" s="189" t="s">
        <v>883</v>
      </c>
      <c r="AE191" s="190" t="s">
        <v>883</v>
      </c>
      <c r="AF191" s="180">
        <v>34</v>
      </c>
      <c r="AG191" s="183">
        <v>45043</v>
      </c>
      <c r="AH191" s="183" t="s">
        <v>883</v>
      </c>
      <c r="AI191" s="183">
        <v>44915</v>
      </c>
      <c r="AJ191" s="183" t="s">
        <v>883</v>
      </c>
      <c r="AK191" s="174"/>
    </row>
    <row r="192" spans="1:37" x14ac:dyDescent="0.3">
      <c r="A192" s="173">
        <v>20763</v>
      </c>
      <c r="B192" s="174" t="s">
        <v>1174</v>
      </c>
      <c r="C192" s="175" t="s">
        <v>1067</v>
      </c>
      <c r="D192" s="176">
        <v>370</v>
      </c>
      <c r="E192" s="174"/>
      <c r="F192" s="174"/>
      <c r="G192" s="174" t="s">
        <v>883</v>
      </c>
      <c r="H192" s="177">
        <v>17</v>
      </c>
      <c r="I192" s="24">
        <v>103003</v>
      </c>
      <c r="J192" s="178">
        <v>370</v>
      </c>
      <c r="K192" s="177">
        <v>32</v>
      </c>
      <c r="L192" s="179">
        <v>6.0070671378091873</v>
      </c>
      <c r="M192" s="180">
        <v>0</v>
      </c>
      <c r="N192" s="178">
        <v>0</v>
      </c>
      <c r="O192" s="181" t="s">
        <v>882</v>
      </c>
      <c r="P192" s="180">
        <v>0</v>
      </c>
      <c r="Q192" s="182">
        <v>0</v>
      </c>
      <c r="R192" s="183" t="s">
        <v>883</v>
      </c>
      <c r="S192" s="174" t="s">
        <v>1068</v>
      </c>
      <c r="T192" s="44">
        <v>1</v>
      </c>
      <c r="U192" s="184">
        <v>76</v>
      </c>
      <c r="V192" s="185">
        <v>5</v>
      </c>
      <c r="W192" s="186">
        <v>2791</v>
      </c>
      <c r="X192" s="187">
        <v>2023</v>
      </c>
      <c r="Y192" s="188">
        <v>40</v>
      </c>
      <c r="Z192" s="188" t="s">
        <v>883</v>
      </c>
      <c r="AA192" s="187" t="s">
        <v>883</v>
      </c>
      <c r="AB192" s="188">
        <v>0</v>
      </c>
      <c r="AC192" s="188"/>
      <c r="AD192" s="189" t="s">
        <v>883</v>
      </c>
      <c r="AE192" s="190" t="s">
        <v>883</v>
      </c>
      <c r="AF192" s="180">
        <v>12</v>
      </c>
      <c r="AG192" s="183">
        <v>44986</v>
      </c>
      <c r="AH192" s="183" t="s">
        <v>883</v>
      </c>
      <c r="AI192" s="183">
        <v>44916</v>
      </c>
      <c r="AJ192" s="183" t="s">
        <v>883</v>
      </c>
      <c r="AK192" s="174"/>
    </row>
    <row r="193" spans="1:37" x14ac:dyDescent="0.3">
      <c r="A193" s="173">
        <v>23016</v>
      </c>
      <c r="B193" s="174" t="s">
        <v>1175</v>
      </c>
      <c r="C193" s="175" t="s">
        <v>273</v>
      </c>
      <c r="D193" s="176">
        <v>63.98</v>
      </c>
      <c r="E193" s="174"/>
      <c r="F193" s="174"/>
      <c r="G193" s="174" t="s">
        <v>883</v>
      </c>
      <c r="H193" s="177">
        <v>22</v>
      </c>
      <c r="I193" s="24">
        <v>103003</v>
      </c>
      <c r="J193" s="178">
        <v>63.98</v>
      </c>
      <c r="K193" s="177">
        <v>28</v>
      </c>
      <c r="L193" s="179">
        <v>8.8000000000000007</v>
      </c>
      <c r="M193" s="180">
        <v>0</v>
      </c>
      <c r="N193" s="178">
        <v>0</v>
      </c>
      <c r="O193" s="181" t="s">
        <v>882</v>
      </c>
      <c r="P193" s="180">
        <v>0</v>
      </c>
      <c r="Q193" s="182">
        <v>0</v>
      </c>
      <c r="R193" s="183" t="s">
        <v>883</v>
      </c>
      <c r="S193" s="174" t="s">
        <v>961</v>
      </c>
      <c r="T193" s="44">
        <v>1</v>
      </c>
      <c r="U193" s="184">
        <v>51</v>
      </c>
      <c r="V193" s="185">
        <v>3</v>
      </c>
      <c r="W193" s="186">
        <v>2424</v>
      </c>
      <c r="X193" s="187">
        <v>2023</v>
      </c>
      <c r="Y193" s="188">
        <v>100</v>
      </c>
      <c r="Z193" s="188" t="s">
        <v>883</v>
      </c>
      <c r="AA193" s="187" t="s">
        <v>883</v>
      </c>
      <c r="AB193" s="188">
        <v>0</v>
      </c>
      <c r="AC193" s="188"/>
      <c r="AD193" s="189" t="s">
        <v>883</v>
      </c>
      <c r="AE193" s="190" t="s">
        <v>883</v>
      </c>
      <c r="AF193" s="180">
        <v>10</v>
      </c>
      <c r="AG193" s="183">
        <v>44613</v>
      </c>
      <c r="AH193" s="183" t="s">
        <v>883</v>
      </c>
      <c r="AI193" s="183">
        <v>44586</v>
      </c>
      <c r="AJ193" s="183" t="s">
        <v>883</v>
      </c>
      <c r="AK193" s="174"/>
    </row>
    <row r="194" spans="1:37" x14ac:dyDescent="0.3">
      <c r="A194" s="173">
        <v>23581</v>
      </c>
      <c r="B194" s="174" t="s">
        <v>1176</v>
      </c>
      <c r="C194" s="175" t="s">
        <v>31</v>
      </c>
      <c r="D194" s="176">
        <v>0.08</v>
      </c>
      <c r="E194" s="174"/>
      <c r="F194" s="174"/>
      <c r="G194" s="174" t="s">
        <v>883</v>
      </c>
      <c r="H194" s="177">
        <v>15851</v>
      </c>
      <c r="I194" s="24">
        <v>103003</v>
      </c>
      <c r="J194" s="178">
        <v>0.08</v>
      </c>
      <c r="K194" s="177">
        <v>11901</v>
      </c>
      <c r="L194" s="179">
        <v>10.170154884574421</v>
      </c>
      <c r="M194" s="180">
        <v>2851.96</v>
      </c>
      <c r="N194" s="178">
        <v>228.1568</v>
      </c>
      <c r="O194" s="181" t="s">
        <v>882</v>
      </c>
      <c r="P194" s="180">
        <v>0</v>
      </c>
      <c r="Q194" s="182">
        <v>0</v>
      </c>
      <c r="R194" s="183" t="s">
        <v>883</v>
      </c>
      <c r="S194" s="174" t="s">
        <v>935</v>
      </c>
      <c r="T194" s="44">
        <v>1</v>
      </c>
      <c r="U194" s="184">
        <v>45</v>
      </c>
      <c r="V194" s="185">
        <v>11</v>
      </c>
      <c r="W194" s="186" t="s">
        <v>883</v>
      </c>
      <c r="X194" s="187" t="s">
        <v>883</v>
      </c>
      <c r="Y194" s="188">
        <v>0</v>
      </c>
      <c r="Z194" s="188" t="s">
        <v>883</v>
      </c>
      <c r="AA194" s="187" t="s">
        <v>883</v>
      </c>
      <c r="AB194" s="188">
        <v>0</v>
      </c>
      <c r="AC194" s="188"/>
      <c r="AD194" s="189" t="s">
        <v>883</v>
      </c>
      <c r="AE194" s="190" t="s">
        <v>883</v>
      </c>
      <c r="AF194" s="180">
        <v>6234</v>
      </c>
      <c r="AG194" s="183">
        <v>43628</v>
      </c>
      <c r="AH194" s="183" t="s">
        <v>883</v>
      </c>
      <c r="AI194" s="183">
        <v>45107</v>
      </c>
      <c r="AJ194" s="183" t="s">
        <v>883</v>
      </c>
      <c r="AK194" s="174"/>
    </row>
    <row r="195" spans="1:37" x14ac:dyDescent="0.3">
      <c r="A195" s="173">
        <v>23607</v>
      </c>
      <c r="B195" s="174" t="s">
        <v>1177</v>
      </c>
      <c r="C195" s="175" t="s">
        <v>256</v>
      </c>
      <c r="D195" s="176">
        <v>1.28</v>
      </c>
      <c r="E195" s="174"/>
      <c r="F195" s="174"/>
      <c r="G195" s="174" t="s">
        <v>883</v>
      </c>
      <c r="H195" s="177">
        <v>575</v>
      </c>
      <c r="I195" s="24">
        <v>103003</v>
      </c>
      <c r="J195" s="178">
        <v>1.28</v>
      </c>
      <c r="K195" s="177">
        <v>50</v>
      </c>
      <c r="L195" s="179">
        <v>130.09049773755655</v>
      </c>
      <c r="M195" s="180">
        <v>0</v>
      </c>
      <c r="N195" s="178">
        <v>0</v>
      </c>
      <c r="O195" s="181" t="s">
        <v>882</v>
      </c>
      <c r="P195" s="180">
        <v>0</v>
      </c>
      <c r="Q195" s="182">
        <v>0</v>
      </c>
      <c r="R195" s="183" t="s">
        <v>883</v>
      </c>
      <c r="S195" s="174" t="s">
        <v>1003</v>
      </c>
      <c r="T195" s="44">
        <v>1</v>
      </c>
      <c r="U195" s="184">
        <v>51</v>
      </c>
      <c r="V195" s="185">
        <v>11</v>
      </c>
      <c r="W195" s="186" t="s">
        <v>883</v>
      </c>
      <c r="X195" s="187" t="s">
        <v>883</v>
      </c>
      <c r="Y195" s="188">
        <v>0</v>
      </c>
      <c r="Z195" s="188" t="s">
        <v>883</v>
      </c>
      <c r="AA195" s="187" t="s">
        <v>883</v>
      </c>
      <c r="AB195" s="188">
        <v>0</v>
      </c>
      <c r="AC195" s="188"/>
      <c r="AD195" s="189" t="s">
        <v>883</v>
      </c>
      <c r="AE195" s="190" t="s">
        <v>883</v>
      </c>
      <c r="AF195" s="180">
        <v>18</v>
      </c>
      <c r="AG195" s="183">
        <v>43775</v>
      </c>
      <c r="AH195" s="183" t="s">
        <v>883</v>
      </c>
      <c r="AI195" s="183">
        <v>43977</v>
      </c>
      <c r="AJ195" s="183" t="s">
        <v>883</v>
      </c>
      <c r="AK195" s="174"/>
    </row>
    <row r="196" spans="1:37" x14ac:dyDescent="0.3">
      <c r="A196" s="173">
        <v>23676</v>
      </c>
      <c r="B196" s="174" t="s">
        <v>1178</v>
      </c>
      <c r="C196" s="175" t="s">
        <v>395</v>
      </c>
      <c r="D196" s="176">
        <v>7.0000000000000007E-2</v>
      </c>
      <c r="E196" s="174"/>
      <c r="F196" s="174"/>
      <c r="G196" s="174" t="s">
        <v>883</v>
      </c>
      <c r="H196" s="177">
        <v>2131</v>
      </c>
      <c r="I196" s="24">
        <v>103003</v>
      </c>
      <c r="J196" s="178">
        <v>7.0000000000000007E-2</v>
      </c>
      <c r="K196" s="177">
        <v>3202</v>
      </c>
      <c r="L196" s="179">
        <v>7.0427655496067159</v>
      </c>
      <c r="M196" s="180">
        <v>1499.96</v>
      </c>
      <c r="N196" s="178">
        <v>104.99720000000001</v>
      </c>
      <c r="O196" s="181" t="s">
        <v>882</v>
      </c>
      <c r="P196" s="180">
        <v>0</v>
      </c>
      <c r="Q196" s="182">
        <v>0</v>
      </c>
      <c r="R196" s="183" t="s">
        <v>883</v>
      </c>
      <c r="S196" s="174" t="s">
        <v>1179</v>
      </c>
      <c r="T196" s="44">
        <v>1</v>
      </c>
      <c r="U196" s="184">
        <v>67</v>
      </c>
      <c r="V196" s="185">
        <v>5</v>
      </c>
      <c r="W196" s="186" t="s">
        <v>883</v>
      </c>
      <c r="X196" s="187" t="s">
        <v>883</v>
      </c>
      <c r="Y196" s="188">
        <v>0</v>
      </c>
      <c r="Z196" s="188" t="s">
        <v>883</v>
      </c>
      <c r="AA196" s="187" t="s">
        <v>883</v>
      </c>
      <c r="AB196" s="188">
        <v>0</v>
      </c>
      <c r="AC196" s="188"/>
      <c r="AD196" s="189" t="s">
        <v>883</v>
      </c>
      <c r="AE196" s="190" t="s">
        <v>883</v>
      </c>
      <c r="AF196" s="180">
        <v>1210</v>
      </c>
      <c r="AG196" s="183">
        <v>43864</v>
      </c>
      <c r="AH196" s="183" t="s">
        <v>883</v>
      </c>
      <c r="AI196" s="183">
        <v>43826</v>
      </c>
      <c r="AJ196" s="183" t="s">
        <v>883</v>
      </c>
      <c r="AK196" s="174"/>
    </row>
    <row r="197" spans="1:37" x14ac:dyDescent="0.3">
      <c r="A197" s="173">
        <v>23687</v>
      </c>
      <c r="B197" s="174" t="s">
        <v>1180</v>
      </c>
      <c r="C197" s="175" t="s">
        <v>569</v>
      </c>
      <c r="D197" s="176">
        <v>1.55</v>
      </c>
      <c r="E197" s="174"/>
      <c r="F197" s="174"/>
      <c r="G197" s="174" t="s">
        <v>883</v>
      </c>
      <c r="H197" s="177">
        <v>11853</v>
      </c>
      <c r="I197" s="24">
        <v>103003</v>
      </c>
      <c r="J197" s="178">
        <v>1.55</v>
      </c>
      <c r="K197" s="177">
        <v>14991</v>
      </c>
      <c r="L197" s="179">
        <v>6.4974647115252848</v>
      </c>
      <c r="M197" s="180">
        <v>10038</v>
      </c>
      <c r="N197" s="178">
        <v>15558.9</v>
      </c>
      <c r="O197" s="181" t="s">
        <v>882</v>
      </c>
      <c r="P197" s="180">
        <v>0</v>
      </c>
      <c r="Q197" s="182">
        <v>0</v>
      </c>
      <c r="R197" s="183" t="s">
        <v>883</v>
      </c>
      <c r="S197" s="174" t="s">
        <v>941</v>
      </c>
      <c r="T197" s="44">
        <v>1</v>
      </c>
      <c r="U197" s="184">
        <v>57</v>
      </c>
      <c r="V197" s="185">
        <v>16</v>
      </c>
      <c r="W197" s="186" t="s">
        <v>883</v>
      </c>
      <c r="X197" s="187" t="s">
        <v>883</v>
      </c>
      <c r="Y197" s="188">
        <v>0</v>
      </c>
      <c r="Z197" s="188" t="s">
        <v>883</v>
      </c>
      <c r="AA197" s="187" t="s">
        <v>883</v>
      </c>
      <c r="AB197" s="188">
        <v>0</v>
      </c>
      <c r="AC197" s="188"/>
      <c r="AD197" s="189" t="s">
        <v>883</v>
      </c>
      <c r="AE197" s="190" t="s">
        <v>883</v>
      </c>
      <c r="AF197" s="180">
        <v>7298</v>
      </c>
      <c r="AG197" s="183">
        <v>44971</v>
      </c>
      <c r="AH197" s="183" t="s">
        <v>883</v>
      </c>
      <c r="AI197" s="183">
        <v>44971</v>
      </c>
      <c r="AJ197" s="183" t="s">
        <v>883</v>
      </c>
      <c r="AK197" s="174"/>
    </row>
    <row r="198" spans="1:37" x14ac:dyDescent="0.3">
      <c r="A198" s="173">
        <v>23692</v>
      </c>
      <c r="B198" s="174" t="s">
        <v>1181</v>
      </c>
      <c r="C198" s="175" t="s">
        <v>569</v>
      </c>
      <c r="D198" s="176">
        <v>1.55</v>
      </c>
      <c r="E198" s="174"/>
      <c r="F198" s="174"/>
      <c r="G198" s="174" t="s">
        <v>883</v>
      </c>
      <c r="H198" s="177">
        <v>14223</v>
      </c>
      <c r="I198" s="24">
        <v>103003</v>
      </c>
      <c r="J198" s="178">
        <v>1.55</v>
      </c>
      <c r="K198" s="177">
        <v>9479</v>
      </c>
      <c r="L198" s="179">
        <v>11.486371895820715</v>
      </c>
      <c r="M198" s="180">
        <v>636</v>
      </c>
      <c r="N198" s="178">
        <v>985.8</v>
      </c>
      <c r="O198" s="181" t="s">
        <v>882</v>
      </c>
      <c r="P198" s="180">
        <v>0</v>
      </c>
      <c r="Q198" s="182">
        <v>0</v>
      </c>
      <c r="R198" s="183" t="s">
        <v>883</v>
      </c>
      <c r="S198" s="174" t="s">
        <v>941</v>
      </c>
      <c r="T198" s="44">
        <v>1</v>
      </c>
      <c r="U198" s="184">
        <v>57</v>
      </c>
      <c r="V198" s="185">
        <v>16</v>
      </c>
      <c r="W198" s="186" t="s">
        <v>883</v>
      </c>
      <c r="X198" s="187" t="s">
        <v>883</v>
      </c>
      <c r="Y198" s="188">
        <v>0</v>
      </c>
      <c r="Z198" s="188" t="s">
        <v>883</v>
      </c>
      <c r="AA198" s="187" t="s">
        <v>883</v>
      </c>
      <c r="AB198" s="188">
        <v>0</v>
      </c>
      <c r="AC198" s="188"/>
      <c r="AD198" s="189" t="s">
        <v>883</v>
      </c>
      <c r="AE198" s="190" t="s">
        <v>883</v>
      </c>
      <c r="AF198" s="180">
        <v>4954</v>
      </c>
      <c r="AG198" s="183">
        <v>44425</v>
      </c>
      <c r="AH198" s="183" t="s">
        <v>883</v>
      </c>
      <c r="AI198" s="183">
        <v>44971</v>
      </c>
      <c r="AJ198" s="183" t="s">
        <v>883</v>
      </c>
      <c r="AK198" s="174"/>
    </row>
    <row r="199" spans="1:37" x14ac:dyDescent="0.3">
      <c r="A199" s="173">
        <v>23778</v>
      </c>
      <c r="B199" s="174" t="s">
        <v>1182</v>
      </c>
      <c r="C199" s="175" t="s">
        <v>1067</v>
      </c>
      <c r="D199" s="176">
        <v>266</v>
      </c>
      <c r="E199" s="174"/>
      <c r="F199" s="174"/>
      <c r="G199" s="174" t="s">
        <v>883</v>
      </c>
      <c r="H199" s="177">
        <v>107</v>
      </c>
      <c r="I199" s="24">
        <v>103003</v>
      </c>
      <c r="J199" s="178">
        <v>266</v>
      </c>
      <c r="K199" s="177">
        <v>89</v>
      </c>
      <c r="L199" s="179">
        <v>9.1688089117395037</v>
      </c>
      <c r="M199" s="180">
        <v>0</v>
      </c>
      <c r="N199" s="178">
        <v>0</v>
      </c>
      <c r="O199" s="181" t="s">
        <v>882</v>
      </c>
      <c r="P199" s="180">
        <v>0</v>
      </c>
      <c r="Q199" s="182">
        <v>0</v>
      </c>
      <c r="R199" s="183" t="s">
        <v>883</v>
      </c>
      <c r="S199" s="174" t="s">
        <v>1183</v>
      </c>
      <c r="T199" s="44">
        <v>1</v>
      </c>
      <c r="U199" s="184">
        <v>76</v>
      </c>
      <c r="V199" s="185">
        <v>16</v>
      </c>
      <c r="W199" s="186">
        <v>2973</v>
      </c>
      <c r="X199" s="187">
        <v>2023</v>
      </c>
      <c r="Y199" s="188">
        <v>50</v>
      </c>
      <c r="Z199" s="188" t="s">
        <v>883</v>
      </c>
      <c r="AA199" s="187" t="s">
        <v>883</v>
      </c>
      <c r="AB199" s="188">
        <v>0</v>
      </c>
      <c r="AC199" s="188"/>
      <c r="AD199" s="189" t="s">
        <v>883</v>
      </c>
      <c r="AE199" s="190" t="s">
        <v>883</v>
      </c>
      <c r="AF199" s="180">
        <v>46</v>
      </c>
      <c r="AG199" s="183">
        <v>44986</v>
      </c>
      <c r="AH199" s="183" t="s">
        <v>883</v>
      </c>
      <c r="AI199" s="183">
        <v>44916</v>
      </c>
      <c r="AJ199" s="183" t="s">
        <v>883</v>
      </c>
      <c r="AK199" s="174"/>
    </row>
    <row r="200" spans="1:37" x14ac:dyDescent="0.3">
      <c r="A200" s="173">
        <v>23846</v>
      </c>
      <c r="B200" s="174" t="s">
        <v>1184</v>
      </c>
      <c r="C200" s="175" t="s">
        <v>569</v>
      </c>
      <c r="D200" s="176">
        <v>1.5</v>
      </c>
      <c r="E200" s="174"/>
      <c r="F200" s="174"/>
      <c r="G200" s="174" t="s">
        <v>883</v>
      </c>
      <c r="H200" s="177">
        <v>0</v>
      </c>
      <c r="I200" s="24">
        <v>103003</v>
      </c>
      <c r="J200" s="178">
        <v>1.5</v>
      </c>
      <c r="K200" s="177">
        <v>9077</v>
      </c>
      <c r="L200" s="179">
        <v>0</v>
      </c>
      <c r="M200" s="180">
        <v>9471</v>
      </c>
      <c r="N200" s="178">
        <v>14206.5</v>
      </c>
      <c r="O200" s="181" t="s">
        <v>882</v>
      </c>
      <c r="P200" s="180">
        <v>0</v>
      </c>
      <c r="Q200" s="182">
        <v>0</v>
      </c>
      <c r="R200" s="183" t="s">
        <v>883</v>
      </c>
      <c r="S200" s="174" t="s">
        <v>941</v>
      </c>
      <c r="T200" s="44">
        <v>1</v>
      </c>
      <c r="U200" s="184">
        <v>57</v>
      </c>
      <c r="V200" s="185">
        <v>16</v>
      </c>
      <c r="W200" s="186">
        <v>6984</v>
      </c>
      <c r="X200" s="187">
        <v>2023</v>
      </c>
      <c r="Y200" s="188">
        <v>6300</v>
      </c>
      <c r="Z200" s="188" t="s">
        <v>883</v>
      </c>
      <c r="AA200" s="187" t="s">
        <v>883</v>
      </c>
      <c r="AB200" s="188">
        <v>0</v>
      </c>
      <c r="AC200" s="188"/>
      <c r="AD200" s="189" t="s">
        <v>883</v>
      </c>
      <c r="AE200" s="190" t="s">
        <v>883</v>
      </c>
      <c r="AF200" s="180">
        <v>5258</v>
      </c>
      <c r="AG200" s="183">
        <v>44960</v>
      </c>
      <c r="AH200" s="183" t="s">
        <v>883</v>
      </c>
      <c r="AI200" s="183">
        <v>45054</v>
      </c>
      <c r="AJ200" s="183" t="s">
        <v>883</v>
      </c>
      <c r="AK200" s="174"/>
    </row>
    <row r="201" spans="1:37" x14ac:dyDescent="0.3">
      <c r="A201" s="173">
        <v>23862</v>
      </c>
      <c r="B201" s="174" t="s">
        <v>1185</v>
      </c>
      <c r="C201" s="175" t="s">
        <v>569</v>
      </c>
      <c r="D201" s="176">
        <v>1.5</v>
      </c>
      <c r="E201" s="174"/>
      <c r="F201" s="174"/>
      <c r="G201" s="174" t="s">
        <v>883</v>
      </c>
      <c r="H201" s="177">
        <v>96</v>
      </c>
      <c r="I201" s="24">
        <v>103003</v>
      </c>
      <c r="J201" s="178">
        <v>1.5</v>
      </c>
      <c r="K201" s="177">
        <v>9754</v>
      </c>
      <c r="L201" s="179">
        <v>6.504814240122507E-2</v>
      </c>
      <c r="M201" s="180">
        <v>12613.96</v>
      </c>
      <c r="N201" s="178">
        <v>18920.939999999999</v>
      </c>
      <c r="O201" s="181" t="s">
        <v>882</v>
      </c>
      <c r="P201" s="180">
        <v>0</v>
      </c>
      <c r="Q201" s="182">
        <v>0</v>
      </c>
      <c r="R201" s="183" t="s">
        <v>883</v>
      </c>
      <c r="S201" s="174" t="s">
        <v>941</v>
      </c>
      <c r="T201" s="44">
        <v>1</v>
      </c>
      <c r="U201" s="184">
        <v>57</v>
      </c>
      <c r="V201" s="185">
        <v>16</v>
      </c>
      <c r="W201" s="186">
        <v>6984</v>
      </c>
      <c r="X201" s="187">
        <v>2023</v>
      </c>
      <c r="Y201" s="188">
        <v>5000</v>
      </c>
      <c r="Z201" s="188" t="s">
        <v>883</v>
      </c>
      <c r="AA201" s="187" t="s">
        <v>883</v>
      </c>
      <c r="AB201" s="188">
        <v>0</v>
      </c>
      <c r="AC201" s="188"/>
      <c r="AD201" s="189" t="s">
        <v>883</v>
      </c>
      <c r="AE201" s="190" t="s">
        <v>883</v>
      </c>
      <c r="AF201" s="180">
        <v>5904</v>
      </c>
      <c r="AG201" s="183">
        <v>44960</v>
      </c>
      <c r="AH201" s="183" t="s">
        <v>883</v>
      </c>
      <c r="AI201" s="183">
        <v>45054</v>
      </c>
      <c r="AJ201" s="183" t="s">
        <v>883</v>
      </c>
      <c r="AK201" s="174"/>
    </row>
    <row r="202" spans="1:37" x14ac:dyDescent="0.3">
      <c r="A202" s="173">
        <v>23875</v>
      </c>
      <c r="B202" s="174" t="s">
        <v>1186</v>
      </c>
      <c r="C202" s="175" t="s">
        <v>569</v>
      </c>
      <c r="D202" s="176">
        <v>1.5</v>
      </c>
      <c r="E202" s="174"/>
      <c r="F202" s="174"/>
      <c r="G202" s="174" t="s">
        <v>883</v>
      </c>
      <c r="H202" s="177">
        <v>1229</v>
      </c>
      <c r="I202" s="24">
        <v>103003</v>
      </c>
      <c r="J202" s="178">
        <v>1.5</v>
      </c>
      <c r="K202" s="177">
        <v>9055</v>
      </c>
      <c r="L202" s="179">
        <v>1.0088903847574642</v>
      </c>
      <c r="M202" s="180">
        <v>9889.0400000000009</v>
      </c>
      <c r="N202" s="178">
        <v>14833.56</v>
      </c>
      <c r="O202" s="181" t="s">
        <v>882</v>
      </c>
      <c r="P202" s="180">
        <v>0</v>
      </c>
      <c r="Q202" s="182">
        <v>0</v>
      </c>
      <c r="R202" s="183" t="s">
        <v>883</v>
      </c>
      <c r="S202" s="174" t="s">
        <v>941</v>
      </c>
      <c r="T202" s="44">
        <v>1</v>
      </c>
      <c r="U202" s="184">
        <v>57</v>
      </c>
      <c r="V202" s="185">
        <v>16</v>
      </c>
      <c r="W202" s="186">
        <v>6984</v>
      </c>
      <c r="X202" s="187">
        <v>2023</v>
      </c>
      <c r="Y202" s="188">
        <v>3500</v>
      </c>
      <c r="Z202" s="188" t="s">
        <v>883</v>
      </c>
      <c r="AA202" s="187" t="s">
        <v>883</v>
      </c>
      <c r="AB202" s="188">
        <v>0</v>
      </c>
      <c r="AC202" s="188"/>
      <c r="AD202" s="189" t="s">
        <v>883</v>
      </c>
      <c r="AE202" s="190" t="s">
        <v>883</v>
      </c>
      <c r="AF202" s="180">
        <v>4872</v>
      </c>
      <c r="AG202" s="183">
        <v>44960</v>
      </c>
      <c r="AH202" s="183" t="s">
        <v>883</v>
      </c>
      <c r="AI202" s="183">
        <v>45054</v>
      </c>
      <c r="AJ202" s="183" t="s">
        <v>883</v>
      </c>
      <c r="AK202" s="174"/>
    </row>
    <row r="203" spans="1:37" x14ac:dyDescent="0.3">
      <c r="A203" s="173">
        <v>23986</v>
      </c>
      <c r="B203" s="174" t="s">
        <v>1187</v>
      </c>
      <c r="C203" s="175" t="s">
        <v>281</v>
      </c>
      <c r="D203" s="176">
        <v>1.55</v>
      </c>
      <c r="E203" s="174"/>
      <c r="F203" s="174"/>
      <c r="G203" s="174" t="s">
        <v>883</v>
      </c>
      <c r="H203" s="177">
        <v>1066</v>
      </c>
      <c r="I203" s="24">
        <v>103003</v>
      </c>
      <c r="J203" s="178">
        <v>1.55</v>
      </c>
      <c r="K203" s="177">
        <v>5226</v>
      </c>
      <c r="L203" s="179">
        <v>1.5914485765044861</v>
      </c>
      <c r="M203" s="180">
        <v>5771.96</v>
      </c>
      <c r="N203" s="178">
        <v>8946.5380000000005</v>
      </c>
      <c r="O203" s="181" t="s">
        <v>882</v>
      </c>
      <c r="P203" s="180">
        <v>0</v>
      </c>
      <c r="Q203" s="182">
        <v>0</v>
      </c>
      <c r="R203" s="183" t="s">
        <v>883</v>
      </c>
      <c r="S203" s="174" t="s">
        <v>1135</v>
      </c>
      <c r="T203" s="44">
        <v>1</v>
      </c>
      <c r="U203" s="184">
        <v>57</v>
      </c>
      <c r="V203" s="185">
        <v>2</v>
      </c>
      <c r="W203" s="186">
        <v>6987</v>
      </c>
      <c r="X203" s="187">
        <v>2023</v>
      </c>
      <c r="Y203" s="188">
        <v>1200</v>
      </c>
      <c r="Z203" s="188" t="s">
        <v>883</v>
      </c>
      <c r="AA203" s="187" t="s">
        <v>883</v>
      </c>
      <c r="AB203" s="188">
        <v>0</v>
      </c>
      <c r="AC203" s="188"/>
      <c r="AD203" s="189" t="s">
        <v>883</v>
      </c>
      <c r="AE203" s="190" t="s">
        <v>883</v>
      </c>
      <c r="AF203" s="180">
        <v>2680</v>
      </c>
      <c r="AG203" s="183">
        <v>44966</v>
      </c>
      <c r="AH203" s="183" t="s">
        <v>883</v>
      </c>
      <c r="AI203" s="183">
        <v>45049</v>
      </c>
      <c r="AJ203" s="183" t="s">
        <v>883</v>
      </c>
      <c r="AK203" s="174"/>
    </row>
    <row r="204" spans="1:37" x14ac:dyDescent="0.3">
      <c r="A204" s="173">
        <v>23989</v>
      </c>
      <c r="B204" s="174" t="s">
        <v>1188</v>
      </c>
      <c r="C204" s="175" t="s">
        <v>281</v>
      </c>
      <c r="D204" s="176">
        <v>1.71</v>
      </c>
      <c r="E204" s="174"/>
      <c r="F204" s="174"/>
      <c r="G204" s="174" t="s">
        <v>883</v>
      </c>
      <c r="H204" s="177">
        <v>2384</v>
      </c>
      <c r="I204" s="24">
        <v>103003</v>
      </c>
      <c r="J204" s="178">
        <v>1.71</v>
      </c>
      <c r="K204" s="177">
        <v>5014</v>
      </c>
      <c r="L204" s="179">
        <v>3.7607269056032311</v>
      </c>
      <c r="M204" s="180">
        <v>5223.04</v>
      </c>
      <c r="N204" s="178">
        <v>8931.3984</v>
      </c>
      <c r="O204" s="181" t="s">
        <v>882</v>
      </c>
      <c r="P204" s="180">
        <v>0</v>
      </c>
      <c r="Q204" s="182">
        <v>0</v>
      </c>
      <c r="R204" s="183" t="s">
        <v>883</v>
      </c>
      <c r="S204" s="174" t="s">
        <v>1135</v>
      </c>
      <c r="T204" s="44">
        <v>1</v>
      </c>
      <c r="U204" s="184">
        <v>57</v>
      </c>
      <c r="V204" s="185">
        <v>2</v>
      </c>
      <c r="W204" s="186" t="s">
        <v>883</v>
      </c>
      <c r="X204" s="187" t="s">
        <v>883</v>
      </c>
      <c r="Y204" s="188">
        <v>0</v>
      </c>
      <c r="Z204" s="188" t="s">
        <v>883</v>
      </c>
      <c r="AA204" s="187" t="s">
        <v>883</v>
      </c>
      <c r="AB204" s="188">
        <v>0</v>
      </c>
      <c r="AC204" s="188"/>
      <c r="AD204" s="189" t="s">
        <v>883</v>
      </c>
      <c r="AE204" s="190" t="s">
        <v>883</v>
      </c>
      <c r="AF204" s="180">
        <v>2536</v>
      </c>
      <c r="AG204" s="183">
        <v>44966</v>
      </c>
      <c r="AH204" s="183" t="s">
        <v>883</v>
      </c>
      <c r="AI204" s="183">
        <v>45083</v>
      </c>
      <c r="AJ204" s="183" t="s">
        <v>883</v>
      </c>
      <c r="AK204" s="174"/>
    </row>
    <row r="205" spans="1:37" x14ac:dyDescent="0.3">
      <c r="A205" s="173">
        <v>23993</v>
      </c>
      <c r="B205" s="174" t="s">
        <v>1189</v>
      </c>
      <c r="C205" s="175" t="s">
        <v>281</v>
      </c>
      <c r="D205" s="176">
        <v>1.71</v>
      </c>
      <c r="E205" s="174"/>
      <c r="F205" s="174"/>
      <c r="G205" s="174" t="s">
        <v>883</v>
      </c>
      <c r="H205" s="177">
        <v>3165</v>
      </c>
      <c r="I205" s="24">
        <v>103003</v>
      </c>
      <c r="J205" s="178">
        <v>1.71</v>
      </c>
      <c r="K205" s="177">
        <v>4773</v>
      </c>
      <c r="L205" s="179">
        <v>5.2472768871130864</v>
      </c>
      <c r="M205" s="180">
        <v>4073.04</v>
      </c>
      <c r="N205" s="178">
        <v>6964.8984</v>
      </c>
      <c r="O205" s="181" t="s">
        <v>882</v>
      </c>
      <c r="P205" s="180">
        <v>0</v>
      </c>
      <c r="Q205" s="182">
        <v>0</v>
      </c>
      <c r="R205" s="183" t="s">
        <v>883</v>
      </c>
      <c r="S205" s="174" t="s">
        <v>1135</v>
      </c>
      <c r="T205" s="44">
        <v>1</v>
      </c>
      <c r="U205" s="184">
        <v>57</v>
      </c>
      <c r="V205" s="185">
        <v>2</v>
      </c>
      <c r="W205" s="186" t="s">
        <v>883</v>
      </c>
      <c r="X205" s="187" t="s">
        <v>883</v>
      </c>
      <c r="Y205" s="188">
        <v>0</v>
      </c>
      <c r="Z205" s="188" t="s">
        <v>883</v>
      </c>
      <c r="AA205" s="187" t="s">
        <v>883</v>
      </c>
      <c r="AB205" s="188">
        <v>0</v>
      </c>
      <c r="AC205" s="188"/>
      <c r="AD205" s="189" t="s">
        <v>883</v>
      </c>
      <c r="AE205" s="190" t="s">
        <v>883</v>
      </c>
      <c r="AF205" s="180">
        <v>2412</v>
      </c>
      <c r="AG205" s="183">
        <v>44966</v>
      </c>
      <c r="AH205" s="183" t="s">
        <v>883</v>
      </c>
      <c r="AI205" s="183">
        <v>45083</v>
      </c>
      <c r="AJ205" s="183" t="s">
        <v>883</v>
      </c>
      <c r="AK205" s="174"/>
    </row>
    <row r="206" spans="1:37" x14ac:dyDescent="0.3">
      <c r="A206" s="173">
        <v>23996</v>
      </c>
      <c r="B206" s="174" t="s">
        <v>1190</v>
      </c>
      <c r="C206" s="175" t="s">
        <v>281</v>
      </c>
      <c r="D206" s="176">
        <v>1.55</v>
      </c>
      <c r="E206" s="174"/>
      <c r="F206" s="174"/>
      <c r="G206" s="174" t="s">
        <v>883</v>
      </c>
      <c r="H206" s="177">
        <v>1181</v>
      </c>
      <c r="I206" s="24">
        <v>103003</v>
      </c>
      <c r="J206" s="178">
        <v>1.55</v>
      </c>
      <c r="K206" s="177">
        <v>5207</v>
      </c>
      <c r="L206" s="179">
        <v>1.8083542598150304</v>
      </c>
      <c r="M206" s="180">
        <v>4655.96</v>
      </c>
      <c r="N206" s="178">
        <v>7216.7380000000003</v>
      </c>
      <c r="O206" s="181" t="s">
        <v>882</v>
      </c>
      <c r="P206" s="180">
        <v>0</v>
      </c>
      <c r="Q206" s="182">
        <v>0</v>
      </c>
      <c r="R206" s="183" t="s">
        <v>883</v>
      </c>
      <c r="S206" s="174" t="s">
        <v>1135</v>
      </c>
      <c r="T206" s="44">
        <v>1</v>
      </c>
      <c r="U206" s="184">
        <v>57</v>
      </c>
      <c r="V206" s="185">
        <v>2</v>
      </c>
      <c r="W206" s="186">
        <v>6216</v>
      </c>
      <c r="X206" s="187">
        <v>2023</v>
      </c>
      <c r="Y206" s="188">
        <v>2000</v>
      </c>
      <c r="Z206" s="188" t="s">
        <v>883</v>
      </c>
      <c r="AA206" s="187" t="s">
        <v>883</v>
      </c>
      <c r="AB206" s="188">
        <v>0</v>
      </c>
      <c r="AC206" s="188"/>
      <c r="AD206" s="189" t="s">
        <v>883</v>
      </c>
      <c r="AE206" s="190" t="s">
        <v>883</v>
      </c>
      <c r="AF206" s="180">
        <v>2612</v>
      </c>
      <c r="AG206" s="183">
        <v>44966</v>
      </c>
      <c r="AH206" s="183" t="s">
        <v>883</v>
      </c>
      <c r="AI206" s="183">
        <v>45049</v>
      </c>
      <c r="AJ206" s="183" t="s">
        <v>883</v>
      </c>
      <c r="AK206" s="174"/>
    </row>
    <row r="207" spans="1:37" x14ac:dyDescent="0.3">
      <c r="A207" s="173">
        <v>24204</v>
      </c>
      <c r="B207" s="174" t="s">
        <v>1191</v>
      </c>
      <c r="C207" s="175" t="s">
        <v>256</v>
      </c>
      <c r="D207" s="176">
        <v>3.72</v>
      </c>
      <c r="E207" s="174"/>
      <c r="F207" s="174"/>
      <c r="G207" s="174" t="s">
        <v>883</v>
      </c>
      <c r="H207" s="177">
        <v>102</v>
      </c>
      <c r="I207" s="24">
        <v>103003</v>
      </c>
      <c r="J207" s="178">
        <v>3.72</v>
      </c>
      <c r="K207" s="177">
        <v>474</v>
      </c>
      <c r="L207" s="179">
        <v>1.516728624535316</v>
      </c>
      <c r="M207" s="180">
        <v>205</v>
      </c>
      <c r="N207" s="178">
        <v>762.6</v>
      </c>
      <c r="O207" s="181" t="s">
        <v>882</v>
      </c>
      <c r="P207" s="180">
        <v>0</v>
      </c>
      <c r="Q207" s="182">
        <v>0</v>
      </c>
      <c r="R207" s="183" t="s">
        <v>883</v>
      </c>
      <c r="S207" s="174" t="s">
        <v>962</v>
      </c>
      <c r="T207" s="44">
        <v>1</v>
      </c>
      <c r="U207" s="184">
        <v>76</v>
      </c>
      <c r="V207" s="185">
        <v>11</v>
      </c>
      <c r="W207" s="186">
        <v>2659</v>
      </c>
      <c r="X207" s="187">
        <v>2023</v>
      </c>
      <c r="Y207" s="188">
        <v>500</v>
      </c>
      <c r="Z207" s="188" t="s">
        <v>883</v>
      </c>
      <c r="AA207" s="187" t="s">
        <v>883</v>
      </c>
      <c r="AB207" s="188">
        <v>0</v>
      </c>
      <c r="AC207" s="188"/>
      <c r="AD207" s="189" t="s">
        <v>883</v>
      </c>
      <c r="AE207" s="190" t="s">
        <v>883</v>
      </c>
      <c r="AF207" s="180">
        <v>270</v>
      </c>
      <c r="AG207" s="183">
        <v>44523</v>
      </c>
      <c r="AH207" s="183" t="s">
        <v>883</v>
      </c>
      <c r="AI207" s="183">
        <v>45117</v>
      </c>
      <c r="AJ207" s="183" t="s">
        <v>883</v>
      </c>
      <c r="AK207" s="174"/>
    </row>
    <row r="208" spans="1:37" x14ac:dyDescent="0.3">
      <c r="A208" s="173">
        <v>24219</v>
      </c>
      <c r="B208" s="174" t="s">
        <v>1192</v>
      </c>
      <c r="C208" s="175" t="s">
        <v>256</v>
      </c>
      <c r="D208" s="176">
        <v>47</v>
      </c>
      <c r="E208" s="174"/>
      <c r="F208" s="174"/>
      <c r="G208" s="174" t="s">
        <v>883</v>
      </c>
      <c r="H208" s="177">
        <v>474</v>
      </c>
      <c r="I208" s="24">
        <v>103003</v>
      </c>
      <c r="J208" s="178">
        <v>47</v>
      </c>
      <c r="K208" s="177">
        <v>185</v>
      </c>
      <c r="L208" s="179">
        <v>19.346938775510203</v>
      </c>
      <c r="M208" s="180">
        <v>0</v>
      </c>
      <c r="N208" s="178">
        <v>0</v>
      </c>
      <c r="O208" s="181" t="s">
        <v>882</v>
      </c>
      <c r="P208" s="180">
        <v>0</v>
      </c>
      <c r="Q208" s="182">
        <v>0</v>
      </c>
      <c r="R208" s="183" t="s">
        <v>883</v>
      </c>
      <c r="S208" s="174" t="s">
        <v>1193</v>
      </c>
      <c r="T208" s="44">
        <v>1</v>
      </c>
      <c r="U208" s="184">
        <v>79</v>
      </c>
      <c r="V208" s="185">
        <v>6</v>
      </c>
      <c r="W208" s="186" t="s">
        <v>883</v>
      </c>
      <c r="X208" s="187" t="s">
        <v>883</v>
      </c>
      <c r="Y208" s="188">
        <v>0</v>
      </c>
      <c r="Z208" s="188" t="s">
        <v>883</v>
      </c>
      <c r="AA208" s="187" t="s">
        <v>883</v>
      </c>
      <c r="AB208" s="188">
        <v>0</v>
      </c>
      <c r="AC208" s="188"/>
      <c r="AD208" s="189" t="s">
        <v>883</v>
      </c>
      <c r="AE208" s="190" t="s">
        <v>883</v>
      </c>
      <c r="AF208" s="180">
        <v>98</v>
      </c>
      <c r="AG208" s="183">
        <v>44610</v>
      </c>
      <c r="AH208" s="183" t="s">
        <v>883</v>
      </c>
      <c r="AI208" s="183">
        <v>44582</v>
      </c>
      <c r="AJ208" s="183" t="s">
        <v>883</v>
      </c>
      <c r="AK208" s="174"/>
    </row>
    <row r="209" spans="1:37" x14ac:dyDescent="0.3">
      <c r="A209" s="173">
        <v>24371</v>
      </c>
      <c r="B209" s="174" t="s">
        <v>1194</v>
      </c>
      <c r="C209" s="175" t="s">
        <v>256</v>
      </c>
      <c r="D209" s="176">
        <v>2.96</v>
      </c>
      <c r="E209" s="174"/>
      <c r="F209" s="174" t="s">
        <v>1063</v>
      </c>
      <c r="G209" s="174" t="s">
        <v>1195</v>
      </c>
      <c r="H209" s="177">
        <v>20086</v>
      </c>
      <c r="I209" s="24">
        <v>103003</v>
      </c>
      <c r="J209" s="178">
        <v>2.96</v>
      </c>
      <c r="K209" s="177">
        <v>22280</v>
      </c>
      <c r="L209" s="179">
        <v>7.9922965816080884</v>
      </c>
      <c r="M209" s="180">
        <v>8004.04</v>
      </c>
      <c r="N209" s="178">
        <v>23691.9584</v>
      </c>
      <c r="O209" s="181" t="s">
        <v>1196</v>
      </c>
      <c r="P209" s="180">
        <v>40900</v>
      </c>
      <c r="Q209" s="182">
        <v>121064</v>
      </c>
      <c r="R209" s="183">
        <v>45327</v>
      </c>
      <c r="S209" s="174" t="s">
        <v>1197</v>
      </c>
      <c r="T209" s="44">
        <v>1</v>
      </c>
      <c r="U209" s="184">
        <v>51</v>
      </c>
      <c r="V209" s="185">
        <v>7</v>
      </c>
      <c r="W209" s="186" t="s">
        <v>883</v>
      </c>
      <c r="X209" s="187" t="s">
        <v>883</v>
      </c>
      <c r="Y209" s="188">
        <v>0</v>
      </c>
      <c r="Z209" s="188">
        <v>6436</v>
      </c>
      <c r="AA209" s="187">
        <v>2023</v>
      </c>
      <c r="AB209" s="188">
        <v>2068</v>
      </c>
      <c r="AC209" s="188">
        <v>5000</v>
      </c>
      <c r="AD209" s="189" t="s">
        <v>2037</v>
      </c>
      <c r="AE209" s="190">
        <v>45099</v>
      </c>
      <c r="AF209" s="180">
        <v>10052</v>
      </c>
      <c r="AG209" s="183">
        <v>45132</v>
      </c>
      <c r="AH209" s="183" t="s">
        <v>883</v>
      </c>
      <c r="AI209" s="183">
        <v>45076</v>
      </c>
      <c r="AJ209" s="183" t="s">
        <v>883</v>
      </c>
      <c r="AK209" s="174"/>
    </row>
    <row r="210" spans="1:37" x14ac:dyDescent="0.3">
      <c r="A210" s="173">
        <v>24476</v>
      </c>
      <c r="B210" s="174" t="s">
        <v>1198</v>
      </c>
      <c r="C210" s="175" t="s">
        <v>281</v>
      </c>
      <c r="D210" s="176">
        <v>1.71</v>
      </c>
      <c r="E210" s="174"/>
      <c r="F210" s="174"/>
      <c r="G210" s="174" t="s">
        <v>883</v>
      </c>
      <c r="H210" s="177">
        <v>1416</v>
      </c>
      <c r="I210" s="24">
        <v>103003</v>
      </c>
      <c r="J210" s="178">
        <v>1.71</v>
      </c>
      <c r="K210" s="177">
        <v>5242</v>
      </c>
      <c r="L210" s="179">
        <v>2.1116048793581679</v>
      </c>
      <c r="M210" s="180">
        <v>4630.96</v>
      </c>
      <c r="N210" s="178">
        <v>7918.9416000000001</v>
      </c>
      <c r="O210" s="181" t="s">
        <v>882</v>
      </c>
      <c r="P210" s="180">
        <v>0</v>
      </c>
      <c r="Q210" s="182">
        <v>0</v>
      </c>
      <c r="R210" s="183" t="s">
        <v>883</v>
      </c>
      <c r="S210" s="174" t="s">
        <v>1135</v>
      </c>
      <c r="T210" s="44">
        <v>1</v>
      </c>
      <c r="U210" s="184">
        <v>57</v>
      </c>
      <c r="V210" s="185">
        <v>2</v>
      </c>
      <c r="W210" s="186">
        <v>6216</v>
      </c>
      <c r="X210" s="187">
        <v>2023</v>
      </c>
      <c r="Y210" s="188">
        <v>2000</v>
      </c>
      <c r="Z210" s="188" t="s">
        <v>883</v>
      </c>
      <c r="AA210" s="187" t="s">
        <v>883</v>
      </c>
      <c r="AB210" s="188">
        <v>0</v>
      </c>
      <c r="AC210" s="188"/>
      <c r="AD210" s="189" t="s">
        <v>883</v>
      </c>
      <c r="AE210" s="190" t="s">
        <v>883</v>
      </c>
      <c r="AF210" s="180">
        <v>2682</v>
      </c>
      <c r="AG210" s="183">
        <v>44974</v>
      </c>
      <c r="AH210" s="183" t="s">
        <v>883</v>
      </c>
      <c r="AI210" s="183">
        <v>45083</v>
      </c>
      <c r="AJ210" s="183" t="s">
        <v>883</v>
      </c>
      <c r="AK210" s="174"/>
    </row>
    <row r="211" spans="1:37" x14ac:dyDescent="0.3">
      <c r="A211" s="173">
        <v>24477</v>
      </c>
      <c r="B211" s="174" t="s">
        <v>1199</v>
      </c>
      <c r="C211" s="175" t="s">
        <v>281</v>
      </c>
      <c r="D211" s="176">
        <v>1.55</v>
      </c>
      <c r="E211" s="174"/>
      <c r="F211" s="174"/>
      <c r="G211" s="174" t="s">
        <v>883</v>
      </c>
      <c r="H211" s="177">
        <v>869</v>
      </c>
      <c r="I211" s="24">
        <v>103003</v>
      </c>
      <c r="J211" s="178">
        <v>1.55</v>
      </c>
      <c r="K211" s="177">
        <v>5236</v>
      </c>
      <c r="L211" s="179">
        <v>1.2701521551661137</v>
      </c>
      <c r="M211" s="180">
        <v>5941.04</v>
      </c>
      <c r="N211" s="178">
        <v>9208.6119999999992</v>
      </c>
      <c r="O211" s="181" t="s">
        <v>882</v>
      </c>
      <c r="P211" s="180">
        <v>0</v>
      </c>
      <c r="Q211" s="182">
        <v>0</v>
      </c>
      <c r="R211" s="183" t="s">
        <v>883</v>
      </c>
      <c r="S211" s="174" t="s">
        <v>1135</v>
      </c>
      <c r="T211" s="44">
        <v>1</v>
      </c>
      <c r="U211" s="184">
        <v>57</v>
      </c>
      <c r="V211" s="185">
        <v>2</v>
      </c>
      <c r="W211" s="186">
        <v>6987</v>
      </c>
      <c r="X211" s="187">
        <v>2023</v>
      </c>
      <c r="Y211" s="188">
        <v>1400</v>
      </c>
      <c r="Z211" s="188" t="s">
        <v>883</v>
      </c>
      <c r="AA211" s="187" t="s">
        <v>883</v>
      </c>
      <c r="AB211" s="188">
        <v>0</v>
      </c>
      <c r="AC211" s="188"/>
      <c r="AD211" s="189" t="s">
        <v>883</v>
      </c>
      <c r="AE211" s="190" t="s">
        <v>883</v>
      </c>
      <c r="AF211" s="180">
        <v>2736</v>
      </c>
      <c r="AG211" s="183">
        <v>44966</v>
      </c>
      <c r="AH211" s="183" t="s">
        <v>883</v>
      </c>
      <c r="AI211" s="183">
        <v>45049</v>
      </c>
      <c r="AJ211" s="183" t="s">
        <v>883</v>
      </c>
      <c r="AK211" s="174"/>
    </row>
    <row r="212" spans="1:37" x14ac:dyDescent="0.3">
      <c r="A212" s="173">
        <v>24500</v>
      </c>
      <c r="B212" s="174" t="s">
        <v>1200</v>
      </c>
      <c r="C212" s="175" t="s">
        <v>256</v>
      </c>
      <c r="D212" s="176">
        <v>25.5</v>
      </c>
      <c r="E212" s="174"/>
      <c r="F212" s="174"/>
      <c r="G212" s="174" t="s">
        <v>883</v>
      </c>
      <c r="H212" s="177">
        <v>206</v>
      </c>
      <c r="I212" s="24">
        <v>103003</v>
      </c>
      <c r="J212" s="178">
        <v>25.5</v>
      </c>
      <c r="K212" s="177">
        <v>536</v>
      </c>
      <c r="L212" s="179">
        <v>4.240428159736517</v>
      </c>
      <c r="M212" s="180">
        <v>0</v>
      </c>
      <c r="N212" s="178">
        <v>0</v>
      </c>
      <c r="O212" s="181" t="s">
        <v>882</v>
      </c>
      <c r="P212" s="180">
        <v>0</v>
      </c>
      <c r="Q212" s="182">
        <v>0</v>
      </c>
      <c r="R212" s="183" t="s">
        <v>883</v>
      </c>
      <c r="S212" s="174" t="s">
        <v>1013</v>
      </c>
      <c r="T212" s="44">
        <v>1</v>
      </c>
      <c r="U212" s="184">
        <v>61</v>
      </c>
      <c r="V212" s="185">
        <v>14</v>
      </c>
      <c r="W212" s="186">
        <v>2238</v>
      </c>
      <c r="X212" s="187">
        <v>2023</v>
      </c>
      <c r="Y212" s="188">
        <v>600</v>
      </c>
      <c r="Z212" s="188" t="s">
        <v>883</v>
      </c>
      <c r="AA212" s="187" t="s">
        <v>883</v>
      </c>
      <c r="AB212" s="188">
        <v>0</v>
      </c>
      <c r="AC212" s="188"/>
      <c r="AD212" s="189" t="s">
        <v>883</v>
      </c>
      <c r="AE212" s="190" t="s">
        <v>883</v>
      </c>
      <c r="AF212" s="180">
        <v>194</v>
      </c>
      <c r="AG212" s="183">
        <v>44957</v>
      </c>
      <c r="AH212" s="183" t="s">
        <v>883</v>
      </c>
      <c r="AI212" s="183">
        <v>44942</v>
      </c>
      <c r="AJ212" s="183" t="s">
        <v>883</v>
      </c>
      <c r="AK212" s="174"/>
    </row>
    <row r="213" spans="1:37" x14ac:dyDescent="0.3">
      <c r="A213" s="173">
        <v>24551</v>
      </c>
      <c r="B213" s="174" t="s">
        <v>1201</v>
      </c>
      <c r="C213" s="175" t="s">
        <v>256</v>
      </c>
      <c r="D213" s="176">
        <v>5.2</v>
      </c>
      <c r="E213" s="174"/>
      <c r="F213" s="174"/>
      <c r="G213" s="174" t="s">
        <v>883</v>
      </c>
      <c r="H213" s="177">
        <v>0</v>
      </c>
      <c r="I213" s="24">
        <v>103003</v>
      </c>
      <c r="J213" s="178">
        <v>5.2</v>
      </c>
      <c r="K213" s="177">
        <v>44</v>
      </c>
      <c r="L213" s="179">
        <v>0</v>
      </c>
      <c r="M213" s="180">
        <v>0</v>
      </c>
      <c r="N213" s="178">
        <v>0</v>
      </c>
      <c r="O213" s="181" t="s">
        <v>882</v>
      </c>
      <c r="P213" s="180">
        <v>0</v>
      </c>
      <c r="Q213" s="182">
        <v>0</v>
      </c>
      <c r="R213" s="183" t="s">
        <v>883</v>
      </c>
      <c r="S213" s="174" t="s">
        <v>1202</v>
      </c>
      <c r="T213" s="44">
        <v>1</v>
      </c>
      <c r="U213" s="184">
        <v>83</v>
      </c>
      <c r="V213" s="185">
        <v>3</v>
      </c>
      <c r="W213" s="186">
        <v>2222</v>
      </c>
      <c r="X213" s="187">
        <v>2023</v>
      </c>
      <c r="Y213" s="188">
        <v>150</v>
      </c>
      <c r="Z213" s="188" t="s">
        <v>883</v>
      </c>
      <c r="AA213" s="187" t="s">
        <v>883</v>
      </c>
      <c r="AB213" s="188">
        <v>0</v>
      </c>
      <c r="AC213" s="188"/>
      <c r="AD213" s="189" t="s">
        <v>883</v>
      </c>
      <c r="AE213" s="190" t="s">
        <v>883</v>
      </c>
      <c r="AF213" s="180">
        <v>14</v>
      </c>
      <c r="AG213" s="183">
        <v>43889</v>
      </c>
      <c r="AH213" s="183" t="s">
        <v>883</v>
      </c>
      <c r="AI213" s="183">
        <v>43826</v>
      </c>
      <c r="AJ213" s="183" t="s">
        <v>883</v>
      </c>
      <c r="AK213" s="174"/>
    </row>
    <row r="214" spans="1:37" x14ac:dyDescent="0.3">
      <c r="A214" s="173">
        <v>24888</v>
      </c>
      <c r="B214" s="174" t="s">
        <v>1203</v>
      </c>
      <c r="C214" s="175" t="s">
        <v>400</v>
      </c>
      <c r="D214" s="176">
        <v>15.8</v>
      </c>
      <c r="E214" s="174"/>
      <c r="F214" s="174"/>
      <c r="G214" s="174" t="s">
        <v>883</v>
      </c>
      <c r="H214" s="177">
        <v>96</v>
      </c>
      <c r="I214" s="24">
        <v>103003</v>
      </c>
      <c r="J214" s="178">
        <v>15.8</v>
      </c>
      <c r="K214" s="177">
        <v>6</v>
      </c>
      <c r="L214" s="179">
        <v>192</v>
      </c>
      <c r="M214" s="180">
        <v>0</v>
      </c>
      <c r="N214" s="178">
        <v>0</v>
      </c>
      <c r="O214" s="181" t="s">
        <v>882</v>
      </c>
      <c r="P214" s="180">
        <v>0</v>
      </c>
      <c r="Q214" s="182">
        <v>0</v>
      </c>
      <c r="R214" s="183" t="s">
        <v>883</v>
      </c>
      <c r="S214" s="174" t="s">
        <v>989</v>
      </c>
      <c r="T214" s="44">
        <v>1</v>
      </c>
      <c r="U214" s="184">
        <v>67</v>
      </c>
      <c r="V214" s="185">
        <v>6</v>
      </c>
      <c r="W214" s="186" t="s">
        <v>883</v>
      </c>
      <c r="X214" s="187" t="s">
        <v>883</v>
      </c>
      <c r="Y214" s="188">
        <v>0</v>
      </c>
      <c r="Z214" s="188" t="s">
        <v>883</v>
      </c>
      <c r="AA214" s="187" t="s">
        <v>883</v>
      </c>
      <c r="AB214" s="188">
        <v>0</v>
      </c>
      <c r="AC214" s="188"/>
      <c r="AD214" s="189" t="s">
        <v>883</v>
      </c>
      <c r="AE214" s="190" t="s">
        <v>883</v>
      </c>
      <c r="AF214" s="180">
        <v>2</v>
      </c>
      <c r="AG214" s="183">
        <v>43853</v>
      </c>
      <c r="AH214" s="183" t="s">
        <v>883</v>
      </c>
      <c r="AI214" s="183">
        <v>44055</v>
      </c>
      <c r="AJ214" s="183" t="s">
        <v>883</v>
      </c>
      <c r="AK214" s="174"/>
    </row>
    <row r="215" spans="1:37" x14ac:dyDescent="0.3">
      <c r="A215" s="173">
        <v>25523</v>
      </c>
      <c r="B215" s="174" t="s">
        <v>1204</v>
      </c>
      <c r="C215" s="175" t="s">
        <v>256</v>
      </c>
      <c r="D215" s="176">
        <v>5.57</v>
      </c>
      <c r="E215" s="174"/>
      <c r="F215" s="174"/>
      <c r="G215" s="174" t="s">
        <v>883</v>
      </c>
      <c r="H215" s="177">
        <v>742</v>
      </c>
      <c r="I215" s="24">
        <v>103003</v>
      </c>
      <c r="J215" s="178">
        <v>5.57</v>
      </c>
      <c r="K215" s="177">
        <v>211</v>
      </c>
      <c r="L215" s="179">
        <v>35.199240986717264</v>
      </c>
      <c r="M215" s="180">
        <v>0</v>
      </c>
      <c r="N215" s="178">
        <v>0</v>
      </c>
      <c r="O215" s="181" t="s">
        <v>882</v>
      </c>
      <c r="P215" s="180">
        <v>0</v>
      </c>
      <c r="Q215" s="182">
        <v>0</v>
      </c>
      <c r="R215" s="183" t="s">
        <v>883</v>
      </c>
      <c r="S215" s="174" t="s">
        <v>964</v>
      </c>
      <c r="T215" s="44">
        <v>1</v>
      </c>
      <c r="U215" s="184">
        <v>61</v>
      </c>
      <c r="V215" s="185">
        <v>8</v>
      </c>
      <c r="W215" s="186" t="s">
        <v>883</v>
      </c>
      <c r="X215" s="187" t="s">
        <v>883</v>
      </c>
      <c r="Y215" s="188">
        <v>0</v>
      </c>
      <c r="Z215" s="188" t="s">
        <v>883</v>
      </c>
      <c r="AA215" s="187" t="s">
        <v>883</v>
      </c>
      <c r="AB215" s="188">
        <v>0</v>
      </c>
      <c r="AC215" s="188"/>
      <c r="AD215" s="189" t="s">
        <v>883</v>
      </c>
      <c r="AE215" s="190" t="s">
        <v>883</v>
      </c>
      <c r="AF215" s="180">
        <v>84</v>
      </c>
      <c r="AG215" s="183">
        <v>43903</v>
      </c>
      <c r="AH215" s="183" t="s">
        <v>883</v>
      </c>
      <c r="AI215" s="183">
        <v>44533</v>
      </c>
      <c r="AJ215" s="183" t="s">
        <v>883</v>
      </c>
      <c r="AK215" s="174"/>
    </row>
    <row r="216" spans="1:37" x14ac:dyDescent="0.3">
      <c r="A216" s="173">
        <v>25559</v>
      </c>
      <c r="B216" s="174" t="s">
        <v>1205</v>
      </c>
      <c r="C216" s="175" t="s">
        <v>569</v>
      </c>
      <c r="D216" s="176">
        <v>1.6</v>
      </c>
      <c r="E216" s="174"/>
      <c r="F216" s="174"/>
      <c r="G216" s="174" t="s">
        <v>883</v>
      </c>
      <c r="H216" s="177">
        <v>5288</v>
      </c>
      <c r="I216" s="24">
        <v>103003</v>
      </c>
      <c r="J216" s="178">
        <v>1.6</v>
      </c>
      <c r="K216" s="177">
        <v>4278</v>
      </c>
      <c r="L216" s="179">
        <v>8.3144654088050309</v>
      </c>
      <c r="M216" s="180">
        <v>2344</v>
      </c>
      <c r="N216" s="178">
        <v>3750.4</v>
      </c>
      <c r="O216" s="181" t="s">
        <v>882</v>
      </c>
      <c r="P216" s="180">
        <v>0</v>
      </c>
      <c r="Q216" s="182">
        <v>0</v>
      </c>
      <c r="R216" s="183" t="s">
        <v>883</v>
      </c>
      <c r="S216" s="174" t="s">
        <v>1135</v>
      </c>
      <c r="T216" s="44">
        <v>1</v>
      </c>
      <c r="U216" s="184">
        <v>57</v>
      </c>
      <c r="V216" s="185">
        <v>2</v>
      </c>
      <c r="W216" s="186" t="s">
        <v>883</v>
      </c>
      <c r="X216" s="187" t="s">
        <v>883</v>
      </c>
      <c r="Y216" s="188">
        <v>0</v>
      </c>
      <c r="Z216" s="188" t="s">
        <v>883</v>
      </c>
      <c r="AA216" s="187" t="s">
        <v>883</v>
      </c>
      <c r="AB216" s="188">
        <v>0</v>
      </c>
      <c r="AC216" s="188"/>
      <c r="AD216" s="189" t="s">
        <v>883</v>
      </c>
      <c r="AE216" s="190" t="s">
        <v>883</v>
      </c>
      <c r="AF216" s="180">
        <v>2544</v>
      </c>
      <c r="AG216" s="183">
        <v>44203</v>
      </c>
      <c r="AH216" s="183" t="s">
        <v>883</v>
      </c>
      <c r="AI216" s="183">
        <v>45083</v>
      </c>
      <c r="AJ216" s="183" t="s">
        <v>883</v>
      </c>
      <c r="AK216" s="174"/>
    </row>
    <row r="217" spans="1:37" x14ac:dyDescent="0.3">
      <c r="A217" s="173">
        <v>25630</v>
      </c>
      <c r="B217" s="174" t="s">
        <v>1206</v>
      </c>
      <c r="C217" s="175" t="s">
        <v>256</v>
      </c>
      <c r="D217" s="176">
        <v>62.87</v>
      </c>
      <c r="E217" s="174"/>
      <c r="F217" s="174"/>
      <c r="G217" s="174" t="s">
        <v>883</v>
      </c>
      <c r="H217" s="177">
        <v>164</v>
      </c>
      <c r="I217" s="24">
        <v>103003</v>
      </c>
      <c r="J217" s="178">
        <v>62.87</v>
      </c>
      <c r="K217" s="177">
        <v>54</v>
      </c>
      <c r="L217" s="179">
        <v>28.924162257495592</v>
      </c>
      <c r="M217" s="180">
        <v>0</v>
      </c>
      <c r="N217" s="178">
        <v>0</v>
      </c>
      <c r="O217" s="181" t="s">
        <v>882</v>
      </c>
      <c r="P217" s="180">
        <v>0</v>
      </c>
      <c r="Q217" s="182">
        <v>0</v>
      </c>
      <c r="R217" s="183" t="s">
        <v>883</v>
      </c>
      <c r="S217" s="174" t="s">
        <v>1009</v>
      </c>
      <c r="T217" s="44">
        <v>1</v>
      </c>
      <c r="U217" s="184">
        <v>61</v>
      </c>
      <c r="V217" s="185">
        <v>15</v>
      </c>
      <c r="W217" s="186" t="s">
        <v>883</v>
      </c>
      <c r="X217" s="187" t="s">
        <v>883</v>
      </c>
      <c r="Y217" s="188">
        <v>0</v>
      </c>
      <c r="Z217" s="188" t="s">
        <v>883</v>
      </c>
      <c r="AA217" s="187" t="s">
        <v>883</v>
      </c>
      <c r="AB217" s="188">
        <v>0</v>
      </c>
      <c r="AC217" s="188"/>
      <c r="AD217" s="189" t="s">
        <v>883</v>
      </c>
      <c r="AE217" s="190" t="s">
        <v>883</v>
      </c>
      <c r="AF217" s="180">
        <v>22</v>
      </c>
      <c r="AG217" s="183">
        <v>44526</v>
      </c>
      <c r="AH217" s="183" t="s">
        <v>883</v>
      </c>
      <c r="AI217" s="183">
        <v>45096</v>
      </c>
      <c r="AJ217" s="183" t="s">
        <v>883</v>
      </c>
      <c r="AK217" s="174"/>
    </row>
    <row r="218" spans="1:37" x14ac:dyDescent="0.3">
      <c r="A218" s="173">
        <v>25756</v>
      </c>
      <c r="B218" s="174" t="s">
        <v>1207</v>
      </c>
      <c r="C218" s="175" t="s">
        <v>256</v>
      </c>
      <c r="D218" s="176">
        <v>66.25</v>
      </c>
      <c r="E218" s="174"/>
      <c r="F218" s="174"/>
      <c r="G218" s="174" t="s">
        <v>883</v>
      </c>
      <c r="H218" s="177">
        <v>116</v>
      </c>
      <c r="I218" s="24">
        <v>103003</v>
      </c>
      <c r="J218" s="178">
        <v>66.25</v>
      </c>
      <c r="K218" s="177">
        <v>58</v>
      </c>
      <c r="L218" s="179">
        <v>15.123859191655802</v>
      </c>
      <c r="M218" s="180">
        <v>0</v>
      </c>
      <c r="N218" s="178">
        <v>0</v>
      </c>
      <c r="O218" s="181" t="s">
        <v>882</v>
      </c>
      <c r="P218" s="180">
        <v>0</v>
      </c>
      <c r="Q218" s="182">
        <v>0</v>
      </c>
      <c r="R218" s="183" t="s">
        <v>883</v>
      </c>
      <c r="S218" s="174" t="s">
        <v>1009</v>
      </c>
      <c r="T218" s="44">
        <v>1</v>
      </c>
      <c r="U218" s="184">
        <v>61</v>
      </c>
      <c r="V218" s="185">
        <v>15</v>
      </c>
      <c r="W218" s="186" t="s">
        <v>883</v>
      </c>
      <c r="X218" s="187" t="s">
        <v>883</v>
      </c>
      <c r="Y218" s="188">
        <v>0</v>
      </c>
      <c r="Z218" s="188" t="s">
        <v>883</v>
      </c>
      <c r="AA218" s="187" t="s">
        <v>883</v>
      </c>
      <c r="AB218" s="188">
        <v>0</v>
      </c>
      <c r="AC218" s="188"/>
      <c r="AD218" s="189" t="s">
        <v>883</v>
      </c>
      <c r="AE218" s="190" t="s">
        <v>883</v>
      </c>
      <c r="AF218" s="180">
        <v>30</v>
      </c>
      <c r="AG218" s="183">
        <v>44610</v>
      </c>
      <c r="AH218" s="183" t="s">
        <v>883</v>
      </c>
      <c r="AI218" s="183">
        <v>44607</v>
      </c>
      <c r="AJ218" s="183" t="s">
        <v>883</v>
      </c>
      <c r="AK218" s="174"/>
    </row>
    <row r="219" spans="1:37" x14ac:dyDescent="0.3">
      <c r="A219" s="173">
        <v>26215</v>
      </c>
      <c r="B219" s="174" t="s">
        <v>1208</v>
      </c>
      <c r="C219" s="175" t="s">
        <v>256</v>
      </c>
      <c r="D219" s="176">
        <v>147.9</v>
      </c>
      <c r="E219" s="174"/>
      <c r="F219" s="174"/>
      <c r="G219" s="174" t="s">
        <v>883</v>
      </c>
      <c r="H219" s="177">
        <v>26</v>
      </c>
      <c r="I219" s="24">
        <v>103003</v>
      </c>
      <c r="J219" s="178">
        <v>147.9</v>
      </c>
      <c r="K219" s="177">
        <v>96</v>
      </c>
      <c r="L219" s="179">
        <v>3.25</v>
      </c>
      <c r="M219" s="180">
        <v>50</v>
      </c>
      <c r="N219" s="178">
        <v>7395</v>
      </c>
      <c r="O219" s="181" t="s">
        <v>882</v>
      </c>
      <c r="P219" s="180">
        <v>0</v>
      </c>
      <c r="Q219" s="182">
        <v>0</v>
      </c>
      <c r="R219" s="183" t="s">
        <v>883</v>
      </c>
      <c r="S219" s="174" t="s">
        <v>1209</v>
      </c>
      <c r="T219" s="44">
        <v>1</v>
      </c>
      <c r="U219" s="184">
        <v>74</v>
      </c>
      <c r="V219" s="185">
        <v>9</v>
      </c>
      <c r="W219" s="186">
        <v>2769</v>
      </c>
      <c r="X219" s="187">
        <v>2023</v>
      </c>
      <c r="Y219" s="188">
        <v>20</v>
      </c>
      <c r="Z219" s="188" t="s">
        <v>883</v>
      </c>
      <c r="AA219" s="187" t="s">
        <v>883</v>
      </c>
      <c r="AB219" s="188">
        <v>0</v>
      </c>
      <c r="AC219" s="188"/>
      <c r="AD219" s="189" t="s">
        <v>883</v>
      </c>
      <c r="AE219" s="190" t="s">
        <v>883</v>
      </c>
      <c r="AF219" s="180">
        <v>32</v>
      </c>
      <c r="AG219" s="183">
        <v>44083</v>
      </c>
      <c r="AH219" s="183" t="s">
        <v>883</v>
      </c>
      <c r="AI219" s="183">
        <v>44040</v>
      </c>
      <c r="AJ219" s="183" t="s">
        <v>883</v>
      </c>
      <c r="AK219" s="174"/>
    </row>
    <row r="220" spans="1:37" x14ac:dyDescent="0.3">
      <c r="A220" s="173">
        <v>26282</v>
      </c>
      <c r="B220" s="174" t="s">
        <v>1210</v>
      </c>
      <c r="C220" s="175" t="s">
        <v>256</v>
      </c>
      <c r="D220" s="176">
        <v>297</v>
      </c>
      <c r="E220" s="174"/>
      <c r="F220" s="174"/>
      <c r="G220" s="174" t="s">
        <v>883</v>
      </c>
      <c r="H220" s="177">
        <v>19</v>
      </c>
      <c r="I220" s="24">
        <v>103003</v>
      </c>
      <c r="J220" s="178">
        <v>297</v>
      </c>
      <c r="K220" s="177"/>
      <c r="L220" s="179">
        <v>0</v>
      </c>
      <c r="M220" s="180">
        <v>0</v>
      </c>
      <c r="N220" s="178">
        <v>0</v>
      </c>
      <c r="O220" s="181" t="s">
        <v>882</v>
      </c>
      <c r="P220" s="180">
        <v>0</v>
      </c>
      <c r="Q220" s="182">
        <v>0</v>
      </c>
      <c r="R220" s="183" t="s">
        <v>883</v>
      </c>
      <c r="S220" s="174" t="s">
        <v>1211</v>
      </c>
      <c r="T220" s="44">
        <v>1</v>
      </c>
      <c r="U220" s="184">
        <v>51</v>
      </c>
      <c r="V220" s="185">
        <v>26</v>
      </c>
      <c r="W220" s="186" t="s">
        <v>883</v>
      </c>
      <c r="X220" s="187" t="s">
        <v>883</v>
      </c>
      <c r="Y220" s="188">
        <v>0</v>
      </c>
      <c r="Z220" s="188" t="s">
        <v>883</v>
      </c>
      <c r="AA220" s="187" t="s">
        <v>883</v>
      </c>
      <c r="AB220" s="188">
        <v>0</v>
      </c>
      <c r="AC220" s="188"/>
      <c r="AD220" s="189" t="s">
        <v>883</v>
      </c>
      <c r="AE220" s="190" t="s">
        <v>883</v>
      </c>
      <c r="AF220" s="180">
        <v>0</v>
      </c>
      <c r="AG220" s="183">
        <v>42381</v>
      </c>
      <c r="AH220" s="183" t="s">
        <v>883</v>
      </c>
      <c r="AI220" s="183">
        <v>42349</v>
      </c>
      <c r="AJ220" s="183" t="s">
        <v>883</v>
      </c>
      <c r="AK220" s="174"/>
    </row>
    <row r="221" spans="1:37" x14ac:dyDescent="0.3">
      <c r="A221" s="173">
        <v>26504</v>
      </c>
      <c r="B221" s="174" t="s">
        <v>1212</v>
      </c>
      <c r="C221" s="175" t="s">
        <v>256</v>
      </c>
      <c r="D221" s="176">
        <v>14.2</v>
      </c>
      <c r="E221" s="174"/>
      <c r="F221" s="174"/>
      <c r="G221" s="174" t="s">
        <v>883</v>
      </c>
      <c r="H221" s="177">
        <v>750</v>
      </c>
      <c r="I221" s="24">
        <v>103003</v>
      </c>
      <c r="J221" s="178">
        <v>14.2</v>
      </c>
      <c r="K221" s="177"/>
      <c r="L221" s="179">
        <v>0</v>
      </c>
      <c r="M221" s="180">
        <v>0</v>
      </c>
      <c r="N221" s="178">
        <v>0</v>
      </c>
      <c r="O221" s="181" t="s">
        <v>882</v>
      </c>
      <c r="P221" s="180">
        <v>0</v>
      </c>
      <c r="Q221" s="182">
        <v>0</v>
      </c>
      <c r="R221" s="183" t="s">
        <v>883</v>
      </c>
      <c r="S221" s="174" t="s">
        <v>1213</v>
      </c>
      <c r="T221" s="44">
        <v>1</v>
      </c>
      <c r="U221" s="184">
        <v>78</v>
      </c>
      <c r="V221" s="185">
        <v>6</v>
      </c>
      <c r="W221" s="186" t="s">
        <v>883</v>
      </c>
      <c r="X221" s="187" t="s">
        <v>883</v>
      </c>
      <c r="Y221" s="188">
        <v>0</v>
      </c>
      <c r="Z221" s="188" t="s">
        <v>883</v>
      </c>
      <c r="AA221" s="187" t="s">
        <v>883</v>
      </c>
      <c r="AB221" s="188">
        <v>0</v>
      </c>
      <c r="AC221" s="188"/>
      <c r="AD221" s="189" t="s">
        <v>883</v>
      </c>
      <c r="AE221" s="190" t="s">
        <v>883</v>
      </c>
      <c r="AF221" s="180">
        <v>0</v>
      </c>
      <c r="AG221" s="183">
        <v>43777</v>
      </c>
      <c r="AH221" s="183" t="s">
        <v>883</v>
      </c>
      <c r="AI221" s="183">
        <v>43840</v>
      </c>
      <c r="AJ221" s="183" t="s">
        <v>883</v>
      </c>
      <c r="AK221" s="174"/>
    </row>
    <row r="222" spans="1:37" x14ac:dyDescent="0.3">
      <c r="A222" s="173">
        <v>26506</v>
      </c>
      <c r="B222" s="174" t="s">
        <v>1214</v>
      </c>
      <c r="C222" s="175" t="s">
        <v>256</v>
      </c>
      <c r="D222" s="176">
        <v>20.5</v>
      </c>
      <c r="E222" s="174"/>
      <c r="F222" s="174"/>
      <c r="G222" s="174" t="s">
        <v>883</v>
      </c>
      <c r="H222" s="177">
        <v>750</v>
      </c>
      <c r="I222" s="24">
        <v>103003</v>
      </c>
      <c r="J222" s="178">
        <v>20.5</v>
      </c>
      <c r="K222" s="177"/>
      <c r="L222" s="179">
        <v>0</v>
      </c>
      <c r="M222" s="180">
        <v>0</v>
      </c>
      <c r="N222" s="178">
        <v>0</v>
      </c>
      <c r="O222" s="181" t="s">
        <v>882</v>
      </c>
      <c r="P222" s="180">
        <v>0</v>
      </c>
      <c r="Q222" s="182">
        <v>0</v>
      </c>
      <c r="R222" s="183" t="s">
        <v>883</v>
      </c>
      <c r="S222" s="174" t="s">
        <v>1213</v>
      </c>
      <c r="T222" s="44">
        <v>1</v>
      </c>
      <c r="U222" s="184">
        <v>78</v>
      </c>
      <c r="V222" s="185">
        <v>6</v>
      </c>
      <c r="W222" s="186" t="s">
        <v>883</v>
      </c>
      <c r="X222" s="187" t="s">
        <v>883</v>
      </c>
      <c r="Y222" s="188">
        <v>0</v>
      </c>
      <c r="Z222" s="188" t="s">
        <v>883</v>
      </c>
      <c r="AA222" s="187" t="s">
        <v>883</v>
      </c>
      <c r="AB222" s="188">
        <v>0</v>
      </c>
      <c r="AC222" s="188"/>
      <c r="AD222" s="189" t="s">
        <v>883</v>
      </c>
      <c r="AE222" s="190" t="s">
        <v>883</v>
      </c>
      <c r="AF222" s="180">
        <v>0</v>
      </c>
      <c r="AG222" s="183">
        <v>43777</v>
      </c>
      <c r="AH222" s="183" t="s">
        <v>883</v>
      </c>
      <c r="AI222" s="183">
        <v>43840</v>
      </c>
      <c r="AJ222" s="183" t="s">
        <v>883</v>
      </c>
      <c r="AK222" s="174"/>
    </row>
    <row r="223" spans="1:37" x14ac:dyDescent="0.3">
      <c r="A223" s="173">
        <v>27136</v>
      </c>
      <c r="B223" s="174" t="s">
        <v>1215</v>
      </c>
      <c r="C223" s="175" t="s">
        <v>256</v>
      </c>
      <c r="D223" s="176">
        <v>7.0000000000000007E-2</v>
      </c>
      <c r="E223" s="174" t="s">
        <v>1216</v>
      </c>
      <c r="F223" s="174" t="s">
        <v>1217</v>
      </c>
      <c r="G223" s="174" t="s">
        <v>890</v>
      </c>
      <c r="H223" s="177">
        <v>45286</v>
      </c>
      <c r="I223" s="24">
        <v>103003</v>
      </c>
      <c r="J223" s="178">
        <v>7.0000000000000007E-2</v>
      </c>
      <c r="K223" s="177">
        <v>140546</v>
      </c>
      <c r="L223" s="179">
        <v>3.866576390199254</v>
      </c>
      <c r="M223" s="180">
        <v>95260.04</v>
      </c>
      <c r="N223" s="178">
        <v>6668.2028</v>
      </c>
      <c r="O223" s="181" t="s">
        <v>891</v>
      </c>
      <c r="P223" s="180">
        <v>275000</v>
      </c>
      <c r="Q223" s="182">
        <v>19250</v>
      </c>
      <c r="R223" s="183">
        <v>45377</v>
      </c>
      <c r="S223" s="174" t="s">
        <v>1218</v>
      </c>
      <c r="T223" s="44">
        <v>1</v>
      </c>
      <c r="U223" s="184">
        <v>62</v>
      </c>
      <c r="V223" s="185">
        <v>10</v>
      </c>
      <c r="W223" s="186" t="s">
        <v>883</v>
      </c>
      <c r="X223" s="187" t="s">
        <v>883</v>
      </c>
      <c r="Y223" s="188">
        <v>0</v>
      </c>
      <c r="Z223" s="188" t="s">
        <v>883</v>
      </c>
      <c r="AA223" s="187" t="s">
        <v>883</v>
      </c>
      <c r="AB223" s="188">
        <v>0</v>
      </c>
      <c r="AC223" s="188"/>
      <c r="AD223" s="189" t="s">
        <v>883</v>
      </c>
      <c r="AE223" s="190" t="s">
        <v>883</v>
      </c>
      <c r="AF223" s="180">
        <v>46848</v>
      </c>
      <c r="AG223" s="183">
        <v>45097</v>
      </c>
      <c r="AH223" s="183" t="s">
        <v>883</v>
      </c>
      <c r="AI223" s="183">
        <v>45064</v>
      </c>
      <c r="AJ223" s="183" t="s">
        <v>883</v>
      </c>
      <c r="AK223" s="174"/>
    </row>
    <row r="224" spans="1:37" x14ac:dyDescent="0.3">
      <c r="A224" s="173">
        <v>27137</v>
      </c>
      <c r="B224" s="174" t="s">
        <v>1219</v>
      </c>
      <c r="C224" s="175" t="s">
        <v>569</v>
      </c>
      <c r="D224" s="176">
        <v>1.49</v>
      </c>
      <c r="E224" s="174"/>
      <c r="F224" s="174"/>
      <c r="G224" s="174" t="s">
        <v>883</v>
      </c>
      <c r="H224" s="177">
        <v>10030</v>
      </c>
      <c r="I224" s="24">
        <v>103003</v>
      </c>
      <c r="J224" s="178">
        <v>1.49</v>
      </c>
      <c r="K224" s="177">
        <v>3658</v>
      </c>
      <c r="L224" s="179">
        <v>20.874089490114464</v>
      </c>
      <c r="M224" s="180">
        <v>0</v>
      </c>
      <c r="N224" s="178">
        <v>0</v>
      </c>
      <c r="O224" s="181" t="s">
        <v>882</v>
      </c>
      <c r="P224" s="180">
        <v>0</v>
      </c>
      <c r="Q224" s="182">
        <v>0</v>
      </c>
      <c r="R224" s="183" t="s">
        <v>883</v>
      </c>
      <c r="S224" s="174" t="s">
        <v>1135</v>
      </c>
      <c r="T224" s="44">
        <v>1</v>
      </c>
      <c r="U224" s="184">
        <v>57</v>
      </c>
      <c r="V224" s="185">
        <v>2</v>
      </c>
      <c r="W224" s="186" t="s">
        <v>883</v>
      </c>
      <c r="X224" s="187" t="s">
        <v>883</v>
      </c>
      <c r="Y224" s="188">
        <v>0</v>
      </c>
      <c r="Z224" s="188" t="s">
        <v>883</v>
      </c>
      <c r="AA224" s="187" t="s">
        <v>883</v>
      </c>
      <c r="AB224" s="188">
        <v>0</v>
      </c>
      <c r="AC224" s="188"/>
      <c r="AD224" s="189" t="s">
        <v>883</v>
      </c>
      <c r="AE224" s="190" t="s">
        <v>883</v>
      </c>
      <c r="AF224" s="180">
        <v>1922</v>
      </c>
      <c r="AG224" s="183">
        <v>44133</v>
      </c>
      <c r="AH224" s="183" t="s">
        <v>883</v>
      </c>
      <c r="AI224" s="183">
        <v>44951</v>
      </c>
      <c r="AJ224" s="183" t="s">
        <v>883</v>
      </c>
      <c r="AK224" s="174"/>
    </row>
    <row r="225" spans="1:37" x14ac:dyDescent="0.3">
      <c r="A225" s="173">
        <v>27138</v>
      </c>
      <c r="B225" s="174" t="s">
        <v>1220</v>
      </c>
      <c r="C225" s="175" t="s">
        <v>569</v>
      </c>
      <c r="D225" s="176">
        <v>0.48</v>
      </c>
      <c r="E225" s="174"/>
      <c r="F225" s="174"/>
      <c r="G225" s="174" t="s">
        <v>883</v>
      </c>
      <c r="H225" s="177">
        <v>8964</v>
      </c>
      <c r="I225" s="24">
        <v>103003</v>
      </c>
      <c r="J225" s="178">
        <v>0.48</v>
      </c>
      <c r="K225" s="177">
        <v>3631</v>
      </c>
      <c r="L225" s="179">
        <v>18.394106662836268</v>
      </c>
      <c r="M225" s="180">
        <v>0</v>
      </c>
      <c r="N225" s="178">
        <v>0</v>
      </c>
      <c r="O225" s="181" t="s">
        <v>882</v>
      </c>
      <c r="P225" s="180">
        <v>0</v>
      </c>
      <c r="Q225" s="182">
        <v>0</v>
      </c>
      <c r="R225" s="183" t="s">
        <v>883</v>
      </c>
      <c r="S225" s="174" t="s">
        <v>1135</v>
      </c>
      <c r="T225" s="44">
        <v>1</v>
      </c>
      <c r="U225" s="184">
        <v>57</v>
      </c>
      <c r="V225" s="185">
        <v>2</v>
      </c>
      <c r="W225" s="186" t="s">
        <v>883</v>
      </c>
      <c r="X225" s="187" t="s">
        <v>883</v>
      </c>
      <c r="Y225" s="188">
        <v>0</v>
      </c>
      <c r="Z225" s="188" t="s">
        <v>883</v>
      </c>
      <c r="AA225" s="187" t="s">
        <v>883</v>
      </c>
      <c r="AB225" s="188">
        <v>0</v>
      </c>
      <c r="AC225" s="188"/>
      <c r="AD225" s="189" t="s">
        <v>883</v>
      </c>
      <c r="AE225" s="190" t="s">
        <v>883</v>
      </c>
      <c r="AF225" s="180">
        <v>1950</v>
      </c>
      <c r="AG225" s="183">
        <v>44133</v>
      </c>
      <c r="AH225" s="183" t="s">
        <v>883</v>
      </c>
      <c r="AI225" s="183">
        <v>44126</v>
      </c>
      <c r="AJ225" s="183" t="s">
        <v>883</v>
      </c>
      <c r="AK225" s="174"/>
    </row>
    <row r="226" spans="1:37" x14ac:dyDescent="0.3">
      <c r="A226" s="173">
        <v>27139</v>
      </c>
      <c r="B226" s="174" t="s">
        <v>1221</v>
      </c>
      <c r="C226" s="175" t="s">
        <v>569</v>
      </c>
      <c r="D226" s="176">
        <v>1.49</v>
      </c>
      <c r="E226" s="174"/>
      <c r="F226" s="174"/>
      <c r="G226" s="174" t="s">
        <v>883</v>
      </c>
      <c r="H226" s="177">
        <v>8768</v>
      </c>
      <c r="I226" s="24">
        <v>103003</v>
      </c>
      <c r="J226" s="178">
        <v>1.49</v>
      </c>
      <c r="K226" s="177">
        <v>3694</v>
      </c>
      <c r="L226" s="179">
        <v>18.178425559264404</v>
      </c>
      <c r="M226" s="180">
        <v>0</v>
      </c>
      <c r="N226" s="178">
        <v>0</v>
      </c>
      <c r="O226" s="181" t="s">
        <v>882</v>
      </c>
      <c r="P226" s="180">
        <v>0</v>
      </c>
      <c r="Q226" s="182">
        <v>0</v>
      </c>
      <c r="R226" s="183" t="s">
        <v>883</v>
      </c>
      <c r="S226" s="174" t="s">
        <v>1135</v>
      </c>
      <c r="T226" s="44">
        <v>1</v>
      </c>
      <c r="U226" s="184">
        <v>57</v>
      </c>
      <c r="V226" s="185">
        <v>2</v>
      </c>
      <c r="W226" s="186" t="s">
        <v>883</v>
      </c>
      <c r="X226" s="187" t="s">
        <v>883</v>
      </c>
      <c r="Y226" s="188">
        <v>0</v>
      </c>
      <c r="Z226" s="188" t="s">
        <v>883</v>
      </c>
      <c r="AA226" s="187" t="s">
        <v>883</v>
      </c>
      <c r="AB226" s="188">
        <v>0</v>
      </c>
      <c r="AC226" s="188"/>
      <c r="AD226" s="189" t="s">
        <v>883</v>
      </c>
      <c r="AE226" s="190" t="s">
        <v>883</v>
      </c>
      <c r="AF226" s="180">
        <v>1930</v>
      </c>
      <c r="AG226" s="183">
        <v>44133</v>
      </c>
      <c r="AH226" s="183" t="s">
        <v>883</v>
      </c>
      <c r="AI226" s="183">
        <v>44951</v>
      </c>
      <c r="AJ226" s="183" t="s">
        <v>883</v>
      </c>
      <c r="AK226" s="174"/>
    </row>
    <row r="227" spans="1:37" x14ac:dyDescent="0.3">
      <c r="A227" s="173">
        <v>27140</v>
      </c>
      <c r="B227" s="174" t="s">
        <v>1222</v>
      </c>
      <c r="C227" s="175" t="s">
        <v>569</v>
      </c>
      <c r="D227" s="176">
        <v>1.6</v>
      </c>
      <c r="E227" s="174"/>
      <c r="F227" s="174"/>
      <c r="G227" s="174" t="s">
        <v>883</v>
      </c>
      <c r="H227" s="177">
        <v>5196</v>
      </c>
      <c r="I227" s="24">
        <v>103003</v>
      </c>
      <c r="J227" s="178">
        <v>1.6</v>
      </c>
      <c r="K227" s="177">
        <v>4376</v>
      </c>
      <c r="L227" s="179">
        <v>8.9151210473036731</v>
      </c>
      <c r="M227" s="180">
        <v>1797.96</v>
      </c>
      <c r="N227" s="178">
        <v>2876.7359999999999</v>
      </c>
      <c r="O227" s="181" t="s">
        <v>882</v>
      </c>
      <c r="P227" s="180">
        <v>0</v>
      </c>
      <c r="Q227" s="182">
        <v>0</v>
      </c>
      <c r="R227" s="183" t="s">
        <v>883</v>
      </c>
      <c r="S227" s="174" t="s">
        <v>1135</v>
      </c>
      <c r="T227" s="44">
        <v>1</v>
      </c>
      <c r="U227" s="184">
        <v>57</v>
      </c>
      <c r="V227" s="185">
        <v>2</v>
      </c>
      <c r="W227" s="186" t="s">
        <v>883</v>
      </c>
      <c r="X227" s="187" t="s">
        <v>883</v>
      </c>
      <c r="Y227" s="188">
        <v>0</v>
      </c>
      <c r="Z227" s="188" t="s">
        <v>883</v>
      </c>
      <c r="AA227" s="187" t="s">
        <v>883</v>
      </c>
      <c r="AB227" s="188">
        <v>0</v>
      </c>
      <c r="AC227" s="188"/>
      <c r="AD227" s="189" t="s">
        <v>883</v>
      </c>
      <c r="AE227" s="190" t="s">
        <v>883</v>
      </c>
      <c r="AF227" s="180">
        <v>2332</v>
      </c>
      <c r="AG227" s="183">
        <v>44133</v>
      </c>
      <c r="AH227" s="183" t="s">
        <v>883</v>
      </c>
      <c r="AI227" s="183">
        <v>45083</v>
      </c>
      <c r="AJ227" s="183" t="s">
        <v>883</v>
      </c>
      <c r="AK227" s="174"/>
    </row>
    <row r="228" spans="1:37" x14ac:dyDescent="0.3">
      <c r="A228" s="173">
        <v>27287</v>
      </c>
      <c r="B228" s="174" t="s">
        <v>1223</v>
      </c>
      <c r="C228" s="175" t="s">
        <v>294</v>
      </c>
      <c r="D228" s="176">
        <v>40</v>
      </c>
      <c r="E228" s="174"/>
      <c r="F228" s="174"/>
      <c r="G228" s="174" t="s">
        <v>883</v>
      </c>
      <c r="H228" s="177">
        <v>1114</v>
      </c>
      <c r="I228" s="24">
        <v>103003</v>
      </c>
      <c r="J228" s="178">
        <v>40</v>
      </c>
      <c r="K228" s="177">
        <v>105</v>
      </c>
      <c r="L228" s="179">
        <v>121.48309705561614</v>
      </c>
      <c r="M228" s="180">
        <v>0</v>
      </c>
      <c r="N228" s="178">
        <v>0</v>
      </c>
      <c r="O228" s="181" t="s">
        <v>882</v>
      </c>
      <c r="P228" s="180">
        <v>0</v>
      </c>
      <c r="Q228" s="182">
        <v>0</v>
      </c>
      <c r="R228" s="183" t="s">
        <v>883</v>
      </c>
      <c r="S228" s="174" t="s">
        <v>1224</v>
      </c>
      <c r="T228" s="44">
        <v>1</v>
      </c>
      <c r="U228" s="184">
        <v>51</v>
      </c>
      <c r="V228" s="185">
        <v>13</v>
      </c>
      <c r="W228" s="186" t="s">
        <v>883</v>
      </c>
      <c r="X228" s="187" t="s">
        <v>883</v>
      </c>
      <c r="Y228" s="188">
        <v>0</v>
      </c>
      <c r="Z228" s="188" t="s">
        <v>883</v>
      </c>
      <c r="AA228" s="187" t="s">
        <v>883</v>
      </c>
      <c r="AB228" s="188">
        <v>0</v>
      </c>
      <c r="AC228" s="188"/>
      <c r="AD228" s="189" t="s">
        <v>883</v>
      </c>
      <c r="AE228" s="190" t="s">
        <v>883</v>
      </c>
      <c r="AF228" s="180">
        <v>36</v>
      </c>
      <c r="AG228" s="183">
        <v>44495</v>
      </c>
      <c r="AH228" s="183" t="s">
        <v>883</v>
      </c>
      <c r="AI228" s="183">
        <v>44483</v>
      </c>
      <c r="AJ228" s="183" t="s">
        <v>883</v>
      </c>
      <c r="AK228" s="174"/>
    </row>
    <row r="229" spans="1:37" x14ac:dyDescent="0.3">
      <c r="A229" s="173">
        <v>27353</v>
      </c>
      <c r="B229" s="174" t="s">
        <v>1225</v>
      </c>
      <c r="C229" s="175" t="s">
        <v>411</v>
      </c>
      <c r="D229" s="176">
        <v>2.25</v>
      </c>
      <c r="E229" s="174"/>
      <c r="F229" s="174"/>
      <c r="G229" s="174" t="s">
        <v>883</v>
      </c>
      <c r="H229" s="177">
        <v>0</v>
      </c>
      <c r="I229" s="24">
        <v>103003</v>
      </c>
      <c r="J229" s="178">
        <v>2.25</v>
      </c>
      <c r="K229" s="177">
        <v>376</v>
      </c>
      <c r="L229" s="179">
        <v>0</v>
      </c>
      <c r="M229" s="180">
        <v>338.96</v>
      </c>
      <c r="N229" s="178">
        <v>762.66</v>
      </c>
      <c r="O229" s="181" t="s">
        <v>882</v>
      </c>
      <c r="P229" s="180">
        <v>0</v>
      </c>
      <c r="Q229" s="182">
        <v>0</v>
      </c>
      <c r="R229" s="183" t="s">
        <v>883</v>
      </c>
      <c r="S229" s="174" t="s">
        <v>961</v>
      </c>
      <c r="T229" s="44">
        <v>1</v>
      </c>
      <c r="U229" s="184">
        <v>51</v>
      </c>
      <c r="V229" s="185">
        <v>3</v>
      </c>
      <c r="W229" s="186">
        <v>2569</v>
      </c>
      <c r="X229" s="187">
        <v>2023</v>
      </c>
      <c r="Y229" s="188">
        <v>100</v>
      </c>
      <c r="Z229" s="188" t="s">
        <v>883</v>
      </c>
      <c r="AA229" s="187" t="s">
        <v>883</v>
      </c>
      <c r="AB229" s="188">
        <v>0</v>
      </c>
      <c r="AC229" s="188"/>
      <c r="AD229" s="189" t="s">
        <v>883</v>
      </c>
      <c r="AE229" s="190" t="s">
        <v>883</v>
      </c>
      <c r="AF229" s="180">
        <v>146</v>
      </c>
      <c r="AG229" s="183">
        <v>44550</v>
      </c>
      <c r="AH229" s="183" t="s">
        <v>883</v>
      </c>
      <c r="AI229" s="183">
        <v>45121</v>
      </c>
      <c r="AJ229" s="183" t="s">
        <v>883</v>
      </c>
      <c r="AK229" s="174"/>
    </row>
    <row r="230" spans="1:37" x14ac:dyDescent="0.3">
      <c r="A230" s="173">
        <v>27760</v>
      </c>
      <c r="B230" s="174" t="s">
        <v>1226</v>
      </c>
      <c r="C230" s="175" t="s">
        <v>256</v>
      </c>
      <c r="D230" s="176">
        <v>56</v>
      </c>
      <c r="E230" s="174"/>
      <c r="F230" s="174"/>
      <c r="G230" s="174" t="s">
        <v>883</v>
      </c>
      <c r="H230" s="177">
        <v>28</v>
      </c>
      <c r="I230" s="24">
        <v>103003</v>
      </c>
      <c r="J230" s="178">
        <v>56</v>
      </c>
      <c r="K230" s="177">
        <v>44</v>
      </c>
      <c r="L230" s="179">
        <v>7.1428571428571432</v>
      </c>
      <c r="M230" s="180">
        <v>0</v>
      </c>
      <c r="N230" s="178">
        <v>0</v>
      </c>
      <c r="O230" s="181" t="s">
        <v>882</v>
      </c>
      <c r="P230" s="180">
        <v>0</v>
      </c>
      <c r="Q230" s="182">
        <v>0</v>
      </c>
      <c r="R230" s="183" t="s">
        <v>883</v>
      </c>
      <c r="S230" s="174" t="s">
        <v>1009</v>
      </c>
      <c r="T230" s="44">
        <v>1</v>
      </c>
      <c r="U230" s="184">
        <v>61</v>
      </c>
      <c r="V230" s="185">
        <v>15</v>
      </c>
      <c r="W230" s="186">
        <v>2555</v>
      </c>
      <c r="X230" s="187">
        <v>2023</v>
      </c>
      <c r="Y230" s="188">
        <v>20</v>
      </c>
      <c r="Z230" s="188" t="s">
        <v>883</v>
      </c>
      <c r="AA230" s="187" t="s">
        <v>883</v>
      </c>
      <c r="AB230" s="188">
        <v>0</v>
      </c>
      <c r="AC230" s="188"/>
      <c r="AD230" s="189" t="s">
        <v>883</v>
      </c>
      <c r="AE230" s="190" t="s">
        <v>883</v>
      </c>
      <c r="AF230" s="180">
        <v>16</v>
      </c>
      <c r="AG230" s="183">
        <v>44236</v>
      </c>
      <c r="AH230" s="183" t="s">
        <v>883</v>
      </c>
      <c r="AI230" s="183">
        <v>44286</v>
      </c>
      <c r="AJ230" s="183" t="s">
        <v>883</v>
      </c>
      <c r="AK230" s="174"/>
    </row>
    <row r="231" spans="1:37" x14ac:dyDescent="0.3">
      <c r="A231" s="173">
        <v>27761</v>
      </c>
      <c r="B231" s="174" t="s">
        <v>1227</v>
      </c>
      <c r="C231" s="175" t="s">
        <v>294</v>
      </c>
      <c r="D231" s="176">
        <v>27.76</v>
      </c>
      <c r="E231" s="174"/>
      <c r="F231" s="174"/>
      <c r="G231" s="174" t="s">
        <v>883</v>
      </c>
      <c r="H231" s="177">
        <v>52</v>
      </c>
      <c r="I231" s="24">
        <v>103003</v>
      </c>
      <c r="J231" s="178">
        <v>27.76</v>
      </c>
      <c r="K231" s="177">
        <v>3</v>
      </c>
      <c r="L231" s="179">
        <v>208</v>
      </c>
      <c r="M231" s="180">
        <v>0</v>
      </c>
      <c r="N231" s="178">
        <v>0</v>
      </c>
      <c r="O231" s="181" t="s">
        <v>882</v>
      </c>
      <c r="P231" s="180">
        <v>0</v>
      </c>
      <c r="Q231" s="182">
        <v>0</v>
      </c>
      <c r="R231" s="183" t="s">
        <v>883</v>
      </c>
      <c r="S231" s="174" t="s">
        <v>1039</v>
      </c>
      <c r="T231" s="44">
        <v>1</v>
      </c>
      <c r="U231" s="184">
        <v>61</v>
      </c>
      <c r="V231" s="185">
        <v>2</v>
      </c>
      <c r="W231" s="186" t="s">
        <v>883</v>
      </c>
      <c r="X231" s="187" t="s">
        <v>883</v>
      </c>
      <c r="Y231" s="188">
        <v>0</v>
      </c>
      <c r="Z231" s="188" t="s">
        <v>883</v>
      </c>
      <c r="AA231" s="187" t="s">
        <v>883</v>
      </c>
      <c r="AB231" s="188">
        <v>0</v>
      </c>
      <c r="AC231" s="188"/>
      <c r="AD231" s="189" t="s">
        <v>883</v>
      </c>
      <c r="AE231" s="190" t="s">
        <v>883</v>
      </c>
      <c r="AF231" s="180">
        <v>0</v>
      </c>
      <c r="AG231" s="183">
        <v>42647</v>
      </c>
      <c r="AH231" s="183" t="s">
        <v>883</v>
      </c>
      <c r="AI231" s="183">
        <v>42635</v>
      </c>
      <c r="AJ231" s="183" t="s">
        <v>883</v>
      </c>
      <c r="AK231" s="174"/>
    </row>
    <row r="232" spans="1:37" x14ac:dyDescent="0.3">
      <c r="A232" s="173">
        <v>27764</v>
      </c>
      <c r="B232" s="174" t="s">
        <v>1228</v>
      </c>
      <c r="C232" s="175" t="s">
        <v>331</v>
      </c>
      <c r="D232" s="176">
        <v>2.58</v>
      </c>
      <c r="E232" s="174"/>
      <c r="F232" s="174"/>
      <c r="G232" s="174" t="s">
        <v>883</v>
      </c>
      <c r="H232" s="177">
        <v>560</v>
      </c>
      <c r="I232" s="24">
        <v>103003</v>
      </c>
      <c r="J232" s="178">
        <v>2.58</v>
      </c>
      <c r="K232" s="177"/>
      <c r="L232" s="179">
        <v>0</v>
      </c>
      <c r="M232" s="180">
        <v>0</v>
      </c>
      <c r="N232" s="178">
        <v>0</v>
      </c>
      <c r="O232" s="181" t="s">
        <v>882</v>
      </c>
      <c r="P232" s="180">
        <v>0</v>
      </c>
      <c r="Q232" s="182">
        <v>0</v>
      </c>
      <c r="R232" s="183" t="s">
        <v>883</v>
      </c>
      <c r="S232" s="174" t="s">
        <v>1039</v>
      </c>
      <c r="T232" s="44">
        <v>1</v>
      </c>
      <c r="U232" s="184">
        <v>61</v>
      </c>
      <c r="V232" s="185">
        <v>2</v>
      </c>
      <c r="W232" s="186" t="s">
        <v>883</v>
      </c>
      <c r="X232" s="187" t="s">
        <v>883</v>
      </c>
      <c r="Y232" s="188">
        <v>0</v>
      </c>
      <c r="Z232" s="188" t="s">
        <v>883</v>
      </c>
      <c r="AA232" s="187" t="s">
        <v>883</v>
      </c>
      <c r="AB232" s="188">
        <v>0</v>
      </c>
      <c r="AC232" s="188"/>
      <c r="AD232" s="189" t="s">
        <v>883</v>
      </c>
      <c r="AE232" s="190" t="s">
        <v>883</v>
      </c>
      <c r="AF232" s="180">
        <v>0</v>
      </c>
      <c r="AG232" s="183">
        <v>44172</v>
      </c>
      <c r="AH232" s="183" t="s">
        <v>883</v>
      </c>
      <c r="AI232" s="183">
        <v>44165</v>
      </c>
      <c r="AJ232" s="183" t="s">
        <v>883</v>
      </c>
      <c r="AK232" s="174"/>
    </row>
    <row r="233" spans="1:37" x14ac:dyDescent="0.3">
      <c r="A233" s="173">
        <v>28093</v>
      </c>
      <c r="B233" s="174" t="s">
        <v>1229</v>
      </c>
      <c r="C233" s="175" t="s">
        <v>256</v>
      </c>
      <c r="D233" s="176">
        <v>44.99</v>
      </c>
      <c r="E233" s="174"/>
      <c r="F233" s="174"/>
      <c r="G233" s="174" t="s">
        <v>883</v>
      </c>
      <c r="H233" s="177">
        <v>178</v>
      </c>
      <c r="I233" s="24">
        <v>103003</v>
      </c>
      <c r="J233" s="178">
        <v>44.99</v>
      </c>
      <c r="K233" s="177">
        <v>3</v>
      </c>
      <c r="L233" s="179">
        <v>712</v>
      </c>
      <c r="M233" s="180">
        <v>0</v>
      </c>
      <c r="N233" s="178">
        <v>0</v>
      </c>
      <c r="O233" s="181" t="s">
        <v>882</v>
      </c>
      <c r="P233" s="180">
        <v>0</v>
      </c>
      <c r="Q233" s="182">
        <v>0</v>
      </c>
      <c r="R233" s="183" t="s">
        <v>883</v>
      </c>
      <c r="S233" s="174" t="s">
        <v>1003</v>
      </c>
      <c r="T233" s="44">
        <v>1</v>
      </c>
      <c r="U233" s="184">
        <v>51</v>
      </c>
      <c r="V233" s="185">
        <v>11</v>
      </c>
      <c r="W233" s="186" t="s">
        <v>883</v>
      </c>
      <c r="X233" s="187" t="s">
        <v>883</v>
      </c>
      <c r="Y233" s="188">
        <v>0</v>
      </c>
      <c r="Z233" s="188" t="s">
        <v>883</v>
      </c>
      <c r="AA233" s="187" t="s">
        <v>883</v>
      </c>
      <c r="AB233" s="188">
        <v>0</v>
      </c>
      <c r="AC233" s="188"/>
      <c r="AD233" s="189" t="s">
        <v>883</v>
      </c>
      <c r="AE233" s="190" t="s">
        <v>883</v>
      </c>
      <c r="AF233" s="180">
        <v>2</v>
      </c>
      <c r="AG233" s="183">
        <v>44553</v>
      </c>
      <c r="AH233" s="183" t="s">
        <v>883</v>
      </c>
      <c r="AI233" s="183">
        <v>44547</v>
      </c>
      <c r="AJ233" s="183" t="s">
        <v>883</v>
      </c>
      <c r="AK233" s="174"/>
    </row>
    <row r="234" spans="1:37" x14ac:dyDescent="0.3">
      <c r="A234" s="173">
        <v>28181</v>
      </c>
      <c r="B234" s="174" t="s">
        <v>1230</v>
      </c>
      <c r="C234" s="175" t="s">
        <v>256</v>
      </c>
      <c r="D234" s="176">
        <v>11.99</v>
      </c>
      <c r="E234" s="174"/>
      <c r="F234" s="174"/>
      <c r="G234" s="174" t="s">
        <v>883</v>
      </c>
      <c r="H234" s="177">
        <v>12</v>
      </c>
      <c r="I234" s="24">
        <v>103003</v>
      </c>
      <c r="J234" s="178">
        <v>11.99</v>
      </c>
      <c r="K234" s="177">
        <v>8</v>
      </c>
      <c r="L234" s="179">
        <v>17.910447761194028</v>
      </c>
      <c r="M234" s="180">
        <v>0</v>
      </c>
      <c r="N234" s="178">
        <v>0</v>
      </c>
      <c r="O234" s="181" t="s">
        <v>882</v>
      </c>
      <c r="P234" s="180">
        <v>0</v>
      </c>
      <c r="Q234" s="182">
        <v>0</v>
      </c>
      <c r="R234" s="183" t="s">
        <v>883</v>
      </c>
      <c r="S234" s="174" t="s">
        <v>964</v>
      </c>
      <c r="T234" s="44">
        <v>1</v>
      </c>
      <c r="U234" s="184">
        <v>61</v>
      </c>
      <c r="V234" s="185">
        <v>8</v>
      </c>
      <c r="W234" s="186" t="s">
        <v>883</v>
      </c>
      <c r="X234" s="187" t="s">
        <v>883</v>
      </c>
      <c r="Y234" s="188">
        <v>0</v>
      </c>
      <c r="Z234" s="188" t="s">
        <v>883</v>
      </c>
      <c r="AA234" s="187" t="s">
        <v>883</v>
      </c>
      <c r="AB234" s="188">
        <v>0</v>
      </c>
      <c r="AC234" s="188"/>
      <c r="AD234" s="189" t="s">
        <v>883</v>
      </c>
      <c r="AE234" s="190" t="s">
        <v>883</v>
      </c>
      <c r="AF234" s="180">
        <v>2</v>
      </c>
      <c r="AG234" s="183">
        <v>43798</v>
      </c>
      <c r="AH234" s="183" t="s">
        <v>883</v>
      </c>
      <c r="AI234" s="183">
        <v>44421</v>
      </c>
      <c r="AJ234" s="183" t="s">
        <v>883</v>
      </c>
      <c r="AK234" s="174"/>
    </row>
    <row r="235" spans="1:37" x14ac:dyDescent="0.3">
      <c r="A235" s="173">
        <v>28184</v>
      </c>
      <c r="B235" s="174" t="s">
        <v>1231</v>
      </c>
      <c r="C235" s="175" t="s">
        <v>256</v>
      </c>
      <c r="D235" s="176">
        <v>1.95</v>
      </c>
      <c r="E235" s="174"/>
      <c r="F235" s="174"/>
      <c r="G235" s="174" t="s">
        <v>883</v>
      </c>
      <c r="H235" s="177">
        <v>410</v>
      </c>
      <c r="I235" s="24">
        <v>103003</v>
      </c>
      <c r="J235" s="178">
        <v>1.95</v>
      </c>
      <c r="K235" s="177">
        <v>111</v>
      </c>
      <c r="L235" s="179">
        <v>29.285714285714288</v>
      </c>
      <c r="M235" s="180">
        <v>0</v>
      </c>
      <c r="N235" s="178">
        <v>0</v>
      </c>
      <c r="O235" s="181" t="s">
        <v>882</v>
      </c>
      <c r="P235" s="180">
        <v>0</v>
      </c>
      <c r="Q235" s="182">
        <v>0</v>
      </c>
      <c r="R235" s="183" t="s">
        <v>883</v>
      </c>
      <c r="S235" s="174" t="s">
        <v>964</v>
      </c>
      <c r="T235" s="44">
        <v>1</v>
      </c>
      <c r="U235" s="184">
        <v>61</v>
      </c>
      <c r="V235" s="185">
        <v>8</v>
      </c>
      <c r="W235" s="186" t="s">
        <v>883</v>
      </c>
      <c r="X235" s="187" t="s">
        <v>883</v>
      </c>
      <c r="Y235" s="188">
        <v>0</v>
      </c>
      <c r="Z235" s="188" t="s">
        <v>883</v>
      </c>
      <c r="AA235" s="187" t="s">
        <v>883</v>
      </c>
      <c r="AB235" s="188">
        <v>0</v>
      </c>
      <c r="AC235" s="188"/>
      <c r="AD235" s="189" t="s">
        <v>883</v>
      </c>
      <c r="AE235" s="190" t="s">
        <v>883</v>
      </c>
      <c r="AF235" s="180">
        <v>56</v>
      </c>
      <c r="AG235" s="183">
        <v>44823</v>
      </c>
      <c r="AH235" s="183" t="s">
        <v>883</v>
      </c>
      <c r="AI235" s="183">
        <v>44776</v>
      </c>
      <c r="AJ235" s="183" t="s">
        <v>883</v>
      </c>
      <c r="AK235" s="174"/>
    </row>
    <row r="236" spans="1:37" x14ac:dyDescent="0.3">
      <c r="A236" s="173">
        <v>28306</v>
      </c>
      <c r="B236" s="174" t="s">
        <v>1232</v>
      </c>
      <c r="C236" s="175" t="s">
        <v>256</v>
      </c>
      <c r="D236" s="176">
        <v>29.08</v>
      </c>
      <c r="E236" s="174"/>
      <c r="F236" s="174"/>
      <c r="G236" s="174" t="s">
        <v>883</v>
      </c>
      <c r="H236" s="177">
        <v>153</v>
      </c>
      <c r="I236" s="24">
        <v>103003</v>
      </c>
      <c r="J236" s="178">
        <v>29.08</v>
      </c>
      <c r="K236" s="177">
        <v>23</v>
      </c>
      <c r="L236" s="179">
        <v>79.6875</v>
      </c>
      <c r="M236" s="180">
        <v>0</v>
      </c>
      <c r="N236" s="178">
        <v>0</v>
      </c>
      <c r="O236" s="181" t="s">
        <v>882</v>
      </c>
      <c r="P236" s="180">
        <v>0</v>
      </c>
      <c r="Q236" s="182">
        <v>0</v>
      </c>
      <c r="R236" s="183" t="s">
        <v>883</v>
      </c>
      <c r="S236" s="174" t="s">
        <v>964</v>
      </c>
      <c r="T236" s="44">
        <v>1</v>
      </c>
      <c r="U236" s="184">
        <v>61</v>
      </c>
      <c r="V236" s="185">
        <v>8</v>
      </c>
      <c r="W236" s="186" t="s">
        <v>883</v>
      </c>
      <c r="X236" s="187" t="s">
        <v>883</v>
      </c>
      <c r="Y236" s="188">
        <v>0</v>
      </c>
      <c r="Z236" s="188" t="s">
        <v>883</v>
      </c>
      <c r="AA236" s="187" t="s">
        <v>883</v>
      </c>
      <c r="AB236" s="188">
        <v>0</v>
      </c>
      <c r="AC236" s="188"/>
      <c r="AD236" s="189" t="s">
        <v>883</v>
      </c>
      <c r="AE236" s="190" t="s">
        <v>883</v>
      </c>
      <c r="AF236" s="180">
        <v>8</v>
      </c>
      <c r="AG236" s="183">
        <v>44573</v>
      </c>
      <c r="AH236" s="183" t="s">
        <v>883</v>
      </c>
      <c r="AI236" s="183">
        <v>44522</v>
      </c>
      <c r="AJ236" s="183" t="s">
        <v>883</v>
      </c>
      <c r="AK236" s="174"/>
    </row>
    <row r="237" spans="1:37" x14ac:dyDescent="0.3">
      <c r="A237" s="173">
        <v>28307</v>
      </c>
      <c r="B237" s="174" t="s">
        <v>1233</v>
      </c>
      <c r="C237" s="175" t="s">
        <v>256</v>
      </c>
      <c r="D237" s="176">
        <v>7.6</v>
      </c>
      <c r="E237" s="174"/>
      <c r="F237" s="174"/>
      <c r="G237" s="174" t="s">
        <v>883</v>
      </c>
      <c r="H237" s="177">
        <v>22</v>
      </c>
      <c r="I237" s="24">
        <v>103003</v>
      </c>
      <c r="J237" s="178">
        <v>7.6</v>
      </c>
      <c r="K237" s="177">
        <v>8</v>
      </c>
      <c r="L237" s="179">
        <v>18.803418803418804</v>
      </c>
      <c r="M237" s="180">
        <v>0</v>
      </c>
      <c r="N237" s="178">
        <v>0</v>
      </c>
      <c r="O237" s="181" t="s">
        <v>882</v>
      </c>
      <c r="P237" s="180">
        <v>0</v>
      </c>
      <c r="Q237" s="182">
        <v>0</v>
      </c>
      <c r="R237" s="183" t="s">
        <v>883</v>
      </c>
      <c r="S237" s="174" t="s">
        <v>964</v>
      </c>
      <c r="T237" s="44">
        <v>1</v>
      </c>
      <c r="U237" s="184">
        <v>61</v>
      </c>
      <c r="V237" s="185">
        <v>8</v>
      </c>
      <c r="W237" s="186" t="s">
        <v>883</v>
      </c>
      <c r="X237" s="187" t="s">
        <v>883</v>
      </c>
      <c r="Y237" s="188">
        <v>0</v>
      </c>
      <c r="Z237" s="188" t="s">
        <v>883</v>
      </c>
      <c r="AA237" s="187" t="s">
        <v>883</v>
      </c>
      <c r="AB237" s="188">
        <v>0</v>
      </c>
      <c r="AC237" s="188"/>
      <c r="AD237" s="189" t="s">
        <v>883</v>
      </c>
      <c r="AE237" s="190" t="s">
        <v>883</v>
      </c>
      <c r="AF237" s="180">
        <v>4</v>
      </c>
      <c r="AG237" s="183">
        <v>42559</v>
      </c>
      <c r="AH237" s="183" t="s">
        <v>883</v>
      </c>
      <c r="AI237" s="183">
        <v>42551</v>
      </c>
      <c r="AJ237" s="183" t="s">
        <v>883</v>
      </c>
      <c r="AK237" s="174"/>
    </row>
    <row r="238" spans="1:37" x14ac:dyDescent="0.3">
      <c r="A238" s="173">
        <v>28308</v>
      </c>
      <c r="B238" s="174" t="s">
        <v>1234</v>
      </c>
      <c r="C238" s="175" t="s">
        <v>256</v>
      </c>
      <c r="D238" s="176">
        <v>13.09</v>
      </c>
      <c r="E238" s="174"/>
      <c r="F238" s="174"/>
      <c r="G238" s="174" t="s">
        <v>883</v>
      </c>
      <c r="H238" s="177">
        <v>94</v>
      </c>
      <c r="I238" s="24">
        <v>103003</v>
      </c>
      <c r="J238" s="178">
        <v>13.09</v>
      </c>
      <c r="K238" s="177">
        <v>61</v>
      </c>
      <c r="L238" s="179">
        <v>16.845878136200717</v>
      </c>
      <c r="M238" s="180">
        <v>0</v>
      </c>
      <c r="N238" s="178">
        <v>0</v>
      </c>
      <c r="O238" s="181" t="s">
        <v>882</v>
      </c>
      <c r="P238" s="180">
        <v>0</v>
      </c>
      <c r="Q238" s="182">
        <v>0</v>
      </c>
      <c r="R238" s="183" t="s">
        <v>883</v>
      </c>
      <c r="S238" s="174" t="s">
        <v>964</v>
      </c>
      <c r="T238" s="44">
        <v>1</v>
      </c>
      <c r="U238" s="184">
        <v>61</v>
      </c>
      <c r="V238" s="185">
        <v>8</v>
      </c>
      <c r="W238" s="186" t="s">
        <v>883</v>
      </c>
      <c r="X238" s="187" t="s">
        <v>883</v>
      </c>
      <c r="Y238" s="188">
        <v>0</v>
      </c>
      <c r="Z238" s="188" t="s">
        <v>883</v>
      </c>
      <c r="AA238" s="187" t="s">
        <v>883</v>
      </c>
      <c r="AB238" s="188">
        <v>0</v>
      </c>
      <c r="AC238" s="188"/>
      <c r="AD238" s="189" t="s">
        <v>883</v>
      </c>
      <c r="AE238" s="190" t="s">
        <v>883</v>
      </c>
      <c r="AF238" s="180">
        <v>22</v>
      </c>
      <c r="AG238" s="183">
        <v>44573</v>
      </c>
      <c r="AH238" s="183" t="s">
        <v>883</v>
      </c>
      <c r="AI238" s="183">
        <v>44522</v>
      </c>
      <c r="AJ238" s="183" t="s">
        <v>883</v>
      </c>
      <c r="AK238" s="174"/>
    </row>
    <row r="239" spans="1:37" x14ac:dyDescent="0.3">
      <c r="A239" s="173">
        <v>28512</v>
      </c>
      <c r="B239" s="174" t="s">
        <v>1235</v>
      </c>
      <c r="C239" s="175" t="s">
        <v>331</v>
      </c>
      <c r="D239" s="176">
        <v>2.39</v>
      </c>
      <c r="E239" s="174"/>
      <c r="F239" s="174"/>
      <c r="G239" s="174" t="s">
        <v>883</v>
      </c>
      <c r="H239" s="177">
        <v>104</v>
      </c>
      <c r="I239" s="24">
        <v>103003</v>
      </c>
      <c r="J239" s="178">
        <v>2.39</v>
      </c>
      <c r="K239" s="177">
        <v>50</v>
      </c>
      <c r="L239" s="179">
        <v>24.940047961630697</v>
      </c>
      <c r="M239" s="180">
        <v>0</v>
      </c>
      <c r="N239" s="178">
        <v>0</v>
      </c>
      <c r="O239" s="181" t="s">
        <v>882</v>
      </c>
      <c r="P239" s="180">
        <v>0</v>
      </c>
      <c r="Q239" s="182">
        <v>0</v>
      </c>
      <c r="R239" s="183" t="s">
        <v>883</v>
      </c>
      <c r="S239" s="174" t="s">
        <v>1039</v>
      </c>
      <c r="T239" s="44">
        <v>1</v>
      </c>
      <c r="U239" s="184">
        <v>61</v>
      </c>
      <c r="V239" s="185">
        <v>2</v>
      </c>
      <c r="W239" s="186">
        <v>2453</v>
      </c>
      <c r="X239" s="187">
        <v>2023</v>
      </c>
      <c r="Y239" s="188">
        <v>300</v>
      </c>
      <c r="Z239" s="188" t="s">
        <v>883</v>
      </c>
      <c r="AA239" s="187" t="s">
        <v>883</v>
      </c>
      <c r="AB239" s="188">
        <v>0</v>
      </c>
      <c r="AC239" s="188"/>
      <c r="AD239" s="189" t="s">
        <v>883</v>
      </c>
      <c r="AE239" s="190" t="s">
        <v>883</v>
      </c>
      <c r="AF239" s="180">
        <v>16</v>
      </c>
      <c r="AG239" s="183">
        <v>44634</v>
      </c>
      <c r="AH239" s="183" t="s">
        <v>883</v>
      </c>
      <c r="AI239" s="183">
        <v>44607</v>
      </c>
      <c r="AJ239" s="183" t="s">
        <v>883</v>
      </c>
      <c r="AK239" s="174"/>
    </row>
    <row r="240" spans="1:37" x14ac:dyDescent="0.3">
      <c r="A240" s="173">
        <v>29293</v>
      </c>
      <c r="B240" s="174" t="s">
        <v>1236</v>
      </c>
      <c r="C240" s="175" t="s">
        <v>256</v>
      </c>
      <c r="D240" s="176">
        <v>0.21</v>
      </c>
      <c r="E240" s="174"/>
      <c r="F240" s="174"/>
      <c r="G240" s="174" t="s">
        <v>883</v>
      </c>
      <c r="H240" s="177">
        <v>0</v>
      </c>
      <c r="I240" s="24">
        <v>103003</v>
      </c>
      <c r="J240" s="178">
        <v>0.21</v>
      </c>
      <c r="K240" s="177">
        <v>4565</v>
      </c>
      <c r="L240" s="179">
        <v>0</v>
      </c>
      <c r="M240" s="180">
        <v>0</v>
      </c>
      <c r="N240" s="178">
        <v>0</v>
      </c>
      <c r="O240" s="181" t="s">
        <v>882</v>
      </c>
      <c r="P240" s="180">
        <v>0</v>
      </c>
      <c r="Q240" s="182">
        <v>0</v>
      </c>
      <c r="R240" s="183" t="s">
        <v>883</v>
      </c>
      <c r="S240" s="174" t="s">
        <v>1016</v>
      </c>
      <c r="T240" s="44">
        <v>1</v>
      </c>
      <c r="U240" s="184">
        <v>67</v>
      </c>
      <c r="V240" s="185">
        <v>9</v>
      </c>
      <c r="W240" s="186">
        <v>2490</v>
      </c>
      <c r="X240" s="187">
        <v>2023</v>
      </c>
      <c r="Y240" s="188">
        <v>5000</v>
      </c>
      <c r="Z240" s="188" t="s">
        <v>883</v>
      </c>
      <c r="AA240" s="187" t="s">
        <v>883</v>
      </c>
      <c r="AB240" s="188">
        <v>0</v>
      </c>
      <c r="AC240" s="188"/>
      <c r="AD240" s="189" t="s">
        <v>883</v>
      </c>
      <c r="AE240" s="190" t="s">
        <v>883</v>
      </c>
      <c r="AF240" s="180">
        <v>1578</v>
      </c>
      <c r="AG240" s="183">
        <v>43640</v>
      </c>
      <c r="AH240" s="183" t="s">
        <v>883</v>
      </c>
      <c r="AI240" s="183">
        <v>45084</v>
      </c>
      <c r="AJ240" s="183" t="s">
        <v>883</v>
      </c>
      <c r="AK240" s="174"/>
    </row>
    <row r="241" spans="1:37" x14ac:dyDescent="0.3">
      <c r="A241" s="173">
        <v>29296</v>
      </c>
      <c r="B241" s="174" t="s">
        <v>1237</v>
      </c>
      <c r="C241" s="175" t="s">
        <v>268</v>
      </c>
      <c r="D241" s="176">
        <v>7.09</v>
      </c>
      <c r="E241" s="174"/>
      <c r="F241" s="174"/>
      <c r="G241" s="174" t="s">
        <v>883</v>
      </c>
      <c r="H241" s="177">
        <v>313</v>
      </c>
      <c r="I241" s="24">
        <v>103003</v>
      </c>
      <c r="J241" s="178">
        <v>7.09</v>
      </c>
      <c r="K241" s="177">
        <v>165</v>
      </c>
      <c r="L241" s="179">
        <v>15.985699693564861</v>
      </c>
      <c r="M241" s="180">
        <v>0</v>
      </c>
      <c r="N241" s="178">
        <v>0</v>
      </c>
      <c r="O241" s="181" t="s">
        <v>882</v>
      </c>
      <c r="P241" s="180">
        <v>0</v>
      </c>
      <c r="Q241" s="182">
        <v>0</v>
      </c>
      <c r="R241" s="183" t="s">
        <v>883</v>
      </c>
      <c r="S241" s="174" t="s">
        <v>954</v>
      </c>
      <c r="T241" s="44">
        <v>1</v>
      </c>
      <c r="U241" s="184">
        <v>72</v>
      </c>
      <c r="V241" s="185">
        <v>7</v>
      </c>
      <c r="W241" s="186">
        <v>2643</v>
      </c>
      <c r="X241" s="187">
        <v>2023</v>
      </c>
      <c r="Y241" s="188">
        <v>100</v>
      </c>
      <c r="Z241" s="188" t="s">
        <v>883</v>
      </c>
      <c r="AA241" s="187" t="s">
        <v>883</v>
      </c>
      <c r="AB241" s="188">
        <v>0</v>
      </c>
      <c r="AC241" s="188"/>
      <c r="AD241" s="189" t="s">
        <v>883</v>
      </c>
      <c r="AE241" s="190" t="s">
        <v>883</v>
      </c>
      <c r="AF241" s="180">
        <v>78</v>
      </c>
      <c r="AG241" s="183">
        <v>44358</v>
      </c>
      <c r="AH241" s="183" t="s">
        <v>883</v>
      </c>
      <c r="AI241" s="183">
        <v>44333</v>
      </c>
      <c r="AJ241" s="183" t="s">
        <v>883</v>
      </c>
      <c r="AK241" s="174"/>
    </row>
    <row r="242" spans="1:37" x14ac:dyDescent="0.3">
      <c r="A242" s="173">
        <v>29952</v>
      </c>
      <c r="B242" s="174" t="s">
        <v>1238</v>
      </c>
      <c r="C242" s="175" t="s">
        <v>256</v>
      </c>
      <c r="D242" s="176">
        <v>3.83</v>
      </c>
      <c r="E242" s="174"/>
      <c r="F242" s="174"/>
      <c r="G242" s="174" t="s">
        <v>883</v>
      </c>
      <c r="H242" s="177">
        <v>2025</v>
      </c>
      <c r="I242" s="24">
        <v>103003</v>
      </c>
      <c r="J242" s="178">
        <v>3.83</v>
      </c>
      <c r="K242" s="177">
        <v>3536</v>
      </c>
      <c r="L242" s="179">
        <v>5.1158325543794057</v>
      </c>
      <c r="M242" s="180">
        <v>2724.96</v>
      </c>
      <c r="N242" s="178">
        <v>10436.596799999999</v>
      </c>
      <c r="O242" s="181" t="s">
        <v>882</v>
      </c>
      <c r="P242" s="180">
        <v>0</v>
      </c>
      <c r="Q242" s="182">
        <v>0</v>
      </c>
      <c r="R242" s="183" t="s">
        <v>883</v>
      </c>
      <c r="S242" s="174" t="s">
        <v>925</v>
      </c>
      <c r="T242" s="44">
        <v>1</v>
      </c>
      <c r="U242" s="184">
        <v>45</v>
      </c>
      <c r="V242" s="185">
        <v>12</v>
      </c>
      <c r="W242" s="186" t="s">
        <v>883</v>
      </c>
      <c r="X242" s="187" t="s">
        <v>883</v>
      </c>
      <c r="Y242" s="188">
        <v>0</v>
      </c>
      <c r="Z242" s="188" t="s">
        <v>883</v>
      </c>
      <c r="AA242" s="187" t="s">
        <v>883</v>
      </c>
      <c r="AB242" s="188">
        <v>0</v>
      </c>
      <c r="AC242" s="188"/>
      <c r="AD242" s="189" t="s">
        <v>883</v>
      </c>
      <c r="AE242" s="190" t="s">
        <v>883</v>
      </c>
      <c r="AF242" s="180">
        <v>1584</v>
      </c>
      <c r="AG242" s="183">
        <v>45036</v>
      </c>
      <c r="AH242" s="183" t="s">
        <v>883</v>
      </c>
      <c r="AI242" s="183">
        <v>44998</v>
      </c>
      <c r="AJ242" s="183" t="s">
        <v>883</v>
      </c>
      <c r="AK242" s="174"/>
    </row>
    <row r="243" spans="1:37" x14ac:dyDescent="0.3">
      <c r="A243" s="173">
        <v>29956</v>
      </c>
      <c r="B243" s="174" t="s">
        <v>1239</v>
      </c>
      <c r="C243" s="175" t="s">
        <v>569</v>
      </c>
      <c r="D243" s="176">
        <v>1</v>
      </c>
      <c r="E243" s="174"/>
      <c r="F243" s="174"/>
      <c r="G243" s="174" t="s">
        <v>883</v>
      </c>
      <c r="H243" s="177">
        <v>1870</v>
      </c>
      <c r="I243" s="24">
        <v>103003</v>
      </c>
      <c r="J243" s="178">
        <v>1</v>
      </c>
      <c r="K243" s="177">
        <v>4651</v>
      </c>
      <c r="L243" s="179">
        <v>3.0866744796395027</v>
      </c>
      <c r="M243" s="180">
        <v>4899.96</v>
      </c>
      <c r="N243" s="178">
        <v>4899.96</v>
      </c>
      <c r="O243" s="181" t="s">
        <v>882</v>
      </c>
      <c r="P243" s="180">
        <v>0</v>
      </c>
      <c r="Q243" s="182">
        <v>0</v>
      </c>
      <c r="R243" s="183" t="s">
        <v>883</v>
      </c>
      <c r="S243" s="174" t="s">
        <v>1129</v>
      </c>
      <c r="T243" s="44">
        <v>1</v>
      </c>
      <c r="U243" s="184">
        <v>57</v>
      </c>
      <c r="V243" s="185">
        <v>15</v>
      </c>
      <c r="W243" s="186">
        <v>6984</v>
      </c>
      <c r="X243" s="187">
        <v>2023</v>
      </c>
      <c r="Y243" s="188">
        <v>500</v>
      </c>
      <c r="Z243" s="188" t="s">
        <v>883</v>
      </c>
      <c r="AA243" s="187" t="s">
        <v>883</v>
      </c>
      <c r="AB243" s="188">
        <v>0</v>
      </c>
      <c r="AC243" s="188"/>
      <c r="AD243" s="189" t="s">
        <v>883</v>
      </c>
      <c r="AE243" s="190" t="s">
        <v>883</v>
      </c>
      <c r="AF243" s="180">
        <v>2424</v>
      </c>
      <c r="AG243" s="183">
        <v>44994</v>
      </c>
      <c r="AH243" s="183" t="s">
        <v>883</v>
      </c>
      <c r="AI243" s="183">
        <v>44959</v>
      </c>
      <c r="AJ243" s="183" t="s">
        <v>883</v>
      </c>
      <c r="AK243" s="174"/>
    </row>
    <row r="244" spans="1:37" x14ac:dyDescent="0.3">
      <c r="A244" s="173">
        <v>29959</v>
      </c>
      <c r="B244" s="174" t="s">
        <v>1240</v>
      </c>
      <c r="C244" s="175" t="s">
        <v>569</v>
      </c>
      <c r="D244" s="176">
        <v>1.02</v>
      </c>
      <c r="E244" s="174"/>
      <c r="F244" s="174"/>
      <c r="G244" s="174" t="s">
        <v>883</v>
      </c>
      <c r="H244" s="177">
        <v>1102</v>
      </c>
      <c r="I244" s="24">
        <v>103003</v>
      </c>
      <c r="J244" s="178">
        <v>1.02</v>
      </c>
      <c r="K244" s="177">
        <v>5140</v>
      </c>
      <c r="L244" s="179">
        <v>1.6971339688602098</v>
      </c>
      <c r="M244" s="180">
        <v>5489.96</v>
      </c>
      <c r="N244" s="178">
        <v>5599.7592000000004</v>
      </c>
      <c r="O244" s="181" t="s">
        <v>882</v>
      </c>
      <c r="P244" s="180">
        <v>0</v>
      </c>
      <c r="Q244" s="182">
        <v>0</v>
      </c>
      <c r="R244" s="183" t="s">
        <v>883</v>
      </c>
      <c r="S244" s="174" t="s">
        <v>1129</v>
      </c>
      <c r="T244" s="44">
        <v>1</v>
      </c>
      <c r="U244" s="184">
        <v>57</v>
      </c>
      <c r="V244" s="185">
        <v>15</v>
      </c>
      <c r="W244" s="186">
        <v>6984</v>
      </c>
      <c r="X244" s="187">
        <v>2023</v>
      </c>
      <c r="Y244" s="188">
        <v>1200</v>
      </c>
      <c r="Z244" s="188" t="s">
        <v>883</v>
      </c>
      <c r="AA244" s="187" t="s">
        <v>883</v>
      </c>
      <c r="AB244" s="188">
        <v>0</v>
      </c>
      <c r="AC244" s="188"/>
      <c r="AD244" s="189" t="s">
        <v>883</v>
      </c>
      <c r="AE244" s="190" t="s">
        <v>883</v>
      </c>
      <c r="AF244" s="180">
        <v>2598</v>
      </c>
      <c r="AG244" s="183">
        <v>45014</v>
      </c>
      <c r="AH244" s="183" t="s">
        <v>883</v>
      </c>
      <c r="AI244" s="183">
        <v>44959</v>
      </c>
      <c r="AJ244" s="183" t="s">
        <v>883</v>
      </c>
      <c r="AK244" s="174"/>
    </row>
    <row r="245" spans="1:37" x14ac:dyDescent="0.3">
      <c r="A245" s="173">
        <v>29961</v>
      </c>
      <c r="B245" s="174" t="s">
        <v>1241</v>
      </c>
      <c r="C245" s="175" t="s">
        <v>569</v>
      </c>
      <c r="D245" s="176">
        <v>1.02</v>
      </c>
      <c r="E245" s="174"/>
      <c r="F245" s="174"/>
      <c r="G245" s="174" t="s">
        <v>883</v>
      </c>
      <c r="H245" s="177">
        <v>655</v>
      </c>
      <c r="I245" s="24">
        <v>103003</v>
      </c>
      <c r="J245" s="178">
        <v>1.02</v>
      </c>
      <c r="K245" s="177">
        <v>4939</v>
      </c>
      <c r="L245" s="179">
        <v>0.98830629950961901</v>
      </c>
      <c r="M245" s="180">
        <v>5798</v>
      </c>
      <c r="N245" s="178">
        <v>5913.96</v>
      </c>
      <c r="O245" s="181" t="s">
        <v>882</v>
      </c>
      <c r="P245" s="180">
        <v>0</v>
      </c>
      <c r="Q245" s="182">
        <v>0</v>
      </c>
      <c r="R245" s="183" t="s">
        <v>883</v>
      </c>
      <c r="S245" s="174" t="s">
        <v>1129</v>
      </c>
      <c r="T245" s="44">
        <v>1</v>
      </c>
      <c r="U245" s="184">
        <v>57</v>
      </c>
      <c r="V245" s="185">
        <v>15</v>
      </c>
      <c r="W245" s="186">
        <v>6984</v>
      </c>
      <c r="X245" s="187">
        <v>2023</v>
      </c>
      <c r="Y245" s="188">
        <v>1500</v>
      </c>
      <c r="Z245" s="188" t="s">
        <v>883</v>
      </c>
      <c r="AA245" s="187" t="s">
        <v>883</v>
      </c>
      <c r="AB245" s="188">
        <v>0</v>
      </c>
      <c r="AC245" s="188"/>
      <c r="AD245" s="189" t="s">
        <v>883</v>
      </c>
      <c r="AE245" s="190" t="s">
        <v>883</v>
      </c>
      <c r="AF245" s="180">
        <v>2652</v>
      </c>
      <c r="AG245" s="183">
        <v>45014</v>
      </c>
      <c r="AH245" s="183" t="s">
        <v>883</v>
      </c>
      <c r="AI245" s="183">
        <v>44959</v>
      </c>
      <c r="AJ245" s="183" t="s">
        <v>883</v>
      </c>
      <c r="AK245" s="174"/>
    </row>
    <row r="246" spans="1:37" x14ac:dyDescent="0.3">
      <c r="A246" s="173">
        <v>29962</v>
      </c>
      <c r="B246" s="174" t="s">
        <v>1242</v>
      </c>
      <c r="C246" s="175" t="s">
        <v>569</v>
      </c>
      <c r="D246" s="176">
        <v>0.86</v>
      </c>
      <c r="E246" s="174"/>
      <c r="F246" s="174"/>
      <c r="G246" s="174" t="s">
        <v>883</v>
      </c>
      <c r="H246" s="177">
        <v>1057</v>
      </c>
      <c r="I246" s="24">
        <v>103003</v>
      </c>
      <c r="J246" s="178">
        <v>0.86</v>
      </c>
      <c r="K246" s="177">
        <v>4556</v>
      </c>
      <c r="L246" s="179">
        <v>1.9637714816535068</v>
      </c>
      <c r="M246" s="180">
        <v>4402</v>
      </c>
      <c r="N246" s="178">
        <v>3785.72</v>
      </c>
      <c r="O246" s="181" t="s">
        <v>882</v>
      </c>
      <c r="P246" s="180">
        <v>0</v>
      </c>
      <c r="Q246" s="182">
        <v>0</v>
      </c>
      <c r="R246" s="183" t="s">
        <v>883</v>
      </c>
      <c r="S246" s="174" t="s">
        <v>1129</v>
      </c>
      <c r="T246" s="44">
        <v>1</v>
      </c>
      <c r="U246" s="184">
        <v>57</v>
      </c>
      <c r="V246" s="185">
        <v>15</v>
      </c>
      <c r="W246" s="186">
        <v>6216</v>
      </c>
      <c r="X246" s="187">
        <v>2023</v>
      </c>
      <c r="Y246" s="188">
        <v>1000</v>
      </c>
      <c r="Z246" s="188" t="s">
        <v>883</v>
      </c>
      <c r="AA246" s="187" t="s">
        <v>883</v>
      </c>
      <c r="AB246" s="188">
        <v>0</v>
      </c>
      <c r="AC246" s="188"/>
      <c r="AD246" s="189" t="s">
        <v>883</v>
      </c>
      <c r="AE246" s="190" t="s">
        <v>883</v>
      </c>
      <c r="AF246" s="180">
        <v>2154</v>
      </c>
      <c r="AG246" s="183">
        <v>44974</v>
      </c>
      <c r="AH246" s="183" t="s">
        <v>883</v>
      </c>
      <c r="AI246" s="183">
        <v>44959</v>
      </c>
      <c r="AJ246" s="183" t="s">
        <v>883</v>
      </c>
      <c r="AK246" s="174"/>
    </row>
    <row r="247" spans="1:37" x14ac:dyDescent="0.3">
      <c r="A247" s="173">
        <v>29964</v>
      </c>
      <c r="B247" s="174" t="s">
        <v>1243</v>
      </c>
      <c r="C247" s="175" t="s">
        <v>569</v>
      </c>
      <c r="D247" s="176">
        <v>0.86</v>
      </c>
      <c r="E247" s="174"/>
      <c r="F247" s="174"/>
      <c r="G247" s="174" t="s">
        <v>883</v>
      </c>
      <c r="H247" s="177">
        <v>1100</v>
      </c>
      <c r="I247" s="24">
        <v>103003</v>
      </c>
      <c r="J247" s="178">
        <v>0.86</v>
      </c>
      <c r="K247" s="177">
        <v>4419</v>
      </c>
      <c r="L247" s="179">
        <v>1.9213973799126638</v>
      </c>
      <c r="M247" s="180">
        <v>4770</v>
      </c>
      <c r="N247" s="178">
        <v>4102.2</v>
      </c>
      <c r="O247" s="181" t="s">
        <v>882</v>
      </c>
      <c r="P247" s="180">
        <v>0</v>
      </c>
      <c r="Q247" s="182">
        <v>0</v>
      </c>
      <c r="R247" s="183" t="s">
        <v>883</v>
      </c>
      <c r="S247" s="174" t="s">
        <v>1129</v>
      </c>
      <c r="T247" s="44">
        <v>1</v>
      </c>
      <c r="U247" s="184">
        <v>57</v>
      </c>
      <c r="V247" s="185">
        <v>15</v>
      </c>
      <c r="W247" s="186">
        <v>6216</v>
      </c>
      <c r="X247" s="187">
        <v>2023</v>
      </c>
      <c r="Y247" s="188">
        <v>1000</v>
      </c>
      <c r="Z247" s="188" t="s">
        <v>883</v>
      </c>
      <c r="AA247" s="187" t="s">
        <v>883</v>
      </c>
      <c r="AB247" s="188">
        <v>0</v>
      </c>
      <c r="AC247" s="188"/>
      <c r="AD247" s="189" t="s">
        <v>883</v>
      </c>
      <c r="AE247" s="190" t="s">
        <v>883</v>
      </c>
      <c r="AF247" s="180">
        <v>2290</v>
      </c>
      <c r="AG247" s="183">
        <v>44974</v>
      </c>
      <c r="AH247" s="183" t="s">
        <v>883</v>
      </c>
      <c r="AI247" s="183">
        <v>44959</v>
      </c>
      <c r="AJ247" s="183" t="s">
        <v>883</v>
      </c>
      <c r="AK247" s="174"/>
    </row>
    <row r="248" spans="1:37" x14ac:dyDescent="0.3">
      <c r="A248" s="173">
        <v>30165</v>
      </c>
      <c r="B248" s="174" t="s">
        <v>1244</v>
      </c>
      <c r="C248" s="175" t="s">
        <v>569</v>
      </c>
      <c r="D248" s="176">
        <v>0.98</v>
      </c>
      <c r="E248" s="174"/>
      <c r="F248" s="174"/>
      <c r="G248" s="174" t="s">
        <v>883</v>
      </c>
      <c r="H248" s="177">
        <v>0</v>
      </c>
      <c r="I248" s="24">
        <v>103003</v>
      </c>
      <c r="J248" s="178">
        <v>0.98</v>
      </c>
      <c r="K248" s="177">
        <v>9717</v>
      </c>
      <c r="L248" s="179">
        <v>0</v>
      </c>
      <c r="M248" s="180">
        <v>7646</v>
      </c>
      <c r="N248" s="178">
        <v>7493.08</v>
      </c>
      <c r="O248" s="181" t="s">
        <v>882</v>
      </c>
      <c r="P248" s="180">
        <v>0</v>
      </c>
      <c r="Q248" s="182">
        <v>0</v>
      </c>
      <c r="R248" s="183" t="s">
        <v>883</v>
      </c>
      <c r="S248" s="174" t="s">
        <v>941</v>
      </c>
      <c r="T248" s="44">
        <v>1</v>
      </c>
      <c r="U248" s="184">
        <v>57</v>
      </c>
      <c r="V248" s="185">
        <v>16</v>
      </c>
      <c r="W248" s="186">
        <v>6984</v>
      </c>
      <c r="X248" s="187">
        <v>2023</v>
      </c>
      <c r="Y248" s="188">
        <v>7300</v>
      </c>
      <c r="Z248" s="188" t="s">
        <v>883</v>
      </c>
      <c r="AA248" s="187" t="s">
        <v>883</v>
      </c>
      <c r="AB248" s="188">
        <v>0</v>
      </c>
      <c r="AC248" s="188"/>
      <c r="AD248" s="189" t="s">
        <v>883</v>
      </c>
      <c r="AE248" s="190" t="s">
        <v>883</v>
      </c>
      <c r="AF248" s="180">
        <v>4982</v>
      </c>
      <c r="AG248" s="183">
        <v>44960</v>
      </c>
      <c r="AH248" s="183" t="s">
        <v>883</v>
      </c>
      <c r="AI248" s="183">
        <v>44910</v>
      </c>
      <c r="AJ248" s="183" t="s">
        <v>883</v>
      </c>
      <c r="AK248" s="174"/>
    </row>
    <row r="249" spans="1:37" x14ac:dyDescent="0.3">
      <c r="A249" s="173">
        <v>31555</v>
      </c>
      <c r="B249" s="174" t="s">
        <v>1245</v>
      </c>
      <c r="C249" s="175" t="s">
        <v>256</v>
      </c>
      <c r="D249" s="176">
        <v>33.700000000000003</v>
      </c>
      <c r="E249" s="174"/>
      <c r="F249" s="174"/>
      <c r="G249" s="174" t="s">
        <v>883</v>
      </c>
      <c r="H249" s="177">
        <v>74</v>
      </c>
      <c r="I249" s="24">
        <v>103003</v>
      </c>
      <c r="J249" s="178">
        <v>33.700000000000003</v>
      </c>
      <c r="K249" s="177"/>
      <c r="L249" s="179">
        <v>0</v>
      </c>
      <c r="M249" s="180">
        <v>0</v>
      </c>
      <c r="N249" s="178">
        <v>0</v>
      </c>
      <c r="O249" s="181" t="s">
        <v>882</v>
      </c>
      <c r="P249" s="180">
        <v>0</v>
      </c>
      <c r="Q249" s="182">
        <v>0</v>
      </c>
      <c r="R249" s="183" t="s">
        <v>883</v>
      </c>
      <c r="S249" s="174" t="s">
        <v>1070</v>
      </c>
      <c r="T249" s="44">
        <v>1</v>
      </c>
      <c r="U249" s="184">
        <v>55</v>
      </c>
      <c r="V249" s="185">
        <v>40</v>
      </c>
      <c r="W249" s="186" t="s">
        <v>883</v>
      </c>
      <c r="X249" s="187" t="s">
        <v>883</v>
      </c>
      <c r="Y249" s="188">
        <v>0</v>
      </c>
      <c r="Z249" s="188" t="s">
        <v>883</v>
      </c>
      <c r="AA249" s="187" t="s">
        <v>883</v>
      </c>
      <c r="AB249" s="188">
        <v>0</v>
      </c>
      <c r="AC249" s="188"/>
      <c r="AD249" s="189" t="s">
        <v>883</v>
      </c>
      <c r="AE249" s="190" t="s">
        <v>883</v>
      </c>
      <c r="AF249" s="180">
        <v>0</v>
      </c>
      <c r="AG249" s="183">
        <v>37826</v>
      </c>
      <c r="AH249" s="183" t="s">
        <v>883</v>
      </c>
      <c r="AI249" s="183">
        <v>43865</v>
      </c>
      <c r="AJ249" s="183" t="s">
        <v>883</v>
      </c>
      <c r="AK249" s="174"/>
    </row>
    <row r="250" spans="1:37" x14ac:dyDescent="0.3">
      <c r="A250" s="173">
        <v>31580</v>
      </c>
      <c r="B250" s="174" t="s">
        <v>1246</v>
      </c>
      <c r="C250" s="175" t="s">
        <v>256</v>
      </c>
      <c r="D250" s="176">
        <v>2.8</v>
      </c>
      <c r="E250" s="174"/>
      <c r="F250" s="174"/>
      <c r="G250" s="174" t="s">
        <v>883</v>
      </c>
      <c r="H250" s="177">
        <v>88</v>
      </c>
      <c r="I250" s="24">
        <v>103003</v>
      </c>
      <c r="J250" s="178">
        <v>2.8</v>
      </c>
      <c r="K250" s="177"/>
      <c r="L250" s="179">
        <v>1100</v>
      </c>
      <c r="M250" s="180">
        <v>0</v>
      </c>
      <c r="N250" s="178">
        <v>0</v>
      </c>
      <c r="O250" s="181" t="s">
        <v>882</v>
      </c>
      <c r="P250" s="180">
        <v>0</v>
      </c>
      <c r="Q250" s="182">
        <v>0</v>
      </c>
      <c r="R250" s="183" t="s">
        <v>883</v>
      </c>
      <c r="S250" s="174" t="s">
        <v>988</v>
      </c>
      <c r="T250" s="44">
        <v>1</v>
      </c>
      <c r="U250" s="184">
        <v>55</v>
      </c>
      <c r="V250" s="185">
        <v>32</v>
      </c>
      <c r="W250" s="186" t="s">
        <v>883</v>
      </c>
      <c r="X250" s="187" t="s">
        <v>883</v>
      </c>
      <c r="Y250" s="188">
        <v>0</v>
      </c>
      <c r="Z250" s="188" t="s">
        <v>883</v>
      </c>
      <c r="AA250" s="187" t="s">
        <v>883</v>
      </c>
      <c r="AB250" s="188">
        <v>0</v>
      </c>
      <c r="AC250" s="188"/>
      <c r="AD250" s="189" t="s">
        <v>883</v>
      </c>
      <c r="AE250" s="190" t="s">
        <v>883</v>
      </c>
      <c r="AF250" s="180">
        <v>0</v>
      </c>
      <c r="AG250" s="183">
        <v>41879</v>
      </c>
      <c r="AH250" s="183" t="s">
        <v>883</v>
      </c>
      <c r="AI250" s="183">
        <v>41823</v>
      </c>
      <c r="AJ250" s="183" t="s">
        <v>883</v>
      </c>
      <c r="AK250" s="174"/>
    </row>
    <row r="251" spans="1:37" x14ac:dyDescent="0.3">
      <c r="A251" s="173">
        <v>32534</v>
      </c>
      <c r="B251" s="174" t="s">
        <v>1247</v>
      </c>
      <c r="C251" s="175" t="s">
        <v>256</v>
      </c>
      <c r="D251" s="176">
        <v>3.97</v>
      </c>
      <c r="E251" s="174"/>
      <c r="F251" s="174" t="s">
        <v>1063</v>
      </c>
      <c r="G251" s="174" t="s">
        <v>1195</v>
      </c>
      <c r="H251" s="177">
        <v>4399</v>
      </c>
      <c r="I251" s="24">
        <v>103003</v>
      </c>
      <c r="J251" s="178">
        <v>3.97</v>
      </c>
      <c r="K251" s="177">
        <v>3452</v>
      </c>
      <c r="L251" s="179">
        <v>14.840429120842048</v>
      </c>
      <c r="M251" s="180">
        <v>0</v>
      </c>
      <c r="N251" s="178">
        <v>0</v>
      </c>
      <c r="O251" s="181" t="s">
        <v>1196</v>
      </c>
      <c r="P251" s="180">
        <v>13600</v>
      </c>
      <c r="Q251" s="182">
        <v>53992</v>
      </c>
      <c r="R251" s="183">
        <v>45327</v>
      </c>
      <c r="S251" s="174" t="s">
        <v>1197</v>
      </c>
      <c r="T251" s="44">
        <v>1</v>
      </c>
      <c r="U251" s="184">
        <v>51</v>
      </c>
      <c r="V251" s="185">
        <v>7</v>
      </c>
      <c r="W251" s="186" t="s">
        <v>883</v>
      </c>
      <c r="X251" s="187" t="s">
        <v>883</v>
      </c>
      <c r="Y251" s="188">
        <v>0</v>
      </c>
      <c r="Z251" s="188" t="s">
        <v>883</v>
      </c>
      <c r="AA251" s="187" t="s">
        <v>883</v>
      </c>
      <c r="AB251" s="188">
        <v>0</v>
      </c>
      <c r="AC251" s="188"/>
      <c r="AD251" s="189" t="s">
        <v>883</v>
      </c>
      <c r="AE251" s="190" t="s">
        <v>883</v>
      </c>
      <c r="AF251" s="180">
        <v>1186</v>
      </c>
      <c r="AG251" s="183">
        <v>45132</v>
      </c>
      <c r="AH251" s="183" t="s">
        <v>883</v>
      </c>
      <c r="AI251" s="183">
        <v>45076</v>
      </c>
      <c r="AJ251" s="183" t="s">
        <v>883</v>
      </c>
      <c r="AK251" s="174"/>
    </row>
    <row r="252" spans="1:37" x14ac:dyDescent="0.3">
      <c r="A252" s="173">
        <v>32927</v>
      </c>
      <c r="B252" s="174" t="s">
        <v>1248</v>
      </c>
      <c r="C252" s="175" t="s">
        <v>569</v>
      </c>
      <c r="D252" s="176">
        <v>0.53</v>
      </c>
      <c r="E252" s="174"/>
      <c r="F252" s="174"/>
      <c r="G252" s="174" t="s">
        <v>883</v>
      </c>
      <c r="H252" s="177">
        <v>163</v>
      </c>
      <c r="I252" s="24">
        <v>103003</v>
      </c>
      <c r="J252" s="178">
        <v>0.53</v>
      </c>
      <c r="K252" s="177">
        <v>5839</v>
      </c>
      <c r="L252" s="179">
        <v>0.23128769067045052</v>
      </c>
      <c r="M252" s="180">
        <v>6194</v>
      </c>
      <c r="N252" s="178">
        <v>3282.82</v>
      </c>
      <c r="O252" s="181" t="s">
        <v>882</v>
      </c>
      <c r="P252" s="180">
        <v>0</v>
      </c>
      <c r="Q252" s="182">
        <v>0</v>
      </c>
      <c r="R252" s="183" t="s">
        <v>883</v>
      </c>
      <c r="S252" s="174" t="s">
        <v>1129</v>
      </c>
      <c r="T252" s="44">
        <v>1</v>
      </c>
      <c r="U252" s="184">
        <v>57</v>
      </c>
      <c r="V252" s="185">
        <v>15</v>
      </c>
      <c r="W252" s="186">
        <v>6989</v>
      </c>
      <c r="X252" s="187">
        <v>2023</v>
      </c>
      <c r="Y252" s="188">
        <v>2100</v>
      </c>
      <c r="Z252" s="188" t="s">
        <v>883</v>
      </c>
      <c r="AA252" s="187" t="s">
        <v>883</v>
      </c>
      <c r="AB252" s="188">
        <v>0</v>
      </c>
      <c r="AC252" s="188"/>
      <c r="AD252" s="189" t="s">
        <v>883</v>
      </c>
      <c r="AE252" s="190" t="s">
        <v>883</v>
      </c>
      <c r="AF252" s="180">
        <v>2820</v>
      </c>
      <c r="AG252" s="183">
        <v>44967</v>
      </c>
      <c r="AH252" s="183" t="s">
        <v>883</v>
      </c>
      <c r="AI252" s="183">
        <v>44959</v>
      </c>
      <c r="AJ252" s="183" t="s">
        <v>883</v>
      </c>
      <c r="AK252" s="174"/>
    </row>
    <row r="253" spans="1:37" x14ac:dyDescent="0.3">
      <c r="A253" s="173">
        <v>32933</v>
      </c>
      <c r="B253" s="174" t="s">
        <v>1249</v>
      </c>
      <c r="C253" s="175" t="s">
        <v>569</v>
      </c>
      <c r="D253" s="176">
        <v>0.98</v>
      </c>
      <c r="E253" s="174"/>
      <c r="F253" s="174"/>
      <c r="G253" s="174" t="s">
        <v>883</v>
      </c>
      <c r="H253" s="177">
        <v>0</v>
      </c>
      <c r="I253" s="24">
        <v>103003</v>
      </c>
      <c r="J253" s="178">
        <v>0.98</v>
      </c>
      <c r="K253" s="177">
        <v>9496</v>
      </c>
      <c r="L253" s="179">
        <v>0</v>
      </c>
      <c r="M253" s="180">
        <v>7986</v>
      </c>
      <c r="N253" s="178">
        <v>7826.28</v>
      </c>
      <c r="O253" s="181" t="s">
        <v>882</v>
      </c>
      <c r="P253" s="180">
        <v>0</v>
      </c>
      <c r="Q253" s="182">
        <v>0</v>
      </c>
      <c r="R253" s="183" t="s">
        <v>883</v>
      </c>
      <c r="S253" s="174" t="s">
        <v>941</v>
      </c>
      <c r="T253" s="44">
        <v>1</v>
      </c>
      <c r="U253" s="184">
        <v>57</v>
      </c>
      <c r="V253" s="185">
        <v>16</v>
      </c>
      <c r="W253" s="186">
        <v>6984</v>
      </c>
      <c r="X253" s="187">
        <v>2023</v>
      </c>
      <c r="Y253" s="188">
        <v>5700</v>
      </c>
      <c r="Z253" s="188" t="s">
        <v>883</v>
      </c>
      <c r="AA253" s="187" t="s">
        <v>883</v>
      </c>
      <c r="AB253" s="188">
        <v>0</v>
      </c>
      <c r="AC253" s="188"/>
      <c r="AD253" s="189" t="s">
        <v>883</v>
      </c>
      <c r="AE253" s="190" t="s">
        <v>883</v>
      </c>
      <c r="AF253" s="180">
        <v>4562</v>
      </c>
      <c r="AG253" s="183">
        <v>44960</v>
      </c>
      <c r="AH253" s="183" t="s">
        <v>883</v>
      </c>
      <c r="AI253" s="183">
        <v>44910</v>
      </c>
      <c r="AJ253" s="183" t="s">
        <v>883</v>
      </c>
      <c r="AK253" s="174"/>
    </row>
    <row r="254" spans="1:37" x14ac:dyDescent="0.3">
      <c r="A254" s="173">
        <v>33609</v>
      </c>
      <c r="B254" s="174" t="s">
        <v>1250</v>
      </c>
      <c r="C254" s="175" t="s">
        <v>400</v>
      </c>
      <c r="D254" s="176">
        <v>16.13</v>
      </c>
      <c r="E254" s="174"/>
      <c r="F254" s="174"/>
      <c r="G254" s="174" t="s">
        <v>883</v>
      </c>
      <c r="H254" s="177">
        <v>145</v>
      </c>
      <c r="I254" s="24">
        <v>103003</v>
      </c>
      <c r="J254" s="178">
        <v>16.13</v>
      </c>
      <c r="K254" s="177">
        <v>5</v>
      </c>
      <c r="L254" s="179">
        <v>345.23809523809524</v>
      </c>
      <c r="M254" s="180">
        <v>0</v>
      </c>
      <c r="N254" s="178">
        <v>0</v>
      </c>
      <c r="O254" s="181" t="s">
        <v>882</v>
      </c>
      <c r="P254" s="180">
        <v>0</v>
      </c>
      <c r="Q254" s="182">
        <v>0</v>
      </c>
      <c r="R254" s="183" t="s">
        <v>883</v>
      </c>
      <c r="S254" s="174" t="s">
        <v>1251</v>
      </c>
      <c r="T254" s="44">
        <v>1</v>
      </c>
      <c r="U254" s="184">
        <v>67</v>
      </c>
      <c r="V254" s="185">
        <v>14</v>
      </c>
      <c r="W254" s="186" t="s">
        <v>883</v>
      </c>
      <c r="X254" s="187" t="s">
        <v>883</v>
      </c>
      <c r="Y254" s="188">
        <v>0</v>
      </c>
      <c r="Z254" s="188" t="s">
        <v>883</v>
      </c>
      <c r="AA254" s="187" t="s">
        <v>883</v>
      </c>
      <c r="AB254" s="188">
        <v>0</v>
      </c>
      <c r="AC254" s="188"/>
      <c r="AD254" s="189" t="s">
        <v>883</v>
      </c>
      <c r="AE254" s="190" t="s">
        <v>883</v>
      </c>
      <c r="AF254" s="180">
        <v>2</v>
      </c>
      <c r="AG254" s="183">
        <v>43689</v>
      </c>
      <c r="AH254" s="183" t="s">
        <v>883</v>
      </c>
      <c r="AI254" s="183">
        <v>44921</v>
      </c>
      <c r="AJ254" s="183" t="s">
        <v>883</v>
      </c>
      <c r="AK254" s="174"/>
    </row>
    <row r="255" spans="1:37" x14ac:dyDescent="0.3">
      <c r="A255" s="173">
        <v>33612</v>
      </c>
      <c r="B255" s="174" t="s">
        <v>1252</v>
      </c>
      <c r="C255" s="175" t="s">
        <v>400</v>
      </c>
      <c r="D255" s="176">
        <v>17.55</v>
      </c>
      <c r="E255" s="174"/>
      <c r="F255" s="174"/>
      <c r="G255" s="174" t="s">
        <v>883</v>
      </c>
      <c r="H255" s="177">
        <v>330</v>
      </c>
      <c r="I255" s="24">
        <v>103003</v>
      </c>
      <c r="J255" s="178">
        <v>17.55</v>
      </c>
      <c r="K255" s="177">
        <v>68</v>
      </c>
      <c r="L255" s="179">
        <v>53.484602917341981</v>
      </c>
      <c r="M255" s="180">
        <v>0</v>
      </c>
      <c r="N255" s="178">
        <v>0</v>
      </c>
      <c r="O255" s="181" t="s">
        <v>882</v>
      </c>
      <c r="P255" s="180">
        <v>0</v>
      </c>
      <c r="Q255" s="182">
        <v>0</v>
      </c>
      <c r="R255" s="183" t="s">
        <v>883</v>
      </c>
      <c r="S255" s="174" t="s">
        <v>1251</v>
      </c>
      <c r="T255" s="44">
        <v>1</v>
      </c>
      <c r="U255" s="184">
        <v>67</v>
      </c>
      <c r="V255" s="185">
        <v>14</v>
      </c>
      <c r="W255" s="186" t="s">
        <v>883</v>
      </c>
      <c r="X255" s="187" t="s">
        <v>883</v>
      </c>
      <c r="Y255" s="188">
        <v>0</v>
      </c>
      <c r="Z255" s="188" t="s">
        <v>883</v>
      </c>
      <c r="AA255" s="187" t="s">
        <v>883</v>
      </c>
      <c r="AB255" s="188">
        <v>0</v>
      </c>
      <c r="AC255" s="188"/>
      <c r="AD255" s="189" t="s">
        <v>883</v>
      </c>
      <c r="AE255" s="190" t="s">
        <v>883</v>
      </c>
      <c r="AF255" s="180">
        <v>24</v>
      </c>
      <c r="AG255" s="183">
        <v>43860</v>
      </c>
      <c r="AH255" s="183" t="s">
        <v>883</v>
      </c>
      <c r="AI255" s="183">
        <v>45105</v>
      </c>
      <c r="AJ255" s="183" t="s">
        <v>883</v>
      </c>
      <c r="AK255" s="174"/>
    </row>
    <row r="256" spans="1:37" x14ac:dyDescent="0.3">
      <c r="A256" s="173">
        <v>33623</v>
      </c>
      <c r="B256" s="174" t="s">
        <v>1253</v>
      </c>
      <c r="C256" s="175" t="s">
        <v>400</v>
      </c>
      <c r="D256" s="176">
        <v>27.09</v>
      </c>
      <c r="E256" s="174"/>
      <c r="F256" s="174"/>
      <c r="G256" s="174" t="s">
        <v>883</v>
      </c>
      <c r="H256" s="177">
        <v>388</v>
      </c>
      <c r="I256" s="24">
        <v>103003</v>
      </c>
      <c r="J256" s="178">
        <v>27.09</v>
      </c>
      <c r="K256" s="177">
        <v>294</v>
      </c>
      <c r="L256" s="179">
        <v>12.483912483912484</v>
      </c>
      <c r="M256" s="180">
        <v>0</v>
      </c>
      <c r="N256" s="178">
        <v>0</v>
      </c>
      <c r="O256" s="181" t="s">
        <v>882</v>
      </c>
      <c r="P256" s="180">
        <v>0</v>
      </c>
      <c r="Q256" s="182">
        <v>0</v>
      </c>
      <c r="R256" s="183" t="s">
        <v>883</v>
      </c>
      <c r="S256" s="174" t="s">
        <v>1251</v>
      </c>
      <c r="T256" s="44">
        <v>1</v>
      </c>
      <c r="U256" s="184">
        <v>67</v>
      </c>
      <c r="V256" s="185">
        <v>14</v>
      </c>
      <c r="W256" s="186">
        <v>2486</v>
      </c>
      <c r="X256" s="187">
        <v>2023</v>
      </c>
      <c r="Y256" s="188">
        <v>50</v>
      </c>
      <c r="Z256" s="188" t="s">
        <v>883</v>
      </c>
      <c r="AA256" s="187" t="s">
        <v>883</v>
      </c>
      <c r="AB256" s="188">
        <v>0</v>
      </c>
      <c r="AC256" s="188"/>
      <c r="AD256" s="189" t="s">
        <v>883</v>
      </c>
      <c r="AE256" s="190" t="s">
        <v>883</v>
      </c>
      <c r="AF256" s="180">
        <v>124</v>
      </c>
      <c r="AG256" s="183">
        <v>43851</v>
      </c>
      <c r="AH256" s="183" t="s">
        <v>883</v>
      </c>
      <c r="AI256" s="183">
        <v>44592</v>
      </c>
      <c r="AJ256" s="183" t="s">
        <v>883</v>
      </c>
      <c r="AK256" s="174"/>
    </row>
    <row r="257" spans="1:37" x14ac:dyDescent="0.3">
      <c r="A257" s="173">
        <v>34214</v>
      </c>
      <c r="B257" s="174" t="s">
        <v>1254</v>
      </c>
      <c r="C257" s="175" t="s">
        <v>256</v>
      </c>
      <c r="D257" s="176">
        <v>247</v>
      </c>
      <c r="E257" s="174"/>
      <c r="F257" s="174"/>
      <c r="G257" s="174" t="s">
        <v>883</v>
      </c>
      <c r="H257" s="177">
        <v>1</v>
      </c>
      <c r="I257" s="24">
        <v>103003</v>
      </c>
      <c r="J257" s="178">
        <v>247</v>
      </c>
      <c r="K257" s="177"/>
      <c r="L257" s="179">
        <v>0</v>
      </c>
      <c r="M257" s="180">
        <v>0</v>
      </c>
      <c r="N257" s="178">
        <v>0</v>
      </c>
      <c r="O257" s="181" t="s">
        <v>882</v>
      </c>
      <c r="P257" s="180">
        <v>0</v>
      </c>
      <c r="Q257" s="182">
        <v>0</v>
      </c>
      <c r="R257" s="183" t="s">
        <v>883</v>
      </c>
      <c r="S257" s="174" t="s">
        <v>1211</v>
      </c>
      <c r="T257" s="44">
        <v>1</v>
      </c>
      <c r="U257" s="184">
        <v>51</v>
      </c>
      <c r="V257" s="185">
        <v>26</v>
      </c>
      <c r="W257" s="186">
        <v>2527</v>
      </c>
      <c r="X257" s="187">
        <v>2023</v>
      </c>
      <c r="Y257" s="188">
        <v>20</v>
      </c>
      <c r="Z257" s="188" t="s">
        <v>883</v>
      </c>
      <c r="AA257" s="187" t="s">
        <v>883</v>
      </c>
      <c r="AB257" s="188">
        <v>0</v>
      </c>
      <c r="AC257" s="188"/>
      <c r="AD257" s="189" t="s">
        <v>883</v>
      </c>
      <c r="AE257" s="190" t="s">
        <v>883</v>
      </c>
      <c r="AF257" s="180">
        <v>0</v>
      </c>
      <c r="AG257" s="183">
        <v>42381</v>
      </c>
      <c r="AH257" s="183" t="s">
        <v>883</v>
      </c>
      <c r="AI257" s="183">
        <v>42349</v>
      </c>
      <c r="AJ257" s="183" t="s">
        <v>883</v>
      </c>
      <c r="AK257" s="174"/>
    </row>
    <row r="258" spans="1:37" x14ac:dyDescent="0.3">
      <c r="A258" s="173">
        <v>34801</v>
      </c>
      <c r="B258" s="174" t="s">
        <v>1255</v>
      </c>
      <c r="C258" s="175" t="s">
        <v>256</v>
      </c>
      <c r="D258" s="176">
        <v>2.84</v>
      </c>
      <c r="E258" s="174"/>
      <c r="F258" s="174" t="s">
        <v>1063</v>
      </c>
      <c r="G258" s="174" t="s">
        <v>1195</v>
      </c>
      <c r="H258" s="177">
        <v>2971</v>
      </c>
      <c r="I258" s="24">
        <v>103003</v>
      </c>
      <c r="J258" s="178">
        <v>2.84</v>
      </c>
      <c r="K258" s="177">
        <v>2590</v>
      </c>
      <c r="L258" s="179">
        <v>12.379166666666666</v>
      </c>
      <c r="M258" s="180">
        <v>0</v>
      </c>
      <c r="N258" s="178">
        <v>0</v>
      </c>
      <c r="O258" s="181" t="s">
        <v>1196</v>
      </c>
      <c r="P258" s="180">
        <v>13100</v>
      </c>
      <c r="Q258" s="182">
        <v>37204</v>
      </c>
      <c r="R258" s="183">
        <v>45327</v>
      </c>
      <c r="S258" s="174" t="s">
        <v>1197</v>
      </c>
      <c r="T258" s="44">
        <v>1</v>
      </c>
      <c r="U258" s="184">
        <v>51</v>
      </c>
      <c r="V258" s="185">
        <v>7</v>
      </c>
      <c r="W258" s="186" t="s">
        <v>883</v>
      </c>
      <c r="X258" s="187" t="s">
        <v>883</v>
      </c>
      <c r="Y258" s="188">
        <v>0</v>
      </c>
      <c r="Z258" s="188" t="s">
        <v>883</v>
      </c>
      <c r="AA258" s="187" t="s">
        <v>883</v>
      </c>
      <c r="AB258" s="188">
        <v>0</v>
      </c>
      <c r="AC258" s="188"/>
      <c r="AD258" s="189" t="s">
        <v>883</v>
      </c>
      <c r="AE258" s="190" t="s">
        <v>883</v>
      </c>
      <c r="AF258" s="180">
        <v>960</v>
      </c>
      <c r="AG258" s="183">
        <v>45132</v>
      </c>
      <c r="AH258" s="183" t="s">
        <v>883</v>
      </c>
      <c r="AI258" s="183">
        <v>45082</v>
      </c>
      <c r="AJ258" s="183" t="s">
        <v>883</v>
      </c>
      <c r="AK258" s="174"/>
    </row>
    <row r="259" spans="1:37" x14ac:dyDescent="0.3">
      <c r="A259" s="173">
        <v>35224</v>
      </c>
      <c r="B259" s="174" t="s">
        <v>1256</v>
      </c>
      <c r="C259" s="175" t="s">
        <v>256</v>
      </c>
      <c r="D259" s="176">
        <v>48</v>
      </c>
      <c r="E259" s="174"/>
      <c r="F259" s="174"/>
      <c r="G259" s="174" t="s">
        <v>883</v>
      </c>
      <c r="H259" s="177">
        <v>0</v>
      </c>
      <c r="I259" s="24">
        <v>103003</v>
      </c>
      <c r="J259" s="178">
        <v>48</v>
      </c>
      <c r="K259" s="177">
        <v>19</v>
      </c>
      <c r="L259" s="179">
        <v>0</v>
      </c>
      <c r="M259" s="180">
        <v>3.04</v>
      </c>
      <c r="N259" s="178">
        <v>145.91999999999999</v>
      </c>
      <c r="O259" s="181" t="s">
        <v>882</v>
      </c>
      <c r="P259" s="180">
        <v>0</v>
      </c>
      <c r="Q259" s="182">
        <v>0</v>
      </c>
      <c r="R259" s="183" t="s">
        <v>883</v>
      </c>
      <c r="S259" s="174" t="s">
        <v>1009</v>
      </c>
      <c r="T259" s="44">
        <v>1</v>
      </c>
      <c r="U259" s="184">
        <v>61</v>
      </c>
      <c r="V259" s="185">
        <v>15</v>
      </c>
      <c r="W259" s="186">
        <v>2556</v>
      </c>
      <c r="X259" s="187">
        <v>2023</v>
      </c>
      <c r="Y259" s="188">
        <v>20</v>
      </c>
      <c r="Z259" s="188" t="s">
        <v>883</v>
      </c>
      <c r="AA259" s="187" t="s">
        <v>883</v>
      </c>
      <c r="AB259" s="188">
        <v>0</v>
      </c>
      <c r="AC259" s="188"/>
      <c r="AD259" s="189" t="s">
        <v>883</v>
      </c>
      <c r="AE259" s="190" t="s">
        <v>883</v>
      </c>
      <c r="AF259" s="180">
        <v>8</v>
      </c>
      <c r="AG259" s="183">
        <v>44558</v>
      </c>
      <c r="AH259" s="183" t="s">
        <v>883</v>
      </c>
      <c r="AI259" s="183">
        <v>44750</v>
      </c>
      <c r="AJ259" s="183" t="s">
        <v>883</v>
      </c>
      <c r="AK259" s="174"/>
    </row>
    <row r="260" spans="1:37" x14ac:dyDescent="0.3">
      <c r="A260" s="173">
        <v>35256</v>
      </c>
      <c r="B260" s="174" t="s">
        <v>1257</v>
      </c>
      <c r="C260" s="175" t="s">
        <v>294</v>
      </c>
      <c r="D260" s="176">
        <v>6</v>
      </c>
      <c r="E260" s="174"/>
      <c r="F260" s="174"/>
      <c r="G260" s="174" t="s">
        <v>883</v>
      </c>
      <c r="H260" s="177">
        <v>157</v>
      </c>
      <c r="I260" s="24">
        <v>103003</v>
      </c>
      <c r="J260" s="178">
        <v>6</v>
      </c>
      <c r="K260" s="177">
        <v>18</v>
      </c>
      <c r="L260" s="179">
        <v>104.66666666666666</v>
      </c>
      <c r="M260" s="180">
        <v>0</v>
      </c>
      <c r="N260" s="178">
        <v>0</v>
      </c>
      <c r="O260" s="181" t="s">
        <v>882</v>
      </c>
      <c r="P260" s="180">
        <v>0</v>
      </c>
      <c r="Q260" s="182">
        <v>0</v>
      </c>
      <c r="R260" s="183" t="s">
        <v>883</v>
      </c>
      <c r="S260" s="174" t="s">
        <v>1258</v>
      </c>
      <c r="T260" s="44">
        <v>1</v>
      </c>
      <c r="U260" s="184">
        <v>69</v>
      </c>
      <c r="V260" s="185">
        <v>3</v>
      </c>
      <c r="W260" s="186" t="s">
        <v>883</v>
      </c>
      <c r="X260" s="187" t="s">
        <v>883</v>
      </c>
      <c r="Y260" s="188">
        <v>0</v>
      </c>
      <c r="Z260" s="188" t="s">
        <v>883</v>
      </c>
      <c r="AA260" s="187" t="s">
        <v>883</v>
      </c>
      <c r="AB260" s="188">
        <v>0</v>
      </c>
      <c r="AC260" s="188"/>
      <c r="AD260" s="189" t="s">
        <v>883</v>
      </c>
      <c r="AE260" s="190" t="s">
        <v>883</v>
      </c>
      <c r="AF260" s="180">
        <v>6</v>
      </c>
      <c r="AG260" s="183">
        <v>43749</v>
      </c>
      <c r="AH260" s="183" t="s">
        <v>883</v>
      </c>
      <c r="AI260" s="183">
        <v>43734</v>
      </c>
      <c r="AJ260" s="183" t="s">
        <v>883</v>
      </c>
      <c r="AK260" s="174"/>
    </row>
    <row r="261" spans="1:37" x14ac:dyDescent="0.3">
      <c r="A261" s="173">
        <v>35550</v>
      </c>
      <c r="B261" s="174" t="s">
        <v>1259</v>
      </c>
      <c r="C261" s="175" t="s">
        <v>569</v>
      </c>
      <c r="D261" s="176">
        <v>0.4</v>
      </c>
      <c r="E261" s="174"/>
      <c r="F261" s="174"/>
      <c r="G261" s="174" t="s">
        <v>883</v>
      </c>
      <c r="H261" s="177">
        <v>39</v>
      </c>
      <c r="I261" s="24">
        <v>103003</v>
      </c>
      <c r="J261" s="178">
        <v>0.4</v>
      </c>
      <c r="K261" s="177">
        <v>76</v>
      </c>
      <c r="L261" s="179">
        <v>6.1611374407582939</v>
      </c>
      <c r="M261" s="180">
        <v>36.96</v>
      </c>
      <c r="N261" s="178">
        <v>14.784000000000001</v>
      </c>
      <c r="O261" s="181" t="s">
        <v>882</v>
      </c>
      <c r="P261" s="180">
        <v>0</v>
      </c>
      <c r="Q261" s="182">
        <v>0</v>
      </c>
      <c r="R261" s="183" t="s">
        <v>883</v>
      </c>
      <c r="S261" s="174" t="s">
        <v>994</v>
      </c>
      <c r="T261" s="44">
        <v>1</v>
      </c>
      <c r="U261" s="184">
        <v>83</v>
      </c>
      <c r="V261" s="185">
        <v>2</v>
      </c>
      <c r="W261" s="186" t="s">
        <v>883</v>
      </c>
      <c r="X261" s="187" t="s">
        <v>883</v>
      </c>
      <c r="Y261" s="188">
        <v>0</v>
      </c>
      <c r="Z261" s="188" t="s">
        <v>883</v>
      </c>
      <c r="AA261" s="187" t="s">
        <v>883</v>
      </c>
      <c r="AB261" s="188">
        <v>0</v>
      </c>
      <c r="AC261" s="188"/>
      <c r="AD261" s="189" t="s">
        <v>883</v>
      </c>
      <c r="AE261" s="190" t="s">
        <v>883</v>
      </c>
      <c r="AF261" s="180">
        <v>26</v>
      </c>
      <c r="AG261" s="183">
        <v>43257</v>
      </c>
      <c r="AH261" s="183" t="s">
        <v>883</v>
      </c>
      <c r="AI261" s="183">
        <v>43217</v>
      </c>
      <c r="AJ261" s="183" t="s">
        <v>883</v>
      </c>
      <c r="AK261" s="174"/>
    </row>
    <row r="262" spans="1:37" x14ac:dyDescent="0.3">
      <c r="A262" s="173">
        <v>35554</v>
      </c>
      <c r="B262" s="174" t="s">
        <v>1260</v>
      </c>
      <c r="C262" s="175" t="s">
        <v>569</v>
      </c>
      <c r="D262" s="176">
        <v>0.5</v>
      </c>
      <c r="E262" s="174"/>
      <c r="F262" s="174"/>
      <c r="G262" s="174" t="s">
        <v>883</v>
      </c>
      <c r="H262" s="177">
        <v>0</v>
      </c>
      <c r="I262" s="24">
        <v>103003</v>
      </c>
      <c r="J262" s="178">
        <v>0.5</v>
      </c>
      <c r="K262" s="177">
        <v>48</v>
      </c>
      <c r="L262" s="179">
        <v>0</v>
      </c>
      <c r="M262" s="180">
        <v>28</v>
      </c>
      <c r="N262" s="178">
        <v>14</v>
      </c>
      <c r="O262" s="181" t="s">
        <v>882</v>
      </c>
      <c r="P262" s="180">
        <v>0</v>
      </c>
      <c r="Q262" s="182">
        <v>0</v>
      </c>
      <c r="R262" s="183" t="s">
        <v>883</v>
      </c>
      <c r="S262" s="174" t="s">
        <v>994</v>
      </c>
      <c r="T262" s="44">
        <v>1</v>
      </c>
      <c r="U262" s="184">
        <v>83</v>
      </c>
      <c r="V262" s="185">
        <v>2</v>
      </c>
      <c r="W262" s="186">
        <v>2995</v>
      </c>
      <c r="X262" s="187">
        <v>2023</v>
      </c>
      <c r="Y262" s="188">
        <v>20</v>
      </c>
      <c r="Z262" s="188" t="s">
        <v>883</v>
      </c>
      <c r="AA262" s="187" t="s">
        <v>883</v>
      </c>
      <c r="AB262" s="188">
        <v>0</v>
      </c>
      <c r="AC262" s="188"/>
      <c r="AD262" s="189" t="s">
        <v>883</v>
      </c>
      <c r="AE262" s="190" t="s">
        <v>883</v>
      </c>
      <c r="AF262" s="180">
        <v>16</v>
      </c>
      <c r="AG262" s="183">
        <v>43644</v>
      </c>
      <c r="AH262" s="183" t="s">
        <v>883</v>
      </c>
      <c r="AI262" s="183">
        <v>43622</v>
      </c>
      <c r="AJ262" s="183" t="s">
        <v>883</v>
      </c>
      <c r="AK262" s="174"/>
    </row>
    <row r="263" spans="1:37" x14ac:dyDescent="0.3">
      <c r="A263" s="173">
        <v>35555</v>
      </c>
      <c r="B263" s="174" t="s">
        <v>1261</v>
      </c>
      <c r="C263" s="175" t="s">
        <v>569</v>
      </c>
      <c r="D263" s="176">
        <v>0.4</v>
      </c>
      <c r="E263" s="174"/>
      <c r="F263" s="174"/>
      <c r="G263" s="174" t="s">
        <v>883</v>
      </c>
      <c r="H263" s="177">
        <v>63</v>
      </c>
      <c r="I263" s="24">
        <v>103003</v>
      </c>
      <c r="J263" s="178">
        <v>0.4</v>
      </c>
      <c r="K263" s="177">
        <v>75</v>
      </c>
      <c r="L263" s="179">
        <v>10.08</v>
      </c>
      <c r="M263" s="180">
        <v>12</v>
      </c>
      <c r="N263" s="178">
        <v>4.8</v>
      </c>
      <c r="O263" s="181" t="s">
        <v>882</v>
      </c>
      <c r="P263" s="180">
        <v>0</v>
      </c>
      <c r="Q263" s="182">
        <v>0</v>
      </c>
      <c r="R263" s="183" t="s">
        <v>883</v>
      </c>
      <c r="S263" s="174" t="s">
        <v>994</v>
      </c>
      <c r="T263" s="44">
        <v>1</v>
      </c>
      <c r="U263" s="184">
        <v>83</v>
      </c>
      <c r="V263" s="185">
        <v>2</v>
      </c>
      <c r="W263" s="186" t="s">
        <v>883</v>
      </c>
      <c r="X263" s="187" t="s">
        <v>883</v>
      </c>
      <c r="Y263" s="188">
        <v>0</v>
      </c>
      <c r="Z263" s="188" t="s">
        <v>883</v>
      </c>
      <c r="AA263" s="187" t="s">
        <v>883</v>
      </c>
      <c r="AB263" s="188">
        <v>0</v>
      </c>
      <c r="AC263" s="188"/>
      <c r="AD263" s="189" t="s">
        <v>883</v>
      </c>
      <c r="AE263" s="190" t="s">
        <v>883</v>
      </c>
      <c r="AF263" s="180">
        <v>26</v>
      </c>
      <c r="AG263" s="183">
        <v>43257</v>
      </c>
      <c r="AH263" s="183" t="s">
        <v>883</v>
      </c>
      <c r="AI263" s="183">
        <v>43217</v>
      </c>
      <c r="AJ263" s="183" t="s">
        <v>883</v>
      </c>
      <c r="AK263" s="174"/>
    </row>
    <row r="264" spans="1:37" x14ac:dyDescent="0.3">
      <c r="A264" s="173">
        <v>36031</v>
      </c>
      <c r="B264" s="174" t="s">
        <v>1262</v>
      </c>
      <c r="C264" s="175" t="s">
        <v>1263</v>
      </c>
      <c r="D264" s="176">
        <v>4.4400000000000004</v>
      </c>
      <c r="E264" s="174"/>
      <c r="F264" s="174"/>
      <c r="G264" s="174" t="s">
        <v>883</v>
      </c>
      <c r="H264" s="177">
        <v>2636</v>
      </c>
      <c r="I264" s="24">
        <v>103003</v>
      </c>
      <c r="J264" s="178">
        <v>4.4400000000000004</v>
      </c>
      <c r="K264" s="177">
        <v>21</v>
      </c>
      <c r="L264" s="179">
        <v>1372.9166666666665</v>
      </c>
      <c r="M264" s="180">
        <v>0</v>
      </c>
      <c r="N264" s="178">
        <v>0</v>
      </c>
      <c r="O264" s="181" t="s">
        <v>882</v>
      </c>
      <c r="P264" s="180">
        <v>0</v>
      </c>
      <c r="Q264" s="182">
        <v>0</v>
      </c>
      <c r="R264" s="183" t="s">
        <v>883</v>
      </c>
      <c r="S264" s="174" t="s">
        <v>989</v>
      </c>
      <c r="T264" s="44">
        <v>1</v>
      </c>
      <c r="U264" s="184">
        <v>67</v>
      </c>
      <c r="V264" s="185">
        <v>6</v>
      </c>
      <c r="W264" s="186" t="s">
        <v>883</v>
      </c>
      <c r="X264" s="187" t="s">
        <v>883</v>
      </c>
      <c r="Y264" s="188">
        <v>0</v>
      </c>
      <c r="Z264" s="188" t="s">
        <v>883</v>
      </c>
      <c r="AA264" s="187" t="s">
        <v>883</v>
      </c>
      <c r="AB264" s="188">
        <v>0</v>
      </c>
      <c r="AC264" s="188"/>
      <c r="AD264" s="189" t="s">
        <v>883</v>
      </c>
      <c r="AE264" s="190" t="s">
        <v>883</v>
      </c>
      <c r="AF264" s="180">
        <v>8</v>
      </c>
      <c r="AG264" s="183">
        <v>43847</v>
      </c>
      <c r="AH264" s="183" t="s">
        <v>883</v>
      </c>
      <c r="AI264" s="183">
        <v>43826</v>
      </c>
      <c r="AJ264" s="183" t="s">
        <v>883</v>
      </c>
      <c r="AK264" s="174"/>
    </row>
    <row r="265" spans="1:37" x14ac:dyDescent="0.3">
      <c r="A265" s="173">
        <v>36399</v>
      </c>
      <c r="B265" s="174" t="s">
        <v>1264</v>
      </c>
      <c r="C265" s="175" t="s">
        <v>256</v>
      </c>
      <c r="D265" s="176">
        <v>5.7</v>
      </c>
      <c r="E265" s="174"/>
      <c r="F265" s="174"/>
      <c r="G265" s="174" t="s">
        <v>883</v>
      </c>
      <c r="H265" s="177">
        <v>143</v>
      </c>
      <c r="I265" s="24">
        <v>103003</v>
      </c>
      <c r="J265" s="178">
        <v>5.7</v>
      </c>
      <c r="K265" s="177">
        <v>40</v>
      </c>
      <c r="L265" s="179">
        <v>42.942942942942949</v>
      </c>
      <c r="M265" s="180">
        <v>0</v>
      </c>
      <c r="N265" s="178">
        <v>0</v>
      </c>
      <c r="O265" s="181" t="s">
        <v>882</v>
      </c>
      <c r="P265" s="180">
        <v>0</v>
      </c>
      <c r="Q265" s="182">
        <v>0</v>
      </c>
      <c r="R265" s="183" t="s">
        <v>883</v>
      </c>
      <c r="S265" s="174" t="s">
        <v>1265</v>
      </c>
      <c r="T265" s="44">
        <v>1</v>
      </c>
      <c r="U265" s="184">
        <v>89</v>
      </c>
      <c r="V265" s="185">
        <v>12</v>
      </c>
      <c r="W265" s="186" t="s">
        <v>883</v>
      </c>
      <c r="X265" s="187" t="s">
        <v>883</v>
      </c>
      <c r="Y265" s="188">
        <v>0</v>
      </c>
      <c r="Z265" s="188" t="s">
        <v>883</v>
      </c>
      <c r="AA265" s="187" t="s">
        <v>883</v>
      </c>
      <c r="AB265" s="188">
        <v>0</v>
      </c>
      <c r="AC265" s="188"/>
      <c r="AD265" s="189" t="s">
        <v>883</v>
      </c>
      <c r="AE265" s="190" t="s">
        <v>883</v>
      </c>
      <c r="AF265" s="180">
        <v>14</v>
      </c>
      <c r="AG265" s="183">
        <v>44406</v>
      </c>
      <c r="AH265" s="183" t="s">
        <v>883</v>
      </c>
      <c r="AI265" s="183">
        <v>44392</v>
      </c>
      <c r="AJ265" s="183" t="s">
        <v>883</v>
      </c>
      <c r="AK265" s="174"/>
    </row>
    <row r="266" spans="1:37" x14ac:dyDescent="0.3">
      <c r="A266" s="173">
        <v>37518</v>
      </c>
      <c r="B266" s="174" t="s">
        <v>1266</v>
      </c>
      <c r="C266" s="175" t="s">
        <v>256</v>
      </c>
      <c r="D266" s="176">
        <v>0.11</v>
      </c>
      <c r="E266" s="174"/>
      <c r="F266" s="174"/>
      <c r="G266" s="174" t="s">
        <v>883</v>
      </c>
      <c r="H266" s="177">
        <v>350</v>
      </c>
      <c r="I266" s="24">
        <v>103003</v>
      </c>
      <c r="J266" s="178">
        <v>0.11</v>
      </c>
      <c r="K266" s="177"/>
      <c r="L266" s="179">
        <v>0</v>
      </c>
      <c r="M266" s="180">
        <v>0</v>
      </c>
      <c r="N266" s="178">
        <v>0</v>
      </c>
      <c r="O266" s="181" t="s">
        <v>882</v>
      </c>
      <c r="P266" s="180">
        <v>0</v>
      </c>
      <c r="Q266" s="182">
        <v>0</v>
      </c>
      <c r="R266" s="183" t="s">
        <v>883</v>
      </c>
      <c r="S266" s="174" t="s">
        <v>1073</v>
      </c>
      <c r="T266" s="44">
        <v>1</v>
      </c>
      <c r="U266" s="184">
        <v>55</v>
      </c>
      <c r="V266" s="185">
        <v>27</v>
      </c>
      <c r="W266" s="186" t="s">
        <v>883</v>
      </c>
      <c r="X266" s="187" t="s">
        <v>883</v>
      </c>
      <c r="Y266" s="188">
        <v>0</v>
      </c>
      <c r="Z266" s="188" t="s">
        <v>883</v>
      </c>
      <c r="AA266" s="187" t="s">
        <v>883</v>
      </c>
      <c r="AB266" s="188">
        <v>0</v>
      </c>
      <c r="AC266" s="188"/>
      <c r="AD266" s="189" t="s">
        <v>883</v>
      </c>
      <c r="AE266" s="190" t="s">
        <v>883</v>
      </c>
      <c r="AF266" s="180">
        <v>0</v>
      </c>
      <c r="AG266" s="183">
        <v>41970</v>
      </c>
      <c r="AH266" s="183" t="s">
        <v>883</v>
      </c>
      <c r="AI266" s="183">
        <v>42142</v>
      </c>
      <c r="AJ266" s="183" t="s">
        <v>883</v>
      </c>
      <c r="AK266" s="174"/>
    </row>
    <row r="267" spans="1:37" x14ac:dyDescent="0.3">
      <c r="A267" s="173">
        <v>37519</v>
      </c>
      <c r="B267" s="174" t="s">
        <v>1267</v>
      </c>
      <c r="C267" s="175" t="s">
        <v>256</v>
      </c>
      <c r="D267" s="176">
        <v>0.25</v>
      </c>
      <c r="E267" s="174"/>
      <c r="F267" s="174"/>
      <c r="G267" s="174" t="s">
        <v>883</v>
      </c>
      <c r="H267" s="177">
        <v>2345</v>
      </c>
      <c r="I267" s="24">
        <v>103003</v>
      </c>
      <c r="J267" s="178">
        <v>0.25</v>
      </c>
      <c r="K267" s="177"/>
      <c r="L267" s="179">
        <v>0</v>
      </c>
      <c r="M267" s="180">
        <v>0</v>
      </c>
      <c r="N267" s="178">
        <v>0</v>
      </c>
      <c r="O267" s="181" t="s">
        <v>882</v>
      </c>
      <c r="P267" s="180">
        <v>0</v>
      </c>
      <c r="Q267" s="182">
        <v>0</v>
      </c>
      <c r="R267" s="183" t="s">
        <v>883</v>
      </c>
      <c r="S267" s="174" t="s">
        <v>1073</v>
      </c>
      <c r="T267" s="44">
        <v>1</v>
      </c>
      <c r="U267" s="184">
        <v>55</v>
      </c>
      <c r="V267" s="185">
        <v>27</v>
      </c>
      <c r="W267" s="186" t="s">
        <v>883</v>
      </c>
      <c r="X267" s="187" t="s">
        <v>883</v>
      </c>
      <c r="Y267" s="188">
        <v>0</v>
      </c>
      <c r="Z267" s="188" t="s">
        <v>883</v>
      </c>
      <c r="AA267" s="187" t="s">
        <v>883</v>
      </c>
      <c r="AB267" s="188">
        <v>0</v>
      </c>
      <c r="AC267" s="188"/>
      <c r="AD267" s="189" t="s">
        <v>883</v>
      </c>
      <c r="AE267" s="190" t="s">
        <v>883</v>
      </c>
      <c r="AF267" s="180">
        <v>0</v>
      </c>
      <c r="AG267" s="183">
        <v>41577</v>
      </c>
      <c r="AH267" s="183" t="s">
        <v>883</v>
      </c>
      <c r="AI267" s="183">
        <v>44027</v>
      </c>
      <c r="AJ267" s="183" t="s">
        <v>883</v>
      </c>
      <c r="AK267" s="174"/>
    </row>
    <row r="268" spans="1:37" x14ac:dyDescent="0.3">
      <c r="A268" s="173">
        <v>37528</v>
      </c>
      <c r="B268" s="174" t="s">
        <v>1268</v>
      </c>
      <c r="C268" s="175" t="s">
        <v>256</v>
      </c>
      <c r="D268" s="176">
        <v>1.91</v>
      </c>
      <c r="E268" s="174"/>
      <c r="F268" s="174"/>
      <c r="G268" s="174" t="s">
        <v>883</v>
      </c>
      <c r="H268" s="177">
        <v>833</v>
      </c>
      <c r="I268" s="24">
        <v>103003</v>
      </c>
      <c r="J268" s="178">
        <v>1.91</v>
      </c>
      <c r="K268" s="177">
        <v>668</v>
      </c>
      <c r="L268" s="179">
        <v>9.6669374492282696</v>
      </c>
      <c r="M268" s="180">
        <v>51.04</v>
      </c>
      <c r="N268" s="178">
        <v>97.486400000000003</v>
      </c>
      <c r="O268" s="181" t="s">
        <v>882</v>
      </c>
      <c r="P268" s="180">
        <v>0</v>
      </c>
      <c r="Q268" s="182">
        <v>0</v>
      </c>
      <c r="R268" s="183" t="s">
        <v>883</v>
      </c>
      <c r="S268" s="174" t="s">
        <v>1030</v>
      </c>
      <c r="T268" s="44">
        <v>1</v>
      </c>
      <c r="U268" s="184">
        <v>67</v>
      </c>
      <c r="V268" s="185">
        <v>1</v>
      </c>
      <c r="W268" s="186">
        <v>2483</v>
      </c>
      <c r="X268" s="187">
        <v>2023</v>
      </c>
      <c r="Y268" s="188">
        <v>150</v>
      </c>
      <c r="Z268" s="188" t="s">
        <v>883</v>
      </c>
      <c r="AA268" s="187" t="s">
        <v>883</v>
      </c>
      <c r="AB268" s="188">
        <v>0</v>
      </c>
      <c r="AC268" s="188"/>
      <c r="AD268" s="189" t="s">
        <v>883</v>
      </c>
      <c r="AE268" s="190" t="s">
        <v>883</v>
      </c>
      <c r="AF268" s="180">
        <v>344</v>
      </c>
      <c r="AG268" s="183">
        <v>44946</v>
      </c>
      <c r="AH268" s="183" t="s">
        <v>883</v>
      </c>
      <c r="AI268" s="183">
        <v>44922</v>
      </c>
      <c r="AJ268" s="183" t="s">
        <v>883</v>
      </c>
      <c r="AK268" s="174"/>
    </row>
    <row r="269" spans="1:37" x14ac:dyDescent="0.3">
      <c r="A269" s="173">
        <v>38534</v>
      </c>
      <c r="B269" s="174" t="s">
        <v>1269</v>
      </c>
      <c r="C269" s="175" t="s">
        <v>256</v>
      </c>
      <c r="D269" s="176">
        <v>2.86</v>
      </c>
      <c r="E269" s="174"/>
      <c r="F269" s="174"/>
      <c r="G269" s="174" t="s">
        <v>883</v>
      </c>
      <c r="H269" s="177">
        <v>102</v>
      </c>
      <c r="I269" s="24">
        <v>103003</v>
      </c>
      <c r="J269" s="178">
        <v>2.86</v>
      </c>
      <c r="K269" s="177">
        <v>6</v>
      </c>
      <c r="L269" s="179">
        <v>175.86206896551724</v>
      </c>
      <c r="M269" s="180">
        <v>0</v>
      </c>
      <c r="N269" s="178">
        <v>0</v>
      </c>
      <c r="O269" s="181" t="s">
        <v>882</v>
      </c>
      <c r="P269" s="180">
        <v>0</v>
      </c>
      <c r="Q269" s="182">
        <v>0</v>
      </c>
      <c r="R269" s="183" t="s">
        <v>883</v>
      </c>
      <c r="S269" s="174" t="s">
        <v>964</v>
      </c>
      <c r="T269" s="44">
        <v>1</v>
      </c>
      <c r="U269" s="184">
        <v>61</v>
      </c>
      <c r="V269" s="185">
        <v>8</v>
      </c>
      <c r="W269" s="186" t="s">
        <v>883</v>
      </c>
      <c r="X269" s="187" t="s">
        <v>883</v>
      </c>
      <c r="Y269" s="188">
        <v>0</v>
      </c>
      <c r="Z269" s="188" t="s">
        <v>883</v>
      </c>
      <c r="AA269" s="187" t="s">
        <v>883</v>
      </c>
      <c r="AB269" s="188">
        <v>0</v>
      </c>
      <c r="AC269" s="188"/>
      <c r="AD269" s="189" t="s">
        <v>883</v>
      </c>
      <c r="AE269" s="190" t="s">
        <v>883</v>
      </c>
      <c r="AF269" s="180">
        <v>2</v>
      </c>
      <c r="AG269" s="183">
        <v>40858</v>
      </c>
      <c r="AH269" s="183" t="s">
        <v>883</v>
      </c>
      <c r="AI269" s="183">
        <v>44291</v>
      </c>
      <c r="AJ269" s="183" t="s">
        <v>883</v>
      </c>
      <c r="AK269" s="174"/>
    </row>
    <row r="270" spans="1:37" x14ac:dyDescent="0.3">
      <c r="A270" s="173">
        <v>38648</v>
      </c>
      <c r="B270" s="174" t="s">
        <v>865</v>
      </c>
      <c r="C270" s="175" t="s">
        <v>331</v>
      </c>
      <c r="D270" s="176">
        <v>5.33</v>
      </c>
      <c r="E270" s="174"/>
      <c r="F270" s="174"/>
      <c r="G270" s="174" t="s">
        <v>883</v>
      </c>
      <c r="H270" s="177">
        <v>308</v>
      </c>
      <c r="I270" s="24">
        <v>103003</v>
      </c>
      <c r="J270" s="178">
        <v>5.33</v>
      </c>
      <c r="K270" s="177"/>
      <c r="L270" s="179">
        <v>0</v>
      </c>
      <c r="M270" s="180">
        <v>0</v>
      </c>
      <c r="N270" s="178">
        <v>0</v>
      </c>
      <c r="O270" s="181" t="s">
        <v>882</v>
      </c>
      <c r="P270" s="180">
        <v>0</v>
      </c>
      <c r="Q270" s="182">
        <v>0</v>
      </c>
      <c r="R270" s="183" t="s">
        <v>883</v>
      </c>
      <c r="S270" s="174" t="s">
        <v>1270</v>
      </c>
      <c r="T270" s="44">
        <v>1</v>
      </c>
      <c r="U270" s="184">
        <v>59</v>
      </c>
      <c r="V270" s="185">
        <v>18</v>
      </c>
      <c r="W270" s="186" t="s">
        <v>883</v>
      </c>
      <c r="X270" s="187" t="s">
        <v>883</v>
      </c>
      <c r="Y270" s="188">
        <v>0</v>
      </c>
      <c r="Z270" s="188" t="s">
        <v>883</v>
      </c>
      <c r="AA270" s="187" t="s">
        <v>883</v>
      </c>
      <c r="AB270" s="188">
        <v>0</v>
      </c>
      <c r="AC270" s="188"/>
      <c r="AD270" s="189" t="s">
        <v>883</v>
      </c>
      <c r="AE270" s="190" t="s">
        <v>883</v>
      </c>
      <c r="AF270" s="180">
        <v>0</v>
      </c>
      <c r="AG270" s="183">
        <v>44034</v>
      </c>
      <c r="AH270" s="183" t="s">
        <v>883</v>
      </c>
      <c r="AI270" s="183">
        <v>44027</v>
      </c>
      <c r="AJ270" s="183" t="s">
        <v>883</v>
      </c>
      <c r="AK270" s="174"/>
    </row>
    <row r="271" spans="1:37" x14ac:dyDescent="0.3">
      <c r="A271" s="173">
        <v>39378</v>
      </c>
      <c r="B271" s="174" t="s">
        <v>1271</v>
      </c>
      <c r="C271" s="175" t="s">
        <v>256</v>
      </c>
      <c r="D271" s="176">
        <v>1.99</v>
      </c>
      <c r="E271" s="174"/>
      <c r="F271" s="174"/>
      <c r="G271" s="174" t="s">
        <v>883</v>
      </c>
      <c r="H271" s="177">
        <v>3962</v>
      </c>
      <c r="I271" s="24">
        <v>103003</v>
      </c>
      <c r="J271" s="178">
        <v>1.99</v>
      </c>
      <c r="K271" s="177"/>
      <c r="L271" s="179">
        <v>0</v>
      </c>
      <c r="M271" s="180">
        <v>0</v>
      </c>
      <c r="N271" s="178">
        <v>0</v>
      </c>
      <c r="O271" s="181" t="s">
        <v>882</v>
      </c>
      <c r="P271" s="180">
        <v>0</v>
      </c>
      <c r="Q271" s="182">
        <v>0</v>
      </c>
      <c r="R271" s="183" t="s">
        <v>883</v>
      </c>
      <c r="S271" s="174" t="s">
        <v>1030</v>
      </c>
      <c r="T271" s="44">
        <v>1</v>
      </c>
      <c r="U271" s="184">
        <v>67</v>
      </c>
      <c r="V271" s="185">
        <v>1</v>
      </c>
      <c r="W271" s="186" t="s">
        <v>883</v>
      </c>
      <c r="X271" s="187" t="s">
        <v>883</v>
      </c>
      <c r="Y271" s="188">
        <v>0</v>
      </c>
      <c r="Z271" s="188" t="s">
        <v>883</v>
      </c>
      <c r="AA271" s="187" t="s">
        <v>883</v>
      </c>
      <c r="AB271" s="188">
        <v>0</v>
      </c>
      <c r="AC271" s="188"/>
      <c r="AD271" s="189" t="s">
        <v>883</v>
      </c>
      <c r="AE271" s="190" t="s">
        <v>883</v>
      </c>
      <c r="AF271" s="180">
        <v>0</v>
      </c>
      <c r="AG271" s="183">
        <v>44600</v>
      </c>
      <c r="AH271" s="183" t="s">
        <v>883</v>
      </c>
      <c r="AI271" s="183">
        <v>44823</v>
      </c>
      <c r="AJ271" s="183" t="s">
        <v>883</v>
      </c>
      <c r="AK271" s="174"/>
    </row>
    <row r="272" spans="1:37" x14ac:dyDescent="0.3">
      <c r="A272" s="173">
        <v>40086</v>
      </c>
      <c r="B272" s="174" t="s">
        <v>1272</v>
      </c>
      <c r="C272" s="175" t="s">
        <v>256</v>
      </c>
      <c r="D272" s="176">
        <v>1.84</v>
      </c>
      <c r="E272" s="174"/>
      <c r="F272" s="174"/>
      <c r="G272" s="174" t="s">
        <v>883</v>
      </c>
      <c r="H272" s="177">
        <v>927</v>
      </c>
      <c r="I272" s="24">
        <v>103003</v>
      </c>
      <c r="J272" s="178">
        <v>1.84</v>
      </c>
      <c r="K272" s="177">
        <v>24</v>
      </c>
      <c r="L272" s="179">
        <v>463.5</v>
      </c>
      <c r="M272" s="180">
        <v>0</v>
      </c>
      <c r="N272" s="178">
        <v>0</v>
      </c>
      <c r="O272" s="181" t="s">
        <v>882</v>
      </c>
      <c r="P272" s="180">
        <v>0</v>
      </c>
      <c r="Q272" s="182">
        <v>0</v>
      </c>
      <c r="R272" s="183" t="s">
        <v>883</v>
      </c>
      <c r="S272" s="174" t="s">
        <v>1273</v>
      </c>
      <c r="T272" s="44">
        <v>1</v>
      </c>
      <c r="U272" s="184">
        <v>51</v>
      </c>
      <c r="V272" s="185">
        <v>17</v>
      </c>
      <c r="W272" s="186" t="s">
        <v>883</v>
      </c>
      <c r="X272" s="187" t="s">
        <v>883</v>
      </c>
      <c r="Y272" s="188">
        <v>0</v>
      </c>
      <c r="Z272" s="188" t="s">
        <v>883</v>
      </c>
      <c r="AA272" s="187" t="s">
        <v>883</v>
      </c>
      <c r="AB272" s="188">
        <v>0</v>
      </c>
      <c r="AC272" s="188"/>
      <c r="AD272" s="189" t="s">
        <v>883</v>
      </c>
      <c r="AE272" s="190" t="s">
        <v>883</v>
      </c>
      <c r="AF272" s="180">
        <v>8</v>
      </c>
      <c r="AG272" s="183">
        <v>39646</v>
      </c>
      <c r="AH272" s="183" t="s">
        <v>883</v>
      </c>
      <c r="AI272" s="183">
        <v>44945</v>
      </c>
      <c r="AJ272" s="183" t="s">
        <v>883</v>
      </c>
      <c r="AK272" s="174"/>
    </row>
    <row r="273" spans="1:37" x14ac:dyDescent="0.3">
      <c r="A273" s="173">
        <v>40251</v>
      </c>
      <c r="B273" s="174" t="s">
        <v>1274</v>
      </c>
      <c r="C273" s="175" t="s">
        <v>256</v>
      </c>
      <c r="D273" s="176">
        <v>10.66</v>
      </c>
      <c r="E273" s="174"/>
      <c r="F273" s="174"/>
      <c r="G273" s="174" t="s">
        <v>883</v>
      </c>
      <c r="H273" s="177">
        <v>0</v>
      </c>
      <c r="I273" s="24">
        <v>103003</v>
      </c>
      <c r="J273" s="178">
        <v>10.66</v>
      </c>
      <c r="K273" s="177">
        <v>466</v>
      </c>
      <c r="L273" s="179">
        <v>0</v>
      </c>
      <c r="M273" s="180">
        <v>448.04</v>
      </c>
      <c r="N273" s="178">
        <v>4776.1063999999997</v>
      </c>
      <c r="O273" s="181" t="s">
        <v>882</v>
      </c>
      <c r="P273" s="180">
        <v>0</v>
      </c>
      <c r="Q273" s="182">
        <v>0</v>
      </c>
      <c r="R273" s="183" t="s">
        <v>883</v>
      </c>
      <c r="S273" s="174" t="s">
        <v>1275</v>
      </c>
      <c r="T273" s="44">
        <v>1</v>
      </c>
      <c r="U273" s="184">
        <v>83</v>
      </c>
      <c r="V273" s="185">
        <v>4</v>
      </c>
      <c r="W273" s="186">
        <v>2684</v>
      </c>
      <c r="X273" s="187">
        <v>2023</v>
      </c>
      <c r="Y273" s="188">
        <v>100</v>
      </c>
      <c r="Z273" s="188" t="s">
        <v>883</v>
      </c>
      <c r="AA273" s="187" t="s">
        <v>883</v>
      </c>
      <c r="AB273" s="188">
        <v>0</v>
      </c>
      <c r="AC273" s="188"/>
      <c r="AD273" s="189" t="s">
        <v>883</v>
      </c>
      <c r="AE273" s="190" t="s">
        <v>883</v>
      </c>
      <c r="AF273" s="180">
        <v>182</v>
      </c>
      <c r="AG273" s="183">
        <v>44599</v>
      </c>
      <c r="AH273" s="183" t="s">
        <v>883</v>
      </c>
      <c r="AI273" s="183">
        <v>44594</v>
      </c>
      <c r="AJ273" s="183" t="s">
        <v>883</v>
      </c>
      <c r="AK273" s="174"/>
    </row>
    <row r="274" spans="1:37" x14ac:dyDescent="0.3">
      <c r="A274" s="173">
        <v>40772</v>
      </c>
      <c r="B274" s="174" t="s">
        <v>1276</v>
      </c>
      <c r="C274" s="175" t="s">
        <v>256</v>
      </c>
      <c r="D274" s="176">
        <v>2.17</v>
      </c>
      <c r="E274" s="174"/>
      <c r="F274" s="174"/>
      <c r="G274" s="174" t="s">
        <v>883</v>
      </c>
      <c r="H274" s="177">
        <v>163</v>
      </c>
      <c r="I274" s="24">
        <v>103003</v>
      </c>
      <c r="J274" s="178">
        <v>2.17</v>
      </c>
      <c r="K274" s="177">
        <v>13</v>
      </c>
      <c r="L274" s="179">
        <v>150.92592592592592</v>
      </c>
      <c r="M274" s="180">
        <v>0</v>
      </c>
      <c r="N274" s="178">
        <v>0</v>
      </c>
      <c r="O274" s="181" t="s">
        <v>882</v>
      </c>
      <c r="P274" s="180">
        <v>0</v>
      </c>
      <c r="Q274" s="182">
        <v>0</v>
      </c>
      <c r="R274" s="183" t="s">
        <v>883</v>
      </c>
      <c r="S274" s="174" t="s">
        <v>964</v>
      </c>
      <c r="T274" s="44">
        <v>1</v>
      </c>
      <c r="U274" s="184">
        <v>61</v>
      </c>
      <c r="V274" s="185">
        <v>8</v>
      </c>
      <c r="W274" s="186" t="s">
        <v>883</v>
      </c>
      <c r="X274" s="187" t="s">
        <v>883</v>
      </c>
      <c r="Y274" s="188">
        <v>0</v>
      </c>
      <c r="Z274" s="188" t="s">
        <v>883</v>
      </c>
      <c r="AA274" s="187" t="s">
        <v>883</v>
      </c>
      <c r="AB274" s="188">
        <v>0</v>
      </c>
      <c r="AC274" s="188"/>
      <c r="AD274" s="189" t="s">
        <v>883</v>
      </c>
      <c r="AE274" s="190" t="s">
        <v>883</v>
      </c>
      <c r="AF274" s="180">
        <v>4</v>
      </c>
      <c r="AG274" s="183">
        <v>42654</v>
      </c>
      <c r="AH274" s="183" t="s">
        <v>883</v>
      </c>
      <c r="AI274" s="183">
        <v>42948</v>
      </c>
      <c r="AJ274" s="183" t="s">
        <v>883</v>
      </c>
      <c r="AK274" s="174"/>
    </row>
    <row r="275" spans="1:37" x14ac:dyDescent="0.3">
      <c r="A275" s="173">
        <v>42566</v>
      </c>
      <c r="B275" s="174" t="s">
        <v>1277</v>
      </c>
      <c r="C275" s="175" t="s">
        <v>31</v>
      </c>
      <c r="D275" s="176">
        <v>309.08999999999997</v>
      </c>
      <c r="E275" s="174"/>
      <c r="F275" s="174"/>
      <c r="G275" s="174" t="s">
        <v>883</v>
      </c>
      <c r="H275" s="177">
        <v>49</v>
      </c>
      <c r="I275" s="24">
        <v>103003</v>
      </c>
      <c r="J275" s="178">
        <v>309.08999999999997</v>
      </c>
      <c r="K275" s="177">
        <v>20</v>
      </c>
      <c r="L275" s="179">
        <v>29.341317365269461</v>
      </c>
      <c r="M275" s="180">
        <v>0</v>
      </c>
      <c r="N275" s="178">
        <v>0</v>
      </c>
      <c r="O275" s="181" t="s">
        <v>882</v>
      </c>
      <c r="P275" s="180">
        <v>0</v>
      </c>
      <c r="Q275" s="182">
        <v>0</v>
      </c>
      <c r="R275" s="183" t="s">
        <v>883</v>
      </c>
      <c r="S275" s="174" t="s">
        <v>1278</v>
      </c>
      <c r="T275" s="44">
        <v>1</v>
      </c>
      <c r="U275" s="184">
        <v>51</v>
      </c>
      <c r="V275" s="185">
        <v>28</v>
      </c>
      <c r="W275" s="186" t="s">
        <v>883</v>
      </c>
      <c r="X275" s="187" t="s">
        <v>883</v>
      </c>
      <c r="Y275" s="188">
        <v>0</v>
      </c>
      <c r="Z275" s="188" t="s">
        <v>883</v>
      </c>
      <c r="AA275" s="187" t="s">
        <v>883</v>
      </c>
      <c r="AB275" s="188">
        <v>0</v>
      </c>
      <c r="AC275" s="188"/>
      <c r="AD275" s="189" t="s">
        <v>883</v>
      </c>
      <c r="AE275" s="190" t="s">
        <v>883</v>
      </c>
      <c r="AF275" s="180">
        <v>6</v>
      </c>
      <c r="AG275" s="183">
        <v>45005</v>
      </c>
      <c r="AH275" s="183" t="s">
        <v>883</v>
      </c>
      <c r="AI275" s="183">
        <v>44995</v>
      </c>
      <c r="AJ275" s="183" t="s">
        <v>883</v>
      </c>
      <c r="AK275" s="174"/>
    </row>
    <row r="276" spans="1:37" x14ac:dyDescent="0.3">
      <c r="A276" s="173">
        <v>42854</v>
      </c>
      <c r="B276" s="174" t="s">
        <v>1279</v>
      </c>
      <c r="C276" s="175" t="s">
        <v>256</v>
      </c>
      <c r="D276" s="176">
        <v>109.5</v>
      </c>
      <c r="E276" s="174"/>
      <c r="F276" s="174"/>
      <c r="G276" s="174" t="s">
        <v>883</v>
      </c>
      <c r="H276" s="177">
        <v>675</v>
      </c>
      <c r="I276" s="24">
        <v>103003</v>
      </c>
      <c r="J276" s="178">
        <v>109.5</v>
      </c>
      <c r="K276" s="177">
        <v>680</v>
      </c>
      <c r="L276" s="179">
        <v>7.584269662921348</v>
      </c>
      <c r="M276" s="180">
        <v>0</v>
      </c>
      <c r="N276" s="178">
        <v>0</v>
      </c>
      <c r="O276" s="181" t="s">
        <v>882</v>
      </c>
      <c r="P276" s="180">
        <v>0</v>
      </c>
      <c r="Q276" s="182">
        <v>0</v>
      </c>
      <c r="R276" s="183" t="s">
        <v>883</v>
      </c>
      <c r="S276" s="174" t="s">
        <v>1280</v>
      </c>
      <c r="T276" s="44">
        <v>1</v>
      </c>
      <c r="U276" s="184">
        <v>49</v>
      </c>
      <c r="V276" s="185">
        <v>8</v>
      </c>
      <c r="W276" s="186">
        <v>3004</v>
      </c>
      <c r="X276" s="187">
        <v>2023</v>
      </c>
      <c r="Y276" s="188">
        <v>500</v>
      </c>
      <c r="Z276" s="188" t="s">
        <v>883</v>
      </c>
      <c r="AA276" s="187" t="s">
        <v>883</v>
      </c>
      <c r="AB276" s="188">
        <v>0</v>
      </c>
      <c r="AC276" s="188"/>
      <c r="AD276" s="189" t="s">
        <v>883</v>
      </c>
      <c r="AE276" s="190" t="s">
        <v>883</v>
      </c>
      <c r="AF276" s="180">
        <v>356</v>
      </c>
      <c r="AG276" s="183">
        <v>44991</v>
      </c>
      <c r="AH276" s="183" t="s">
        <v>883</v>
      </c>
      <c r="AI276" s="183">
        <v>44939</v>
      </c>
      <c r="AJ276" s="183" t="s">
        <v>883</v>
      </c>
      <c r="AK276" s="174"/>
    </row>
    <row r="277" spans="1:37" x14ac:dyDescent="0.3">
      <c r="A277" s="173">
        <v>44398</v>
      </c>
      <c r="B277" s="174" t="s">
        <v>1281</v>
      </c>
      <c r="C277" s="175" t="s">
        <v>294</v>
      </c>
      <c r="D277" s="176">
        <v>82</v>
      </c>
      <c r="E277" s="174"/>
      <c r="F277" s="174"/>
      <c r="G277" s="174" t="s">
        <v>883</v>
      </c>
      <c r="H277" s="177">
        <v>1454</v>
      </c>
      <c r="I277" s="24">
        <v>103003</v>
      </c>
      <c r="J277" s="178">
        <v>82</v>
      </c>
      <c r="K277" s="177">
        <v>526</v>
      </c>
      <c r="L277" s="179">
        <v>17.005847953216374</v>
      </c>
      <c r="M277" s="180">
        <v>0</v>
      </c>
      <c r="N277" s="178">
        <v>0</v>
      </c>
      <c r="O277" s="181" t="s">
        <v>882</v>
      </c>
      <c r="P277" s="180">
        <v>0</v>
      </c>
      <c r="Q277" s="182">
        <v>0</v>
      </c>
      <c r="R277" s="183" t="s">
        <v>883</v>
      </c>
      <c r="S277" s="174" t="s">
        <v>1037</v>
      </c>
      <c r="T277" s="44">
        <v>1</v>
      </c>
      <c r="U277" s="184">
        <v>69</v>
      </c>
      <c r="V277" s="185">
        <v>10</v>
      </c>
      <c r="W277" s="186" t="s">
        <v>883</v>
      </c>
      <c r="X277" s="187" t="s">
        <v>883</v>
      </c>
      <c r="Y277" s="188">
        <v>0</v>
      </c>
      <c r="Z277" s="188" t="s">
        <v>883</v>
      </c>
      <c r="AA277" s="187" t="s">
        <v>883</v>
      </c>
      <c r="AB277" s="188">
        <v>0</v>
      </c>
      <c r="AC277" s="188"/>
      <c r="AD277" s="189" t="s">
        <v>883</v>
      </c>
      <c r="AE277" s="190" t="s">
        <v>883</v>
      </c>
      <c r="AF277" s="180">
        <v>342</v>
      </c>
      <c r="AG277" s="183">
        <v>44924</v>
      </c>
      <c r="AH277" s="183" t="s">
        <v>883</v>
      </c>
      <c r="AI277" s="183">
        <v>44881</v>
      </c>
      <c r="AJ277" s="183" t="s">
        <v>883</v>
      </c>
      <c r="AK277" s="174"/>
    </row>
    <row r="278" spans="1:37" x14ac:dyDescent="0.3">
      <c r="A278" s="173">
        <v>44789</v>
      </c>
      <c r="B278" s="174" t="s">
        <v>1282</v>
      </c>
      <c r="C278" s="175" t="s">
        <v>256</v>
      </c>
      <c r="D278" s="176">
        <v>3.65</v>
      </c>
      <c r="E278" s="174"/>
      <c r="F278" s="174"/>
      <c r="G278" s="174" t="s">
        <v>883</v>
      </c>
      <c r="H278" s="177">
        <v>123</v>
      </c>
      <c r="I278" s="24">
        <v>103003</v>
      </c>
      <c r="J278" s="178">
        <v>3.65</v>
      </c>
      <c r="K278" s="177">
        <v>29</v>
      </c>
      <c r="L278" s="179">
        <v>50.826446280991732</v>
      </c>
      <c r="M278" s="180">
        <v>0</v>
      </c>
      <c r="N278" s="178">
        <v>0</v>
      </c>
      <c r="O278" s="181" t="s">
        <v>882</v>
      </c>
      <c r="P278" s="180">
        <v>0</v>
      </c>
      <c r="Q278" s="182">
        <v>0</v>
      </c>
      <c r="R278" s="183" t="s">
        <v>883</v>
      </c>
      <c r="S278" s="174" t="s">
        <v>964</v>
      </c>
      <c r="T278" s="44">
        <v>1</v>
      </c>
      <c r="U278" s="184">
        <v>61</v>
      </c>
      <c r="V278" s="185">
        <v>8</v>
      </c>
      <c r="W278" s="186" t="s">
        <v>883</v>
      </c>
      <c r="X278" s="187" t="s">
        <v>883</v>
      </c>
      <c r="Y278" s="188">
        <v>0</v>
      </c>
      <c r="Z278" s="188" t="s">
        <v>883</v>
      </c>
      <c r="AA278" s="187" t="s">
        <v>883</v>
      </c>
      <c r="AB278" s="188">
        <v>0</v>
      </c>
      <c r="AC278" s="188"/>
      <c r="AD278" s="189" t="s">
        <v>883</v>
      </c>
      <c r="AE278" s="190" t="s">
        <v>883</v>
      </c>
      <c r="AF278" s="180">
        <v>10</v>
      </c>
      <c r="AG278" s="183">
        <v>43455</v>
      </c>
      <c r="AH278" s="183" t="s">
        <v>883</v>
      </c>
      <c r="AI278" s="183">
        <v>43376</v>
      </c>
      <c r="AJ278" s="183" t="s">
        <v>883</v>
      </c>
      <c r="AK278" s="174"/>
    </row>
    <row r="279" spans="1:37" x14ac:dyDescent="0.3">
      <c r="A279" s="173">
        <v>45607</v>
      </c>
      <c r="B279" s="174" t="s">
        <v>1283</v>
      </c>
      <c r="C279" s="175" t="s">
        <v>256</v>
      </c>
      <c r="D279" s="176">
        <v>8.51</v>
      </c>
      <c r="E279" s="174"/>
      <c r="F279" s="174"/>
      <c r="G279" s="174" t="s">
        <v>883</v>
      </c>
      <c r="H279" s="177">
        <v>662</v>
      </c>
      <c r="I279" s="24">
        <v>103003</v>
      </c>
      <c r="J279" s="178">
        <v>8.51</v>
      </c>
      <c r="K279" s="177">
        <v>350</v>
      </c>
      <c r="L279" s="179">
        <v>17.733726225555856</v>
      </c>
      <c r="M279" s="180">
        <v>0</v>
      </c>
      <c r="N279" s="178">
        <v>0</v>
      </c>
      <c r="O279" s="181" t="s">
        <v>882</v>
      </c>
      <c r="P279" s="180">
        <v>0</v>
      </c>
      <c r="Q279" s="182">
        <v>0</v>
      </c>
      <c r="R279" s="183" t="s">
        <v>883</v>
      </c>
      <c r="S279" s="174" t="s">
        <v>964</v>
      </c>
      <c r="T279" s="44">
        <v>1</v>
      </c>
      <c r="U279" s="184">
        <v>61</v>
      </c>
      <c r="V279" s="185">
        <v>8</v>
      </c>
      <c r="W279" s="186">
        <v>2517</v>
      </c>
      <c r="X279" s="187">
        <v>2023</v>
      </c>
      <c r="Y279" s="188">
        <v>100</v>
      </c>
      <c r="Z279" s="188" t="s">
        <v>883</v>
      </c>
      <c r="AA279" s="187" t="s">
        <v>883</v>
      </c>
      <c r="AB279" s="188">
        <v>0</v>
      </c>
      <c r="AC279" s="188"/>
      <c r="AD279" s="189" t="s">
        <v>883</v>
      </c>
      <c r="AE279" s="190" t="s">
        <v>883</v>
      </c>
      <c r="AF279" s="180">
        <v>150</v>
      </c>
      <c r="AG279" s="183">
        <v>44833</v>
      </c>
      <c r="AH279" s="183" t="s">
        <v>883</v>
      </c>
      <c r="AI279" s="183">
        <v>44805</v>
      </c>
      <c r="AJ279" s="183" t="s">
        <v>883</v>
      </c>
      <c r="AK279" s="174"/>
    </row>
    <row r="280" spans="1:37" x14ac:dyDescent="0.3">
      <c r="A280" s="173">
        <v>45637</v>
      </c>
      <c r="B280" s="174" t="s">
        <v>1284</v>
      </c>
      <c r="C280" s="175" t="s">
        <v>256</v>
      </c>
      <c r="D280" s="176">
        <v>25.64</v>
      </c>
      <c r="E280" s="174"/>
      <c r="F280" s="174"/>
      <c r="G280" s="174" t="s">
        <v>883</v>
      </c>
      <c r="H280" s="177">
        <v>787</v>
      </c>
      <c r="I280" s="24">
        <v>103003</v>
      </c>
      <c r="J280" s="178">
        <v>11.99437</v>
      </c>
      <c r="K280" s="177"/>
      <c r="L280" s="179">
        <v>0</v>
      </c>
      <c r="M280" s="180">
        <v>0</v>
      </c>
      <c r="N280" s="178">
        <v>0</v>
      </c>
      <c r="O280" s="181" t="s">
        <v>882</v>
      </c>
      <c r="P280" s="180">
        <v>0</v>
      </c>
      <c r="Q280" s="182">
        <v>0</v>
      </c>
      <c r="R280" s="183" t="s">
        <v>883</v>
      </c>
      <c r="S280" s="174" t="s">
        <v>1285</v>
      </c>
      <c r="T280" s="44">
        <v>1</v>
      </c>
      <c r="U280" s="184">
        <v>55</v>
      </c>
      <c r="V280" s="185">
        <v>9</v>
      </c>
      <c r="W280" s="186" t="s">
        <v>883</v>
      </c>
      <c r="X280" s="187" t="s">
        <v>883</v>
      </c>
      <c r="Y280" s="188">
        <v>0</v>
      </c>
      <c r="Z280" s="188" t="s">
        <v>883</v>
      </c>
      <c r="AA280" s="187" t="s">
        <v>883</v>
      </c>
      <c r="AB280" s="188">
        <v>0</v>
      </c>
      <c r="AC280" s="188"/>
      <c r="AD280" s="189" t="s">
        <v>883</v>
      </c>
      <c r="AE280" s="190" t="s">
        <v>883</v>
      </c>
      <c r="AF280" s="180">
        <v>0</v>
      </c>
      <c r="AG280" s="183">
        <v>39846</v>
      </c>
      <c r="AH280" s="183" t="s">
        <v>883</v>
      </c>
      <c r="AI280" s="183">
        <v>39798</v>
      </c>
      <c r="AJ280" s="183" t="s">
        <v>883</v>
      </c>
      <c r="AK280" s="174"/>
    </row>
    <row r="281" spans="1:37" x14ac:dyDescent="0.3">
      <c r="A281" s="173">
        <v>46420</v>
      </c>
      <c r="B281" s="174" t="s">
        <v>1286</v>
      </c>
      <c r="C281" s="175" t="s">
        <v>256</v>
      </c>
      <c r="D281" s="176">
        <v>3.86</v>
      </c>
      <c r="E281" s="174"/>
      <c r="F281" s="174"/>
      <c r="G281" s="174" t="s">
        <v>883</v>
      </c>
      <c r="H281" s="177">
        <v>140</v>
      </c>
      <c r="I281" s="24">
        <v>103003</v>
      </c>
      <c r="J281" s="178">
        <v>3.86</v>
      </c>
      <c r="K281" s="177">
        <v>1091</v>
      </c>
      <c r="L281" s="179">
        <v>0.88748019017432656</v>
      </c>
      <c r="M281" s="180">
        <v>1753</v>
      </c>
      <c r="N281" s="178">
        <v>6766.58</v>
      </c>
      <c r="O281" s="181" t="s">
        <v>882</v>
      </c>
      <c r="P281" s="180">
        <v>0</v>
      </c>
      <c r="Q281" s="182">
        <v>0</v>
      </c>
      <c r="R281" s="183" t="s">
        <v>883</v>
      </c>
      <c r="S281" s="174" t="s">
        <v>1287</v>
      </c>
      <c r="T281" s="44">
        <v>1</v>
      </c>
      <c r="U281" s="184">
        <v>45</v>
      </c>
      <c r="V281" s="185">
        <v>16</v>
      </c>
      <c r="W281" s="186" t="s">
        <v>883</v>
      </c>
      <c r="X281" s="187" t="s">
        <v>883</v>
      </c>
      <c r="Y281" s="188">
        <v>0</v>
      </c>
      <c r="Z281" s="188" t="s">
        <v>883</v>
      </c>
      <c r="AA281" s="187" t="s">
        <v>883</v>
      </c>
      <c r="AB281" s="188">
        <v>0</v>
      </c>
      <c r="AC281" s="188"/>
      <c r="AD281" s="189" t="s">
        <v>883</v>
      </c>
      <c r="AE281" s="190" t="s">
        <v>883</v>
      </c>
      <c r="AF281" s="180">
        <v>632</v>
      </c>
      <c r="AG281" s="183">
        <v>44425</v>
      </c>
      <c r="AH281" s="183" t="s">
        <v>883</v>
      </c>
      <c r="AI281" s="183">
        <v>45107</v>
      </c>
      <c r="AJ281" s="183" t="s">
        <v>883</v>
      </c>
      <c r="AK281" s="174"/>
    </row>
    <row r="282" spans="1:37" x14ac:dyDescent="0.3">
      <c r="A282" s="173">
        <v>47447</v>
      </c>
      <c r="B282" s="174" t="s">
        <v>1288</v>
      </c>
      <c r="C282" s="175" t="s">
        <v>569</v>
      </c>
      <c r="D282" s="176">
        <v>1.55</v>
      </c>
      <c r="E282" s="174"/>
      <c r="F282" s="174"/>
      <c r="G282" s="174" t="s">
        <v>883</v>
      </c>
      <c r="H282" s="177">
        <v>15291</v>
      </c>
      <c r="I282" s="24">
        <v>103003</v>
      </c>
      <c r="J282" s="178">
        <v>1.55</v>
      </c>
      <c r="K282" s="177">
        <v>11991</v>
      </c>
      <c r="L282" s="179">
        <v>9.7472509960159357</v>
      </c>
      <c r="M282" s="180">
        <v>3534</v>
      </c>
      <c r="N282" s="178">
        <v>5477.7</v>
      </c>
      <c r="O282" s="181" t="s">
        <v>882</v>
      </c>
      <c r="P282" s="180">
        <v>0</v>
      </c>
      <c r="Q282" s="182">
        <v>0</v>
      </c>
      <c r="R282" s="183" t="s">
        <v>883</v>
      </c>
      <c r="S282" s="174" t="s">
        <v>941</v>
      </c>
      <c r="T282" s="44">
        <v>1</v>
      </c>
      <c r="U282" s="184">
        <v>57</v>
      </c>
      <c r="V282" s="185">
        <v>16</v>
      </c>
      <c r="W282" s="186" t="s">
        <v>883</v>
      </c>
      <c r="X282" s="187" t="s">
        <v>883</v>
      </c>
      <c r="Y282" s="188">
        <v>0</v>
      </c>
      <c r="Z282" s="188" t="s">
        <v>883</v>
      </c>
      <c r="AA282" s="187" t="s">
        <v>883</v>
      </c>
      <c r="AB282" s="188">
        <v>0</v>
      </c>
      <c r="AC282" s="188"/>
      <c r="AD282" s="189" t="s">
        <v>883</v>
      </c>
      <c r="AE282" s="190" t="s">
        <v>883</v>
      </c>
      <c r="AF282" s="180">
        <v>6276</v>
      </c>
      <c r="AG282" s="183">
        <v>44960</v>
      </c>
      <c r="AH282" s="183" t="s">
        <v>883</v>
      </c>
      <c r="AI282" s="183">
        <v>44971</v>
      </c>
      <c r="AJ282" s="183" t="s">
        <v>883</v>
      </c>
      <c r="AK282" s="174"/>
    </row>
    <row r="283" spans="1:37" x14ac:dyDescent="0.3">
      <c r="A283" s="173">
        <v>48178</v>
      </c>
      <c r="B283" s="174" t="s">
        <v>401</v>
      </c>
      <c r="C283" s="175" t="s">
        <v>256</v>
      </c>
      <c r="D283" s="176">
        <v>182</v>
      </c>
      <c r="E283" s="174"/>
      <c r="F283" s="174"/>
      <c r="G283" s="174" t="s">
        <v>883</v>
      </c>
      <c r="H283" s="177">
        <v>36</v>
      </c>
      <c r="I283" s="24">
        <v>103003</v>
      </c>
      <c r="J283" s="178">
        <v>182</v>
      </c>
      <c r="K283" s="177"/>
      <c r="L283" s="179">
        <v>0</v>
      </c>
      <c r="M283" s="180">
        <v>0</v>
      </c>
      <c r="N283" s="178">
        <v>0</v>
      </c>
      <c r="O283" s="181" t="s">
        <v>882</v>
      </c>
      <c r="P283" s="180">
        <v>0</v>
      </c>
      <c r="Q283" s="182">
        <v>0</v>
      </c>
      <c r="R283" s="183" t="s">
        <v>883</v>
      </c>
      <c r="S283" s="174" t="s">
        <v>1112</v>
      </c>
      <c r="T283" s="44">
        <v>1</v>
      </c>
      <c r="U283" s="184">
        <v>74</v>
      </c>
      <c r="V283" s="185">
        <v>8</v>
      </c>
      <c r="W283" s="186" t="s">
        <v>883</v>
      </c>
      <c r="X283" s="187" t="s">
        <v>883</v>
      </c>
      <c r="Y283" s="188">
        <v>0</v>
      </c>
      <c r="Z283" s="188" t="s">
        <v>883</v>
      </c>
      <c r="AA283" s="187" t="s">
        <v>883</v>
      </c>
      <c r="AB283" s="188">
        <v>0</v>
      </c>
      <c r="AC283" s="188"/>
      <c r="AD283" s="189" t="s">
        <v>883</v>
      </c>
      <c r="AE283" s="190" t="s">
        <v>883</v>
      </c>
      <c r="AF283" s="180">
        <v>0</v>
      </c>
      <c r="AG283" s="183">
        <v>43284</v>
      </c>
      <c r="AH283" s="183" t="s">
        <v>883</v>
      </c>
      <c r="AI283" s="183">
        <v>43224</v>
      </c>
      <c r="AJ283" s="183" t="s">
        <v>883</v>
      </c>
      <c r="AK283" s="174"/>
    </row>
    <row r="284" spans="1:37" x14ac:dyDescent="0.3">
      <c r="A284" s="173">
        <v>48901</v>
      </c>
      <c r="B284" s="174" t="s">
        <v>1289</v>
      </c>
      <c r="C284" s="175" t="s">
        <v>256</v>
      </c>
      <c r="D284" s="176">
        <v>2.97</v>
      </c>
      <c r="E284" s="174"/>
      <c r="F284" s="174"/>
      <c r="G284" s="174" t="s">
        <v>883</v>
      </c>
      <c r="H284" s="177">
        <v>298</v>
      </c>
      <c r="I284" s="24">
        <v>103003</v>
      </c>
      <c r="J284" s="178">
        <v>2.97</v>
      </c>
      <c r="K284" s="177">
        <v>53</v>
      </c>
      <c r="L284" s="179">
        <v>57.640232108317214</v>
      </c>
      <c r="M284" s="180">
        <v>0</v>
      </c>
      <c r="N284" s="178">
        <v>0</v>
      </c>
      <c r="O284" s="181" t="s">
        <v>882</v>
      </c>
      <c r="P284" s="180">
        <v>0</v>
      </c>
      <c r="Q284" s="182">
        <v>0</v>
      </c>
      <c r="R284" s="183" t="s">
        <v>883</v>
      </c>
      <c r="S284" s="174" t="s">
        <v>931</v>
      </c>
      <c r="T284" s="44">
        <v>1</v>
      </c>
      <c r="U284" s="184">
        <v>45</v>
      </c>
      <c r="V284" s="185">
        <v>9</v>
      </c>
      <c r="W284" s="186" t="s">
        <v>883</v>
      </c>
      <c r="X284" s="187" t="s">
        <v>883</v>
      </c>
      <c r="Y284" s="188">
        <v>0</v>
      </c>
      <c r="Z284" s="188" t="s">
        <v>883</v>
      </c>
      <c r="AA284" s="187" t="s">
        <v>883</v>
      </c>
      <c r="AB284" s="188">
        <v>0</v>
      </c>
      <c r="AC284" s="188"/>
      <c r="AD284" s="189" t="s">
        <v>883</v>
      </c>
      <c r="AE284" s="190" t="s">
        <v>883</v>
      </c>
      <c r="AF284" s="180">
        <v>20</v>
      </c>
      <c r="AG284" s="183">
        <v>43616</v>
      </c>
      <c r="AH284" s="183" t="s">
        <v>883</v>
      </c>
      <c r="AI284" s="183">
        <v>45125</v>
      </c>
      <c r="AJ284" s="183" t="s">
        <v>883</v>
      </c>
      <c r="AK284" s="174"/>
    </row>
    <row r="285" spans="1:37" x14ac:dyDescent="0.3">
      <c r="A285" s="173">
        <v>49033</v>
      </c>
      <c r="B285" s="174" t="s">
        <v>1290</v>
      </c>
      <c r="C285" s="175" t="s">
        <v>256</v>
      </c>
      <c r="D285" s="176">
        <v>308.64999999999998</v>
      </c>
      <c r="E285" s="174"/>
      <c r="F285" s="174"/>
      <c r="G285" s="174" t="s">
        <v>883</v>
      </c>
      <c r="H285" s="177">
        <v>32</v>
      </c>
      <c r="I285" s="24">
        <v>103003</v>
      </c>
      <c r="J285" s="178">
        <v>308.64999999999998</v>
      </c>
      <c r="K285" s="177">
        <v>14</v>
      </c>
      <c r="L285" s="179">
        <v>25.6</v>
      </c>
      <c r="M285" s="180">
        <v>0</v>
      </c>
      <c r="N285" s="178">
        <v>0</v>
      </c>
      <c r="O285" s="181" t="s">
        <v>882</v>
      </c>
      <c r="P285" s="180">
        <v>0</v>
      </c>
      <c r="Q285" s="182">
        <v>0</v>
      </c>
      <c r="R285" s="183" t="s">
        <v>883</v>
      </c>
      <c r="S285" s="174" t="s">
        <v>1278</v>
      </c>
      <c r="T285" s="44">
        <v>1</v>
      </c>
      <c r="U285" s="184">
        <v>51</v>
      </c>
      <c r="V285" s="185">
        <v>28</v>
      </c>
      <c r="W285" s="186" t="s">
        <v>883</v>
      </c>
      <c r="X285" s="187" t="s">
        <v>883</v>
      </c>
      <c r="Y285" s="188">
        <v>0</v>
      </c>
      <c r="Z285" s="188" t="s">
        <v>883</v>
      </c>
      <c r="AA285" s="187" t="s">
        <v>883</v>
      </c>
      <c r="AB285" s="188">
        <v>0</v>
      </c>
      <c r="AC285" s="188"/>
      <c r="AD285" s="189" t="s">
        <v>883</v>
      </c>
      <c r="AE285" s="190" t="s">
        <v>883</v>
      </c>
      <c r="AF285" s="180">
        <v>6</v>
      </c>
      <c r="AG285" s="183">
        <v>45069</v>
      </c>
      <c r="AH285" s="183" t="s">
        <v>883</v>
      </c>
      <c r="AI285" s="183">
        <v>45034</v>
      </c>
      <c r="AJ285" s="183" t="s">
        <v>883</v>
      </c>
      <c r="AK285" s="174"/>
    </row>
    <row r="286" spans="1:37" x14ac:dyDescent="0.3">
      <c r="A286" s="173">
        <v>49254</v>
      </c>
      <c r="B286" s="174" t="s">
        <v>1291</v>
      </c>
      <c r="C286" s="175" t="s">
        <v>331</v>
      </c>
      <c r="D286" s="176">
        <v>10.199999999999999</v>
      </c>
      <c r="E286" s="174"/>
      <c r="F286" s="174"/>
      <c r="G286" s="174" t="s">
        <v>883</v>
      </c>
      <c r="H286" s="177">
        <v>530</v>
      </c>
      <c r="I286" s="24">
        <v>103003</v>
      </c>
      <c r="J286" s="178">
        <v>10.199999999999999</v>
      </c>
      <c r="K286" s="177">
        <v>1346</v>
      </c>
      <c r="L286" s="179">
        <v>3.5551381808425009</v>
      </c>
      <c r="M286" s="180">
        <v>658.96</v>
      </c>
      <c r="N286" s="178">
        <v>6721.3919999999998</v>
      </c>
      <c r="O286" s="181" t="s">
        <v>882</v>
      </c>
      <c r="P286" s="180">
        <v>0</v>
      </c>
      <c r="Q286" s="182">
        <v>0</v>
      </c>
      <c r="R286" s="183" t="s">
        <v>883</v>
      </c>
      <c r="S286" s="174" t="s">
        <v>954</v>
      </c>
      <c r="T286" s="44">
        <v>1</v>
      </c>
      <c r="U286" s="184">
        <v>72</v>
      </c>
      <c r="V286" s="185">
        <v>7</v>
      </c>
      <c r="W286" s="186">
        <v>5540</v>
      </c>
      <c r="X286" s="187">
        <v>2023</v>
      </c>
      <c r="Y286" s="188">
        <v>600</v>
      </c>
      <c r="Z286" s="188" t="s">
        <v>883</v>
      </c>
      <c r="AA286" s="187" t="s">
        <v>883</v>
      </c>
      <c r="AB286" s="188">
        <v>0</v>
      </c>
      <c r="AC286" s="188"/>
      <c r="AD286" s="189" t="s">
        <v>883</v>
      </c>
      <c r="AE286" s="190" t="s">
        <v>883</v>
      </c>
      <c r="AF286" s="180">
        <v>596</v>
      </c>
      <c r="AG286" s="183">
        <v>45069</v>
      </c>
      <c r="AH286" s="183" t="s">
        <v>883</v>
      </c>
      <c r="AI286" s="183">
        <v>44998</v>
      </c>
      <c r="AJ286" s="183" t="s">
        <v>883</v>
      </c>
      <c r="AK286" s="174"/>
    </row>
    <row r="287" spans="1:37" x14ac:dyDescent="0.3">
      <c r="A287" s="173">
        <v>49695</v>
      </c>
      <c r="B287" s="174" t="s">
        <v>1292</v>
      </c>
      <c r="C287" s="175" t="s">
        <v>256</v>
      </c>
      <c r="D287" s="176">
        <v>19</v>
      </c>
      <c r="E287" s="174"/>
      <c r="F287" s="174"/>
      <c r="G287" s="174" t="s">
        <v>883</v>
      </c>
      <c r="H287" s="177">
        <v>0</v>
      </c>
      <c r="I287" s="24">
        <v>103003</v>
      </c>
      <c r="J287" s="178">
        <v>19</v>
      </c>
      <c r="K287" s="177">
        <v>342</v>
      </c>
      <c r="L287" s="179">
        <v>0</v>
      </c>
      <c r="M287" s="180">
        <v>316.04000000000002</v>
      </c>
      <c r="N287" s="178">
        <v>6004.76</v>
      </c>
      <c r="O287" s="181" t="s">
        <v>882</v>
      </c>
      <c r="P287" s="180">
        <v>0</v>
      </c>
      <c r="Q287" s="182">
        <v>0</v>
      </c>
      <c r="R287" s="183" t="s">
        <v>883</v>
      </c>
      <c r="S287" s="174" t="s">
        <v>1026</v>
      </c>
      <c r="T287" s="44">
        <v>1</v>
      </c>
      <c r="U287" s="184">
        <v>51</v>
      </c>
      <c r="V287" s="185">
        <v>8</v>
      </c>
      <c r="W287" s="186">
        <v>2431</v>
      </c>
      <c r="X287" s="187">
        <v>2023</v>
      </c>
      <c r="Y287" s="188">
        <v>100</v>
      </c>
      <c r="Z287" s="188" t="s">
        <v>883</v>
      </c>
      <c r="AA287" s="187" t="s">
        <v>883</v>
      </c>
      <c r="AB287" s="188">
        <v>0</v>
      </c>
      <c r="AC287" s="188"/>
      <c r="AD287" s="189" t="s">
        <v>883</v>
      </c>
      <c r="AE287" s="190" t="s">
        <v>883</v>
      </c>
      <c r="AF287" s="180">
        <v>138</v>
      </c>
      <c r="AG287" s="183">
        <v>44613</v>
      </c>
      <c r="AH287" s="183" t="s">
        <v>883</v>
      </c>
      <c r="AI287" s="183">
        <v>44831</v>
      </c>
      <c r="AJ287" s="183" t="s">
        <v>883</v>
      </c>
      <c r="AK287" s="174"/>
    </row>
    <row r="288" spans="1:37" x14ac:dyDescent="0.3">
      <c r="A288" s="173">
        <v>49858</v>
      </c>
      <c r="B288" s="174" t="s">
        <v>1293</v>
      </c>
      <c r="C288" s="175" t="s">
        <v>1263</v>
      </c>
      <c r="D288" s="176">
        <v>2.0499999999999998</v>
      </c>
      <c r="E288" s="174"/>
      <c r="F288" s="174"/>
      <c r="G288" s="174" t="s">
        <v>883</v>
      </c>
      <c r="H288" s="177">
        <v>185</v>
      </c>
      <c r="I288" s="24">
        <v>103003</v>
      </c>
      <c r="J288" s="178">
        <v>2.0499999999999998</v>
      </c>
      <c r="K288" s="177">
        <v>10</v>
      </c>
      <c r="L288" s="179">
        <v>222.89156626506025</v>
      </c>
      <c r="M288" s="180">
        <v>0</v>
      </c>
      <c r="N288" s="178">
        <v>0</v>
      </c>
      <c r="O288" s="181" t="s">
        <v>882</v>
      </c>
      <c r="P288" s="180">
        <v>0</v>
      </c>
      <c r="Q288" s="182">
        <v>0</v>
      </c>
      <c r="R288" s="183" t="s">
        <v>883</v>
      </c>
      <c r="S288" s="174" t="s">
        <v>989</v>
      </c>
      <c r="T288" s="44">
        <v>1</v>
      </c>
      <c r="U288" s="184">
        <v>67</v>
      </c>
      <c r="V288" s="185">
        <v>6</v>
      </c>
      <c r="W288" s="186" t="s">
        <v>883</v>
      </c>
      <c r="X288" s="187" t="s">
        <v>883</v>
      </c>
      <c r="Y288" s="188">
        <v>0</v>
      </c>
      <c r="Z288" s="188" t="s">
        <v>883</v>
      </c>
      <c r="AA288" s="187" t="s">
        <v>883</v>
      </c>
      <c r="AB288" s="188">
        <v>0</v>
      </c>
      <c r="AC288" s="188"/>
      <c r="AD288" s="189" t="s">
        <v>883</v>
      </c>
      <c r="AE288" s="190" t="s">
        <v>883</v>
      </c>
      <c r="AF288" s="180">
        <v>4</v>
      </c>
      <c r="AG288" s="183">
        <v>41556</v>
      </c>
      <c r="AH288" s="183" t="s">
        <v>883</v>
      </c>
      <c r="AI288" s="183">
        <v>42041</v>
      </c>
      <c r="AJ288" s="183" t="s">
        <v>883</v>
      </c>
      <c r="AK288" s="174"/>
    </row>
    <row r="289" spans="1:37" x14ac:dyDescent="0.3">
      <c r="A289" s="173">
        <v>50475</v>
      </c>
      <c r="B289" s="174" t="s">
        <v>1294</v>
      </c>
      <c r="C289" s="175" t="s">
        <v>256</v>
      </c>
      <c r="D289" s="176">
        <v>1.94</v>
      </c>
      <c r="E289" s="174"/>
      <c r="F289" s="174"/>
      <c r="G289" s="174" t="s">
        <v>883</v>
      </c>
      <c r="H289" s="177">
        <v>230</v>
      </c>
      <c r="I289" s="24">
        <v>103003</v>
      </c>
      <c r="J289" s="178">
        <v>1.94</v>
      </c>
      <c r="K289" s="177"/>
      <c r="L289" s="179">
        <v>20.300088261253308</v>
      </c>
      <c r="M289" s="180">
        <v>0</v>
      </c>
      <c r="N289" s="178">
        <v>0</v>
      </c>
      <c r="O289" s="181" t="s">
        <v>882</v>
      </c>
      <c r="P289" s="180">
        <v>0</v>
      </c>
      <c r="Q289" s="182">
        <v>0</v>
      </c>
      <c r="R289" s="183" t="s">
        <v>883</v>
      </c>
      <c r="S289" s="174" t="s">
        <v>1273</v>
      </c>
      <c r="T289" s="44">
        <v>1</v>
      </c>
      <c r="U289" s="184">
        <v>51</v>
      </c>
      <c r="V289" s="185">
        <v>17</v>
      </c>
      <c r="W289" s="186" t="s">
        <v>883</v>
      </c>
      <c r="X289" s="187" t="s">
        <v>883</v>
      </c>
      <c r="Y289" s="188">
        <v>0</v>
      </c>
      <c r="Z289" s="188" t="s">
        <v>883</v>
      </c>
      <c r="AA289" s="187" t="s">
        <v>883</v>
      </c>
      <c r="AB289" s="188">
        <v>0</v>
      </c>
      <c r="AC289" s="188"/>
      <c r="AD289" s="189" t="s">
        <v>883</v>
      </c>
      <c r="AE289" s="190" t="s">
        <v>883</v>
      </c>
      <c r="AF289" s="180">
        <v>46</v>
      </c>
      <c r="AG289" s="183">
        <v>41472</v>
      </c>
      <c r="AH289" s="183" t="s">
        <v>883</v>
      </c>
      <c r="AI289" s="183">
        <v>44273</v>
      </c>
      <c r="AJ289" s="183" t="s">
        <v>883</v>
      </c>
      <c r="AK289" s="174"/>
    </row>
    <row r="290" spans="1:37" x14ac:dyDescent="0.3">
      <c r="A290" s="173">
        <v>50476</v>
      </c>
      <c r="B290" s="174" t="s">
        <v>792</v>
      </c>
      <c r="C290" s="175" t="s">
        <v>256</v>
      </c>
      <c r="D290" s="176">
        <v>1.24</v>
      </c>
      <c r="E290" s="174"/>
      <c r="F290" s="174"/>
      <c r="G290" s="174" t="s">
        <v>883</v>
      </c>
      <c r="H290" s="177">
        <v>571</v>
      </c>
      <c r="I290" s="24">
        <v>103003</v>
      </c>
      <c r="J290" s="178">
        <v>1.24</v>
      </c>
      <c r="K290" s="177">
        <v>11</v>
      </c>
      <c r="L290" s="179">
        <v>620.65217391304338</v>
      </c>
      <c r="M290" s="180">
        <v>0</v>
      </c>
      <c r="N290" s="178">
        <v>0</v>
      </c>
      <c r="O290" s="181" t="s">
        <v>882</v>
      </c>
      <c r="P290" s="180">
        <v>0</v>
      </c>
      <c r="Q290" s="182">
        <v>0</v>
      </c>
      <c r="R290" s="183" t="s">
        <v>883</v>
      </c>
      <c r="S290" s="174" t="s">
        <v>1273</v>
      </c>
      <c r="T290" s="44">
        <v>1</v>
      </c>
      <c r="U290" s="184">
        <v>51</v>
      </c>
      <c r="V290" s="185">
        <v>17</v>
      </c>
      <c r="W290" s="186" t="s">
        <v>883</v>
      </c>
      <c r="X290" s="187" t="s">
        <v>883</v>
      </c>
      <c r="Y290" s="188">
        <v>0</v>
      </c>
      <c r="Z290" s="188" t="s">
        <v>883</v>
      </c>
      <c r="AA290" s="187" t="s">
        <v>883</v>
      </c>
      <c r="AB290" s="188">
        <v>0</v>
      </c>
      <c r="AC290" s="188"/>
      <c r="AD290" s="189" t="s">
        <v>883</v>
      </c>
      <c r="AE290" s="190" t="s">
        <v>883</v>
      </c>
      <c r="AF290" s="180">
        <v>4</v>
      </c>
      <c r="AG290" s="183">
        <v>39820</v>
      </c>
      <c r="AH290" s="183" t="s">
        <v>883</v>
      </c>
      <c r="AI290" s="183">
        <v>40826</v>
      </c>
      <c r="AJ290" s="183" t="s">
        <v>883</v>
      </c>
      <c r="AK290" s="174"/>
    </row>
    <row r="291" spans="1:37" x14ac:dyDescent="0.3">
      <c r="A291" s="173">
        <v>50591</v>
      </c>
      <c r="B291" s="174" t="s">
        <v>1295</v>
      </c>
      <c r="C291" s="175" t="s">
        <v>256</v>
      </c>
      <c r="D291" s="176">
        <v>113.47</v>
      </c>
      <c r="E291" s="174"/>
      <c r="F291" s="174"/>
      <c r="G291" s="174" t="s">
        <v>883</v>
      </c>
      <c r="H291" s="177">
        <v>30</v>
      </c>
      <c r="I291" s="24">
        <v>103003</v>
      </c>
      <c r="J291" s="178">
        <v>113.47</v>
      </c>
      <c r="K291" s="177">
        <v>17</v>
      </c>
      <c r="L291" s="179">
        <v>20</v>
      </c>
      <c r="M291" s="180">
        <v>0</v>
      </c>
      <c r="N291" s="178">
        <v>0</v>
      </c>
      <c r="O291" s="181" t="s">
        <v>882</v>
      </c>
      <c r="P291" s="180">
        <v>0</v>
      </c>
      <c r="Q291" s="182">
        <v>0</v>
      </c>
      <c r="R291" s="183" t="s">
        <v>883</v>
      </c>
      <c r="S291" s="174" t="s">
        <v>1278</v>
      </c>
      <c r="T291" s="44">
        <v>1</v>
      </c>
      <c r="U291" s="184">
        <v>51</v>
      </c>
      <c r="V291" s="185">
        <v>28</v>
      </c>
      <c r="W291" s="186" t="s">
        <v>883</v>
      </c>
      <c r="X291" s="187" t="s">
        <v>883</v>
      </c>
      <c r="Y291" s="188">
        <v>0</v>
      </c>
      <c r="Z291" s="188" t="s">
        <v>883</v>
      </c>
      <c r="AA291" s="187" t="s">
        <v>883</v>
      </c>
      <c r="AB291" s="188">
        <v>0</v>
      </c>
      <c r="AC291" s="188"/>
      <c r="AD291" s="189" t="s">
        <v>883</v>
      </c>
      <c r="AE291" s="190" t="s">
        <v>883</v>
      </c>
      <c r="AF291" s="180">
        <v>6</v>
      </c>
      <c r="AG291" s="183">
        <v>43818</v>
      </c>
      <c r="AH291" s="183" t="s">
        <v>883</v>
      </c>
      <c r="AI291" s="183">
        <v>44238</v>
      </c>
      <c r="AJ291" s="183" t="s">
        <v>883</v>
      </c>
      <c r="AK291" s="174"/>
    </row>
    <row r="292" spans="1:37" x14ac:dyDescent="0.3">
      <c r="A292" s="173">
        <v>50797</v>
      </c>
      <c r="B292" s="174" t="s">
        <v>1296</v>
      </c>
      <c r="C292" s="175" t="s">
        <v>256</v>
      </c>
      <c r="D292" s="176">
        <v>37</v>
      </c>
      <c r="E292" s="174"/>
      <c r="F292" s="174"/>
      <c r="G292" s="174" t="s">
        <v>883</v>
      </c>
      <c r="H292" s="177">
        <v>88</v>
      </c>
      <c r="I292" s="24">
        <v>103003</v>
      </c>
      <c r="J292" s="178">
        <v>37</v>
      </c>
      <c r="K292" s="177">
        <v>180</v>
      </c>
      <c r="L292" s="179">
        <v>5.0516647531572909</v>
      </c>
      <c r="M292" s="180">
        <v>81.040000000000006</v>
      </c>
      <c r="N292" s="178">
        <v>2998.48</v>
      </c>
      <c r="O292" s="181" t="s">
        <v>882</v>
      </c>
      <c r="P292" s="180">
        <v>0</v>
      </c>
      <c r="Q292" s="182">
        <v>0</v>
      </c>
      <c r="R292" s="183" t="s">
        <v>883</v>
      </c>
      <c r="S292" s="174" t="s">
        <v>1297</v>
      </c>
      <c r="T292" s="44">
        <v>1</v>
      </c>
      <c r="U292" s="184">
        <v>61</v>
      </c>
      <c r="V292" s="185">
        <v>16</v>
      </c>
      <c r="W292" s="186">
        <v>2960</v>
      </c>
      <c r="X292" s="187">
        <v>2023</v>
      </c>
      <c r="Y292" s="188">
        <v>40</v>
      </c>
      <c r="Z292" s="188" t="s">
        <v>883</v>
      </c>
      <c r="AA292" s="187" t="s">
        <v>883</v>
      </c>
      <c r="AB292" s="188">
        <v>0</v>
      </c>
      <c r="AC292" s="188"/>
      <c r="AD292" s="189" t="s">
        <v>883</v>
      </c>
      <c r="AE292" s="190" t="s">
        <v>883</v>
      </c>
      <c r="AF292" s="180">
        <v>70</v>
      </c>
      <c r="AG292" s="183">
        <v>44992</v>
      </c>
      <c r="AH292" s="183" t="s">
        <v>883</v>
      </c>
      <c r="AI292" s="183">
        <v>45105</v>
      </c>
      <c r="AJ292" s="183" t="s">
        <v>883</v>
      </c>
      <c r="AK292" s="174"/>
    </row>
    <row r="293" spans="1:37" x14ac:dyDescent="0.3">
      <c r="A293" s="173">
        <v>51222</v>
      </c>
      <c r="B293" s="174" t="s">
        <v>1298</v>
      </c>
      <c r="C293" s="175" t="s">
        <v>256</v>
      </c>
      <c r="D293" s="176">
        <v>14.25</v>
      </c>
      <c r="E293" s="174"/>
      <c r="F293" s="174"/>
      <c r="G293" s="174" t="s">
        <v>883</v>
      </c>
      <c r="H293" s="177">
        <v>81</v>
      </c>
      <c r="I293" s="24">
        <v>103003</v>
      </c>
      <c r="J293" s="178">
        <v>14.25</v>
      </c>
      <c r="K293" s="177">
        <v>10</v>
      </c>
      <c r="L293" s="179">
        <v>97.590361445783117</v>
      </c>
      <c r="M293" s="180">
        <v>0</v>
      </c>
      <c r="N293" s="178">
        <v>0</v>
      </c>
      <c r="O293" s="181" t="s">
        <v>882</v>
      </c>
      <c r="P293" s="180">
        <v>0</v>
      </c>
      <c r="Q293" s="182">
        <v>0</v>
      </c>
      <c r="R293" s="183" t="s">
        <v>883</v>
      </c>
      <c r="S293" s="174" t="s">
        <v>1083</v>
      </c>
      <c r="T293" s="44">
        <v>1</v>
      </c>
      <c r="U293" s="184">
        <v>55</v>
      </c>
      <c r="V293" s="185">
        <v>49</v>
      </c>
      <c r="W293" s="186" t="s">
        <v>883</v>
      </c>
      <c r="X293" s="187" t="s">
        <v>883</v>
      </c>
      <c r="Y293" s="188">
        <v>0</v>
      </c>
      <c r="Z293" s="188" t="s">
        <v>883</v>
      </c>
      <c r="AA293" s="187" t="s">
        <v>883</v>
      </c>
      <c r="AB293" s="188">
        <v>0</v>
      </c>
      <c r="AC293" s="188"/>
      <c r="AD293" s="189" t="s">
        <v>883</v>
      </c>
      <c r="AE293" s="190" t="s">
        <v>883</v>
      </c>
      <c r="AF293" s="180">
        <v>4</v>
      </c>
      <c r="AG293" s="183">
        <v>43635</v>
      </c>
      <c r="AH293" s="183" t="s">
        <v>883</v>
      </c>
      <c r="AI293" s="183">
        <v>43623</v>
      </c>
      <c r="AJ293" s="183" t="s">
        <v>883</v>
      </c>
      <c r="AK293" s="174"/>
    </row>
    <row r="294" spans="1:37" x14ac:dyDescent="0.3">
      <c r="A294" s="173">
        <v>51579</v>
      </c>
      <c r="B294" s="174" t="s">
        <v>1299</v>
      </c>
      <c r="C294" s="175" t="s">
        <v>256</v>
      </c>
      <c r="D294" s="176">
        <v>11.9</v>
      </c>
      <c r="E294" s="174"/>
      <c r="F294" s="174"/>
      <c r="G294" s="174" t="s">
        <v>883</v>
      </c>
      <c r="H294" s="177">
        <v>653</v>
      </c>
      <c r="I294" s="24">
        <v>103003</v>
      </c>
      <c r="J294" s="178">
        <v>11.9</v>
      </c>
      <c r="K294" s="177">
        <v>570</v>
      </c>
      <c r="L294" s="179">
        <v>8.2314382957267114</v>
      </c>
      <c r="M294" s="180">
        <v>298.95999999999998</v>
      </c>
      <c r="N294" s="178">
        <v>3557.6239999999998</v>
      </c>
      <c r="O294" s="181" t="s">
        <v>882</v>
      </c>
      <c r="P294" s="180">
        <v>0</v>
      </c>
      <c r="Q294" s="182">
        <v>0</v>
      </c>
      <c r="R294" s="183" t="s">
        <v>883</v>
      </c>
      <c r="S294" s="174" t="s">
        <v>925</v>
      </c>
      <c r="T294" s="44">
        <v>1</v>
      </c>
      <c r="U294" s="184">
        <v>45</v>
      </c>
      <c r="V294" s="185">
        <v>12</v>
      </c>
      <c r="W294" s="186" t="s">
        <v>883</v>
      </c>
      <c r="X294" s="187" t="s">
        <v>883</v>
      </c>
      <c r="Y294" s="188">
        <v>0</v>
      </c>
      <c r="Z294" s="188" t="s">
        <v>883</v>
      </c>
      <c r="AA294" s="187" t="s">
        <v>883</v>
      </c>
      <c r="AB294" s="188">
        <v>0</v>
      </c>
      <c r="AC294" s="188"/>
      <c r="AD294" s="189" t="s">
        <v>883</v>
      </c>
      <c r="AE294" s="190" t="s">
        <v>883</v>
      </c>
      <c r="AF294" s="180">
        <v>318</v>
      </c>
      <c r="AG294" s="183">
        <v>45064</v>
      </c>
      <c r="AH294" s="183" t="s">
        <v>883</v>
      </c>
      <c r="AI294" s="183">
        <v>45069</v>
      </c>
      <c r="AJ294" s="183" t="s">
        <v>883</v>
      </c>
      <c r="AK294" s="174"/>
    </row>
    <row r="295" spans="1:37" x14ac:dyDescent="0.3">
      <c r="A295" s="173">
        <v>52129</v>
      </c>
      <c r="B295" s="174" t="s">
        <v>1300</v>
      </c>
      <c r="C295" s="175" t="s">
        <v>256</v>
      </c>
      <c r="D295" s="176">
        <v>7.79</v>
      </c>
      <c r="E295" s="174"/>
      <c r="F295" s="174"/>
      <c r="G295" s="174" t="s">
        <v>883</v>
      </c>
      <c r="H295" s="177">
        <v>455</v>
      </c>
      <c r="I295" s="24">
        <v>103003</v>
      </c>
      <c r="J295" s="178">
        <v>7.79</v>
      </c>
      <c r="K295" s="177">
        <v>215</v>
      </c>
      <c r="L295" s="179">
        <v>25.390625</v>
      </c>
      <c r="M295" s="180">
        <v>0</v>
      </c>
      <c r="N295" s="178">
        <v>0</v>
      </c>
      <c r="O295" s="181" t="s">
        <v>882</v>
      </c>
      <c r="P295" s="180">
        <v>0</v>
      </c>
      <c r="Q295" s="182">
        <v>0</v>
      </c>
      <c r="R295" s="183" t="s">
        <v>883</v>
      </c>
      <c r="S295" s="174" t="s">
        <v>1301</v>
      </c>
      <c r="T295" s="44">
        <v>1</v>
      </c>
      <c r="U295" s="184">
        <v>70</v>
      </c>
      <c r="V295" s="185">
        <v>30</v>
      </c>
      <c r="W295" s="186" t="s">
        <v>883</v>
      </c>
      <c r="X295" s="187" t="s">
        <v>883</v>
      </c>
      <c r="Y295" s="188">
        <v>0</v>
      </c>
      <c r="Z295" s="188" t="s">
        <v>883</v>
      </c>
      <c r="AA295" s="187" t="s">
        <v>883</v>
      </c>
      <c r="AB295" s="188">
        <v>0</v>
      </c>
      <c r="AC295" s="188"/>
      <c r="AD295" s="189" t="s">
        <v>883</v>
      </c>
      <c r="AE295" s="190" t="s">
        <v>883</v>
      </c>
      <c r="AF295" s="180">
        <v>72</v>
      </c>
      <c r="AG295" s="183">
        <v>44550</v>
      </c>
      <c r="AH295" s="183" t="s">
        <v>883</v>
      </c>
      <c r="AI295" s="183">
        <v>44536</v>
      </c>
      <c r="AJ295" s="183" t="s">
        <v>883</v>
      </c>
      <c r="AK295" s="174"/>
    </row>
    <row r="296" spans="1:37" x14ac:dyDescent="0.3">
      <c r="A296" s="173">
        <v>52946</v>
      </c>
      <c r="B296" s="174" t="s">
        <v>1302</v>
      </c>
      <c r="C296" s="175" t="s">
        <v>256</v>
      </c>
      <c r="D296" s="176">
        <v>212</v>
      </c>
      <c r="E296" s="174"/>
      <c r="F296" s="174"/>
      <c r="G296" s="174" t="s">
        <v>883</v>
      </c>
      <c r="H296" s="177">
        <v>34</v>
      </c>
      <c r="I296" s="24">
        <v>103003</v>
      </c>
      <c r="J296" s="178">
        <v>212</v>
      </c>
      <c r="K296" s="177"/>
      <c r="L296" s="179">
        <v>0</v>
      </c>
      <c r="M296" s="180">
        <v>0</v>
      </c>
      <c r="N296" s="178">
        <v>0</v>
      </c>
      <c r="O296" s="181" t="s">
        <v>882</v>
      </c>
      <c r="P296" s="180">
        <v>0</v>
      </c>
      <c r="Q296" s="182">
        <v>0</v>
      </c>
      <c r="R296" s="183" t="s">
        <v>883</v>
      </c>
      <c r="S296" s="174" t="s">
        <v>1211</v>
      </c>
      <c r="T296" s="44">
        <v>1</v>
      </c>
      <c r="U296" s="184">
        <v>51</v>
      </c>
      <c r="V296" s="185">
        <v>26</v>
      </c>
      <c r="W296" s="186" t="s">
        <v>883</v>
      </c>
      <c r="X296" s="187" t="s">
        <v>883</v>
      </c>
      <c r="Y296" s="188">
        <v>0</v>
      </c>
      <c r="Z296" s="188" t="s">
        <v>883</v>
      </c>
      <c r="AA296" s="187" t="s">
        <v>883</v>
      </c>
      <c r="AB296" s="188">
        <v>0</v>
      </c>
      <c r="AC296" s="188"/>
      <c r="AD296" s="189" t="s">
        <v>883</v>
      </c>
      <c r="AE296" s="190" t="s">
        <v>883</v>
      </c>
      <c r="AF296" s="180">
        <v>0</v>
      </c>
      <c r="AG296" s="183">
        <v>43644</v>
      </c>
      <c r="AH296" s="183" t="s">
        <v>883</v>
      </c>
      <c r="AI296" s="183">
        <v>44111</v>
      </c>
      <c r="AJ296" s="183" t="s">
        <v>883</v>
      </c>
      <c r="AK296" s="174"/>
    </row>
    <row r="297" spans="1:37" x14ac:dyDescent="0.3">
      <c r="A297" s="173">
        <v>52994</v>
      </c>
      <c r="B297" s="174" t="s">
        <v>1303</v>
      </c>
      <c r="C297" s="175" t="s">
        <v>256</v>
      </c>
      <c r="D297" s="176">
        <v>10.130000000000001</v>
      </c>
      <c r="E297" s="174"/>
      <c r="F297" s="174"/>
      <c r="G297" s="174" t="s">
        <v>883</v>
      </c>
      <c r="H297" s="177">
        <v>164</v>
      </c>
      <c r="I297" s="24">
        <v>103003</v>
      </c>
      <c r="J297" s="178">
        <v>10.130000000000001</v>
      </c>
      <c r="K297" s="177">
        <v>25</v>
      </c>
      <c r="L297" s="179">
        <v>75.576036866359445</v>
      </c>
      <c r="M297" s="180">
        <v>0</v>
      </c>
      <c r="N297" s="178">
        <v>0</v>
      </c>
      <c r="O297" s="181" t="s">
        <v>882</v>
      </c>
      <c r="P297" s="180">
        <v>0</v>
      </c>
      <c r="Q297" s="182">
        <v>0</v>
      </c>
      <c r="R297" s="183" t="s">
        <v>883</v>
      </c>
      <c r="S297" s="174" t="s">
        <v>964</v>
      </c>
      <c r="T297" s="44">
        <v>1</v>
      </c>
      <c r="U297" s="184">
        <v>61</v>
      </c>
      <c r="V297" s="185">
        <v>8</v>
      </c>
      <c r="W297" s="186" t="s">
        <v>883</v>
      </c>
      <c r="X297" s="187" t="s">
        <v>883</v>
      </c>
      <c r="Y297" s="188">
        <v>0</v>
      </c>
      <c r="Z297" s="188" t="s">
        <v>883</v>
      </c>
      <c r="AA297" s="187" t="s">
        <v>883</v>
      </c>
      <c r="AB297" s="188">
        <v>0</v>
      </c>
      <c r="AC297" s="188"/>
      <c r="AD297" s="189" t="s">
        <v>883</v>
      </c>
      <c r="AE297" s="190" t="s">
        <v>883</v>
      </c>
      <c r="AF297" s="180">
        <v>8</v>
      </c>
      <c r="AG297" s="183">
        <v>44573</v>
      </c>
      <c r="AH297" s="183" t="s">
        <v>883</v>
      </c>
      <c r="AI297" s="183">
        <v>44522</v>
      </c>
      <c r="AJ297" s="183" t="s">
        <v>883</v>
      </c>
      <c r="AK297" s="174"/>
    </row>
    <row r="298" spans="1:37" x14ac:dyDescent="0.3">
      <c r="A298" s="173">
        <v>53446</v>
      </c>
      <c r="B298" s="174" t="s">
        <v>1304</v>
      </c>
      <c r="C298" s="175" t="s">
        <v>411</v>
      </c>
      <c r="D298" s="176">
        <v>3</v>
      </c>
      <c r="E298" s="174"/>
      <c r="F298" s="174"/>
      <c r="G298" s="174" t="s">
        <v>883</v>
      </c>
      <c r="H298" s="177">
        <v>2023</v>
      </c>
      <c r="I298" s="24">
        <v>103003</v>
      </c>
      <c r="J298" s="178">
        <v>3</v>
      </c>
      <c r="K298" s="177">
        <v>1299</v>
      </c>
      <c r="L298" s="179">
        <v>16.447154471544714</v>
      </c>
      <c r="M298" s="180">
        <v>0</v>
      </c>
      <c r="N298" s="178">
        <v>0</v>
      </c>
      <c r="O298" s="181" t="s">
        <v>882</v>
      </c>
      <c r="P298" s="180">
        <v>0</v>
      </c>
      <c r="Q298" s="182">
        <v>0</v>
      </c>
      <c r="R298" s="183" t="s">
        <v>883</v>
      </c>
      <c r="S298" s="174" t="s">
        <v>1305</v>
      </c>
      <c r="T298" s="44">
        <v>1</v>
      </c>
      <c r="U298" s="184">
        <v>51</v>
      </c>
      <c r="V298" s="185">
        <v>19</v>
      </c>
      <c r="W298" s="186">
        <v>2702</v>
      </c>
      <c r="X298" s="187">
        <v>2023</v>
      </c>
      <c r="Y298" s="188">
        <v>300</v>
      </c>
      <c r="Z298" s="188" t="s">
        <v>883</v>
      </c>
      <c r="AA298" s="187" t="s">
        <v>883</v>
      </c>
      <c r="AB298" s="188">
        <v>0</v>
      </c>
      <c r="AC298" s="188"/>
      <c r="AD298" s="189" t="s">
        <v>883</v>
      </c>
      <c r="AE298" s="190" t="s">
        <v>883</v>
      </c>
      <c r="AF298" s="180">
        <v>492</v>
      </c>
      <c r="AG298" s="183">
        <v>44539</v>
      </c>
      <c r="AH298" s="183" t="s">
        <v>883</v>
      </c>
      <c r="AI298" s="183">
        <v>44971</v>
      </c>
      <c r="AJ298" s="183" t="s">
        <v>883</v>
      </c>
      <c r="AK298" s="174"/>
    </row>
    <row r="299" spans="1:37" x14ac:dyDescent="0.3">
      <c r="A299" s="173">
        <v>53813</v>
      </c>
      <c r="B299" s="174" t="s">
        <v>1306</v>
      </c>
      <c r="C299" s="175" t="s">
        <v>294</v>
      </c>
      <c r="D299" s="176">
        <v>142.5</v>
      </c>
      <c r="E299" s="174"/>
      <c r="F299" s="174"/>
      <c r="G299" s="174" t="s">
        <v>883</v>
      </c>
      <c r="H299" s="177">
        <v>184</v>
      </c>
      <c r="I299" s="24">
        <v>103003</v>
      </c>
      <c r="J299" s="178">
        <v>142.5</v>
      </c>
      <c r="K299" s="177">
        <v>99</v>
      </c>
      <c r="L299" s="179">
        <v>22.303030303030305</v>
      </c>
      <c r="M299" s="180">
        <v>0</v>
      </c>
      <c r="N299" s="178">
        <v>0</v>
      </c>
      <c r="O299" s="181" t="s">
        <v>882</v>
      </c>
      <c r="P299" s="180">
        <v>0</v>
      </c>
      <c r="Q299" s="182">
        <v>0</v>
      </c>
      <c r="R299" s="183" t="s">
        <v>883</v>
      </c>
      <c r="S299" s="174" t="s">
        <v>1224</v>
      </c>
      <c r="T299" s="44">
        <v>1</v>
      </c>
      <c r="U299" s="184">
        <v>51</v>
      </c>
      <c r="V299" s="185">
        <v>13</v>
      </c>
      <c r="W299" s="186">
        <v>2985</v>
      </c>
      <c r="X299" s="187">
        <v>2023</v>
      </c>
      <c r="Y299" s="188">
        <v>50</v>
      </c>
      <c r="Z299" s="188" t="s">
        <v>883</v>
      </c>
      <c r="AA299" s="187" t="s">
        <v>883</v>
      </c>
      <c r="AB299" s="188">
        <v>0</v>
      </c>
      <c r="AC299" s="188"/>
      <c r="AD299" s="189" t="s">
        <v>883</v>
      </c>
      <c r="AE299" s="190" t="s">
        <v>883</v>
      </c>
      <c r="AF299" s="180">
        <v>34</v>
      </c>
      <c r="AG299" s="183">
        <v>44522</v>
      </c>
      <c r="AH299" s="183" t="s">
        <v>883</v>
      </c>
      <c r="AI299" s="183">
        <v>44483</v>
      </c>
      <c r="AJ299" s="183" t="s">
        <v>883</v>
      </c>
      <c r="AK299" s="174"/>
    </row>
    <row r="300" spans="1:37" x14ac:dyDescent="0.3">
      <c r="A300" s="173">
        <v>53814</v>
      </c>
      <c r="B300" s="174" t="s">
        <v>1307</v>
      </c>
      <c r="C300" s="175" t="s">
        <v>294</v>
      </c>
      <c r="D300" s="176">
        <v>144</v>
      </c>
      <c r="E300" s="174"/>
      <c r="F300" s="174"/>
      <c r="G300" s="174" t="s">
        <v>883</v>
      </c>
      <c r="H300" s="177">
        <v>359</v>
      </c>
      <c r="I300" s="24">
        <v>103003</v>
      </c>
      <c r="J300" s="178">
        <v>144</v>
      </c>
      <c r="K300" s="177">
        <v>500</v>
      </c>
      <c r="L300" s="179">
        <v>3.9162212283189701</v>
      </c>
      <c r="M300" s="180">
        <v>0</v>
      </c>
      <c r="N300" s="178">
        <v>0</v>
      </c>
      <c r="O300" s="181" t="s">
        <v>882</v>
      </c>
      <c r="P300" s="180">
        <v>0</v>
      </c>
      <c r="Q300" s="182">
        <v>0</v>
      </c>
      <c r="R300" s="183" t="s">
        <v>883</v>
      </c>
      <c r="S300" s="174" t="s">
        <v>1224</v>
      </c>
      <c r="T300" s="44">
        <v>1</v>
      </c>
      <c r="U300" s="184">
        <v>51</v>
      </c>
      <c r="V300" s="185">
        <v>13</v>
      </c>
      <c r="W300" s="186">
        <v>2581</v>
      </c>
      <c r="X300" s="187">
        <v>2023</v>
      </c>
      <c r="Y300" s="188">
        <v>800</v>
      </c>
      <c r="Z300" s="188" t="s">
        <v>883</v>
      </c>
      <c r="AA300" s="187" t="s">
        <v>883</v>
      </c>
      <c r="AB300" s="188">
        <v>0</v>
      </c>
      <c r="AC300" s="188"/>
      <c r="AD300" s="189" t="s">
        <v>883</v>
      </c>
      <c r="AE300" s="190" t="s">
        <v>883</v>
      </c>
      <c r="AF300" s="180">
        <v>366</v>
      </c>
      <c r="AG300" s="183">
        <v>44924</v>
      </c>
      <c r="AH300" s="183" t="s">
        <v>883</v>
      </c>
      <c r="AI300" s="183">
        <v>44881</v>
      </c>
      <c r="AJ300" s="183" t="s">
        <v>883</v>
      </c>
      <c r="AK300" s="174"/>
    </row>
    <row r="301" spans="1:37" x14ac:dyDescent="0.3">
      <c r="A301" s="173">
        <v>53849</v>
      </c>
      <c r="B301" s="174" t="s">
        <v>1308</v>
      </c>
      <c r="C301" s="175" t="s">
        <v>256</v>
      </c>
      <c r="D301" s="176">
        <v>38.619999999999997</v>
      </c>
      <c r="E301" s="174"/>
      <c r="F301" s="174"/>
      <c r="G301" s="174" t="s">
        <v>883</v>
      </c>
      <c r="H301" s="177">
        <v>35</v>
      </c>
      <c r="I301" s="24">
        <v>103003</v>
      </c>
      <c r="J301" s="178">
        <v>38.619999999999997</v>
      </c>
      <c r="K301" s="177">
        <v>50</v>
      </c>
      <c r="L301" s="179">
        <v>6.0869565217391308</v>
      </c>
      <c r="M301" s="180">
        <v>14</v>
      </c>
      <c r="N301" s="178">
        <v>540.67999999999995</v>
      </c>
      <c r="O301" s="181" t="s">
        <v>882</v>
      </c>
      <c r="P301" s="180">
        <v>0</v>
      </c>
      <c r="Q301" s="182">
        <v>0</v>
      </c>
      <c r="R301" s="183" t="s">
        <v>883</v>
      </c>
      <c r="S301" s="174" t="s">
        <v>1009</v>
      </c>
      <c r="T301" s="44">
        <v>1</v>
      </c>
      <c r="U301" s="184">
        <v>61</v>
      </c>
      <c r="V301" s="185">
        <v>15</v>
      </c>
      <c r="W301" s="186">
        <v>2587</v>
      </c>
      <c r="X301" s="187">
        <v>2023</v>
      </c>
      <c r="Y301" s="188">
        <v>20</v>
      </c>
      <c r="Z301" s="188" t="s">
        <v>883</v>
      </c>
      <c r="AA301" s="187" t="s">
        <v>883</v>
      </c>
      <c r="AB301" s="188">
        <v>0</v>
      </c>
      <c r="AC301" s="188"/>
      <c r="AD301" s="189" t="s">
        <v>883</v>
      </c>
      <c r="AE301" s="190" t="s">
        <v>883</v>
      </c>
      <c r="AF301" s="180">
        <v>24</v>
      </c>
      <c r="AG301" s="183">
        <v>45006</v>
      </c>
      <c r="AH301" s="183" t="s">
        <v>883</v>
      </c>
      <c r="AI301" s="183">
        <v>44942</v>
      </c>
      <c r="AJ301" s="183" t="s">
        <v>883</v>
      </c>
      <c r="AK301" s="174"/>
    </row>
    <row r="302" spans="1:37" x14ac:dyDescent="0.3">
      <c r="A302" s="173">
        <v>54017</v>
      </c>
      <c r="B302" s="174" t="s">
        <v>1309</v>
      </c>
      <c r="C302" s="175" t="s">
        <v>31</v>
      </c>
      <c r="D302" s="176">
        <v>4.2</v>
      </c>
      <c r="E302" s="174"/>
      <c r="F302" s="174"/>
      <c r="G302" s="174" t="s">
        <v>883</v>
      </c>
      <c r="H302" s="177">
        <v>0</v>
      </c>
      <c r="I302" s="24">
        <v>103003</v>
      </c>
      <c r="J302" s="178">
        <v>4.2</v>
      </c>
      <c r="K302" s="177">
        <v>174</v>
      </c>
      <c r="L302" s="179">
        <v>0</v>
      </c>
      <c r="M302" s="180">
        <v>117.96</v>
      </c>
      <c r="N302" s="178">
        <v>495.43200000000002</v>
      </c>
      <c r="O302" s="181" t="s">
        <v>882</v>
      </c>
      <c r="P302" s="180">
        <v>0</v>
      </c>
      <c r="Q302" s="182">
        <v>0</v>
      </c>
      <c r="R302" s="183" t="s">
        <v>883</v>
      </c>
      <c r="S302" s="174" t="s">
        <v>988</v>
      </c>
      <c r="T302" s="44">
        <v>1</v>
      </c>
      <c r="U302" s="184">
        <v>55</v>
      </c>
      <c r="V302" s="185">
        <v>32</v>
      </c>
      <c r="W302" s="186">
        <v>2442</v>
      </c>
      <c r="X302" s="187">
        <v>2023</v>
      </c>
      <c r="Y302" s="188">
        <v>60</v>
      </c>
      <c r="Z302" s="188" t="s">
        <v>883</v>
      </c>
      <c r="AA302" s="187" t="s">
        <v>883</v>
      </c>
      <c r="AB302" s="188">
        <v>0</v>
      </c>
      <c r="AC302" s="188"/>
      <c r="AD302" s="189" t="s">
        <v>883</v>
      </c>
      <c r="AE302" s="190" t="s">
        <v>883</v>
      </c>
      <c r="AF302" s="180">
        <v>60</v>
      </c>
      <c r="AG302" s="183">
        <v>44530</v>
      </c>
      <c r="AH302" s="183" t="s">
        <v>883</v>
      </c>
      <c r="AI302" s="183">
        <v>44516</v>
      </c>
      <c r="AJ302" s="183" t="s">
        <v>883</v>
      </c>
      <c r="AK302" s="174"/>
    </row>
    <row r="303" spans="1:37" x14ac:dyDescent="0.3">
      <c r="A303" s="173">
        <v>54018</v>
      </c>
      <c r="B303" s="174" t="s">
        <v>1310</v>
      </c>
      <c r="C303" s="175" t="s">
        <v>31</v>
      </c>
      <c r="D303" s="176">
        <v>2.5499999999999998</v>
      </c>
      <c r="E303" s="174"/>
      <c r="F303" s="174"/>
      <c r="G303" s="174" t="s">
        <v>883</v>
      </c>
      <c r="H303" s="177">
        <v>480</v>
      </c>
      <c r="I303" s="24">
        <v>103003</v>
      </c>
      <c r="J303" s="178">
        <v>2.5499999999999998</v>
      </c>
      <c r="K303" s="177">
        <v>110</v>
      </c>
      <c r="L303" s="179">
        <v>52.344601962922575</v>
      </c>
      <c r="M303" s="180">
        <v>0</v>
      </c>
      <c r="N303" s="178">
        <v>0</v>
      </c>
      <c r="O303" s="181" t="s">
        <v>882</v>
      </c>
      <c r="P303" s="180">
        <v>0</v>
      </c>
      <c r="Q303" s="182">
        <v>0</v>
      </c>
      <c r="R303" s="183" t="s">
        <v>883</v>
      </c>
      <c r="S303" s="174" t="s">
        <v>988</v>
      </c>
      <c r="T303" s="44">
        <v>1</v>
      </c>
      <c r="U303" s="184">
        <v>55</v>
      </c>
      <c r="V303" s="185">
        <v>32</v>
      </c>
      <c r="W303" s="186" t="s">
        <v>883</v>
      </c>
      <c r="X303" s="187" t="s">
        <v>883</v>
      </c>
      <c r="Y303" s="188">
        <v>0</v>
      </c>
      <c r="Z303" s="188" t="s">
        <v>883</v>
      </c>
      <c r="AA303" s="187" t="s">
        <v>883</v>
      </c>
      <c r="AB303" s="188">
        <v>0</v>
      </c>
      <c r="AC303" s="188"/>
      <c r="AD303" s="189" t="s">
        <v>883</v>
      </c>
      <c r="AE303" s="190" t="s">
        <v>883</v>
      </c>
      <c r="AF303" s="180">
        <v>36</v>
      </c>
      <c r="AG303" s="183">
        <v>44649</v>
      </c>
      <c r="AH303" s="183" t="s">
        <v>883</v>
      </c>
      <c r="AI303" s="183">
        <v>44616</v>
      </c>
      <c r="AJ303" s="183" t="s">
        <v>883</v>
      </c>
      <c r="AK303" s="174"/>
    </row>
    <row r="304" spans="1:37" x14ac:dyDescent="0.3">
      <c r="A304" s="173">
        <v>54019</v>
      </c>
      <c r="B304" s="174" t="s">
        <v>1311</v>
      </c>
      <c r="C304" s="175" t="s">
        <v>256</v>
      </c>
      <c r="D304" s="176">
        <v>3.2</v>
      </c>
      <c r="E304" s="174"/>
      <c r="F304" s="174"/>
      <c r="G304" s="174" t="s">
        <v>883</v>
      </c>
      <c r="H304" s="177">
        <v>515</v>
      </c>
      <c r="I304" s="24">
        <v>103003</v>
      </c>
      <c r="J304" s="178">
        <v>3.2</v>
      </c>
      <c r="K304" s="177">
        <v>358</v>
      </c>
      <c r="L304" s="179">
        <v>15.686871763630824</v>
      </c>
      <c r="M304" s="180">
        <v>0</v>
      </c>
      <c r="N304" s="178">
        <v>0</v>
      </c>
      <c r="O304" s="181" t="s">
        <v>882</v>
      </c>
      <c r="P304" s="180">
        <v>0</v>
      </c>
      <c r="Q304" s="182">
        <v>0</v>
      </c>
      <c r="R304" s="183" t="s">
        <v>883</v>
      </c>
      <c r="S304" s="174" t="s">
        <v>1312</v>
      </c>
      <c r="T304" s="44">
        <v>1</v>
      </c>
      <c r="U304" s="184">
        <v>55</v>
      </c>
      <c r="V304" s="185">
        <v>45</v>
      </c>
      <c r="W304" s="186">
        <v>2442</v>
      </c>
      <c r="X304" s="187">
        <v>2023</v>
      </c>
      <c r="Y304" s="188">
        <v>100</v>
      </c>
      <c r="Z304" s="188" t="s">
        <v>883</v>
      </c>
      <c r="AA304" s="187" t="s">
        <v>883</v>
      </c>
      <c r="AB304" s="188">
        <v>0</v>
      </c>
      <c r="AC304" s="188"/>
      <c r="AD304" s="189" t="s">
        <v>883</v>
      </c>
      <c r="AE304" s="190" t="s">
        <v>883</v>
      </c>
      <c r="AF304" s="180">
        <v>132</v>
      </c>
      <c r="AG304" s="183">
        <v>44965</v>
      </c>
      <c r="AH304" s="183" t="s">
        <v>883</v>
      </c>
      <c r="AI304" s="183">
        <v>44917</v>
      </c>
      <c r="AJ304" s="183" t="s">
        <v>883</v>
      </c>
      <c r="AK304" s="174"/>
    </row>
    <row r="305" spans="1:37" x14ac:dyDescent="0.3">
      <c r="A305" s="173">
        <v>54026</v>
      </c>
      <c r="B305" s="174" t="s">
        <v>1313</v>
      </c>
      <c r="C305" s="175" t="s">
        <v>294</v>
      </c>
      <c r="D305" s="176">
        <v>13.4</v>
      </c>
      <c r="E305" s="174"/>
      <c r="F305" s="174"/>
      <c r="G305" s="174" t="s">
        <v>883</v>
      </c>
      <c r="H305" s="177">
        <v>125</v>
      </c>
      <c r="I305" s="24">
        <v>103003</v>
      </c>
      <c r="J305" s="178">
        <v>13.4</v>
      </c>
      <c r="K305" s="177">
        <v>55</v>
      </c>
      <c r="L305" s="179">
        <v>25.40650406504065</v>
      </c>
      <c r="M305" s="180">
        <v>0</v>
      </c>
      <c r="N305" s="178">
        <v>0</v>
      </c>
      <c r="O305" s="181" t="s">
        <v>882</v>
      </c>
      <c r="P305" s="180">
        <v>0</v>
      </c>
      <c r="Q305" s="182">
        <v>0</v>
      </c>
      <c r="R305" s="183" t="s">
        <v>883</v>
      </c>
      <c r="S305" s="174" t="s">
        <v>988</v>
      </c>
      <c r="T305" s="44">
        <v>1</v>
      </c>
      <c r="U305" s="184">
        <v>55</v>
      </c>
      <c r="V305" s="185">
        <v>32</v>
      </c>
      <c r="W305" s="186" t="s">
        <v>883</v>
      </c>
      <c r="X305" s="187" t="s">
        <v>883</v>
      </c>
      <c r="Y305" s="188">
        <v>0</v>
      </c>
      <c r="Z305" s="188" t="s">
        <v>883</v>
      </c>
      <c r="AA305" s="187" t="s">
        <v>883</v>
      </c>
      <c r="AB305" s="188">
        <v>0</v>
      </c>
      <c r="AC305" s="188"/>
      <c r="AD305" s="189" t="s">
        <v>883</v>
      </c>
      <c r="AE305" s="190" t="s">
        <v>883</v>
      </c>
      <c r="AF305" s="180">
        <v>20</v>
      </c>
      <c r="AG305" s="183">
        <v>44965</v>
      </c>
      <c r="AH305" s="183" t="s">
        <v>883</v>
      </c>
      <c r="AI305" s="183">
        <v>44917</v>
      </c>
      <c r="AJ305" s="183" t="s">
        <v>883</v>
      </c>
      <c r="AK305" s="174"/>
    </row>
    <row r="306" spans="1:37" x14ac:dyDescent="0.3">
      <c r="A306" s="173">
        <v>54029</v>
      </c>
      <c r="B306" s="174" t="s">
        <v>1314</v>
      </c>
      <c r="C306" s="175" t="s">
        <v>31</v>
      </c>
      <c r="D306" s="176">
        <v>0.08</v>
      </c>
      <c r="E306" s="174"/>
      <c r="F306" s="174"/>
      <c r="G306" s="174" t="s">
        <v>883</v>
      </c>
      <c r="H306" s="177">
        <v>3115</v>
      </c>
      <c r="I306" s="24">
        <v>103003</v>
      </c>
      <c r="J306" s="178">
        <v>0.08</v>
      </c>
      <c r="K306" s="177">
        <v>750</v>
      </c>
      <c r="L306" s="179">
        <v>49.84</v>
      </c>
      <c r="M306" s="180">
        <v>0</v>
      </c>
      <c r="N306" s="178">
        <v>0</v>
      </c>
      <c r="O306" s="181" t="s">
        <v>882</v>
      </c>
      <c r="P306" s="180">
        <v>0</v>
      </c>
      <c r="Q306" s="182">
        <v>0</v>
      </c>
      <c r="R306" s="183" t="s">
        <v>883</v>
      </c>
      <c r="S306" s="174" t="s">
        <v>1179</v>
      </c>
      <c r="T306" s="44">
        <v>1</v>
      </c>
      <c r="U306" s="184">
        <v>67</v>
      </c>
      <c r="V306" s="185">
        <v>5</v>
      </c>
      <c r="W306" s="186" t="s">
        <v>883</v>
      </c>
      <c r="X306" s="187" t="s">
        <v>883</v>
      </c>
      <c r="Y306" s="188">
        <v>0</v>
      </c>
      <c r="Z306" s="188" t="s">
        <v>883</v>
      </c>
      <c r="AA306" s="187" t="s">
        <v>883</v>
      </c>
      <c r="AB306" s="188">
        <v>0</v>
      </c>
      <c r="AC306" s="188"/>
      <c r="AD306" s="189" t="s">
        <v>883</v>
      </c>
      <c r="AE306" s="190" t="s">
        <v>883</v>
      </c>
      <c r="AF306" s="180">
        <v>250</v>
      </c>
      <c r="AG306" s="183">
        <v>44161</v>
      </c>
      <c r="AH306" s="183" t="s">
        <v>883</v>
      </c>
      <c r="AI306" s="183">
        <v>44369</v>
      </c>
      <c r="AJ306" s="183" t="s">
        <v>883</v>
      </c>
      <c r="AK306" s="174"/>
    </row>
    <row r="307" spans="1:37" x14ac:dyDescent="0.3">
      <c r="A307" s="173">
        <v>54032</v>
      </c>
      <c r="B307" s="174" t="s">
        <v>1315</v>
      </c>
      <c r="C307" s="175" t="s">
        <v>256</v>
      </c>
      <c r="D307" s="176">
        <v>7.0000000000000007E-2</v>
      </c>
      <c r="E307" s="174"/>
      <c r="F307" s="174"/>
      <c r="G307" s="174" t="s">
        <v>883</v>
      </c>
      <c r="H307" s="177">
        <v>23466</v>
      </c>
      <c r="I307" s="24">
        <v>103003</v>
      </c>
      <c r="J307" s="178">
        <v>7.0000000000000007E-2</v>
      </c>
      <c r="K307" s="177">
        <v>10174</v>
      </c>
      <c r="L307" s="179">
        <v>23.635466293323127</v>
      </c>
      <c r="M307" s="180">
        <v>0</v>
      </c>
      <c r="N307" s="178">
        <v>0</v>
      </c>
      <c r="O307" s="181" t="s">
        <v>882</v>
      </c>
      <c r="P307" s="180">
        <v>0</v>
      </c>
      <c r="Q307" s="182">
        <v>0</v>
      </c>
      <c r="R307" s="183" t="s">
        <v>883</v>
      </c>
      <c r="S307" s="174" t="s">
        <v>1179</v>
      </c>
      <c r="T307" s="44">
        <v>1</v>
      </c>
      <c r="U307" s="184">
        <v>67</v>
      </c>
      <c r="V307" s="185">
        <v>5</v>
      </c>
      <c r="W307" s="186" t="s">
        <v>883</v>
      </c>
      <c r="X307" s="187" t="s">
        <v>883</v>
      </c>
      <c r="Y307" s="188">
        <v>0</v>
      </c>
      <c r="Z307" s="188" t="s">
        <v>883</v>
      </c>
      <c r="AA307" s="187" t="s">
        <v>883</v>
      </c>
      <c r="AB307" s="188">
        <v>0</v>
      </c>
      <c r="AC307" s="188"/>
      <c r="AD307" s="189" t="s">
        <v>883</v>
      </c>
      <c r="AE307" s="190" t="s">
        <v>883</v>
      </c>
      <c r="AF307" s="180">
        <v>3972</v>
      </c>
      <c r="AG307" s="183">
        <v>44560</v>
      </c>
      <c r="AH307" s="183" t="s">
        <v>883</v>
      </c>
      <c r="AI307" s="183">
        <v>44547</v>
      </c>
      <c r="AJ307" s="183" t="s">
        <v>883</v>
      </c>
      <c r="AK307" s="174"/>
    </row>
    <row r="308" spans="1:37" x14ac:dyDescent="0.3">
      <c r="A308" s="173">
        <v>54144</v>
      </c>
      <c r="B308" s="174" t="s">
        <v>1316</v>
      </c>
      <c r="C308" s="175" t="s">
        <v>256</v>
      </c>
      <c r="D308" s="176">
        <v>1.29</v>
      </c>
      <c r="E308" s="174"/>
      <c r="F308" s="174"/>
      <c r="G308" s="174" t="s">
        <v>883</v>
      </c>
      <c r="H308" s="177">
        <v>381</v>
      </c>
      <c r="I308" s="24">
        <v>103003</v>
      </c>
      <c r="J308" s="178">
        <v>1.29</v>
      </c>
      <c r="K308" s="177">
        <v>214</v>
      </c>
      <c r="L308" s="179">
        <v>16.806352007057786</v>
      </c>
      <c r="M308" s="180">
        <v>0</v>
      </c>
      <c r="N308" s="178">
        <v>0</v>
      </c>
      <c r="O308" s="181" t="s">
        <v>882</v>
      </c>
      <c r="P308" s="180">
        <v>0</v>
      </c>
      <c r="Q308" s="182">
        <v>0</v>
      </c>
      <c r="R308" s="183" t="s">
        <v>883</v>
      </c>
      <c r="S308" s="174" t="s">
        <v>988</v>
      </c>
      <c r="T308" s="44">
        <v>1</v>
      </c>
      <c r="U308" s="184">
        <v>55</v>
      </c>
      <c r="V308" s="185">
        <v>32</v>
      </c>
      <c r="W308" s="186" t="s">
        <v>883</v>
      </c>
      <c r="X308" s="187" t="s">
        <v>883</v>
      </c>
      <c r="Y308" s="188">
        <v>0</v>
      </c>
      <c r="Z308" s="188" t="s">
        <v>883</v>
      </c>
      <c r="AA308" s="187" t="s">
        <v>883</v>
      </c>
      <c r="AB308" s="188">
        <v>0</v>
      </c>
      <c r="AC308" s="188"/>
      <c r="AD308" s="189" t="s">
        <v>883</v>
      </c>
      <c r="AE308" s="190" t="s">
        <v>883</v>
      </c>
      <c r="AF308" s="180">
        <v>90</v>
      </c>
      <c r="AG308" s="183">
        <v>43893</v>
      </c>
      <c r="AH308" s="183" t="s">
        <v>883</v>
      </c>
      <c r="AI308" s="183">
        <v>44061</v>
      </c>
      <c r="AJ308" s="183" t="s">
        <v>883</v>
      </c>
      <c r="AK308" s="174"/>
    </row>
    <row r="309" spans="1:37" x14ac:dyDescent="0.3">
      <c r="A309" s="173">
        <v>54550</v>
      </c>
      <c r="B309" s="174" t="s">
        <v>1317</v>
      </c>
      <c r="C309" s="175" t="s">
        <v>294</v>
      </c>
      <c r="D309" s="176">
        <v>140</v>
      </c>
      <c r="E309" s="174"/>
      <c r="F309" s="174"/>
      <c r="G309" s="174" t="s">
        <v>883</v>
      </c>
      <c r="H309" s="177">
        <v>823</v>
      </c>
      <c r="I309" s="24">
        <v>103003</v>
      </c>
      <c r="J309" s="178">
        <v>140</v>
      </c>
      <c r="K309" s="177">
        <v>503</v>
      </c>
      <c r="L309" s="179">
        <v>17.447530209879162</v>
      </c>
      <c r="M309" s="180">
        <v>0</v>
      </c>
      <c r="N309" s="178">
        <v>0</v>
      </c>
      <c r="O309" s="181" t="s">
        <v>882</v>
      </c>
      <c r="P309" s="180">
        <v>0</v>
      </c>
      <c r="Q309" s="182">
        <v>0</v>
      </c>
      <c r="R309" s="183" t="s">
        <v>883</v>
      </c>
      <c r="S309" s="174" t="s">
        <v>1037</v>
      </c>
      <c r="T309" s="44">
        <v>1</v>
      </c>
      <c r="U309" s="184">
        <v>69</v>
      </c>
      <c r="V309" s="185">
        <v>10</v>
      </c>
      <c r="W309" s="186" t="s">
        <v>883</v>
      </c>
      <c r="X309" s="187" t="s">
        <v>883</v>
      </c>
      <c r="Y309" s="188">
        <v>0</v>
      </c>
      <c r="Z309" s="188" t="s">
        <v>883</v>
      </c>
      <c r="AA309" s="187" t="s">
        <v>883</v>
      </c>
      <c r="AB309" s="188">
        <v>0</v>
      </c>
      <c r="AC309" s="188"/>
      <c r="AD309" s="189" t="s">
        <v>883</v>
      </c>
      <c r="AE309" s="190" t="s">
        <v>883</v>
      </c>
      <c r="AF309" s="180">
        <v>188</v>
      </c>
      <c r="AG309" s="183">
        <v>44519</v>
      </c>
      <c r="AH309" s="183" t="s">
        <v>883</v>
      </c>
      <c r="AI309" s="183">
        <v>44883</v>
      </c>
      <c r="AJ309" s="183" t="s">
        <v>883</v>
      </c>
      <c r="AK309" s="174"/>
    </row>
    <row r="310" spans="1:37" x14ac:dyDescent="0.3">
      <c r="A310" s="173">
        <v>54552</v>
      </c>
      <c r="B310" s="174" t="s">
        <v>1318</v>
      </c>
      <c r="C310" s="175" t="s">
        <v>294</v>
      </c>
      <c r="D310" s="176">
        <v>116</v>
      </c>
      <c r="E310" s="174"/>
      <c r="F310" s="174"/>
      <c r="G310" s="174" t="s">
        <v>883</v>
      </c>
      <c r="H310" s="177">
        <v>5</v>
      </c>
      <c r="I310" s="24">
        <v>103003</v>
      </c>
      <c r="J310" s="178">
        <v>116</v>
      </c>
      <c r="K310" s="177">
        <v>369</v>
      </c>
      <c r="L310" s="179">
        <v>0.16260162601626019</v>
      </c>
      <c r="M310" s="180">
        <v>0</v>
      </c>
      <c r="N310" s="178">
        <v>0</v>
      </c>
      <c r="O310" s="181" t="s">
        <v>882</v>
      </c>
      <c r="P310" s="180">
        <v>0</v>
      </c>
      <c r="Q310" s="182">
        <v>0</v>
      </c>
      <c r="R310" s="183" t="s">
        <v>883</v>
      </c>
      <c r="S310" s="174" t="s">
        <v>1037</v>
      </c>
      <c r="T310" s="44">
        <v>1</v>
      </c>
      <c r="U310" s="184">
        <v>69</v>
      </c>
      <c r="V310" s="185">
        <v>10</v>
      </c>
      <c r="W310" s="186">
        <v>2524</v>
      </c>
      <c r="X310" s="187">
        <v>2023</v>
      </c>
      <c r="Y310" s="188">
        <v>800</v>
      </c>
      <c r="Z310" s="188" t="s">
        <v>883</v>
      </c>
      <c r="AA310" s="187" t="s">
        <v>883</v>
      </c>
      <c r="AB310" s="188">
        <v>0</v>
      </c>
      <c r="AC310" s="188"/>
      <c r="AD310" s="189" t="s">
        <v>883</v>
      </c>
      <c r="AE310" s="190" t="s">
        <v>883</v>
      </c>
      <c r="AF310" s="180">
        <v>124</v>
      </c>
      <c r="AG310" s="183">
        <v>44895</v>
      </c>
      <c r="AH310" s="183" t="s">
        <v>883</v>
      </c>
      <c r="AI310" s="183">
        <v>44881</v>
      </c>
      <c r="AJ310" s="183" t="s">
        <v>883</v>
      </c>
      <c r="AK310" s="174"/>
    </row>
    <row r="311" spans="1:37" x14ac:dyDescent="0.3">
      <c r="A311" s="173">
        <v>54586</v>
      </c>
      <c r="B311" s="174" t="s">
        <v>1319</v>
      </c>
      <c r="C311" s="175" t="s">
        <v>256</v>
      </c>
      <c r="D311" s="176">
        <v>19.989999999999998</v>
      </c>
      <c r="E311" s="174"/>
      <c r="F311" s="174"/>
      <c r="G311" s="174" t="s">
        <v>883</v>
      </c>
      <c r="H311" s="177">
        <v>11</v>
      </c>
      <c r="I311" s="24">
        <v>103003</v>
      </c>
      <c r="J311" s="178">
        <v>19.989999999999998</v>
      </c>
      <c r="K311" s="177">
        <v>58</v>
      </c>
      <c r="L311" s="179">
        <v>2.0295202952029521</v>
      </c>
      <c r="M311" s="180">
        <v>44.04</v>
      </c>
      <c r="N311" s="178">
        <v>880.3596</v>
      </c>
      <c r="O311" s="181" t="s">
        <v>882</v>
      </c>
      <c r="P311" s="180">
        <v>0</v>
      </c>
      <c r="Q311" s="182">
        <v>0</v>
      </c>
      <c r="R311" s="183" t="s">
        <v>883</v>
      </c>
      <c r="S311" s="174" t="s">
        <v>1039</v>
      </c>
      <c r="T311" s="44">
        <v>1</v>
      </c>
      <c r="U311" s="184">
        <v>61</v>
      </c>
      <c r="V311" s="185">
        <v>2</v>
      </c>
      <c r="W311" s="186">
        <v>2453</v>
      </c>
      <c r="X311" s="187">
        <v>2023</v>
      </c>
      <c r="Y311" s="188">
        <v>10</v>
      </c>
      <c r="Z311" s="188" t="s">
        <v>883</v>
      </c>
      <c r="AA311" s="187" t="s">
        <v>883</v>
      </c>
      <c r="AB311" s="188">
        <v>0</v>
      </c>
      <c r="AC311" s="188"/>
      <c r="AD311" s="189" t="s">
        <v>883</v>
      </c>
      <c r="AE311" s="190" t="s">
        <v>883</v>
      </c>
      <c r="AF311" s="180">
        <v>22</v>
      </c>
      <c r="AG311" s="183">
        <v>44077</v>
      </c>
      <c r="AH311" s="183" t="s">
        <v>883</v>
      </c>
      <c r="AI311" s="183">
        <v>44029</v>
      </c>
      <c r="AJ311" s="183" t="s">
        <v>883</v>
      </c>
      <c r="AK311" s="174"/>
    </row>
    <row r="312" spans="1:37" x14ac:dyDescent="0.3">
      <c r="A312" s="173">
        <v>54587</v>
      </c>
      <c r="B312" s="174" t="s">
        <v>1320</v>
      </c>
      <c r="C312" s="175" t="s">
        <v>256</v>
      </c>
      <c r="D312" s="176">
        <v>17.989999999999998</v>
      </c>
      <c r="E312" s="174"/>
      <c r="F312" s="174"/>
      <c r="G312" s="174" t="s">
        <v>883</v>
      </c>
      <c r="H312" s="177">
        <v>7</v>
      </c>
      <c r="I312" s="24">
        <v>103003</v>
      </c>
      <c r="J312" s="178">
        <v>17.989999999999998</v>
      </c>
      <c r="K312" s="177">
        <v>74</v>
      </c>
      <c r="L312" s="179">
        <v>1.1058451816745656</v>
      </c>
      <c r="M312" s="180">
        <v>48.96</v>
      </c>
      <c r="N312" s="178">
        <v>880.79039999999998</v>
      </c>
      <c r="O312" s="181" t="s">
        <v>882</v>
      </c>
      <c r="P312" s="180">
        <v>0</v>
      </c>
      <c r="Q312" s="182">
        <v>0</v>
      </c>
      <c r="R312" s="183" t="s">
        <v>883</v>
      </c>
      <c r="S312" s="174" t="s">
        <v>1039</v>
      </c>
      <c r="T312" s="44">
        <v>1</v>
      </c>
      <c r="U312" s="184">
        <v>61</v>
      </c>
      <c r="V312" s="185">
        <v>2</v>
      </c>
      <c r="W312" s="186">
        <v>2453</v>
      </c>
      <c r="X312" s="187">
        <v>2023</v>
      </c>
      <c r="Y312" s="188">
        <v>20</v>
      </c>
      <c r="Z312" s="188" t="s">
        <v>883</v>
      </c>
      <c r="AA312" s="187" t="s">
        <v>883</v>
      </c>
      <c r="AB312" s="188">
        <v>0</v>
      </c>
      <c r="AC312" s="188"/>
      <c r="AD312" s="189" t="s">
        <v>883</v>
      </c>
      <c r="AE312" s="190" t="s">
        <v>883</v>
      </c>
      <c r="AF312" s="180">
        <v>26</v>
      </c>
      <c r="AG312" s="183">
        <v>44069</v>
      </c>
      <c r="AH312" s="183" t="s">
        <v>883</v>
      </c>
      <c r="AI312" s="183">
        <v>44029</v>
      </c>
      <c r="AJ312" s="183" t="s">
        <v>883</v>
      </c>
      <c r="AK312" s="174"/>
    </row>
    <row r="313" spans="1:37" x14ac:dyDescent="0.3">
      <c r="A313" s="173">
        <v>54680</v>
      </c>
      <c r="B313" s="174" t="s">
        <v>1321</v>
      </c>
      <c r="C313" s="175" t="s">
        <v>629</v>
      </c>
      <c r="D313" s="176">
        <v>38.31</v>
      </c>
      <c r="E313" s="174"/>
      <c r="F313" s="174" t="s">
        <v>1322</v>
      </c>
      <c r="G313" s="174" t="s">
        <v>1195</v>
      </c>
      <c r="H313" s="177">
        <v>130</v>
      </c>
      <c r="I313" s="24">
        <v>103003</v>
      </c>
      <c r="J313" s="178">
        <v>53.8</v>
      </c>
      <c r="K313" s="177">
        <v>151</v>
      </c>
      <c r="L313" s="179">
        <v>10.333863275039745</v>
      </c>
      <c r="M313" s="180">
        <v>20.96</v>
      </c>
      <c r="N313" s="178">
        <v>802.97760000000005</v>
      </c>
      <c r="O313" s="181" t="s">
        <v>1196</v>
      </c>
      <c r="P313" s="180">
        <v>5500</v>
      </c>
      <c r="Q313" s="182">
        <v>210705</v>
      </c>
      <c r="R313" s="183">
        <v>45328</v>
      </c>
      <c r="S313" s="174" t="s">
        <v>1323</v>
      </c>
      <c r="T313" s="44">
        <v>1</v>
      </c>
      <c r="U313" s="184">
        <v>51</v>
      </c>
      <c r="V313" s="185">
        <v>30</v>
      </c>
      <c r="W313" s="186" t="s">
        <v>883</v>
      </c>
      <c r="X313" s="187" t="s">
        <v>883</v>
      </c>
      <c r="Y313" s="188">
        <v>0</v>
      </c>
      <c r="Z313" s="188" t="s">
        <v>883</v>
      </c>
      <c r="AA313" s="187" t="s">
        <v>883</v>
      </c>
      <c r="AB313" s="188">
        <v>0</v>
      </c>
      <c r="AC313" s="188"/>
      <c r="AD313" s="189" t="s">
        <v>883</v>
      </c>
      <c r="AE313" s="190" t="s">
        <v>883</v>
      </c>
      <c r="AF313" s="180">
        <v>50</v>
      </c>
      <c r="AG313" s="183">
        <v>44616</v>
      </c>
      <c r="AH313" s="183" t="s">
        <v>883</v>
      </c>
      <c r="AI313" s="183">
        <v>44544</v>
      </c>
      <c r="AJ313" s="183" t="s">
        <v>883</v>
      </c>
      <c r="AK313" s="174"/>
    </row>
    <row r="314" spans="1:37" x14ac:dyDescent="0.3">
      <c r="A314" s="173">
        <v>54682</v>
      </c>
      <c r="B314" s="174" t="s">
        <v>1324</v>
      </c>
      <c r="C314" s="175" t="s">
        <v>281</v>
      </c>
      <c r="D314" s="176">
        <v>6.88</v>
      </c>
      <c r="E314" s="174"/>
      <c r="F314" s="174"/>
      <c r="G314" s="174" t="s">
        <v>883</v>
      </c>
      <c r="H314" s="177">
        <v>0</v>
      </c>
      <c r="I314" s="24">
        <v>103003</v>
      </c>
      <c r="J314" s="178">
        <v>6.88</v>
      </c>
      <c r="K314" s="177">
        <v>4291</v>
      </c>
      <c r="L314" s="179">
        <v>0</v>
      </c>
      <c r="M314" s="180">
        <v>4692</v>
      </c>
      <c r="N314" s="178">
        <v>32280.959999999999</v>
      </c>
      <c r="O314" s="181" t="s">
        <v>882</v>
      </c>
      <c r="P314" s="180">
        <v>0</v>
      </c>
      <c r="Q314" s="182">
        <v>0</v>
      </c>
      <c r="R314" s="183" t="s">
        <v>883</v>
      </c>
      <c r="S314" s="174" t="s">
        <v>925</v>
      </c>
      <c r="T314" s="44">
        <v>1</v>
      </c>
      <c r="U314" s="184">
        <v>45</v>
      </c>
      <c r="V314" s="185">
        <v>12</v>
      </c>
      <c r="W314" s="186">
        <v>7338</v>
      </c>
      <c r="X314" s="187">
        <v>2023</v>
      </c>
      <c r="Y314" s="188">
        <v>1836</v>
      </c>
      <c r="Z314" s="188" t="s">
        <v>883</v>
      </c>
      <c r="AA314" s="187" t="s">
        <v>883</v>
      </c>
      <c r="AB314" s="188">
        <v>0</v>
      </c>
      <c r="AC314" s="188"/>
      <c r="AD314" s="189" t="s">
        <v>883</v>
      </c>
      <c r="AE314" s="190" t="s">
        <v>883</v>
      </c>
      <c r="AF314" s="180">
        <v>2176</v>
      </c>
      <c r="AG314" s="183">
        <v>44924</v>
      </c>
      <c r="AH314" s="183" t="s">
        <v>883</v>
      </c>
      <c r="AI314" s="183">
        <v>44910</v>
      </c>
      <c r="AJ314" s="183" t="s">
        <v>883</v>
      </c>
      <c r="AK314" s="174"/>
    </row>
    <row r="315" spans="1:37" x14ac:dyDescent="0.3">
      <c r="A315" s="173">
        <v>55836</v>
      </c>
      <c r="B315" s="174" t="s">
        <v>1325</v>
      </c>
      <c r="C315" s="175" t="s">
        <v>256</v>
      </c>
      <c r="D315" s="176">
        <v>0.51</v>
      </c>
      <c r="E315" s="174"/>
      <c r="F315" s="174"/>
      <c r="G315" s="174" t="s">
        <v>883</v>
      </c>
      <c r="H315" s="177">
        <v>9108</v>
      </c>
      <c r="I315" s="24">
        <v>103003</v>
      </c>
      <c r="J315" s="178">
        <v>0.51</v>
      </c>
      <c r="K315" s="177"/>
      <c r="L315" s="179">
        <v>0</v>
      </c>
      <c r="M315" s="180">
        <v>0</v>
      </c>
      <c r="N315" s="178">
        <v>0</v>
      </c>
      <c r="O315" s="181" t="s">
        <v>882</v>
      </c>
      <c r="P315" s="180">
        <v>0</v>
      </c>
      <c r="Q315" s="182">
        <v>0</v>
      </c>
      <c r="R315" s="183" t="s">
        <v>883</v>
      </c>
      <c r="S315" s="174" t="s">
        <v>1073</v>
      </c>
      <c r="T315" s="44">
        <v>1</v>
      </c>
      <c r="U315" s="184">
        <v>78</v>
      </c>
      <c r="V315" s="185">
        <v>2</v>
      </c>
      <c r="W315" s="186" t="s">
        <v>883</v>
      </c>
      <c r="X315" s="187" t="s">
        <v>883</v>
      </c>
      <c r="Y315" s="188">
        <v>0</v>
      </c>
      <c r="Z315" s="188" t="s">
        <v>883</v>
      </c>
      <c r="AA315" s="187" t="s">
        <v>883</v>
      </c>
      <c r="AB315" s="188">
        <v>0</v>
      </c>
      <c r="AC315" s="188"/>
      <c r="AD315" s="189" t="s">
        <v>883</v>
      </c>
      <c r="AE315" s="190" t="s">
        <v>883</v>
      </c>
      <c r="AF315" s="180">
        <v>0</v>
      </c>
      <c r="AG315" s="183">
        <v>40555</v>
      </c>
      <c r="AH315" s="183" t="s">
        <v>883</v>
      </c>
      <c r="AI315" s="183">
        <v>42571</v>
      </c>
      <c r="AJ315" s="183" t="s">
        <v>883</v>
      </c>
      <c r="AK315" s="174"/>
    </row>
    <row r="316" spans="1:37" x14ac:dyDescent="0.3">
      <c r="A316" s="173">
        <v>56519</v>
      </c>
      <c r="B316" s="174" t="s">
        <v>1326</v>
      </c>
      <c r="C316" s="175" t="s">
        <v>256</v>
      </c>
      <c r="D316" s="176">
        <v>689.98</v>
      </c>
      <c r="E316" s="174"/>
      <c r="F316" s="174"/>
      <c r="G316" s="174" t="s">
        <v>883</v>
      </c>
      <c r="H316" s="177">
        <v>41</v>
      </c>
      <c r="I316" s="24">
        <v>103003</v>
      </c>
      <c r="J316" s="178">
        <v>689.98</v>
      </c>
      <c r="K316" s="177">
        <v>31</v>
      </c>
      <c r="L316" s="179">
        <v>14.909090909090908</v>
      </c>
      <c r="M316" s="180">
        <v>0</v>
      </c>
      <c r="N316" s="178">
        <v>0</v>
      </c>
      <c r="O316" s="181" t="s">
        <v>882</v>
      </c>
      <c r="P316" s="180">
        <v>0</v>
      </c>
      <c r="Q316" s="182">
        <v>0</v>
      </c>
      <c r="R316" s="183" t="s">
        <v>883</v>
      </c>
      <c r="S316" s="174" t="s">
        <v>1278</v>
      </c>
      <c r="T316" s="44">
        <v>1</v>
      </c>
      <c r="U316" s="184">
        <v>51</v>
      </c>
      <c r="V316" s="185">
        <v>28</v>
      </c>
      <c r="W316" s="186" t="s">
        <v>883</v>
      </c>
      <c r="X316" s="187" t="s">
        <v>883</v>
      </c>
      <c r="Y316" s="188">
        <v>0</v>
      </c>
      <c r="Z316" s="188" t="s">
        <v>883</v>
      </c>
      <c r="AA316" s="187" t="s">
        <v>883</v>
      </c>
      <c r="AB316" s="188">
        <v>0</v>
      </c>
      <c r="AC316" s="188"/>
      <c r="AD316" s="189" t="s">
        <v>883</v>
      </c>
      <c r="AE316" s="190" t="s">
        <v>883</v>
      </c>
      <c r="AF316" s="180">
        <v>12</v>
      </c>
      <c r="AG316" s="183">
        <v>45048</v>
      </c>
      <c r="AH316" s="183" t="s">
        <v>883</v>
      </c>
      <c r="AI316" s="183">
        <v>45016</v>
      </c>
      <c r="AJ316" s="183" t="s">
        <v>883</v>
      </c>
      <c r="AK316" s="174"/>
    </row>
    <row r="317" spans="1:37" x14ac:dyDescent="0.3">
      <c r="A317" s="173">
        <v>56520</v>
      </c>
      <c r="B317" s="174" t="s">
        <v>1327</v>
      </c>
      <c r="C317" s="175" t="s">
        <v>256</v>
      </c>
      <c r="D317" s="176">
        <v>701.97</v>
      </c>
      <c r="E317" s="174"/>
      <c r="F317" s="174"/>
      <c r="G317" s="174" t="s">
        <v>883</v>
      </c>
      <c r="H317" s="177">
        <v>13</v>
      </c>
      <c r="I317" s="24">
        <v>103003</v>
      </c>
      <c r="J317" s="178">
        <v>701.97</v>
      </c>
      <c r="K317" s="177">
        <v>47</v>
      </c>
      <c r="L317" s="179">
        <v>3.1175059952038371</v>
      </c>
      <c r="M317" s="180">
        <v>0</v>
      </c>
      <c r="N317" s="178">
        <v>0</v>
      </c>
      <c r="O317" s="181" t="s">
        <v>882</v>
      </c>
      <c r="P317" s="180">
        <v>0</v>
      </c>
      <c r="Q317" s="182">
        <v>0</v>
      </c>
      <c r="R317" s="183" t="s">
        <v>883</v>
      </c>
      <c r="S317" s="174" t="s">
        <v>1278</v>
      </c>
      <c r="T317" s="44">
        <v>1</v>
      </c>
      <c r="U317" s="184">
        <v>51</v>
      </c>
      <c r="V317" s="185">
        <v>28</v>
      </c>
      <c r="W317" s="186">
        <v>2770</v>
      </c>
      <c r="X317" s="187">
        <v>2023</v>
      </c>
      <c r="Y317" s="188">
        <v>40</v>
      </c>
      <c r="Z317" s="188" t="s">
        <v>883</v>
      </c>
      <c r="AA317" s="187" t="s">
        <v>883</v>
      </c>
      <c r="AB317" s="188">
        <v>0</v>
      </c>
      <c r="AC317" s="188"/>
      <c r="AD317" s="189" t="s">
        <v>883</v>
      </c>
      <c r="AE317" s="190" t="s">
        <v>883</v>
      </c>
      <c r="AF317" s="180">
        <v>16</v>
      </c>
      <c r="AG317" s="183">
        <v>45048</v>
      </c>
      <c r="AH317" s="183" t="s">
        <v>883</v>
      </c>
      <c r="AI317" s="183">
        <v>45016</v>
      </c>
      <c r="AJ317" s="183" t="s">
        <v>883</v>
      </c>
      <c r="AK317" s="174"/>
    </row>
    <row r="318" spans="1:37" x14ac:dyDescent="0.3">
      <c r="A318" s="173">
        <v>57598</v>
      </c>
      <c r="B318" s="174" t="s">
        <v>1328</v>
      </c>
      <c r="C318" s="175" t="s">
        <v>411</v>
      </c>
      <c r="D318" s="176">
        <v>5.75</v>
      </c>
      <c r="E318" s="174"/>
      <c r="F318" s="174"/>
      <c r="G318" s="174" t="s">
        <v>883</v>
      </c>
      <c r="H318" s="177">
        <v>260</v>
      </c>
      <c r="I318" s="24">
        <v>103003</v>
      </c>
      <c r="J318" s="178">
        <v>5.75</v>
      </c>
      <c r="K318" s="177">
        <v>1039</v>
      </c>
      <c r="L318" s="179">
        <v>2.5742574257425743</v>
      </c>
      <c r="M318" s="180">
        <v>0</v>
      </c>
      <c r="N318" s="178">
        <v>0</v>
      </c>
      <c r="O318" s="181" t="s">
        <v>882</v>
      </c>
      <c r="P318" s="180">
        <v>0</v>
      </c>
      <c r="Q318" s="182">
        <v>0</v>
      </c>
      <c r="R318" s="183" t="s">
        <v>883</v>
      </c>
      <c r="S318" s="174" t="s">
        <v>1305</v>
      </c>
      <c r="T318" s="44">
        <v>1</v>
      </c>
      <c r="U318" s="184">
        <v>51</v>
      </c>
      <c r="V318" s="185">
        <v>19</v>
      </c>
      <c r="W318" s="186">
        <v>2437</v>
      </c>
      <c r="X318" s="187">
        <v>2023</v>
      </c>
      <c r="Y318" s="188">
        <v>1000</v>
      </c>
      <c r="Z318" s="188" t="s">
        <v>883</v>
      </c>
      <c r="AA318" s="187" t="s">
        <v>883</v>
      </c>
      <c r="AB318" s="188">
        <v>0</v>
      </c>
      <c r="AC318" s="188"/>
      <c r="AD318" s="189" t="s">
        <v>883</v>
      </c>
      <c r="AE318" s="190" t="s">
        <v>883</v>
      </c>
      <c r="AF318" s="180">
        <v>404</v>
      </c>
      <c r="AG318" s="183">
        <v>44539</v>
      </c>
      <c r="AH318" s="183" t="s">
        <v>883</v>
      </c>
      <c r="AI318" s="183">
        <v>45117</v>
      </c>
      <c r="AJ318" s="183" t="s">
        <v>883</v>
      </c>
      <c r="AK318" s="174"/>
    </row>
    <row r="319" spans="1:37" x14ac:dyDescent="0.3">
      <c r="A319" s="173">
        <v>57900</v>
      </c>
      <c r="B319" s="174" t="s">
        <v>1329</v>
      </c>
      <c r="C319" s="175" t="s">
        <v>273</v>
      </c>
      <c r="D319" s="176">
        <v>139.9</v>
      </c>
      <c r="E319" s="174"/>
      <c r="F319" s="174"/>
      <c r="G319" s="174" t="s">
        <v>883</v>
      </c>
      <c r="H319" s="177">
        <v>0</v>
      </c>
      <c r="I319" s="24">
        <v>103003</v>
      </c>
      <c r="J319" s="178">
        <v>139.9</v>
      </c>
      <c r="K319" s="177">
        <v>27</v>
      </c>
      <c r="L319" s="179">
        <v>0</v>
      </c>
      <c r="M319" s="180">
        <v>0</v>
      </c>
      <c r="N319" s="178">
        <v>0</v>
      </c>
      <c r="O319" s="181" t="s">
        <v>882</v>
      </c>
      <c r="P319" s="180">
        <v>0</v>
      </c>
      <c r="Q319" s="182">
        <v>0</v>
      </c>
      <c r="R319" s="183" t="s">
        <v>883</v>
      </c>
      <c r="S319" s="174" t="s">
        <v>1330</v>
      </c>
      <c r="T319" s="44">
        <v>1</v>
      </c>
      <c r="U319" s="184">
        <v>76</v>
      </c>
      <c r="V319" s="185">
        <v>8</v>
      </c>
      <c r="W319" s="186">
        <v>2788</v>
      </c>
      <c r="X319" s="187">
        <v>2023</v>
      </c>
      <c r="Y319" s="188">
        <v>30</v>
      </c>
      <c r="Z319" s="188" t="s">
        <v>883</v>
      </c>
      <c r="AA319" s="187" t="s">
        <v>883</v>
      </c>
      <c r="AB319" s="188">
        <v>0</v>
      </c>
      <c r="AC319" s="188"/>
      <c r="AD319" s="189" t="s">
        <v>883</v>
      </c>
      <c r="AE319" s="190" t="s">
        <v>883</v>
      </c>
      <c r="AF319" s="180">
        <v>10</v>
      </c>
      <c r="AG319" s="183">
        <v>44103</v>
      </c>
      <c r="AH319" s="183" t="s">
        <v>883</v>
      </c>
      <c r="AI319" s="183">
        <v>44098</v>
      </c>
      <c r="AJ319" s="183" t="s">
        <v>883</v>
      </c>
      <c r="AK319" s="174"/>
    </row>
    <row r="320" spans="1:37" x14ac:dyDescent="0.3">
      <c r="A320" s="173">
        <v>58436</v>
      </c>
      <c r="B320" s="174" t="s">
        <v>1331</v>
      </c>
      <c r="C320" s="175" t="s">
        <v>256</v>
      </c>
      <c r="D320" s="176">
        <v>32</v>
      </c>
      <c r="E320" s="174"/>
      <c r="F320" s="174"/>
      <c r="G320" s="174" t="s">
        <v>883</v>
      </c>
      <c r="H320" s="177">
        <v>427</v>
      </c>
      <c r="I320" s="24">
        <v>103003</v>
      </c>
      <c r="J320" s="178">
        <v>32</v>
      </c>
      <c r="K320" s="177">
        <v>15</v>
      </c>
      <c r="L320" s="179">
        <v>341.6</v>
      </c>
      <c r="M320" s="180">
        <v>0</v>
      </c>
      <c r="N320" s="178">
        <v>0</v>
      </c>
      <c r="O320" s="181" t="s">
        <v>882</v>
      </c>
      <c r="P320" s="180">
        <v>0</v>
      </c>
      <c r="Q320" s="182">
        <v>0</v>
      </c>
      <c r="R320" s="183" t="s">
        <v>883</v>
      </c>
      <c r="S320" s="174" t="s">
        <v>1332</v>
      </c>
      <c r="T320" s="44">
        <v>1</v>
      </c>
      <c r="U320" s="184">
        <v>69</v>
      </c>
      <c r="V320" s="185">
        <v>2</v>
      </c>
      <c r="W320" s="186" t="s">
        <v>883</v>
      </c>
      <c r="X320" s="187" t="s">
        <v>883</v>
      </c>
      <c r="Y320" s="188">
        <v>0</v>
      </c>
      <c r="Z320" s="188" t="s">
        <v>883</v>
      </c>
      <c r="AA320" s="187" t="s">
        <v>883</v>
      </c>
      <c r="AB320" s="188">
        <v>0</v>
      </c>
      <c r="AC320" s="188"/>
      <c r="AD320" s="189" t="s">
        <v>883</v>
      </c>
      <c r="AE320" s="190" t="s">
        <v>883</v>
      </c>
      <c r="AF320" s="180">
        <v>6</v>
      </c>
      <c r="AG320" s="183">
        <v>44586</v>
      </c>
      <c r="AH320" s="183" t="s">
        <v>883</v>
      </c>
      <c r="AI320" s="183">
        <v>44547</v>
      </c>
      <c r="AJ320" s="183" t="s">
        <v>883</v>
      </c>
      <c r="AK320" s="174"/>
    </row>
    <row r="321" spans="1:37" x14ac:dyDescent="0.3">
      <c r="A321" s="173">
        <v>58706</v>
      </c>
      <c r="B321" s="174" t="s">
        <v>1333</v>
      </c>
      <c r="C321" s="175" t="s">
        <v>256</v>
      </c>
      <c r="D321" s="176">
        <v>79.73</v>
      </c>
      <c r="E321" s="174"/>
      <c r="F321" s="174"/>
      <c r="G321" s="174" t="s">
        <v>883</v>
      </c>
      <c r="H321" s="177">
        <v>28</v>
      </c>
      <c r="I321" s="24">
        <v>103003</v>
      </c>
      <c r="J321" s="178">
        <v>79.73</v>
      </c>
      <c r="K321" s="177">
        <v>389</v>
      </c>
      <c r="L321" s="179">
        <v>0.61202185792349728</v>
      </c>
      <c r="M321" s="180">
        <v>71</v>
      </c>
      <c r="N321" s="178">
        <v>5660.83</v>
      </c>
      <c r="O321" s="181" t="s">
        <v>882</v>
      </c>
      <c r="P321" s="180">
        <v>0</v>
      </c>
      <c r="Q321" s="182">
        <v>0</v>
      </c>
      <c r="R321" s="183" t="s">
        <v>883</v>
      </c>
      <c r="S321" s="174" t="s">
        <v>1334</v>
      </c>
      <c r="T321" s="44">
        <v>1</v>
      </c>
      <c r="U321" s="184">
        <v>74</v>
      </c>
      <c r="V321" s="185">
        <v>3</v>
      </c>
      <c r="W321" s="186">
        <v>6326</v>
      </c>
      <c r="X321" s="187">
        <v>2023</v>
      </c>
      <c r="Y321" s="188">
        <v>450</v>
      </c>
      <c r="Z321" s="188" t="s">
        <v>883</v>
      </c>
      <c r="AA321" s="187" t="s">
        <v>883</v>
      </c>
      <c r="AB321" s="188">
        <v>0</v>
      </c>
      <c r="AC321" s="188"/>
      <c r="AD321" s="189" t="s">
        <v>883</v>
      </c>
      <c r="AE321" s="190" t="s">
        <v>883</v>
      </c>
      <c r="AF321" s="180">
        <v>184</v>
      </c>
      <c r="AG321" s="183">
        <v>44974</v>
      </c>
      <c r="AH321" s="183" t="s">
        <v>883</v>
      </c>
      <c r="AI321" s="183">
        <v>44887</v>
      </c>
      <c r="AJ321" s="183" t="s">
        <v>883</v>
      </c>
      <c r="AK321" s="174"/>
    </row>
    <row r="322" spans="1:37" x14ac:dyDescent="0.3">
      <c r="A322" s="173">
        <v>59018</v>
      </c>
      <c r="B322" s="174" t="s">
        <v>1335</v>
      </c>
      <c r="C322" s="175" t="s">
        <v>294</v>
      </c>
      <c r="D322" s="176">
        <v>146.83000000000001</v>
      </c>
      <c r="E322" s="174"/>
      <c r="F322" s="174"/>
      <c r="G322" s="174" t="s">
        <v>883</v>
      </c>
      <c r="H322" s="177">
        <v>732</v>
      </c>
      <c r="I322" s="24">
        <v>103003</v>
      </c>
      <c r="J322" s="178">
        <v>146.83000000000001</v>
      </c>
      <c r="K322" s="177">
        <v>217</v>
      </c>
      <c r="L322" s="179">
        <v>38.526315789473685</v>
      </c>
      <c r="M322" s="180">
        <v>0</v>
      </c>
      <c r="N322" s="178">
        <v>0</v>
      </c>
      <c r="O322" s="181" t="s">
        <v>882</v>
      </c>
      <c r="P322" s="180">
        <v>0</v>
      </c>
      <c r="Q322" s="182">
        <v>0</v>
      </c>
      <c r="R322" s="183" t="s">
        <v>883</v>
      </c>
      <c r="S322" s="174" t="s">
        <v>1258</v>
      </c>
      <c r="T322" s="44">
        <v>1</v>
      </c>
      <c r="U322" s="184">
        <v>69</v>
      </c>
      <c r="V322" s="185">
        <v>3</v>
      </c>
      <c r="W322" s="186" t="s">
        <v>883</v>
      </c>
      <c r="X322" s="187" t="s">
        <v>883</v>
      </c>
      <c r="Y322" s="188">
        <v>0</v>
      </c>
      <c r="Z322" s="188" t="s">
        <v>883</v>
      </c>
      <c r="AA322" s="187" t="s">
        <v>883</v>
      </c>
      <c r="AB322" s="188">
        <v>0</v>
      </c>
      <c r="AC322" s="188"/>
      <c r="AD322" s="189" t="s">
        <v>883</v>
      </c>
      <c r="AE322" s="190" t="s">
        <v>883</v>
      </c>
      <c r="AF322" s="180">
        <v>76</v>
      </c>
      <c r="AG322" s="183">
        <v>44579</v>
      </c>
      <c r="AH322" s="183" t="s">
        <v>883</v>
      </c>
      <c r="AI322" s="183">
        <v>44781</v>
      </c>
      <c r="AJ322" s="183" t="s">
        <v>883</v>
      </c>
      <c r="AK322" s="174"/>
    </row>
    <row r="323" spans="1:37" x14ac:dyDescent="0.3">
      <c r="A323" s="173">
        <v>59069</v>
      </c>
      <c r="B323" s="174" t="s">
        <v>1336</v>
      </c>
      <c r="C323" s="175" t="s">
        <v>256</v>
      </c>
      <c r="D323" s="176">
        <v>6.49</v>
      </c>
      <c r="E323" s="174"/>
      <c r="F323" s="174"/>
      <c r="G323" s="174" t="s">
        <v>883</v>
      </c>
      <c r="H323" s="177">
        <v>117</v>
      </c>
      <c r="I323" s="24">
        <v>103003</v>
      </c>
      <c r="J323" s="178">
        <v>6.49</v>
      </c>
      <c r="K323" s="177">
        <v>65</v>
      </c>
      <c r="L323" s="179">
        <v>18.962722852512155</v>
      </c>
      <c r="M323" s="180">
        <v>0</v>
      </c>
      <c r="N323" s="178">
        <v>0</v>
      </c>
      <c r="O323" s="181" t="s">
        <v>882</v>
      </c>
      <c r="P323" s="180">
        <v>0</v>
      </c>
      <c r="Q323" s="182">
        <v>0</v>
      </c>
      <c r="R323" s="183" t="s">
        <v>883</v>
      </c>
      <c r="S323" s="174" t="s">
        <v>964</v>
      </c>
      <c r="T323" s="44">
        <v>1</v>
      </c>
      <c r="U323" s="184">
        <v>61</v>
      </c>
      <c r="V323" s="185">
        <v>8</v>
      </c>
      <c r="W323" s="186" t="s">
        <v>883</v>
      </c>
      <c r="X323" s="187" t="s">
        <v>883</v>
      </c>
      <c r="Y323" s="188">
        <v>0</v>
      </c>
      <c r="Z323" s="188" t="s">
        <v>883</v>
      </c>
      <c r="AA323" s="187" t="s">
        <v>883</v>
      </c>
      <c r="AB323" s="188">
        <v>0</v>
      </c>
      <c r="AC323" s="188"/>
      <c r="AD323" s="189" t="s">
        <v>883</v>
      </c>
      <c r="AE323" s="190" t="s">
        <v>883</v>
      </c>
      <c r="AF323" s="180">
        <v>24</v>
      </c>
      <c r="AG323" s="183">
        <v>44560</v>
      </c>
      <c r="AH323" s="183" t="s">
        <v>883</v>
      </c>
      <c r="AI323" s="183">
        <v>44522</v>
      </c>
      <c r="AJ323" s="183" t="s">
        <v>883</v>
      </c>
      <c r="AK323" s="174"/>
    </row>
    <row r="324" spans="1:37" x14ac:dyDescent="0.3">
      <c r="A324" s="173">
        <v>59074</v>
      </c>
      <c r="B324" s="174" t="s">
        <v>1337</v>
      </c>
      <c r="C324" s="175" t="s">
        <v>1338</v>
      </c>
      <c r="D324" s="176">
        <v>2.4900000000000002</v>
      </c>
      <c r="E324" s="174"/>
      <c r="F324" s="174"/>
      <c r="G324" s="174" t="s">
        <v>883</v>
      </c>
      <c r="H324" s="177">
        <v>0</v>
      </c>
      <c r="I324" s="24">
        <v>103003</v>
      </c>
      <c r="J324" s="178">
        <v>2.4900000000000002</v>
      </c>
      <c r="K324" s="177">
        <v>1358</v>
      </c>
      <c r="L324" s="179">
        <v>0</v>
      </c>
      <c r="M324" s="180">
        <v>739.04</v>
      </c>
      <c r="N324" s="178">
        <v>1840.2095999999999</v>
      </c>
      <c r="O324" s="181" t="s">
        <v>882</v>
      </c>
      <c r="P324" s="180">
        <v>0</v>
      </c>
      <c r="Q324" s="182">
        <v>0</v>
      </c>
      <c r="R324" s="183" t="s">
        <v>883</v>
      </c>
      <c r="S324" s="174" t="s">
        <v>935</v>
      </c>
      <c r="T324" s="44">
        <v>1</v>
      </c>
      <c r="U324" s="184">
        <v>45</v>
      </c>
      <c r="V324" s="185">
        <v>11</v>
      </c>
      <c r="W324" s="186">
        <v>6978</v>
      </c>
      <c r="X324" s="187">
        <v>2023</v>
      </c>
      <c r="Y324" s="188">
        <v>1000</v>
      </c>
      <c r="Z324" s="188" t="s">
        <v>883</v>
      </c>
      <c r="AA324" s="187" t="s">
        <v>883</v>
      </c>
      <c r="AB324" s="188">
        <v>0</v>
      </c>
      <c r="AC324" s="188"/>
      <c r="AD324" s="189" t="s">
        <v>883</v>
      </c>
      <c r="AE324" s="190" t="s">
        <v>883</v>
      </c>
      <c r="AF324" s="180">
        <v>580</v>
      </c>
      <c r="AG324" s="183">
        <v>43635</v>
      </c>
      <c r="AH324" s="183" t="s">
        <v>883</v>
      </c>
      <c r="AI324" s="183">
        <v>45107</v>
      </c>
      <c r="AJ324" s="183" t="s">
        <v>883</v>
      </c>
      <c r="AK324" s="174"/>
    </row>
    <row r="325" spans="1:37" x14ac:dyDescent="0.3">
      <c r="A325" s="173">
        <v>59097</v>
      </c>
      <c r="B325" s="174" t="s">
        <v>1339</v>
      </c>
      <c r="C325" s="175" t="s">
        <v>294</v>
      </c>
      <c r="D325" s="176">
        <v>184.5</v>
      </c>
      <c r="E325" s="174"/>
      <c r="F325" s="174"/>
      <c r="G325" s="174" t="s">
        <v>883</v>
      </c>
      <c r="H325" s="177">
        <v>0</v>
      </c>
      <c r="I325" s="24">
        <v>103003</v>
      </c>
      <c r="J325" s="178">
        <v>155</v>
      </c>
      <c r="K325" s="177">
        <v>66</v>
      </c>
      <c r="L325" s="179">
        <v>0</v>
      </c>
      <c r="M325" s="180">
        <v>0</v>
      </c>
      <c r="N325" s="178">
        <v>0</v>
      </c>
      <c r="O325" s="181" t="s">
        <v>882</v>
      </c>
      <c r="P325" s="180">
        <v>0</v>
      </c>
      <c r="Q325" s="182">
        <v>0</v>
      </c>
      <c r="R325" s="183" t="s">
        <v>883</v>
      </c>
      <c r="S325" s="174" t="s">
        <v>964</v>
      </c>
      <c r="T325" s="44">
        <v>1</v>
      </c>
      <c r="U325" s="184">
        <v>61</v>
      </c>
      <c r="V325" s="185">
        <v>8</v>
      </c>
      <c r="W325" s="186">
        <v>2704</v>
      </c>
      <c r="X325" s="187">
        <v>2023</v>
      </c>
      <c r="Y325" s="188">
        <v>100</v>
      </c>
      <c r="Z325" s="188" t="s">
        <v>883</v>
      </c>
      <c r="AA325" s="187" t="s">
        <v>883</v>
      </c>
      <c r="AB325" s="188">
        <v>0</v>
      </c>
      <c r="AC325" s="188"/>
      <c r="AD325" s="189" t="s">
        <v>883</v>
      </c>
      <c r="AE325" s="190" t="s">
        <v>883</v>
      </c>
      <c r="AF325" s="180">
        <v>24</v>
      </c>
      <c r="AG325" s="183">
        <v>44950</v>
      </c>
      <c r="AH325" s="183" t="s">
        <v>883</v>
      </c>
      <c r="AI325" s="183">
        <v>44939</v>
      </c>
      <c r="AJ325" s="183" t="s">
        <v>883</v>
      </c>
      <c r="AK325" s="174"/>
    </row>
    <row r="326" spans="1:37" x14ac:dyDescent="0.3">
      <c r="A326" s="173">
        <v>59400</v>
      </c>
      <c r="B326" s="174" t="s">
        <v>1340</v>
      </c>
      <c r="C326" s="175" t="s">
        <v>256</v>
      </c>
      <c r="D326" s="176">
        <v>1.7</v>
      </c>
      <c r="E326" s="174"/>
      <c r="F326" s="174"/>
      <c r="G326" s="174" t="s">
        <v>883</v>
      </c>
      <c r="H326" s="177">
        <v>138</v>
      </c>
      <c r="I326" s="24">
        <v>103003</v>
      </c>
      <c r="J326" s="178">
        <v>1.7</v>
      </c>
      <c r="K326" s="177">
        <v>68</v>
      </c>
      <c r="L326" s="179">
        <v>23</v>
      </c>
      <c r="M326" s="180">
        <v>0</v>
      </c>
      <c r="N326" s="178">
        <v>0</v>
      </c>
      <c r="O326" s="181" t="s">
        <v>882</v>
      </c>
      <c r="P326" s="180">
        <v>0</v>
      </c>
      <c r="Q326" s="182">
        <v>0</v>
      </c>
      <c r="R326" s="183" t="s">
        <v>883</v>
      </c>
      <c r="S326" s="174" t="s">
        <v>964</v>
      </c>
      <c r="T326" s="44">
        <v>1</v>
      </c>
      <c r="U326" s="184">
        <v>61</v>
      </c>
      <c r="V326" s="185">
        <v>8</v>
      </c>
      <c r="W326" s="186" t="s">
        <v>883</v>
      </c>
      <c r="X326" s="187" t="s">
        <v>883</v>
      </c>
      <c r="Y326" s="188">
        <v>0</v>
      </c>
      <c r="Z326" s="188" t="s">
        <v>883</v>
      </c>
      <c r="AA326" s="187" t="s">
        <v>883</v>
      </c>
      <c r="AB326" s="188">
        <v>0</v>
      </c>
      <c r="AC326" s="188"/>
      <c r="AD326" s="189" t="s">
        <v>883</v>
      </c>
      <c r="AE326" s="190" t="s">
        <v>883</v>
      </c>
      <c r="AF326" s="180">
        <v>24</v>
      </c>
      <c r="AG326" s="183">
        <v>44833</v>
      </c>
      <c r="AH326" s="183" t="s">
        <v>883</v>
      </c>
      <c r="AI326" s="183">
        <v>44813</v>
      </c>
      <c r="AJ326" s="183" t="s">
        <v>883</v>
      </c>
      <c r="AK326" s="174"/>
    </row>
    <row r="327" spans="1:37" x14ac:dyDescent="0.3">
      <c r="A327" s="173">
        <v>59882</v>
      </c>
      <c r="B327" s="174" t="s">
        <v>1341</v>
      </c>
      <c r="C327" s="175" t="s">
        <v>294</v>
      </c>
      <c r="D327" s="176">
        <v>46.4</v>
      </c>
      <c r="E327" s="174"/>
      <c r="F327" s="174"/>
      <c r="G327" s="174" t="s">
        <v>883</v>
      </c>
      <c r="H327" s="177">
        <v>1516</v>
      </c>
      <c r="I327" s="24">
        <v>103003</v>
      </c>
      <c r="J327" s="178">
        <v>46.4</v>
      </c>
      <c r="K327" s="177">
        <v>699</v>
      </c>
      <c r="L327" s="179">
        <v>19.667877529839128</v>
      </c>
      <c r="M327" s="180">
        <v>0</v>
      </c>
      <c r="N327" s="178">
        <v>0</v>
      </c>
      <c r="O327" s="181" t="s">
        <v>882</v>
      </c>
      <c r="P327" s="180">
        <v>0</v>
      </c>
      <c r="Q327" s="182">
        <v>0</v>
      </c>
      <c r="R327" s="183" t="s">
        <v>883</v>
      </c>
      <c r="S327" s="174" t="s">
        <v>1342</v>
      </c>
      <c r="T327" s="44">
        <v>1</v>
      </c>
      <c r="U327" s="184">
        <v>69</v>
      </c>
      <c r="V327" s="185">
        <v>8</v>
      </c>
      <c r="W327" s="186" t="s">
        <v>883</v>
      </c>
      <c r="X327" s="187" t="s">
        <v>883</v>
      </c>
      <c r="Y327" s="188">
        <v>0</v>
      </c>
      <c r="Z327" s="188">
        <v>8862</v>
      </c>
      <c r="AA327" s="187">
        <v>2023</v>
      </c>
      <c r="AB327" s="188">
        <v>500</v>
      </c>
      <c r="AC327" s="188">
        <v>500</v>
      </c>
      <c r="AD327" s="189" t="s">
        <v>2039</v>
      </c>
      <c r="AE327" s="190">
        <v>45159</v>
      </c>
      <c r="AF327" s="180">
        <v>308</v>
      </c>
      <c r="AG327" s="183">
        <v>44518</v>
      </c>
      <c r="AH327" s="183" t="s">
        <v>883</v>
      </c>
      <c r="AI327" s="183">
        <v>45128</v>
      </c>
      <c r="AJ327" s="183" t="s">
        <v>883</v>
      </c>
      <c r="AK327" s="174"/>
    </row>
    <row r="328" spans="1:37" x14ac:dyDescent="0.3">
      <c r="A328" s="173">
        <v>59942</v>
      </c>
      <c r="B328" s="174" t="s">
        <v>1343</v>
      </c>
      <c r="C328" s="175" t="s">
        <v>294</v>
      </c>
      <c r="D328" s="176">
        <v>32</v>
      </c>
      <c r="E328" s="174"/>
      <c r="F328" s="174"/>
      <c r="G328" s="174" t="s">
        <v>883</v>
      </c>
      <c r="H328" s="177">
        <v>534</v>
      </c>
      <c r="I328" s="24">
        <v>103003</v>
      </c>
      <c r="J328" s="178">
        <v>32</v>
      </c>
      <c r="K328" s="177">
        <v>139</v>
      </c>
      <c r="L328" s="179">
        <v>41.331269349845201</v>
      </c>
      <c r="M328" s="180">
        <v>0</v>
      </c>
      <c r="N328" s="178">
        <v>0</v>
      </c>
      <c r="O328" s="181" t="s">
        <v>882</v>
      </c>
      <c r="P328" s="180">
        <v>0</v>
      </c>
      <c r="Q328" s="182">
        <v>0</v>
      </c>
      <c r="R328" s="183" t="s">
        <v>883</v>
      </c>
      <c r="S328" s="174" t="s">
        <v>1342</v>
      </c>
      <c r="T328" s="44">
        <v>1</v>
      </c>
      <c r="U328" s="184">
        <v>69</v>
      </c>
      <c r="V328" s="185">
        <v>8</v>
      </c>
      <c r="W328" s="186" t="s">
        <v>883</v>
      </c>
      <c r="X328" s="187" t="s">
        <v>883</v>
      </c>
      <c r="Y328" s="188">
        <v>0</v>
      </c>
      <c r="Z328" s="188" t="s">
        <v>883</v>
      </c>
      <c r="AA328" s="187" t="s">
        <v>883</v>
      </c>
      <c r="AB328" s="188">
        <v>0</v>
      </c>
      <c r="AC328" s="188"/>
      <c r="AD328" s="189" t="s">
        <v>883</v>
      </c>
      <c r="AE328" s="190" t="s">
        <v>883</v>
      </c>
      <c r="AF328" s="180">
        <v>52</v>
      </c>
      <c r="AG328" s="183">
        <v>44551</v>
      </c>
      <c r="AH328" s="183" t="s">
        <v>883</v>
      </c>
      <c r="AI328" s="183">
        <v>45068</v>
      </c>
      <c r="AJ328" s="183" t="s">
        <v>883</v>
      </c>
      <c r="AK328" s="174"/>
    </row>
    <row r="329" spans="1:37" x14ac:dyDescent="0.3">
      <c r="A329" s="173">
        <v>60116</v>
      </c>
      <c r="B329" s="174" t="s">
        <v>1344</v>
      </c>
      <c r="C329" s="175" t="s">
        <v>256</v>
      </c>
      <c r="D329" s="176">
        <v>10.19</v>
      </c>
      <c r="E329" s="174"/>
      <c r="F329" s="174"/>
      <c r="G329" s="174" t="s">
        <v>883</v>
      </c>
      <c r="H329" s="177">
        <v>121</v>
      </c>
      <c r="I329" s="24">
        <v>103003</v>
      </c>
      <c r="J329" s="178">
        <v>10.19</v>
      </c>
      <c r="K329" s="177">
        <v>67</v>
      </c>
      <c r="L329" s="179">
        <v>17.285714285714285</v>
      </c>
      <c r="M329" s="180">
        <v>0</v>
      </c>
      <c r="N329" s="178">
        <v>0</v>
      </c>
      <c r="O329" s="181" t="s">
        <v>882</v>
      </c>
      <c r="P329" s="180">
        <v>0</v>
      </c>
      <c r="Q329" s="182">
        <v>0</v>
      </c>
      <c r="R329" s="183" t="s">
        <v>883</v>
      </c>
      <c r="S329" s="174" t="s">
        <v>1345</v>
      </c>
      <c r="T329" s="44">
        <v>1</v>
      </c>
      <c r="U329" s="184">
        <v>61</v>
      </c>
      <c r="V329" s="185">
        <v>3</v>
      </c>
      <c r="W329" s="186">
        <v>2702</v>
      </c>
      <c r="X329" s="187">
        <v>2023</v>
      </c>
      <c r="Y329" s="188">
        <v>50</v>
      </c>
      <c r="Z329" s="188" t="s">
        <v>883</v>
      </c>
      <c r="AA329" s="187" t="s">
        <v>883</v>
      </c>
      <c r="AB329" s="188">
        <v>0</v>
      </c>
      <c r="AC329" s="188"/>
      <c r="AD329" s="189" t="s">
        <v>883</v>
      </c>
      <c r="AE329" s="190" t="s">
        <v>883</v>
      </c>
      <c r="AF329" s="180">
        <v>28</v>
      </c>
      <c r="AG329" s="183">
        <v>44560</v>
      </c>
      <c r="AH329" s="183" t="s">
        <v>883</v>
      </c>
      <c r="AI329" s="183">
        <v>44522</v>
      </c>
      <c r="AJ329" s="183" t="s">
        <v>883</v>
      </c>
      <c r="AK329" s="174"/>
    </row>
    <row r="330" spans="1:37" x14ac:dyDescent="0.3">
      <c r="A330" s="173">
        <v>60517</v>
      </c>
      <c r="B330" s="174" t="s">
        <v>1346</v>
      </c>
      <c r="C330" s="175" t="s">
        <v>294</v>
      </c>
      <c r="D330" s="176">
        <v>75.56</v>
      </c>
      <c r="E330" s="174"/>
      <c r="F330" s="174"/>
      <c r="G330" s="174" t="s">
        <v>883</v>
      </c>
      <c r="H330" s="177">
        <v>1781</v>
      </c>
      <c r="I330" s="24">
        <v>103003</v>
      </c>
      <c r="J330" s="178">
        <v>75.56</v>
      </c>
      <c r="K330" s="177">
        <v>12</v>
      </c>
      <c r="L330" s="179">
        <v>98.018712162905885</v>
      </c>
      <c r="M330" s="180">
        <v>0</v>
      </c>
      <c r="N330" s="178">
        <v>0</v>
      </c>
      <c r="O330" s="181" t="s">
        <v>882</v>
      </c>
      <c r="P330" s="180">
        <v>0</v>
      </c>
      <c r="Q330" s="182">
        <v>0</v>
      </c>
      <c r="R330" s="183" t="s">
        <v>883</v>
      </c>
      <c r="S330" s="174" t="s">
        <v>1224</v>
      </c>
      <c r="T330" s="44">
        <v>1</v>
      </c>
      <c r="U330" s="184">
        <v>51</v>
      </c>
      <c r="V330" s="185">
        <v>13</v>
      </c>
      <c r="W330" s="186" t="s">
        <v>883</v>
      </c>
      <c r="X330" s="187" t="s">
        <v>883</v>
      </c>
      <c r="Y330" s="188">
        <v>0</v>
      </c>
      <c r="Z330" s="188" t="s">
        <v>883</v>
      </c>
      <c r="AA330" s="187" t="s">
        <v>883</v>
      </c>
      <c r="AB330" s="188">
        <v>0</v>
      </c>
      <c r="AC330" s="188"/>
      <c r="AD330" s="189" t="s">
        <v>883</v>
      </c>
      <c r="AE330" s="190" t="s">
        <v>883</v>
      </c>
      <c r="AF330" s="180">
        <v>72</v>
      </c>
      <c r="AG330" s="183">
        <v>44505</v>
      </c>
      <c r="AH330" s="183" t="s">
        <v>883</v>
      </c>
      <c r="AI330" s="183">
        <v>44882</v>
      </c>
      <c r="AJ330" s="183" t="s">
        <v>883</v>
      </c>
      <c r="AK330" s="174"/>
    </row>
    <row r="331" spans="1:37" x14ac:dyDescent="0.3">
      <c r="A331" s="173">
        <v>60830</v>
      </c>
      <c r="B331" s="174" t="s">
        <v>1347</v>
      </c>
      <c r="C331" s="175" t="s">
        <v>256</v>
      </c>
      <c r="D331" s="176">
        <v>0.98</v>
      </c>
      <c r="E331" s="174"/>
      <c r="F331" s="174"/>
      <c r="G331" s="174" t="s">
        <v>883</v>
      </c>
      <c r="H331" s="177">
        <v>78</v>
      </c>
      <c r="I331" s="24">
        <v>103003</v>
      </c>
      <c r="J331" s="178">
        <v>0.98</v>
      </c>
      <c r="K331" s="177">
        <v>10</v>
      </c>
      <c r="L331" s="179">
        <v>93.97590361445782</v>
      </c>
      <c r="M331" s="180">
        <v>0</v>
      </c>
      <c r="N331" s="178">
        <v>0</v>
      </c>
      <c r="O331" s="181" t="s">
        <v>882</v>
      </c>
      <c r="P331" s="180">
        <v>0</v>
      </c>
      <c r="Q331" s="182">
        <v>0</v>
      </c>
      <c r="R331" s="183" t="s">
        <v>883</v>
      </c>
      <c r="S331" s="174" t="s">
        <v>964</v>
      </c>
      <c r="T331" s="44">
        <v>1</v>
      </c>
      <c r="U331" s="184">
        <v>61</v>
      </c>
      <c r="V331" s="185">
        <v>8</v>
      </c>
      <c r="W331" s="186" t="s">
        <v>883</v>
      </c>
      <c r="X331" s="187" t="s">
        <v>883</v>
      </c>
      <c r="Y331" s="188">
        <v>0</v>
      </c>
      <c r="Z331" s="188" t="s">
        <v>883</v>
      </c>
      <c r="AA331" s="187" t="s">
        <v>883</v>
      </c>
      <c r="AB331" s="188">
        <v>0</v>
      </c>
      <c r="AC331" s="188"/>
      <c r="AD331" s="189" t="s">
        <v>883</v>
      </c>
      <c r="AE331" s="190" t="s">
        <v>883</v>
      </c>
      <c r="AF331" s="180">
        <v>4</v>
      </c>
      <c r="AG331" s="183">
        <v>44078</v>
      </c>
      <c r="AH331" s="183" t="s">
        <v>883</v>
      </c>
      <c r="AI331" s="183">
        <v>44029</v>
      </c>
      <c r="AJ331" s="183" t="s">
        <v>883</v>
      </c>
      <c r="AK331" s="174"/>
    </row>
    <row r="332" spans="1:37" x14ac:dyDescent="0.3">
      <c r="A332" s="173">
        <v>60889</v>
      </c>
      <c r="B332" s="174" t="s">
        <v>1348</v>
      </c>
      <c r="C332" s="175" t="s">
        <v>294</v>
      </c>
      <c r="D332" s="176">
        <v>34.659999999999997</v>
      </c>
      <c r="E332" s="174"/>
      <c r="F332" s="174"/>
      <c r="G332" s="174" t="s">
        <v>883</v>
      </c>
      <c r="H332" s="177">
        <v>918</v>
      </c>
      <c r="I332" s="24">
        <v>103003</v>
      </c>
      <c r="J332" s="178">
        <v>34.659999999999997</v>
      </c>
      <c r="K332" s="177">
        <v>1258</v>
      </c>
      <c r="L332" s="179">
        <v>5.6930232558139542</v>
      </c>
      <c r="M332" s="180">
        <v>717</v>
      </c>
      <c r="N332" s="178">
        <v>24851.22</v>
      </c>
      <c r="O332" s="181" t="s">
        <v>882</v>
      </c>
      <c r="P332" s="180">
        <v>0</v>
      </c>
      <c r="Q332" s="182">
        <v>0</v>
      </c>
      <c r="R332" s="183" t="s">
        <v>883</v>
      </c>
      <c r="S332" s="174" t="s">
        <v>988</v>
      </c>
      <c r="T332" s="44">
        <v>1</v>
      </c>
      <c r="U332" s="184">
        <v>55</v>
      </c>
      <c r="V332" s="185">
        <v>32</v>
      </c>
      <c r="W332" s="186">
        <v>2956</v>
      </c>
      <c r="X332" s="187">
        <v>2023</v>
      </c>
      <c r="Y332" s="188">
        <v>300</v>
      </c>
      <c r="Z332" s="188" t="s">
        <v>883</v>
      </c>
      <c r="AA332" s="187" t="s">
        <v>883</v>
      </c>
      <c r="AB332" s="188">
        <v>0</v>
      </c>
      <c r="AC332" s="188"/>
      <c r="AD332" s="189" t="s">
        <v>883</v>
      </c>
      <c r="AE332" s="190" t="s">
        <v>883</v>
      </c>
      <c r="AF332" s="180">
        <v>646</v>
      </c>
      <c r="AG332" s="183">
        <v>44874</v>
      </c>
      <c r="AH332" s="183" t="s">
        <v>883</v>
      </c>
      <c r="AI332" s="183">
        <v>44845</v>
      </c>
      <c r="AJ332" s="183" t="s">
        <v>883</v>
      </c>
      <c r="AK332" s="174"/>
    </row>
    <row r="333" spans="1:37" x14ac:dyDescent="0.3">
      <c r="A333" s="173">
        <v>60973</v>
      </c>
      <c r="B333" s="174" t="s">
        <v>1349</v>
      </c>
      <c r="C333" s="175" t="s">
        <v>256</v>
      </c>
      <c r="D333" s="176">
        <v>8.33</v>
      </c>
      <c r="E333" s="174"/>
      <c r="F333" s="174"/>
      <c r="G333" s="174" t="s">
        <v>883</v>
      </c>
      <c r="H333" s="177">
        <v>0</v>
      </c>
      <c r="I333" s="24">
        <v>103003</v>
      </c>
      <c r="J333" s="178">
        <v>8.33</v>
      </c>
      <c r="K333" s="177">
        <v>83</v>
      </c>
      <c r="L333" s="179">
        <v>0</v>
      </c>
      <c r="M333" s="180">
        <v>33.04</v>
      </c>
      <c r="N333" s="178">
        <v>275.22320000000002</v>
      </c>
      <c r="O333" s="181" t="s">
        <v>882</v>
      </c>
      <c r="P333" s="180">
        <v>0</v>
      </c>
      <c r="Q333" s="182">
        <v>0</v>
      </c>
      <c r="R333" s="183" t="s">
        <v>883</v>
      </c>
      <c r="S333" s="174" t="s">
        <v>1202</v>
      </c>
      <c r="T333" s="44">
        <v>1</v>
      </c>
      <c r="U333" s="184">
        <v>83</v>
      </c>
      <c r="V333" s="185">
        <v>3</v>
      </c>
      <c r="W333" s="186">
        <v>2516</v>
      </c>
      <c r="X333" s="187">
        <v>2023</v>
      </c>
      <c r="Y333" s="188">
        <v>50</v>
      </c>
      <c r="Z333" s="188" t="s">
        <v>883</v>
      </c>
      <c r="AA333" s="187" t="s">
        <v>883</v>
      </c>
      <c r="AB333" s="188">
        <v>0</v>
      </c>
      <c r="AC333" s="188"/>
      <c r="AD333" s="189" t="s">
        <v>883</v>
      </c>
      <c r="AE333" s="190" t="s">
        <v>883</v>
      </c>
      <c r="AF333" s="180">
        <v>28</v>
      </c>
      <c r="AG333" s="183">
        <v>44734</v>
      </c>
      <c r="AH333" s="183" t="s">
        <v>883</v>
      </c>
      <c r="AI333" s="183">
        <v>44714</v>
      </c>
      <c r="AJ333" s="183" t="s">
        <v>883</v>
      </c>
      <c r="AK333" s="174"/>
    </row>
    <row r="334" spans="1:37" x14ac:dyDescent="0.3">
      <c r="A334" s="173">
        <v>61046</v>
      </c>
      <c r="B334" s="174" t="s">
        <v>1350</v>
      </c>
      <c r="C334" s="175" t="s">
        <v>294</v>
      </c>
      <c r="D334" s="176">
        <v>144</v>
      </c>
      <c r="E334" s="174"/>
      <c r="F334" s="174"/>
      <c r="G334" s="174" t="s">
        <v>883</v>
      </c>
      <c r="H334" s="177">
        <v>496</v>
      </c>
      <c r="I334" s="24">
        <v>103003</v>
      </c>
      <c r="J334" s="178">
        <v>144</v>
      </c>
      <c r="K334" s="177">
        <v>15</v>
      </c>
      <c r="L334" s="179">
        <v>396.8</v>
      </c>
      <c r="M334" s="180">
        <v>0</v>
      </c>
      <c r="N334" s="178">
        <v>0</v>
      </c>
      <c r="O334" s="181" t="s">
        <v>882</v>
      </c>
      <c r="P334" s="180">
        <v>0</v>
      </c>
      <c r="Q334" s="182">
        <v>0</v>
      </c>
      <c r="R334" s="183" t="s">
        <v>883</v>
      </c>
      <c r="S334" s="174" t="s">
        <v>1258</v>
      </c>
      <c r="T334" s="44">
        <v>1</v>
      </c>
      <c r="U334" s="184">
        <v>69</v>
      </c>
      <c r="V334" s="185">
        <v>3</v>
      </c>
      <c r="W334" s="186" t="s">
        <v>883</v>
      </c>
      <c r="X334" s="187" t="s">
        <v>883</v>
      </c>
      <c r="Y334" s="188">
        <v>0</v>
      </c>
      <c r="Z334" s="188" t="s">
        <v>883</v>
      </c>
      <c r="AA334" s="187" t="s">
        <v>883</v>
      </c>
      <c r="AB334" s="188">
        <v>0</v>
      </c>
      <c r="AC334" s="188"/>
      <c r="AD334" s="189" t="s">
        <v>883</v>
      </c>
      <c r="AE334" s="190" t="s">
        <v>883</v>
      </c>
      <c r="AF334" s="180">
        <v>6</v>
      </c>
      <c r="AG334" s="183">
        <v>44510</v>
      </c>
      <c r="AH334" s="183" t="s">
        <v>883</v>
      </c>
      <c r="AI334" s="183">
        <v>44483</v>
      </c>
      <c r="AJ334" s="183" t="s">
        <v>883</v>
      </c>
      <c r="AK334" s="174"/>
    </row>
    <row r="335" spans="1:37" x14ac:dyDescent="0.3">
      <c r="A335" s="173">
        <v>61200</v>
      </c>
      <c r="B335" s="174" t="s">
        <v>1351</v>
      </c>
      <c r="C335" s="175" t="s">
        <v>256</v>
      </c>
      <c r="D335" s="176">
        <v>6.7</v>
      </c>
      <c r="E335" s="174"/>
      <c r="F335" s="174"/>
      <c r="G335" s="174" t="s">
        <v>883</v>
      </c>
      <c r="H335" s="177">
        <v>49</v>
      </c>
      <c r="I335" s="24">
        <v>103003</v>
      </c>
      <c r="J335" s="178">
        <v>6.7</v>
      </c>
      <c r="K335" s="177">
        <v>56</v>
      </c>
      <c r="L335" s="179">
        <v>9.4777562862669242</v>
      </c>
      <c r="M335" s="180">
        <v>0</v>
      </c>
      <c r="N335" s="178">
        <v>0</v>
      </c>
      <c r="O335" s="181" t="s">
        <v>882</v>
      </c>
      <c r="P335" s="180">
        <v>0</v>
      </c>
      <c r="Q335" s="182">
        <v>0</v>
      </c>
      <c r="R335" s="183" t="s">
        <v>883</v>
      </c>
      <c r="S335" s="174" t="s">
        <v>964</v>
      </c>
      <c r="T335" s="44">
        <v>1</v>
      </c>
      <c r="U335" s="184">
        <v>61</v>
      </c>
      <c r="V335" s="185">
        <v>8</v>
      </c>
      <c r="W335" s="186">
        <v>2454</v>
      </c>
      <c r="X335" s="187">
        <v>2023</v>
      </c>
      <c r="Y335" s="188">
        <v>20</v>
      </c>
      <c r="Z335" s="188" t="s">
        <v>883</v>
      </c>
      <c r="AA335" s="187" t="s">
        <v>883</v>
      </c>
      <c r="AB335" s="188">
        <v>0</v>
      </c>
      <c r="AC335" s="188"/>
      <c r="AD335" s="189" t="s">
        <v>883</v>
      </c>
      <c r="AE335" s="190" t="s">
        <v>883</v>
      </c>
      <c r="AF335" s="180">
        <v>20</v>
      </c>
      <c r="AG335" s="183">
        <v>45006</v>
      </c>
      <c r="AH335" s="183" t="s">
        <v>883</v>
      </c>
      <c r="AI335" s="183">
        <v>44942</v>
      </c>
      <c r="AJ335" s="183" t="s">
        <v>883</v>
      </c>
      <c r="AK335" s="174"/>
    </row>
    <row r="336" spans="1:37" x14ac:dyDescent="0.3">
      <c r="A336" s="173">
        <v>61201</v>
      </c>
      <c r="B336" s="174" t="s">
        <v>1352</v>
      </c>
      <c r="C336" s="175" t="s">
        <v>256</v>
      </c>
      <c r="D336" s="176">
        <v>5.29</v>
      </c>
      <c r="E336" s="174"/>
      <c r="F336" s="174"/>
      <c r="G336" s="174" t="s">
        <v>883</v>
      </c>
      <c r="H336" s="177">
        <v>1260</v>
      </c>
      <c r="I336" s="24">
        <v>103003</v>
      </c>
      <c r="J336" s="178">
        <v>5.29</v>
      </c>
      <c r="K336" s="177">
        <v>298</v>
      </c>
      <c r="L336" s="179">
        <v>45.818181818181813</v>
      </c>
      <c r="M336" s="180">
        <v>0</v>
      </c>
      <c r="N336" s="178">
        <v>0</v>
      </c>
      <c r="O336" s="181" t="s">
        <v>882</v>
      </c>
      <c r="P336" s="180">
        <v>0</v>
      </c>
      <c r="Q336" s="182">
        <v>0</v>
      </c>
      <c r="R336" s="183" t="s">
        <v>883</v>
      </c>
      <c r="S336" s="174" t="s">
        <v>964</v>
      </c>
      <c r="T336" s="44">
        <v>1</v>
      </c>
      <c r="U336" s="184">
        <v>61</v>
      </c>
      <c r="V336" s="185">
        <v>8</v>
      </c>
      <c r="W336" s="186" t="s">
        <v>883</v>
      </c>
      <c r="X336" s="187" t="s">
        <v>883</v>
      </c>
      <c r="Y336" s="188">
        <v>0</v>
      </c>
      <c r="Z336" s="188" t="s">
        <v>883</v>
      </c>
      <c r="AA336" s="187" t="s">
        <v>883</v>
      </c>
      <c r="AB336" s="188">
        <v>0</v>
      </c>
      <c r="AC336" s="188"/>
      <c r="AD336" s="189" t="s">
        <v>883</v>
      </c>
      <c r="AE336" s="190" t="s">
        <v>883</v>
      </c>
      <c r="AF336" s="180">
        <v>110</v>
      </c>
      <c r="AG336" s="183">
        <v>43796</v>
      </c>
      <c r="AH336" s="183" t="s">
        <v>883</v>
      </c>
      <c r="AI336" s="183">
        <v>45096</v>
      </c>
      <c r="AJ336" s="183" t="s">
        <v>883</v>
      </c>
      <c r="AK336" s="174"/>
    </row>
    <row r="337" spans="1:37" x14ac:dyDescent="0.3">
      <c r="A337" s="173">
        <v>63031</v>
      </c>
      <c r="B337" s="174" t="s">
        <v>1353</v>
      </c>
      <c r="C337" s="175" t="s">
        <v>256</v>
      </c>
      <c r="D337" s="176">
        <v>3.39</v>
      </c>
      <c r="E337" s="174"/>
      <c r="F337" s="174"/>
      <c r="G337" s="174" t="s">
        <v>883</v>
      </c>
      <c r="H337" s="177">
        <v>444</v>
      </c>
      <c r="I337" s="24">
        <v>103003</v>
      </c>
      <c r="J337" s="178">
        <v>3.39</v>
      </c>
      <c r="K337" s="177">
        <v>684</v>
      </c>
      <c r="L337" s="179">
        <v>5.4146341463414638</v>
      </c>
      <c r="M337" s="180">
        <v>340</v>
      </c>
      <c r="N337" s="178">
        <v>1152.5999999999999</v>
      </c>
      <c r="O337" s="181" t="s">
        <v>882</v>
      </c>
      <c r="P337" s="180">
        <v>0</v>
      </c>
      <c r="Q337" s="182">
        <v>0</v>
      </c>
      <c r="R337" s="183" t="s">
        <v>883</v>
      </c>
      <c r="S337" s="174" t="s">
        <v>1001</v>
      </c>
      <c r="T337" s="44">
        <v>1</v>
      </c>
      <c r="U337" s="184">
        <v>61</v>
      </c>
      <c r="V337" s="185">
        <v>11</v>
      </c>
      <c r="W337" s="186">
        <v>2522</v>
      </c>
      <c r="X337" s="187">
        <v>2023</v>
      </c>
      <c r="Y337" s="188">
        <v>200</v>
      </c>
      <c r="Z337" s="188" t="s">
        <v>883</v>
      </c>
      <c r="AA337" s="187" t="s">
        <v>883</v>
      </c>
      <c r="AB337" s="188">
        <v>0</v>
      </c>
      <c r="AC337" s="188"/>
      <c r="AD337" s="189" t="s">
        <v>883</v>
      </c>
      <c r="AE337" s="190" t="s">
        <v>883</v>
      </c>
      <c r="AF337" s="180">
        <v>328</v>
      </c>
      <c r="AG337" s="183">
        <v>44792</v>
      </c>
      <c r="AH337" s="183" t="s">
        <v>883</v>
      </c>
      <c r="AI337" s="183">
        <v>45105</v>
      </c>
      <c r="AJ337" s="183" t="s">
        <v>883</v>
      </c>
      <c r="AK337" s="174"/>
    </row>
    <row r="338" spans="1:37" x14ac:dyDescent="0.3">
      <c r="A338" s="173">
        <v>63252</v>
      </c>
      <c r="B338" s="174" t="s">
        <v>1354</v>
      </c>
      <c r="C338" s="175" t="s">
        <v>31</v>
      </c>
      <c r="D338" s="176">
        <v>7.4</v>
      </c>
      <c r="E338" s="174"/>
      <c r="F338" s="174"/>
      <c r="G338" s="174" t="s">
        <v>883</v>
      </c>
      <c r="H338" s="177">
        <v>0</v>
      </c>
      <c r="I338" s="24">
        <v>103003</v>
      </c>
      <c r="J338" s="178">
        <v>7.4</v>
      </c>
      <c r="K338" s="177">
        <v>142</v>
      </c>
      <c r="L338" s="179">
        <v>0</v>
      </c>
      <c r="M338" s="180">
        <v>115</v>
      </c>
      <c r="N338" s="178">
        <v>851</v>
      </c>
      <c r="O338" s="181" t="s">
        <v>882</v>
      </c>
      <c r="P338" s="180">
        <v>0</v>
      </c>
      <c r="Q338" s="182">
        <v>0</v>
      </c>
      <c r="R338" s="183" t="s">
        <v>883</v>
      </c>
      <c r="S338" s="174" t="s">
        <v>1355</v>
      </c>
      <c r="T338" s="44">
        <v>1</v>
      </c>
      <c r="U338" s="184">
        <v>72</v>
      </c>
      <c r="V338" s="185">
        <v>13</v>
      </c>
      <c r="W338" s="186">
        <v>2499</v>
      </c>
      <c r="X338" s="187">
        <v>2023</v>
      </c>
      <c r="Y338" s="188">
        <v>50</v>
      </c>
      <c r="Z338" s="188" t="s">
        <v>883</v>
      </c>
      <c r="AA338" s="187" t="s">
        <v>883</v>
      </c>
      <c r="AB338" s="188">
        <v>0</v>
      </c>
      <c r="AC338" s="188"/>
      <c r="AD338" s="189" t="s">
        <v>883</v>
      </c>
      <c r="AE338" s="190" t="s">
        <v>883</v>
      </c>
      <c r="AF338" s="180">
        <v>56</v>
      </c>
      <c r="AG338" s="183">
        <v>44848</v>
      </c>
      <c r="AH338" s="183" t="s">
        <v>883</v>
      </c>
      <c r="AI338" s="183">
        <v>45077</v>
      </c>
      <c r="AJ338" s="183" t="s">
        <v>883</v>
      </c>
      <c r="AK338" s="174"/>
    </row>
    <row r="339" spans="1:37" x14ac:dyDescent="0.3">
      <c r="A339" s="173">
        <v>63277</v>
      </c>
      <c r="B339" s="174" t="s">
        <v>1356</v>
      </c>
      <c r="C339" s="175" t="s">
        <v>256</v>
      </c>
      <c r="D339" s="176">
        <v>4.5999999999999996</v>
      </c>
      <c r="E339" s="174"/>
      <c r="F339" s="174"/>
      <c r="G339" s="174" t="s">
        <v>883</v>
      </c>
      <c r="H339" s="177">
        <v>208</v>
      </c>
      <c r="I339" s="24">
        <v>103003</v>
      </c>
      <c r="J339" s="178">
        <v>4.5999999999999996</v>
      </c>
      <c r="K339" s="177">
        <v>113</v>
      </c>
      <c r="L339" s="179">
        <v>19.348837209302324</v>
      </c>
      <c r="M339" s="180">
        <v>0</v>
      </c>
      <c r="N339" s="178">
        <v>0</v>
      </c>
      <c r="O339" s="181" t="s">
        <v>882</v>
      </c>
      <c r="P339" s="180">
        <v>0</v>
      </c>
      <c r="Q339" s="182">
        <v>0</v>
      </c>
      <c r="R339" s="183" t="s">
        <v>883</v>
      </c>
      <c r="S339" s="174" t="s">
        <v>964</v>
      </c>
      <c r="T339" s="44">
        <v>1</v>
      </c>
      <c r="U339" s="184">
        <v>61</v>
      </c>
      <c r="V339" s="185">
        <v>8</v>
      </c>
      <c r="W339" s="186">
        <v>2453</v>
      </c>
      <c r="X339" s="187">
        <v>2023</v>
      </c>
      <c r="Y339" s="188">
        <v>100</v>
      </c>
      <c r="Z339" s="188" t="s">
        <v>883</v>
      </c>
      <c r="AA339" s="187" t="s">
        <v>883</v>
      </c>
      <c r="AB339" s="188">
        <v>0</v>
      </c>
      <c r="AC339" s="188"/>
      <c r="AD339" s="189" t="s">
        <v>883</v>
      </c>
      <c r="AE339" s="190" t="s">
        <v>883</v>
      </c>
      <c r="AF339" s="180">
        <v>44</v>
      </c>
      <c r="AG339" s="183">
        <v>44573</v>
      </c>
      <c r="AH339" s="183" t="s">
        <v>883</v>
      </c>
      <c r="AI339" s="183">
        <v>44531</v>
      </c>
      <c r="AJ339" s="183" t="s">
        <v>883</v>
      </c>
      <c r="AK339" s="174"/>
    </row>
    <row r="340" spans="1:37" x14ac:dyDescent="0.3">
      <c r="A340" s="173">
        <v>63382</v>
      </c>
      <c r="B340" s="174" t="s">
        <v>1357</v>
      </c>
      <c r="C340" s="175" t="s">
        <v>413</v>
      </c>
      <c r="D340" s="176">
        <v>8.9</v>
      </c>
      <c r="E340" s="174"/>
      <c r="F340" s="174"/>
      <c r="G340" s="174" t="s">
        <v>883</v>
      </c>
      <c r="H340" s="177">
        <v>214</v>
      </c>
      <c r="I340" s="24">
        <v>103003</v>
      </c>
      <c r="J340" s="178">
        <v>8.9</v>
      </c>
      <c r="K340" s="177">
        <v>51</v>
      </c>
      <c r="L340" s="179">
        <v>48.41628959276018</v>
      </c>
      <c r="M340" s="180">
        <v>0</v>
      </c>
      <c r="N340" s="178">
        <v>0</v>
      </c>
      <c r="O340" s="181" t="s">
        <v>882</v>
      </c>
      <c r="P340" s="180">
        <v>0</v>
      </c>
      <c r="Q340" s="182">
        <v>0</v>
      </c>
      <c r="R340" s="183" t="s">
        <v>883</v>
      </c>
      <c r="S340" s="174" t="s">
        <v>1110</v>
      </c>
      <c r="T340" s="44">
        <v>1</v>
      </c>
      <c r="U340" s="184">
        <v>51</v>
      </c>
      <c r="V340" s="185">
        <v>33</v>
      </c>
      <c r="W340" s="186" t="s">
        <v>883</v>
      </c>
      <c r="X340" s="187" t="s">
        <v>883</v>
      </c>
      <c r="Y340" s="188">
        <v>0</v>
      </c>
      <c r="Z340" s="188" t="s">
        <v>883</v>
      </c>
      <c r="AA340" s="187" t="s">
        <v>883</v>
      </c>
      <c r="AB340" s="188">
        <v>0</v>
      </c>
      <c r="AC340" s="188"/>
      <c r="AD340" s="189" t="s">
        <v>883</v>
      </c>
      <c r="AE340" s="190" t="s">
        <v>883</v>
      </c>
      <c r="AF340" s="180">
        <v>18</v>
      </c>
      <c r="AG340" s="183">
        <v>43627</v>
      </c>
      <c r="AH340" s="183" t="s">
        <v>883</v>
      </c>
      <c r="AI340" s="183">
        <v>44956</v>
      </c>
      <c r="AJ340" s="183" t="s">
        <v>883</v>
      </c>
      <c r="AK340" s="174"/>
    </row>
    <row r="341" spans="1:37" x14ac:dyDescent="0.3">
      <c r="A341" s="173">
        <v>63385</v>
      </c>
      <c r="B341" s="174" t="s">
        <v>1358</v>
      </c>
      <c r="C341" s="175" t="s">
        <v>569</v>
      </c>
      <c r="D341" s="176">
        <v>0.62</v>
      </c>
      <c r="E341" s="174"/>
      <c r="F341" s="174"/>
      <c r="G341" s="174" t="s">
        <v>883</v>
      </c>
      <c r="H341" s="177">
        <v>0</v>
      </c>
      <c r="I341" s="24">
        <v>103003</v>
      </c>
      <c r="J341" s="178">
        <v>0.62</v>
      </c>
      <c r="K341" s="177">
        <v>20368</v>
      </c>
      <c r="L341" s="179">
        <v>0</v>
      </c>
      <c r="M341" s="180">
        <v>1567.96</v>
      </c>
      <c r="N341" s="178">
        <v>972.13520000000005</v>
      </c>
      <c r="O341" s="181" t="s">
        <v>882</v>
      </c>
      <c r="P341" s="180">
        <v>0</v>
      </c>
      <c r="Q341" s="182">
        <v>0</v>
      </c>
      <c r="R341" s="183" t="s">
        <v>883</v>
      </c>
      <c r="S341" s="174" t="s">
        <v>1359</v>
      </c>
      <c r="T341" s="44">
        <v>1</v>
      </c>
      <c r="U341" s="184">
        <v>57</v>
      </c>
      <c r="V341" s="185">
        <v>17</v>
      </c>
      <c r="W341" s="186">
        <v>6989</v>
      </c>
      <c r="X341" s="187">
        <v>2023</v>
      </c>
      <c r="Y341" s="188">
        <v>18800</v>
      </c>
      <c r="Z341" s="188" t="s">
        <v>883</v>
      </c>
      <c r="AA341" s="187" t="s">
        <v>883</v>
      </c>
      <c r="AB341" s="188">
        <v>0</v>
      </c>
      <c r="AC341" s="188"/>
      <c r="AD341" s="189" t="s">
        <v>883</v>
      </c>
      <c r="AE341" s="190" t="s">
        <v>883</v>
      </c>
      <c r="AF341" s="180">
        <v>6790</v>
      </c>
      <c r="AG341" s="183">
        <v>44967</v>
      </c>
      <c r="AH341" s="183" t="s">
        <v>883</v>
      </c>
      <c r="AI341" s="183">
        <v>44910</v>
      </c>
      <c r="AJ341" s="183" t="s">
        <v>883</v>
      </c>
      <c r="AK341" s="174"/>
    </row>
    <row r="342" spans="1:37" x14ac:dyDescent="0.3">
      <c r="A342" s="173">
        <v>63591</v>
      </c>
      <c r="B342" s="174" t="s">
        <v>1360</v>
      </c>
      <c r="C342" s="175" t="s">
        <v>569</v>
      </c>
      <c r="D342" s="176">
        <v>0.46</v>
      </c>
      <c r="E342" s="174"/>
      <c r="F342" s="174"/>
      <c r="G342" s="174" t="s">
        <v>883</v>
      </c>
      <c r="H342" s="177">
        <v>1728</v>
      </c>
      <c r="I342" s="24">
        <v>103003</v>
      </c>
      <c r="J342" s="178">
        <v>0.46</v>
      </c>
      <c r="K342" s="177">
        <v>5295</v>
      </c>
      <c r="L342" s="179">
        <v>2.6264591439688716</v>
      </c>
      <c r="M342" s="180">
        <v>5167.04</v>
      </c>
      <c r="N342" s="178">
        <v>2376.8384000000001</v>
      </c>
      <c r="O342" s="181" t="s">
        <v>882</v>
      </c>
      <c r="P342" s="180">
        <v>0</v>
      </c>
      <c r="Q342" s="182">
        <v>0</v>
      </c>
      <c r="R342" s="183" t="s">
        <v>883</v>
      </c>
      <c r="S342" s="174" t="s">
        <v>1135</v>
      </c>
      <c r="T342" s="44">
        <v>1</v>
      </c>
      <c r="U342" s="184">
        <v>57</v>
      </c>
      <c r="V342" s="185">
        <v>2</v>
      </c>
      <c r="W342" s="186">
        <v>6216</v>
      </c>
      <c r="X342" s="187">
        <v>2023</v>
      </c>
      <c r="Y342" s="188">
        <v>1000</v>
      </c>
      <c r="Z342" s="188" t="s">
        <v>883</v>
      </c>
      <c r="AA342" s="187" t="s">
        <v>883</v>
      </c>
      <c r="AB342" s="188">
        <v>0</v>
      </c>
      <c r="AC342" s="188"/>
      <c r="AD342" s="189" t="s">
        <v>883</v>
      </c>
      <c r="AE342" s="190" t="s">
        <v>883</v>
      </c>
      <c r="AF342" s="180">
        <v>2632</v>
      </c>
      <c r="AG342" s="183">
        <v>44586</v>
      </c>
      <c r="AH342" s="183" t="s">
        <v>883</v>
      </c>
      <c r="AI342" s="183">
        <v>44551</v>
      </c>
      <c r="AJ342" s="183" t="s">
        <v>883</v>
      </c>
      <c r="AK342" s="174"/>
    </row>
    <row r="343" spans="1:37" x14ac:dyDescent="0.3">
      <c r="A343" s="173">
        <v>63839</v>
      </c>
      <c r="B343" s="174" t="s">
        <v>1361</v>
      </c>
      <c r="C343" s="175" t="s">
        <v>596</v>
      </c>
      <c r="D343" s="176">
        <v>77.7</v>
      </c>
      <c r="E343" s="174"/>
      <c r="F343" s="174"/>
      <c r="G343" s="174" t="s">
        <v>883</v>
      </c>
      <c r="H343" s="177">
        <v>0</v>
      </c>
      <c r="I343" s="24">
        <v>103003</v>
      </c>
      <c r="J343" s="178">
        <v>77.7</v>
      </c>
      <c r="K343" s="177">
        <v>243</v>
      </c>
      <c r="L343" s="179">
        <v>0</v>
      </c>
      <c r="M343" s="180">
        <v>170.96</v>
      </c>
      <c r="N343" s="178">
        <v>13283.592000000001</v>
      </c>
      <c r="O343" s="181" t="s">
        <v>882</v>
      </c>
      <c r="P343" s="180">
        <v>0</v>
      </c>
      <c r="Q343" s="182">
        <v>0</v>
      </c>
      <c r="R343" s="183" t="s">
        <v>883</v>
      </c>
      <c r="S343" s="174" t="s">
        <v>1022</v>
      </c>
      <c r="T343" s="44">
        <v>1</v>
      </c>
      <c r="U343" s="184">
        <v>74</v>
      </c>
      <c r="V343" s="185">
        <v>4</v>
      </c>
      <c r="W343" s="186">
        <v>2577</v>
      </c>
      <c r="X343" s="187">
        <v>2023</v>
      </c>
      <c r="Y343" s="188">
        <v>100</v>
      </c>
      <c r="Z343" s="188" t="s">
        <v>883</v>
      </c>
      <c r="AA343" s="187" t="s">
        <v>883</v>
      </c>
      <c r="AB343" s="188">
        <v>0</v>
      </c>
      <c r="AC343" s="188"/>
      <c r="AD343" s="189" t="s">
        <v>883</v>
      </c>
      <c r="AE343" s="190" t="s">
        <v>883</v>
      </c>
      <c r="AF343" s="180">
        <v>90</v>
      </c>
      <c r="AG343" s="183">
        <v>44942</v>
      </c>
      <c r="AH343" s="183" t="s">
        <v>883</v>
      </c>
      <c r="AI343" s="183">
        <v>44922</v>
      </c>
      <c r="AJ343" s="183" t="s">
        <v>883</v>
      </c>
      <c r="AK343" s="174"/>
    </row>
    <row r="344" spans="1:37" x14ac:dyDescent="0.3">
      <c r="A344" s="173">
        <v>63991</v>
      </c>
      <c r="B344" s="174" t="s">
        <v>1362</v>
      </c>
      <c r="C344" s="175" t="s">
        <v>395</v>
      </c>
      <c r="D344" s="176">
        <v>4.3</v>
      </c>
      <c r="E344" s="174"/>
      <c r="F344" s="174"/>
      <c r="G344" s="174" t="s">
        <v>883</v>
      </c>
      <c r="H344" s="177">
        <v>4400</v>
      </c>
      <c r="I344" s="24">
        <v>103003</v>
      </c>
      <c r="J344" s="178">
        <v>4.3</v>
      </c>
      <c r="K344" s="177">
        <v>2673</v>
      </c>
      <c r="L344" s="179">
        <v>15.046850420627864</v>
      </c>
      <c r="M344" s="180">
        <v>0</v>
      </c>
      <c r="N344" s="178">
        <v>0</v>
      </c>
      <c r="O344" s="181" t="s">
        <v>882</v>
      </c>
      <c r="P344" s="180">
        <v>0</v>
      </c>
      <c r="Q344" s="182">
        <v>0</v>
      </c>
      <c r="R344" s="183" t="s">
        <v>883</v>
      </c>
      <c r="S344" s="174" t="s">
        <v>1363</v>
      </c>
      <c r="T344" s="44">
        <v>1</v>
      </c>
      <c r="U344" s="184">
        <v>58</v>
      </c>
      <c r="V344" s="185">
        <v>8</v>
      </c>
      <c r="W344" s="186" t="s">
        <v>883</v>
      </c>
      <c r="X344" s="187" t="s">
        <v>883</v>
      </c>
      <c r="Y344" s="188">
        <v>0</v>
      </c>
      <c r="Z344" s="188" t="s">
        <v>883</v>
      </c>
      <c r="AA344" s="187" t="s">
        <v>883</v>
      </c>
      <c r="AB344" s="188">
        <v>0</v>
      </c>
      <c r="AC344" s="188"/>
      <c r="AD344" s="189" t="s">
        <v>883</v>
      </c>
      <c r="AE344" s="190" t="s">
        <v>883</v>
      </c>
      <c r="AF344" s="180">
        <v>1170</v>
      </c>
      <c r="AG344" s="183">
        <v>45069</v>
      </c>
      <c r="AH344" s="183" t="s">
        <v>883</v>
      </c>
      <c r="AI344" s="183">
        <v>45020</v>
      </c>
      <c r="AJ344" s="183" t="s">
        <v>883</v>
      </c>
      <c r="AK344" s="174"/>
    </row>
    <row r="345" spans="1:37" x14ac:dyDescent="0.3">
      <c r="A345" s="173">
        <v>64044</v>
      </c>
      <c r="B345" s="174" t="s">
        <v>1364</v>
      </c>
      <c r="C345" s="175" t="s">
        <v>629</v>
      </c>
      <c r="D345" s="176">
        <v>38.31</v>
      </c>
      <c r="E345" s="174"/>
      <c r="F345" s="174" t="s">
        <v>1322</v>
      </c>
      <c r="G345" s="174" t="s">
        <v>1195</v>
      </c>
      <c r="H345" s="177">
        <v>320</v>
      </c>
      <c r="I345" s="24">
        <v>103003</v>
      </c>
      <c r="J345" s="178">
        <v>38.31</v>
      </c>
      <c r="K345" s="177">
        <v>210</v>
      </c>
      <c r="L345" s="179">
        <v>18.285714285714285</v>
      </c>
      <c r="M345" s="180">
        <v>0</v>
      </c>
      <c r="N345" s="178">
        <v>0</v>
      </c>
      <c r="O345" s="181" t="s">
        <v>1196</v>
      </c>
      <c r="P345" s="180">
        <v>3000</v>
      </c>
      <c r="Q345" s="182">
        <v>114930</v>
      </c>
      <c r="R345" s="183">
        <v>45328</v>
      </c>
      <c r="S345" s="174" t="s">
        <v>1323</v>
      </c>
      <c r="T345" s="44">
        <v>1</v>
      </c>
      <c r="U345" s="184">
        <v>51</v>
      </c>
      <c r="V345" s="185">
        <v>30</v>
      </c>
      <c r="W345" s="186" t="s">
        <v>883</v>
      </c>
      <c r="X345" s="187" t="s">
        <v>883</v>
      </c>
      <c r="Y345" s="188">
        <v>0</v>
      </c>
      <c r="Z345" s="188" t="s">
        <v>883</v>
      </c>
      <c r="AA345" s="187" t="s">
        <v>883</v>
      </c>
      <c r="AB345" s="188">
        <v>0</v>
      </c>
      <c r="AC345" s="188"/>
      <c r="AD345" s="189" t="s">
        <v>883</v>
      </c>
      <c r="AE345" s="190" t="s">
        <v>883</v>
      </c>
      <c r="AF345" s="180">
        <v>70</v>
      </c>
      <c r="AG345" s="183">
        <v>45104</v>
      </c>
      <c r="AH345" s="183" t="s">
        <v>883</v>
      </c>
      <c r="AI345" s="183">
        <v>45033</v>
      </c>
      <c r="AJ345" s="183" t="s">
        <v>883</v>
      </c>
      <c r="AK345" s="174"/>
    </row>
    <row r="346" spans="1:37" x14ac:dyDescent="0.3">
      <c r="A346" s="173">
        <v>64253</v>
      </c>
      <c r="B346" s="174" t="s">
        <v>1365</v>
      </c>
      <c r="C346" s="175" t="s">
        <v>294</v>
      </c>
      <c r="D346" s="176">
        <v>56.66</v>
      </c>
      <c r="E346" s="174"/>
      <c r="F346" s="174"/>
      <c r="G346" s="174" t="s">
        <v>883</v>
      </c>
      <c r="H346" s="177">
        <v>2118</v>
      </c>
      <c r="I346" s="24">
        <v>103003</v>
      </c>
      <c r="J346" s="178">
        <v>56.66</v>
      </c>
      <c r="K346" s="177">
        <v>1148</v>
      </c>
      <c r="L346" s="179">
        <v>21.835051546391753</v>
      </c>
      <c r="M346" s="180">
        <v>0</v>
      </c>
      <c r="N346" s="178">
        <v>0</v>
      </c>
      <c r="O346" s="181" t="s">
        <v>882</v>
      </c>
      <c r="P346" s="180">
        <v>0</v>
      </c>
      <c r="Q346" s="182">
        <v>0</v>
      </c>
      <c r="R346" s="183" t="s">
        <v>883</v>
      </c>
      <c r="S346" s="174" t="s">
        <v>1366</v>
      </c>
      <c r="T346" s="44">
        <v>1</v>
      </c>
      <c r="U346" s="184">
        <v>69</v>
      </c>
      <c r="V346" s="185">
        <v>17</v>
      </c>
      <c r="W346" s="186" t="s">
        <v>883</v>
      </c>
      <c r="X346" s="187" t="s">
        <v>883</v>
      </c>
      <c r="Y346" s="188">
        <v>0</v>
      </c>
      <c r="Z346" s="188" t="s">
        <v>883</v>
      </c>
      <c r="AA346" s="187" t="s">
        <v>883</v>
      </c>
      <c r="AB346" s="188">
        <v>0</v>
      </c>
      <c r="AC346" s="188"/>
      <c r="AD346" s="189" t="s">
        <v>883</v>
      </c>
      <c r="AE346" s="190" t="s">
        <v>883</v>
      </c>
      <c r="AF346" s="180">
        <v>388</v>
      </c>
      <c r="AG346" s="183">
        <v>44895</v>
      </c>
      <c r="AH346" s="183" t="s">
        <v>883</v>
      </c>
      <c r="AI346" s="183">
        <v>44881</v>
      </c>
      <c r="AJ346" s="183" t="s">
        <v>883</v>
      </c>
      <c r="AK346" s="174"/>
    </row>
    <row r="347" spans="1:37" x14ac:dyDescent="0.3">
      <c r="A347" s="173">
        <v>64462</v>
      </c>
      <c r="B347" s="174" t="s">
        <v>1367</v>
      </c>
      <c r="C347" s="175" t="s">
        <v>256</v>
      </c>
      <c r="D347" s="176">
        <v>0.14000000000000001</v>
      </c>
      <c r="E347" s="174"/>
      <c r="F347" s="174"/>
      <c r="G347" s="174" t="s">
        <v>883</v>
      </c>
      <c r="H347" s="177">
        <v>3061</v>
      </c>
      <c r="I347" s="24">
        <v>103003</v>
      </c>
      <c r="J347" s="178">
        <v>0.14000000000000001</v>
      </c>
      <c r="K347" s="177">
        <v>4039</v>
      </c>
      <c r="L347" s="179">
        <v>8.0219089050788828</v>
      </c>
      <c r="M347" s="180">
        <v>0</v>
      </c>
      <c r="N347" s="178">
        <v>0</v>
      </c>
      <c r="O347" s="181" t="s">
        <v>882</v>
      </c>
      <c r="P347" s="180">
        <v>0</v>
      </c>
      <c r="Q347" s="182">
        <v>0</v>
      </c>
      <c r="R347" s="183" t="s">
        <v>883</v>
      </c>
      <c r="S347" s="174" t="s">
        <v>1368</v>
      </c>
      <c r="T347" s="44">
        <v>1</v>
      </c>
      <c r="U347" s="184">
        <v>67</v>
      </c>
      <c r="V347" s="185">
        <v>4</v>
      </c>
      <c r="W347" s="186">
        <v>2962</v>
      </c>
      <c r="X347" s="187">
        <v>2023</v>
      </c>
      <c r="Y347" s="188">
        <v>5000</v>
      </c>
      <c r="Z347" s="188" t="s">
        <v>883</v>
      </c>
      <c r="AA347" s="187" t="s">
        <v>883</v>
      </c>
      <c r="AB347" s="188">
        <v>0</v>
      </c>
      <c r="AC347" s="188"/>
      <c r="AD347" s="189" t="s">
        <v>883</v>
      </c>
      <c r="AE347" s="190" t="s">
        <v>883</v>
      </c>
      <c r="AF347" s="180">
        <v>1526</v>
      </c>
      <c r="AG347" s="183">
        <v>44400</v>
      </c>
      <c r="AH347" s="183" t="s">
        <v>883</v>
      </c>
      <c r="AI347" s="183">
        <v>44713</v>
      </c>
      <c r="AJ347" s="183" t="s">
        <v>883</v>
      </c>
      <c r="AK347" s="174"/>
    </row>
    <row r="348" spans="1:37" x14ac:dyDescent="0.3">
      <c r="A348" s="173">
        <v>64466</v>
      </c>
      <c r="B348" s="174" t="s">
        <v>1369</v>
      </c>
      <c r="C348" s="175" t="s">
        <v>256</v>
      </c>
      <c r="D348" s="176">
        <v>7.0000000000000007E-2</v>
      </c>
      <c r="E348" s="174"/>
      <c r="F348" s="174"/>
      <c r="G348" s="174" t="s">
        <v>883</v>
      </c>
      <c r="H348" s="177">
        <v>5067</v>
      </c>
      <c r="I348" s="24">
        <v>103003</v>
      </c>
      <c r="J348" s="178">
        <v>7.0000000000000007E-2</v>
      </c>
      <c r="K348" s="177">
        <v>195</v>
      </c>
      <c r="L348" s="179">
        <v>311.81538461538463</v>
      </c>
      <c r="M348" s="180">
        <v>0</v>
      </c>
      <c r="N348" s="178">
        <v>0</v>
      </c>
      <c r="O348" s="181" t="s">
        <v>882</v>
      </c>
      <c r="P348" s="180">
        <v>0</v>
      </c>
      <c r="Q348" s="182">
        <v>0</v>
      </c>
      <c r="R348" s="183" t="s">
        <v>883</v>
      </c>
      <c r="S348" s="174" t="s">
        <v>1179</v>
      </c>
      <c r="T348" s="44">
        <v>1</v>
      </c>
      <c r="U348" s="184">
        <v>67</v>
      </c>
      <c r="V348" s="185">
        <v>5</v>
      </c>
      <c r="W348" s="186" t="s">
        <v>883</v>
      </c>
      <c r="X348" s="187" t="s">
        <v>883</v>
      </c>
      <c r="Y348" s="188">
        <v>0</v>
      </c>
      <c r="Z348" s="188" t="s">
        <v>883</v>
      </c>
      <c r="AA348" s="187" t="s">
        <v>883</v>
      </c>
      <c r="AB348" s="188">
        <v>0</v>
      </c>
      <c r="AC348" s="188"/>
      <c r="AD348" s="189" t="s">
        <v>883</v>
      </c>
      <c r="AE348" s="190" t="s">
        <v>883</v>
      </c>
      <c r="AF348" s="180">
        <v>66</v>
      </c>
      <c r="AG348" s="183">
        <v>43864</v>
      </c>
      <c r="AH348" s="183" t="s">
        <v>883</v>
      </c>
      <c r="AI348" s="183">
        <v>43826</v>
      </c>
      <c r="AJ348" s="183" t="s">
        <v>883</v>
      </c>
      <c r="AK348" s="174"/>
    </row>
    <row r="349" spans="1:37" x14ac:dyDescent="0.3">
      <c r="A349" s="173">
        <v>64604</v>
      </c>
      <c r="B349" s="174" t="s">
        <v>1370</v>
      </c>
      <c r="C349" s="175" t="s">
        <v>294</v>
      </c>
      <c r="D349" s="176">
        <v>20.3</v>
      </c>
      <c r="E349" s="174"/>
      <c r="F349" s="174"/>
      <c r="G349" s="174" t="s">
        <v>883</v>
      </c>
      <c r="H349" s="177">
        <v>1371</v>
      </c>
      <c r="I349" s="24">
        <v>103003</v>
      </c>
      <c r="J349" s="178">
        <v>20.3</v>
      </c>
      <c r="K349" s="177">
        <v>38</v>
      </c>
      <c r="L349" s="179">
        <v>195.85714285714283</v>
      </c>
      <c r="M349" s="180">
        <v>0</v>
      </c>
      <c r="N349" s="178">
        <v>0</v>
      </c>
      <c r="O349" s="181" t="s">
        <v>882</v>
      </c>
      <c r="P349" s="180">
        <v>0</v>
      </c>
      <c r="Q349" s="182">
        <v>0</v>
      </c>
      <c r="R349" s="183" t="s">
        <v>883</v>
      </c>
      <c r="S349" s="174" t="s">
        <v>1342</v>
      </c>
      <c r="T349" s="44">
        <v>1</v>
      </c>
      <c r="U349" s="184">
        <v>69</v>
      </c>
      <c r="V349" s="185">
        <v>8</v>
      </c>
      <c r="W349" s="186" t="s">
        <v>883</v>
      </c>
      <c r="X349" s="187" t="s">
        <v>883</v>
      </c>
      <c r="Y349" s="188">
        <v>0</v>
      </c>
      <c r="Z349" s="188" t="s">
        <v>883</v>
      </c>
      <c r="AA349" s="187" t="s">
        <v>883</v>
      </c>
      <c r="AB349" s="188">
        <v>0</v>
      </c>
      <c r="AC349" s="188"/>
      <c r="AD349" s="189" t="s">
        <v>883</v>
      </c>
      <c r="AE349" s="190" t="s">
        <v>883</v>
      </c>
      <c r="AF349" s="180">
        <v>28</v>
      </c>
      <c r="AG349" s="183">
        <v>44551</v>
      </c>
      <c r="AH349" s="183" t="s">
        <v>883</v>
      </c>
      <c r="AI349" s="183">
        <v>45068</v>
      </c>
      <c r="AJ349" s="183" t="s">
        <v>883</v>
      </c>
      <c r="AK349" s="174"/>
    </row>
    <row r="350" spans="1:37" x14ac:dyDescent="0.3">
      <c r="A350" s="173">
        <v>64605</v>
      </c>
      <c r="B350" s="174" t="s">
        <v>1371</v>
      </c>
      <c r="C350" s="175" t="s">
        <v>294</v>
      </c>
      <c r="D350" s="176">
        <v>11.5</v>
      </c>
      <c r="E350" s="174"/>
      <c r="F350" s="174"/>
      <c r="G350" s="174" t="s">
        <v>883</v>
      </c>
      <c r="H350" s="177">
        <v>29</v>
      </c>
      <c r="I350" s="24">
        <v>103003</v>
      </c>
      <c r="J350" s="178">
        <v>11.5</v>
      </c>
      <c r="K350" s="177">
        <v>398</v>
      </c>
      <c r="L350" s="179">
        <v>0.61052631578947369</v>
      </c>
      <c r="M350" s="180">
        <v>0</v>
      </c>
      <c r="N350" s="178">
        <v>0</v>
      </c>
      <c r="O350" s="181" t="s">
        <v>882</v>
      </c>
      <c r="P350" s="180">
        <v>0</v>
      </c>
      <c r="Q350" s="182">
        <v>0</v>
      </c>
      <c r="R350" s="183" t="s">
        <v>883</v>
      </c>
      <c r="S350" s="174" t="s">
        <v>1342</v>
      </c>
      <c r="T350" s="44">
        <v>1</v>
      </c>
      <c r="U350" s="184">
        <v>69</v>
      </c>
      <c r="V350" s="185">
        <v>8</v>
      </c>
      <c r="W350" s="186">
        <v>2655</v>
      </c>
      <c r="X350" s="187">
        <v>2023</v>
      </c>
      <c r="Y350" s="188">
        <v>1000</v>
      </c>
      <c r="Z350" s="188" t="s">
        <v>883</v>
      </c>
      <c r="AA350" s="187" t="s">
        <v>883</v>
      </c>
      <c r="AB350" s="188">
        <v>0</v>
      </c>
      <c r="AC350" s="188"/>
      <c r="AD350" s="189" t="s">
        <v>883</v>
      </c>
      <c r="AE350" s="190" t="s">
        <v>883</v>
      </c>
      <c r="AF350" s="180">
        <v>190</v>
      </c>
      <c r="AG350" s="183">
        <v>44551</v>
      </c>
      <c r="AH350" s="183" t="s">
        <v>883</v>
      </c>
      <c r="AI350" s="183">
        <v>44911</v>
      </c>
      <c r="AJ350" s="183" t="s">
        <v>883</v>
      </c>
      <c r="AK350" s="174"/>
    </row>
    <row r="351" spans="1:37" x14ac:dyDescent="0.3">
      <c r="A351" s="173">
        <v>64607</v>
      </c>
      <c r="B351" s="174" t="s">
        <v>1372</v>
      </c>
      <c r="C351" s="175" t="s">
        <v>294</v>
      </c>
      <c r="D351" s="176">
        <v>49.4</v>
      </c>
      <c r="E351" s="174"/>
      <c r="F351" s="174"/>
      <c r="G351" s="174" t="s">
        <v>883</v>
      </c>
      <c r="H351" s="177">
        <v>736</v>
      </c>
      <c r="I351" s="24">
        <v>103003</v>
      </c>
      <c r="J351" s="178">
        <v>49.4</v>
      </c>
      <c r="K351" s="177">
        <v>699</v>
      </c>
      <c r="L351" s="179">
        <v>12.635193133047212</v>
      </c>
      <c r="M351" s="180">
        <v>0</v>
      </c>
      <c r="N351" s="178">
        <v>0</v>
      </c>
      <c r="O351" s="181" t="s">
        <v>882</v>
      </c>
      <c r="P351" s="180">
        <v>0</v>
      </c>
      <c r="Q351" s="182">
        <v>0</v>
      </c>
      <c r="R351" s="183" t="s">
        <v>883</v>
      </c>
      <c r="S351" s="174" t="s">
        <v>1258</v>
      </c>
      <c r="T351" s="44">
        <v>1</v>
      </c>
      <c r="U351" s="184">
        <v>69</v>
      </c>
      <c r="V351" s="185">
        <v>3</v>
      </c>
      <c r="W351" s="186" t="s">
        <v>883</v>
      </c>
      <c r="X351" s="187" t="s">
        <v>883</v>
      </c>
      <c r="Y351" s="188">
        <v>0</v>
      </c>
      <c r="Z351" s="188">
        <v>8862</v>
      </c>
      <c r="AA351" s="187">
        <v>2023</v>
      </c>
      <c r="AB351" s="188">
        <v>500</v>
      </c>
      <c r="AC351" s="188">
        <v>500</v>
      </c>
      <c r="AD351" s="189" t="s">
        <v>2039</v>
      </c>
      <c r="AE351" s="190">
        <v>45159</v>
      </c>
      <c r="AF351" s="180">
        <v>234</v>
      </c>
      <c r="AG351" s="183">
        <v>44893</v>
      </c>
      <c r="AH351" s="183" t="s">
        <v>883</v>
      </c>
      <c r="AI351" s="183">
        <v>45128</v>
      </c>
      <c r="AJ351" s="183" t="s">
        <v>883</v>
      </c>
      <c r="AK351" s="174"/>
    </row>
    <row r="352" spans="1:37" x14ac:dyDescent="0.3">
      <c r="A352" s="173">
        <v>64609</v>
      </c>
      <c r="B352" s="174" t="s">
        <v>1373</v>
      </c>
      <c r="C352" s="175" t="s">
        <v>294</v>
      </c>
      <c r="D352" s="176">
        <v>62</v>
      </c>
      <c r="E352" s="174"/>
      <c r="F352" s="174"/>
      <c r="G352" s="174" t="s">
        <v>883</v>
      </c>
      <c r="H352" s="177">
        <v>435</v>
      </c>
      <c r="I352" s="24">
        <v>103003</v>
      </c>
      <c r="J352" s="178">
        <v>62</v>
      </c>
      <c r="K352" s="177">
        <v>320</v>
      </c>
      <c r="L352" s="179">
        <v>14.5</v>
      </c>
      <c r="M352" s="180">
        <v>0</v>
      </c>
      <c r="N352" s="178">
        <v>0</v>
      </c>
      <c r="O352" s="181" t="s">
        <v>882</v>
      </c>
      <c r="P352" s="180">
        <v>0</v>
      </c>
      <c r="Q352" s="182">
        <v>0</v>
      </c>
      <c r="R352" s="183" t="s">
        <v>883</v>
      </c>
      <c r="S352" s="174" t="s">
        <v>1258</v>
      </c>
      <c r="T352" s="44">
        <v>1</v>
      </c>
      <c r="U352" s="184">
        <v>69</v>
      </c>
      <c r="V352" s="185">
        <v>3</v>
      </c>
      <c r="W352" s="186" t="s">
        <v>883</v>
      </c>
      <c r="X352" s="187" t="s">
        <v>883</v>
      </c>
      <c r="Y352" s="188">
        <v>0</v>
      </c>
      <c r="Z352" s="188" t="s">
        <v>883</v>
      </c>
      <c r="AA352" s="187" t="s">
        <v>883</v>
      </c>
      <c r="AB352" s="188">
        <v>0</v>
      </c>
      <c r="AC352" s="188"/>
      <c r="AD352" s="189" t="s">
        <v>883</v>
      </c>
      <c r="AE352" s="190" t="s">
        <v>883</v>
      </c>
      <c r="AF352" s="180">
        <v>120</v>
      </c>
      <c r="AG352" s="183">
        <v>44510</v>
      </c>
      <c r="AH352" s="183" t="s">
        <v>883</v>
      </c>
      <c r="AI352" s="183">
        <v>44781</v>
      </c>
      <c r="AJ352" s="183" t="s">
        <v>883</v>
      </c>
      <c r="AK352" s="174"/>
    </row>
    <row r="353" spans="1:37" x14ac:dyDescent="0.3">
      <c r="A353" s="173">
        <v>64610</v>
      </c>
      <c r="B353" s="174" t="s">
        <v>1374</v>
      </c>
      <c r="C353" s="175" t="s">
        <v>256</v>
      </c>
      <c r="D353" s="176">
        <v>96.6</v>
      </c>
      <c r="E353" s="174"/>
      <c r="F353" s="174"/>
      <c r="G353" s="174" t="s">
        <v>883</v>
      </c>
      <c r="H353" s="177">
        <v>0</v>
      </c>
      <c r="I353" s="24">
        <v>103003</v>
      </c>
      <c r="J353" s="178">
        <v>96.6</v>
      </c>
      <c r="K353" s="177">
        <v>466</v>
      </c>
      <c r="L353" s="179">
        <v>0</v>
      </c>
      <c r="M353" s="180">
        <v>0</v>
      </c>
      <c r="N353" s="178">
        <v>0</v>
      </c>
      <c r="O353" s="181" t="s">
        <v>882</v>
      </c>
      <c r="P353" s="180">
        <v>0</v>
      </c>
      <c r="Q353" s="182">
        <v>0</v>
      </c>
      <c r="R353" s="183" t="s">
        <v>883</v>
      </c>
      <c r="S353" s="174" t="s">
        <v>1162</v>
      </c>
      <c r="T353" s="44">
        <v>1</v>
      </c>
      <c r="U353" s="184">
        <v>69</v>
      </c>
      <c r="V353" s="185">
        <v>1</v>
      </c>
      <c r="W353" s="186" t="s">
        <v>883</v>
      </c>
      <c r="X353" s="187" t="s">
        <v>883</v>
      </c>
      <c r="Y353" s="188">
        <v>0</v>
      </c>
      <c r="Z353" s="188">
        <v>8864</v>
      </c>
      <c r="AA353" s="187">
        <v>2023</v>
      </c>
      <c r="AB353" s="188">
        <v>1000</v>
      </c>
      <c r="AC353" s="188">
        <v>1000</v>
      </c>
      <c r="AD353" s="189" t="s">
        <v>2039</v>
      </c>
      <c r="AE353" s="190">
        <v>45159</v>
      </c>
      <c r="AF353" s="180">
        <v>156</v>
      </c>
      <c r="AG353" s="183">
        <v>44504</v>
      </c>
      <c r="AH353" s="183" t="s">
        <v>883</v>
      </c>
      <c r="AI353" s="183">
        <v>45128</v>
      </c>
      <c r="AJ353" s="183" t="s">
        <v>883</v>
      </c>
      <c r="AK353" s="174"/>
    </row>
    <row r="354" spans="1:37" x14ac:dyDescent="0.3">
      <c r="A354" s="173">
        <v>64625</v>
      </c>
      <c r="B354" s="174" t="s">
        <v>1375</v>
      </c>
      <c r="C354" s="175" t="s">
        <v>294</v>
      </c>
      <c r="D354" s="176">
        <v>61.42</v>
      </c>
      <c r="E354" s="174"/>
      <c r="F354" s="174"/>
      <c r="G354" s="174" t="s">
        <v>883</v>
      </c>
      <c r="H354" s="177">
        <v>677</v>
      </c>
      <c r="I354" s="24">
        <v>103003</v>
      </c>
      <c r="J354" s="178">
        <v>61.42</v>
      </c>
      <c r="K354" s="177">
        <v>75</v>
      </c>
      <c r="L354" s="179">
        <v>108.32</v>
      </c>
      <c r="M354" s="180">
        <v>0</v>
      </c>
      <c r="N354" s="178">
        <v>0</v>
      </c>
      <c r="O354" s="181" t="s">
        <v>882</v>
      </c>
      <c r="P354" s="180">
        <v>0</v>
      </c>
      <c r="Q354" s="182">
        <v>0</v>
      </c>
      <c r="R354" s="183" t="s">
        <v>883</v>
      </c>
      <c r="S354" s="174" t="s">
        <v>1342</v>
      </c>
      <c r="T354" s="44">
        <v>1</v>
      </c>
      <c r="U354" s="184">
        <v>69</v>
      </c>
      <c r="V354" s="185">
        <v>8</v>
      </c>
      <c r="W354" s="186" t="s">
        <v>883</v>
      </c>
      <c r="X354" s="187" t="s">
        <v>883</v>
      </c>
      <c r="Y354" s="188">
        <v>0</v>
      </c>
      <c r="Z354" s="188" t="s">
        <v>883</v>
      </c>
      <c r="AA354" s="187" t="s">
        <v>883</v>
      </c>
      <c r="AB354" s="188">
        <v>0</v>
      </c>
      <c r="AC354" s="188"/>
      <c r="AD354" s="189" t="s">
        <v>883</v>
      </c>
      <c r="AE354" s="190" t="s">
        <v>883</v>
      </c>
      <c r="AF354" s="180">
        <v>26</v>
      </c>
      <c r="AG354" s="183">
        <v>44893</v>
      </c>
      <c r="AH354" s="183" t="s">
        <v>883</v>
      </c>
      <c r="AI354" s="183">
        <v>44881</v>
      </c>
      <c r="AJ354" s="183" t="s">
        <v>883</v>
      </c>
      <c r="AK354" s="174"/>
    </row>
    <row r="355" spans="1:37" x14ac:dyDescent="0.3">
      <c r="A355" s="173">
        <v>64626</v>
      </c>
      <c r="B355" s="174" t="s">
        <v>1376</v>
      </c>
      <c r="C355" s="175" t="s">
        <v>294</v>
      </c>
      <c r="D355" s="176">
        <v>75.400000000000006</v>
      </c>
      <c r="E355" s="174"/>
      <c r="F355" s="174"/>
      <c r="G355" s="174" t="s">
        <v>883</v>
      </c>
      <c r="H355" s="177">
        <v>2103</v>
      </c>
      <c r="I355" s="24">
        <v>103003</v>
      </c>
      <c r="J355" s="178">
        <v>75.400000000000006</v>
      </c>
      <c r="K355" s="177">
        <v>507</v>
      </c>
      <c r="L355" s="179">
        <v>49.77514792899408</v>
      </c>
      <c r="M355" s="180">
        <v>0</v>
      </c>
      <c r="N355" s="178">
        <v>0</v>
      </c>
      <c r="O355" s="181" t="s">
        <v>882</v>
      </c>
      <c r="P355" s="180">
        <v>0</v>
      </c>
      <c r="Q355" s="182">
        <v>0</v>
      </c>
      <c r="R355" s="183" t="s">
        <v>883</v>
      </c>
      <c r="S355" s="174" t="s">
        <v>1342</v>
      </c>
      <c r="T355" s="44">
        <v>1</v>
      </c>
      <c r="U355" s="184">
        <v>69</v>
      </c>
      <c r="V355" s="185">
        <v>8</v>
      </c>
      <c r="W355" s="186" t="s">
        <v>883</v>
      </c>
      <c r="X355" s="187" t="s">
        <v>883</v>
      </c>
      <c r="Y355" s="188">
        <v>0</v>
      </c>
      <c r="Z355" s="188">
        <v>8862</v>
      </c>
      <c r="AA355" s="187">
        <v>2023</v>
      </c>
      <c r="AB355" s="188">
        <v>500</v>
      </c>
      <c r="AC355" s="188">
        <v>500</v>
      </c>
      <c r="AD355" s="189" t="s">
        <v>2039</v>
      </c>
      <c r="AE355" s="190">
        <v>45159</v>
      </c>
      <c r="AF355" s="180">
        <v>170</v>
      </c>
      <c r="AG355" s="183">
        <v>44727</v>
      </c>
      <c r="AH355" s="183" t="s">
        <v>883</v>
      </c>
      <c r="AI355" s="183">
        <v>45128</v>
      </c>
      <c r="AJ355" s="183" t="s">
        <v>883</v>
      </c>
      <c r="AK355" s="174"/>
    </row>
    <row r="356" spans="1:37" x14ac:dyDescent="0.3">
      <c r="A356" s="173">
        <v>64627</v>
      </c>
      <c r="B356" s="174" t="s">
        <v>1377</v>
      </c>
      <c r="C356" s="175" t="s">
        <v>294</v>
      </c>
      <c r="D356" s="176">
        <v>66</v>
      </c>
      <c r="E356" s="174"/>
      <c r="F356" s="174"/>
      <c r="G356" s="174" t="s">
        <v>883</v>
      </c>
      <c r="H356" s="177">
        <v>2221</v>
      </c>
      <c r="I356" s="24">
        <v>103003</v>
      </c>
      <c r="J356" s="178">
        <v>66</v>
      </c>
      <c r="K356" s="177">
        <v>55</v>
      </c>
      <c r="L356" s="179">
        <v>484.93449781659382</v>
      </c>
      <c r="M356" s="180">
        <v>0</v>
      </c>
      <c r="N356" s="178">
        <v>0</v>
      </c>
      <c r="O356" s="181" t="s">
        <v>882</v>
      </c>
      <c r="P356" s="180">
        <v>0</v>
      </c>
      <c r="Q356" s="182">
        <v>0</v>
      </c>
      <c r="R356" s="183" t="s">
        <v>883</v>
      </c>
      <c r="S356" s="174" t="s">
        <v>1342</v>
      </c>
      <c r="T356" s="44">
        <v>1</v>
      </c>
      <c r="U356" s="184">
        <v>69</v>
      </c>
      <c r="V356" s="185">
        <v>8</v>
      </c>
      <c r="W356" s="186" t="s">
        <v>883</v>
      </c>
      <c r="X356" s="187" t="s">
        <v>883</v>
      </c>
      <c r="Y356" s="188">
        <v>0</v>
      </c>
      <c r="Z356" s="188" t="s">
        <v>883</v>
      </c>
      <c r="AA356" s="187" t="s">
        <v>883</v>
      </c>
      <c r="AB356" s="188">
        <v>0</v>
      </c>
      <c r="AC356" s="188"/>
      <c r="AD356" s="189" t="s">
        <v>883</v>
      </c>
      <c r="AE356" s="190" t="s">
        <v>883</v>
      </c>
      <c r="AF356" s="180">
        <v>18</v>
      </c>
      <c r="AG356" s="183">
        <v>44579</v>
      </c>
      <c r="AH356" s="183" t="s">
        <v>883</v>
      </c>
      <c r="AI356" s="183">
        <v>44883</v>
      </c>
      <c r="AJ356" s="183" t="s">
        <v>883</v>
      </c>
      <c r="AK356" s="174"/>
    </row>
    <row r="357" spans="1:37" x14ac:dyDescent="0.3">
      <c r="A357" s="173">
        <v>64634</v>
      </c>
      <c r="B357" s="174" t="s">
        <v>1378</v>
      </c>
      <c r="C357" s="175" t="s">
        <v>256</v>
      </c>
      <c r="D357" s="176">
        <v>3</v>
      </c>
      <c r="E357" s="174"/>
      <c r="F357" s="174"/>
      <c r="G357" s="174" t="s">
        <v>883</v>
      </c>
      <c r="H357" s="177">
        <v>89</v>
      </c>
      <c r="I357" s="24">
        <v>103003</v>
      </c>
      <c r="J357" s="178">
        <v>3</v>
      </c>
      <c r="K357" s="177"/>
      <c r="L357" s="179">
        <v>0</v>
      </c>
      <c r="M357" s="180">
        <v>0</v>
      </c>
      <c r="N357" s="178">
        <v>0</v>
      </c>
      <c r="O357" s="181" t="s">
        <v>882</v>
      </c>
      <c r="P357" s="180">
        <v>0</v>
      </c>
      <c r="Q357" s="182">
        <v>0</v>
      </c>
      <c r="R357" s="183" t="s">
        <v>883</v>
      </c>
      <c r="S357" s="174" t="s">
        <v>1379</v>
      </c>
      <c r="T357" s="44">
        <v>1</v>
      </c>
      <c r="U357" s="184">
        <v>83</v>
      </c>
      <c r="V357" s="185">
        <v>10</v>
      </c>
      <c r="W357" s="186" t="s">
        <v>883</v>
      </c>
      <c r="X357" s="187" t="s">
        <v>883</v>
      </c>
      <c r="Y357" s="188">
        <v>0</v>
      </c>
      <c r="Z357" s="188" t="s">
        <v>883</v>
      </c>
      <c r="AA357" s="187" t="s">
        <v>883</v>
      </c>
      <c r="AB357" s="188">
        <v>0</v>
      </c>
      <c r="AC357" s="188"/>
      <c r="AD357" s="189" t="s">
        <v>883</v>
      </c>
      <c r="AE357" s="190" t="s">
        <v>883</v>
      </c>
      <c r="AF357" s="180">
        <v>0</v>
      </c>
      <c r="AG357" s="183">
        <v>44162</v>
      </c>
      <c r="AH357" s="183" t="s">
        <v>883</v>
      </c>
      <c r="AI357" s="183">
        <v>44029</v>
      </c>
      <c r="AJ357" s="183" t="s">
        <v>883</v>
      </c>
      <c r="AK357" s="174"/>
    </row>
    <row r="358" spans="1:37" x14ac:dyDescent="0.3">
      <c r="A358" s="173">
        <v>64635</v>
      </c>
      <c r="B358" s="174" t="s">
        <v>1380</v>
      </c>
      <c r="C358" s="175" t="s">
        <v>256</v>
      </c>
      <c r="D358" s="176">
        <v>7.1</v>
      </c>
      <c r="E358" s="174"/>
      <c r="F358" s="174"/>
      <c r="G358" s="174" t="s">
        <v>883</v>
      </c>
      <c r="H358" s="177">
        <v>70</v>
      </c>
      <c r="I358" s="24">
        <v>103003</v>
      </c>
      <c r="J358" s="178">
        <v>7.3909500000000001</v>
      </c>
      <c r="K358" s="177">
        <v>2</v>
      </c>
      <c r="L358" s="179">
        <v>411.76470588235293</v>
      </c>
      <c r="M358" s="180">
        <v>0</v>
      </c>
      <c r="N358" s="178">
        <v>0</v>
      </c>
      <c r="O358" s="181" t="s">
        <v>882</v>
      </c>
      <c r="P358" s="180">
        <v>0</v>
      </c>
      <c r="Q358" s="182">
        <v>0</v>
      </c>
      <c r="R358" s="183" t="s">
        <v>883</v>
      </c>
      <c r="S358" s="174" t="s">
        <v>964</v>
      </c>
      <c r="T358" s="44">
        <v>1</v>
      </c>
      <c r="U358" s="184">
        <v>61</v>
      </c>
      <c r="V358" s="185">
        <v>8</v>
      </c>
      <c r="W358" s="186" t="s">
        <v>883</v>
      </c>
      <c r="X358" s="187" t="s">
        <v>883</v>
      </c>
      <c r="Y358" s="188">
        <v>0</v>
      </c>
      <c r="Z358" s="188" t="s">
        <v>883</v>
      </c>
      <c r="AA358" s="187" t="s">
        <v>883</v>
      </c>
      <c r="AB358" s="188">
        <v>0</v>
      </c>
      <c r="AC358" s="188"/>
      <c r="AD358" s="189" t="s">
        <v>883</v>
      </c>
      <c r="AE358" s="190" t="s">
        <v>883</v>
      </c>
      <c r="AF358" s="180">
        <v>0</v>
      </c>
      <c r="AG358" s="183">
        <v>39419</v>
      </c>
      <c r="AH358" s="183" t="s">
        <v>883</v>
      </c>
      <c r="AI358" s="183">
        <v>39380</v>
      </c>
      <c r="AJ358" s="183" t="s">
        <v>883</v>
      </c>
      <c r="AK358" s="174"/>
    </row>
    <row r="359" spans="1:37" x14ac:dyDescent="0.3">
      <c r="A359" s="173">
        <v>64636</v>
      </c>
      <c r="B359" s="174" t="s">
        <v>1381</v>
      </c>
      <c r="C359" s="175" t="s">
        <v>256</v>
      </c>
      <c r="D359" s="176">
        <v>2.93</v>
      </c>
      <c r="E359" s="174"/>
      <c r="F359" s="174"/>
      <c r="G359" s="174" t="s">
        <v>883</v>
      </c>
      <c r="H359" s="177">
        <v>31</v>
      </c>
      <c r="I359" s="24">
        <v>103003</v>
      </c>
      <c r="J359" s="178">
        <v>2.93</v>
      </c>
      <c r="K359" s="177">
        <v>68</v>
      </c>
      <c r="L359" s="179">
        <v>4.7692307692307692</v>
      </c>
      <c r="M359" s="180">
        <v>37</v>
      </c>
      <c r="N359" s="178">
        <v>108.41</v>
      </c>
      <c r="O359" s="181" t="s">
        <v>882</v>
      </c>
      <c r="P359" s="180">
        <v>0</v>
      </c>
      <c r="Q359" s="182">
        <v>0</v>
      </c>
      <c r="R359" s="183" t="s">
        <v>883</v>
      </c>
      <c r="S359" s="174" t="s">
        <v>964</v>
      </c>
      <c r="T359" s="44">
        <v>1</v>
      </c>
      <c r="U359" s="184">
        <v>61</v>
      </c>
      <c r="V359" s="185">
        <v>8</v>
      </c>
      <c r="W359" s="186">
        <v>2453</v>
      </c>
      <c r="X359" s="187">
        <v>2023</v>
      </c>
      <c r="Y359" s="188">
        <v>10</v>
      </c>
      <c r="Z359" s="188" t="s">
        <v>883</v>
      </c>
      <c r="AA359" s="187" t="s">
        <v>883</v>
      </c>
      <c r="AB359" s="188">
        <v>0</v>
      </c>
      <c r="AC359" s="188"/>
      <c r="AD359" s="189" t="s">
        <v>883</v>
      </c>
      <c r="AE359" s="190" t="s">
        <v>883</v>
      </c>
      <c r="AF359" s="180">
        <v>26</v>
      </c>
      <c r="AG359" s="183">
        <v>44187</v>
      </c>
      <c r="AH359" s="183" t="s">
        <v>883</v>
      </c>
      <c r="AI359" s="183">
        <v>44133</v>
      </c>
      <c r="AJ359" s="183" t="s">
        <v>883</v>
      </c>
      <c r="AK359" s="174"/>
    </row>
    <row r="360" spans="1:37" x14ac:dyDescent="0.3">
      <c r="A360" s="173">
        <v>64646</v>
      </c>
      <c r="B360" s="174" t="s">
        <v>1382</v>
      </c>
      <c r="C360" s="175" t="s">
        <v>256</v>
      </c>
      <c r="D360" s="176">
        <v>2.6</v>
      </c>
      <c r="E360" s="174"/>
      <c r="F360" s="174"/>
      <c r="G360" s="174" t="s">
        <v>883</v>
      </c>
      <c r="H360" s="177">
        <v>580</v>
      </c>
      <c r="I360" s="24">
        <v>103003</v>
      </c>
      <c r="J360" s="178">
        <v>2.6</v>
      </c>
      <c r="K360" s="177">
        <v>660</v>
      </c>
      <c r="L360" s="179">
        <v>10.545454545454545</v>
      </c>
      <c r="M360" s="180">
        <v>0</v>
      </c>
      <c r="N360" s="178">
        <v>0</v>
      </c>
      <c r="O360" s="181" t="s">
        <v>882</v>
      </c>
      <c r="P360" s="180">
        <v>0</v>
      </c>
      <c r="Q360" s="182">
        <v>0</v>
      </c>
      <c r="R360" s="183" t="s">
        <v>883</v>
      </c>
      <c r="S360" s="174" t="s">
        <v>1073</v>
      </c>
      <c r="T360" s="44">
        <v>1</v>
      </c>
      <c r="U360" s="184">
        <v>78</v>
      </c>
      <c r="V360" s="185">
        <v>2</v>
      </c>
      <c r="W360" s="186">
        <v>2974</v>
      </c>
      <c r="X360" s="187">
        <v>2023</v>
      </c>
      <c r="Y360" s="188">
        <v>500</v>
      </c>
      <c r="Z360" s="188" t="s">
        <v>883</v>
      </c>
      <c r="AA360" s="187" t="s">
        <v>883</v>
      </c>
      <c r="AB360" s="188">
        <v>0</v>
      </c>
      <c r="AC360" s="188"/>
      <c r="AD360" s="189" t="s">
        <v>883</v>
      </c>
      <c r="AE360" s="190" t="s">
        <v>883</v>
      </c>
      <c r="AF360" s="180">
        <v>220</v>
      </c>
      <c r="AG360" s="183">
        <v>43850</v>
      </c>
      <c r="AH360" s="183" t="s">
        <v>883</v>
      </c>
      <c r="AI360" s="183">
        <v>44956</v>
      </c>
      <c r="AJ360" s="183" t="s">
        <v>883</v>
      </c>
      <c r="AK360" s="174"/>
    </row>
    <row r="361" spans="1:37" x14ac:dyDescent="0.3">
      <c r="A361" s="173">
        <v>64647</v>
      </c>
      <c r="B361" s="174" t="s">
        <v>1383</v>
      </c>
      <c r="C361" s="175" t="s">
        <v>256</v>
      </c>
      <c r="D361" s="176">
        <v>20.8</v>
      </c>
      <c r="E361" s="174"/>
      <c r="F361" s="174"/>
      <c r="G361" s="174" t="s">
        <v>883</v>
      </c>
      <c r="H361" s="177">
        <v>18</v>
      </c>
      <c r="I361" s="24">
        <v>103003</v>
      </c>
      <c r="J361" s="178">
        <v>20.8</v>
      </c>
      <c r="K361" s="177"/>
      <c r="L361" s="179">
        <v>0</v>
      </c>
      <c r="M361" s="180">
        <v>0</v>
      </c>
      <c r="N361" s="178">
        <v>0</v>
      </c>
      <c r="O361" s="181" t="s">
        <v>882</v>
      </c>
      <c r="P361" s="180">
        <v>0</v>
      </c>
      <c r="Q361" s="182">
        <v>0</v>
      </c>
      <c r="R361" s="183" t="s">
        <v>883</v>
      </c>
      <c r="S361" s="174" t="s">
        <v>964</v>
      </c>
      <c r="T361" s="44">
        <v>1</v>
      </c>
      <c r="U361" s="184">
        <v>61</v>
      </c>
      <c r="V361" s="185">
        <v>8</v>
      </c>
      <c r="W361" s="186" t="s">
        <v>883</v>
      </c>
      <c r="X361" s="187" t="s">
        <v>883</v>
      </c>
      <c r="Y361" s="188">
        <v>0</v>
      </c>
      <c r="Z361" s="188" t="s">
        <v>883</v>
      </c>
      <c r="AA361" s="187" t="s">
        <v>883</v>
      </c>
      <c r="AB361" s="188">
        <v>0</v>
      </c>
      <c r="AC361" s="188"/>
      <c r="AD361" s="189" t="s">
        <v>883</v>
      </c>
      <c r="AE361" s="190" t="s">
        <v>883</v>
      </c>
      <c r="AF361" s="180">
        <v>0</v>
      </c>
      <c r="AG361" s="183">
        <v>40688</v>
      </c>
      <c r="AH361" s="183" t="s">
        <v>883</v>
      </c>
      <c r="AI361" s="183">
        <v>43725</v>
      </c>
      <c r="AJ361" s="183" t="s">
        <v>883</v>
      </c>
      <c r="AK361" s="174"/>
    </row>
    <row r="362" spans="1:37" x14ac:dyDescent="0.3">
      <c r="A362" s="173">
        <v>64648</v>
      </c>
      <c r="B362" s="174" t="s">
        <v>1384</v>
      </c>
      <c r="C362" s="175" t="s">
        <v>256</v>
      </c>
      <c r="D362" s="176">
        <v>48.46</v>
      </c>
      <c r="E362" s="174"/>
      <c r="F362" s="174"/>
      <c r="G362" s="174" t="s">
        <v>883</v>
      </c>
      <c r="H362" s="177">
        <v>14</v>
      </c>
      <c r="I362" s="24">
        <v>103003</v>
      </c>
      <c r="J362" s="178">
        <v>48.46</v>
      </c>
      <c r="K362" s="177">
        <v>3</v>
      </c>
      <c r="L362" s="179">
        <v>4.3076923076923084</v>
      </c>
      <c r="M362" s="180">
        <v>15</v>
      </c>
      <c r="N362" s="178">
        <v>726.9</v>
      </c>
      <c r="O362" s="181" t="s">
        <v>882</v>
      </c>
      <c r="P362" s="180">
        <v>0</v>
      </c>
      <c r="Q362" s="182">
        <v>0</v>
      </c>
      <c r="R362" s="183" t="s">
        <v>883</v>
      </c>
      <c r="S362" s="174" t="s">
        <v>964</v>
      </c>
      <c r="T362" s="44">
        <v>1</v>
      </c>
      <c r="U362" s="184">
        <v>61</v>
      </c>
      <c r="V362" s="185">
        <v>8</v>
      </c>
      <c r="W362" s="186">
        <v>8979</v>
      </c>
      <c r="X362" s="187">
        <v>2023</v>
      </c>
      <c r="Y362" s="188">
        <v>10</v>
      </c>
      <c r="Z362" s="188" t="s">
        <v>883</v>
      </c>
      <c r="AA362" s="187" t="s">
        <v>883</v>
      </c>
      <c r="AB362" s="188">
        <v>0</v>
      </c>
      <c r="AC362" s="188"/>
      <c r="AD362" s="189" t="s">
        <v>883</v>
      </c>
      <c r="AE362" s="190" t="s">
        <v>883</v>
      </c>
      <c r="AF362" s="180">
        <v>14</v>
      </c>
      <c r="AG362" s="183">
        <v>44573</v>
      </c>
      <c r="AH362" s="183" t="s">
        <v>883</v>
      </c>
      <c r="AI362" s="183">
        <v>44522</v>
      </c>
      <c r="AJ362" s="183" t="s">
        <v>883</v>
      </c>
      <c r="AK362" s="174"/>
    </row>
    <row r="363" spans="1:37" x14ac:dyDescent="0.3">
      <c r="A363" s="173">
        <v>64817</v>
      </c>
      <c r="B363" s="174" t="s">
        <v>1385</v>
      </c>
      <c r="C363" s="175" t="s">
        <v>294</v>
      </c>
      <c r="D363" s="176">
        <v>16</v>
      </c>
      <c r="E363" s="174"/>
      <c r="F363" s="174"/>
      <c r="G363" s="174" t="s">
        <v>883</v>
      </c>
      <c r="H363" s="177">
        <v>86</v>
      </c>
      <c r="I363" s="24">
        <v>103003</v>
      </c>
      <c r="J363" s="178">
        <v>16</v>
      </c>
      <c r="K363" s="177">
        <v>4</v>
      </c>
      <c r="L363" s="179">
        <v>260.60606060606062</v>
      </c>
      <c r="M363" s="180">
        <v>0</v>
      </c>
      <c r="N363" s="178">
        <v>0</v>
      </c>
      <c r="O363" s="181" t="s">
        <v>882</v>
      </c>
      <c r="P363" s="180">
        <v>0</v>
      </c>
      <c r="Q363" s="182">
        <v>0</v>
      </c>
      <c r="R363" s="183" t="s">
        <v>883</v>
      </c>
      <c r="S363" s="174" t="s">
        <v>1342</v>
      </c>
      <c r="T363" s="44">
        <v>1</v>
      </c>
      <c r="U363" s="184">
        <v>69</v>
      </c>
      <c r="V363" s="185">
        <v>8</v>
      </c>
      <c r="W363" s="186" t="s">
        <v>883</v>
      </c>
      <c r="X363" s="187" t="s">
        <v>883</v>
      </c>
      <c r="Y363" s="188">
        <v>0</v>
      </c>
      <c r="Z363" s="188" t="s">
        <v>883</v>
      </c>
      <c r="AA363" s="187" t="s">
        <v>883</v>
      </c>
      <c r="AB363" s="188">
        <v>0</v>
      </c>
      <c r="AC363" s="188"/>
      <c r="AD363" s="189" t="s">
        <v>883</v>
      </c>
      <c r="AE363" s="190" t="s">
        <v>883</v>
      </c>
      <c r="AF363" s="180">
        <v>2</v>
      </c>
      <c r="AG363" s="183">
        <v>43788</v>
      </c>
      <c r="AH363" s="183" t="s">
        <v>883</v>
      </c>
      <c r="AI363" s="183">
        <v>44012</v>
      </c>
      <c r="AJ363" s="183" t="s">
        <v>883</v>
      </c>
      <c r="AK363" s="174"/>
    </row>
    <row r="364" spans="1:37" x14ac:dyDescent="0.3">
      <c r="A364" s="173">
        <v>64821</v>
      </c>
      <c r="B364" s="174" t="s">
        <v>830</v>
      </c>
      <c r="C364" s="175" t="s">
        <v>273</v>
      </c>
      <c r="D364" s="176">
        <v>99</v>
      </c>
      <c r="E364" s="174"/>
      <c r="F364" s="174"/>
      <c r="G364" s="174" t="s">
        <v>883</v>
      </c>
      <c r="H364" s="177">
        <v>20</v>
      </c>
      <c r="I364" s="24">
        <v>103003</v>
      </c>
      <c r="J364" s="178">
        <v>99</v>
      </c>
      <c r="K364" s="177">
        <v>7</v>
      </c>
      <c r="L364" s="179">
        <v>34.482758620689651</v>
      </c>
      <c r="M364" s="180">
        <v>0</v>
      </c>
      <c r="N364" s="178">
        <v>0</v>
      </c>
      <c r="O364" s="181" t="s">
        <v>882</v>
      </c>
      <c r="P364" s="180">
        <v>0</v>
      </c>
      <c r="Q364" s="182">
        <v>0</v>
      </c>
      <c r="R364" s="183" t="s">
        <v>883</v>
      </c>
      <c r="S364" s="174" t="s">
        <v>1386</v>
      </c>
      <c r="T364" s="44">
        <v>1</v>
      </c>
      <c r="U364" s="184">
        <v>76</v>
      </c>
      <c r="V364" s="185">
        <v>9</v>
      </c>
      <c r="W364" s="186" t="s">
        <v>883</v>
      </c>
      <c r="X364" s="187" t="s">
        <v>883</v>
      </c>
      <c r="Y364" s="188">
        <v>0</v>
      </c>
      <c r="Z364" s="188" t="s">
        <v>883</v>
      </c>
      <c r="AA364" s="187" t="s">
        <v>883</v>
      </c>
      <c r="AB364" s="188">
        <v>0</v>
      </c>
      <c r="AC364" s="188"/>
      <c r="AD364" s="189" t="s">
        <v>883</v>
      </c>
      <c r="AE364" s="190" t="s">
        <v>883</v>
      </c>
      <c r="AF364" s="180">
        <v>2</v>
      </c>
      <c r="AG364" s="183">
        <v>43497</v>
      </c>
      <c r="AH364" s="183" t="s">
        <v>883</v>
      </c>
      <c r="AI364" s="183">
        <v>43875</v>
      </c>
      <c r="AJ364" s="183" t="s">
        <v>883</v>
      </c>
      <c r="AK364" s="174"/>
    </row>
    <row r="365" spans="1:37" x14ac:dyDescent="0.3">
      <c r="A365" s="173">
        <v>64860</v>
      </c>
      <c r="B365" s="174" t="s">
        <v>1387</v>
      </c>
      <c r="C365" s="175" t="s">
        <v>294</v>
      </c>
      <c r="D365" s="176">
        <v>64</v>
      </c>
      <c r="E365" s="174"/>
      <c r="F365" s="174"/>
      <c r="G365" s="174" t="s">
        <v>883</v>
      </c>
      <c r="H365" s="177">
        <v>56</v>
      </c>
      <c r="I365" s="24">
        <v>103003</v>
      </c>
      <c r="J365" s="178">
        <v>64</v>
      </c>
      <c r="K365" s="177">
        <v>211</v>
      </c>
      <c r="L365" s="179">
        <v>3.1854379977246872</v>
      </c>
      <c r="M365" s="180">
        <v>104.96</v>
      </c>
      <c r="N365" s="178">
        <v>6717.44</v>
      </c>
      <c r="O365" s="181" t="s">
        <v>882</v>
      </c>
      <c r="P365" s="180">
        <v>0</v>
      </c>
      <c r="Q365" s="182">
        <v>0</v>
      </c>
      <c r="R365" s="183" t="s">
        <v>883</v>
      </c>
      <c r="S365" s="174" t="s">
        <v>1342</v>
      </c>
      <c r="T365" s="44">
        <v>1</v>
      </c>
      <c r="U365" s="184">
        <v>69</v>
      </c>
      <c r="V365" s="185">
        <v>8</v>
      </c>
      <c r="W365" s="186">
        <v>2991</v>
      </c>
      <c r="X365" s="187">
        <v>2023</v>
      </c>
      <c r="Y365" s="188">
        <v>50</v>
      </c>
      <c r="Z365" s="188" t="s">
        <v>883</v>
      </c>
      <c r="AA365" s="187" t="s">
        <v>883</v>
      </c>
      <c r="AB365" s="188">
        <v>0</v>
      </c>
      <c r="AC365" s="188"/>
      <c r="AD365" s="189" t="s">
        <v>883</v>
      </c>
      <c r="AE365" s="190" t="s">
        <v>883</v>
      </c>
      <c r="AF365" s="180">
        <v>70</v>
      </c>
      <c r="AG365" s="183">
        <v>44410</v>
      </c>
      <c r="AH365" s="183" t="s">
        <v>883</v>
      </c>
      <c r="AI365" s="183">
        <v>44883</v>
      </c>
      <c r="AJ365" s="183" t="s">
        <v>883</v>
      </c>
      <c r="AK365" s="174"/>
    </row>
    <row r="366" spans="1:37" x14ac:dyDescent="0.3">
      <c r="A366" s="173">
        <v>64861</v>
      </c>
      <c r="B366" s="174" t="s">
        <v>1388</v>
      </c>
      <c r="C366" s="175" t="s">
        <v>294</v>
      </c>
      <c r="D366" s="176">
        <v>38.89</v>
      </c>
      <c r="E366" s="174"/>
      <c r="F366" s="174"/>
      <c r="G366" s="174" t="s">
        <v>883</v>
      </c>
      <c r="H366" s="177">
        <v>1790</v>
      </c>
      <c r="I366" s="24">
        <v>103003</v>
      </c>
      <c r="J366" s="178">
        <v>38.89</v>
      </c>
      <c r="K366" s="177">
        <v>10</v>
      </c>
      <c r="L366" s="179">
        <v>2156.6265060240962</v>
      </c>
      <c r="M366" s="180">
        <v>0</v>
      </c>
      <c r="N366" s="178">
        <v>0</v>
      </c>
      <c r="O366" s="181" t="s">
        <v>882</v>
      </c>
      <c r="P366" s="180">
        <v>0</v>
      </c>
      <c r="Q366" s="182">
        <v>0</v>
      </c>
      <c r="R366" s="183" t="s">
        <v>883</v>
      </c>
      <c r="S366" s="174" t="s">
        <v>1342</v>
      </c>
      <c r="T366" s="44">
        <v>1</v>
      </c>
      <c r="U366" s="184">
        <v>69</v>
      </c>
      <c r="V366" s="185">
        <v>8</v>
      </c>
      <c r="W366" s="186" t="s">
        <v>883</v>
      </c>
      <c r="X366" s="187" t="s">
        <v>883</v>
      </c>
      <c r="Y366" s="188">
        <v>0</v>
      </c>
      <c r="Z366" s="188" t="s">
        <v>883</v>
      </c>
      <c r="AA366" s="187" t="s">
        <v>883</v>
      </c>
      <c r="AB366" s="188">
        <v>0</v>
      </c>
      <c r="AC366" s="188"/>
      <c r="AD366" s="189" t="s">
        <v>883</v>
      </c>
      <c r="AE366" s="190" t="s">
        <v>883</v>
      </c>
      <c r="AF366" s="180">
        <v>4</v>
      </c>
      <c r="AG366" s="183">
        <v>44579</v>
      </c>
      <c r="AH366" s="183" t="s">
        <v>883</v>
      </c>
      <c r="AI366" s="183">
        <v>44883</v>
      </c>
      <c r="AJ366" s="183" t="s">
        <v>883</v>
      </c>
      <c r="AK366" s="174"/>
    </row>
    <row r="367" spans="1:37" x14ac:dyDescent="0.3">
      <c r="A367" s="173">
        <v>65173</v>
      </c>
      <c r="B367" s="174" t="s">
        <v>1389</v>
      </c>
      <c r="C367" s="175" t="s">
        <v>256</v>
      </c>
      <c r="D367" s="176">
        <v>63.75</v>
      </c>
      <c r="E367" s="174"/>
      <c r="F367" s="174"/>
      <c r="G367" s="174" t="s">
        <v>883</v>
      </c>
      <c r="H367" s="177">
        <v>54</v>
      </c>
      <c r="I367" s="24">
        <v>103003</v>
      </c>
      <c r="J367" s="178">
        <v>63.75</v>
      </c>
      <c r="K367" s="177">
        <v>78</v>
      </c>
      <c r="L367" s="179">
        <v>7.2</v>
      </c>
      <c r="M367" s="180">
        <v>0</v>
      </c>
      <c r="N367" s="178">
        <v>0</v>
      </c>
      <c r="O367" s="181" t="s">
        <v>882</v>
      </c>
      <c r="P367" s="180">
        <v>0</v>
      </c>
      <c r="Q367" s="182">
        <v>0</v>
      </c>
      <c r="R367" s="183" t="s">
        <v>883</v>
      </c>
      <c r="S367" s="174" t="s">
        <v>1009</v>
      </c>
      <c r="T367" s="44">
        <v>1</v>
      </c>
      <c r="U367" s="184">
        <v>61</v>
      </c>
      <c r="V367" s="185">
        <v>15</v>
      </c>
      <c r="W367" s="186">
        <v>2960</v>
      </c>
      <c r="X367" s="187">
        <v>2023</v>
      </c>
      <c r="Y367" s="188">
        <v>50</v>
      </c>
      <c r="Z367" s="188" t="s">
        <v>883</v>
      </c>
      <c r="AA367" s="187" t="s">
        <v>883</v>
      </c>
      <c r="AB367" s="188">
        <v>0</v>
      </c>
      <c r="AC367" s="188"/>
      <c r="AD367" s="189" t="s">
        <v>883</v>
      </c>
      <c r="AE367" s="190" t="s">
        <v>883</v>
      </c>
      <c r="AF367" s="180">
        <v>30</v>
      </c>
      <c r="AG367" s="183">
        <v>44733</v>
      </c>
      <c r="AH367" s="183" t="s">
        <v>883</v>
      </c>
      <c r="AI367" s="183">
        <v>45077</v>
      </c>
      <c r="AJ367" s="183" t="s">
        <v>883</v>
      </c>
      <c r="AK367" s="174"/>
    </row>
    <row r="368" spans="1:37" x14ac:dyDescent="0.3">
      <c r="A368" s="173">
        <v>65609</v>
      </c>
      <c r="B368" s="174" t="s">
        <v>454</v>
      </c>
      <c r="C368" s="175" t="s">
        <v>256</v>
      </c>
      <c r="D368" s="176">
        <v>21</v>
      </c>
      <c r="E368" s="174"/>
      <c r="F368" s="174"/>
      <c r="G368" s="174" t="s">
        <v>883</v>
      </c>
      <c r="H368" s="177">
        <v>3</v>
      </c>
      <c r="I368" s="24">
        <v>103003</v>
      </c>
      <c r="J368" s="178">
        <v>21</v>
      </c>
      <c r="K368" s="177"/>
      <c r="L368" s="179">
        <v>0</v>
      </c>
      <c r="M368" s="180">
        <v>0</v>
      </c>
      <c r="N368" s="178">
        <v>0</v>
      </c>
      <c r="O368" s="181" t="s">
        <v>882</v>
      </c>
      <c r="P368" s="180">
        <v>0</v>
      </c>
      <c r="Q368" s="182">
        <v>0</v>
      </c>
      <c r="R368" s="183" t="s">
        <v>883</v>
      </c>
      <c r="S368" s="174" t="s">
        <v>1273</v>
      </c>
      <c r="T368" s="44">
        <v>1</v>
      </c>
      <c r="U368" s="184">
        <v>51</v>
      </c>
      <c r="V368" s="185">
        <v>17</v>
      </c>
      <c r="W368" s="186" t="s">
        <v>883</v>
      </c>
      <c r="X368" s="187" t="s">
        <v>883</v>
      </c>
      <c r="Y368" s="188">
        <v>0</v>
      </c>
      <c r="Z368" s="188" t="s">
        <v>883</v>
      </c>
      <c r="AA368" s="187" t="s">
        <v>883</v>
      </c>
      <c r="AB368" s="188">
        <v>0</v>
      </c>
      <c r="AC368" s="188"/>
      <c r="AD368" s="189" t="s">
        <v>883</v>
      </c>
      <c r="AE368" s="190" t="s">
        <v>883</v>
      </c>
      <c r="AF368" s="180">
        <v>0</v>
      </c>
      <c r="AG368" s="183">
        <v>39779</v>
      </c>
      <c r="AH368" s="183" t="s">
        <v>883</v>
      </c>
      <c r="AI368" s="183">
        <v>39734</v>
      </c>
      <c r="AJ368" s="183" t="s">
        <v>883</v>
      </c>
      <c r="AK368" s="174"/>
    </row>
    <row r="369" spans="1:37" x14ac:dyDescent="0.3">
      <c r="A369" s="173">
        <v>65610</v>
      </c>
      <c r="B369" s="174" t="s">
        <v>453</v>
      </c>
      <c r="C369" s="175" t="s">
        <v>256</v>
      </c>
      <c r="D369" s="176">
        <v>30</v>
      </c>
      <c r="E369" s="174"/>
      <c r="F369" s="174"/>
      <c r="G369" s="174" t="s">
        <v>883</v>
      </c>
      <c r="H369" s="177">
        <v>15</v>
      </c>
      <c r="I369" s="24">
        <v>103003</v>
      </c>
      <c r="J369" s="178">
        <v>28.95</v>
      </c>
      <c r="K369" s="177"/>
      <c r="L369" s="179">
        <v>0</v>
      </c>
      <c r="M369" s="180">
        <v>0</v>
      </c>
      <c r="N369" s="178">
        <v>0</v>
      </c>
      <c r="O369" s="181" t="s">
        <v>882</v>
      </c>
      <c r="P369" s="180">
        <v>0</v>
      </c>
      <c r="Q369" s="182">
        <v>0</v>
      </c>
      <c r="R369" s="183" t="s">
        <v>883</v>
      </c>
      <c r="S369" s="174" t="s">
        <v>1273</v>
      </c>
      <c r="T369" s="44">
        <v>1</v>
      </c>
      <c r="U369" s="184">
        <v>51</v>
      </c>
      <c r="V369" s="185">
        <v>17</v>
      </c>
      <c r="W369" s="186" t="s">
        <v>883</v>
      </c>
      <c r="X369" s="187" t="s">
        <v>883</v>
      </c>
      <c r="Y369" s="188">
        <v>0</v>
      </c>
      <c r="Z369" s="188" t="s">
        <v>883</v>
      </c>
      <c r="AA369" s="187" t="s">
        <v>883</v>
      </c>
      <c r="AB369" s="188">
        <v>0</v>
      </c>
      <c r="AC369" s="188"/>
      <c r="AD369" s="189" t="s">
        <v>883</v>
      </c>
      <c r="AE369" s="190" t="s">
        <v>883</v>
      </c>
      <c r="AF369" s="180">
        <v>0</v>
      </c>
      <c r="AG369" s="183">
        <v>39636</v>
      </c>
      <c r="AH369" s="183" t="s">
        <v>883</v>
      </c>
      <c r="AI369" s="183">
        <v>39616</v>
      </c>
      <c r="AJ369" s="183" t="s">
        <v>883</v>
      </c>
      <c r="AK369" s="174"/>
    </row>
    <row r="370" spans="1:37" x14ac:dyDescent="0.3">
      <c r="A370" s="173">
        <v>66168</v>
      </c>
      <c r="B370" s="174" t="s">
        <v>1390</v>
      </c>
      <c r="C370" s="175" t="s">
        <v>294</v>
      </c>
      <c r="D370" s="176">
        <v>42</v>
      </c>
      <c r="E370" s="174"/>
      <c r="F370" s="174"/>
      <c r="G370" s="174" t="s">
        <v>883</v>
      </c>
      <c r="H370" s="177">
        <v>392</v>
      </c>
      <c r="I370" s="24">
        <v>103003</v>
      </c>
      <c r="J370" s="178">
        <v>42</v>
      </c>
      <c r="K370" s="177">
        <v>641</v>
      </c>
      <c r="L370" s="179">
        <v>6.4526748971193415</v>
      </c>
      <c r="M370" s="180">
        <v>37</v>
      </c>
      <c r="N370" s="178">
        <v>1554</v>
      </c>
      <c r="O370" s="181" t="s">
        <v>882</v>
      </c>
      <c r="P370" s="180">
        <v>0</v>
      </c>
      <c r="Q370" s="182">
        <v>0</v>
      </c>
      <c r="R370" s="183" t="s">
        <v>883</v>
      </c>
      <c r="S370" s="174" t="s">
        <v>1366</v>
      </c>
      <c r="T370" s="44">
        <v>1</v>
      </c>
      <c r="U370" s="184">
        <v>69</v>
      </c>
      <c r="V370" s="185">
        <v>17</v>
      </c>
      <c r="W370" s="186" t="s">
        <v>883</v>
      </c>
      <c r="X370" s="187" t="s">
        <v>883</v>
      </c>
      <c r="Y370" s="188">
        <v>0</v>
      </c>
      <c r="Z370" s="188">
        <v>8863</v>
      </c>
      <c r="AA370" s="187">
        <v>2023</v>
      </c>
      <c r="AB370" s="188">
        <v>300</v>
      </c>
      <c r="AC370" s="188">
        <v>300</v>
      </c>
      <c r="AD370" s="189" t="s">
        <v>2040</v>
      </c>
      <c r="AE370" s="190">
        <v>45159</v>
      </c>
      <c r="AF370" s="180">
        <v>244</v>
      </c>
      <c r="AG370" s="183">
        <v>44575</v>
      </c>
      <c r="AH370" s="183" t="s">
        <v>883</v>
      </c>
      <c r="AI370" s="183">
        <v>45128</v>
      </c>
      <c r="AJ370" s="183" t="s">
        <v>883</v>
      </c>
      <c r="AK370" s="174"/>
    </row>
    <row r="371" spans="1:37" x14ac:dyDescent="0.3">
      <c r="A371" s="173">
        <v>67375</v>
      </c>
      <c r="B371" s="174" t="s">
        <v>1391</v>
      </c>
      <c r="C371" s="175" t="s">
        <v>256</v>
      </c>
      <c r="D371" s="176">
        <v>61.66</v>
      </c>
      <c r="E371" s="174"/>
      <c r="F371" s="174"/>
      <c r="G371" s="174" t="s">
        <v>883</v>
      </c>
      <c r="H371" s="177">
        <v>63</v>
      </c>
      <c r="I371" s="24">
        <v>103003</v>
      </c>
      <c r="J371" s="178">
        <v>61.66</v>
      </c>
      <c r="K371" s="177">
        <v>78</v>
      </c>
      <c r="L371" s="179">
        <v>9.5744680851063819</v>
      </c>
      <c r="M371" s="180">
        <v>0</v>
      </c>
      <c r="N371" s="178">
        <v>0</v>
      </c>
      <c r="O371" s="181" t="s">
        <v>882</v>
      </c>
      <c r="P371" s="180">
        <v>0</v>
      </c>
      <c r="Q371" s="182">
        <v>0</v>
      </c>
      <c r="R371" s="183" t="s">
        <v>883</v>
      </c>
      <c r="S371" s="174" t="s">
        <v>1273</v>
      </c>
      <c r="T371" s="44">
        <v>1</v>
      </c>
      <c r="U371" s="184">
        <v>51</v>
      </c>
      <c r="V371" s="185">
        <v>17</v>
      </c>
      <c r="W371" s="186">
        <v>2570</v>
      </c>
      <c r="X371" s="187">
        <v>2023</v>
      </c>
      <c r="Y371" s="188">
        <v>50</v>
      </c>
      <c r="Z371" s="188" t="s">
        <v>883</v>
      </c>
      <c r="AA371" s="187" t="s">
        <v>883</v>
      </c>
      <c r="AB371" s="188">
        <v>0</v>
      </c>
      <c r="AC371" s="188"/>
      <c r="AD371" s="189" t="s">
        <v>883</v>
      </c>
      <c r="AE371" s="190" t="s">
        <v>883</v>
      </c>
      <c r="AF371" s="180">
        <v>26</v>
      </c>
      <c r="AG371" s="183">
        <v>44760</v>
      </c>
      <c r="AH371" s="183" t="s">
        <v>883</v>
      </c>
      <c r="AI371" s="183">
        <v>44748</v>
      </c>
      <c r="AJ371" s="183" t="s">
        <v>883</v>
      </c>
      <c r="AK371" s="174"/>
    </row>
    <row r="372" spans="1:37" x14ac:dyDescent="0.3">
      <c r="A372" s="173">
        <v>67376</v>
      </c>
      <c r="B372" s="174" t="s">
        <v>1392</v>
      </c>
      <c r="C372" s="175" t="s">
        <v>256</v>
      </c>
      <c r="D372" s="176">
        <v>32.74</v>
      </c>
      <c r="E372" s="174"/>
      <c r="F372" s="174"/>
      <c r="G372" s="174" t="s">
        <v>883</v>
      </c>
      <c r="H372" s="177">
        <v>173</v>
      </c>
      <c r="I372" s="24">
        <v>103003</v>
      </c>
      <c r="J372" s="178">
        <v>32.74</v>
      </c>
      <c r="K372" s="177">
        <v>60</v>
      </c>
      <c r="L372" s="179">
        <v>34.6</v>
      </c>
      <c r="M372" s="180">
        <v>0</v>
      </c>
      <c r="N372" s="178">
        <v>0</v>
      </c>
      <c r="O372" s="181" t="s">
        <v>882</v>
      </c>
      <c r="P372" s="180">
        <v>0</v>
      </c>
      <c r="Q372" s="182">
        <v>0</v>
      </c>
      <c r="R372" s="183" t="s">
        <v>883</v>
      </c>
      <c r="S372" s="174" t="s">
        <v>1273</v>
      </c>
      <c r="T372" s="44">
        <v>1</v>
      </c>
      <c r="U372" s="184">
        <v>51</v>
      </c>
      <c r="V372" s="185">
        <v>17</v>
      </c>
      <c r="W372" s="186">
        <v>2984</v>
      </c>
      <c r="X372" s="187">
        <v>2023</v>
      </c>
      <c r="Y372" s="188">
        <v>30</v>
      </c>
      <c r="Z372" s="188" t="s">
        <v>883</v>
      </c>
      <c r="AA372" s="187" t="s">
        <v>883</v>
      </c>
      <c r="AB372" s="188">
        <v>0</v>
      </c>
      <c r="AC372" s="188"/>
      <c r="AD372" s="189" t="s">
        <v>883</v>
      </c>
      <c r="AE372" s="190" t="s">
        <v>883</v>
      </c>
      <c r="AF372" s="180">
        <v>20</v>
      </c>
      <c r="AG372" s="183">
        <v>44148</v>
      </c>
      <c r="AH372" s="183" t="s">
        <v>883</v>
      </c>
      <c r="AI372" s="183">
        <v>44133</v>
      </c>
      <c r="AJ372" s="183" t="s">
        <v>883</v>
      </c>
      <c r="AK372" s="174"/>
    </row>
    <row r="373" spans="1:37" x14ac:dyDescent="0.3">
      <c r="A373" s="173">
        <v>67939</v>
      </c>
      <c r="B373" s="174" t="s">
        <v>1393</v>
      </c>
      <c r="C373" s="175" t="s">
        <v>297</v>
      </c>
      <c r="D373" s="176">
        <v>40</v>
      </c>
      <c r="E373" s="174"/>
      <c r="F373" s="174"/>
      <c r="G373" s="174" t="s">
        <v>883</v>
      </c>
      <c r="H373" s="177">
        <v>30</v>
      </c>
      <c r="I373" s="24">
        <v>103003</v>
      </c>
      <c r="J373" s="178">
        <v>40</v>
      </c>
      <c r="K373" s="177">
        <v>168</v>
      </c>
      <c r="L373" s="179">
        <v>1.8844221105527639</v>
      </c>
      <c r="M373" s="180">
        <v>0</v>
      </c>
      <c r="N373" s="178">
        <v>0</v>
      </c>
      <c r="O373" s="181" t="s">
        <v>882</v>
      </c>
      <c r="P373" s="180">
        <v>0</v>
      </c>
      <c r="Q373" s="182">
        <v>0</v>
      </c>
      <c r="R373" s="183" t="s">
        <v>883</v>
      </c>
      <c r="S373" s="174" t="s">
        <v>1278</v>
      </c>
      <c r="T373" s="44">
        <v>1</v>
      </c>
      <c r="U373" s="184">
        <v>51</v>
      </c>
      <c r="V373" s="185">
        <v>28</v>
      </c>
      <c r="W373" s="186">
        <v>2627</v>
      </c>
      <c r="X373" s="187">
        <v>2023</v>
      </c>
      <c r="Y373" s="188">
        <v>300</v>
      </c>
      <c r="Z373" s="188" t="s">
        <v>883</v>
      </c>
      <c r="AA373" s="187" t="s">
        <v>883</v>
      </c>
      <c r="AB373" s="188">
        <v>0</v>
      </c>
      <c r="AC373" s="188"/>
      <c r="AD373" s="189" t="s">
        <v>883</v>
      </c>
      <c r="AE373" s="190" t="s">
        <v>883</v>
      </c>
      <c r="AF373" s="180">
        <v>64</v>
      </c>
      <c r="AG373" s="183">
        <v>43853</v>
      </c>
      <c r="AH373" s="183" t="s">
        <v>883</v>
      </c>
      <c r="AI373" s="183">
        <v>44650</v>
      </c>
      <c r="AJ373" s="183" t="s">
        <v>883</v>
      </c>
      <c r="AK373" s="174"/>
    </row>
    <row r="374" spans="1:37" x14ac:dyDescent="0.3">
      <c r="A374" s="173">
        <v>69222</v>
      </c>
      <c r="B374" s="174" t="s">
        <v>1394</v>
      </c>
      <c r="C374" s="175" t="s">
        <v>1338</v>
      </c>
      <c r="D374" s="176">
        <v>1.8</v>
      </c>
      <c r="E374" s="174"/>
      <c r="F374" s="174"/>
      <c r="G374" s="174" t="s">
        <v>883</v>
      </c>
      <c r="H374" s="177">
        <v>0</v>
      </c>
      <c r="I374" s="24">
        <v>103003</v>
      </c>
      <c r="J374" s="178">
        <v>1.8</v>
      </c>
      <c r="K374" s="177">
        <v>3803</v>
      </c>
      <c r="L374" s="179">
        <v>0</v>
      </c>
      <c r="M374" s="180">
        <v>3197.04</v>
      </c>
      <c r="N374" s="178">
        <v>5754.6719999999996</v>
      </c>
      <c r="O374" s="181" t="s">
        <v>882</v>
      </c>
      <c r="P374" s="180">
        <v>0</v>
      </c>
      <c r="Q374" s="182">
        <v>0</v>
      </c>
      <c r="R374" s="183" t="s">
        <v>883</v>
      </c>
      <c r="S374" s="174" t="s">
        <v>935</v>
      </c>
      <c r="T374" s="44">
        <v>1</v>
      </c>
      <c r="U374" s="184">
        <v>45</v>
      </c>
      <c r="V374" s="185">
        <v>11</v>
      </c>
      <c r="W374" s="186">
        <v>6978</v>
      </c>
      <c r="X374" s="187">
        <v>2023</v>
      </c>
      <c r="Y374" s="188">
        <v>1500</v>
      </c>
      <c r="Z374" s="188" t="s">
        <v>883</v>
      </c>
      <c r="AA374" s="187" t="s">
        <v>883</v>
      </c>
      <c r="AB374" s="188">
        <v>0</v>
      </c>
      <c r="AC374" s="188"/>
      <c r="AD374" s="189" t="s">
        <v>883</v>
      </c>
      <c r="AE374" s="190" t="s">
        <v>883</v>
      </c>
      <c r="AF374" s="180">
        <v>1566</v>
      </c>
      <c r="AG374" s="183">
        <v>44973</v>
      </c>
      <c r="AH374" s="183" t="s">
        <v>883</v>
      </c>
      <c r="AI374" s="183">
        <v>45107</v>
      </c>
      <c r="AJ374" s="183" t="s">
        <v>883</v>
      </c>
      <c r="AK374" s="174"/>
    </row>
    <row r="375" spans="1:37" x14ac:dyDescent="0.3">
      <c r="A375" s="173">
        <v>69229</v>
      </c>
      <c r="B375" s="174" t="s">
        <v>1173</v>
      </c>
      <c r="C375" s="175" t="s">
        <v>1067</v>
      </c>
      <c r="D375" s="176">
        <v>483.3</v>
      </c>
      <c r="E375" s="174"/>
      <c r="F375" s="174"/>
      <c r="G375" s="174" t="s">
        <v>883</v>
      </c>
      <c r="H375" s="177">
        <v>74</v>
      </c>
      <c r="I375" s="24">
        <v>103003</v>
      </c>
      <c r="J375" s="178">
        <v>483.3</v>
      </c>
      <c r="K375" s="177">
        <v>64</v>
      </c>
      <c r="L375" s="179">
        <v>13.653136531365314</v>
      </c>
      <c r="M375" s="180">
        <v>0</v>
      </c>
      <c r="N375" s="178">
        <v>0</v>
      </c>
      <c r="O375" s="181" t="s">
        <v>882</v>
      </c>
      <c r="P375" s="180">
        <v>0</v>
      </c>
      <c r="Q375" s="182">
        <v>0</v>
      </c>
      <c r="R375" s="183" t="s">
        <v>883</v>
      </c>
      <c r="S375" s="174" t="s">
        <v>1068</v>
      </c>
      <c r="T375" s="44">
        <v>1</v>
      </c>
      <c r="U375" s="184">
        <v>76</v>
      </c>
      <c r="V375" s="185">
        <v>5</v>
      </c>
      <c r="W375" s="186">
        <v>2973</v>
      </c>
      <c r="X375" s="187">
        <v>2023</v>
      </c>
      <c r="Y375" s="188">
        <v>60</v>
      </c>
      <c r="Z375" s="188" t="s">
        <v>883</v>
      </c>
      <c r="AA375" s="187" t="s">
        <v>883</v>
      </c>
      <c r="AB375" s="188">
        <v>0</v>
      </c>
      <c r="AC375" s="188"/>
      <c r="AD375" s="189" t="s">
        <v>883</v>
      </c>
      <c r="AE375" s="190" t="s">
        <v>883</v>
      </c>
      <c r="AF375" s="180">
        <v>22</v>
      </c>
      <c r="AG375" s="183">
        <v>45043</v>
      </c>
      <c r="AH375" s="183" t="s">
        <v>883</v>
      </c>
      <c r="AI375" s="183">
        <v>44915</v>
      </c>
      <c r="AJ375" s="183" t="s">
        <v>883</v>
      </c>
      <c r="AK375" s="174"/>
    </row>
    <row r="376" spans="1:37" x14ac:dyDescent="0.3">
      <c r="A376" s="173">
        <v>70379</v>
      </c>
      <c r="B376" s="174" t="s">
        <v>1395</v>
      </c>
      <c r="C376" s="175" t="s">
        <v>894</v>
      </c>
      <c r="D376" s="176">
        <v>39.15</v>
      </c>
      <c r="E376" s="174"/>
      <c r="F376" s="174"/>
      <c r="G376" s="174" t="s">
        <v>883</v>
      </c>
      <c r="H376" s="177">
        <v>2414</v>
      </c>
      <c r="I376" s="24">
        <v>103003</v>
      </c>
      <c r="J376" s="178">
        <v>39.15</v>
      </c>
      <c r="K376" s="177">
        <v>3524</v>
      </c>
      <c r="L376" s="179">
        <v>7.6676301496045483</v>
      </c>
      <c r="M376" s="180">
        <v>1363.96</v>
      </c>
      <c r="N376" s="178">
        <v>53399.034</v>
      </c>
      <c r="O376" s="181" t="s">
        <v>882</v>
      </c>
      <c r="P376" s="180">
        <v>0</v>
      </c>
      <c r="Q376" s="182">
        <v>0</v>
      </c>
      <c r="R376" s="183" t="s">
        <v>883</v>
      </c>
      <c r="S376" s="174" t="s">
        <v>1359</v>
      </c>
      <c r="T376" s="44">
        <v>1</v>
      </c>
      <c r="U376" s="184">
        <v>57</v>
      </c>
      <c r="V376" s="185">
        <v>17</v>
      </c>
      <c r="W376" s="186" t="s">
        <v>883</v>
      </c>
      <c r="X376" s="187" t="s">
        <v>883</v>
      </c>
      <c r="Y376" s="188">
        <v>0</v>
      </c>
      <c r="Z376" s="188" t="s">
        <v>883</v>
      </c>
      <c r="AA376" s="187" t="s">
        <v>883</v>
      </c>
      <c r="AB376" s="188">
        <v>0</v>
      </c>
      <c r="AC376" s="188"/>
      <c r="AD376" s="189" t="s">
        <v>883</v>
      </c>
      <c r="AE376" s="190" t="s">
        <v>883</v>
      </c>
      <c r="AF376" s="180">
        <v>1260</v>
      </c>
      <c r="AG376" s="183">
        <v>45090</v>
      </c>
      <c r="AH376" s="183" t="s">
        <v>883</v>
      </c>
      <c r="AI376" s="183">
        <v>45002</v>
      </c>
      <c r="AJ376" s="183" t="s">
        <v>883</v>
      </c>
      <c r="AK376" s="174"/>
    </row>
    <row r="377" spans="1:37" x14ac:dyDescent="0.3">
      <c r="A377" s="173">
        <v>70967</v>
      </c>
      <c r="B377" s="174" t="s">
        <v>1396</v>
      </c>
      <c r="C377" s="175" t="s">
        <v>256</v>
      </c>
      <c r="D377" s="176">
        <v>5.59</v>
      </c>
      <c r="E377" s="174"/>
      <c r="F377" s="174"/>
      <c r="G377" s="174" t="s">
        <v>883</v>
      </c>
      <c r="H377" s="177">
        <v>39</v>
      </c>
      <c r="I377" s="24">
        <v>103003</v>
      </c>
      <c r="J377" s="178">
        <v>5.59</v>
      </c>
      <c r="K377" s="177">
        <v>66</v>
      </c>
      <c r="L377" s="179">
        <v>7.0909090909090917</v>
      </c>
      <c r="M377" s="180">
        <v>27</v>
      </c>
      <c r="N377" s="178">
        <v>150.93</v>
      </c>
      <c r="O377" s="181" t="s">
        <v>882</v>
      </c>
      <c r="P377" s="180">
        <v>0</v>
      </c>
      <c r="Q377" s="182">
        <v>0</v>
      </c>
      <c r="R377" s="183" t="s">
        <v>883</v>
      </c>
      <c r="S377" s="174" t="s">
        <v>1345</v>
      </c>
      <c r="T377" s="44">
        <v>1</v>
      </c>
      <c r="U377" s="184">
        <v>61</v>
      </c>
      <c r="V377" s="185">
        <v>3</v>
      </c>
      <c r="W377" s="186" t="s">
        <v>883</v>
      </c>
      <c r="X377" s="187" t="s">
        <v>883</v>
      </c>
      <c r="Y377" s="188">
        <v>0</v>
      </c>
      <c r="Z377" s="188" t="s">
        <v>883</v>
      </c>
      <c r="AA377" s="187" t="s">
        <v>883</v>
      </c>
      <c r="AB377" s="188">
        <v>0</v>
      </c>
      <c r="AC377" s="188"/>
      <c r="AD377" s="189" t="s">
        <v>883</v>
      </c>
      <c r="AE377" s="190" t="s">
        <v>883</v>
      </c>
      <c r="AF377" s="180">
        <v>22</v>
      </c>
      <c r="AG377" s="183">
        <v>44166</v>
      </c>
      <c r="AH377" s="183" t="s">
        <v>883</v>
      </c>
      <c r="AI377" s="183">
        <v>44284</v>
      </c>
      <c r="AJ377" s="183" t="s">
        <v>883</v>
      </c>
      <c r="AK377" s="174"/>
    </row>
    <row r="378" spans="1:37" x14ac:dyDescent="0.3">
      <c r="A378" s="173">
        <v>71697</v>
      </c>
      <c r="B378" s="174" t="s">
        <v>1397</v>
      </c>
      <c r="C378" s="175" t="s">
        <v>569</v>
      </c>
      <c r="D378" s="176">
        <v>0.8</v>
      </c>
      <c r="E378" s="174"/>
      <c r="F378" s="174"/>
      <c r="G378" s="174" t="s">
        <v>883</v>
      </c>
      <c r="H378" s="177">
        <v>142</v>
      </c>
      <c r="I378" s="24">
        <v>103003</v>
      </c>
      <c r="J378" s="178">
        <v>0.8</v>
      </c>
      <c r="K378" s="177">
        <v>1664</v>
      </c>
      <c r="L378" s="179">
        <v>0.63088679580593565</v>
      </c>
      <c r="M378" s="180">
        <v>558.96</v>
      </c>
      <c r="N378" s="178">
        <v>447.16800000000001</v>
      </c>
      <c r="O378" s="181" t="s">
        <v>882</v>
      </c>
      <c r="P378" s="180">
        <v>0</v>
      </c>
      <c r="Q378" s="182">
        <v>0</v>
      </c>
      <c r="R378" s="183" t="s">
        <v>883</v>
      </c>
      <c r="S378" s="174" t="s">
        <v>994</v>
      </c>
      <c r="T378" s="44">
        <v>1</v>
      </c>
      <c r="U378" s="184">
        <v>83</v>
      </c>
      <c r="V378" s="185">
        <v>2</v>
      </c>
      <c r="W378" s="186">
        <v>2659</v>
      </c>
      <c r="X378" s="187">
        <v>2023</v>
      </c>
      <c r="Y378" s="188">
        <v>2000</v>
      </c>
      <c r="Z378" s="188" t="s">
        <v>883</v>
      </c>
      <c r="AA378" s="187" t="s">
        <v>883</v>
      </c>
      <c r="AB378" s="188">
        <v>0</v>
      </c>
      <c r="AC378" s="188"/>
      <c r="AD378" s="189" t="s">
        <v>883</v>
      </c>
      <c r="AE378" s="190" t="s">
        <v>883</v>
      </c>
      <c r="AF378" s="180">
        <v>900</v>
      </c>
      <c r="AG378" s="183">
        <v>44571</v>
      </c>
      <c r="AH378" s="183" t="s">
        <v>883</v>
      </c>
      <c r="AI378" s="183">
        <v>44960</v>
      </c>
      <c r="AJ378" s="183" t="s">
        <v>883</v>
      </c>
      <c r="AK378" s="174"/>
    </row>
    <row r="379" spans="1:37" x14ac:dyDescent="0.3">
      <c r="A379" s="173">
        <v>71874</v>
      </c>
      <c r="B379" s="174" t="s">
        <v>1398</v>
      </c>
      <c r="C379" s="175" t="s">
        <v>256</v>
      </c>
      <c r="D379" s="176">
        <v>1.7</v>
      </c>
      <c r="E379" s="174"/>
      <c r="F379" s="174"/>
      <c r="G379" s="174" t="s">
        <v>883</v>
      </c>
      <c r="H379" s="177">
        <v>126</v>
      </c>
      <c r="I379" s="24">
        <v>103003</v>
      </c>
      <c r="J379" s="178">
        <v>1.7</v>
      </c>
      <c r="K379" s="177">
        <v>5</v>
      </c>
      <c r="L379" s="179">
        <v>300</v>
      </c>
      <c r="M379" s="180">
        <v>0</v>
      </c>
      <c r="N379" s="178">
        <v>0</v>
      </c>
      <c r="O379" s="181" t="s">
        <v>882</v>
      </c>
      <c r="P379" s="180">
        <v>0</v>
      </c>
      <c r="Q379" s="182">
        <v>0</v>
      </c>
      <c r="R379" s="183" t="s">
        <v>883</v>
      </c>
      <c r="S379" s="174" t="s">
        <v>1265</v>
      </c>
      <c r="T379" s="44">
        <v>1</v>
      </c>
      <c r="U379" s="184">
        <v>89</v>
      </c>
      <c r="V379" s="185">
        <v>12</v>
      </c>
      <c r="W379" s="186" t="s">
        <v>883</v>
      </c>
      <c r="X379" s="187" t="s">
        <v>883</v>
      </c>
      <c r="Y379" s="188">
        <v>0</v>
      </c>
      <c r="Z379" s="188" t="s">
        <v>883</v>
      </c>
      <c r="AA379" s="187" t="s">
        <v>883</v>
      </c>
      <c r="AB379" s="188">
        <v>0</v>
      </c>
      <c r="AC379" s="188"/>
      <c r="AD379" s="189" t="s">
        <v>883</v>
      </c>
      <c r="AE379" s="190" t="s">
        <v>883</v>
      </c>
      <c r="AF379" s="180">
        <v>2</v>
      </c>
      <c r="AG379" s="183" t="s">
        <v>883</v>
      </c>
      <c r="AH379" s="183" t="s">
        <v>883</v>
      </c>
      <c r="AI379" s="183">
        <v>41570</v>
      </c>
      <c r="AJ379" s="183" t="s">
        <v>883</v>
      </c>
      <c r="AK379" s="174"/>
    </row>
    <row r="380" spans="1:37" x14ac:dyDescent="0.3">
      <c r="A380" s="173">
        <v>72184</v>
      </c>
      <c r="B380" s="174" t="s">
        <v>1399</v>
      </c>
      <c r="C380" s="175" t="s">
        <v>256</v>
      </c>
      <c r="D380" s="176">
        <v>1.75</v>
      </c>
      <c r="E380" s="174"/>
      <c r="F380" s="174"/>
      <c r="G380" s="174" t="s">
        <v>883</v>
      </c>
      <c r="H380" s="177">
        <v>5149</v>
      </c>
      <c r="I380" s="24">
        <v>103003</v>
      </c>
      <c r="J380" s="178">
        <v>1.75</v>
      </c>
      <c r="K380" s="177">
        <v>853</v>
      </c>
      <c r="L380" s="179">
        <v>72.439504783342713</v>
      </c>
      <c r="M380" s="180">
        <v>0</v>
      </c>
      <c r="N380" s="178">
        <v>0</v>
      </c>
      <c r="O380" s="181" t="s">
        <v>882</v>
      </c>
      <c r="P380" s="180">
        <v>0</v>
      </c>
      <c r="Q380" s="182">
        <v>0</v>
      </c>
      <c r="R380" s="183" t="s">
        <v>883</v>
      </c>
      <c r="S380" s="174" t="s">
        <v>1400</v>
      </c>
      <c r="T380" s="44">
        <v>1</v>
      </c>
      <c r="U380" s="184">
        <v>55</v>
      </c>
      <c r="V380" s="185">
        <v>16</v>
      </c>
      <c r="W380" s="186">
        <v>2828</v>
      </c>
      <c r="X380" s="187">
        <v>2023</v>
      </c>
      <c r="Y380" s="188">
        <v>840</v>
      </c>
      <c r="Z380" s="188" t="s">
        <v>883</v>
      </c>
      <c r="AA380" s="187" t="s">
        <v>883</v>
      </c>
      <c r="AB380" s="188">
        <v>0</v>
      </c>
      <c r="AC380" s="188"/>
      <c r="AD380" s="189" t="s">
        <v>883</v>
      </c>
      <c r="AE380" s="190" t="s">
        <v>883</v>
      </c>
      <c r="AF380" s="180">
        <v>284</v>
      </c>
      <c r="AG380" s="183">
        <v>45005</v>
      </c>
      <c r="AH380" s="183" t="s">
        <v>883</v>
      </c>
      <c r="AI380" s="183">
        <v>44988</v>
      </c>
      <c r="AJ380" s="183" t="s">
        <v>883</v>
      </c>
      <c r="AK380" s="174"/>
    </row>
    <row r="381" spans="1:37" x14ac:dyDescent="0.3">
      <c r="A381" s="173">
        <v>72222</v>
      </c>
      <c r="B381" s="174" t="s">
        <v>1401</v>
      </c>
      <c r="C381" s="175" t="s">
        <v>268</v>
      </c>
      <c r="D381" s="176">
        <v>7.34</v>
      </c>
      <c r="E381" s="174"/>
      <c r="F381" s="174"/>
      <c r="G381" s="174" t="s">
        <v>883</v>
      </c>
      <c r="H381" s="177">
        <v>1624</v>
      </c>
      <c r="I381" s="24">
        <v>103003</v>
      </c>
      <c r="J381" s="178">
        <v>7.34</v>
      </c>
      <c r="K381" s="177">
        <v>149</v>
      </c>
      <c r="L381" s="179">
        <v>90.222222222222214</v>
      </c>
      <c r="M381" s="180">
        <v>0</v>
      </c>
      <c r="N381" s="178">
        <v>0</v>
      </c>
      <c r="O381" s="181" t="s">
        <v>882</v>
      </c>
      <c r="P381" s="180">
        <v>0</v>
      </c>
      <c r="Q381" s="182">
        <v>0</v>
      </c>
      <c r="R381" s="183" t="s">
        <v>883</v>
      </c>
      <c r="S381" s="174" t="s">
        <v>1402</v>
      </c>
      <c r="T381" s="44">
        <v>1</v>
      </c>
      <c r="U381" s="184">
        <v>57</v>
      </c>
      <c r="V381" s="185">
        <v>6</v>
      </c>
      <c r="W381" s="186" t="s">
        <v>883</v>
      </c>
      <c r="X381" s="187" t="s">
        <v>883</v>
      </c>
      <c r="Y381" s="188">
        <v>0</v>
      </c>
      <c r="Z381" s="188" t="s">
        <v>883</v>
      </c>
      <c r="AA381" s="187" t="s">
        <v>883</v>
      </c>
      <c r="AB381" s="188">
        <v>0</v>
      </c>
      <c r="AC381" s="188"/>
      <c r="AD381" s="189" t="s">
        <v>883</v>
      </c>
      <c r="AE381" s="190" t="s">
        <v>883</v>
      </c>
      <c r="AF381" s="180">
        <v>72</v>
      </c>
      <c r="AG381" s="183">
        <v>43622</v>
      </c>
      <c r="AH381" s="183" t="s">
        <v>883</v>
      </c>
      <c r="AI381" s="183">
        <v>43608</v>
      </c>
      <c r="AJ381" s="183" t="s">
        <v>883</v>
      </c>
      <c r="AK381" s="174"/>
    </row>
    <row r="382" spans="1:37" x14ac:dyDescent="0.3">
      <c r="A382" s="173">
        <v>74907</v>
      </c>
      <c r="B382" s="174" t="s">
        <v>1403</v>
      </c>
      <c r="C382" s="175" t="s">
        <v>256</v>
      </c>
      <c r="D382" s="176">
        <v>215.33</v>
      </c>
      <c r="E382" s="174"/>
      <c r="F382" s="174"/>
      <c r="G382" s="174" t="s">
        <v>883</v>
      </c>
      <c r="H382" s="177">
        <v>11</v>
      </c>
      <c r="I382" s="24">
        <v>103003</v>
      </c>
      <c r="J382" s="178">
        <v>215.33</v>
      </c>
      <c r="K382" s="177">
        <v>87</v>
      </c>
      <c r="L382" s="179">
        <v>1.517241379310345</v>
      </c>
      <c r="M382" s="180">
        <v>56</v>
      </c>
      <c r="N382" s="178">
        <v>12058.48</v>
      </c>
      <c r="O382" s="181" t="s">
        <v>882</v>
      </c>
      <c r="P382" s="180">
        <v>0</v>
      </c>
      <c r="Q382" s="182">
        <v>0</v>
      </c>
      <c r="R382" s="183" t="s">
        <v>883</v>
      </c>
      <c r="S382" s="174" t="s">
        <v>1334</v>
      </c>
      <c r="T382" s="44">
        <v>1</v>
      </c>
      <c r="U382" s="184">
        <v>74</v>
      </c>
      <c r="V382" s="185">
        <v>3</v>
      </c>
      <c r="W382" s="186">
        <v>8996</v>
      </c>
      <c r="X382" s="187">
        <v>2023</v>
      </c>
      <c r="Y382" s="188">
        <v>20</v>
      </c>
      <c r="Z382" s="188" t="s">
        <v>883</v>
      </c>
      <c r="AA382" s="187" t="s">
        <v>883</v>
      </c>
      <c r="AB382" s="188">
        <v>0</v>
      </c>
      <c r="AC382" s="188"/>
      <c r="AD382" s="189" t="s">
        <v>883</v>
      </c>
      <c r="AE382" s="190" t="s">
        <v>883</v>
      </c>
      <c r="AF382" s="180">
        <v>30</v>
      </c>
      <c r="AG382" s="183">
        <v>44158</v>
      </c>
      <c r="AH382" s="183">
        <v>37845</v>
      </c>
      <c r="AI382" s="183">
        <v>44783</v>
      </c>
      <c r="AJ382" s="183" t="s">
        <v>883</v>
      </c>
      <c r="AK382" s="174"/>
    </row>
    <row r="383" spans="1:37" x14ac:dyDescent="0.3">
      <c r="A383" s="173">
        <v>74908</v>
      </c>
      <c r="B383" s="174" t="s">
        <v>1404</v>
      </c>
      <c r="C383" s="175" t="s">
        <v>256</v>
      </c>
      <c r="D383" s="176">
        <v>70.2</v>
      </c>
      <c r="E383" s="174"/>
      <c r="F383" s="174"/>
      <c r="G383" s="174" t="s">
        <v>883</v>
      </c>
      <c r="H383" s="177">
        <v>350</v>
      </c>
      <c r="I383" s="24">
        <v>103003</v>
      </c>
      <c r="J383" s="178">
        <v>70.2</v>
      </c>
      <c r="K383" s="177">
        <v>60</v>
      </c>
      <c r="L383" s="179">
        <v>70</v>
      </c>
      <c r="M383" s="180">
        <v>0</v>
      </c>
      <c r="N383" s="178">
        <v>0</v>
      </c>
      <c r="O383" s="181" t="s">
        <v>882</v>
      </c>
      <c r="P383" s="180">
        <v>0</v>
      </c>
      <c r="Q383" s="182">
        <v>0</v>
      </c>
      <c r="R383" s="183" t="s">
        <v>883</v>
      </c>
      <c r="S383" s="174" t="s">
        <v>1334</v>
      </c>
      <c r="T383" s="44">
        <v>1</v>
      </c>
      <c r="U383" s="184">
        <v>74</v>
      </c>
      <c r="V383" s="185">
        <v>3</v>
      </c>
      <c r="W383" s="186" t="s">
        <v>883</v>
      </c>
      <c r="X383" s="187" t="s">
        <v>883</v>
      </c>
      <c r="Y383" s="188">
        <v>0</v>
      </c>
      <c r="Z383" s="188" t="s">
        <v>883</v>
      </c>
      <c r="AA383" s="187" t="s">
        <v>883</v>
      </c>
      <c r="AB383" s="188">
        <v>0</v>
      </c>
      <c r="AC383" s="188"/>
      <c r="AD383" s="189" t="s">
        <v>883</v>
      </c>
      <c r="AE383" s="190" t="s">
        <v>883</v>
      </c>
      <c r="AF383" s="180">
        <v>20</v>
      </c>
      <c r="AG383" s="183">
        <v>44158</v>
      </c>
      <c r="AH383" s="183">
        <v>37845</v>
      </c>
      <c r="AI383" s="183">
        <v>44133</v>
      </c>
      <c r="AJ383" s="183" t="s">
        <v>883</v>
      </c>
      <c r="AK383" s="174"/>
    </row>
    <row r="384" spans="1:37" x14ac:dyDescent="0.3">
      <c r="A384" s="173">
        <v>74909</v>
      </c>
      <c r="B384" s="174" t="s">
        <v>1405</v>
      </c>
      <c r="C384" s="175" t="s">
        <v>256</v>
      </c>
      <c r="D384" s="176">
        <v>89.25</v>
      </c>
      <c r="E384" s="174"/>
      <c r="F384" s="174"/>
      <c r="G384" s="174" t="s">
        <v>883</v>
      </c>
      <c r="H384" s="177">
        <v>0</v>
      </c>
      <c r="I384" s="24">
        <v>103003</v>
      </c>
      <c r="J384" s="178">
        <v>89.25</v>
      </c>
      <c r="K384" s="177">
        <v>126</v>
      </c>
      <c r="L384" s="179">
        <v>0</v>
      </c>
      <c r="M384" s="180">
        <v>0</v>
      </c>
      <c r="N384" s="178">
        <v>0</v>
      </c>
      <c r="O384" s="181" t="s">
        <v>882</v>
      </c>
      <c r="P384" s="180">
        <v>0</v>
      </c>
      <c r="Q384" s="182">
        <v>0</v>
      </c>
      <c r="R384" s="183" t="s">
        <v>883</v>
      </c>
      <c r="S384" s="174" t="s">
        <v>1334</v>
      </c>
      <c r="T384" s="44">
        <v>1</v>
      </c>
      <c r="U384" s="184">
        <v>74</v>
      </c>
      <c r="V384" s="185">
        <v>3</v>
      </c>
      <c r="W384" s="186">
        <v>2230</v>
      </c>
      <c r="X384" s="187">
        <v>2023</v>
      </c>
      <c r="Y384" s="188">
        <v>400</v>
      </c>
      <c r="Z384" s="188" t="s">
        <v>883</v>
      </c>
      <c r="AA384" s="187" t="s">
        <v>883</v>
      </c>
      <c r="AB384" s="188">
        <v>0</v>
      </c>
      <c r="AC384" s="188"/>
      <c r="AD384" s="189" t="s">
        <v>883</v>
      </c>
      <c r="AE384" s="190" t="s">
        <v>883</v>
      </c>
      <c r="AF384" s="180">
        <v>42</v>
      </c>
      <c r="AG384" s="183">
        <v>44160</v>
      </c>
      <c r="AH384" s="183">
        <v>37845</v>
      </c>
      <c r="AI384" s="183">
        <v>44133</v>
      </c>
      <c r="AJ384" s="183" t="s">
        <v>883</v>
      </c>
      <c r="AK384" s="174"/>
    </row>
    <row r="385" spans="1:37" x14ac:dyDescent="0.3">
      <c r="A385" s="173">
        <v>74911</v>
      </c>
      <c r="B385" s="174" t="s">
        <v>1406</v>
      </c>
      <c r="C385" s="175" t="s">
        <v>256</v>
      </c>
      <c r="D385" s="176">
        <v>159.24</v>
      </c>
      <c r="E385" s="174"/>
      <c r="F385" s="174"/>
      <c r="G385" s="174" t="s">
        <v>883</v>
      </c>
      <c r="H385" s="177">
        <v>35</v>
      </c>
      <c r="I385" s="24">
        <v>103003</v>
      </c>
      <c r="J385" s="178">
        <v>159.24</v>
      </c>
      <c r="K385" s="177">
        <v>115</v>
      </c>
      <c r="L385" s="179">
        <v>3.6534446764091859</v>
      </c>
      <c r="M385" s="180">
        <v>0</v>
      </c>
      <c r="N385" s="178">
        <v>0</v>
      </c>
      <c r="O385" s="181" t="s">
        <v>882</v>
      </c>
      <c r="P385" s="180">
        <v>0</v>
      </c>
      <c r="Q385" s="182">
        <v>0</v>
      </c>
      <c r="R385" s="183" t="s">
        <v>883</v>
      </c>
      <c r="S385" s="174" t="s">
        <v>1334</v>
      </c>
      <c r="T385" s="44">
        <v>1</v>
      </c>
      <c r="U385" s="184">
        <v>74</v>
      </c>
      <c r="V385" s="185">
        <v>3</v>
      </c>
      <c r="W385" s="186">
        <v>2230</v>
      </c>
      <c r="X385" s="187">
        <v>2023</v>
      </c>
      <c r="Y385" s="188">
        <v>150</v>
      </c>
      <c r="Z385" s="188" t="s">
        <v>883</v>
      </c>
      <c r="AA385" s="187" t="s">
        <v>883</v>
      </c>
      <c r="AB385" s="188">
        <v>0</v>
      </c>
      <c r="AC385" s="188"/>
      <c r="AD385" s="189" t="s">
        <v>883</v>
      </c>
      <c r="AE385" s="190" t="s">
        <v>883</v>
      </c>
      <c r="AF385" s="180">
        <v>38</v>
      </c>
      <c r="AG385" s="183">
        <v>44974</v>
      </c>
      <c r="AH385" s="183">
        <v>37845</v>
      </c>
      <c r="AI385" s="183">
        <v>44887</v>
      </c>
      <c r="AJ385" s="183" t="s">
        <v>883</v>
      </c>
      <c r="AK385" s="174"/>
    </row>
    <row r="386" spans="1:37" x14ac:dyDescent="0.3">
      <c r="A386" s="173">
        <v>74976</v>
      </c>
      <c r="B386" s="174" t="s">
        <v>1407</v>
      </c>
      <c r="C386" s="175" t="s">
        <v>256</v>
      </c>
      <c r="D386" s="176">
        <v>11.14</v>
      </c>
      <c r="E386" s="174"/>
      <c r="F386" s="174"/>
      <c r="G386" s="174" t="s">
        <v>883</v>
      </c>
      <c r="H386" s="177">
        <v>476</v>
      </c>
      <c r="I386" s="24">
        <v>103003</v>
      </c>
      <c r="J386" s="178">
        <v>11.14</v>
      </c>
      <c r="K386" s="177">
        <v>16</v>
      </c>
      <c r="L386" s="179">
        <v>285.02994011976045</v>
      </c>
      <c r="M386" s="180">
        <v>0</v>
      </c>
      <c r="N386" s="178">
        <v>0</v>
      </c>
      <c r="O386" s="181" t="s">
        <v>882</v>
      </c>
      <c r="P386" s="180">
        <v>0</v>
      </c>
      <c r="Q386" s="182">
        <v>0</v>
      </c>
      <c r="R386" s="183" t="s">
        <v>883</v>
      </c>
      <c r="S386" s="174" t="s">
        <v>964</v>
      </c>
      <c r="T386" s="44">
        <v>1</v>
      </c>
      <c r="U386" s="184">
        <v>61</v>
      </c>
      <c r="V386" s="185">
        <v>8</v>
      </c>
      <c r="W386" s="186" t="s">
        <v>883</v>
      </c>
      <c r="X386" s="187" t="s">
        <v>883</v>
      </c>
      <c r="Y386" s="188">
        <v>0</v>
      </c>
      <c r="Z386" s="188" t="s">
        <v>883</v>
      </c>
      <c r="AA386" s="187" t="s">
        <v>883</v>
      </c>
      <c r="AB386" s="188">
        <v>0</v>
      </c>
      <c r="AC386" s="188"/>
      <c r="AD386" s="189" t="s">
        <v>883</v>
      </c>
      <c r="AE386" s="190" t="s">
        <v>883</v>
      </c>
      <c r="AF386" s="180">
        <v>6</v>
      </c>
      <c r="AG386" s="183">
        <v>44560</v>
      </c>
      <c r="AH386" s="183">
        <v>37847</v>
      </c>
      <c r="AI386" s="183">
        <v>45096</v>
      </c>
      <c r="AJ386" s="183" t="s">
        <v>883</v>
      </c>
      <c r="AK386" s="174"/>
    </row>
    <row r="387" spans="1:37" x14ac:dyDescent="0.3">
      <c r="A387" s="173">
        <v>74979</v>
      </c>
      <c r="B387" s="174" t="s">
        <v>1408</v>
      </c>
      <c r="C387" s="175" t="s">
        <v>256</v>
      </c>
      <c r="D387" s="176">
        <v>28.49</v>
      </c>
      <c r="E387" s="174"/>
      <c r="F387" s="174"/>
      <c r="G387" s="174" t="s">
        <v>883</v>
      </c>
      <c r="H387" s="177">
        <v>179</v>
      </c>
      <c r="I387" s="24">
        <v>103003</v>
      </c>
      <c r="J387" s="178">
        <v>28.49</v>
      </c>
      <c r="K387" s="177">
        <v>48</v>
      </c>
      <c r="L387" s="179">
        <v>42.117647058823529</v>
      </c>
      <c r="M387" s="180">
        <v>0</v>
      </c>
      <c r="N387" s="178">
        <v>0</v>
      </c>
      <c r="O387" s="181" t="s">
        <v>882</v>
      </c>
      <c r="P387" s="180">
        <v>0</v>
      </c>
      <c r="Q387" s="182">
        <v>0</v>
      </c>
      <c r="R387" s="183" t="s">
        <v>883</v>
      </c>
      <c r="S387" s="174" t="s">
        <v>964</v>
      </c>
      <c r="T387" s="44">
        <v>1</v>
      </c>
      <c r="U387" s="184">
        <v>61</v>
      </c>
      <c r="V387" s="185">
        <v>8</v>
      </c>
      <c r="W387" s="186" t="s">
        <v>883</v>
      </c>
      <c r="X387" s="187" t="s">
        <v>883</v>
      </c>
      <c r="Y387" s="188">
        <v>0</v>
      </c>
      <c r="Z387" s="188" t="s">
        <v>883</v>
      </c>
      <c r="AA387" s="187" t="s">
        <v>883</v>
      </c>
      <c r="AB387" s="188">
        <v>0</v>
      </c>
      <c r="AC387" s="188"/>
      <c r="AD387" s="189" t="s">
        <v>883</v>
      </c>
      <c r="AE387" s="190" t="s">
        <v>883</v>
      </c>
      <c r="AF387" s="180">
        <v>18</v>
      </c>
      <c r="AG387" s="183">
        <v>44573</v>
      </c>
      <c r="AH387" s="183">
        <v>37847</v>
      </c>
      <c r="AI387" s="183">
        <v>44522</v>
      </c>
      <c r="AJ387" s="183" t="s">
        <v>883</v>
      </c>
      <c r="AK387" s="174"/>
    </row>
    <row r="388" spans="1:37" x14ac:dyDescent="0.3">
      <c r="A388" s="173">
        <v>75324</v>
      </c>
      <c r="B388" s="174" t="s">
        <v>1409</v>
      </c>
      <c r="C388" s="175" t="s">
        <v>256</v>
      </c>
      <c r="D388" s="176">
        <v>117.12</v>
      </c>
      <c r="E388" s="174"/>
      <c r="F388" s="174"/>
      <c r="G388" s="174" t="s">
        <v>883</v>
      </c>
      <c r="H388" s="177">
        <v>207</v>
      </c>
      <c r="I388" s="24">
        <v>103003</v>
      </c>
      <c r="J388" s="178">
        <v>117.12</v>
      </c>
      <c r="K388" s="177">
        <v>452</v>
      </c>
      <c r="L388" s="179">
        <v>2.915492957746479</v>
      </c>
      <c r="M388" s="180">
        <v>595</v>
      </c>
      <c r="N388" s="178">
        <v>69686.399999999994</v>
      </c>
      <c r="O388" s="181" t="s">
        <v>882</v>
      </c>
      <c r="P388" s="180">
        <v>0</v>
      </c>
      <c r="Q388" s="182">
        <v>0</v>
      </c>
      <c r="R388" s="183" t="s">
        <v>883</v>
      </c>
      <c r="S388" s="174" t="s">
        <v>1112</v>
      </c>
      <c r="T388" s="44">
        <v>1</v>
      </c>
      <c r="U388" s="184">
        <v>74</v>
      </c>
      <c r="V388" s="185">
        <v>8</v>
      </c>
      <c r="W388" s="186">
        <v>2579</v>
      </c>
      <c r="X388" s="187">
        <v>2023</v>
      </c>
      <c r="Y388" s="188">
        <v>50</v>
      </c>
      <c r="Z388" s="188" t="s">
        <v>883</v>
      </c>
      <c r="AA388" s="187" t="s">
        <v>883</v>
      </c>
      <c r="AB388" s="188">
        <v>0</v>
      </c>
      <c r="AC388" s="188"/>
      <c r="AD388" s="189" t="s">
        <v>883</v>
      </c>
      <c r="AE388" s="190" t="s">
        <v>883</v>
      </c>
      <c r="AF388" s="180">
        <v>284</v>
      </c>
      <c r="AG388" s="183">
        <v>44924</v>
      </c>
      <c r="AH388" s="183">
        <v>37879</v>
      </c>
      <c r="AI388" s="183">
        <v>44887</v>
      </c>
      <c r="AJ388" s="183" t="s">
        <v>883</v>
      </c>
      <c r="AK388" s="174"/>
    </row>
    <row r="389" spans="1:37" x14ac:dyDescent="0.3">
      <c r="A389" s="173">
        <v>75334</v>
      </c>
      <c r="B389" s="174" t="s">
        <v>1410</v>
      </c>
      <c r="C389" s="175" t="s">
        <v>406</v>
      </c>
      <c r="D389" s="176">
        <v>199</v>
      </c>
      <c r="E389" s="174"/>
      <c r="F389" s="174"/>
      <c r="G389" s="174" t="s">
        <v>883</v>
      </c>
      <c r="H389" s="177">
        <v>467</v>
      </c>
      <c r="I389" s="24">
        <v>103003</v>
      </c>
      <c r="J389" s="178">
        <v>199</v>
      </c>
      <c r="K389" s="177">
        <v>378</v>
      </c>
      <c r="L389" s="179">
        <v>12.129870129870129</v>
      </c>
      <c r="M389" s="180">
        <v>0</v>
      </c>
      <c r="N389" s="178">
        <v>0</v>
      </c>
      <c r="O389" s="181" t="s">
        <v>882</v>
      </c>
      <c r="P389" s="180">
        <v>0</v>
      </c>
      <c r="Q389" s="182">
        <v>0</v>
      </c>
      <c r="R389" s="183" t="s">
        <v>883</v>
      </c>
      <c r="S389" s="174" t="s">
        <v>1112</v>
      </c>
      <c r="T389" s="44">
        <v>1</v>
      </c>
      <c r="U389" s="184">
        <v>74</v>
      </c>
      <c r="V389" s="185">
        <v>8</v>
      </c>
      <c r="W389" s="186" t="s">
        <v>883</v>
      </c>
      <c r="X389" s="187" t="s">
        <v>883</v>
      </c>
      <c r="Y389" s="188">
        <v>0</v>
      </c>
      <c r="Z389" s="188" t="s">
        <v>883</v>
      </c>
      <c r="AA389" s="187" t="s">
        <v>883</v>
      </c>
      <c r="AB389" s="188">
        <v>0</v>
      </c>
      <c r="AC389" s="188"/>
      <c r="AD389" s="189" t="s">
        <v>883</v>
      </c>
      <c r="AE389" s="190" t="s">
        <v>883</v>
      </c>
      <c r="AF389" s="180">
        <v>154</v>
      </c>
      <c r="AG389" s="183">
        <v>44844</v>
      </c>
      <c r="AH389" s="183">
        <v>37879</v>
      </c>
      <c r="AI389" s="183">
        <v>45057</v>
      </c>
      <c r="AJ389" s="183" t="s">
        <v>883</v>
      </c>
      <c r="AK389" s="174"/>
    </row>
    <row r="390" spans="1:37" x14ac:dyDescent="0.3">
      <c r="A390" s="173">
        <v>75938</v>
      </c>
      <c r="B390" s="174" t="s">
        <v>1411</v>
      </c>
      <c r="C390" s="175" t="s">
        <v>569</v>
      </c>
      <c r="D390" s="176">
        <v>1.02</v>
      </c>
      <c r="E390" s="174"/>
      <c r="F390" s="174"/>
      <c r="G390" s="174" t="s">
        <v>883</v>
      </c>
      <c r="H390" s="177">
        <v>887</v>
      </c>
      <c r="I390" s="24">
        <v>103003</v>
      </c>
      <c r="J390" s="178">
        <v>1.02</v>
      </c>
      <c r="K390" s="177">
        <v>4758</v>
      </c>
      <c r="L390" s="179">
        <v>1.4403325593101994</v>
      </c>
      <c r="M390" s="180">
        <v>5202.96</v>
      </c>
      <c r="N390" s="178">
        <v>5307.0191999999997</v>
      </c>
      <c r="O390" s="181" t="s">
        <v>882</v>
      </c>
      <c r="P390" s="180">
        <v>0</v>
      </c>
      <c r="Q390" s="182">
        <v>0</v>
      </c>
      <c r="R390" s="183" t="s">
        <v>883</v>
      </c>
      <c r="S390" s="174" t="s">
        <v>1129</v>
      </c>
      <c r="T390" s="44">
        <v>1</v>
      </c>
      <c r="U390" s="184">
        <v>57</v>
      </c>
      <c r="V390" s="185">
        <v>15</v>
      </c>
      <c r="W390" s="186">
        <v>6984</v>
      </c>
      <c r="X390" s="187">
        <v>2023</v>
      </c>
      <c r="Y390" s="188">
        <v>1300</v>
      </c>
      <c r="Z390" s="188" t="s">
        <v>883</v>
      </c>
      <c r="AA390" s="187" t="s">
        <v>883</v>
      </c>
      <c r="AB390" s="188">
        <v>0</v>
      </c>
      <c r="AC390" s="188"/>
      <c r="AD390" s="189" t="s">
        <v>883</v>
      </c>
      <c r="AE390" s="190" t="s">
        <v>883</v>
      </c>
      <c r="AF390" s="180">
        <v>2464</v>
      </c>
      <c r="AG390" s="183">
        <v>44974</v>
      </c>
      <c r="AH390" s="183">
        <v>37931</v>
      </c>
      <c r="AI390" s="183">
        <v>44959</v>
      </c>
      <c r="AJ390" s="183" t="s">
        <v>883</v>
      </c>
      <c r="AK390" s="174"/>
    </row>
    <row r="391" spans="1:37" x14ac:dyDescent="0.3">
      <c r="A391" s="173">
        <v>76218</v>
      </c>
      <c r="B391" s="174" t="s">
        <v>1412</v>
      </c>
      <c r="C391" s="175" t="s">
        <v>256</v>
      </c>
      <c r="D391" s="176">
        <v>781.2</v>
      </c>
      <c r="E391" s="174"/>
      <c r="F391" s="174"/>
      <c r="G391" s="174" t="s">
        <v>883</v>
      </c>
      <c r="H391" s="177">
        <v>36</v>
      </c>
      <c r="I391" s="24">
        <v>103003</v>
      </c>
      <c r="J391" s="178">
        <v>781.2</v>
      </c>
      <c r="K391" s="177">
        <v>7</v>
      </c>
      <c r="L391" s="179">
        <v>62.068965517241381</v>
      </c>
      <c r="M391" s="180">
        <v>0</v>
      </c>
      <c r="N391" s="178">
        <v>0</v>
      </c>
      <c r="O391" s="181" t="s">
        <v>882</v>
      </c>
      <c r="P391" s="180">
        <v>0</v>
      </c>
      <c r="Q391" s="182">
        <v>0</v>
      </c>
      <c r="R391" s="183" t="s">
        <v>883</v>
      </c>
      <c r="S391" s="174" t="s">
        <v>1273</v>
      </c>
      <c r="T391" s="44">
        <v>1</v>
      </c>
      <c r="U391" s="184">
        <v>51</v>
      </c>
      <c r="V391" s="185">
        <v>17</v>
      </c>
      <c r="W391" s="186" t="s">
        <v>883</v>
      </c>
      <c r="X391" s="187" t="s">
        <v>883</v>
      </c>
      <c r="Y391" s="188">
        <v>0</v>
      </c>
      <c r="Z391" s="188" t="s">
        <v>883</v>
      </c>
      <c r="AA391" s="187" t="s">
        <v>883</v>
      </c>
      <c r="AB391" s="188">
        <v>0</v>
      </c>
      <c r="AC391" s="188"/>
      <c r="AD391" s="189" t="s">
        <v>883</v>
      </c>
      <c r="AE391" s="190" t="s">
        <v>883</v>
      </c>
      <c r="AF391" s="180">
        <v>2</v>
      </c>
      <c r="AG391" s="183">
        <v>44195</v>
      </c>
      <c r="AH391" s="183">
        <v>37956</v>
      </c>
      <c r="AI391" s="183">
        <v>44945</v>
      </c>
      <c r="AJ391" s="183" t="s">
        <v>883</v>
      </c>
      <c r="AK391" s="174"/>
    </row>
    <row r="392" spans="1:37" x14ac:dyDescent="0.3">
      <c r="A392" s="173">
        <v>76583</v>
      </c>
      <c r="B392" s="174" t="s">
        <v>1413</v>
      </c>
      <c r="C392" s="175" t="s">
        <v>256</v>
      </c>
      <c r="D392" s="176">
        <v>239.33</v>
      </c>
      <c r="E392" s="174"/>
      <c r="F392" s="174"/>
      <c r="G392" s="174" t="s">
        <v>883</v>
      </c>
      <c r="H392" s="177">
        <v>155</v>
      </c>
      <c r="I392" s="24">
        <v>103003</v>
      </c>
      <c r="J392" s="178">
        <v>239.33</v>
      </c>
      <c r="K392" s="177">
        <v>69</v>
      </c>
      <c r="L392" s="179">
        <v>8.493150684931507</v>
      </c>
      <c r="M392" s="180">
        <v>14</v>
      </c>
      <c r="N392" s="178">
        <v>3350.62</v>
      </c>
      <c r="O392" s="181" t="s">
        <v>882</v>
      </c>
      <c r="P392" s="180">
        <v>0</v>
      </c>
      <c r="Q392" s="182">
        <v>0</v>
      </c>
      <c r="R392" s="183" t="s">
        <v>883</v>
      </c>
      <c r="S392" s="174" t="s">
        <v>1209</v>
      </c>
      <c r="T392" s="44">
        <v>1</v>
      </c>
      <c r="U392" s="184">
        <v>74</v>
      </c>
      <c r="V392" s="185">
        <v>9</v>
      </c>
      <c r="W392" s="186">
        <v>2388</v>
      </c>
      <c r="X392" s="187">
        <v>2023</v>
      </c>
      <c r="Y392" s="188">
        <v>50</v>
      </c>
      <c r="Z392" s="188" t="s">
        <v>883</v>
      </c>
      <c r="AA392" s="187" t="s">
        <v>883</v>
      </c>
      <c r="AB392" s="188">
        <v>0</v>
      </c>
      <c r="AC392" s="188"/>
      <c r="AD392" s="189" t="s">
        <v>883</v>
      </c>
      <c r="AE392" s="190" t="s">
        <v>883</v>
      </c>
      <c r="AF392" s="180">
        <v>74</v>
      </c>
      <c r="AG392" s="183">
        <v>44924</v>
      </c>
      <c r="AH392" s="183">
        <v>37995</v>
      </c>
      <c r="AI392" s="183">
        <v>44887</v>
      </c>
      <c r="AJ392" s="183" t="s">
        <v>883</v>
      </c>
      <c r="AK392" s="174"/>
    </row>
    <row r="393" spans="1:37" x14ac:dyDescent="0.3">
      <c r="A393" s="173">
        <v>76806</v>
      </c>
      <c r="B393" s="174" t="s">
        <v>1414</v>
      </c>
      <c r="C393" s="175" t="s">
        <v>294</v>
      </c>
      <c r="D393" s="176">
        <v>63.5</v>
      </c>
      <c r="E393" s="174"/>
      <c r="F393" s="174"/>
      <c r="G393" s="174" t="s">
        <v>883</v>
      </c>
      <c r="H393" s="177">
        <v>178</v>
      </c>
      <c r="I393" s="24">
        <v>103003</v>
      </c>
      <c r="J393" s="178">
        <v>63.5</v>
      </c>
      <c r="K393" s="177">
        <v>257</v>
      </c>
      <c r="L393" s="179">
        <v>7.215241183623835</v>
      </c>
      <c r="M393" s="180">
        <v>68.040000000000006</v>
      </c>
      <c r="N393" s="178">
        <v>4320.54</v>
      </c>
      <c r="O393" s="181" t="s">
        <v>882</v>
      </c>
      <c r="P393" s="180">
        <v>0</v>
      </c>
      <c r="Q393" s="182">
        <v>0</v>
      </c>
      <c r="R393" s="183" t="s">
        <v>883</v>
      </c>
      <c r="S393" s="174" t="s">
        <v>1332</v>
      </c>
      <c r="T393" s="44">
        <v>1</v>
      </c>
      <c r="U393" s="184">
        <v>69</v>
      </c>
      <c r="V393" s="185">
        <v>2</v>
      </c>
      <c r="W393" s="186">
        <v>2975</v>
      </c>
      <c r="X393" s="187">
        <v>2023</v>
      </c>
      <c r="Y393" s="188">
        <v>50</v>
      </c>
      <c r="Z393" s="188" t="s">
        <v>883</v>
      </c>
      <c r="AA393" s="187" t="s">
        <v>883</v>
      </c>
      <c r="AB393" s="188">
        <v>0</v>
      </c>
      <c r="AC393" s="188"/>
      <c r="AD393" s="189" t="s">
        <v>883</v>
      </c>
      <c r="AE393" s="190" t="s">
        <v>883</v>
      </c>
      <c r="AF393" s="180">
        <v>98</v>
      </c>
      <c r="AG393" s="183">
        <v>44637</v>
      </c>
      <c r="AH393" s="183">
        <v>38014</v>
      </c>
      <c r="AI393" s="183">
        <v>44616</v>
      </c>
      <c r="AJ393" s="183" t="s">
        <v>883</v>
      </c>
      <c r="AK393" s="174"/>
    </row>
    <row r="394" spans="1:37" x14ac:dyDescent="0.3">
      <c r="A394" s="173">
        <v>77109</v>
      </c>
      <c r="B394" s="174" t="s">
        <v>1415</v>
      </c>
      <c r="C394" s="175" t="s">
        <v>256</v>
      </c>
      <c r="D394" s="176">
        <v>1.27</v>
      </c>
      <c r="E394" s="174"/>
      <c r="F394" s="174"/>
      <c r="G394" s="174" t="s">
        <v>883</v>
      </c>
      <c r="H394" s="177">
        <v>131</v>
      </c>
      <c r="I394" s="24">
        <v>103003</v>
      </c>
      <c r="J394" s="178">
        <v>1.27</v>
      </c>
      <c r="K394" s="177">
        <v>132</v>
      </c>
      <c r="L394" s="179">
        <v>10.547504025764896</v>
      </c>
      <c r="M394" s="180">
        <v>0</v>
      </c>
      <c r="N394" s="178">
        <v>0</v>
      </c>
      <c r="O394" s="181" t="s">
        <v>882</v>
      </c>
      <c r="P394" s="180">
        <v>0</v>
      </c>
      <c r="Q394" s="182">
        <v>0</v>
      </c>
      <c r="R394" s="183" t="s">
        <v>883</v>
      </c>
      <c r="S394" s="174" t="s">
        <v>964</v>
      </c>
      <c r="T394" s="44">
        <v>1</v>
      </c>
      <c r="U394" s="184">
        <v>61</v>
      </c>
      <c r="V394" s="185">
        <v>8</v>
      </c>
      <c r="W394" s="186">
        <v>2454</v>
      </c>
      <c r="X394" s="187">
        <v>2023</v>
      </c>
      <c r="Y394" s="188">
        <v>50</v>
      </c>
      <c r="Z394" s="188" t="s">
        <v>883</v>
      </c>
      <c r="AA394" s="187" t="s">
        <v>883</v>
      </c>
      <c r="AB394" s="188">
        <v>0</v>
      </c>
      <c r="AC394" s="188"/>
      <c r="AD394" s="189" t="s">
        <v>883</v>
      </c>
      <c r="AE394" s="190" t="s">
        <v>883</v>
      </c>
      <c r="AF394" s="180">
        <v>50</v>
      </c>
      <c r="AG394" s="183">
        <v>44573</v>
      </c>
      <c r="AH394" s="183">
        <v>38028</v>
      </c>
      <c r="AI394" s="183">
        <v>45096</v>
      </c>
      <c r="AJ394" s="183" t="s">
        <v>883</v>
      </c>
      <c r="AK394" s="174"/>
    </row>
    <row r="395" spans="1:37" x14ac:dyDescent="0.3">
      <c r="A395" s="173">
        <v>77110</v>
      </c>
      <c r="B395" s="174" t="s">
        <v>1416</v>
      </c>
      <c r="C395" s="175" t="s">
        <v>256</v>
      </c>
      <c r="D395" s="176">
        <v>0.47</v>
      </c>
      <c r="E395" s="174"/>
      <c r="F395" s="174"/>
      <c r="G395" s="174" t="s">
        <v>883</v>
      </c>
      <c r="H395" s="177">
        <v>228</v>
      </c>
      <c r="I395" s="24">
        <v>103003</v>
      </c>
      <c r="J395" s="178">
        <v>0.47</v>
      </c>
      <c r="K395" s="177">
        <v>22</v>
      </c>
      <c r="L395" s="179">
        <v>124.59016393442622</v>
      </c>
      <c r="M395" s="180">
        <v>0</v>
      </c>
      <c r="N395" s="178">
        <v>0</v>
      </c>
      <c r="O395" s="181" t="s">
        <v>882</v>
      </c>
      <c r="P395" s="180">
        <v>0</v>
      </c>
      <c r="Q395" s="182">
        <v>0</v>
      </c>
      <c r="R395" s="183" t="s">
        <v>883</v>
      </c>
      <c r="S395" s="174" t="s">
        <v>964</v>
      </c>
      <c r="T395" s="44">
        <v>1</v>
      </c>
      <c r="U395" s="184">
        <v>61</v>
      </c>
      <c r="V395" s="185">
        <v>8</v>
      </c>
      <c r="W395" s="186" t="s">
        <v>883</v>
      </c>
      <c r="X395" s="187" t="s">
        <v>883</v>
      </c>
      <c r="Y395" s="188">
        <v>0</v>
      </c>
      <c r="Z395" s="188" t="s">
        <v>883</v>
      </c>
      <c r="AA395" s="187" t="s">
        <v>883</v>
      </c>
      <c r="AB395" s="188">
        <v>0</v>
      </c>
      <c r="AC395" s="188"/>
      <c r="AD395" s="189" t="s">
        <v>883</v>
      </c>
      <c r="AE395" s="190" t="s">
        <v>883</v>
      </c>
      <c r="AF395" s="180">
        <v>8</v>
      </c>
      <c r="AG395" s="183">
        <v>41942</v>
      </c>
      <c r="AH395" s="183">
        <v>38028</v>
      </c>
      <c r="AI395" s="183">
        <v>42594</v>
      </c>
      <c r="AJ395" s="183" t="s">
        <v>883</v>
      </c>
      <c r="AK395" s="174"/>
    </row>
    <row r="396" spans="1:37" x14ac:dyDescent="0.3">
      <c r="A396" s="173">
        <v>77493</v>
      </c>
      <c r="B396" s="174" t="s">
        <v>1417</v>
      </c>
      <c r="C396" s="175" t="s">
        <v>256</v>
      </c>
      <c r="D396" s="176">
        <v>13.51</v>
      </c>
      <c r="E396" s="174"/>
      <c r="F396" s="174"/>
      <c r="G396" s="174" t="s">
        <v>883</v>
      </c>
      <c r="H396" s="177">
        <v>131</v>
      </c>
      <c r="I396" s="24">
        <v>103003</v>
      </c>
      <c r="J396" s="178">
        <v>13.51</v>
      </c>
      <c r="K396" s="177">
        <v>24</v>
      </c>
      <c r="L396" s="179">
        <v>58.222222222222221</v>
      </c>
      <c r="M396" s="180">
        <v>0</v>
      </c>
      <c r="N396" s="178">
        <v>0</v>
      </c>
      <c r="O396" s="181" t="s">
        <v>882</v>
      </c>
      <c r="P396" s="180">
        <v>0</v>
      </c>
      <c r="Q396" s="182">
        <v>0</v>
      </c>
      <c r="R396" s="183" t="s">
        <v>883</v>
      </c>
      <c r="S396" s="174" t="s">
        <v>1085</v>
      </c>
      <c r="T396" s="44">
        <v>1</v>
      </c>
      <c r="U396" s="184">
        <v>55</v>
      </c>
      <c r="V396" s="185">
        <v>34</v>
      </c>
      <c r="W396" s="186" t="s">
        <v>883</v>
      </c>
      <c r="X396" s="187" t="s">
        <v>883</v>
      </c>
      <c r="Y396" s="188">
        <v>0</v>
      </c>
      <c r="Z396" s="188" t="s">
        <v>883</v>
      </c>
      <c r="AA396" s="187" t="s">
        <v>883</v>
      </c>
      <c r="AB396" s="188">
        <v>0</v>
      </c>
      <c r="AC396" s="188"/>
      <c r="AD396" s="189" t="s">
        <v>883</v>
      </c>
      <c r="AE396" s="190" t="s">
        <v>883</v>
      </c>
      <c r="AF396" s="180">
        <v>10</v>
      </c>
      <c r="AG396" s="183">
        <v>42101</v>
      </c>
      <c r="AH396" s="183">
        <v>38054</v>
      </c>
      <c r="AI396" s="183">
        <v>42894</v>
      </c>
      <c r="AJ396" s="183" t="s">
        <v>883</v>
      </c>
      <c r="AK396" s="174"/>
    </row>
    <row r="397" spans="1:37" x14ac:dyDescent="0.3">
      <c r="A397" s="173">
        <v>77554</v>
      </c>
      <c r="B397" s="174" t="s">
        <v>1418</v>
      </c>
      <c r="C397" s="175" t="s">
        <v>256</v>
      </c>
      <c r="D397" s="176">
        <v>194.61</v>
      </c>
      <c r="E397" s="174"/>
      <c r="F397" s="174"/>
      <c r="G397" s="174" t="s">
        <v>883</v>
      </c>
      <c r="H397" s="177">
        <v>74</v>
      </c>
      <c r="I397" s="24">
        <v>103003</v>
      </c>
      <c r="J397" s="178">
        <v>194.61</v>
      </c>
      <c r="K397" s="177">
        <v>175</v>
      </c>
      <c r="L397" s="179">
        <v>5.0754458161865568</v>
      </c>
      <c r="M397" s="180">
        <v>100.96</v>
      </c>
      <c r="N397" s="178">
        <v>19647.8256</v>
      </c>
      <c r="O397" s="181" t="s">
        <v>882</v>
      </c>
      <c r="P397" s="180">
        <v>0</v>
      </c>
      <c r="Q397" s="182">
        <v>0</v>
      </c>
      <c r="R397" s="183" t="s">
        <v>883</v>
      </c>
      <c r="S397" s="174" t="s">
        <v>1334</v>
      </c>
      <c r="T397" s="44">
        <v>1</v>
      </c>
      <c r="U397" s="184">
        <v>74</v>
      </c>
      <c r="V397" s="185">
        <v>3</v>
      </c>
      <c r="W397" s="186" t="s">
        <v>883</v>
      </c>
      <c r="X397" s="187" t="s">
        <v>883</v>
      </c>
      <c r="Y397" s="188">
        <v>0</v>
      </c>
      <c r="Z397" s="188" t="s">
        <v>883</v>
      </c>
      <c r="AA397" s="187" t="s">
        <v>883</v>
      </c>
      <c r="AB397" s="188">
        <v>0</v>
      </c>
      <c r="AC397" s="188"/>
      <c r="AD397" s="189" t="s">
        <v>883</v>
      </c>
      <c r="AE397" s="190" t="s">
        <v>883</v>
      </c>
      <c r="AF397" s="180">
        <v>58</v>
      </c>
      <c r="AG397" s="183">
        <v>44974</v>
      </c>
      <c r="AH397" s="183">
        <v>38056</v>
      </c>
      <c r="AI397" s="183">
        <v>44887</v>
      </c>
      <c r="AJ397" s="183" t="s">
        <v>883</v>
      </c>
      <c r="AK397" s="174"/>
    </row>
    <row r="398" spans="1:37" x14ac:dyDescent="0.3">
      <c r="A398" s="173">
        <v>77556</v>
      </c>
      <c r="B398" s="174" t="s">
        <v>1419</v>
      </c>
      <c r="C398" s="175" t="s">
        <v>256</v>
      </c>
      <c r="D398" s="176">
        <v>253.2</v>
      </c>
      <c r="E398" s="174"/>
      <c r="F398" s="174"/>
      <c r="G398" s="174" t="s">
        <v>883</v>
      </c>
      <c r="H398" s="177">
        <v>87</v>
      </c>
      <c r="I398" s="24">
        <v>103003</v>
      </c>
      <c r="J398" s="178">
        <v>253.2</v>
      </c>
      <c r="K398" s="177">
        <v>65</v>
      </c>
      <c r="L398" s="179">
        <v>16.051660516605164</v>
      </c>
      <c r="M398" s="180">
        <v>0</v>
      </c>
      <c r="N398" s="178">
        <v>0</v>
      </c>
      <c r="O398" s="181" t="s">
        <v>882</v>
      </c>
      <c r="P398" s="180">
        <v>0</v>
      </c>
      <c r="Q398" s="182">
        <v>0</v>
      </c>
      <c r="R398" s="183" t="s">
        <v>883</v>
      </c>
      <c r="S398" s="174" t="s">
        <v>1334</v>
      </c>
      <c r="T398" s="44">
        <v>1</v>
      </c>
      <c r="U398" s="184">
        <v>74</v>
      </c>
      <c r="V398" s="185">
        <v>3</v>
      </c>
      <c r="W398" s="186" t="s">
        <v>883</v>
      </c>
      <c r="X398" s="187" t="s">
        <v>883</v>
      </c>
      <c r="Y398" s="188">
        <v>0</v>
      </c>
      <c r="Z398" s="188" t="s">
        <v>883</v>
      </c>
      <c r="AA398" s="187" t="s">
        <v>883</v>
      </c>
      <c r="AB398" s="188">
        <v>0</v>
      </c>
      <c r="AC398" s="188"/>
      <c r="AD398" s="189" t="s">
        <v>883</v>
      </c>
      <c r="AE398" s="190" t="s">
        <v>883</v>
      </c>
      <c r="AF398" s="180">
        <v>22</v>
      </c>
      <c r="AG398" s="183">
        <v>44158</v>
      </c>
      <c r="AH398" s="183">
        <v>38056</v>
      </c>
      <c r="AI398" s="183">
        <v>45084</v>
      </c>
      <c r="AJ398" s="183" t="s">
        <v>883</v>
      </c>
      <c r="AK398" s="174"/>
    </row>
    <row r="399" spans="1:37" x14ac:dyDescent="0.3">
      <c r="A399" s="173">
        <v>77557</v>
      </c>
      <c r="B399" s="174" t="s">
        <v>1420</v>
      </c>
      <c r="C399" s="175" t="s">
        <v>256</v>
      </c>
      <c r="D399" s="176">
        <v>128.13999999999999</v>
      </c>
      <c r="E399" s="174"/>
      <c r="F399" s="174"/>
      <c r="G399" s="174" t="s">
        <v>883</v>
      </c>
      <c r="H399" s="177">
        <v>186</v>
      </c>
      <c r="I399" s="24">
        <v>103003</v>
      </c>
      <c r="J399" s="178">
        <v>128.13999999999999</v>
      </c>
      <c r="K399" s="177">
        <v>43</v>
      </c>
      <c r="L399" s="179">
        <v>51.955307262569832</v>
      </c>
      <c r="M399" s="180">
        <v>0</v>
      </c>
      <c r="N399" s="178">
        <v>0</v>
      </c>
      <c r="O399" s="181" t="s">
        <v>882</v>
      </c>
      <c r="P399" s="180">
        <v>0</v>
      </c>
      <c r="Q399" s="182">
        <v>0</v>
      </c>
      <c r="R399" s="183" t="s">
        <v>883</v>
      </c>
      <c r="S399" s="174" t="s">
        <v>1334</v>
      </c>
      <c r="T399" s="44">
        <v>1</v>
      </c>
      <c r="U399" s="184">
        <v>74</v>
      </c>
      <c r="V399" s="185">
        <v>3</v>
      </c>
      <c r="W399" s="186" t="s">
        <v>883</v>
      </c>
      <c r="X399" s="187" t="s">
        <v>883</v>
      </c>
      <c r="Y399" s="188">
        <v>0</v>
      </c>
      <c r="Z399" s="188" t="s">
        <v>883</v>
      </c>
      <c r="AA399" s="187" t="s">
        <v>883</v>
      </c>
      <c r="AB399" s="188">
        <v>0</v>
      </c>
      <c r="AC399" s="188"/>
      <c r="AD399" s="189" t="s">
        <v>883</v>
      </c>
      <c r="AE399" s="190" t="s">
        <v>883</v>
      </c>
      <c r="AF399" s="180">
        <v>14</v>
      </c>
      <c r="AG399" s="183">
        <v>43745</v>
      </c>
      <c r="AH399" s="183">
        <v>38056</v>
      </c>
      <c r="AI399" s="183">
        <v>44238</v>
      </c>
      <c r="AJ399" s="183" t="s">
        <v>883</v>
      </c>
      <c r="AK399" s="174"/>
    </row>
    <row r="400" spans="1:37" x14ac:dyDescent="0.3">
      <c r="A400" s="173">
        <v>77562</v>
      </c>
      <c r="B400" s="174" t="s">
        <v>1421</v>
      </c>
      <c r="C400" s="175" t="s">
        <v>256</v>
      </c>
      <c r="D400" s="176">
        <v>53.28</v>
      </c>
      <c r="E400" s="174"/>
      <c r="F400" s="174"/>
      <c r="G400" s="174" t="s">
        <v>883</v>
      </c>
      <c r="H400" s="177">
        <v>431</v>
      </c>
      <c r="I400" s="24">
        <v>103003</v>
      </c>
      <c r="J400" s="178">
        <v>53.28</v>
      </c>
      <c r="K400" s="177">
        <v>4105</v>
      </c>
      <c r="L400" s="179">
        <v>0.56095688050707382</v>
      </c>
      <c r="M400" s="180">
        <v>0</v>
      </c>
      <c r="N400" s="178">
        <v>0</v>
      </c>
      <c r="O400" s="181" t="s">
        <v>882</v>
      </c>
      <c r="P400" s="180">
        <v>0</v>
      </c>
      <c r="Q400" s="182">
        <v>0</v>
      </c>
      <c r="R400" s="183" t="s">
        <v>883</v>
      </c>
      <c r="S400" s="174" t="s">
        <v>1422</v>
      </c>
      <c r="T400" s="44">
        <v>1</v>
      </c>
      <c r="U400" s="184">
        <v>74</v>
      </c>
      <c r="V400" s="185">
        <v>2</v>
      </c>
      <c r="W400" s="186">
        <v>2951</v>
      </c>
      <c r="X400" s="187">
        <v>2023</v>
      </c>
      <c r="Y400" s="188">
        <v>9000</v>
      </c>
      <c r="Z400" s="188" t="s">
        <v>883</v>
      </c>
      <c r="AA400" s="187" t="s">
        <v>883</v>
      </c>
      <c r="AB400" s="188">
        <v>0</v>
      </c>
      <c r="AC400" s="188"/>
      <c r="AD400" s="189" t="s">
        <v>883</v>
      </c>
      <c r="AE400" s="190" t="s">
        <v>883</v>
      </c>
      <c r="AF400" s="180">
        <v>3074</v>
      </c>
      <c r="AG400" s="183">
        <v>44985</v>
      </c>
      <c r="AH400" s="183">
        <v>38056</v>
      </c>
      <c r="AI400" s="183">
        <v>44886</v>
      </c>
      <c r="AJ400" s="183" t="s">
        <v>883</v>
      </c>
      <c r="AK400" s="174"/>
    </row>
    <row r="401" spans="1:37" x14ac:dyDescent="0.3">
      <c r="A401" s="173">
        <v>77755</v>
      </c>
      <c r="B401" s="174" t="s">
        <v>1423</v>
      </c>
      <c r="C401" s="175" t="s">
        <v>256</v>
      </c>
      <c r="D401" s="176">
        <v>1.19</v>
      </c>
      <c r="E401" s="174"/>
      <c r="F401" s="174"/>
      <c r="G401" s="174" t="s">
        <v>883</v>
      </c>
      <c r="H401" s="177">
        <v>304</v>
      </c>
      <c r="I401" s="24">
        <v>103003</v>
      </c>
      <c r="J401" s="178">
        <v>1.19</v>
      </c>
      <c r="K401" s="177">
        <v>5090</v>
      </c>
      <c r="L401" s="179">
        <v>0.57968803630677712</v>
      </c>
      <c r="M401" s="180">
        <v>3489.04</v>
      </c>
      <c r="N401" s="178">
        <v>4151.9575999999997</v>
      </c>
      <c r="O401" s="181" t="s">
        <v>882</v>
      </c>
      <c r="P401" s="180">
        <v>0</v>
      </c>
      <c r="Q401" s="182">
        <v>0</v>
      </c>
      <c r="R401" s="183" t="s">
        <v>883</v>
      </c>
      <c r="S401" s="174" t="s">
        <v>903</v>
      </c>
      <c r="T401" s="44">
        <v>1</v>
      </c>
      <c r="U401" s="184">
        <v>45</v>
      </c>
      <c r="V401" s="185">
        <v>10</v>
      </c>
      <c r="W401" s="186">
        <v>6211</v>
      </c>
      <c r="X401" s="187">
        <v>2023</v>
      </c>
      <c r="Y401" s="188">
        <v>2500</v>
      </c>
      <c r="Z401" s="188" t="s">
        <v>883</v>
      </c>
      <c r="AA401" s="187" t="s">
        <v>883</v>
      </c>
      <c r="AB401" s="188">
        <v>0</v>
      </c>
      <c r="AC401" s="188"/>
      <c r="AD401" s="189" t="s">
        <v>883</v>
      </c>
      <c r="AE401" s="190" t="s">
        <v>883</v>
      </c>
      <c r="AF401" s="180">
        <v>2098</v>
      </c>
      <c r="AG401" s="183">
        <v>44966</v>
      </c>
      <c r="AH401" s="183">
        <v>38063</v>
      </c>
      <c r="AI401" s="183">
        <v>44959</v>
      </c>
      <c r="AJ401" s="183" t="s">
        <v>883</v>
      </c>
      <c r="AK401" s="174"/>
    </row>
    <row r="402" spans="1:37" x14ac:dyDescent="0.3">
      <c r="A402" s="173">
        <v>77786</v>
      </c>
      <c r="B402" s="174" t="s">
        <v>1424</v>
      </c>
      <c r="C402" s="175" t="s">
        <v>256</v>
      </c>
      <c r="D402" s="176">
        <v>115</v>
      </c>
      <c r="E402" s="174"/>
      <c r="F402" s="174"/>
      <c r="G402" s="174" t="s">
        <v>883</v>
      </c>
      <c r="H402" s="177">
        <v>50</v>
      </c>
      <c r="I402" s="24">
        <v>103003</v>
      </c>
      <c r="J402" s="178">
        <v>115</v>
      </c>
      <c r="K402" s="177"/>
      <c r="L402" s="179">
        <v>0</v>
      </c>
      <c r="M402" s="180">
        <v>0</v>
      </c>
      <c r="N402" s="178">
        <v>0</v>
      </c>
      <c r="O402" s="181" t="s">
        <v>882</v>
      </c>
      <c r="P402" s="180">
        <v>0</v>
      </c>
      <c r="Q402" s="182">
        <v>0</v>
      </c>
      <c r="R402" s="183" t="s">
        <v>883</v>
      </c>
      <c r="S402" s="174" t="s">
        <v>1342</v>
      </c>
      <c r="T402" s="44">
        <v>1</v>
      </c>
      <c r="U402" s="184">
        <v>69</v>
      </c>
      <c r="V402" s="185">
        <v>8</v>
      </c>
      <c r="W402" s="186" t="s">
        <v>883</v>
      </c>
      <c r="X402" s="187" t="s">
        <v>883</v>
      </c>
      <c r="Y402" s="188">
        <v>0</v>
      </c>
      <c r="Z402" s="188" t="s">
        <v>883</v>
      </c>
      <c r="AA402" s="187" t="s">
        <v>883</v>
      </c>
      <c r="AB402" s="188">
        <v>0</v>
      </c>
      <c r="AC402" s="188"/>
      <c r="AD402" s="189" t="s">
        <v>883</v>
      </c>
      <c r="AE402" s="190" t="s">
        <v>883</v>
      </c>
      <c r="AF402" s="180">
        <v>0</v>
      </c>
      <c r="AG402" s="183">
        <v>44067</v>
      </c>
      <c r="AH402" s="183">
        <v>38064</v>
      </c>
      <c r="AI402" s="183">
        <v>44047</v>
      </c>
      <c r="AJ402" s="183" t="s">
        <v>883</v>
      </c>
      <c r="AK402" s="174"/>
    </row>
    <row r="403" spans="1:37" x14ac:dyDescent="0.3">
      <c r="A403" s="173">
        <v>77788</v>
      </c>
      <c r="B403" s="174" t="s">
        <v>1425</v>
      </c>
      <c r="C403" s="175" t="s">
        <v>256</v>
      </c>
      <c r="D403" s="176">
        <v>14.2</v>
      </c>
      <c r="E403" s="174"/>
      <c r="F403" s="174"/>
      <c r="G403" s="174" t="s">
        <v>883</v>
      </c>
      <c r="H403" s="177">
        <v>776</v>
      </c>
      <c r="I403" s="24">
        <v>103003</v>
      </c>
      <c r="J403" s="178">
        <v>14.2</v>
      </c>
      <c r="K403" s="177">
        <v>49</v>
      </c>
      <c r="L403" s="179">
        <v>190.19607843137254</v>
      </c>
      <c r="M403" s="180">
        <v>0</v>
      </c>
      <c r="N403" s="178">
        <v>0</v>
      </c>
      <c r="O403" s="181" t="s">
        <v>882</v>
      </c>
      <c r="P403" s="180">
        <v>0</v>
      </c>
      <c r="Q403" s="182">
        <v>0</v>
      </c>
      <c r="R403" s="183" t="s">
        <v>883</v>
      </c>
      <c r="S403" s="174" t="s">
        <v>1426</v>
      </c>
      <c r="T403" s="44">
        <v>1</v>
      </c>
      <c r="U403" s="184">
        <v>67</v>
      </c>
      <c r="V403" s="185">
        <v>13</v>
      </c>
      <c r="W403" s="186" t="s">
        <v>883</v>
      </c>
      <c r="X403" s="187" t="s">
        <v>883</v>
      </c>
      <c r="Y403" s="188">
        <v>0</v>
      </c>
      <c r="Z403" s="188" t="s">
        <v>883</v>
      </c>
      <c r="AA403" s="187" t="s">
        <v>883</v>
      </c>
      <c r="AB403" s="188">
        <v>0</v>
      </c>
      <c r="AC403" s="188"/>
      <c r="AD403" s="189" t="s">
        <v>883</v>
      </c>
      <c r="AE403" s="190" t="s">
        <v>883</v>
      </c>
      <c r="AF403" s="180">
        <v>16</v>
      </c>
      <c r="AG403" s="183">
        <v>43622</v>
      </c>
      <c r="AH403" s="183">
        <v>38064</v>
      </c>
      <c r="AI403" s="183">
        <v>45117</v>
      </c>
      <c r="AJ403" s="183" t="s">
        <v>883</v>
      </c>
      <c r="AK403" s="174"/>
    </row>
    <row r="404" spans="1:37" x14ac:dyDescent="0.3">
      <c r="A404" s="173">
        <v>77819</v>
      </c>
      <c r="B404" s="174" t="s">
        <v>1427</v>
      </c>
      <c r="C404" s="175" t="s">
        <v>616</v>
      </c>
      <c r="D404" s="176">
        <v>27.65</v>
      </c>
      <c r="E404" s="174"/>
      <c r="F404" s="174"/>
      <c r="G404" s="174" t="s">
        <v>883</v>
      </c>
      <c r="H404" s="177">
        <v>3686</v>
      </c>
      <c r="I404" s="24">
        <v>103003</v>
      </c>
      <c r="J404" s="178">
        <v>27.65</v>
      </c>
      <c r="K404" s="177">
        <v>1752</v>
      </c>
      <c r="L404" s="179">
        <v>11.423435708308798</v>
      </c>
      <c r="M404" s="180">
        <v>0</v>
      </c>
      <c r="N404" s="178">
        <v>0</v>
      </c>
      <c r="O404" s="181" t="s">
        <v>882</v>
      </c>
      <c r="P404" s="180">
        <v>0</v>
      </c>
      <c r="Q404" s="182">
        <v>0</v>
      </c>
      <c r="R404" s="183" t="s">
        <v>883</v>
      </c>
      <c r="S404" s="174" t="s">
        <v>1428</v>
      </c>
      <c r="T404" s="44">
        <v>1</v>
      </c>
      <c r="U404" s="184">
        <v>52</v>
      </c>
      <c r="V404" s="185">
        <v>15</v>
      </c>
      <c r="W404" s="186">
        <v>2998</v>
      </c>
      <c r="X404" s="187">
        <v>2023</v>
      </c>
      <c r="Y404" s="188">
        <v>500</v>
      </c>
      <c r="Z404" s="188" t="s">
        <v>883</v>
      </c>
      <c r="AA404" s="187" t="s">
        <v>883</v>
      </c>
      <c r="AB404" s="188">
        <v>0</v>
      </c>
      <c r="AC404" s="188"/>
      <c r="AD404" s="189" t="s">
        <v>883</v>
      </c>
      <c r="AE404" s="190" t="s">
        <v>883</v>
      </c>
      <c r="AF404" s="180">
        <v>1290</v>
      </c>
      <c r="AG404" s="183">
        <v>44942</v>
      </c>
      <c r="AH404" s="183">
        <v>38065</v>
      </c>
      <c r="AI404" s="183">
        <v>44895</v>
      </c>
      <c r="AJ404" s="183" t="s">
        <v>883</v>
      </c>
      <c r="AK404" s="174"/>
    </row>
    <row r="405" spans="1:37" x14ac:dyDescent="0.3">
      <c r="A405" s="173">
        <v>77823</v>
      </c>
      <c r="B405" s="174" t="s">
        <v>1429</v>
      </c>
      <c r="C405" s="175" t="s">
        <v>256</v>
      </c>
      <c r="D405" s="176">
        <v>21.71</v>
      </c>
      <c r="E405" s="174"/>
      <c r="F405" s="174"/>
      <c r="G405" s="174" t="s">
        <v>883</v>
      </c>
      <c r="H405" s="177">
        <v>37</v>
      </c>
      <c r="I405" s="24">
        <v>103003</v>
      </c>
      <c r="J405" s="178">
        <v>21.71</v>
      </c>
      <c r="K405" s="177">
        <v>23</v>
      </c>
      <c r="L405" s="179">
        <v>19.270833333333332</v>
      </c>
      <c r="M405" s="180">
        <v>0</v>
      </c>
      <c r="N405" s="178">
        <v>0</v>
      </c>
      <c r="O405" s="181" t="s">
        <v>882</v>
      </c>
      <c r="P405" s="180">
        <v>0</v>
      </c>
      <c r="Q405" s="182">
        <v>0</v>
      </c>
      <c r="R405" s="183" t="s">
        <v>883</v>
      </c>
      <c r="S405" s="174" t="s">
        <v>1430</v>
      </c>
      <c r="T405" s="44">
        <v>1</v>
      </c>
      <c r="U405" s="184">
        <v>72</v>
      </c>
      <c r="V405" s="185">
        <v>5</v>
      </c>
      <c r="W405" s="186" t="s">
        <v>883</v>
      </c>
      <c r="X405" s="187" t="s">
        <v>883</v>
      </c>
      <c r="Y405" s="188">
        <v>0</v>
      </c>
      <c r="Z405" s="188" t="s">
        <v>883</v>
      </c>
      <c r="AA405" s="187" t="s">
        <v>883</v>
      </c>
      <c r="AB405" s="188">
        <v>0</v>
      </c>
      <c r="AC405" s="188"/>
      <c r="AD405" s="189" t="s">
        <v>883</v>
      </c>
      <c r="AE405" s="190" t="s">
        <v>883</v>
      </c>
      <c r="AF405" s="180">
        <v>8</v>
      </c>
      <c r="AG405" s="183">
        <v>43279</v>
      </c>
      <c r="AH405" s="183">
        <v>38065</v>
      </c>
      <c r="AI405" s="183">
        <v>44711</v>
      </c>
      <c r="AJ405" s="183" t="s">
        <v>883</v>
      </c>
      <c r="AK405" s="174"/>
    </row>
    <row r="406" spans="1:37" x14ac:dyDescent="0.3">
      <c r="A406" s="173">
        <v>78055</v>
      </c>
      <c r="B406" s="174" t="s">
        <v>1431</v>
      </c>
      <c r="C406" s="175" t="s">
        <v>301</v>
      </c>
      <c r="D406" s="176">
        <v>9.39</v>
      </c>
      <c r="E406" s="174"/>
      <c r="F406" s="174"/>
      <c r="G406" s="174" t="s">
        <v>883</v>
      </c>
      <c r="H406" s="177">
        <v>0</v>
      </c>
      <c r="I406" s="24">
        <v>103003</v>
      </c>
      <c r="J406" s="178">
        <v>9.39</v>
      </c>
      <c r="K406" s="177">
        <v>345</v>
      </c>
      <c r="L406" s="179">
        <v>0</v>
      </c>
      <c r="M406" s="180">
        <v>295</v>
      </c>
      <c r="N406" s="178">
        <v>2770.05</v>
      </c>
      <c r="O406" s="181" t="s">
        <v>882</v>
      </c>
      <c r="P406" s="180">
        <v>0</v>
      </c>
      <c r="Q406" s="182">
        <v>0</v>
      </c>
      <c r="R406" s="183" t="s">
        <v>883</v>
      </c>
      <c r="S406" s="174" t="s">
        <v>1073</v>
      </c>
      <c r="T406" s="44">
        <v>1</v>
      </c>
      <c r="U406" s="184">
        <v>78</v>
      </c>
      <c r="V406" s="185">
        <v>2</v>
      </c>
      <c r="W406" s="186">
        <v>2504</v>
      </c>
      <c r="X406" s="187">
        <v>2023</v>
      </c>
      <c r="Y406" s="188">
        <v>50</v>
      </c>
      <c r="Z406" s="188" t="s">
        <v>883</v>
      </c>
      <c r="AA406" s="187" t="s">
        <v>883</v>
      </c>
      <c r="AB406" s="188">
        <v>0</v>
      </c>
      <c r="AC406" s="188"/>
      <c r="AD406" s="189" t="s">
        <v>883</v>
      </c>
      <c r="AE406" s="190" t="s">
        <v>883</v>
      </c>
      <c r="AF406" s="180">
        <v>116</v>
      </c>
      <c r="AG406" s="183">
        <v>43553</v>
      </c>
      <c r="AH406" s="183">
        <v>38072</v>
      </c>
      <c r="AI406" s="183">
        <v>43523</v>
      </c>
      <c r="AJ406" s="183" t="s">
        <v>883</v>
      </c>
      <c r="AK406" s="174"/>
    </row>
    <row r="407" spans="1:37" x14ac:dyDescent="0.3">
      <c r="A407" s="173">
        <v>78057</v>
      </c>
      <c r="B407" s="174" t="s">
        <v>1432</v>
      </c>
      <c r="C407" s="175" t="s">
        <v>268</v>
      </c>
      <c r="D407" s="176">
        <v>15</v>
      </c>
      <c r="E407" s="174"/>
      <c r="F407" s="174"/>
      <c r="G407" s="174" t="s">
        <v>883</v>
      </c>
      <c r="H407" s="177">
        <v>0</v>
      </c>
      <c r="I407" s="24">
        <v>103003</v>
      </c>
      <c r="J407" s="178">
        <v>15</v>
      </c>
      <c r="K407" s="177">
        <v>297</v>
      </c>
      <c r="L407" s="179">
        <v>0</v>
      </c>
      <c r="M407" s="180">
        <v>246.96</v>
      </c>
      <c r="N407" s="178">
        <v>3704.4</v>
      </c>
      <c r="O407" s="181" t="s">
        <v>882</v>
      </c>
      <c r="P407" s="180">
        <v>0</v>
      </c>
      <c r="Q407" s="182">
        <v>0</v>
      </c>
      <c r="R407" s="183" t="s">
        <v>883</v>
      </c>
      <c r="S407" s="174" t="s">
        <v>1073</v>
      </c>
      <c r="T407" s="44">
        <v>1</v>
      </c>
      <c r="U407" s="184">
        <v>78</v>
      </c>
      <c r="V407" s="185">
        <v>2</v>
      </c>
      <c r="W407" s="186">
        <v>7339</v>
      </c>
      <c r="X407" s="187">
        <v>2023</v>
      </c>
      <c r="Y407" s="188">
        <v>150</v>
      </c>
      <c r="Z407" s="188" t="s">
        <v>883</v>
      </c>
      <c r="AA407" s="187" t="s">
        <v>883</v>
      </c>
      <c r="AB407" s="188">
        <v>0</v>
      </c>
      <c r="AC407" s="188"/>
      <c r="AD407" s="189" t="s">
        <v>883</v>
      </c>
      <c r="AE407" s="190" t="s">
        <v>883</v>
      </c>
      <c r="AF407" s="180">
        <v>132</v>
      </c>
      <c r="AG407" s="183">
        <v>44931</v>
      </c>
      <c r="AH407" s="183">
        <v>38072</v>
      </c>
      <c r="AI407" s="183">
        <v>44970</v>
      </c>
      <c r="AJ407" s="183" t="s">
        <v>883</v>
      </c>
      <c r="AK407" s="174"/>
    </row>
    <row r="408" spans="1:37" x14ac:dyDescent="0.3">
      <c r="A408" s="173">
        <v>78181</v>
      </c>
      <c r="B408" s="174" t="s">
        <v>1433</v>
      </c>
      <c r="C408" s="175" t="s">
        <v>625</v>
      </c>
      <c r="D408" s="176">
        <v>7</v>
      </c>
      <c r="E408" s="174"/>
      <c r="F408" s="174"/>
      <c r="G408" s="174" t="s">
        <v>883</v>
      </c>
      <c r="H408" s="177">
        <v>0</v>
      </c>
      <c r="I408" s="24">
        <v>103003</v>
      </c>
      <c r="J408" s="178">
        <v>7</v>
      </c>
      <c r="K408" s="177">
        <v>74</v>
      </c>
      <c r="L408" s="179">
        <v>0</v>
      </c>
      <c r="M408" s="180">
        <v>0</v>
      </c>
      <c r="N408" s="178">
        <v>0</v>
      </c>
      <c r="O408" s="181" t="s">
        <v>882</v>
      </c>
      <c r="P408" s="180">
        <v>0</v>
      </c>
      <c r="Q408" s="182">
        <v>0</v>
      </c>
      <c r="R408" s="183" t="s">
        <v>883</v>
      </c>
      <c r="S408" s="174" t="s">
        <v>1434</v>
      </c>
      <c r="T408" s="44">
        <v>1</v>
      </c>
      <c r="U408" s="184">
        <v>72</v>
      </c>
      <c r="V408" s="185">
        <v>8</v>
      </c>
      <c r="W408" s="186" t="s">
        <v>883</v>
      </c>
      <c r="X408" s="187" t="s">
        <v>883</v>
      </c>
      <c r="Y408" s="188">
        <v>0</v>
      </c>
      <c r="Z408" s="188">
        <v>9091</v>
      </c>
      <c r="AA408" s="187">
        <v>2023</v>
      </c>
      <c r="AB408" s="188">
        <v>200</v>
      </c>
      <c r="AC408" s="188">
        <v>200</v>
      </c>
      <c r="AD408" s="189" t="s">
        <v>2041</v>
      </c>
      <c r="AE408" s="190">
        <v>45159</v>
      </c>
      <c r="AF408" s="180">
        <v>24</v>
      </c>
      <c r="AG408" s="183">
        <v>44595</v>
      </c>
      <c r="AH408" s="183">
        <v>38079</v>
      </c>
      <c r="AI408" s="183">
        <v>45133</v>
      </c>
      <c r="AJ408" s="183" t="s">
        <v>883</v>
      </c>
      <c r="AK408" s="174"/>
    </row>
    <row r="409" spans="1:37" x14ac:dyDescent="0.3">
      <c r="A409" s="173">
        <v>78303</v>
      </c>
      <c r="B409" s="174" t="s">
        <v>1435</v>
      </c>
      <c r="C409" s="175" t="s">
        <v>256</v>
      </c>
      <c r="D409" s="176">
        <v>274</v>
      </c>
      <c r="E409" s="174"/>
      <c r="F409" s="174"/>
      <c r="G409" s="174" t="s">
        <v>883</v>
      </c>
      <c r="H409" s="177">
        <v>0</v>
      </c>
      <c r="I409" s="24">
        <v>103003</v>
      </c>
      <c r="J409" s="178">
        <v>274</v>
      </c>
      <c r="K409" s="177">
        <v>6</v>
      </c>
      <c r="L409" s="179">
        <v>0</v>
      </c>
      <c r="M409" s="180">
        <v>0</v>
      </c>
      <c r="N409" s="178">
        <v>0</v>
      </c>
      <c r="O409" s="181" t="s">
        <v>882</v>
      </c>
      <c r="P409" s="180">
        <v>0</v>
      </c>
      <c r="Q409" s="182">
        <v>0</v>
      </c>
      <c r="R409" s="183" t="s">
        <v>883</v>
      </c>
      <c r="S409" s="174" t="s">
        <v>1436</v>
      </c>
      <c r="T409" s="44">
        <v>1</v>
      </c>
      <c r="U409" s="184">
        <v>51</v>
      </c>
      <c r="V409" s="185">
        <v>36</v>
      </c>
      <c r="W409" s="186" t="s">
        <v>883</v>
      </c>
      <c r="X409" s="187" t="s">
        <v>883</v>
      </c>
      <c r="Y409" s="188">
        <v>0</v>
      </c>
      <c r="Z409" s="188">
        <v>8936</v>
      </c>
      <c r="AA409" s="187">
        <v>2023</v>
      </c>
      <c r="AB409" s="188">
        <v>20</v>
      </c>
      <c r="AC409" s="188">
        <v>20</v>
      </c>
      <c r="AD409" s="189" t="s">
        <v>2042</v>
      </c>
      <c r="AE409" s="190">
        <v>45162</v>
      </c>
      <c r="AF409" s="180">
        <v>2</v>
      </c>
      <c r="AG409" s="183">
        <v>44516</v>
      </c>
      <c r="AH409" s="183">
        <v>38085</v>
      </c>
      <c r="AI409" s="183">
        <v>45131</v>
      </c>
      <c r="AJ409" s="183" t="s">
        <v>883</v>
      </c>
      <c r="AK409" s="174"/>
    </row>
    <row r="410" spans="1:37" x14ac:dyDescent="0.3">
      <c r="A410" s="173">
        <v>78307</v>
      </c>
      <c r="B410" s="174" t="s">
        <v>1437</v>
      </c>
      <c r="C410" s="175" t="s">
        <v>256</v>
      </c>
      <c r="D410" s="176">
        <v>273</v>
      </c>
      <c r="E410" s="174"/>
      <c r="F410" s="174"/>
      <c r="G410" s="174" t="s">
        <v>883</v>
      </c>
      <c r="H410" s="177">
        <v>34</v>
      </c>
      <c r="I410" s="24">
        <v>103003</v>
      </c>
      <c r="J410" s="178">
        <v>273</v>
      </c>
      <c r="K410" s="177"/>
      <c r="L410" s="179">
        <v>0</v>
      </c>
      <c r="M410" s="180">
        <v>0</v>
      </c>
      <c r="N410" s="178">
        <v>0</v>
      </c>
      <c r="O410" s="181" t="s">
        <v>882</v>
      </c>
      <c r="P410" s="180">
        <v>0</v>
      </c>
      <c r="Q410" s="182">
        <v>0</v>
      </c>
      <c r="R410" s="183" t="s">
        <v>883</v>
      </c>
      <c r="S410" s="174" t="s">
        <v>1278</v>
      </c>
      <c r="T410" s="44">
        <v>1</v>
      </c>
      <c r="U410" s="184">
        <v>51</v>
      </c>
      <c r="V410" s="185">
        <v>28</v>
      </c>
      <c r="W410" s="186" t="s">
        <v>883</v>
      </c>
      <c r="X410" s="187" t="s">
        <v>883</v>
      </c>
      <c r="Y410" s="188">
        <v>0</v>
      </c>
      <c r="Z410" s="188" t="s">
        <v>883</v>
      </c>
      <c r="AA410" s="187" t="s">
        <v>883</v>
      </c>
      <c r="AB410" s="188">
        <v>0</v>
      </c>
      <c r="AC410" s="188"/>
      <c r="AD410" s="189" t="s">
        <v>883</v>
      </c>
      <c r="AE410" s="190" t="s">
        <v>883</v>
      </c>
      <c r="AF410" s="180">
        <v>0</v>
      </c>
      <c r="AG410" s="183">
        <v>43818</v>
      </c>
      <c r="AH410" s="183">
        <v>38085</v>
      </c>
      <c r="AI410" s="183">
        <v>44579</v>
      </c>
      <c r="AJ410" s="183" t="s">
        <v>883</v>
      </c>
      <c r="AK410" s="174"/>
    </row>
    <row r="411" spans="1:37" x14ac:dyDescent="0.3">
      <c r="A411" s="173">
        <v>78399</v>
      </c>
      <c r="B411" s="174" t="s">
        <v>1438</v>
      </c>
      <c r="C411" s="175" t="s">
        <v>256</v>
      </c>
      <c r="D411" s="176">
        <v>1.4</v>
      </c>
      <c r="E411" s="174"/>
      <c r="F411" s="174"/>
      <c r="G411" s="174" t="s">
        <v>883</v>
      </c>
      <c r="H411" s="177">
        <v>325</v>
      </c>
      <c r="I411" s="24">
        <v>103003</v>
      </c>
      <c r="J411" s="178">
        <v>1.4</v>
      </c>
      <c r="K411" s="177">
        <v>61</v>
      </c>
      <c r="L411" s="179">
        <v>63.976377952755904</v>
      </c>
      <c r="M411" s="180">
        <v>0</v>
      </c>
      <c r="N411" s="178">
        <v>0</v>
      </c>
      <c r="O411" s="181" t="s">
        <v>882</v>
      </c>
      <c r="P411" s="180">
        <v>0</v>
      </c>
      <c r="Q411" s="182">
        <v>0</v>
      </c>
      <c r="R411" s="183" t="s">
        <v>883</v>
      </c>
      <c r="S411" s="174" t="s">
        <v>1050</v>
      </c>
      <c r="T411" s="44">
        <v>1</v>
      </c>
      <c r="U411" s="184">
        <v>55</v>
      </c>
      <c r="V411" s="185">
        <v>46</v>
      </c>
      <c r="W411" s="186" t="s">
        <v>883</v>
      </c>
      <c r="X411" s="187" t="s">
        <v>883</v>
      </c>
      <c r="Y411" s="188">
        <v>0</v>
      </c>
      <c r="Z411" s="188" t="s">
        <v>883</v>
      </c>
      <c r="AA411" s="187" t="s">
        <v>883</v>
      </c>
      <c r="AB411" s="188">
        <v>0</v>
      </c>
      <c r="AC411" s="188"/>
      <c r="AD411" s="189" t="s">
        <v>883</v>
      </c>
      <c r="AE411" s="190" t="s">
        <v>883</v>
      </c>
      <c r="AF411" s="180">
        <v>20</v>
      </c>
      <c r="AG411" s="183">
        <v>44186</v>
      </c>
      <c r="AH411" s="183">
        <v>38096</v>
      </c>
      <c r="AI411" s="183">
        <v>44176</v>
      </c>
      <c r="AJ411" s="183" t="s">
        <v>883</v>
      </c>
      <c r="AK411" s="174"/>
    </row>
    <row r="412" spans="1:37" x14ac:dyDescent="0.3">
      <c r="A412" s="173">
        <v>78416</v>
      </c>
      <c r="B412" s="174" t="s">
        <v>1439</v>
      </c>
      <c r="C412" s="175" t="s">
        <v>256</v>
      </c>
      <c r="D412" s="176">
        <v>3.49</v>
      </c>
      <c r="E412" s="174"/>
      <c r="F412" s="174"/>
      <c r="G412" s="174" t="s">
        <v>883</v>
      </c>
      <c r="H412" s="177">
        <v>1019</v>
      </c>
      <c r="I412" s="24">
        <v>103003</v>
      </c>
      <c r="J412" s="178">
        <v>3.49</v>
      </c>
      <c r="K412" s="177">
        <v>319</v>
      </c>
      <c r="L412" s="179">
        <v>38.337095560571854</v>
      </c>
      <c r="M412" s="180">
        <v>0</v>
      </c>
      <c r="N412" s="178">
        <v>0</v>
      </c>
      <c r="O412" s="181" t="s">
        <v>882</v>
      </c>
      <c r="P412" s="180">
        <v>0</v>
      </c>
      <c r="Q412" s="182">
        <v>0</v>
      </c>
      <c r="R412" s="183" t="s">
        <v>883</v>
      </c>
      <c r="S412" s="174" t="s">
        <v>1440</v>
      </c>
      <c r="T412" s="44">
        <v>1</v>
      </c>
      <c r="U412" s="184">
        <v>67</v>
      </c>
      <c r="V412" s="185">
        <v>18</v>
      </c>
      <c r="W412" s="186" t="s">
        <v>883</v>
      </c>
      <c r="X412" s="187" t="s">
        <v>883</v>
      </c>
      <c r="Y412" s="188">
        <v>0</v>
      </c>
      <c r="Z412" s="188" t="s">
        <v>883</v>
      </c>
      <c r="AA412" s="187" t="s">
        <v>883</v>
      </c>
      <c r="AB412" s="188">
        <v>0</v>
      </c>
      <c r="AC412" s="188"/>
      <c r="AD412" s="189" t="s">
        <v>883</v>
      </c>
      <c r="AE412" s="190" t="s">
        <v>883</v>
      </c>
      <c r="AF412" s="180">
        <v>106</v>
      </c>
      <c r="AG412" s="183">
        <v>44071</v>
      </c>
      <c r="AH412" s="183">
        <v>38097</v>
      </c>
      <c r="AI412" s="183">
        <v>44040</v>
      </c>
      <c r="AJ412" s="183" t="s">
        <v>883</v>
      </c>
      <c r="AK412" s="174"/>
    </row>
    <row r="413" spans="1:37" x14ac:dyDescent="0.3">
      <c r="A413" s="173">
        <v>78418</v>
      </c>
      <c r="B413" s="174" t="s">
        <v>1441</v>
      </c>
      <c r="C413" s="175" t="s">
        <v>256</v>
      </c>
      <c r="D413" s="176">
        <v>1.47</v>
      </c>
      <c r="E413" s="174"/>
      <c r="F413" s="174"/>
      <c r="G413" s="174" t="s">
        <v>883</v>
      </c>
      <c r="H413" s="177">
        <v>225</v>
      </c>
      <c r="I413" s="24">
        <v>103003</v>
      </c>
      <c r="J413" s="178">
        <v>1.47</v>
      </c>
      <c r="K413" s="177">
        <v>160</v>
      </c>
      <c r="L413" s="179">
        <v>16.879219804951237</v>
      </c>
      <c r="M413" s="180">
        <v>0</v>
      </c>
      <c r="N413" s="178">
        <v>0</v>
      </c>
      <c r="O413" s="181" t="s">
        <v>882</v>
      </c>
      <c r="P413" s="180">
        <v>0</v>
      </c>
      <c r="Q413" s="182">
        <v>0</v>
      </c>
      <c r="R413" s="183" t="s">
        <v>883</v>
      </c>
      <c r="S413" s="174" t="s">
        <v>1442</v>
      </c>
      <c r="T413" s="44">
        <v>1</v>
      </c>
      <c r="U413" s="184">
        <v>67</v>
      </c>
      <c r="V413" s="185">
        <v>16</v>
      </c>
      <c r="W413" s="186">
        <v>2962</v>
      </c>
      <c r="X413" s="187">
        <v>2023</v>
      </c>
      <c r="Y413" s="188">
        <v>30</v>
      </c>
      <c r="Z413" s="188" t="s">
        <v>883</v>
      </c>
      <c r="AA413" s="187" t="s">
        <v>883</v>
      </c>
      <c r="AB413" s="188">
        <v>0</v>
      </c>
      <c r="AC413" s="188"/>
      <c r="AD413" s="189" t="s">
        <v>883</v>
      </c>
      <c r="AE413" s="190" t="s">
        <v>883</v>
      </c>
      <c r="AF413" s="180">
        <v>54</v>
      </c>
      <c r="AG413" s="183">
        <v>43759</v>
      </c>
      <c r="AH413" s="183">
        <v>38097</v>
      </c>
      <c r="AI413" s="183">
        <v>43747</v>
      </c>
      <c r="AJ413" s="183" t="s">
        <v>883</v>
      </c>
      <c r="AK413" s="174"/>
    </row>
    <row r="414" spans="1:37" x14ac:dyDescent="0.3">
      <c r="A414" s="173">
        <v>78509</v>
      </c>
      <c r="B414" s="174" t="s">
        <v>1443</v>
      </c>
      <c r="C414" s="175" t="s">
        <v>256</v>
      </c>
      <c r="D414" s="176">
        <v>206.5</v>
      </c>
      <c r="E414" s="174"/>
      <c r="F414" s="174"/>
      <c r="G414" s="174" t="s">
        <v>883</v>
      </c>
      <c r="H414" s="177">
        <v>0</v>
      </c>
      <c r="I414" s="24">
        <v>103003</v>
      </c>
      <c r="J414" s="178">
        <v>206.5</v>
      </c>
      <c r="K414" s="177">
        <v>14</v>
      </c>
      <c r="L414" s="179">
        <v>0</v>
      </c>
      <c r="M414" s="180">
        <v>0.96</v>
      </c>
      <c r="N414" s="178">
        <v>198.24</v>
      </c>
      <c r="O414" s="181" t="s">
        <v>882</v>
      </c>
      <c r="P414" s="180">
        <v>0</v>
      </c>
      <c r="Q414" s="182">
        <v>0</v>
      </c>
      <c r="R414" s="183" t="s">
        <v>883</v>
      </c>
      <c r="S414" s="174" t="s">
        <v>1436</v>
      </c>
      <c r="T414" s="44">
        <v>1</v>
      </c>
      <c r="U414" s="184">
        <v>51</v>
      </c>
      <c r="V414" s="185">
        <v>36</v>
      </c>
      <c r="W414" s="186" t="s">
        <v>883</v>
      </c>
      <c r="X414" s="187" t="s">
        <v>883</v>
      </c>
      <c r="Y414" s="188">
        <v>0</v>
      </c>
      <c r="Z414" s="188">
        <v>8938</v>
      </c>
      <c r="AA414" s="187">
        <v>2023</v>
      </c>
      <c r="AB414" s="188">
        <v>15</v>
      </c>
      <c r="AC414" s="188">
        <v>15</v>
      </c>
      <c r="AD414" s="189" t="s">
        <v>2042</v>
      </c>
      <c r="AE414" s="190">
        <v>45162</v>
      </c>
      <c r="AF414" s="180">
        <v>6</v>
      </c>
      <c r="AG414" s="183">
        <v>44550</v>
      </c>
      <c r="AH414" s="183">
        <v>38100</v>
      </c>
      <c r="AI414" s="183">
        <v>45131</v>
      </c>
      <c r="AJ414" s="183" t="s">
        <v>883</v>
      </c>
      <c r="AK414" s="174"/>
    </row>
    <row r="415" spans="1:37" x14ac:dyDescent="0.3">
      <c r="A415" s="173">
        <v>78641</v>
      </c>
      <c r="B415" s="174" t="s">
        <v>1444</v>
      </c>
      <c r="C415" s="175" t="s">
        <v>625</v>
      </c>
      <c r="D415" s="176">
        <v>7.4</v>
      </c>
      <c r="E415" s="174"/>
      <c r="F415" s="174"/>
      <c r="G415" s="174" t="s">
        <v>883</v>
      </c>
      <c r="H415" s="177">
        <v>670</v>
      </c>
      <c r="I415" s="24">
        <v>103003</v>
      </c>
      <c r="J415" s="178">
        <v>7.4</v>
      </c>
      <c r="K415" s="177">
        <v>3226</v>
      </c>
      <c r="L415" s="179">
        <v>1.7212588310854209</v>
      </c>
      <c r="M415" s="180">
        <v>2901</v>
      </c>
      <c r="N415" s="178">
        <v>21467.4</v>
      </c>
      <c r="O415" s="181" t="s">
        <v>882</v>
      </c>
      <c r="P415" s="180">
        <v>0</v>
      </c>
      <c r="Q415" s="182">
        <v>0</v>
      </c>
      <c r="R415" s="183" t="s">
        <v>883</v>
      </c>
      <c r="S415" s="174" t="s">
        <v>1445</v>
      </c>
      <c r="T415" s="44">
        <v>1</v>
      </c>
      <c r="U415" s="184">
        <v>45</v>
      </c>
      <c r="V415" s="185">
        <v>30</v>
      </c>
      <c r="W415" s="186">
        <v>6978</v>
      </c>
      <c r="X415" s="187">
        <v>2023</v>
      </c>
      <c r="Y415" s="188">
        <v>1100</v>
      </c>
      <c r="Z415" s="188" t="s">
        <v>883</v>
      </c>
      <c r="AA415" s="187" t="s">
        <v>883</v>
      </c>
      <c r="AB415" s="188">
        <v>0</v>
      </c>
      <c r="AC415" s="188"/>
      <c r="AD415" s="189" t="s">
        <v>883</v>
      </c>
      <c r="AE415" s="190" t="s">
        <v>883</v>
      </c>
      <c r="AF415" s="180">
        <v>1558</v>
      </c>
      <c r="AG415" s="183">
        <v>44463</v>
      </c>
      <c r="AH415" s="183">
        <v>38104</v>
      </c>
      <c r="AI415" s="183">
        <v>45044</v>
      </c>
      <c r="AJ415" s="183" t="s">
        <v>883</v>
      </c>
      <c r="AK415" s="174"/>
    </row>
    <row r="416" spans="1:37" x14ac:dyDescent="0.3">
      <c r="A416" s="173">
        <v>78642</v>
      </c>
      <c r="B416" s="174" t="s">
        <v>1446</v>
      </c>
      <c r="C416" s="175" t="s">
        <v>625</v>
      </c>
      <c r="D416" s="176">
        <v>2.64</v>
      </c>
      <c r="E416" s="174"/>
      <c r="F416" s="174"/>
      <c r="G416" s="174" t="s">
        <v>883</v>
      </c>
      <c r="H416" s="177">
        <v>1094</v>
      </c>
      <c r="I416" s="24">
        <v>103003</v>
      </c>
      <c r="J416" s="178">
        <v>2.64</v>
      </c>
      <c r="K416" s="177">
        <v>3058</v>
      </c>
      <c r="L416" s="179">
        <v>2.9487870619946093</v>
      </c>
      <c r="M416" s="180">
        <v>2758</v>
      </c>
      <c r="N416" s="178">
        <v>7281.12</v>
      </c>
      <c r="O416" s="181" t="s">
        <v>882</v>
      </c>
      <c r="P416" s="180">
        <v>0</v>
      </c>
      <c r="Q416" s="182">
        <v>0</v>
      </c>
      <c r="R416" s="183" t="s">
        <v>883</v>
      </c>
      <c r="S416" s="174" t="s">
        <v>1445</v>
      </c>
      <c r="T416" s="44">
        <v>1</v>
      </c>
      <c r="U416" s="184">
        <v>45</v>
      </c>
      <c r="V416" s="185">
        <v>30</v>
      </c>
      <c r="W416" s="186">
        <v>6978</v>
      </c>
      <c r="X416" s="187">
        <v>2023</v>
      </c>
      <c r="Y416" s="188">
        <v>600</v>
      </c>
      <c r="Z416" s="188" t="s">
        <v>883</v>
      </c>
      <c r="AA416" s="187" t="s">
        <v>883</v>
      </c>
      <c r="AB416" s="188">
        <v>0</v>
      </c>
      <c r="AC416" s="188"/>
      <c r="AD416" s="189" t="s">
        <v>883</v>
      </c>
      <c r="AE416" s="190" t="s">
        <v>883</v>
      </c>
      <c r="AF416" s="180">
        <v>1484</v>
      </c>
      <c r="AG416" s="183">
        <v>44463</v>
      </c>
      <c r="AH416" s="183">
        <v>38104</v>
      </c>
      <c r="AI416" s="183">
        <v>44363</v>
      </c>
      <c r="AJ416" s="183" t="s">
        <v>883</v>
      </c>
      <c r="AK416" s="174"/>
    </row>
    <row r="417" spans="1:37" x14ac:dyDescent="0.3">
      <c r="A417" s="173">
        <v>78643</v>
      </c>
      <c r="B417" s="174" t="s">
        <v>1447</v>
      </c>
      <c r="C417" s="175" t="s">
        <v>625</v>
      </c>
      <c r="D417" s="176">
        <v>7.4</v>
      </c>
      <c r="E417" s="174"/>
      <c r="F417" s="174"/>
      <c r="G417" s="174" t="s">
        <v>883</v>
      </c>
      <c r="H417" s="177">
        <v>855</v>
      </c>
      <c r="I417" s="24">
        <v>103003</v>
      </c>
      <c r="J417" s="178">
        <v>7.4</v>
      </c>
      <c r="K417" s="177">
        <v>3541</v>
      </c>
      <c r="L417" s="179">
        <v>1.9849100406268139</v>
      </c>
      <c r="M417" s="180">
        <v>3114</v>
      </c>
      <c r="N417" s="178">
        <v>23043.599999999999</v>
      </c>
      <c r="O417" s="181" t="s">
        <v>882</v>
      </c>
      <c r="P417" s="180">
        <v>0</v>
      </c>
      <c r="Q417" s="182">
        <v>0</v>
      </c>
      <c r="R417" s="183" t="s">
        <v>883</v>
      </c>
      <c r="S417" s="174" t="s">
        <v>1445</v>
      </c>
      <c r="T417" s="44">
        <v>1</v>
      </c>
      <c r="U417" s="184">
        <v>45</v>
      </c>
      <c r="V417" s="185">
        <v>30</v>
      </c>
      <c r="W417" s="186">
        <v>6978</v>
      </c>
      <c r="X417" s="187">
        <v>2023</v>
      </c>
      <c r="Y417" s="188">
        <v>1200</v>
      </c>
      <c r="Z417" s="188" t="s">
        <v>883</v>
      </c>
      <c r="AA417" s="187" t="s">
        <v>883</v>
      </c>
      <c r="AB417" s="188">
        <v>0</v>
      </c>
      <c r="AC417" s="188"/>
      <c r="AD417" s="189" t="s">
        <v>883</v>
      </c>
      <c r="AE417" s="190" t="s">
        <v>883</v>
      </c>
      <c r="AF417" s="180">
        <v>1724</v>
      </c>
      <c r="AG417" s="183">
        <v>44928</v>
      </c>
      <c r="AH417" s="183">
        <v>38104</v>
      </c>
      <c r="AI417" s="183">
        <v>45044</v>
      </c>
      <c r="AJ417" s="183" t="s">
        <v>883</v>
      </c>
      <c r="AK417" s="174"/>
    </row>
    <row r="418" spans="1:37" x14ac:dyDescent="0.3">
      <c r="A418" s="173">
        <v>78646</v>
      </c>
      <c r="B418" s="174" t="s">
        <v>1448</v>
      </c>
      <c r="C418" s="175" t="s">
        <v>625</v>
      </c>
      <c r="D418" s="176">
        <v>3.37</v>
      </c>
      <c r="E418" s="174"/>
      <c r="F418" s="174"/>
      <c r="G418" s="174" t="s">
        <v>883</v>
      </c>
      <c r="H418" s="177">
        <v>1618</v>
      </c>
      <c r="I418" s="24">
        <v>103003</v>
      </c>
      <c r="J418" s="178">
        <v>3.37</v>
      </c>
      <c r="K418" s="177">
        <v>3786</v>
      </c>
      <c r="L418" s="179">
        <v>3.5521405049396266</v>
      </c>
      <c r="M418" s="180">
        <v>2948</v>
      </c>
      <c r="N418" s="178">
        <v>9934.76</v>
      </c>
      <c r="O418" s="181" t="s">
        <v>882</v>
      </c>
      <c r="P418" s="180">
        <v>0</v>
      </c>
      <c r="Q418" s="182">
        <v>0</v>
      </c>
      <c r="R418" s="183" t="s">
        <v>883</v>
      </c>
      <c r="S418" s="174" t="s">
        <v>1445</v>
      </c>
      <c r="T418" s="44">
        <v>1</v>
      </c>
      <c r="U418" s="184">
        <v>45</v>
      </c>
      <c r="V418" s="185">
        <v>30</v>
      </c>
      <c r="W418" s="186">
        <v>6978</v>
      </c>
      <c r="X418" s="187">
        <v>2023</v>
      </c>
      <c r="Y418" s="188">
        <v>900</v>
      </c>
      <c r="Z418" s="188" t="s">
        <v>883</v>
      </c>
      <c r="AA418" s="187" t="s">
        <v>883</v>
      </c>
      <c r="AB418" s="188">
        <v>0</v>
      </c>
      <c r="AC418" s="188"/>
      <c r="AD418" s="189" t="s">
        <v>883</v>
      </c>
      <c r="AE418" s="190" t="s">
        <v>883</v>
      </c>
      <c r="AF418" s="180">
        <v>1822</v>
      </c>
      <c r="AG418" s="183">
        <v>44928</v>
      </c>
      <c r="AH418" s="183">
        <v>38104</v>
      </c>
      <c r="AI418" s="183">
        <v>44910</v>
      </c>
      <c r="AJ418" s="183" t="s">
        <v>883</v>
      </c>
      <c r="AK418" s="174"/>
    </row>
    <row r="419" spans="1:37" x14ac:dyDescent="0.3">
      <c r="A419" s="173">
        <v>79687</v>
      </c>
      <c r="B419" s="174" t="s">
        <v>1449</v>
      </c>
      <c r="C419" s="175" t="s">
        <v>256</v>
      </c>
      <c r="D419" s="176">
        <v>0.33</v>
      </c>
      <c r="E419" s="174"/>
      <c r="F419" s="174"/>
      <c r="G419" s="174" t="s">
        <v>883</v>
      </c>
      <c r="H419" s="177">
        <v>15049</v>
      </c>
      <c r="I419" s="24">
        <v>103003</v>
      </c>
      <c r="J419" s="178">
        <v>0.33</v>
      </c>
      <c r="K419" s="177">
        <v>9968</v>
      </c>
      <c r="L419" s="179">
        <v>10.348858799177536</v>
      </c>
      <c r="M419" s="180">
        <v>2401.04</v>
      </c>
      <c r="N419" s="178">
        <v>792.34320000000002</v>
      </c>
      <c r="O419" s="181" t="s">
        <v>882</v>
      </c>
      <c r="P419" s="180">
        <v>0</v>
      </c>
      <c r="Q419" s="182">
        <v>0</v>
      </c>
      <c r="R419" s="183" t="s">
        <v>883</v>
      </c>
      <c r="S419" s="174" t="s">
        <v>935</v>
      </c>
      <c r="T419" s="44">
        <v>1</v>
      </c>
      <c r="U419" s="184">
        <v>45</v>
      </c>
      <c r="V419" s="185">
        <v>11</v>
      </c>
      <c r="W419" s="186" t="s">
        <v>883</v>
      </c>
      <c r="X419" s="187" t="s">
        <v>883</v>
      </c>
      <c r="Y419" s="188">
        <v>0</v>
      </c>
      <c r="Z419" s="188" t="s">
        <v>883</v>
      </c>
      <c r="AA419" s="187" t="s">
        <v>883</v>
      </c>
      <c r="AB419" s="188">
        <v>0</v>
      </c>
      <c r="AC419" s="188"/>
      <c r="AD419" s="189" t="s">
        <v>883</v>
      </c>
      <c r="AE419" s="190" t="s">
        <v>883</v>
      </c>
      <c r="AF419" s="180">
        <v>5816</v>
      </c>
      <c r="AG419" s="183">
        <v>45019</v>
      </c>
      <c r="AH419" s="183">
        <v>38138</v>
      </c>
      <c r="AI419" s="183">
        <v>44959</v>
      </c>
      <c r="AJ419" s="183" t="s">
        <v>883</v>
      </c>
      <c r="AK419" s="174"/>
    </row>
    <row r="420" spans="1:37" x14ac:dyDescent="0.3">
      <c r="A420" s="173">
        <v>79688</v>
      </c>
      <c r="B420" s="174" t="s">
        <v>1450</v>
      </c>
      <c r="C420" s="175" t="s">
        <v>256</v>
      </c>
      <c r="D420" s="176">
        <v>0.26</v>
      </c>
      <c r="E420" s="174"/>
      <c r="F420" s="174"/>
      <c r="G420" s="174" t="s">
        <v>883</v>
      </c>
      <c r="H420" s="177">
        <v>20784</v>
      </c>
      <c r="I420" s="24">
        <v>103003</v>
      </c>
      <c r="J420" s="178">
        <v>0.26</v>
      </c>
      <c r="K420" s="177">
        <v>8649</v>
      </c>
      <c r="L420" s="179">
        <v>17.109693352541676</v>
      </c>
      <c r="M420" s="180">
        <v>0</v>
      </c>
      <c r="N420" s="178">
        <v>0</v>
      </c>
      <c r="O420" s="181" t="s">
        <v>882</v>
      </c>
      <c r="P420" s="180">
        <v>0</v>
      </c>
      <c r="Q420" s="182">
        <v>0</v>
      </c>
      <c r="R420" s="183" t="s">
        <v>883</v>
      </c>
      <c r="S420" s="174" t="s">
        <v>935</v>
      </c>
      <c r="T420" s="44">
        <v>1</v>
      </c>
      <c r="U420" s="184">
        <v>45</v>
      </c>
      <c r="V420" s="185">
        <v>11</v>
      </c>
      <c r="W420" s="186" t="s">
        <v>883</v>
      </c>
      <c r="X420" s="187" t="s">
        <v>883</v>
      </c>
      <c r="Y420" s="188">
        <v>0</v>
      </c>
      <c r="Z420" s="188" t="s">
        <v>883</v>
      </c>
      <c r="AA420" s="187" t="s">
        <v>883</v>
      </c>
      <c r="AB420" s="188">
        <v>0</v>
      </c>
      <c r="AC420" s="188"/>
      <c r="AD420" s="189" t="s">
        <v>883</v>
      </c>
      <c r="AE420" s="190" t="s">
        <v>883</v>
      </c>
      <c r="AF420" s="180">
        <v>4860</v>
      </c>
      <c r="AG420" s="183">
        <v>44974</v>
      </c>
      <c r="AH420" s="183">
        <v>38138</v>
      </c>
      <c r="AI420" s="183">
        <v>44959</v>
      </c>
      <c r="AJ420" s="183" t="s">
        <v>883</v>
      </c>
      <c r="AK420" s="174"/>
    </row>
    <row r="421" spans="1:37" x14ac:dyDescent="0.3">
      <c r="A421" s="173">
        <v>80298</v>
      </c>
      <c r="B421" s="174" t="s">
        <v>1451</v>
      </c>
      <c r="C421" s="175" t="s">
        <v>256</v>
      </c>
      <c r="D421" s="176">
        <v>1240</v>
      </c>
      <c r="E421" s="174"/>
      <c r="F421" s="174"/>
      <c r="G421" s="174" t="s">
        <v>883</v>
      </c>
      <c r="H421" s="177">
        <v>35</v>
      </c>
      <c r="I421" s="24">
        <v>103003</v>
      </c>
      <c r="J421" s="178">
        <v>1240</v>
      </c>
      <c r="K421" s="177">
        <v>9</v>
      </c>
      <c r="L421" s="179">
        <v>38.043478260869563</v>
      </c>
      <c r="M421" s="180">
        <v>0</v>
      </c>
      <c r="N421" s="178">
        <v>0</v>
      </c>
      <c r="O421" s="181" t="s">
        <v>882</v>
      </c>
      <c r="P421" s="180">
        <v>0</v>
      </c>
      <c r="Q421" s="182">
        <v>0</v>
      </c>
      <c r="R421" s="183" t="s">
        <v>883</v>
      </c>
      <c r="S421" s="174" t="s">
        <v>1323</v>
      </c>
      <c r="T421" s="44">
        <v>1</v>
      </c>
      <c r="U421" s="184">
        <v>51</v>
      </c>
      <c r="V421" s="185">
        <v>30</v>
      </c>
      <c r="W421" s="186" t="s">
        <v>883</v>
      </c>
      <c r="X421" s="187" t="s">
        <v>883</v>
      </c>
      <c r="Y421" s="188">
        <v>0</v>
      </c>
      <c r="Z421" s="188" t="s">
        <v>883</v>
      </c>
      <c r="AA421" s="187" t="s">
        <v>883</v>
      </c>
      <c r="AB421" s="188">
        <v>0</v>
      </c>
      <c r="AC421" s="188"/>
      <c r="AD421" s="189" t="s">
        <v>883</v>
      </c>
      <c r="AE421" s="190" t="s">
        <v>883</v>
      </c>
      <c r="AF421" s="180">
        <v>4</v>
      </c>
      <c r="AG421" s="183">
        <v>44525</v>
      </c>
      <c r="AH421" s="183">
        <v>38166</v>
      </c>
      <c r="AI421" s="183">
        <v>44508</v>
      </c>
      <c r="AJ421" s="183" t="s">
        <v>883</v>
      </c>
      <c r="AK421" s="174"/>
    </row>
    <row r="422" spans="1:37" x14ac:dyDescent="0.3">
      <c r="A422" s="173">
        <v>80300</v>
      </c>
      <c r="B422" s="174" t="s">
        <v>1452</v>
      </c>
      <c r="C422" s="175" t="s">
        <v>256</v>
      </c>
      <c r="D422" s="176">
        <v>224</v>
      </c>
      <c r="E422" s="174"/>
      <c r="F422" s="174"/>
      <c r="G422" s="174" t="s">
        <v>883</v>
      </c>
      <c r="H422" s="177">
        <v>54</v>
      </c>
      <c r="I422" s="24">
        <v>103003</v>
      </c>
      <c r="J422" s="178">
        <v>224</v>
      </c>
      <c r="K422" s="177">
        <v>66</v>
      </c>
      <c r="L422" s="179">
        <v>9.121621621621621</v>
      </c>
      <c r="M422" s="180">
        <v>0</v>
      </c>
      <c r="N422" s="178">
        <v>0</v>
      </c>
      <c r="O422" s="181" t="s">
        <v>882</v>
      </c>
      <c r="P422" s="180">
        <v>0</v>
      </c>
      <c r="Q422" s="182">
        <v>0</v>
      </c>
      <c r="R422" s="183" t="s">
        <v>883</v>
      </c>
      <c r="S422" s="174" t="s">
        <v>1453</v>
      </c>
      <c r="T422" s="44">
        <v>1</v>
      </c>
      <c r="U422" s="184">
        <v>74</v>
      </c>
      <c r="V422" s="185">
        <v>10</v>
      </c>
      <c r="W422" s="186">
        <v>2386</v>
      </c>
      <c r="X422" s="187">
        <v>2023</v>
      </c>
      <c r="Y422" s="188">
        <v>150</v>
      </c>
      <c r="Z422" s="188" t="s">
        <v>883</v>
      </c>
      <c r="AA422" s="187" t="s">
        <v>883</v>
      </c>
      <c r="AB422" s="188">
        <v>0</v>
      </c>
      <c r="AC422" s="188"/>
      <c r="AD422" s="189" t="s">
        <v>883</v>
      </c>
      <c r="AE422" s="190" t="s">
        <v>883</v>
      </c>
      <c r="AF422" s="180">
        <v>24</v>
      </c>
      <c r="AG422" s="183">
        <v>44182</v>
      </c>
      <c r="AH422" s="183">
        <v>38166</v>
      </c>
      <c r="AI422" s="183">
        <v>44699</v>
      </c>
      <c r="AJ422" s="183" t="s">
        <v>883</v>
      </c>
      <c r="AK422" s="174"/>
    </row>
    <row r="423" spans="1:37" x14ac:dyDescent="0.3">
      <c r="A423" s="173">
        <v>80385</v>
      </c>
      <c r="B423" s="174" t="s">
        <v>1454</v>
      </c>
      <c r="C423" s="175" t="s">
        <v>395</v>
      </c>
      <c r="D423" s="176">
        <v>29.12</v>
      </c>
      <c r="E423" s="174"/>
      <c r="F423" s="174"/>
      <c r="G423" s="174" t="s">
        <v>883</v>
      </c>
      <c r="H423" s="177">
        <v>50</v>
      </c>
      <c r="I423" s="24">
        <v>103003</v>
      </c>
      <c r="J423" s="178">
        <v>29.12</v>
      </c>
      <c r="K423" s="177">
        <v>30</v>
      </c>
      <c r="L423" s="179">
        <v>20</v>
      </c>
      <c r="M423" s="180">
        <v>0</v>
      </c>
      <c r="N423" s="178">
        <v>0</v>
      </c>
      <c r="O423" s="181" t="s">
        <v>882</v>
      </c>
      <c r="P423" s="180">
        <v>0</v>
      </c>
      <c r="Q423" s="182">
        <v>0</v>
      </c>
      <c r="R423" s="183" t="s">
        <v>883</v>
      </c>
      <c r="S423" s="174" t="s">
        <v>1009</v>
      </c>
      <c r="T423" s="44">
        <v>1</v>
      </c>
      <c r="U423" s="184">
        <v>61</v>
      </c>
      <c r="V423" s="185">
        <v>15</v>
      </c>
      <c r="W423" s="186" t="s">
        <v>883</v>
      </c>
      <c r="X423" s="187" t="s">
        <v>883</v>
      </c>
      <c r="Y423" s="188">
        <v>0</v>
      </c>
      <c r="Z423" s="188" t="s">
        <v>883</v>
      </c>
      <c r="AA423" s="187" t="s">
        <v>883</v>
      </c>
      <c r="AB423" s="188">
        <v>0</v>
      </c>
      <c r="AC423" s="188"/>
      <c r="AD423" s="189" t="s">
        <v>883</v>
      </c>
      <c r="AE423" s="190" t="s">
        <v>883</v>
      </c>
      <c r="AF423" s="180">
        <v>10</v>
      </c>
      <c r="AG423" s="183">
        <v>44798</v>
      </c>
      <c r="AH423" s="183">
        <v>38169</v>
      </c>
      <c r="AI423" s="183">
        <v>44776</v>
      </c>
      <c r="AJ423" s="183" t="s">
        <v>883</v>
      </c>
      <c r="AK423" s="174"/>
    </row>
    <row r="424" spans="1:37" x14ac:dyDescent="0.3">
      <c r="A424" s="173">
        <v>80387</v>
      </c>
      <c r="B424" s="174" t="s">
        <v>1455</v>
      </c>
      <c r="C424" s="175" t="s">
        <v>256</v>
      </c>
      <c r="D424" s="176">
        <v>5.51</v>
      </c>
      <c r="E424" s="174"/>
      <c r="F424" s="174"/>
      <c r="G424" s="174" t="s">
        <v>883</v>
      </c>
      <c r="H424" s="177">
        <v>130</v>
      </c>
      <c r="I424" s="24">
        <v>103003</v>
      </c>
      <c r="J424" s="178">
        <v>5.51</v>
      </c>
      <c r="K424" s="177">
        <v>710</v>
      </c>
      <c r="L424" s="179">
        <v>1.9847328244274809</v>
      </c>
      <c r="M424" s="180">
        <v>401</v>
      </c>
      <c r="N424" s="178">
        <v>2209.5100000000002</v>
      </c>
      <c r="O424" s="181" t="s">
        <v>882</v>
      </c>
      <c r="P424" s="180">
        <v>0</v>
      </c>
      <c r="Q424" s="182">
        <v>0</v>
      </c>
      <c r="R424" s="183" t="s">
        <v>883</v>
      </c>
      <c r="S424" s="174" t="s">
        <v>1275</v>
      </c>
      <c r="T424" s="44">
        <v>1</v>
      </c>
      <c r="U424" s="184">
        <v>83</v>
      </c>
      <c r="V424" s="185">
        <v>4</v>
      </c>
      <c r="W424" s="186">
        <v>7315</v>
      </c>
      <c r="X424" s="187">
        <v>2023</v>
      </c>
      <c r="Y424" s="188">
        <v>255</v>
      </c>
      <c r="Z424" s="188" t="s">
        <v>883</v>
      </c>
      <c r="AA424" s="187" t="s">
        <v>883</v>
      </c>
      <c r="AB424" s="188">
        <v>0</v>
      </c>
      <c r="AC424" s="188"/>
      <c r="AD424" s="189" t="s">
        <v>883</v>
      </c>
      <c r="AE424" s="190" t="s">
        <v>883</v>
      </c>
      <c r="AF424" s="180">
        <v>262</v>
      </c>
      <c r="AG424" s="183">
        <v>43882</v>
      </c>
      <c r="AH424" s="183">
        <v>38169</v>
      </c>
      <c r="AI424" s="183">
        <v>43826</v>
      </c>
      <c r="AJ424" s="183" t="s">
        <v>883</v>
      </c>
      <c r="AK424" s="174"/>
    </row>
    <row r="425" spans="1:37" x14ac:dyDescent="0.3">
      <c r="A425" s="173">
        <v>80390</v>
      </c>
      <c r="B425" s="174" t="s">
        <v>1456</v>
      </c>
      <c r="C425" s="175" t="s">
        <v>256</v>
      </c>
      <c r="D425" s="176">
        <v>16.5</v>
      </c>
      <c r="E425" s="174"/>
      <c r="F425" s="174"/>
      <c r="G425" s="174" t="s">
        <v>883</v>
      </c>
      <c r="H425" s="177">
        <v>75</v>
      </c>
      <c r="I425" s="24">
        <v>103003</v>
      </c>
      <c r="J425" s="178">
        <v>16.5</v>
      </c>
      <c r="K425" s="177">
        <v>109</v>
      </c>
      <c r="L425" s="179">
        <v>7.6923076923076925</v>
      </c>
      <c r="M425" s="180">
        <v>42</v>
      </c>
      <c r="N425" s="178">
        <v>693</v>
      </c>
      <c r="O425" s="181" t="s">
        <v>882</v>
      </c>
      <c r="P425" s="180">
        <v>0</v>
      </c>
      <c r="Q425" s="182">
        <v>0</v>
      </c>
      <c r="R425" s="183" t="s">
        <v>883</v>
      </c>
      <c r="S425" s="174" t="s">
        <v>1009</v>
      </c>
      <c r="T425" s="44">
        <v>1</v>
      </c>
      <c r="U425" s="184">
        <v>61</v>
      </c>
      <c r="V425" s="185">
        <v>15</v>
      </c>
      <c r="W425" s="186" t="s">
        <v>883</v>
      </c>
      <c r="X425" s="187" t="s">
        <v>883</v>
      </c>
      <c r="Y425" s="188">
        <v>0</v>
      </c>
      <c r="Z425" s="188" t="s">
        <v>883</v>
      </c>
      <c r="AA425" s="187" t="s">
        <v>883</v>
      </c>
      <c r="AB425" s="188">
        <v>0</v>
      </c>
      <c r="AC425" s="188"/>
      <c r="AD425" s="189" t="s">
        <v>883</v>
      </c>
      <c r="AE425" s="190" t="s">
        <v>883</v>
      </c>
      <c r="AF425" s="180">
        <v>40</v>
      </c>
      <c r="AG425" s="183">
        <v>44830</v>
      </c>
      <c r="AH425" s="183">
        <v>38169</v>
      </c>
      <c r="AI425" s="183">
        <v>44748</v>
      </c>
      <c r="AJ425" s="183" t="s">
        <v>883</v>
      </c>
      <c r="AK425" s="174"/>
    </row>
    <row r="426" spans="1:37" x14ac:dyDescent="0.3">
      <c r="A426" s="173">
        <v>80872</v>
      </c>
      <c r="B426" s="174" t="s">
        <v>1457</v>
      </c>
      <c r="C426" s="175" t="s">
        <v>625</v>
      </c>
      <c r="D426" s="176">
        <v>7.4</v>
      </c>
      <c r="E426" s="174"/>
      <c r="F426" s="174"/>
      <c r="G426" s="174" t="s">
        <v>883</v>
      </c>
      <c r="H426" s="177">
        <v>0</v>
      </c>
      <c r="I426" s="24">
        <v>103003</v>
      </c>
      <c r="J426" s="178">
        <v>7.4</v>
      </c>
      <c r="K426" s="177">
        <v>3391</v>
      </c>
      <c r="L426" s="179">
        <v>0</v>
      </c>
      <c r="M426" s="180">
        <v>2398.96</v>
      </c>
      <c r="N426" s="178">
        <v>17752.304</v>
      </c>
      <c r="O426" s="181" t="s">
        <v>882</v>
      </c>
      <c r="P426" s="180">
        <v>0</v>
      </c>
      <c r="Q426" s="182">
        <v>0</v>
      </c>
      <c r="R426" s="183" t="s">
        <v>883</v>
      </c>
      <c r="S426" s="174" t="s">
        <v>1445</v>
      </c>
      <c r="T426" s="44">
        <v>1</v>
      </c>
      <c r="U426" s="184">
        <v>45</v>
      </c>
      <c r="V426" s="185">
        <v>30</v>
      </c>
      <c r="W426" s="186">
        <v>6978</v>
      </c>
      <c r="X426" s="187">
        <v>2023</v>
      </c>
      <c r="Y426" s="188">
        <v>2300</v>
      </c>
      <c r="Z426" s="188" t="s">
        <v>883</v>
      </c>
      <c r="AA426" s="187" t="s">
        <v>883</v>
      </c>
      <c r="AB426" s="188">
        <v>0</v>
      </c>
      <c r="AC426" s="188"/>
      <c r="AD426" s="189" t="s">
        <v>883</v>
      </c>
      <c r="AE426" s="190" t="s">
        <v>883</v>
      </c>
      <c r="AF426" s="180">
        <v>1566</v>
      </c>
      <c r="AG426" s="183">
        <v>44463</v>
      </c>
      <c r="AH426" s="183">
        <v>38196</v>
      </c>
      <c r="AI426" s="183">
        <v>45044</v>
      </c>
      <c r="AJ426" s="183" t="s">
        <v>883</v>
      </c>
      <c r="AK426" s="174"/>
    </row>
    <row r="427" spans="1:37" x14ac:dyDescent="0.3">
      <c r="A427" s="173">
        <v>80874</v>
      </c>
      <c r="B427" s="174" t="s">
        <v>1458</v>
      </c>
      <c r="C427" s="175" t="s">
        <v>625</v>
      </c>
      <c r="D427" s="176">
        <v>3.37</v>
      </c>
      <c r="E427" s="174"/>
      <c r="F427" s="174"/>
      <c r="G427" s="174" t="s">
        <v>883</v>
      </c>
      <c r="H427" s="177">
        <v>1494</v>
      </c>
      <c r="I427" s="24">
        <v>103003</v>
      </c>
      <c r="J427" s="178">
        <v>3.37</v>
      </c>
      <c r="K427" s="177">
        <v>3662</v>
      </c>
      <c r="L427" s="179">
        <v>3.2847437504122423</v>
      </c>
      <c r="M427" s="180">
        <v>3263.96</v>
      </c>
      <c r="N427" s="178">
        <v>10999.5452</v>
      </c>
      <c r="O427" s="181" t="s">
        <v>882</v>
      </c>
      <c r="P427" s="180">
        <v>0</v>
      </c>
      <c r="Q427" s="182">
        <v>0</v>
      </c>
      <c r="R427" s="183" t="s">
        <v>883</v>
      </c>
      <c r="S427" s="174" t="s">
        <v>1445</v>
      </c>
      <c r="T427" s="44">
        <v>1</v>
      </c>
      <c r="U427" s="184">
        <v>45</v>
      </c>
      <c r="V427" s="185">
        <v>30</v>
      </c>
      <c r="W427" s="186">
        <v>6978</v>
      </c>
      <c r="X427" s="187">
        <v>2023</v>
      </c>
      <c r="Y427" s="188">
        <v>700</v>
      </c>
      <c r="Z427" s="188" t="s">
        <v>883</v>
      </c>
      <c r="AA427" s="187" t="s">
        <v>883</v>
      </c>
      <c r="AB427" s="188">
        <v>0</v>
      </c>
      <c r="AC427" s="188"/>
      <c r="AD427" s="189" t="s">
        <v>883</v>
      </c>
      <c r="AE427" s="190" t="s">
        <v>883</v>
      </c>
      <c r="AF427" s="180">
        <v>1820</v>
      </c>
      <c r="AG427" s="183">
        <v>44928</v>
      </c>
      <c r="AH427" s="183">
        <v>38196</v>
      </c>
      <c r="AI427" s="183">
        <v>44910</v>
      </c>
      <c r="AJ427" s="183" t="s">
        <v>883</v>
      </c>
      <c r="AK427" s="174"/>
    </row>
    <row r="428" spans="1:37" x14ac:dyDescent="0.3">
      <c r="A428" s="173">
        <v>81131</v>
      </c>
      <c r="B428" s="174" t="s">
        <v>1459</v>
      </c>
      <c r="C428" s="175" t="s">
        <v>268</v>
      </c>
      <c r="D428" s="176">
        <v>0.52</v>
      </c>
      <c r="E428" s="174"/>
      <c r="F428" s="174"/>
      <c r="G428" s="174" t="s">
        <v>883</v>
      </c>
      <c r="H428" s="177">
        <v>0</v>
      </c>
      <c r="I428" s="24">
        <v>103003</v>
      </c>
      <c r="J428" s="178">
        <v>0.52</v>
      </c>
      <c r="K428" s="177">
        <v>210</v>
      </c>
      <c r="L428" s="179">
        <v>0</v>
      </c>
      <c r="M428" s="180">
        <v>175.04</v>
      </c>
      <c r="N428" s="178">
        <v>91.020799999999994</v>
      </c>
      <c r="O428" s="181" t="s">
        <v>882</v>
      </c>
      <c r="P428" s="180">
        <v>0</v>
      </c>
      <c r="Q428" s="182">
        <v>0</v>
      </c>
      <c r="R428" s="183" t="s">
        <v>883</v>
      </c>
      <c r="S428" s="174" t="s">
        <v>892</v>
      </c>
      <c r="T428" s="44">
        <v>1</v>
      </c>
      <c r="U428" s="184">
        <v>72</v>
      </c>
      <c r="V428" s="185">
        <v>6</v>
      </c>
      <c r="W428" s="186">
        <v>9010</v>
      </c>
      <c r="X428" s="187">
        <v>2023</v>
      </c>
      <c r="Y428" s="188">
        <v>70</v>
      </c>
      <c r="Z428" s="188" t="s">
        <v>883</v>
      </c>
      <c r="AA428" s="187" t="s">
        <v>883</v>
      </c>
      <c r="AB428" s="188">
        <v>0</v>
      </c>
      <c r="AC428" s="188"/>
      <c r="AD428" s="189" t="s">
        <v>883</v>
      </c>
      <c r="AE428" s="190" t="s">
        <v>883</v>
      </c>
      <c r="AF428" s="180">
        <v>82</v>
      </c>
      <c r="AG428" s="183">
        <v>43682</v>
      </c>
      <c r="AH428" s="183">
        <v>38205</v>
      </c>
      <c r="AI428" s="183">
        <v>43851</v>
      </c>
      <c r="AJ428" s="183" t="s">
        <v>883</v>
      </c>
      <c r="AK428" s="174"/>
    </row>
    <row r="429" spans="1:37" x14ac:dyDescent="0.3">
      <c r="A429" s="173">
        <v>81152</v>
      </c>
      <c r="B429" s="174" t="s">
        <v>1460</v>
      </c>
      <c r="C429" s="175" t="s">
        <v>268</v>
      </c>
      <c r="D429" s="176">
        <v>132.19999999999999</v>
      </c>
      <c r="E429" s="174"/>
      <c r="F429" s="174"/>
      <c r="G429" s="174" t="s">
        <v>883</v>
      </c>
      <c r="H429" s="177">
        <v>612</v>
      </c>
      <c r="I429" s="24">
        <v>103003</v>
      </c>
      <c r="J429" s="178">
        <v>132.19999999999999</v>
      </c>
      <c r="K429" s="177">
        <v>11</v>
      </c>
      <c r="L429" s="179">
        <v>489.6</v>
      </c>
      <c r="M429" s="180">
        <v>0</v>
      </c>
      <c r="N429" s="178">
        <v>0</v>
      </c>
      <c r="O429" s="181" t="s">
        <v>882</v>
      </c>
      <c r="P429" s="180">
        <v>0</v>
      </c>
      <c r="Q429" s="182">
        <v>0</v>
      </c>
      <c r="R429" s="183" t="s">
        <v>883</v>
      </c>
      <c r="S429" s="174" t="s">
        <v>1461</v>
      </c>
      <c r="T429" s="44">
        <v>1</v>
      </c>
      <c r="U429" s="184">
        <v>73</v>
      </c>
      <c r="V429" s="185">
        <v>1</v>
      </c>
      <c r="W429" s="186" t="s">
        <v>883</v>
      </c>
      <c r="X429" s="187" t="s">
        <v>883</v>
      </c>
      <c r="Y429" s="188">
        <v>0</v>
      </c>
      <c r="Z429" s="188" t="s">
        <v>883</v>
      </c>
      <c r="AA429" s="187" t="s">
        <v>883</v>
      </c>
      <c r="AB429" s="188">
        <v>0</v>
      </c>
      <c r="AC429" s="188"/>
      <c r="AD429" s="189" t="s">
        <v>883</v>
      </c>
      <c r="AE429" s="190" t="s">
        <v>883</v>
      </c>
      <c r="AF429" s="180">
        <v>6</v>
      </c>
      <c r="AG429" s="183">
        <v>44426</v>
      </c>
      <c r="AH429" s="183">
        <v>38208</v>
      </c>
      <c r="AI429" s="183">
        <v>44405</v>
      </c>
      <c r="AJ429" s="183" t="s">
        <v>883</v>
      </c>
      <c r="AK429" s="174"/>
    </row>
    <row r="430" spans="1:37" x14ac:dyDescent="0.3">
      <c r="A430" s="173">
        <v>81370</v>
      </c>
      <c r="B430" s="174" t="s">
        <v>1462</v>
      </c>
      <c r="C430" s="175" t="s">
        <v>275</v>
      </c>
      <c r="D430" s="176">
        <v>1.61</v>
      </c>
      <c r="E430" s="174"/>
      <c r="F430" s="174"/>
      <c r="G430" s="174" t="s">
        <v>883</v>
      </c>
      <c r="H430" s="177">
        <v>284</v>
      </c>
      <c r="I430" s="24">
        <v>103003</v>
      </c>
      <c r="J430" s="178">
        <v>1.61</v>
      </c>
      <c r="K430" s="177">
        <v>2827</v>
      </c>
      <c r="L430" s="179">
        <v>0.90613234637228002</v>
      </c>
      <c r="M430" s="180">
        <v>1777.04</v>
      </c>
      <c r="N430" s="178">
        <v>2861.0344</v>
      </c>
      <c r="O430" s="181" t="s">
        <v>882</v>
      </c>
      <c r="P430" s="180">
        <v>0</v>
      </c>
      <c r="Q430" s="182">
        <v>0</v>
      </c>
      <c r="R430" s="183" t="s">
        <v>883</v>
      </c>
      <c r="S430" s="174" t="s">
        <v>1463</v>
      </c>
      <c r="T430" s="44">
        <v>1</v>
      </c>
      <c r="U430" s="184">
        <v>71</v>
      </c>
      <c r="V430" s="185">
        <v>33</v>
      </c>
      <c r="W430" s="186">
        <v>6219</v>
      </c>
      <c r="X430" s="187">
        <v>2023</v>
      </c>
      <c r="Y430" s="188">
        <v>1700</v>
      </c>
      <c r="Z430" s="188" t="s">
        <v>883</v>
      </c>
      <c r="AA430" s="187" t="s">
        <v>883</v>
      </c>
      <c r="AB430" s="188">
        <v>0</v>
      </c>
      <c r="AC430" s="188"/>
      <c r="AD430" s="189" t="s">
        <v>883</v>
      </c>
      <c r="AE430" s="190" t="s">
        <v>883</v>
      </c>
      <c r="AF430" s="180">
        <v>1254</v>
      </c>
      <c r="AG430" s="183">
        <v>45027</v>
      </c>
      <c r="AH430" s="183">
        <v>38217</v>
      </c>
      <c r="AI430" s="183">
        <v>44998</v>
      </c>
      <c r="AJ430" s="183" t="s">
        <v>883</v>
      </c>
      <c r="AK430" s="174"/>
    </row>
    <row r="431" spans="1:37" x14ac:dyDescent="0.3">
      <c r="A431" s="173">
        <v>81371</v>
      </c>
      <c r="B431" s="174" t="s">
        <v>1464</v>
      </c>
      <c r="C431" s="175" t="s">
        <v>275</v>
      </c>
      <c r="D431" s="176">
        <v>1.61</v>
      </c>
      <c r="E431" s="174"/>
      <c r="F431" s="174"/>
      <c r="G431" s="174" t="s">
        <v>883</v>
      </c>
      <c r="H431" s="177">
        <v>173</v>
      </c>
      <c r="I431" s="24">
        <v>103003</v>
      </c>
      <c r="J431" s="178">
        <v>1.61</v>
      </c>
      <c r="K431" s="177">
        <v>2833</v>
      </c>
      <c r="L431" s="179">
        <v>0.55125386355670269</v>
      </c>
      <c r="M431" s="180">
        <v>1892.96</v>
      </c>
      <c r="N431" s="178">
        <v>3047.6655999999998</v>
      </c>
      <c r="O431" s="181" t="s">
        <v>882</v>
      </c>
      <c r="P431" s="180">
        <v>0</v>
      </c>
      <c r="Q431" s="182">
        <v>0</v>
      </c>
      <c r="R431" s="183" t="s">
        <v>883</v>
      </c>
      <c r="S431" s="174" t="s">
        <v>1463</v>
      </c>
      <c r="T431" s="44">
        <v>1</v>
      </c>
      <c r="U431" s="184">
        <v>71</v>
      </c>
      <c r="V431" s="185">
        <v>33</v>
      </c>
      <c r="W431" s="186">
        <v>6219</v>
      </c>
      <c r="X431" s="187">
        <v>2023</v>
      </c>
      <c r="Y431" s="188">
        <v>1700</v>
      </c>
      <c r="Z431" s="188" t="s">
        <v>883</v>
      </c>
      <c r="AA431" s="187" t="s">
        <v>883</v>
      </c>
      <c r="AB431" s="188">
        <v>0</v>
      </c>
      <c r="AC431" s="188"/>
      <c r="AD431" s="189" t="s">
        <v>883</v>
      </c>
      <c r="AE431" s="190" t="s">
        <v>883</v>
      </c>
      <c r="AF431" s="180">
        <v>1256</v>
      </c>
      <c r="AG431" s="183">
        <v>45027</v>
      </c>
      <c r="AH431" s="183">
        <v>38217</v>
      </c>
      <c r="AI431" s="183">
        <v>44998</v>
      </c>
      <c r="AJ431" s="183" t="s">
        <v>883</v>
      </c>
      <c r="AK431" s="174"/>
    </row>
    <row r="432" spans="1:37" x14ac:dyDescent="0.3">
      <c r="A432" s="173">
        <v>81455</v>
      </c>
      <c r="B432" s="174" t="s">
        <v>1465</v>
      </c>
      <c r="C432" s="175" t="s">
        <v>256</v>
      </c>
      <c r="D432" s="176">
        <v>4.97</v>
      </c>
      <c r="E432" s="174"/>
      <c r="F432" s="174"/>
      <c r="G432" s="174" t="s">
        <v>883</v>
      </c>
      <c r="H432" s="177">
        <v>1</v>
      </c>
      <c r="I432" s="24">
        <v>103003</v>
      </c>
      <c r="J432" s="178">
        <v>4.97</v>
      </c>
      <c r="K432" s="177">
        <v>642</v>
      </c>
      <c r="L432" s="179">
        <v>1.8691588785046728E-2</v>
      </c>
      <c r="M432" s="180">
        <v>561</v>
      </c>
      <c r="N432" s="178">
        <v>2788.17</v>
      </c>
      <c r="O432" s="181" t="s">
        <v>882</v>
      </c>
      <c r="P432" s="180">
        <v>0</v>
      </c>
      <c r="Q432" s="182">
        <v>0</v>
      </c>
      <c r="R432" s="183" t="s">
        <v>883</v>
      </c>
      <c r="S432" s="174" t="s">
        <v>1275</v>
      </c>
      <c r="T432" s="44">
        <v>1</v>
      </c>
      <c r="U432" s="184">
        <v>83</v>
      </c>
      <c r="V432" s="185">
        <v>4</v>
      </c>
      <c r="W432" s="186">
        <v>2516</v>
      </c>
      <c r="X432" s="187">
        <v>2023</v>
      </c>
      <c r="Y432" s="188">
        <v>80</v>
      </c>
      <c r="Z432" s="188" t="s">
        <v>883</v>
      </c>
      <c r="AA432" s="187" t="s">
        <v>883</v>
      </c>
      <c r="AB432" s="188">
        <v>0</v>
      </c>
      <c r="AC432" s="188"/>
      <c r="AD432" s="189" t="s">
        <v>883</v>
      </c>
      <c r="AE432" s="190" t="s">
        <v>883</v>
      </c>
      <c r="AF432" s="180">
        <v>214</v>
      </c>
      <c r="AG432" s="183">
        <v>44944</v>
      </c>
      <c r="AH432" s="183">
        <v>38223</v>
      </c>
      <c r="AI432" s="183">
        <v>44915</v>
      </c>
      <c r="AJ432" s="183" t="s">
        <v>883</v>
      </c>
      <c r="AK432" s="174"/>
    </row>
    <row r="433" spans="1:37" x14ac:dyDescent="0.3">
      <c r="A433" s="173">
        <v>81493</v>
      </c>
      <c r="B433" s="174" t="s">
        <v>1466</v>
      </c>
      <c r="C433" s="175" t="s">
        <v>273</v>
      </c>
      <c r="D433" s="176">
        <v>14.8</v>
      </c>
      <c r="E433" s="174"/>
      <c r="F433" s="174"/>
      <c r="G433" s="174" t="s">
        <v>883</v>
      </c>
      <c r="H433" s="177">
        <v>2</v>
      </c>
      <c r="I433" s="24">
        <v>103003</v>
      </c>
      <c r="J433" s="178">
        <v>14.8</v>
      </c>
      <c r="K433" s="177">
        <v>96</v>
      </c>
      <c r="L433" s="179">
        <v>0.18604651162790697</v>
      </c>
      <c r="M433" s="180">
        <v>77</v>
      </c>
      <c r="N433" s="178">
        <v>1139.5999999999999</v>
      </c>
      <c r="O433" s="181" t="s">
        <v>882</v>
      </c>
      <c r="P433" s="180">
        <v>0</v>
      </c>
      <c r="Q433" s="182">
        <v>0</v>
      </c>
      <c r="R433" s="183" t="s">
        <v>883</v>
      </c>
      <c r="S433" s="174" t="s">
        <v>1467</v>
      </c>
      <c r="T433" s="44">
        <v>1</v>
      </c>
      <c r="U433" s="184">
        <v>76</v>
      </c>
      <c r="V433" s="185">
        <v>6</v>
      </c>
      <c r="W433" s="186">
        <v>2792</v>
      </c>
      <c r="X433" s="187">
        <v>2023</v>
      </c>
      <c r="Y433" s="188">
        <v>50</v>
      </c>
      <c r="Z433" s="188" t="s">
        <v>883</v>
      </c>
      <c r="AA433" s="187" t="s">
        <v>883</v>
      </c>
      <c r="AB433" s="188">
        <v>0</v>
      </c>
      <c r="AC433" s="188"/>
      <c r="AD433" s="189" t="s">
        <v>883</v>
      </c>
      <c r="AE433" s="190" t="s">
        <v>883</v>
      </c>
      <c r="AF433" s="180">
        <v>44</v>
      </c>
      <c r="AG433" s="183">
        <v>44742</v>
      </c>
      <c r="AH433" s="183">
        <v>38225</v>
      </c>
      <c r="AI433" s="183">
        <v>44713</v>
      </c>
      <c r="AJ433" s="183" t="s">
        <v>883</v>
      </c>
      <c r="AK433" s="174"/>
    </row>
    <row r="434" spans="1:37" x14ac:dyDescent="0.3">
      <c r="A434" s="173">
        <v>81514</v>
      </c>
      <c r="B434" s="174" t="s">
        <v>1468</v>
      </c>
      <c r="C434" s="175" t="s">
        <v>256</v>
      </c>
      <c r="D434" s="176">
        <v>0.02</v>
      </c>
      <c r="E434" s="174"/>
      <c r="F434" s="174"/>
      <c r="G434" s="174" t="s">
        <v>883</v>
      </c>
      <c r="H434" s="177">
        <v>141062</v>
      </c>
      <c r="I434" s="24">
        <v>103003</v>
      </c>
      <c r="J434" s="178">
        <v>0.02</v>
      </c>
      <c r="K434" s="177">
        <v>30753</v>
      </c>
      <c r="L434" s="179">
        <v>43.256221865148966</v>
      </c>
      <c r="M434" s="180">
        <v>0</v>
      </c>
      <c r="N434" s="178">
        <v>0</v>
      </c>
      <c r="O434" s="181" t="s">
        <v>882</v>
      </c>
      <c r="P434" s="180">
        <v>0</v>
      </c>
      <c r="Q434" s="182">
        <v>0</v>
      </c>
      <c r="R434" s="183" t="s">
        <v>883</v>
      </c>
      <c r="S434" s="174" t="s">
        <v>1469</v>
      </c>
      <c r="T434" s="44">
        <v>1</v>
      </c>
      <c r="U434" s="184">
        <v>67</v>
      </c>
      <c r="V434" s="185">
        <v>15</v>
      </c>
      <c r="W434" s="186" t="s">
        <v>883</v>
      </c>
      <c r="X434" s="187" t="s">
        <v>883</v>
      </c>
      <c r="Y434" s="188">
        <v>0</v>
      </c>
      <c r="Z434" s="188" t="s">
        <v>883</v>
      </c>
      <c r="AA434" s="187" t="s">
        <v>883</v>
      </c>
      <c r="AB434" s="188">
        <v>0</v>
      </c>
      <c r="AC434" s="188"/>
      <c r="AD434" s="189" t="s">
        <v>883</v>
      </c>
      <c r="AE434" s="190" t="s">
        <v>883</v>
      </c>
      <c r="AF434" s="180">
        <v>13044</v>
      </c>
      <c r="AG434" s="183">
        <v>43864</v>
      </c>
      <c r="AH434" s="183">
        <v>38226</v>
      </c>
      <c r="AI434" s="183">
        <v>43826</v>
      </c>
      <c r="AJ434" s="183" t="s">
        <v>883</v>
      </c>
      <c r="AK434" s="174"/>
    </row>
    <row r="435" spans="1:37" x14ac:dyDescent="0.3">
      <c r="A435" s="173">
        <v>81563</v>
      </c>
      <c r="B435" s="174" t="s">
        <v>1470</v>
      </c>
      <c r="C435" s="175" t="s">
        <v>297</v>
      </c>
      <c r="D435" s="176">
        <v>24.87</v>
      </c>
      <c r="E435" s="174"/>
      <c r="F435" s="174"/>
      <c r="G435" s="174" t="s">
        <v>883</v>
      </c>
      <c r="H435" s="177">
        <v>47</v>
      </c>
      <c r="I435" s="24">
        <v>103003</v>
      </c>
      <c r="J435" s="178">
        <v>24.87</v>
      </c>
      <c r="K435" s="177"/>
      <c r="L435" s="179">
        <v>0</v>
      </c>
      <c r="M435" s="180">
        <v>0</v>
      </c>
      <c r="N435" s="178">
        <v>0</v>
      </c>
      <c r="O435" s="181" t="s">
        <v>882</v>
      </c>
      <c r="P435" s="180">
        <v>0</v>
      </c>
      <c r="Q435" s="182">
        <v>0</v>
      </c>
      <c r="R435" s="183" t="s">
        <v>883</v>
      </c>
      <c r="S435" s="174" t="s">
        <v>1009</v>
      </c>
      <c r="T435" s="44">
        <v>1</v>
      </c>
      <c r="U435" s="184">
        <v>61</v>
      </c>
      <c r="V435" s="185">
        <v>15</v>
      </c>
      <c r="W435" s="186" t="s">
        <v>883</v>
      </c>
      <c r="X435" s="187" t="s">
        <v>883</v>
      </c>
      <c r="Y435" s="188">
        <v>0</v>
      </c>
      <c r="Z435" s="188" t="s">
        <v>883</v>
      </c>
      <c r="AA435" s="187" t="s">
        <v>883</v>
      </c>
      <c r="AB435" s="188">
        <v>0</v>
      </c>
      <c r="AC435" s="188"/>
      <c r="AD435" s="189" t="s">
        <v>883</v>
      </c>
      <c r="AE435" s="190" t="s">
        <v>883</v>
      </c>
      <c r="AF435" s="180">
        <v>0</v>
      </c>
      <c r="AG435" s="183">
        <v>44281</v>
      </c>
      <c r="AH435" s="183">
        <v>38231</v>
      </c>
      <c r="AI435" s="183">
        <v>44211</v>
      </c>
      <c r="AJ435" s="183" t="s">
        <v>883</v>
      </c>
      <c r="AK435" s="174"/>
    </row>
    <row r="436" spans="1:37" x14ac:dyDescent="0.3">
      <c r="A436" s="173">
        <v>81564</v>
      </c>
      <c r="B436" s="174" t="s">
        <v>1471</v>
      </c>
      <c r="C436" s="175" t="s">
        <v>297</v>
      </c>
      <c r="D436" s="176">
        <v>4.38</v>
      </c>
      <c r="E436" s="174"/>
      <c r="F436" s="174"/>
      <c r="G436" s="174" t="s">
        <v>883</v>
      </c>
      <c r="H436" s="177">
        <v>11</v>
      </c>
      <c r="I436" s="24">
        <v>103003</v>
      </c>
      <c r="J436" s="178">
        <v>4.38</v>
      </c>
      <c r="K436" s="177"/>
      <c r="L436" s="179">
        <v>0</v>
      </c>
      <c r="M436" s="180">
        <v>0</v>
      </c>
      <c r="N436" s="178">
        <v>0</v>
      </c>
      <c r="O436" s="181" t="s">
        <v>882</v>
      </c>
      <c r="P436" s="180">
        <v>0</v>
      </c>
      <c r="Q436" s="182">
        <v>0</v>
      </c>
      <c r="R436" s="183" t="s">
        <v>883</v>
      </c>
      <c r="S436" s="174" t="s">
        <v>1009</v>
      </c>
      <c r="T436" s="44">
        <v>1</v>
      </c>
      <c r="U436" s="184">
        <v>61</v>
      </c>
      <c r="V436" s="185">
        <v>15</v>
      </c>
      <c r="W436" s="186" t="s">
        <v>883</v>
      </c>
      <c r="X436" s="187" t="s">
        <v>883</v>
      </c>
      <c r="Y436" s="188">
        <v>0</v>
      </c>
      <c r="Z436" s="188" t="s">
        <v>883</v>
      </c>
      <c r="AA436" s="187" t="s">
        <v>883</v>
      </c>
      <c r="AB436" s="188">
        <v>0</v>
      </c>
      <c r="AC436" s="188"/>
      <c r="AD436" s="189" t="s">
        <v>883</v>
      </c>
      <c r="AE436" s="190" t="s">
        <v>883</v>
      </c>
      <c r="AF436" s="180">
        <v>0</v>
      </c>
      <c r="AG436" s="183">
        <v>41579</v>
      </c>
      <c r="AH436" s="183">
        <v>38231</v>
      </c>
      <c r="AI436" s="183">
        <v>41557</v>
      </c>
      <c r="AJ436" s="183" t="s">
        <v>883</v>
      </c>
      <c r="AK436" s="174"/>
    </row>
    <row r="437" spans="1:37" x14ac:dyDescent="0.3">
      <c r="A437" s="173">
        <v>81565</v>
      </c>
      <c r="B437" s="174" t="s">
        <v>1472</v>
      </c>
      <c r="C437" s="175" t="s">
        <v>297</v>
      </c>
      <c r="D437" s="176">
        <v>19.690000000000001</v>
      </c>
      <c r="E437" s="174"/>
      <c r="F437" s="174"/>
      <c r="G437" s="174" t="s">
        <v>883</v>
      </c>
      <c r="H437" s="177">
        <v>19</v>
      </c>
      <c r="I437" s="24">
        <v>103003</v>
      </c>
      <c r="J437" s="178">
        <v>19.690000000000001</v>
      </c>
      <c r="K437" s="177"/>
      <c r="L437" s="179">
        <v>237.5</v>
      </c>
      <c r="M437" s="180">
        <v>0</v>
      </c>
      <c r="N437" s="178">
        <v>0</v>
      </c>
      <c r="O437" s="181" t="s">
        <v>882</v>
      </c>
      <c r="P437" s="180">
        <v>0</v>
      </c>
      <c r="Q437" s="182">
        <v>0</v>
      </c>
      <c r="R437" s="183" t="s">
        <v>883</v>
      </c>
      <c r="S437" s="174" t="s">
        <v>1009</v>
      </c>
      <c r="T437" s="44">
        <v>1</v>
      </c>
      <c r="U437" s="184">
        <v>61</v>
      </c>
      <c r="V437" s="185">
        <v>15</v>
      </c>
      <c r="W437" s="186" t="s">
        <v>883</v>
      </c>
      <c r="X437" s="187" t="s">
        <v>883</v>
      </c>
      <c r="Y437" s="188">
        <v>0</v>
      </c>
      <c r="Z437" s="188" t="s">
        <v>883</v>
      </c>
      <c r="AA437" s="187" t="s">
        <v>883</v>
      </c>
      <c r="AB437" s="188">
        <v>0</v>
      </c>
      <c r="AC437" s="188"/>
      <c r="AD437" s="189" t="s">
        <v>883</v>
      </c>
      <c r="AE437" s="190" t="s">
        <v>883</v>
      </c>
      <c r="AF437" s="180">
        <v>0</v>
      </c>
      <c r="AG437" s="183">
        <v>43810</v>
      </c>
      <c r="AH437" s="183">
        <v>38231</v>
      </c>
      <c r="AI437" s="183">
        <v>43788</v>
      </c>
      <c r="AJ437" s="183" t="s">
        <v>883</v>
      </c>
      <c r="AK437" s="174"/>
    </row>
    <row r="438" spans="1:37" x14ac:dyDescent="0.3">
      <c r="A438" s="173">
        <v>81807</v>
      </c>
      <c r="B438" s="174" t="s">
        <v>1473</v>
      </c>
      <c r="C438" s="175" t="s">
        <v>256</v>
      </c>
      <c r="D438" s="176">
        <v>35.700000000000003</v>
      </c>
      <c r="E438" s="174"/>
      <c r="F438" s="174"/>
      <c r="G438" s="174" t="s">
        <v>883</v>
      </c>
      <c r="H438" s="177">
        <v>21</v>
      </c>
      <c r="I438" s="24">
        <v>103003</v>
      </c>
      <c r="J438" s="178">
        <v>35.700000000000003</v>
      </c>
      <c r="K438" s="177">
        <v>11</v>
      </c>
      <c r="L438" s="179">
        <v>22.826086956521742</v>
      </c>
      <c r="M438" s="180">
        <v>0</v>
      </c>
      <c r="N438" s="178">
        <v>0</v>
      </c>
      <c r="O438" s="181" t="s">
        <v>882</v>
      </c>
      <c r="P438" s="180">
        <v>0</v>
      </c>
      <c r="Q438" s="182">
        <v>0</v>
      </c>
      <c r="R438" s="183" t="s">
        <v>883</v>
      </c>
      <c r="S438" s="174" t="s">
        <v>1009</v>
      </c>
      <c r="T438" s="44">
        <v>1</v>
      </c>
      <c r="U438" s="184">
        <v>61</v>
      </c>
      <c r="V438" s="185">
        <v>15</v>
      </c>
      <c r="W438" s="186">
        <v>2453</v>
      </c>
      <c r="X438" s="187">
        <v>2023</v>
      </c>
      <c r="Y438" s="188">
        <v>10</v>
      </c>
      <c r="Z438" s="188" t="s">
        <v>883</v>
      </c>
      <c r="AA438" s="187" t="s">
        <v>883</v>
      </c>
      <c r="AB438" s="188">
        <v>0</v>
      </c>
      <c r="AC438" s="188"/>
      <c r="AD438" s="189" t="s">
        <v>883</v>
      </c>
      <c r="AE438" s="190" t="s">
        <v>883</v>
      </c>
      <c r="AF438" s="180">
        <v>4</v>
      </c>
      <c r="AG438" s="183">
        <v>44733</v>
      </c>
      <c r="AH438" s="183">
        <v>38246</v>
      </c>
      <c r="AI438" s="183">
        <v>44705</v>
      </c>
      <c r="AJ438" s="183" t="s">
        <v>883</v>
      </c>
      <c r="AK438" s="174"/>
    </row>
    <row r="439" spans="1:37" x14ac:dyDescent="0.3">
      <c r="A439" s="173">
        <v>81808</v>
      </c>
      <c r="B439" s="174" t="s">
        <v>1474</v>
      </c>
      <c r="C439" s="175" t="s">
        <v>256</v>
      </c>
      <c r="D439" s="176">
        <v>61.4</v>
      </c>
      <c r="E439" s="174"/>
      <c r="F439" s="174"/>
      <c r="G439" s="174" t="s">
        <v>883</v>
      </c>
      <c r="H439" s="177">
        <v>26</v>
      </c>
      <c r="I439" s="24">
        <v>103003</v>
      </c>
      <c r="J439" s="178">
        <v>61.4</v>
      </c>
      <c r="K439" s="177"/>
      <c r="L439" s="179">
        <v>0</v>
      </c>
      <c r="M439" s="180">
        <v>0</v>
      </c>
      <c r="N439" s="178">
        <v>0</v>
      </c>
      <c r="O439" s="181" t="s">
        <v>882</v>
      </c>
      <c r="P439" s="180">
        <v>0</v>
      </c>
      <c r="Q439" s="182">
        <v>0</v>
      </c>
      <c r="R439" s="183" t="s">
        <v>883</v>
      </c>
      <c r="S439" s="174" t="s">
        <v>1009</v>
      </c>
      <c r="T439" s="44">
        <v>1</v>
      </c>
      <c r="U439" s="184">
        <v>61</v>
      </c>
      <c r="V439" s="185">
        <v>15</v>
      </c>
      <c r="W439" s="186">
        <v>2960</v>
      </c>
      <c r="X439" s="187">
        <v>2023</v>
      </c>
      <c r="Y439" s="188">
        <v>10</v>
      </c>
      <c r="Z439" s="188" t="s">
        <v>883</v>
      </c>
      <c r="AA439" s="187" t="s">
        <v>883</v>
      </c>
      <c r="AB439" s="188">
        <v>0</v>
      </c>
      <c r="AC439" s="188"/>
      <c r="AD439" s="189" t="s">
        <v>883</v>
      </c>
      <c r="AE439" s="190" t="s">
        <v>883</v>
      </c>
      <c r="AF439" s="180">
        <v>0</v>
      </c>
      <c r="AG439" s="183">
        <v>43880</v>
      </c>
      <c r="AH439" s="183">
        <v>38246</v>
      </c>
      <c r="AI439" s="183">
        <v>44783</v>
      </c>
      <c r="AJ439" s="183" t="s">
        <v>883</v>
      </c>
      <c r="AK439" s="174"/>
    </row>
    <row r="440" spans="1:37" x14ac:dyDescent="0.3">
      <c r="A440" s="173">
        <v>82185</v>
      </c>
      <c r="B440" s="174" t="s">
        <v>1475</v>
      </c>
      <c r="C440" s="175" t="s">
        <v>256</v>
      </c>
      <c r="D440" s="176">
        <v>88</v>
      </c>
      <c r="E440" s="174"/>
      <c r="F440" s="174"/>
      <c r="G440" s="174" t="s">
        <v>883</v>
      </c>
      <c r="H440" s="177">
        <v>159</v>
      </c>
      <c r="I440" s="24">
        <v>103003</v>
      </c>
      <c r="J440" s="178">
        <v>96.650639999999996</v>
      </c>
      <c r="K440" s="177">
        <v>112</v>
      </c>
      <c r="L440" s="179">
        <v>17.041800643086816</v>
      </c>
      <c r="M440" s="180">
        <v>0</v>
      </c>
      <c r="N440" s="178">
        <v>0</v>
      </c>
      <c r="O440" s="181" t="s">
        <v>882</v>
      </c>
      <c r="P440" s="180">
        <v>0</v>
      </c>
      <c r="Q440" s="182">
        <v>0</v>
      </c>
      <c r="R440" s="183" t="s">
        <v>883</v>
      </c>
      <c r="S440" s="174" t="s">
        <v>1334</v>
      </c>
      <c r="T440" s="44">
        <v>1</v>
      </c>
      <c r="U440" s="184">
        <v>74</v>
      </c>
      <c r="V440" s="185">
        <v>3</v>
      </c>
      <c r="W440" s="186" t="s">
        <v>883</v>
      </c>
      <c r="X440" s="187" t="s">
        <v>883</v>
      </c>
      <c r="Y440" s="188">
        <v>0</v>
      </c>
      <c r="Z440" s="188" t="s">
        <v>883</v>
      </c>
      <c r="AA440" s="187" t="s">
        <v>883</v>
      </c>
      <c r="AB440" s="188">
        <v>0</v>
      </c>
      <c r="AC440" s="188"/>
      <c r="AD440" s="189" t="s">
        <v>883</v>
      </c>
      <c r="AE440" s="190" t="s">
        <v>883</v>
      </c>
      <c r="AF440" s="180">
        <v>38</v>
      </c>
      <c r="AG440" s="183">
        <v>44160</v>
      </c>
      <c r="AH440" s="183">
        <v>38273</v>
      </c>
      <c r="AI440" s="183">
        <v>44151</v>
      </c>
      <c r="AJ440" s="183" t="s">
        <v>883</v>
      </c>
      <c r="AK440" s="174"/>
    </row>
    <row r="441" spans="1:37" x14ac:dyDescent="0.3">
      <c r="A441" s="173">
        <v>82452</v>
      </c>
      <c r="B441" s="174" t="s">
        <v>1476</v>
      </c>
      <c r="C441" s="175" t="s">
        <v>256</v>
      </c>
      <c r="D441" s="176">
        <v>6.87</v>
      </c>
      <c r="E441" s="174"/>
      <c r="F441" s="174"/>
      <c r="G441" s="174" t="s">
        <v>883</v>
      </c>
      <c r="H441" s="177">
        <v>2</v>
      </c>
      <c r="I441" s="24">
        <v>103003</v>
      </c>
      <c r="J441" s="178">
        <v>6.87</v>
      </c>
      <c r="K441" s="177">
        <v>147</v>
      </c>
      <c r="L441" s="179">
        <v>0.15290519877675843</v>
      </c>
      <c r="M441" s="180">
        <v>104.96</v>
      </c>
      <c r="N441" s="178">
        <v>721.0752</v>
      </c>
      <c r="O441" s="181" t="s">
        <v>882</v>
      </c>
      <c r="P441" s="180">
        <v>0</v>
      </c>
      <c r="Q441" s="182">
        <v>0</v>
      </c>
      <c r="R441" s="183" t="s">
        <v>883</v>
      </c>
      <c r="S441" s="174" t="s">
        <v>964</v>
      </c>
      <c r="T441" s="44">
        <v>1</v>
      </c>
      <c r="U441" s="184">
        <v>61</v>
      </c>
      <c r="V441" s="185">
        <v>8</v>
      </c>
      <c r="W441" s="186">
        <v>2453</v>
      </c>
      <c r="X441" s="187">
        <v>2023</v>
      </c>
      <c r="Y441" s="188">
        <v>50</v>
      </c>
      <c r="Z441" s="188" t="s">
        <v>883</v>
      </c>
      <c r="AA441" s="187" t="s">
        <v>883</v>
      </c>
      <c r="AB441" s="188">
        <v>0</v>
      </c>
      <c r="AC441" s="188"/>
      <c r="AD441" s="189" t="s">
        <v>883</v>
      </c>
      <c r="AE441" s="190" t="s">
        <v>883</v>
      </c>
      <c r="AF441" s="180">
        <v>52</v>
      </c>
      <c r="AG441" s="183">
        <v>44946</v>
      </c>
      <c r="AH441" s="183">
        <v>38296</v>
      </c>
      <c r="AI441" s="183">
        <v>44942</v>
      </c>
      <c r="AJ441" s="183" t="s">
        <v>883</v>
      </c>
      <c r="AK441" s="174"/>
    </row>
    <row r="442" spans="1:37" x14ac:dyDescent="0.3">
      <c r="A442" s="173">
        <v>82995</v>
      </c>
      <c r="B442" s="174" t="s">
        <v>1477</v>
      </c>
      <c r="C442" s="175" t="s">
        <v>256</v>
      </c>
      <c r="D442" s="176">
        <v>10.7</v>
      </c>
      <c r="E442" s="174"/>
      <c r="F442" s="174"/>
      <c r="G442" s="174" t="s">
        <v>883</v>
      </c>
      <c r="H442" s="177">
        <v>0</v>
      </c>
      <c r="I442" s="24">
        <v>103003</v>
      </c>
      <c r="J442" s="178">
        <v>10.7</v>
      </c>
      <c r="K442" s="177">
        <v>720</v>
      </c>
      <c r="L442" s="179">
        <v>0</v>
      </c>
      <c r="M442" s="180">
        <v>420</v>
      </c>
      <c r="N442" s="178">
        <v>4494</v>
      </c>
      <c r="O442" s="181" t="s">
        <v>882</v>
      </c>
      <c r="P442" s="180">
        <v>0</v>
      </c>
      <c r="Q442" s="182">
        <v>0</v>
      </c>
      <c r="R442" s="183" t="s">
        <v>883</v>
      </c>
      <c r="S442" s="174" t="s">
        <v>1026</v>
      </c>
      <c r="T442" s="44">
        <v>1</v>
      </c>
      <c r="U442" s="184">
        <v>51</v>
      </c>
      <c r="V442" s="185">
        <v>8</v>
      </c>
      <c r="W442" s="186">
        <v>2989</v>
      </c>
      <c r="X442" s="187">
        <v>2023</v>
      </c>
      <c r="Y442" s="188">
        <v>300</v>
      </c>
      <c r="Z442" s="188" t="s">
        <v>883</v>
      </c>
      <c r="AA442" s="187" t="s">
        <v>883</v>
      </c>
      <c r="AB442" s="188">
        <v>0</v>
      </c>
      <c r="AC442" s="188"/>
      <c r="AD442" s="189" t="s">
        <v>883</v>
      </c>
      <c r="AE442" s="190" t="s">
        <v>883</v>
      </c>
      <c r="AF442" s="180">
        <v>240</v>
      </c>
      <c r="AG442" s="183">
        <v>44599</v>
      </c>
      <c r="AH442" s="183">
        <v>38317</v>
      </c>
      <c r="AI442" s="183">
        <v>44592</v>
      </c>
      <c r="AJ442" s="183" t="s">
        <v>883</v>
      </c>
      <c r="AK442" s="174"/>
    </row>
    <row r="443" spans="1:37" x14ac:dyDescent="0.3">
      <c r="A443" s="173">
        <v>82996</v>
      </c>
      <c r="B443" s="174" t="s">
        <v>1478</v>
      </c>
      <c r="C443" s="175" t="s">
        <v>256</v>
      </c>
      <c r="D443" s="176">
        <v>8.56</v>
      </c>
      <c r="E443" s="174"/>
      <c r="F443" s="174"/>
      <c r="G443" s="174" t="s">
        <v>883</v>
      </c>
      <c r="H443" s="177">
        <v>480</v>
      </c>
      <c r="I443" s="24">
        <v>103003</v>
      </c>
      <c r="J443" s="178">
        <v>8.56</v>
      </c>
      <c r="K443" s="177">
        <v>100</v>
      </c>
      <c r="L443" s="179">
        <v>57.623049219687879</v>
      </c>
      <c r="M443" s="180">
        <v>0</v>
      </c>
      <c r="N443" s="178">
        <v>0</v>
      </c>
      <c r="O443" s="181" t="s">
        <v>882</v>
      </c>
      <c r="P443" s="180">
        <v>0</v>
      </c>
      <c r="Q443" s="182">
        <v>0</v>
      </c>
      <c r="R443" s="183" t="s">
        <v>883</v>
      </c>
      <c r="S443" s="174" t="s">
        <v>1026</v>
      </c>
      <c r="T443" s="44">
        <v>1</v>
      </c>
      <c r="U443" s="184">
        <v>51</v>
      </c>
      <c r="V443" s="185">
        <v>8</v>
      </c>
      <c r="W443" s="186" t="s">
        <v>883</v>
      </c>
      <c r="X443" s="187" t="s">
        <v>883</v>
      </c>
      <c r="Y443" s="188">
        <v>0</v>
      </c>
      <c r="Z443" s="188" t="s">
        <v>883</v>
      </c>
      <c r="AA443" s="187" t="s">
        <v>883</v>
      </c>
      <c r="AB443" s="188">
        <v>0</v>
      </c>
      <c r="AC443" s="188"/>
      <c r="AD443" s="189" t="s">
        <v>883</v>
      </c>
      <c r="AE443" s="190" t="s">
        <v>883</v>
      </c>
      <c r="AF443" s="180">
        <v>34</v>
      </c>
      <c r="AG443" s="183">
        <v>44161</v>
      </c>
      <c r="AH443" s="183">
        <v>38317</v>
      </c>
      <c r="AI443" s="183">
        <v>44133</v>
      </c>
      <c r="AJ443" s="183" t="s">
        <v>883</v>
      </c>
      <c r="AK443" s="174"/>
    </row>
    <row r="444" spans="1:37" x14ac:dyDescent="0.3">
      <c r="A444" s="173">
        <v>83627</v>
      </c>
      <c r="B444" s="174" t="s">
        <v>1479</v>
      </c>
      <c r="C444" s="175" t="s">
        <v>31</v>
      </c>
      <c r="D444" s="176">
        <v>0.29799999999999999</v>
      </c>
      <c r="E444" s="174"/>
      <c r="F444" s="174"/>
      <c r="G444" s="174" t="s">
        <v>883</v>
      </c>
      <c r="H444" s="177">
        <v>63531</v>
      </c>
      <c r="I444" s="24">
        <v>103003</v>
      </c>
      <c r="J444" s="178">
        <v>0.29799999999999999</v>
      </c>
      <c r="K444" s="177">
        <v>61878</v>
      </c>
      <c r="L444" s="179">
        <v>6.9282636646480906</v>
      </c>
      <c r="M444" s="180">
        <v>46506.96</v>
      </c>
      <c r="N444" s="178">
        <v>13859.07408</v>
      </c>
      <c r="O444" s="181" t="s">
        <v>882</v>
      </c>
      <c r="P444" s="180">
        <v>0</v>
      </c>
      <c r="Q444" s="182">
        <v>0</v>
      </c>
      <c r="R444" s="183" t="s">
        <v>883</v>
      </c>
      <c r="S444" s="174" t="s">
        <v>935</v>
      </c>
      <c r="T444" s="44">
        <v>1</v>
      </c>
      <c r="U444" s="184">
        <v>45</v>
      </c>
      <c r="V444" s="185">
        <v>11</v>
      </c>
      <c r="W444" s="186" t="s">
        <v>883</v>
      </c>
      <c r="X444" s="187" t="s">
        <v>883</v>
      </c>
      <c r="Y444" s="188">
        <v>0</v>
      </c>
      <c r="Z444" s="188" t="s">
        <v>883</v>
      </c>
      <c r="AA444" s="187" t="s">
        <v>883</v>
      </c>
      <c r="AB444" s="188">
        <v>0</v>
      </c>
      <c r="AC444" s="188"/>
      <c r="AD444" s="189" t="s">
        <v>883</v>
      </c>
      <c r="AE444" s="190" t="s">
        <v>883</v>
      </c>
      <c r="AF444" s="180">
        <v>36680</v>
      </c>
      <c r="AG444" s="183">
        <v>44943</v>
      </c>
      <c r="AH444" s="183">
        <v>38369</v>
      </c>
      <c r="AI444" s="183">
        <v>45048</v>
      </c>
      <c r="AJ444" s="183" t="s">
        <v>883</v>
      </c>
      <c r="AK444" s="174"/>
    </row>
    <row r="445" spans="1:37" x14ac:dyDescent="0.3">
      <c r="A445" s="173">
        <v>83838</v>
      </c>
      <c r="B445" s="174" t="s">
        <v>1480</v>
      </c>
      <c r="C445" s="175" t="s">
        <v>413</v>
      </c>
      <c r="D445" s="176">
        <v>11.87</v>
      </c>
      <c r="E445" s="174"/>
      <c r="F445" s="174"/>
      <c r="G445" s="174" t="s">
        <v>883</v>
      </c>
      <c r="H445" s="177">
        <v>9020</v>
      </c>
      <c r="I445" s="24">
        <v>103003</v>
      </c>
      <c r="J445" s="178">
        <v>11.87</v>
      </c>
      <c r="K445" s="177">
        <v>12438</v>
      </c>
      <c r="L445" s="179">
        <v>5.1623980540849912</v>
      </c>
      <c r="M445" s="180">
        <v>11947</v>
      </c>
      <c r="N445" s="178">
        <v>141810.89000000001</v>
      </c>
      <c r="O445" s="181" t="s">
        <v>882</v>
      </c>
      <c r="P445" s="180">
        <v>0</v>
      </c>
      <c r="Q445" s="182">
        <v>0</v>
      </c>
      <c r="R445" s="183" t="s">
        <v>883</v>
      </c>
      <c r="S445" s="174" t="s">
        <v>1481</v>
      </c>
      <c r="T445" s="44">
        <v>1</v>
      </c>
      <c r="U445" s="184">
        <v>54</v>
      </c>
      <c r="V445" s="185">
        <v>4</v>
      </c>
      <c r="W445" s="186" t="s">
        <v>883</v>
      </c>
      <c r="X445" s="187" t="s">
        <v>883</v>
      </c>
      <c r="Y445" s="188">
        <v>0</v>
      </c>
      <c r="Z445" s="188" t="s">
        <v>883</v>
      </c>
      <c r="AA445" s="187" t="s">
        <v>883</v>
      </c>
      <c r="AB445" s="188">
        <v>0</v>
      </c>
      <c r="AC445" s="188"/>
      <c r="AD445" s="189" t="s">
        <v>883</v>
      </c>
      <c r="AE445" s="190" t="s">
        <v>883</v>
      </c>
      <c r="AF445" s="180">
        <v>6990</v>
      </c>
      <c r="AG445" s="183">
        <v>44876</v>
      </c>
      <c r="AH445" s="183">
        <v>38384</v>
      </c>
      <c r="AI445" s="183">
        <v>44833</v>
      </c>
      <c r="AJ445" s="183" t="s">
        <v>883</v>
      </c>
      <c r="AK445" s="174"/>
    </row>
    <row r="446" spans="1:37" x14ac:dyDescent="0.3">
      <c r="A446" s="173">
        <v>83839</v>
      </c>
      <c r="B446" s="174" t="s">
        <v>1482</v>
      </c>
      <c r="C446" s="175" t="s">
        <v>413</v>
      </c>
      <c r="D446" s="176">
        <v>20.85</v>
      </c>
      <c r="E446" s="174"/>
      <c r="F446" s="174"/>
      <c r="G446" s="174" t="s">
        <v>883</v>
      </c>
      <c r="H446" s="177">
        <v>1193</v>
      </c>
      <c r="I446" s="24">
        <v>103003</v>
      </c>
      <c r="J446" s="178">
        <v>20.85</v>
      </c>
      <c r="K446" s="177">
        <v>3249</v>
      </c>
      <c r="L446" s="179">
        <v>2.5632761806540327</v>
      </c>
      <c r="M446" s="180">
        <v>4392.04</v>
      </c>
      <c r="N446" s="178">
        <v>91574.034</v>
      </c>
      <c r="O446" s="181" t="s">
        <v>882</v>
      </c>
      <c r="P446" s="180">
        <v>0</v>
      </c>
      <c r="Q446" s="182">
        <v>0</v>
      </c>
      <c r="R446" s="183" t="s">
        <v>883</v>
      </c>
      <c r="S446" s="174" t="s">
        <v>1481</v>
      </c>
      <c r="T446" s="44">
        <v>1</v>
      </c>
      <c r="U446" s="184">
        <v>54</v>
      </c>
      <c r="V446" s="185">
        <v>4</v>
      </c>
      <c r="W446" s="186" t="s">
        <v>883</v>
      </c>
      <c r="X446" s="187" t="s">
        <v>883</v>
      </c>
      <c r="Y446" s="188">
        <v>0</v>
      </c>
      <c r="Z446" s="188" t="s">
        <v>883</v>
      </c>
      <c r="AA446" s="187" t="s">
        <v>883</v>
      </c>
      <c r="AB446" s="188">
        <v>0</v>
      </c>
      <c r="AC446" s="188"/>
      <c r="AD446" s="189" t="s">
        <v>883</v>
      </c>
      <c r="AE446" s="190" t="s">
        <v>883</v>
      </c>
      <c r="AF446" s="180">
        <v>1862</v>
      </c>
      <c r="AG446" s="183">
        <v>44558</v>
      </c>
      <c r="AH446" s="183">
        <v>38384</v>
      </c>
      <c r="AI446" s="183">
        <v>44538</v>
      </c>
      <c r="AJ446" s="183" t="s">
        <v>883</v>
      </c>
      <c r="AK446" s="174"/>
    </row>
    <row r="447" spans="1:37" x14ac:dyDescent="0.3">
      <c r="A447" s="173">
        <v>84878</v>
      </c>
      <c r="B447" s="174" t="s">
        <v>1483</v>
      </c>
      <c r="C447" s="175" t="s">
        <v>31</v>
      </c>
      <c r="D447" s="176">
        <v>0.12</v>
      </c>
      <c r="E447" s="174"/>
      <c r="F447" s="174"/>
      <c r="G447" s="174" t="s">
        <v>883</v>
      </c>
      <c r="H447" s="177">
        <v>59886</v>
      </c>
      <c r="I447" s="24">
        <v>103003</v>
      </c>
      <c r="J447" s="178">
        <v>0.12</v>
      </c>
      <c r="K447" s="177">
        <v>61228</v>
      </c>
      <c r="L447" s="179">
        <v>7.7797567315824141</v>
      </c>
      <c r="M447" s="180">
        <v>32486.04</v>
      </c>
      <c r="N447" s="178">
        <v>3898.3247999999999</v>
      </c>
      <c r="O447" s="181" t="s">
        <v>882</v>
      </c>
      <c r="P447" s="180">
        <v>0</v>
      </c>
      <c r="Q447" s="182">
        <v>0</v>
      </c>
      <c r="R447" s="183" t="s">
        <v>883</v>
      </c>
      <c r="S447" s="174" t="s">
        <v>935</v>
      </c>
      <c r="T447" s="44">
        <v>1</v>
      </c>
      <c r="U447" s="184">
        <v>45</v>
      </c>
      <c r="V447" s="185">
        <v>11</v>
      </c>
      <c r="W447" s="186" t="s">
        <v>883</v>
      </c>
      <c r="X447" s="187" t="s">
        <v>883</v>
      </c>
      <c r="Y447" s="188">
        <v>0</v>
      </c>
      <c r="Z447" s="188" t="s">
        <v>883</v>
      </c>
      <c r="AA447" s="187" t="s">
        <v>883</v>
      </c>
      <c r="AB447" s="188">
        <v>0</v>
      </c>
      <c r="AC447" s="188"/>
      <c r="AD447" s="189" t="s">
        <v>883</v>
      </c>
      <c r="AE447" s="190" t="s">
        <v>883</v>
      </c>
      <c r="AF447" s="180">
        <v>30790</v>
      </c>
      <c r="AG447" s="183">
        <v>44967</v>
      </c>
      <c r="AH447" s="183">
        <v>38448</v>
      </c>
      <c r="AI447" s="183">
        <v>44998</v>
      </c>
      <c r="AJ447" s="183" t="s">
        <v>883</v>
      </c>
      <c r="AK447" s="174"/>
    </row>
    <row r="448" spans="1:37" x14ac:dyDescent="0.3">
      <c r="A448" s="173">
        <v>85798</v>
      </c>
      <c r="B448" s="174" t="s">
        <v>468</v>
      </c>
      <c r="C448" s="175" t="s">
        <v>256</v>
      </c>
      <c r="D448" s="176">
        <v>6.36</v>
      </c>
      <c r="E448" s="174"/>
      <c r="F448" s="174"/>
      <c r="G448" s="174" t="s">
        <v>883</v>
      </c>
      <c r="H448" s="177">
        <v>264</v>
      </c>
      <c r="I448" s="24">
        <v>103003</v>
      </c>
      <c r="J448" s="178">
        <v>6.36</v>
      </c>
      <c r="K448" s="177">
        <v>2</v>
      </c>
      <c r="L448" s="179">
        <v>1552.9411764705881</v>
      </c>
      <c r="M448" s="180">
        <v>0</v>
      </c>
      <c r="N448" s="178">
        <v>0</v>
      </c>
      <c r="O448" s="181" t="s">
        <v>882</v>
      </c>
      <c r="P448" s="180">
        <v>0</v>
      </c>
      <c r="Q448" s="182">
        <v>0</v>
      </c>
      <c r="R448" s="183" t="s">
        <v>883</v>
      </c>
      <c r="S448" s="174" t="s">
        <v>1275</v>
      </c>
      <c r="T448" s="44">
        <v>1</v>
      </c>
      <c r="U448" s="184">
        <v>83</v>
      </c>
      <c r="V448" s="185">
        <v>4</v>
      </c>
      <c r="W448" s="186" t="s">
        <v>883</v>
      </c>
      <c r="X448" s="187" t="s">
        <v>883</v>
      </c>
      <c r="Y448" s="188">
        <v>0</v>
      </c>
      <c r="Z448" s="188" t="s">
        <v>883</v>
      </c>
      <c r="AA448" s="187" t="s">
        <v>883</v>
      </c>
      <c r="AB448" s="188">
        <v>0</v>
      </c>
      <c r="AC448" s="188"/>
      <c r="AD448" s="189" t="s">
        <v>883</v>
      </c>
      <c r="AE448" s="190" t="s">
        <v>883</v>
      </c>
      <c r="AF448" s="180">
        <v>0</v>
      </c>
      <c r="AG448" s="183">
        <v>44055</v>
      </c>
      <c r="AH448" s="183">
        <v>38502</v>
      </c>
      <c r="AI448" s="183">
        <v>44594</v>
      </c>
      <c r="AJ448" s="183" t="s">
        <v>883</v>
      </c>
      <c r="AK448" s="174"/>
    </row>
    <row r="449" spans="1:37" x14ac:dyDescent="0.3">
      <c r="A449" s="173">
        <v>86891</v>
      </c>
      <c r="B449" s="174" t="s">
        <v>678</v>
      </c>
      <c r="C449" s="175" t="s">
        <v>256</v>
      </c>
      <c r="D449" s="176">
        <v>0.4</v>
      </c>
      <c r="E449" s="174"/>
      <c r="F449" s="174"/>
      <c r="G449" s="174" t="s">
        <v>883</v>
      </c>
      <c r="H449" s="177">
        <v>12840</v>
      </c>
      <c r="I449" s="24">
        <v>103003</v>
      </c>
      <c r="J449" s="178">
        <v>0.4</v>
      </c>
      <c r="K449" s="177"/>
      <c r="L449" s="179">
        <v>6420</v>
      </c>
      <c r="M449" s="180">
        <v>0</v>
      </c>
      <c r="N449" s="178">
        <v>0</v>
      </c>
      <c r="O449" s="181" t="s">
        <v>882</v>
      </c>
      <c r="P449" s="180">
        <v>0</v>
      </c>
      <c r="Q449" s="182">
        <v>0</v>
      </c>
      <c r="R449" s="183" t="s">
        <v>883</v>
      </c>
      <c r="S449" s="174" t="s">
        <v>1073</v>
      </c>
      <c r="T449" s="44">
        <v>1</v>
      </c>
      <c r="U449" s="184">
        <v>78</v>
      </c>
      <c r="V449" s="185">
        <v>2</v>
      </c>
      <c r="W449" s="186" t="s">
        <v>883</v>
      </c>
      <c r="X449" s="187" t="s">
        <v>883</v>
      </c>
      <c r="Y449" s="188">
        <v>0</v>
      </c>
      <c r="Z449" s="188" t="s">
        <v>883</v>
      </c>
      <c r="AA449" s="187" t="s">
        <v>883</v>
      </c>
      <c r="AB449" s="188">
        <v>0</v>
      </c>
      <c r="AC449" s="188"/>
      <c r="AD449" s="189" t="s">
        <v>883</v>
      </c>
      <c r="AE449" s="190" t="s">
        <v>883</v>
      </c>
      <c r="AF449" s="180">
        <v>8</v>
      </c>
      <c r="AG449" s="183" t="s">
        <v>883</v>
      </c>
      <c r="AH449" s="183">
        <v>38567</v>
      </c>
      <c r="AI449" s="183">
        <v>42142</v>
      </c>
      <c r="AJ449" s="183" t="s">
        <v>883</v>
      </c>
      <c r="AK449" s="174"/>
    </row>
    <row r="450" spans="1:37" x14ac:dyDescent="0.3">
      <c r="A450" s="173">
        <v>87157</v>
      </c>
      <c r="B450" s="174" t="s">
        <v>632</v>
      </c>
      <c r="C450" s="175" t="s">
        <v>629</v>
      </c>
      <c r="D450" s="176">
        <v>20.9</v>
      </c>
      <c r="E450" s="174"/>
      <c r="F450" s="174"/>
      <c r="G450" s="174" t="s">
        <v>883</v>
      </c>
      <c r="H450" s="177">
        <v>329.48</v>
      </c>
      <c r="I450" s="24">
        <v>103003</v>
      </c>
      <c r="J450" s="178">
        <v>20.9</v>
      </c>
      <c r="K450" s="177">
        <v>26</v>
      </c>
      <c r="L450" s="179">
        <v>151.83410138248848</v>
      </c>
      <c r="M450" s="180">
        <v>0</v>
      </c>
      <c r="N450" s="178">
        <v>0</v>
      </c>
      <c r="O450" s="181" t="s">
        <v>882</v>
      </c>
      <c r="P450" s="180">
        <v>0</v>
      </c>
      <c r="Q450" s="182">
        <v>0</v>
      </c>
      <c r="R450" s="183" t="s">
        <v>883</v>
      </c>
      <c r="S450" s="174" t="s">
        <v>1305</v>
      </c>
      <c r="T450" s="44">
        <v>1</v>
      </c>
      <c r="U450" s="184">
        <v>51</v>
      </c>
      <c r="V450" s="185">
        <v>19</v>
      </c>
      <c r="W450" s="186" t="s">
        <v>883</v>
      </c>
      <c r="X450" s="187" t="s">
        <v>883</v>
      </c>
      <c r="Y450" s="188">
        <v>0</v>
      </c>
      <c r="Z450" s="188" t="s">
        <v>883</v>
      </c>
      <c r="AA450" s="187" t="s">
        <v>883</v>
      </c>
      <c r="AB450" s="188">
        <v>0</v>
      </c>
      <c r="AC450" s="188"/>
      <c r="AD450" s="189" t="s">
        <v>883</v>
      </c>
      <c r="AE450" s="190" t="s">
        <v>883</v>
      </c>
      <c r="AF450" s="180">
        <v>8</v>
      </c>
      <c r="AG450" s="183">
        <v>40616</v>
      </c>
      <c r="AH450" s="183">
        <v>38580</v>
      </c>
      <c r="AI450" s="183">
        <v>40508</v>
      </c>
      <c r="AJ450" s="183" t="s">
        <v>883</v>
      </c>
      <c r="AK450" s="174"/>
    </row>
    <row r="451" spans="1:37" x14ac:dyDescent="0.3">
      <c r="A451" s="173">
        <v>87247</v>
      </c>
      <c r="B451" s="174" t="s">
        <v>1484</v>
      </c>
      <c r="C451" s="175" t="s">
        <v>256</v>
      </c>
      <c r="D451" s="176">
        <v>2.7</v>
      </c>
      <c r="E451" s="174"/>
      <c r="F451" s="174"/>
      <c r="G451" s="174" t="s">
        <v>883</v>
      </c>
      <c r="H451" s="177">
        <v>347</v>
      </c>
      <c r="I451" s="24">
        <v>103003</v>
      </c>
      <c r="J451" s="178">
        <v>2.7</v>
      </c>
      <c r="K451" s="177">
        <v>39</v>
      </c>
      <c r="L451" s="179">
        <v>106.76923076923077</v>
      </c>
      <c r="M451" s="180">
        <v>0</v>
      </c>
      <c r="N451" s="178">
        <v>0</v>
      </c>
      <c r="O451" s="181" t="s">
        <v>882</v>
      </c>
      <c r="P451" s="180">
        <v>0</v>
      </c>
      <c r="Q451" s="182">
        <v>0</v>
      </c>
      <c r="R451" s="183" t="s">
        <v>883</v>
      </c>
      <c r="S451" s="174" t="s">
        <v>1019</v>
      </c>
      <c r="T451" s="44">
        <v>1</v>
      </c>
      <c r="U451" s="184">
        <v>51</v>
      </c>
      <c r="V451" s="185">
        <v>12</v>
      </c>
      <c r="W451" s="186" t="s">
        <v>883</v>
      </c>
      <c r="X451" s="187" t="s">
        <v>883</v>
      </c>
      <c r="Y451" s="188">
        <v>0</v>
      </c>
      <c r="Z451" s="188" t="s">
        <v>883</v>
      </c>
      <c r="AA451" s="187" t="s">
        <v>883</v>
      </c>
      <c r="AB451" s="188">
        <v>0</v>
      </c>
      <c r="AC451" s="188"/>
      <c r="AD451" s="189" t="s">
        <v>883</v>
      </c>
      <c r="AE451" s="190" t="s">
        <v>883</v>
      </c>
      <c r="AF451" s="180">
        <v>14</v>
      </c>
      <c r="AG451" s="183">
        <v>43991</v>
      </c>
      <c r="AH451" s="183">
        <v>38581</v>
      </c>
      <c r="AI451" s="183">
        <v>44592</v>
      </c>
      <c r="AJ451" s="183" t="s">
        <v>883</v>
      </c>
      <c r="AK451" s="174"/>
    </row>
    <row r="452" spans="1:37" x14ac:dyDescent="0.3">
      <c r="A452" s="173">
        <v>87348</v>
      </c>
      <c r="B452" s="174" t="s">
        <v>1485</v>
      </c>
      <c r="C452" s="175" t="s">
        <v>294</v>
      </c>
      <c r="D452" s="176">
        <v>16.32</v>
      </c>
      <c r="E452" s="174"/>
      <c r="F452" s="174"/>
      <c r="G452" s="174" t="s">
        <v>883</v>
      </c>
      <c r="H452" s="177">
        <v>832</v>
      </c>
      <c r="I452" s="24">
        <v>103003</v>
      </c>
      <c r="J452" s="178">
        <v>16.32</v>
      </c>
      <c r="K452" s="177">
        <v>46</v>
      </c>
      <c r="L452" s="179">
        <v>217.23237597911225</v>
      </c>
      <c r="M452" s="180">
        <v>0</v>
      </c>
      <c r="N452" s="178">
        <v>0</v>
      </c>
      <c r="O452" s="181" t="s">
        <v>882</v>
      </c>
      <c r="P452" s="180">
        <v>0</v>
      </c>
      <c r="Q452" s="182">
        <v>0</v>
      </c>
      <c r="R452" s="183" t="s">
        <v>883</v>
      </c>
      <c r="S452" s="174" t="s">
        <v>1224</v>
      </c>
      <c r="T452" s="44">
        <v>1</v>
      </c>
      <c r="U452" s="184">
        <v>51</v>
      </c>
      <c r="V452" s="185">
        <v>13</v>
      </c>
      <c r="W452" s="186" t="s">
        <v>883</v>
      </c>
      <c r="X452" s="187" t="s">
        <v>883</v>
      </c>
      <c r="Y452" s="188">
        <v>0</v>
      </c>
      <c r="Z452" s="188" t="s">
        <v>883</v>
      </c>
      <c r="AA452" s="187" t="s">
        <v>883</v>
      </c>
      <c r="AB452" s="188">
        <v>0</v>
      </c>
      <c r="AC452" s="188"/>
      <c r="AD452" s="189" t="s">
        <v>883</v>
      </c>
      <c r="AE452" s="190" t="s">
        <v>883</v>
      </c>
      <c r="AF452" s="180">
        <v>16</v>
      </c>
      <c r="AG452" s="183">
        <v>43852</v>
      </c>
      <c r="AH452" s="183">
        <v>38583</v>
      </c>
      <c r="AI452" s="183">
        <v>44005</v>
      </c>
      <c r="AJ452" s="183" t="s">
        <v>883</v>
      </c>
      <c r="AK452" s="174"/>
    </row>
    <row r="453" spans="1:37" x14ac:dyDescent="0.3">
      <c r="A453" s="173">
        <v>87586</v>
      </c>
      <c r="B453" s="174" t="s">
        <v>1486</v>
      </c>
      <c r="C453" s="175" t="s">
        <v>1067</v>
      </c>
      <c r="D453" s="176">
        <v>440</v>
      </c>
      <c r="E453" s="174"/>
      <c r="F453" s="174"/>
      <c r="G453" s="174" t="s">
        <v>883</v>
      </c>
      <c r="H453" s="177">
        <v>15</v>
      </c>
      <c r="I453" s="24">
        <v>103003</v>
      </c>
      <c r="J453" s="178">
        <v>440</v>
      </c>
      <c r="K453" s="177">
        <v>26</v>
      </c>
      <c r="L453" s="179">
        <v>6.9124423963133648</v>
      </c>
      <c r="M453" s="180">
        <v>1.04</v>
      </c>
      <c r="N453" s="178">
        <v>457.6</v>
      </c>
      <c r="O453" s="181" t="s">
        <v>882</v>
      </c>
      <c r="P453" s="180">
        <v>0</v>
      </c>
      <c r="Q453" s="182">
        <v>0</v>
      </c>
      <c r="R453" s="183" t="s">
        <v>883</v>
      </c>
      <c r="S453" s="174" t="s">
        <v>1068</v>
      </c>
      <c r="T453" s="44">
        <v>1</v>
      </c>
      <c r="U453" s="184">
        <v>76</v>
      </c>
      <c r="V453" s="185">
        <v>5</v>
      </c>
      <c r="W453" s="186">
        <v>2787</v>
      </c>
      <c r="X453" s="187">
        <v>2023</v>
      </c>
      <c r="Y453" s="188">
        <v>10</v>
      </c>
      <c r="Z453" s="188" t="s">
        <v>883</v>
      </c>
      <c r="AA453" s="187" t="s">
        <v>883</v>
      </c>
      <c r="AB453" s="188">
        <v>0</v>
      </c>
      <c r="AC453" s="188"/>
      <c r="AD453" s="189" t="s">
        <v>883</v>
      </c>
      <c r="AE453" s="190" t="s">
        <v>883</v>
      </c>
      <c r="AF453" s="180">
        <v>8</v>
      </c>
      <c r="AG453" s="183">
        <v>44986</v>
      </c>
      <c r="AH453" s="183">
        <v>38603</v>
      </c>
      <c r="AI453" s="183">
        <v>44916</v>
      </c>
      <c r="AJ453" s="183" t="s">
        <v>883</v>
      </c>
      <c r="AK453" s="174"/>
    </row>
    <row r="454" spans="1:37" x14ac:dyDescent="0.3">
      <c r="A454" s="173">
        <v>87698</v>
      </c>
      <c r="B454" s="174" t="s">
        <v>1487</v>
      </c>
      <c r="C454" s="175" t="s">
        <v>256</v>
      </c>
      <c r="D454" s="176">
        <v>3.63</v>
      </c>
      <c r="E454" s="174" t="s">
        <v>1488</v>
      </c>
      <c r="F454" s="174" t="s">
        <v>1489</v>
      </c>
      <c r="G454" s="174" t="s">
        <v>890</v>
      </c>
      <c r="H454" s="177">
        <v>14</v>
      </c>
      <c r="I454" s="24">
        <v>103003</v>
      </c>
      <c r="J454" s="178">
        <v>3.63</v>
      </c>
      <c r="K454" s="177">
        <v>13</v>
      </c>
      <c r="L454" s="179">
        <v>12.962962962962962</v>
      </c>
      <c r="M454" s="180">
        <v>0</v>
      </c>
      <c r="N454" s="178">
        <v>0</v>
      </c>
      <c r="O454" s="181" t="s">
        <v>891</v>
      </c>
      <c r="P454" s="180">
        <v>330</v>
      </c>
      <c r="Q454" s="182">
        <v>1197.9000000000001</v>
      </c>
      <c r="R454" s="183">
        <v>45377</v>
      </c>
      <c r="S454" s="174" t="s">
        <v>1430</v>
      </c>
      <c r="T454" s="44">
        <v>1</v>
      </c>
      <c r="U454" s="184">
        <v>72</v>
      </c>
      <c r="V454" s="185">
        <v>5</v>
      </c>
      <c r="W454" s="186" t="s">
        <v>883</v>
      </c>
      <c r="X454" s="187" t="s">
        <v>883</v>
      </c>
      <c r="Y454" s="188">
        <v>0</v>
      </c>
      <c r="Z454" s="188" t="s">
        <v>883</v>
      </c>
      <c r="AA454" s="187" t="s">
        <v>883</v>
      </c>
      <c r="AB454" s="188">
        <v>0</v>
      </c>
      <c r="AC454" s="188"/>
      <c r="AD454" s="189" t="s">
        <v>883</v>
      </c>
      <c r="AE454" s="190" t="s">
        <v>883</v>
      </c>
      <c r="AF454" s="180">
        <v>4</v>
      </c>
      <c r="AG454" s="183">
        <v>45075</v>
      </c>
      <c r="AH454" s="183">
        <v>38611</v>
      </c>
      <c r="AI454" s="183">
        <v>45051</v>
      </c>
      <c r="AJ454" s="183" t="s">
        <v>883</v>
      </c>
      <c r="AK454" s="174"/>
    </row>
    <row r="455" spans="1:37" x14ac:dyDescent="0.3">
      <c r="A455" s="173">
        <v>87699</v>
      </c>
      <c r="B455" s="174" t="s">
        <v>1490</v>
      </c>
      <c r="C455" s="175" t="s">
        <v>256</v>
      </c>
      <c r="D455" s="176">
        <v>3.18</v>
      </c>
      <c r="E455" s="174" t="s">
        <v>1488</v>
      </c>
      <c r="F455" s="174" t="s">
        <v>1489</v>
      </c>
      <c r="G455" s="174" t="s">
        <v>890</v>
      </c>
      <c r="H455" s="177">
        <v>86</v>
      </c>
      <c r="I455" s="24">
        <v>103003</v>
      </c>
      <c r="J455" s="178">
        <v>3.18</v>
      </c>
      <c r="K455" s="177">
        <v>2</v>
      </c>
      <c r="L455" s="179">
        <v>505.88235294117646</v>
      </c>
      <c r="M455" s="180">
        <v>0</v>
      </c>
      <c r="N455" s="178">
        <v>0</v>
      </c>
      <c r="O455" s="181" t="s">
        <v>891</v>
      </c>
      <c r="P455" s="180">
        <v>330</v>
      </c>
      <c r="Q455" s="182">
        <v>1049.4000000000001</v>
      </c>
      <c r="R455" s="183">
        <v>45377</v>
      </c>
      <c r="S455" s="174" t="s">
        <v>1430</v>
      </c>
      <c r="T455" s="44">
        <v>1</v>
      </c>
      <c r="U455" s="184">
        <v>72</v>
      </c>
      <c r="V455" s="185">
        <v>5</v>
      </c>
      <c r="W455" s="186" t="s">
        <v>883</v>
      </c>
      <c r="X455" s="187" t="s">
        <v>883</v>
      </c>
      <c r="Y455" s="188">
        <v>0</v>
      </c>
      <c r="Z455" s="188" t="s">
        <v>883</v>
      </c>
      <c r="AA455" s="187" t="s">
        <v>883</v>
      </c>
      <c r="AB455" s="188">
        <v>0</v>
      </c>
      <c r="AC455" s="188"/>
      <c r="AD455" s="189" t="s">
        <v>883</v>
      </c>
      <c r="AE455" s="190" t="s">
        <v>883</v>
      </c>
      <c r="AF455" s="180">
        <v>0</v>
      </c>
      <c r="AG455" s="183">
        <v>43279</v>
      </c>
      <c r="AH455" s="183">
        <v>38611</v>
      </c>
      <c r="AI455" s="183">
        <v>45041</v>
      </c>
      <c r="AJ455" s="183" t="s">
        <v>883</v>
      </c>
      <c r="AK455" s="174"/>
    </row>
    <row r="456" spans="1:37" x14ac:dyDescent="0.3">
      <c r="A456" s="173">
        <v>88718</v>
      </c>
      <c r="B456" s="174" t="s">
        <v>473</v>
      </c>
      <c r="C456" s="175" t="s">
        <v>256</v>
      </c>
      <c r="D456" s="176">
        <v>33.1</v>
      </c>
      <c r="E456" s="174"/>
      <c r="F456" s="174"/>
      <c r="G456" s="174" t="s">
        <v>883</v>
      </c>
      <c r="H456" s="177">
        <v>96</v>
      </c>
      <c r="I456" s="24">
        <v>103003</v>
      </c>
      <c r="J456" s="178">
        <v>33.1</v>
      </c>
      <c r="K456" s="177">
        <v>12</v>
      </c>
      <c r="L456" s="179">
        <v>96</v>
      </c>
      <c r="M456" s="180">
        <v>0</v>
      </c>
      <c r="N456" s="178">
        <v>0</v>
      </c>
      <c r="O456" s="181" t="s">
        <v>882</v>
      </c>
      <c r="P456" s="180">
        <v>0</v>
      </c>
      <c r="Q456" s="182">
        <v>0</v>
      </c>
      <c r="R456" s="183" t="s">
        <v>883</v>
      </c>
      <c r="S456" s="174" t="s">
        <v>1491</v>
      </c>
      <c r="T456" s="44">
        <v>1</v>
      </c>
      <c r="U456" s="184">
        <v>55</v>
      </c>
      <c r="V456" s="185">
        <v>26</v>
      </c>
      <c r="W456" s="186" t="s">
        <v>883</v>
      </c>
      <c r="X456" s="187" t="s">
        <v>883</v>
      </c>
      <c r="Y456" s="188">
        <v>0</v>
      </c>
      <c r="Z456" s="188" t="s">
        <v>883</v>
      </c>
      <c r="AA456" s="187" t="s">
        <v>883</v>
      </c>
      <c r="AB456" s="188">
        <v>0</v>
      </c>
      <c r="AC456" s="188"/>
      <c r="AD456" s="189" t="s">
        <v>883</v>
      </c>
      <c r="AE456" s="190" t="s">
        <v>883</v>
      </c>
      <c r="AF456" s="180">
        <v>4</v>
      </c>
      <c r="AG456" s="183">
        <v>44951</v>
      </c>
      <c r="AH456" s="183">
        <v>38656</v>
      </c>
      <c r="AI456" s="183">
        <v>44917</v>
      </c>
      <c r="AJ456" s="183" t="s">
        <v>883</v>
      </c>
      <c r="AK456" s="174"/>
    </row>
    <row r="457" spans="1:37" x14ac:dyDescent="0.3">
      <c r="A457" s="173">
        <v>88726</v>
      </c>
      <c r="B457" s="174" t="s">
        <v>1492</v>
      </c>
      <c r="C457" s="175" t="s">
        <v>256</v>
      </c>
      <c r="D457" s="176">
        <v>20</v>
      </c>
      <c r="E457" s="174"/>
      <c r="F457" s="174"/>
      <c r="G457" s="174" t="s">
        <v>883</v>
      </c>
      <c r="H457" s="177">
        <v>150</v>
      </c>
      <c r="I457" s="24">
        <v>103003</v>
      </c>
      <c r="J457" s="178">
        <v>20</v>
      </c>
      <c r="K457" s="177">
        <v>29</v>
      </c>
      <c r="L457" s="179">
        <v>54.54545454545454</v>
      </c>
      <c r="M457" s="180">
        <v>0</v>
      </c>
      <c r="N457" s="178">
        <v>0</v>
      </c>
      <c r="O457" s="181" t="s">
        <v>882</v>
      </c>
      <c r="P457" s="180">
        <v>0</v>
      </c>
      <c r="Q457" s="182">
        <v>0</v>
      </c>
      <c r="R457" s="183" t="s">
        <v>883</v>
      </c>
      <c r="S457" s="174" t="s">
        <v>1491</v>
      </c>
      <c r="T457" s="44">
        <v>1</v>
      </c>
      <c r="U457" s="184">
        <v>55</v>
      </c>
      <c r="V457" s="185">
        <v>26</v>
      </c>
      <c r="W457" s="186" t="s">
        <v>883</v>
      </c>
      <c r="X457" s="187" t="s">
        <v>883</v>
      </c>
      <c r="Y457" s="188">
        <v>0</v>
      </c>
      <c r="Z457" s="188" t="s">
        <v>883</v>
      </c>
      <c r="AA457" s="187" t="s">
        <v>883</v>
      </c>
      <c r="AB457" s="188">
        <v>0</v>
      </c>
      <c r="AC457" s="188"/>
      <c r="AD457" s="189" t="s">
        <v>883</v>
      </c>
      <c r="AE457" s="190" t="s">
        <v>883</v>
      </c>
      <c r="AF457" s="180">
        <v>12</v>
      </c>
      <c r="AG457" s="183">
        <v>44336</v>
      </c>
      <c r="AH457" s="183">
        <v>38656</v>
      </c>
      <c r="AI457" s="183">
        <v>44333</v>
      </c>
      <c r="AJ457" s="183" t="s">
        <v>883</v>
      </c>
      <c r="AK457" s="174"/>
    </row>
    <row r="458" spans="1:37" x14ac:dyDescent="0.3">
      <c r="A458" s="173">
        <v>88727</v>
      </c>
      <c r="B458" s="174" t="s">
        <v>1493</v>
      </c>
      <c r="C458" s="175" t="s">
        <v>256</v>
      </c>
      <c r="D458" s="176">
        <v>20.61</v>
      </c>
      <c r="E458" s="174"/>
      <c r="F458" s="174"/>
      <c r="G458" s="174" t="s">
        <v>883</v>
      </c>
      <c r="H458" s="177">
        <v>248</v>
      </c>
      <c r="I458" s="24">
        <v>103003</v>
      </c>
      <c r="J458" s="178">
        <v>20.61</v>
      </c>
      <c r="K458" s="177">
        <v>167</v>
      </c>
      <c r="L458" s="179">
        <v>15.746031746031747</v>
      </c>
      <c r="M458" s="180">
        <v>0</v>
      </c>
      <c r="N458" s="178">
        <v>0</v>
      </c>
      <c r="O458" s="181" t="s">
        <v>882</v>
      </c>
      <c r="P458" s="180">
        <v>0</v>
      </c>
      <c r="Q458" s="182">
        <v>0</v>
      </c>
      <c r="R458" s="183" t="s">
        <v>883</v>
      </c>
      <c r="S458" s="174" t="s">
        <v>1491</v>
      </c>
      <c r="T458" s="44">
        <v>1</v>
      </c>
      <c r="U458" s="184">
        <v>55</v>
      </c>
      <c r="V458" s="185">
        <v>26</v>
      </c>
      <c r="W458" s="186" t="s">
        <v>883</v>
      </c>
      <c r="X458" s="187" t="s">
        <v>883</v>
      </c>
      <c r="Y458" s="188">
        <v>0</v>
      </c>
      <c r="Z458" s="188" t="s">
        <v>883</v>
      </c>
      <c r="AA458" s="187" t="s">
        <v>883</v>
      </c>
      <c r="AB458" s="188">
        <v>0</v>
      </c>
      <c r="AC458" s="188"/>
      <c r="AD458" s="189" t="s">
        <v>883</v>
      </c>
      <c r="AE458" s="190" t="s">
        <v>883</v>
      </c>
      <c r="AF458" s="180">
        <v>64</v>
      </c>
      <c r="AG458" s="183">
        <v>44545</v>
      </c>
      <c r="AH458" s="183">
        <v>38656</v>
      </c>
      <c r="AI458" s="183">
        <v>44516</v>
      </c>
      <c r="AJ458" s="183" t="s">
        <v>883</v>
      </c>
      <c r="AK458" s="174"/>
    </row>
    <row r="459" spans="1:37" x14ac:dyDescent="0.3">
      <c r="A459" s="173">
        <v>88728</v>
      </c>
      <c r="B459" s="174" t="s">
        <v>1494</v>
      </c>
      <c r="C459" s="175" t="s">
        <v>256</v>
      </c>
      <c r="D459" s="176">
        <v>28</v>
      </c>
      <c r="E459" s="174"/>
      <c r="F459" s="174"/>
      <c r="G459" s="174" t="s">
        <v>883</v>
      </c>
      <c r="H459" s="177">
        <v>186</v>
      </c>
      <c r="I459" s="24">
        <v>103003</v>
      </c>
      <c r="J459" s="178">
        <v>28</v>
      </c>
      <c r="K459" s="177">
        <v>88</v>
      </c>
      <c r="L459" s="179">
        <v>19.935691318327976</v>
      </c>
      <c r="M459" s="180">
        <v>0</v>
      </c>
      <c r="N459" s="178">
        <v>0</v>
      </c>
      <c r="O459" s="181" t="s">
        <v>882</v>
      </c>
      <c r="P459" s="180">
        <v>0</v>
      </c>
      <c r="Q459" s="182">
        <v>0</v>
      </c>
      <c r="R459" s="183" t="s">
        <v>883</v>
      </c>
      <c r="S459" s="174" t="s">
        <v>1491</v>
      </c>
      <c r="T459" s="44">
        <v>1</v>
      </c>
      <c r="U459" s="184">
        <v>55</v>
      </c>
      <c r="V459" s="185">
        <v>26</v>
      </c>
      <c r="W459" s="186" t="s">
        <v>883</v>
      </c>
      <c r="X459" s="187" t="s">
        <v>883</v>
      </c>
      <c r="Y459" s="188">
        <v>0</v>
      </c>
      <c r="Z459" s="188" t="s">
        <v>883</v>
      </c>
      <c r="AA459" s="187" t="s">
        <v>883</v>
      </c>
      <c r="AB459" s="188">
        <v>0</v>
      </c>
      <c r="AC459" s="188"/>
      <c r="AD459" s="189" t="s">
        <v>883</v>
      </c>
      <c r="AE459" s="190" t="s">
        <v>883</v>
      </c>
      <c r="AF459" s="180">
        <v>38</v>
      </c>
      <c r="AG459" s="183">
        <v>44336</v>
      </c>
      <c r="AH459" s="183">
        <v>38656</v>
      </c>
      <c r="AI459" s="183">
        <v>45075</v>
      </c>
      <c r="AJ459" s="183" t="s">
        <v>883</v>
      </c>
      <c r="AK459" s="174"/>
    </row>
    <row r="460" spans="1:37" x14ac:dyDescent="0.3">
      <c r="A460" s="173">
        <v>88729</v>
      </c>
      <c r="B460" s="174" t="s">
        <v>1495</v>
      </c>
      <c r="C460" s="175" t="s">
        <v>256</v>
      </c>
      <c r="D460" s="176">
        <v>27.87</v>
      </c>
      <c r="E460" s="174"/>
      <c r="F460" s="174"/>
      <c r="G460" s="174" t="s">
        <v>883</v>
      </c>
      <c r="H460" s="177">
        <v>17</v>
      </c>
      <c r="I460" s="24">
        <v>103003</v>
      </c>
      <c r="J460" s="178">
        <v>27.87</v>
      </c>
      <c r="K460" s="177">
        <v>49</v>
      </c>
      <c r="L460" s="179">
        <v>3.7777777777777781</v>
      </c>
      <c r="M460" s="180">
        <v>22</v>
      </c>
      <c r="N460" s="178">
        <v>613.14</v>
      </c>
      <c r="O460" s="181" t="s">
        <v>882</v>
      </c>
      <c r="P460" s="180">
        <v>0</v>
      </c>
      <c r="Q460" s="182">
        <v>0</v>
      </c>
      <c r="R460" s="183" t="s">
        <v>883</v>
      </c>
      <c r="S460" s="174" t="s">
        <v>1491</v>
      </c>
      <c r="T460" s="44">
        <v>1</v>
      </c>
      <c r="U460" s="184">
        <v>55</v>
      </c>
      <c r="V460" s="185">
        <v>26</v>
      </c>
      <c r="W460" s="186">
        <v>2442</v>
      </c>
      <c r="X460" s="187">
        <v>2023</v>
      </c>
      <c r="Y460" s="188">
        <v>15</v>
      </c>
      <c r="Z460" s="188" t="s">
        <v>883</v>
      </c>
      <c r="AA460" s="187" t="s">
        <v>883</v>
      </c>
      <c r="AB460" s="188">
        <v>0</v>
      </c>
      <c r="AC460" s="188"/>
      <c r="AD460" s="189" t="s">
        <v>883</v>
      </c>
      <c r="AE460" s="190" t="s">
        <v>883</v>
      </c>
      <c r="AF460" s="180">
        <v>18</v>
      </c>
      <c r="AG460" s="183">
        <v>44175</v>
      </c>
      <c r="AH460" s="183">
        <v>38656</v>
      </c>
      <c r="AI460" s="183">
        <v>44865</v>
      </c>
      <c r="AJ460" s="183" t="s">
        <v>883</v>
      </c>
      <c r="AK460" s="174"/>
    </row>
    <row r="461" spans="1:37" x14ac:dyDescent="0.3">
      <c r="A461" s="173">
        <v>88730</v>
      </c>
      <c r="B461" s="174" t="s">
        <v>1496</v>
      </c>
      <c r="C461" s="175" t="s">
        <v>256</v>
      </c>
      <c r="D461" s="176">
        <v>22.5</v>
      </c>
      <c r="E461" s="174"/>
      <c r="F461" s="174"/>
      <c r="G461" s="174" t="s">
        <v>883</v>
      </c>
      <c r="H461" s="177">
        <v>18</v>
      </c>
      <c r="I461" s="24">
        <v>103003</v>
      </c>
      <c r="J461" s="178">
        <v>22.5</v>
      </c>
      <c r="K461" s="177">
        <v>19</v>
      </c>
      <c r="L461" s="179">
        <v>11.39240506329114</v>
      </c>
      <c r="M461" s="180">
        <v>0</v>
      </c>
      <c r="N461" s="178">
        <v>0</v>
      </c>
      <c r="O461" s="181" t="s">
        <v>882</v>
      </c>
      <c r="P461" s="180">
        <v>0</v>
      </c>
      <c r="Q461" s="182">
        <v>0</v>
      </c>
      <c r="R461" s="183" t="s">
        <v>883</v>
      </c>
      <c r="S461" s="174" t="s">
        <v>1491</v>
      </c>
      <c r="T461" s="44">
        <v>1</v>
      </c>
      <c r="U461" s="184">
        <v>55</v>
      </c>
      <c r="V461" s="185">
        <v>26</v>
      </c>
      <c r="W461" s="186">
        <v>2442</v>
      </c>
      <c r="X461" s="187">
        <v>2023</v>
      </c>
      <c r="Y461" s="188">
        <v>10</v>
      </c>
      <c r="Z461" s="188" t="s">
        <v>883</v>
      </c>
      <c r="AA461" s="187" t="s">
        <v>883</v>
      </c>
      <c r="AB461" s="188">
        <v>0</v>
      </c>
      <c r="AC461" s="188"/>
      <c r="AD461" s="189" t="s">
        <v>883</v>
      </c>
      <c r="AE461" s="190" t="s">
        <v>883</v>
      </c>
      <c r="AF461" s="180">
        <v>6</v>
      </c>
      <c r="AG461" s="183">
        <v>44874</v>
      </c>
      <c r="AH461" s="183">
        <v>38656</v>
      </c>
      <c r="AI461" s="183">
        <v>44845</v>
      </c>
      <c r="AJ461" s="183" t="s">
        <v>883</v>
      </c>
      <c r="AK461" s="174"/>
    </row>
    <row r="462" spans="1:37" x14ac:dyDescent="0.3">
      <c r="A462" s="173">
        <v>88731</v>
      </c>
      <c r="B462" s="174" t="s">
        <v>1497</v>
      </c>
      <c r="C462" s="175" t="s">
        <v>256</v>
      </c>
      <c r="D462" s="176">
        <v>15.28</v>
      </c>
      <c r="E462" s="174"/>
      <c r="F462" s="174"/>
      <c r="G462" s="174" t="s">
        <v>883</v>
      </c>
      <c r="H462" s="177">
        <v>40</v>
      </c>
      <c r="I462" s="24">
        <v>103003</v>
      </c>
      <c r="J462" s="178">
        <v>15.28</v>
      </c>
      <c r="K462" s="177">
        <v>1</v>
      </c>
      <c r="L462" s="179">
        <v>500</v>
      </c>
      <c r="M462" s="180">
        <v>0</v>
      </c>
      <c r="N462" s="178">
        <v>0</v>
      </c>
      <c r="O462" s="181" t="s">
        <v>882</v>
      </c>
      <c r="P462" s="180">
        <v>0</v>
      </c>
      <c r="Q462" s="182">
        <v>0</v>
      </c>
      <c r="R462" s="183" t="s">
        <v>883</v>
      </c>
      <c r="S462" s="174" t="s">
        <v>1491</v>
      </c>
      <c r="T462" s="44">
        <v>1</v>
      </c>
      <c r="U462" s="184">
        <v>55</v>
      </c>
      <c r="V462" s="185">
        <v>26</v>
      </c>
      <c r="W462" s="186" t="s">
        <v>883</v>
      </c>
      <c r="X462" s="187" t="s">
        <v>883</v>
      </c>
      <c r="Y462" s="188">
        <v>0</v>
      </c>
      <c r="Z462" s="188" t="s">
        <v>883</v>
      </c>
      <c r="AA462" s="187" t="s">
        <v>883</v>
      </c>
      <c r="AB462" s="188">
        <v>0</v>
      </c>
      <c r="AC462" s="188"/>
      <c r="AD462" s="189" t="s">
        <v>883</v>
      </c>
      <c r="AE462" s="190" t="s">
        <v>883</v>
      </c>
      <c r="AF462" s="180">
        <v>0</v>
      </c>
      <c r="AG462" s="183">
        <v>40200</v>
      </c>
      <c r="AH462" s="183">
        <v>38656</v>
      </c>
      <c r="AI462" s="183">
        <v>41040</v>
      </c>
      <c r="AJ462" s="183" t="s">
        <v>883</v>
      </c>
      <c r="AK462" s="174"/>
    </row>
    <row r="463" spans="1:37" x14ac:dyDescent="0.3">
      <c r="A463" s="173">
        <v>88732</v>
      </c>
      <c r="B463" s="174" t="s">
        <v>1498</v>
      </c>
      <c r="C463" s="175" t="s">
        <v>256</v>
      </c>
      <c r="D463" s="176">
        <v>19.5</v>
      </c>
      <c r="E463" s="174"/>
      <c r="F463" s="174"/>
      <c r="G463" s="174" t="s">
        <v>883</v>
      </c>
      <c r="H463" s="177">
        <v>24</v>
      </c>
      <c r="I463" s="24">
        <v>103003</v>
      </c>
      <c r="J463" s="178">
        <v>19.5</v>
      </c>
      <c r="K463" s="177">
        <v>36</v>
      </c>
      <c r="L463" s="179">
        <v>8</v>
      </c>
      <c r="M463" s="180">
        <v>2</v>
      </c>
      <c r="N463" s="178">
        <v>39</v>
      </c>
      <c r="O463" s="181" t="s">
        <v>882</v>
      </c>
      <c r="P463" s="180">
        <v>0</v>
      </c>
      <c r="Q463" s="182">
        <v>0</v>
      </c>
      <c r="R463" s="183" t="s">
        <v>883</v>
      </c>
      <c r="S463" s="174" t="s">
        <v>1491</v>
      </c>
      <c r="T463" s="44">
        <v>1</v>
      </c>
      <c r="U463" s="184">
        <v>55</v>
      </c>
      <c r="V463" s="185">
        <v>26</v>
      </c>
      <c r="W463" s="186">
        <v>2442</v>
      </c>
      <c r="X463" s="187">
        <v>2023</v>
      </c>
      <c r="Y463" s="188">
        <v>10</v>
      </c>
      <c r="Z463" s="188" t="s">
        <v>883</v>
      </c>
      <c r="AA463" s="187" t="s">
        <v>883</v>
      </c>
      <c r="AB463" s="188">
        <v>0</v>
      </c>
      <c r="AC463" s="188"/>
      <c r="AD463" s="189" t="s">
        <v>883</v>
      </c>
      <c r="AE463" s="190" t="s">
        <v>883</v>
      </c>
      <c r="AF463" s="180">
        <v>12</v>
      </c>
      <c r="AG463" s="183">
        <v>43903</v>
      </c>
      <c r="AH463" s="183">
        <v>38656</v>
      </c>
      <c r="AI463" s="183">
        <v>43892</v>
      </c>
      <c r="AJ463" s="183" t="s">
        <v>883</v>
      </c>
      <c r="AK463" s="174"/>
    </row>
    <row r="464" spans="1:37" x14ac:dyDescent="0.3">
      <c r="A464" s="173">
        <v>88733</v>
      </c>
      <c r="B464" s="174" t="s">
        <v>1499</v>
      </c>
      <c r="C464" s="175" t="s">
        <v>256</v>
      </c>
      <c r="D464" s="176">
        <v>28.2</v>
      </c>
      <c r="E464" s="174"/>
      <c r="F464" s="174"/>
      <c r="G464" s="174" t="s">
        <v>883</v>
      </c>
      <c r="H464" s="177">
        <v>0</v>
      </c>
      <c r="I464" s="24">
        <v>103003</v>
      </c>
      <c r="J464" s="178">
        <v>28.2</v>
      </c>
      <c r="K464" s="177">
        <v>56</v>
      </c>
      <c r="L464" s="179">
        <v>0</v>
      </c>
      <c r="M464" s="180">
        <v>39.04</v>
      </c>
      <c r="N464" s="178">
        <v>1100.9280000000001</v>
      </c>
      <c r="O464" s="181" t="s">
        <v>882</v>
      </c>
      <c r="P464" s="180">
        <v>0</v>
      </c>
      <c r="Q464" s="182">
        <v>0</v>
      </c>
      <c r="R464" s="183" t="s">
        <v>883</v>
      </c>
      <c r="S464" s="174" t="s">
        <v>1491</v>
      </c>
      <c r="T464" s="44">
        <v>1</v>
      </c>
      <c r="U464" s="184">
        <v>55</v>
      </c>
      <c r="V464" s="185">
        <v>26</v>
      </c>
      <c r="W464" s="186">
        <v>2956</v>
      </c>
      <c r="X464" s="187">
        <v>2023</v>
      </c>
      <c r="Y464" s="188">
        <v>20</v>
      </c>
      <c r="Z464" s="188" t="s">
        <v>883</v>
      </c>
      <c r="AA464" s="187" t="s">
        <v>883</v>
      </c>
      <c r="AB464" s="188">
        <v>0</v>
      </c>
      <c r="AC464" s="188"/>
      <c r="AD464" s="189" t="s">
        <v>883</v>
      </c>
      <c r="AE464" s="190" t="s">
        <v>883</v>
      </c>
      <c r="AF464" s="180">
        <v>20</v>
      </c>
      <c r="AG464" s="183">
        <v>44175</v>
      </c>
      <c r="AH464" s="183">
        <v>38656</v>
      </c>
      <c r="AI464" s="183">
        <v>44167</v>
      </c>
      <c r="AJ464" s="183" t="s">
        <v>883</v>
      </c>
      <c r="AK464" s="174"/>
    </row>
    <row r="465" spans="1:37" x14ac:dyDescent="0.3">
      <c r="A465" s="173">
        <v>88734</v>
      </c>
      <c r="B465" s="174" t="s">
        <v>1500</v>
      </c>
      <c r="C465" s="175" t="s">
        <v>256</v>
      </c>
      <c r="D465" s="176">
        <v>44</v>
      </c>
      <c r="E465" s="174"/>
      <c r="F465" s="174"/>
      <c r="G465" s="174" t="s">
        <v>883</v>
      </c>
      <c r="H465" s="177">
        <v>44</v>
      </c>
      <c r="I465" s="24">
        <v>103003</v>
      </c>
      <c r="J465" s="178">
        <v>44</v>
      </c>
      <c r="K465" s="177">
        <v>8</v>
      </c>
      <c r="L465" s="179">
        <v>65.671641791044777</v>
      </c>
      <c r="M465" s="180">
        <v>0</v>
      </c>
      <c r="N465" s="178">
        <v>0</v>
      </c>
      <c r="O465" s="181" t="s">
        <v>882</v>
      </c>
      <c r="P465" s="180">
        <v>0</v>
      </c>
      <c r="Q465" s="182">
        <v>0</v>
      </c>
      <c r="R465" s="183" t="s">
        <v>883</v>
      </c>
      <c r="S465" s="174" t="s">
        <v>1491</v>
      </c>
      <c r="T465" s="44">
        <v>1</v>
      </c>
      <c r="U465" s="184">
        <v>55</v>
      </c>
      <c r="V465" s="185">
        <v>26</v>
      </c>
      <c r="W465" s="186" t="s">
        <v>883</v>
      </c>
      <c r="X465" s="187" t="s">
        <v>883</v>
      </c>
      <c r="Y465" s="188">
        <v>0</v>
      </c>
      <c r="Z465" s="188" t="s">
        <v>883</v>
      </c>
      <c r="AA465" s="187" t="s">
        <v>883</v>
      </c>
      <c r="AB465" s="188">
        <v>0</v>
      </c>
      <c r="AC465" s="188"/>
      <c r="AD465" s="189" t="s">
        <v>883</v>
      </c>
      <c r="AE465" s="190" t="s">
        <v>883</v>
      </c>
      <c r="AF465" s="180">
        <v>2</v>
      </c>
      <c r="AG465" s="183">
        <v>43903</v>
      </c>
      <c r="AH465" s="183">
        <v>38656</v>
      </c>
      <c r="AI465" s="183">
        <v>44687</v>
      </c>
      <c r="AJ465" s="183" t="s">
        <v>883</v>
      </c>
      <c r="AK465" s="174"/>
    </row>
    <row r="466" spans="1:37" x14ac:dyDescent="0.3">
      <c r="A466" s="173">
        <v>88735</v>
      </c>
      <c r="B466" s="174" t="s">
        <v>1501</v>
      </c>
      <c r="C466" s="175" t="s">
        <v>256</v>
      </c>
      <c r="D466" s="176">
        <v>34.299999999999997</v>
      </c>
      <c r="E466" s="174"/>
      <c r="F466" s="174"/>
      <c r="G466" s="174" t="s">
        <v>883</v>
      </c>
      <c r="H466" s="177">
        <v>91</v>
      </c>
      <c r="I466" s="24">
        <v>103003</v>
      </c>
      <c r="J466" s="178">
        <v>34.299999999999997</v>
      </c>
      <c r="K466" s="177">
        <v>22</v>
      </c>
      <c r="L466" s="179">
        <v>47.395833333333329</v>
      </c>
      <c r="M466" s="180">
        <v>0</v>
      </c>
      <c r="N466" s="178">
        <v>0</v>
      </c>
      <c r="O466" s="181" t="s">
        <v>882</v>
      </c>
      <c r="P466" s="180">
        <v>0</v>
      </c>
      <c r="Q466" s="182">
        <v>0</v>
      </c>
      <c r="R466" s="183" t="s">
        <v>883</v>
      </c>
      <c r="S466" s="174" t="s">
        <v>1491</v>
      </c>
      <c r="T466" s="44">
        <v>1</v>
      </c>
      <c r="U466" s="184">
        <v>55</v>
      </c>
      <c r="V466" s="185">
        <v>26</v>
      </c>
      <c r="W466" s="186" t="s">
        <v>883</v>
      </c>
      <c r="X466" s="187" t="s">
        <v>883</v>
      </c>
      <c r="Y466" s="188">
        <v>0</v>
      </c>
      <c r="Z466" s="188" t="s">
        <v>883</v>
      </c>
      <c r="AA466" s="187" t="s">
        <v>883</v>
      </c>
      <c r="AB466" s="188">
        <v>0</v>
      </c>
      <c r="AC466" s="188"/>
      <c r="AD466" s="189" t="s">
        <v>883</v>
      </c>
      <c r="AE466" s="190" t="s">
        <v>883</v>
      </c>
      <c r="AF466" s="180">
        <v>8</v>
      </c>
      <c r="AG466" s="183">
        <v>44628</v>
      </c>
      <c r="AH466" s="183">
        <v>38656</v>
      </c>
      <c r="AI466" s="183">
        <v>44616</v>
      </c>
      <c r="AJ466" s="183" t="s">
        <v>883</v>
      </c>
      <c r="AK466" s="174"/>
    </row>
    <row r="467" spans="1:37" x14ac:dyDescent="0.3">
      <c r="A467" s="173">
        <v>88740</v>
      </c>
      <c r="B467" s="174" t="s">
        <v>1502</v>
      </c>
      <c r="C467" s="175" t="s">
        <v>256</v>
      </c>
      <c r="D467" s="176">
        <v>20.079999999999998</v>
      </c>
      <c r="E467" s="174"/>
      <c r="F467" s="174"/>
      <c r="G467" s="174" t="s">
        <v>883</v>
      </c>
      <c r="H467" s="177">
        <v>76</v>
      </c>
      <c r="I467" s="24">
        <v>103003</v>
      </c>
      <c r="J467" s="178">
        <v>20.079999999999998</v>
      </c>
      <c r="K467" s="177">
        <v>78</v>
      </c>
      <c r="L467" s="179">
        <v>11.550151975683891</v>
      </c>
      <c r="M467" s="180">
        <v>2.96</v>
      </c>
      <c r="N467" s="178">
        <v>59.436799999999998</v>
      </c>
      <c r="O467" s="181" t="s">
        <v>882</v>
      </c>
      <c r="P467" s="180">
        <v>0</v>
      </c>
      <c r="Q467" s="182">
        <v>0</v>
      </c>
      <c r="R467" s="183" t="s">
        <v>883</v>
      </c>
      <c r="S467" s="174" t="s">
        <v>1491</v>
      </c>
      <c r="T467" s="44">
        <v>1</v>
      </c>
      <c r="U467" s="184">
        <v>55</v>
      </c>
      <c r="V467" s="185">
        <v>26</v>
      </c>
      <c r="W467" s="186" t="s">
        <v>883</v>
      </c>
      <c r="X467" s="187" t="s">
        <v>883</v>
      </c>
      <c r="Y467" s="188">
        <v>0</v>
      </c>
      <c r="Z467" s="188" t="s">
        <v>883</v>
      </c>
      <c r="AA467" s="187" t="s">
        <v>883</v>
      </c>
      <c r="AB467" s="188">
        <v>0</v>
      </c>
      <c r="AC467" s="188"/>
      <c r="AD467" s="189" t="s">
        <v>883</v>
      </c>
      <c r="AE467" s="190" t="s">
        <v>883</v>
      </c>
      <c r="AF467" s="180">
        <v>26</v>
      </c>
      <c r="AG467" s="183">
        <v>41173</v>
      </c>
      <c r="AH467" s="183">
        <v>38656</v>
      </c>
      <c r="AI467" s="183">
        <v>44291</v>
      </c>
      <c r="AJ467" s="183" t="s">
        <v>883</v>
      </c>
      <c r="AK467" s="174"/>
    </row>
    <row r="468" spans="1:37" x14ac:dyDescent="0.3">
      <c r="A468" s="173">
        <v>88744</v>
      </c>
      <c r="B468" s="174" t="s">
        <v>1503</v>
      </c>
      <c r="C468" s="175" t="s">
        <v>256</v>
      </c>
      <c r="D468" s="176">
        <v>44</v>
      </c>
      <c r="E468" s="174"/>
      <c r="F468" s="174"/>
      <c r="G468" s="174" t="s">
        <v>883</v>
      </c>
      <c r="H468" s="177">
        <v>32</v>
      </c>
      <c r="I468" s="24">
        <v>103003</v>
      </c>
      <c r="J468" s="178">
        <v>44</v>
      </c>
      <c r="K468" s="177">
        <v>17</v>
      </c>
      <c r="L468" s="179">
        <v>21.333333333333332</v>
      </c>
      <c r="M468" s="180">
        <v>0</v>
      </c>
      <c r="N468" s="178">
        <v>0</v>
      </c>
      <c r="O468" s="181" t="s">
        <v>882</v>
      </c>
      <c r="P468" s="180">
        <v>0</v>
      </c>
      <c r="Q468" s="182">
        <v>0</v>
      </c>
      <c r="R468" s="183" t="s">
        <v>883</v>
      </c>
      <c r="S468" s="174" t="s">
        <v>1491</v>
      </c>
      <c r="T468" s="44">
        <v>1</v>
      </c>
      <c r="U468" s="184">
        <v>55</v>
      </c>
      <c r="V468" s="185">
        <v>26</v>
      </c>
      <c r="W468" s="186" t="s">
        <v>883</v>
      </c>
      <c r="X468" s="187" t="s">
        <v>883</v>
      </c>
      <c r="Y468" s="188">
        <v>0</v>
      </c>
      <c r="Z468" s="188" t="s">
        <v>883</v>
      </c>
      <c r="AA468" s="187" t="s">
        <v>883</v>
      </c>
      <c r="AB468" s="188">
        <v>0</v>
      </c>
      <c r="AC468" s="188"/>
      <c r="AD468" s="189" t="s">
        <v>883</v>
      </c>
      <c r="AE468" s="190" t="s">
        <v>883</v>
      </c>
      <c r="AF468" s="180">
        <v>6</v>
      </c>
      <c r="AG468" s="183">
        <v>44509</v>
      </c>
      <c r="AH468" s="183">
        <v>38656</v>
      </c>
      <c r="AI468" s="183">
        <v>44687</v>
      </c>
      <c r="AJ468" s="183" t="s">
        <v>883</v>
      </c>
      <c r="AK468" s="174"/>
    </row>
    <row r="469" spans="1:37" x14ac:dyDescent="0.3">
      <c r="A469" s="173">
        <v>88745</v>
      </c>
      <c r="B469" s="174" t="s">
        <v>1504</v>
      </c>
      <c r="C469" s="175" t="s">
        <v>256</v>
      </c>
      <c r="D469" s="176">
        <v>80</v>
      </c>
      <c r="E469" s="174"/>
      <c r="F469" s="174"/>
      <c r="G469" s="174" t="s">
        <v>883</v>
      </c>
      <c r="H469" s="177">
        <v>17</v>
      </c>
      <c r="I469" s="24">
        <v>103003</v>
      </c>
      <c r="J469" s="178">
        <v>80</v>
      </c>
      <c r="K469" s="177">
        <v>15</v>
      </c>
      <c r="L469" s="179">
        <v>13.6</v>
      </c>
      <c r="M469" s="180">
        <v>0</v>
      </c>
      <c r="N469" s="178">
        <v>0</v>
      </c>
      <c r="O469" s="181" t="s">
        <v>882</v>
      </c>
      <c r="P469" s="180">
        <v>0</v>
      </c>
      <c r="Q469" s="182">
        <v>0</v>
      </c>
      <c r="R469" s="183" t="s">
        <v>883</v>
      </c>
      <c r="S469" s="174" t="s">
        <v>1491</v>
      </c>
      <c r="T469" s="44">
        <v>1</v>
      </c>
      <c r="U469" s="184">
        <v>55</v>
      </c>
      <c r="V469" s="185">
        <v>26</v>
      </c>
      <c r="W469" s="186">
        <v>2678</v>
      </c>
      <c r="X469" s="187">
        <v>2023</v>
      </c>
      <c r="Y469" s="188">
        <v>70</v>
      </c>
      <c r="Z469" s="188" t="s">
        <v>883</v>
      </c>
      <c r="AA469" s="187" t="s">
        <v>883</v>
      </c>
      <c r="AB469" s="188">
        <v>0</v>
      </c>
      <c r="AC469" s="188"/>
      <c r="AD469" s="189" t="s">
        <v>883</v>
      </c>
      <c r="AE469" s="190" t="s">
        <v>883</v>
      </c>
      <c r="AF469" s="180">
        <v>6</v>
      </c>
      <c r="AG469" s="183">
        <v>44855</v>
      </c>
      <c r="AH469" s="183">
        <v>38656</v>
      </c>
      <c r="AI469" s="183">
        <v>44845</v>
      </c>
      <c r="AJ469" s="183" t="s">
        <v>883</v>
      </c>
      <c r="AK469" s="174"/>
    </row>
    <row r="470" spans="1:37" x14ac:dyDescent="0.3">
      <c r="A470" s="173">
        <v>88746</v>
      </c>
      <c r="B470" s="174" t="s">
        <v>1505</v>
      </c>
      <c r="C470" s="175" t="s">
        <v>256</v>
      </c>
      <c r="D470" s="176">
        <v>158.69999999999999</v>
      </c>
      <c r="E470" s="174"/>
      <c r="F470" s="174"/>
      <c r="G470" s="174" t="s">
        <v>883</v>
      </c>
      <c r="H470" s="177">
        <v>42</v>
      </c>
      <c r="I470" s="24">
        <v>103003</v>
      </c>
      <c r="J470" s="178">
        <v>158.69999999999999</v>
      </c>
      <c r="K470" s="177">
        <v>10</v>
      </c>
      <c r="L470" s="179">
        <v>50.602409638554214</v>
      </c>
      <c r="M470" s="180">
        <v>0</v>
      </c>
      <c r="N470" s="178">
        <v>0</v>
      </c>
      <c r="O470" s="181" t="s">
        <v>882</v>
      </c>
      <c r="P470" s="180">
        <v>0</v>
      </c>
      <c r="Q470" s="182">
        <v>0</v>
      </c>
      <c r="R470" s="183" t="s">
        <v>883</v>
      </c>
      <c r="S470" s="174" t="s">
        <v>1491</v>
      </c>
      <c r="T470" s="44">
        <v>1</v>
      </c>
      <c r="U470" s="184">
        <v>55</v>
      </c>
      <c r="V470" s="185">
        <v>26</v>
      </c>
      <c r="W470" s="186" t="s">
        <v>883</v>
      </c>
      <c r="X470" s="187" t="s">
        <v>883</v>
      </c>
      <c r="Y470" s="188">
        <v>0</v>
      </c>
      <c r="Z470" s="188" t="s">
        <v>883</v>
      </c>
      <c r="AA470" s="187" t="s">
        <v>883</v>
      </c>
      <c r="AB470" s="188">
        <v>0</v>
      </c>
      <c r="AC470" s="188"/>
      <c r="AD470" s="189" t="s">
        <v>883</v>
      </c>
      <c r="AE470" s="190" t="s">
        <v>883</v>
      </c>
      <c r="AF470" s="180">
        <v>4</v>
      </c>
      <c r="AG470" s="183">
        <v>43818</v>
      </c>
      <c r="AH470" s="183">
        <v>38656</v>
      </c>
      <c r="AI470" s="183">
        <v>44923</v>
      </c>
      <c r="AJ470" s="183" t="s">
        <v>883</v>
      </c>
      <c r="AK470" s="174"/>
    </row>
    <row r="471" spans="1:37" x14ac:dyDescent="0.3">
      <c r="A471" s="173">
        <v>88747</v>
      </c>
      <c r="B471" s="174" t="s">
        <v>1506</v>
      </c>
      <c r="C471" s="175" t="s">
        <v>256</v>
      </c>
      <c r="D471" s="176">
        <v>205</v>
      </c>
      <c r="E471" s="174"/>
      <c r="F471" s="174"/>
      <c r="G471" s="174" t="s">
        <v>883</v>
      </c>
      <c r="H471" s="177">
        <v>7</v>
      </c>
      <c r="I471" s="24">
        <v>103003</v>
      </c>
      <c r="J471" s="178">
        <v>205</v>
      </c>
      <c r="K471" s="177">
        <v>6</v>
      </c>
      <c r="L471" s="179">
        <v>14</v>
      </c>
      <c r="M471" s="180">
        <v>0</v>
      </c>
      <c r="N471" s="178">
        <v>0</v>
      </c>
      <c r="O471" s="181" t="s">
        <v>882</v>
      </c>
      <c r="P471" s="180">
        <v>0</v>
      </c>
      <c r="Q471" s="182">
        <v>0</v>
      </c>
      <c r="R471" s="183" t="s">
        <v>883</v>
      </c>
      <c r="S471" s="174" t="s">
        <v>1491</v>
      </c>
      <c r="T471" s="44">
        <v>1</v>
      </c>
      <c r="U471" s="184">
        <v>55</v>
      </c>
      <c r="V471" s="185">
        <v>26</v>
      </c>
      <c r="W471" s="186" t="s">
        <v>883</v>
      </c>
      <c r="X471" s="187" t="s">
        <v>883</v>
      </c>
      <c r="Y471" s="188">
        <v>0</v>
      </c>
      <c r="Z471" s="188" t="s">
        <v>883</v>
      </c>
      <c r="AA471" s="187" t="s">
        <v>883</v>
      </c>
      <c r="AB471" s="188">
        <v>0</v>
      </c>
      <c r="AC471" s="188"/>
      <c r="AD471" s="189" t="s">
        <v>883</v>
      </c>
      <c r="AE471" s="190" t="s">
        <v>883</v>
      </c>
      <c r="AF471" s="180">
        <v>2</v>
      </c>
      <c r="AG471" s="183">
        <v>44649</v>
      </c>
      <c r="AH471" s="183">
        <v>38656</v>
      </c>
      <c r="AI471" s="183">
        <v>44687</v>
      </c>
      <c r="AJ471" s="183" t="s">
        <v>883</v>
      </c>
      <c r="AK471" s="174"/>
    </row>
    <row r="472" spans="1:37" x14ac:dyDescent="0.3">
      <c r="A472" s="173">
        <v>88838</v>
      </c>
      <c r="B472" s="174" t="s">
        <v>1507</v>
      </c>
      <c r="C472" s="175" t="s">
        <v>569</v>
      </c>
      <c r="D472" s="176">
        <v>0.72</v>
      </c>
      <c r="E472" s="174"/>
      <c r="F472" s="174"/>
      <c r="G472" s="174" t="s">
        <v>883</v>
      </c>
      <c r="H472" s="177">
        <v>1091</v>
      </c>
      <c r="I472" s="24">
        <v>103003</v>
      </c>
      <c r="J472" s="178">
        <v>0.72</v>
      </c>
      <c r="K472" s="177">
        <v>2214</v>
      </c>
      <c r="L472" s="179">
        <v>3.6610738255033559</v>
      </c>
      <c r="M472" s="180">
        <v>485</v>
      </c>
      <c r="N472" s="178">
        <v>349.2</v>
      </c>
      <c r="O472" s="181" t="s">
        <v>882</v>
      </c>
      <c r="P472" s="180">
        <v>0</v>
      </c>
      <c r="Q472" s="182">
        <v>0</v>
      </c>
      <c r="R472" s="183" t="s">
        <v>883</v>
      </c>
      <c r="S472" s="174" t="s">
        <v>994</v>
      </c>
      <c r="T472" s="44">
        <v>1</v>
      </c>
      <c r="U472" s="184">
        <v>83</v>
      </c>
      <c r="V472" s="185">
        <v>2</v>
      </c>
      <c r="W472" s="186">
        <v>2659</v>
      </c>
      <c r="X472" s="187">
        <v>2023</v>
      </c>
      <c r="Y472" s="188">
        <v>2000</v>
      </c>
      <c r="Z472" s="188" t="s">
        <v>883</v>
      </c>
      <c r="AA472" s="187" t="s">
        <v>883</v>
      </c>
      <c r="AB472" s="188">
        <v>0</v>
      </c>
      <c r="AC472" s="188"/>
      <c r="AD472" s="189" t="s">
        <v>883</v>
      </c>
      <c r="AE472" s="190" t="s">
        <v>883</v>
      </c>
      <c r="AF472" s="180">
        <v>1192</v>
      </c>
      <c r="AG472" s="183">
        <v>44946</v>
      </c>
      <c r="AH472" s="183">
        <v>38663</v>
      </c>
      <c r="AI472" s="183">
        <v>44922</v>
      </c>
      <c r="AJ472" s="183" t="s">
        <v>883</v>
      </c>
      <c r="AK472" s="174"/>
    </row>
    <row r="473" spans="1:37" x14ac:dyDescent="0.3">
      <c r="A473" s="173">
        <v>88839</v>
      </c>
      <c r="B473" s="174" t="s">
        <v>1508</v>
      </c>
      <c r="C473" s="175" t="s">
        <v>273</v>
      </c>
      <c r="D473" s="176">
        <v>85</v>
      </c>
      <c r="E473" s="174"/>
      <c r="F473" s="174"/>
      <c r="G473" s="174" t="s">
        <v>883</v>
      </c>
      <c r="H473" s="177">
        <v>15</v>
      </c>
      <c r="I473" s="24">
        <v>103003</v>
      </c>
      <c r="J473" s="178">
        <v>85</v>
      </c>
      <c r="K473" s="177">
        <v>50</v>
      </c>
      <c r="L473" s="179">
        <v>3.2119914346895078</v>
      </c>
      <c r="M473" s="180">
        <v>1.04</v>
      </c>
      <c r="N473" s="178">
        <v>88.4</v>
      </c>
      <c r="O473" s="181" t="s">
        <v>882</v>
      </c>
      <c r="P473" s="180">
        <v>0</v>
      </c>
      <c r="Q473" s="182">
        <v>0</v>
      </c>
      <c r="R473" s="183" t="s">
        <v>883</v>
      </c>
      <c r="S473" s="174" t="s">
        <v>1509</v>
      </c>
      <c r="T473" s="44">
        <v>1</v>
      </c>
      <c r="U473" s="184">
        <v>76</v>
      </c>
      <c r="V473" s="185">
        <v>13</v>
      </c>
      <c r="W473" s="186">
        <v>2661</v>
      </c>
      <c r="X473" s="187">
        <v>2023</v>
      </c>
      <c r="Y473" s="188">
        <v>40</v>
      </c>
      <c r="Z473" s="188" t="s">
        <v>883</v>
      </c>
      <c r="AA473" s="187" t="s">
        <v>883</v>
      </c>
      <c r="AB473" s="188">
        <v>0</v>
      </c>
      <c r="AC473" s="188"/>
      <c r="AD473" s="189" t="s">
        <v>883</v>
      </c>
      <c r="AE473" s="190" t="s">
        <v>883</v>
      </c>
      <c r="AF473" s="180">
        <v>18</v>
      </c>
      <c r="AG473" s="183">
        <v>44613</v>
      </c>
      <c r="AH473" s="183">
        <v>38663</v>
      </c>
      <c r="AI473" s="183">
        <v>44586</v>
      </c>
      <c r="AJ473" s="183" t="s">
        <v>883</v>
      </c>
      <c r="AK473" s="174"/>
    </row>
    <row r="474" spans="1:37" x14ac:dyDescent="0.3">
      <c r="A474" s="173">
        <v>88849</v>
      </c>
      <c r="B474" s="174" t="s">
        <v>1510</v>
      </c>
      <c r="C474" s="175" t="s">
        <v>400</v>
      </c>
      <c r="D474" s="176">
        <v>15.4</v>
      </c>
      <c r="E474" s="174"/>
      <c r="F474" s="174"/>
      <c r="G474" s="174" t="s">
        <v>883</v>
      </c>
      <c r="H474" s="177">
        <v>563</v>
      </c>
      <c r="I474" s="24">
        <v>103003</v>
      </c>
      <c r="J474" s="178">
        <v>15.4</v>
      </c>
      <c r="K474" s="177">
        <v>451</v>
      </c>
      <c r="L474" s="179">
        <v>14.784663865546218</v>
      </c>
      <c r="M474" s="180">
        <v>0</v>
      </c>
      <c r="N474" s="178">
        <v>0</v>
      </c>
      <c r="O474" s="181" t="s">
        <v>882</v>
      </c>
      <c r="P474" s="180">
        <v>0</v>
      </c>
      <c r="Q474" s="182">
        <v>0</v>
      </c>
      <c r="R474" s="183" t="s">
        <v>883</v>
      </c>
      <c r="S474" s="174" t="s">
        <v>1179</v>
      </c>
      <c r="T474" s="44">
        <v>1</v>
      </c>
      <c r="U474" s="184">
        <v>67</v>
      </c>
      <c r="V474" s="185">
        <v>5</v>
      </c>
      <c r="W474" s="186">
        <v>2488</v>
      </c>
      <c r="X474" s="187">
        <v>2023</v>
      </c>
      <c r="Y474" s="188">
        <v>1000</v>
      </c>
      <c r="Z474" s="188" t="s">
        <v>883</v>
      </c>
      <c r="AA474" s="187" t="s">
        <v>883</v>
      </c>
      <c r="AB474" s="188">
        <v>0</v>
      </c>
      <c r="AC474" s="188"/>
      <c r="AD474" s="189" t="s">
        <v>883</v>
      </c>
      <c r="AE474" s="190" t="s">
        <v>883</v>
      </c>
      <c r="AF474" s="180">
        <v>152</v>
      </c>
      <c r="AG474" s="183">
        <v>44154</v>
      </c>
      <c r="AH474" s="183">
        <v>38664</v>
      </c>
      <c r="AI474" s="183">
        <v>44125</v>
      </c>
      <c r="AJ474" s="183" t="s">
        <v>883</v>
      </c>
      <c r="AK474" s="174"/>
    </row>
    <row r="475" spans="1:37" x14ac:dyDescent="0.3">
      <c r="A475" s="173">
        <v>88856</v>
      </c>
      <c r="B475" s="174" t="s">
        <v>1511</v>
      </c>
      <c r="C475" s="175" t="s">
        <v>294</v>
      </c>
      <c r="D475" s="176">
        <v>104.74</v>
      </c>
      <c r="E475" s="174"/>
      <c r="F475" s="174"/>
      <c r="G475" s="174" t="s">
        <v>883</v>
      </c>
      <c r="H475" s="177">
        <v>450</v>
      </c>
      <c r="I475" s="24">
        <v>103003</v>
      </c>
      <c r="J475" s="178">
        <v>104.74</v>
      </c>
      <c r="K475" s="177">
        <v>230</v>
      </c>
      <c r="L475" s="179">
        <v>21.176470588235293</v>
      </c>
      <c r="M475" s="180">
        <v>0</v>
      </c>
      <c r="N475" s="178">
        <v>0</v>
      </c>
      <c r="O475" s="181" t="s">
        <v>882</v>
      </c>
      <c r="P475" s="180">
        <v>0</v>
      </c>
      <c r="Q475" s="182">
        <v>0</v>
      </c>
      <c r="R475" s="183" t="s">
        <v>883</v>
      </c>
      <c r="S475" s="174" t="s">
        <v>1332</v>
      </c>
      <c r="T475" s="44">
        <v>1</v>
      </c>
      <c r="U475" s="184">
        <v>69</v>
      </c>
      <c r="V475" s="185">
        <v>2</v>
      </c>
      <c r="W475" s="186" t="s">
        <v>883</v>
      </c>
      <c r="X475" s="187" t="s">
        <v>883</v>
      </c>
      <c r="Y475" s="188">
        <v>0</v>
      </c>
      <c r="Z475" s="188" t="s">
        <v>883</v>
      </c>
      <c r="AA475" s="187" t="s">
        <v>883</v>
      </c>
      <c r="AB475" s="188">
        <v>0</v>
      </c>
      <c r="AC475" s="188"/>
      <c r="AD475" s="189" t="s">
        <v>883</v>
      </c>
      <c r="AE475" s="190" t="s">
        <v>883</v>
      </c>
      <c r="AF475" s="180">
        <v>86</v>
      </c>
      <c r="AG475" s="183">
        <v>44592</v>
      </c>
      <c r="AH475" s="183">
        <v>38664</v>
      </c>
      <c r="AI475" s="183">
        <v>44578</v>
      </c>
      <c r="AJ475" s="183" t="s">
        <v>883</v>
      </c>
      <c r="AK475" s="174"/>
    </row>
    <row r="476" spans="1:37" x14ac:dyDescent="0.3">
      <c r="A476" s="173">
        <v>88876</v>
      </c>
      <c r="B476" s="174" t="s">
        <v>1512</v>
      </c>
      <c r="C476" s="175" t="s">
        <v>256</v>
      </c>
      <c r="D476" s="176">
        <v>12.35</v>
      </c>
      <c r="E476" s="174"/>
      <c r="F476" s="174"/>
      <c r="G476" s="174" t="s">
        <v>883</v>
      </c>
      <c r="H476" s="177">
        <v>692</v>
      </c>
      <c r="I476" s="24">
        <v>103003</v>
      </c>
      <c r="J476" s="178">
        <v>12.35</v>
      </c>
      <c r="K476" s="177">
        <v>300</v>
      </c>
      <c r="L476" s="179">
        <v>27.68</v>
      </c>
      <c r="M476" s="180">
        <v>0</v>
      </c>
      <c r="N476" s="178">
        <v>0</v>
      </c>
      <c r="O476" s="181" t="s">
        <v>882</v>
      </c>
      <c r="P476" s="180">
        <v>0</v>
      </c>
      <c r="Q476" s="182">
        <v>0</v>
      </c>
      <c r="R476" s="183" t="s">
        <v>883</v>
      </c>
      <c r="S476" s="174" t="s">
        <v>1211</v>
      </c>
      <c r="T476" s="44">
        <v>1</v>
      </c>
      <c r="U476" s="184">
        <v>51</v>
      </c>
      <c r="V476" s="185">
        <v>26</v>
      </c>
      <c r="W476" s="186" t="s">
        <v>883</v>
      </c>
      <c r="X476" s="187" t="s">
        <v>883</v>
      </c>
      <c r="Y476" s="188">
        <v>0</v>
      </c>
      <c r="Z476" s="188" t="s">
        <v>883</v>
      </c>
      <c r="AA476" s="187" t="s">
        <v>883</v>
      </c>
      <c r="AB476" s="188">
        <v>0</v>
      </c>
      <c r="AC476" s="188"/>
      <c r="AD476" s="189" t="s">
        <v>883</v>
      </c>
      <c r="AE476" s="190" t="s">
        <v>883</v>
      </c>
      <c r="AF476" s="180">
        <v>100</v>
      </c>
      <c r="AG476" s="183">
        <v>44553</v>
      </c>
      <c r="AH476" s="183">
        <v>38664</v>
      </c>
      <c r="AI476" s="183">
        <v>44929</v>
      </c>
      <c r="AJ476" s="183" t="s">
        <v>883</v>
      </c>
      <c r="AK476" s="174"/>
    </row>
    <row r="477" spans="1:37" x14ac:dyDescent="0.3">
      <c r="A477" s="173">
        <v>89194</v>
      </c>
      <c r="B477" s="174" t="s">
        <v>1513</v>
      </c>
      <c r="C477" s="175" t="s">
        <v>256</v>
      </c>
      <c r="D477" s="176">
        <v>76.900000000000006</v>
      </c>
      <c r="E477" s="174"/>
      <c r="F477" s="174"/>
      <c r="G477" s="174" t="s">
        <v>883</v>
      </c>
      <c r="H477" s="177">
        <v>0</v>
      </c>
      <c r="I477" s="24">
        <v>103003</v>
      </c>
      <c r="J477" s="178">
        <v>76.900000000000006</v>
      </c>
      <c r="K477" s="177">
        <v>730</v>
      </c>
      <c r="L477" s="179">
        <v>0</v>
      </c>
      <c r="M477" s="180">
        <v>529</v>
      </c>
      <c r="N477" s="178">
        <v>40680.1</v>
      </c>
      <c r="O477" s="181" t="s">
        <v>882</v>
      </c>
      <c r="P477" s="180">
        <v>0</v>
      </c>
      <c r="Q477" s="182">
        <v>0</v>
      </c>
      <c r="R477" s="183" t="s">
        <v>883</v>
      </c>
      <c r="S477" s="174" t="s">
        <v>1514</v>
      </c>
      <c r="T477" s="44">
        <v>1</v>
      </c>
      <c r="U477" s="184">
        <v>73</v>
      </c>
      <c r="V477" s="185">
        <v>4</v>
      </c>
      <c r="W477" s="186">
        <v>6284</v>
      </c>
      <c r="X477" s="187">
        <v>2023</v>
      </c>
      <c r="Y477" s="188">
        <v>500</v>
      </c>
      <c r="Z477" s="188" t="s">
        <v>883</v>
      </c>
      <c r="AA477" s="187" t="s">
        <v>883</v>
      </c>
      <c r="AB477" s="188">
        <v>0</v>
      </c>
      <c r="AC477" s="188"/>
      <c r="AD477" s="189" t="s">
        <v>883</v>
      </c>
      <c r="AE477" s="190" t="s">
        <v>883</v>
      </c>
      <c r="AF477" s="180">
        <v>344</v>
      </c>
      <c r="AG477" s="183">
        <v>44796</v>
      </c>
      <c r="AH477" s="183">
        <v>38688</v>
      </c>
      <c r="AI477" s="183">
        <v>45079</v>
      </c>
      <c r="AJ477" s="183" t="s">
        <v>883</v>
      </c>
      <c r="AK477" s="174"/>
    </row>
    <row r="478" spans="1:37" x14ac:dyDescent="0.3">
      <c r="A478" s="173">
        <v>89863</v>
      </c>
      <c r="B478" s="174" t="s">
        <v>1515</v>
      </c>
      <c r="C478" s="175" t="s">
        <v>413</v>
      </c>
      <c r="D478" s="176">
        <v>29.21</v>
      </c>
      <c r="E478" s="174"/>
      <c r="F478" s="174"/>
      <c r="G478" s="174" t="s">
        <v>883</v>
      </c>
      <c r="H478" s="177">
        <v>357</v>
      </c>
      <c r="I478" s="24">
        <v>103003</v>
      </c>
      <c r="J478" s="178">
        <v>29.21</v>
      </c>
      <c r="K478" s="177">
        <v>126</v>
      </c>
      <c r="L478" s="179">
        <v>25.963636363636361</v>
      </c>
      <c r="M478" s="180">
        <v>0</v>
      </c>
      <c r="N478" s="178">
        <v>0</v>
      </c>
      <c r="O478" s="181" t="s">
        <v>882</v>
      </c>
      <c r="P478" s="180">
        <v>0</v>
      </c>
      <c r="Q478" s="182">
        <v>0</v>
      </c>
      <c r="R478" s="183" t="s">
        <v>883</v>
      </c>
      <c r="S478" s="174" t="s">
        <v>1516</v>
      </c>
      <c r="T478" s="44">
        <v>1</v>
      </c>
      <c r="U478" s="184">
        <v>67</v>
      </c>
      <c r="V478" s="185">
        <v>3</v>
      </c>
      <c r="W478" s="186" t="s">
        <v>883</v>
      </c>
      <c r="X478" s="187" t="s">
        <v>883</v>
      </c>
      <c r="Y478" s="188">
        <v>0</v>
      </c>
      <c r="Z478" s="188" t="s">
        <v>883</v>
      </c>
      <c r="AA478" s="187" t="s">
        <v>883</v>
      </c>
      <c r="AB478" s="188">
        <v>0</v>
      </c>
      <c r="AC478" s="188"/>
      <c r="AD478" s="189" t="s">
        <v>883</v>
      </c>
      <c r="AE478" s="190" t="s">
        <v>883</v>
      </c>
      <c r="AF478" s="180">
        <v>56</v>
      </c>
      <c r="AG478" s="183">
        <v>43864</v>
      </c>
      <c r="AH478" s="183">
        <v>38743</v>
      </c>
      <c r="AI478" s="183">
        <v>45050</v>
      </c>
      <c r="AJ478" s="183" t="s">
        <v>883</v>
      </c>
      <c r="AK478" s="174"/>
    </row>
    <row r="479" spans="1:37" x14ac:dyDescent="0.3">
      <c r="A479" s="173">
        <v>89864</v>
      </c>
      <c r="B479" s="174" t="s">
        <v>1517</v>
      </c>
      <c r="C479" s="175" t="s">
        <v>413</v>
      </c>
      <c r="D479" s="176">
        <v>34.619999999999997</v>
      </c>
      <c r="E479" s="174"/>
      <c r="F479" s="174"/>
      <c r="G479" s="174" t="s">
        <v>883</v>
      </c>
      <c r="H479" s="177">
        <v>774</v>
      </c>
      <c r="I479" s="24">
        <v>103003</v>
      </c>
      <c r="J479" s="178">
        <v>34.619999999999997</v>
      </c>
      <c r="K479" s="177">
        <v>46</v>
      </c>
      <c r="L479" s="179">
        <v>202.088772845953</v>
      </c>
      <c r="M479" s="180">
        <v>0</v>
      </c>
      <c r="N479" s="178">
        <v>0</v>
      </c>
      <c r="O479" s="181" t="s">
        <v>882</v>
      </c>
      <c r="P479" s="180">
        <v>0</v>
      </c>
      <c r="Q479" s="182">
        <v>0</v>
      </c>
      <c r="R479" s="183" t="s">
        <v>883</v>
      </c>
      <c r="S479" s="174" t="s">
        <v>1516</v>
      </c>
      <c r="T479" s="44">
        <v>1</v>
      </c>
      <c r="U479" s="184">
        <v>67</v>
      </c>
      <c r="V479" s="185">
        <v>3</v>
      </c>
      <c r="W479" s="186" t="s">
        <v>883</v>
      </c>
      <c r="X479" s="187" t="s">
        <v>883</v>
      </c>
      <c r="Y479" s="188">
        <v>0</v>
      </c>
      <c r="Z479" s="188" t="s">
        <v>883</v>
      </c>
      <c r="AA479" s="187" t="s">
        <v>883</v>
      </c>
      <c r="AB479" s="188">
        <v>0</v>
      </c>
      <c r="AC479" s="188"/>
      <c r="AD479" s="189" t="s">
        <v>883</v>
      </c>
      <c r="AE479" s="190" t="s">
        <v>883</v>
      </c>
      <c r="AF479" s="180">
        <v>16</v>
      </c>
      <c r="AG479" s="183">
        <v>43853</v>
      </c>
      <c r="AH479" s="183">
        <v>38743</v>
      </c>
      <c r="AI479" s="183">
        <v>45050</v>
      </c>
      <c r="AJ479" s="183" t="s">
        <v>883</v>
      </c>
      <c r="AK479" s="174"/>
    </row>
    <row r="480" spans="1:37" x14ac:dyDescent="0.3">
      <c r="A480" s="173">
        <v>89865</v>
      </c>
      <c r="B480" s="174" t="s">
        <v>1518</v>
      </c>
      <c r="C480" s="175" t="s">
        <v>413</v>
      </c>
      <c r="D480" s="176">
        <v>78.599999999999994</v>
      </c>
      <c r="E480" s="174"/>
      <c r="F480" s="174"/>
      <c r="G480" s="174" t="s">
        <v>883</v>
      </c>
      <c r="H480" s="177">
        <v>138</v>
      </c>
      <c r="I480" s="24">
        <v>103003</v>
      </c>
      <c r="J480" s="178">
        <v>78.599999999999994</v>
      </c>
      <c r="K480" s="177">
        <v>66</v>
      </c>
      <c r="L480" s="179">
        <v>23.670668953687819</v>
      </c>
      <c r="M480" s="180">
        <v>0</v>
      </c>
      <c r="N480" s="178">
        <v>0</v>
      </c>
      <c r="O480" s="181" t="s">
        <v>882</v>
      </c>
      <c r="P480" s="180">
        <v>0</v>
      </c>
      <c r="Q480" s="182">
        <v>0</v>
      </c>
      <c r="R480" s="183" t="s">
        <v>883</v>
      </c>
      <c r="S480" s="174" t="s">
        <v>1516</v>
      </c>
      <c r="T480" s="44">
        <v>1</v>
      </c>
      <c r="U480" s="184">
        <v>67</v>
      </c>
      <c r="V480" s="185">
        <v>3</v>
      </c>
      <c r="W480" s="186" t="s">
        <v>883</v>
      </c>
      <c r="X480" s="187" t="s">
        <v>883</v>
      </c>
      <c r="Y480" s="188">
        <v>0</v>
      </c>
      <c r="Z480" s="188" t="s">
        <v>883</v>
      </c>
      <c r="AA480" s="187" t="s">
        <v>883</v>
      </c>
      <c r="AB480" s="188">
        <v>0</v>
      </c>
      <c r="AC480" s="188"/>
      <c r="AD480" s="189" t="s">
        <v>883</v>
      </c>
      <c r="AE480" s="190" t="s">
        <v>883</v>
      </c>
      <c r="AF480" s="180">
        <v>24</v>
      </c>
      <c r="AG480" s="183">
        <v>43864</v>
      </c>
      <c r="AH480" s="183">
        <v>38743</v>
      </c>
      <c r="AI480" s="183">
        <v>44335</v>
      </c>
      <c r="AJ480" s="183" t="s">
        <v>883</v>
      </c>
      <c r="AK480" s="174"/>
    </row>
    <row r="481" spans="1:37" x14ac:dyDescent="0.3">
      <c r="A481" s="173">
        <v>91250</v>
      </c>
      <c r="B481" s="174" t="s">
        <v>1519</v>
      </c>
      <c r="C481" s="175" t="s">
        <v>331</v>
      </c>
      <c r="D481" s="176">
        <v>0.64</v>
      </c>
      <c r="E481" s="174"/>
      <c r="F481" s="174"/>
      <c r="G481" s="174" t="s">
        <v>883</v>
      </c>
      <c r="H481" s="177">
        <v>665</v>
      </c>
      <c r="I481" s="24">
        <v>103003</v>
      </c>
      <c r="J481" s="178">
        <v>0.64</v>
      </c>
      <c r="K481" s="177">
        <v>100</v>
      </c>
      <c r="L481" s="179">
        <v>79.831932773109244</v>
      </c>
      <c r="M481" s="180">
        <v>0</v>
      </c>
      <c r="N481" s="178">
        <v>0</v>
      </c>
      <c r="O481" s="181" t="s">
        <v>882</v>
      </c>
      <c r="P481" s="180">
        <v>0</v>
      </c>
      <c r="Q481" s="182">
        <v>0</v>
      </c>
      <c r="R481" s="183" t="s">
        <v>883</v>
      </c>
      <c r="S481" s="174" t="s">
        <v>1035</v>
      </c>
      <c r="T481" s="44">
        <v>1</v>
      </c>
      <c r="U481" s="184">
        <v>45</v>
      </c>
      <c r="V481" s="185">
        <v>17</v>
      </c>
      <c r="W481" s="186" t="s">
        <v>883</v>
      </c>
      <c r="X481" s="187" t="s">
        <v>883</v>
      </c>
      <c r="Y481" s="188">
        <v>0</v>
      </c>
      <c r="Z481" s="188" t="s">
        <v>883</v>
      </c>
      <c r="AA481" s="187" t="s">
        <v>883</v>
      </c>
      <c r="AB481" s="188">
        <v>0</v>
      </c>
      <c r="AC481" s="188"/>
      <c r="AD481" s="189" t="s">
        <v>883</v>
      </c>
      <c r="AE481" s="190" t="s">
        <v>883</v>
      </c>
      <c r="AF481" s="180">
        <v>34</v>
      </c>
      <c r="AG481" s="183">
        <v>44160</v>
      </c>
      <c r="AH481" s="183">
        <v>38820</v>
      </c>
      <c r="AI481" s="183">
        <v>44110</v>
      </c>
      <c r="AJ481" s="183" t="s">
        <v>883</v>
      </c>
      <c r="AK481" s="174"/>
    </row>
    <row r="482" spans="1:37" x14ac:dyDescent="0.3">
      <c r="A482" s="173">
        <v>91669</v>
      </c>
      <c r="B482" s="174" t="s">
        <v>1520</v>
      </c>
      <c r="C482" s="175" t="s">
        <v>31</v>
      </c>
      <c r="D482" s="176">
        <v>4.46</v>
      </c>
      <c r="E482" s="174" t="s">
        <v>1521</v>
      </c>
      <c r="F482" s="174" t="s">
        <v>1522</v>
      </c>
      <c r="G482" s="174" t="s">
        <v>890</v>
      </c>
      <c r="H482" s="177">
        <v>2293</v>
      </c>
      <c r="I482" s="24">
        <v>103003</v>
      </c>
      <c r="J482" s="178">
        <v>4.46</v>
      </c>
      <c r="K482" s="177">
        <v>4099</v>
      </c>
      <c r="L482" s="179">
        <v>4.2940074906367043</v>
      </c>
      <c r="M482" s="180">
        <v>4115</v>
      </c>
      <c r="N482" s="178">
        <v>18352.900000000001</v>
      </c>
      <c r="O482" s="181" t="s">
        <v>891</v>
      </c>
      <c r="P482" s="180">
        <v>4950</v>
      </c>
      <c r="Q482" s="182">
        <v>22077</v>
      </c>
      <c r="R482" s="183">
        <v>45377</v>
      </c>
      <c r="S482" s="174" t="s">
        <v>1523</v>
      </c>
      <c r="T482" s="44">
        <v>1</v>
      </c>
      <c r="U482" s="184">
        <v>72</v>
      </c>
      <c r="V482" s="185">
        <v>9</v>
      </c>
      <c r="W482" s="186" t="s">
        <v>883</v>
      </c>
      <c r="X482" s="187" t="s">
        <v>883</v>
      </c>
      <c r="Y482" s="188">
        <v>0</v>
      </c>
      <c r="Z482" s="188" t="s">
        <v>883</v>
      </c>
      <c r="AA482" s="187" t="s">
        <v>883</v>
      </c>
      <c r="AB482" s="188">
        <v>0</v>
      </c>
      <c r="AC482" s="188"/>
      <c r="AD482" s="189" t="s">
        <v>883</v>
      </c>
      <c r="AE482" s="190" t="s">
        <v>883</v>
      </c>
      <c r="AF482" s="180">
        <v>2136</v>
      </c>
      <c r="AG482" s="183">
        <v>45092</v>
      </c>
      <c r="AH482" s="183">
        <v>38847</v>
      </c>
      <c r="AI482" s="183">
        <v>45077</v>
      </c>
      <c r="AJ482" s="183" t="s">
        <v>883</v>
      </c>
      <c r="AK482" s="174"/>
    </row>
    <row r="483" spans="1:37" x14ac:dyDescent="0.3">
      <c r="A483" s="173">
        <v>92907</v>
      </c>
      <c r="B483" s="174" t="s">
        <v>1524</v>
      </c>
      <c r="C483" s="175" t="s">
        <v>268</v>
      </c>
      <c r="D483" s="176">
        <v>38</v>
      </c>
      <c r="E483" s="174"/>
      <c r="F483" s="174"/>
      <c r="G483" s="174" t="s">
        <v>883</v>
      </c>
      <c r="H483" s="177">
        <v>2972</v>
      </c>
      <c r="I483" s="24">
        <v>103003</v>
      </c>
      <c r="J483" s="178">
        <v>38</v>
      </c>
      <c r="K483" s="177">
        <v>2844</v>
      </c>
      <c r="L483" s="179">
        <v>9.8410596026490058</v>
      </c>
      <c r="M483" s="180">
        <v>652</v>
      </c>
      <c r="N483" s="178">
        <v>24776</v>
      </c>
      <c r="O483" s="181" t="s">
        <v>882</v>
      </c>
      <c r="P483" s="180">
        <v>0</v>
      </c>
      <c r="Q483" s="182">
        <v>0</v>
      </c>
      <c r="R483" s="183" t="s">
        <v>883</v>
      </c>
      <c r="S483" s="174" t="s">
        <v>1359</v>
      </c>
      <c r="T483" s="44">
        <v>1</v>
      </c>
      <c r="U483" s="184">
        <v>57</v>
      </c>
      <c r="V483" s="185">
        <v>17</v>
      </c>
      <c r="W483" s="186" t="s">
        <v>883</v>
      </c>
      <c r="X483" s="187" t="s">
        <v>883</v>
      </c>
      <c r="Y483" s="188">
        <v>0</v>
      </c>
      <c r="Z483" s="188" t="s">
        <v>883</v>
      </c>
      <c r="AA483" s="187" t="s">
        <v>883</v>
      </c>
      <c r="AB483" s="188">
        <v>0</v>
      </c>
      <c r="AC483" s="188"/>
      <c r="AD483" s="189" t="s">
        <v>883</v>
      </c>
      <c r="AE483" s="190" t="s">
        <v>883</v>
      </c>
      <c r="AF483" s="180">
        <v>1208</v>
      </c>
      <c r="AG483" s="183">
        <v>44131</v>
      </c>
      <c r="AH483" s="183">
        <v>38904</v>
      </c>
      <c r="AI483" s="183">
        <v>45049</v>
      </c>
      <c r="AJ483" s="183" t="s">
        <v>883</v>
      </c>
      <c r="AK483" s="174"/>
    </row>
    <row r="484" spans="1:37" x14ac:dyDescent="0.3">
      <c r="A484" s="173">
        <v>92908</v>
      </c>
      <c r="B484" s="174" t="s">
        <v>1525</v>
      </c>
      <c r="C484" s="175" t="s">
        <v>268</v>
      </c>
      <c r="D484" s="176">
        <v>38</v>
      </c>
      <c r="E484" s="174"/>
      <c r="F484" s="174"/>
      <c r="G484" s="174" t="s">
        <v>883</v>
      </c>
      <c r="H484" s="177">
        <v>2478</v>
      </c>
      <c r="I484" s="24">
        <v>103003</v>
      </c>
      <c r="J484" s="178">
        <v>38</v>
      </c>
      <c r="K484" s="177">
        <v>2972</v>
      </c>
      <c r="L484" s="179">
        <v>7.8212290502793298</v>
      </c>
      <c r="M484" s="180">
        <v>1323.96</v>
      </c>
      <c r="N484" s="178">
        <v>50310.48</v>
      </c>
      <c r="O484" s="181" t="s">
        <v>882</v>
      </c>
      <c r="P484" s="180">
        <v>0</v>
      </c>
      <c r="Q484" s="182">
        <v>0</v>
      </c>
      <c r="R484" s="183" t="s">
        <v>883</v>
      </c>
      <c r="S484" s="174" t="s">
        <v>1359</v>
      </c>
      <c r="T484" s="44">
        <v>1</v>
      </c>
      <c r="U484" s="184">
        <v>57</v>
      </c>
      <c r="V484" s="185">
        <v>17</v>
      </c>
      <c r="W484" s="186" t="s">
        <v>883</v>
      </c>
      <c r="X484" s="187" t="s">
        <v>883</v>
      </c>
      <c r="Y484" s="188">
        <v>0</v>
      </c>
      <c r="Z484" s="188" t="s">
        <v>883</v>
      </c>
      <c r="AA484" s="187" t="s">
        <v>883</v>
      </c>
      <c r="AB484" s="188">
        <v>0</v>
      </c>
      <c r="AC484" s="188"/>
      <c r="AD484" s="189" t="s">
        <v>883</v>
      </c>
      <c r="AE484" s="190" t="s">
        <v>883</v>
      </c>
      <c r="AF484" s="180">
        <v>1268</v>
      </c>
      <c r="AG484" s="183">
        <v>44141</v>
      </c>
      <c r="AH484" s="183">
        <v>38904</v>
      </c>
      <c r="AI484" s="183">
        <v>45049</v>
      </c>
      <c r="AJ484" s="183" t="s">
        <v>883</v>
      </c>
      <c r="AK484" s="174"/>
    </row>
    <row r="485" spans="1:37" x14ac:dyDescent="0.3">
      <c r="A485" s="173">
        <v>93139</v>
      </c>
      <c r="B485" s="174" t="s">
        <v>1526</v>
      </c>
      <c r="C485" s="175" t="s">
        <v>281</v>
      </c>
      <c r="D485" s="176">
        <v>8.5</v>
      </c>
      <c r="E485" s="174"/>
      <c r="F485" s="174"/>
      <c r="G485" s="174" t="s">
        <v>883</v>
      </c>
      <c r="H485" s="177">
        <v>138</v>
      </c>
      <c r="I485" s="24">
        <v>103003</v>
      </c>
      <c r="J485" s="178">
        <v>5.8621999999999996</v>
      </c>
      <c r="K485" s="177">
        <v>124</v>
      </c>
      <c r="L485" s="179">
        <v>10.823529411764705</v>
      </c>
      <c r="M485" s="180">
        <v>0</v>
      </c>
      <c r="N485" s="178">
        <v>0</v>
      </c>
      <c r="O485" s="181" t="s">
        <v>882</v>
      </c>
      <c r="P485" s="180">
        <v>0</v>
      </c>
      <c r="Q485" s="182">
        <v>0</v>
      </c>
      <c r="R485" s="183" t="s">
        <v>883</v>
      </c>
      <c r="S485" s="174" t="s">
        <v>1527</v>
      </c>
      <c r="T485" s="44">
        <v>1</v>
      </c>
      <c r="U485" s="184">
        <v>54</v>
      </c>
      <c r="V485" s="185">
        <v>8</v>
      </c>
      <c r="W485" s="186">
        <v>2833</v>
      </c>
      <c r="X485" s="187">
        <v>2023</v>
      </c>
      <c r="Y485" s="188">
        <v>50</v>
      </c>
      <c r="Z485" s="188" t="s">
        <v>883</v>
      </c>
      <c r="AA485" s="187" t="s">
        <v>883</v>
      </c>
      <c r="AB485" s="188">
        <v>0</v>
      </c>
      <c r="AC485" s="188"/>
      <c r="AD485" s="189" t="s">
        <v>883</v>
      </c>
      <c r="AE485" s="190" t="s">
        <v>883</v>
      </c>
      <c r="AF485" s="180">
        <v>52</v>
      </c>
      <c r="AG485" s="183">
        <v>44956</v>
      </c>
      <c r="AH485" s="183">
        <v>38912</v>
      </c>
      <c r="AI485" s="183">
        <v>44929</v>
      </c>
      <c r="AJ485" s="183" t="s">
        <v>883</v>
      </c>
      <c r="AK485" s="174"/>
    </row>
    <row r="486" spans="1:37" x14ac:dyDescent="0.3">
      <c r="A486" s="173">
        <v>93325</v>
      </c>
      <c r="B486" s="174" t="s">
        <v>1528</v>
      </c>
      <c r="C486" s="175" t="s">
        <v>569</v>
      </c>
      <c r="D486" s="176">
        <v>0.45</v>
      </c>
      <c r="E486" s="174"/>
      <c r="F486" s="174"/>
      <c r="G486" s="174" t="s">
        <v>883</v>
      </c>
      <c r="H486" s="177">
        <v>0</v>
      </c>
      <c r="I486" s="24">
        <v>103003</v>
      </c>
      <c r="J486" s="178">
        <v>0.45</v>
      </c>
      <c r="K486" s="177">
        <v>4621</v>
      </c>
      <c r="L486" s="179">
        <v>0</v>
      </c>
      <c r="M486" s="180">
        <v>5020</v>
      </c>
      <c r="N486" s="178">
        <v>2259</v>
      </c>
      <c r="O486" s="181" t="s">
        <v>882</v>
      </c>
      <c r="P486" s="180">
        <v>0</v>
      </c>
      <c r="Q486" s="182">
        <v>0</v>
      </c>
      <c r="R486" s="183" t="s">
        <v>883</v>
      </c>
      <c r="S486" s="174" t="s">
        <v>1135</v>
      </c>
      <c r="T486" s="44">
        <v>1</v>
      </c>
      <c r="U486" s="184">
        <v>57</v>
      </c>
      <c r="V486" s="185">
        <v>2</v>
      </c>
      <c r="W486" s="186">
        <v>6984</v>
      </c>
      <c r="X486" s="187">
        <v>2023</v>
      </c>
      <c r="Y486" s="188">
        <v>1700</v>
      </c>
      <c r="Z486" s="188" t="s">
        <v>883</v>
      </c>
      <c r="AA486" s="187" t="s">
        <v>883</v>
      </c>
      <c r="AB486" s="188">
        <v>0</v>
      </c>
      <c r="AC486" s="188"/>
      <c r="AD486" s="189" t="s">
        <v>883</v>
      </c>
      <c r="AE486" s="190" t="s">
        <v>883</v>
      </c>
      <c r="AF486" s="180">
        <v>2240</v>
      </c>
      <c r="AG486" s="183">
        <v>44974</v>
      </c>
      <c r="AH486" s="183">
        <v>38919</v>
      </c>
      <c r="AI486" s="183">
        <v>45049</v>
      </c>
      <c r="AJ486" s="183" t="s">
        <v>883</v>
      </c>
      <c r="AK486" s="174"/>
    </row>
    <row r="487" spans="1:37" x14ac:dyDescent="0.3">
      <c r="A487" s="173">
        <v>93327</v>
      </c>
      <c r="B487" s="174" t="s">
        <v>1529</v>
      </c>
      <c r="C487" s="175" t="s">
        <v>569</v>
      </c>
      <c r="D487" s="176">
        <v>0.45</v>
      </c>
      <c r="E487" s="174"/>
      <c r="F487" s="174"/>
      <c r="G487" s="174" t="s">
        <v>883</v>
      </c>
      <c r="H487" s="177">
        <v>0</v>
      </c>
      <c r="I487" s="24">
        <v>103003</v>
      </c>
      <c r="J487" s="178">
        <v>0.45</v>
      </c>
      <c r="K487" s="177">
        <v>4597</v>
      </c>
      <c r="L487" s="179">
        <v>0</v>
      </c>
      <c r="M487" s="180">
        <v>4851.04</v>
      </c>
      <c r="N487" s="178">
        <v>2182.9679999999998</v>
      </c>
      <c r="O487" s="181" t="s">
        <v>882</v>
      </c>
      <c r="P487" s="180">
        <v>0</v>
      </c>
      <c r="Q487" s="182">
        <v>0</v>
      </c>
      <c r="R487" s="183" t="s">
        <v>883</v>
      </c>
      <c r="S487" s="174" t="s">
        <v>1135</v>
      </c>
      <c r="T487" s="44">
        <v>1</v>
      </c>
      <c r="U487" s="184">
        <v>57</v>
      </c>
      <c r="V487" s="185">
        <v>2</v>
      </c>
      <c r="W487" s="186">
        <v>6984</v>
      </c>
      <c r="X487" s="187">
        <v>2023</v>
      </c>
      <c r="Y487" s="188">
        <v>1700</v>
      </c>
      <c r="Z487" s="188" t="s">
        <v>883</v>
      </c>
      <c r="AA487" s="187" t="s">
        <v>883</v>
      </c>
      <c r="AB487" s="188">
        <v>0</v>
      </c>
      <c r="AC487" s="188"/>
      <c r="AD487" s="189" t="s">
        <v>883</v>
      </c>
      <c r="AE487" s="190" t="s">
        <v>883</v>
      </c>
      <c r="AF487" s="180">
        <v>2184</v>
      </c>
      <c r="AG487" s="183">
        <v>44967</v>
      </c>
      <c r="AH487" s="183">
        <v>38919</v>
      </c>
      <c r="AI487" s="183">
        <v>45049</v>
      </c>
      <c r="AJ487" s="183" t="s">
        <v>883</v>
      </c>
      <c r="AK487" s="174"/>
    </row>
    <row r="488" spans="1:37" x14ac:dyDescent="0.3">
      <c r="A488" s="173">
        <v>93329</v>
      </c>
      <c r="B488" s="174" t="s">
        <v>1530</v>
      </c>
      <c r="C488" s="175" t="s">
        <v>569</v>
      </c>
      <c r="D488" s="176">
        <v>0.45</v>
      </c>
      <c r="E488" s="174"/>
      <c r="F488" s="174"/>
      <c r="G488" s="174" t="s">
        <v>883</v>
      </c>
      <c r="H488" s="177">
        <v>328</v>
      </c>
      <c r="I488" s="24">
        <v>103003</v>
      </c>
      <c r="J488" s="178">
        <v>0.45</v>
      </c>
      <c r="K488" s="177">
        <v>4700</v>
      </c>
      <c r="L488" s="179">
        <v>0.58694057226705798</v>
      </c>
      <c r="M488" s="180">
        <v>4377.96</v>
      </c>
      <c r="N488" s="178">
        <v>1970.0820000000001</v>
      </c>
      <c r="O488" s="181" t="s">
        <v>882</v>
      </c>
      <c r="P488" s="180">
        <v>0</v>
      </c>
      <c r="Q488" s="182">
        <v>0</v>
      </c>
      <c r="R488" s="183" t="s">
        <v>883</v>
      </c>
      <c r="S488" s="174" t="s">
        <v>1135</v>
      </c>
      <c r="T488" s="44">
        <v>1</v>
      </c>
      <c r="U488" s="184">
        <v>57</v>
      </c>
      <c r="V488" s="185">
        <v>2</v>
      </c>
      <c r="W488" s="186">
        <v>6216</v>
      </c>
      <c r="X488" s="187">
        <v>2023</v>
      </c>
      <c r="Y488" s="188">
        <v>2000</v>
      </c>
      <c r="Z488" s="188" t="s">
        <v>883</v>
      </c>
      <c r="AA488" s="187" t="s">
        <v>883</v>
      </c>
      <c r="AB488" s="188">
        <v>0</v>
      </c>
      <c r="AC488" s="188"/>
      <c r="AD488" s="189" t="s">
        <v>883</v>
      </c>
      <c r="AE488" s="190" t="s">
        <v>883</v>
      </c>
      <c r="AF488" s="180">
        <v>2236</v>
      </c>
      <c r="AG488" s="183">
        <v>44967</v>
      </c>
      <c r="AH488" s="183">
        <v>38919</v>
      </c>
      <c r="AI488" s="183">
        <v>45049</v>
      </c>
      <c r="AJ488" s="183" t="s">
        <v>883</v>
      </c>
      <c r="AK488" s="174"/>
    </row>
    <row r="489" spans="1:37" x14ac:dyDescent="0.3">
      <c r="A489" s="173">
        <v>93332</v>
      </c>
      <c r="B489" s="174" t="s">
        <v>1531</v>
      </c>
      <c r="C489" s="175" t="s">
        <v>569</v>
      </c>
      <c r="D489" s="176">
        <v>0.34</v>
      </c>
      <c r="E489" s="174"/>
      <c r="F489" s="174"/>
      <c r="G489" s="174" t="s">
        <v>883</v>
      </c>
      <c r="H489" s="177">
        <v>423</v>
      </c>
      <c r="I489" s="24">
        <v>103003</v>
      </c>
      <c r="J489" s="178">
        <v>0.34</v>
      </c>
      <c r="K489" s="177">
        <v>4657</v>
      </c>
      <c r="L489" s="179">
        <v>0.75715538690103279</v>
      </c>
      <c r="M489" s="180">
        <v>4281.04</v>
      </c>
      <c r="N489" s="178">
        <v>1455.5536</v>
      </c>
      <c r="O489" s="181" t="s">
        <v>882</v>
      </c>
      <c r="P489" s="180">
        <v>0</v>
      </c>
      <c r="Q489" s="182">
        <v>0</v>
      </c>
      <c r="R489" s="183" t="s">
        <v>883</v>
      </c>
      <c r="S489" s="174" t="s">
        <v>1135</v>
      </c>
      <c r="T489" s="44">
        <v>1</v>
      </c>
      <c r="U489" s="184">
        <v>57</v>
      </c>
      <c r="V489" s="185">
        <v>2</v>
      </c>
      <c r="W489" s="186">
        <v>6216</v>
      </c>
      <c r="X489" s="187">
        <v>2023</v>
      </c>
      <c r="Y489" s="188">
        <v>2000</v>
      </c>
      <c r="Z489" s="188" t="s">
        <v>883</v>
      </c>
      <c r="AA489" s="187" t="s">
        <v>883</v>
      </c>
      <c r="AB489" s="188">
        <v>0</v>
      </c>
      <c r="AC489" s="188"/>
      <c r="AD489" s="189" t="s">
        <v>883</v>
      </c>
      <c r="AE489" s="190" t="s">
        <v>883</v>
      </c>
      <c r="AF489" s="180">
        <v>2234</v>
      </c>
      <c r="AG489" s="183">
        <v>44967</v>
      </c>
      <c r="AH489" s="183">
        <v>38919</v>
      </c>
      <c r="AI489" s="183">
        <v>45118</v>
      </c>
      <c r="AJ489" s="183" t="s">
        <v>883</v>
      </c>
      <c r="AK489" s="174"/>
    </row>
    <row r="490" spans="1:37" x14ac:dyDescent="0.3">
      <c r="A490" s="173">
        <v>93334</v>
      </c>
      <c r="B490" s="174" t="s">
        <v>1532</v>
      </c>
      <c r="C490" s="175" t="s">
        <v>569</v>
      </c>
      <c r="D490" s="176">
        <v>0.45</v>
      </c>
      <c r="E490" s="174"/>
      <c r="F490" s="174"/>
      <c r="G490" s="174" t="s">
        <v>883</v>
      </c>
      <c r="H490" s="177">
        <v>724</v>
      </c>
      <c r="I490" s="24">
        <v>103003</v>
      </c>
      <c r="J490" s="178">
        <v>0.45</v>
      </c>
      <c r="K490" s="177">
        <v>4660</v>
      </c>
      <c r="L490" s="179">
        <v>1.2961437931898745</v>
      </c>
      <c r="M490" s="180">
        <v>3978.96</v>
      </c>
      <c r="N490" s="178">
        <v>1790.5319999999999</v>
      </c>
      <c r="O490" s="181" t="s">
        <v>882</v>
      </c>
      <c r="P490" s="180">
        <v>0</v>
      </c>
      <c r="Q490" s="182">
        <v>0</v>
      </c>
      <c r="R490" s="183" t="s">
        <v>883</v>
      </c>
      <c r="S490" s="174" t="s">
        <v>1135</v>
      </c>
      <c r="T490" s="44">
        <v>1</v>
      </c>
      <c r="U490" s="184">
        <v>57</v>
      </c>
      <c r="V490" s="185">
        <v>2</v>
      </c>
      <c r="W490" s="186">
        <v>6216</v>
      </c>
      <c r="X490" s="187">
        <v>2023</v>
      </c>
      <c r="Y490" s="188">
        <v>2000</v>
      </c>
      <c r="Z490" s="188" t="s">
        <v>883</v>
      </c>
      <c r="AA490" s="187" t="s">
        <v>883</v>
      </c>
      <c r="AB490" s="188">
        <v>0</v>
      </c>
      <c r="AC490" s="188"/>
      <c r="AD490" s="189" t="s">
        <v>883</v>
      </c>
      <c r="AE490" s="190" t="s">
        <v>883</v>
      </c>
      <c r="AF490" s="180">
        <v>2234</v>
      </c>
      <c r="AG490" s="183">
        <v>44974</v>
      </c>
      <c r="AH490" s="183">
        <v>38919</v>
      </c>
      <c r="AI490" s="183">
        <v>45049</v>
      </c>
      <c r="AJ490" s="183" t="s">
        <v>883</v>
      </c>
      <c r="AK490" s="174"/>
    </row>
    <row r="491" spans="1:37" x14ac:dyDescent="0.3">
      <c r="A491" s="173">
        <v>93335</v>
      </c>
      <c r="B491" s="174" t="s">
        <v>1533</v>
      </c>
      <c r="C491" s="175" t="s">
        <v>569</v>
      </c>
      <c r="D491" s="176">
        <v>0.45</v>
      </c>
      <c r="E491" s="174"/>
      <c r="F491" s="174"/>
      <c r="G491" s="174" t="s">
        <v>883</v>
      </c>
      <c r="H491" s="177">
        <v>251</v>
      </c>
      <c r="I491" s="24">
        <v>103003</v>
      </c>
      <c r="J491" s="178">
        <v>0.45</v>
      </c>
      <c r="K491" s="177">
        <v>4722</v>
      </c>
      <c r="L491" s="179">
        <v>0.45096841424413386</v>
      </c>
      <c r="M491" s="180">
        <v>5427.96</v>
      </c>
      <c r="N491" s="178">
        <v>2442.5819999999999</v>
      </c>
      <c r="O491" s="181" t="s">
        <v>882</v>
      </c>
      <c r="P491" s="180">
        <v>0</v>
      </c>
      <c r="Q491" s="182">
        <v>0</v>
      </c>
      <c r="R491" s="183" t="s">
        <v>883</v>
      </c>
      <c r="S491" s="174" t="s">
        <v>1135</v>
      </c>
      <c r="T491" s="44">
        <v>1</v>
      </c>
      <c r="U491" s="184">
        <v>57</v>
      </c>
      <c r="V491" s="185">
        <v>2</v>
      </c>
      <c r="W491" s="186">
        <v>6216</v>
      </c>
      <c r="X491" s="187">
        <v>2023</v>
      </c>
      <c r="Y491" s="188">
        <v>1000</v>
      </c>
      <c r="Z491" s="188" t="s">
        <v>883</v>
      </c>
      <c r="AA491" s="187" t="s">
        <v>883</v>
      </c>
      <c r="AB491" s="188">
        <v>0</v>
      </c>
      <c r="AC491" s="188"/>
      <c r="AD491" s="189" t="s">
        <v>883</v>
      </c>
      <c r="AE491" s="190" t="s">
        <v>883</v>
      </c>
      <c r="AF491" s="180">
        <v>2226</v>
      </c>
      <c r="AG491" s="183">
        <v>44974</v>
      </c>
      <c r="AH491" s="183">
        <v>38919</v>
      </c>
      <c r="AI491" s="183">
        <v>45049</v>
      </c>
      <c r="AJ491" s="183" t="s">
        <v>883</v>
      </c>
      <c r="AK491" s="174"/>
    </row>
    <row r="492" spans="1:37" x14ac:dyDescent="0.3">
      <c r="A492" s="173">
        <v>93453</v>
      </c>
      <c r="B492" s="174" t="s">
        <v>1534</v>
      </c>
      <c r="C492" s="175" t="s">
        <v>569</v>
      </c>
      <c r="D492" s="176">
        <v>0.24</v>
      </c>
      <c r="E492" s="174"/>
      <c r="F492" s="174"/>
      <c r="G492" s="174" t="s">
        <v>883</v>
      </c>
      <c r="H492" s="177">
        <v>0</v>
      </c>
      <c r="I492" s="24">
        <v>103003</v>
      </c>
      <c r="J492" s="178">
        <v>0.24</v>
      </c>
      <c r="K492" s="177">
        <v>4673</v>
      </c>
      <c r="L492" s="179">
        <v>0</v>
      </c>
      <c r="M492" s="180">
        <v>3654.96</v>
      </c>
      <c r="N492" s="178">
        <v>877.19039999999995</v>
      </c>
      <c r="O492" s="181" t="s">
        <v>882</v>
      </c>
      <c r="P492" s="180">
        <v>0</v>
      </c>
      <c r="Q492" s="182">
        <v>0</v>
      </c>
      <c r="R492" s="183" t="s">
        <v>883</v>
      </c>
      <c r="S492" s="174" t="s">
        <v>1135</v>
      </c>
      <c r="T492" s="44">
        <v>1</v>
      </c>
      <c r="U492" s="184">
        <v>57</v>
      </c>
      <c r="V492" s="185">
        <v>2</v>
      </c>
      <c r="W492" s="186">
        <v>6985</v>
      </c>
      <c r="X492" s="187">
        <v>2023</v>
      </c>
      <c r="Y492" s="188">
        <v>3300</v>
      </c>
      <c r="Z492" s="188" t="s">
        <v>883</v>
      </c>
      <c r="AA492" s="187" t="s">
        <v>883</v>
      </c>
      <c r="AB492" s="188">
        <v>0</v>
      </c>
      <c r="AC492" s="188"/>
      <c r="AD492" s="189" t="s">
        <v>883</v>
      </c>
      <c r="AE492" s="190" t="s">
        <v>883</v>
      </c>
      <c r="AF492" s="180">
        <v>2318</v>
      </c>
      <c r="AG492" s="183">
        <v>44147</v>
      </c>
      <c r="AH492" s="183">
        <v>38930</v>
      </c>
      <c r="AI492" s="183">
        <v>44126</v>
      </c>
      <c r="AJ492" s="183" t="s">
        <v>883</v>
      </c>
      <c r="AK492" s="174"/>
    </row>
    <row r="493" spans="1:37" x14ac:dyDescent="0.3">
      <c r="A493" s="173">
        <v>93454</v>
      </c>
      <c r="B493" s="174" t="s">
        <v>1535</v>
      </c>
      <c r="C493" s="175" t="s">
        <v>569</v>
      </c>
      <c r="D493" s="176">
        <v>0.24</v>
      </c>
      <c r="E493" s="174"/>
      <c r="F493" s="174"/>
      <c r="G493" s="174" t="s">
        <v>883</v>
      </c>
      <c r="H493" s="177">
        <v>0</v>
      </c>
      <c r="I493" s="24">
        <v>103003</v>
      </c>
      <c r="J493" s="178">
        <v>0.24</v>
      </c>
      <c r="K493" s="177">
        <v>4303</v>
      </c>
      <c r="L493" s="179">
        <v>0</v>
      </c>
      <c r="M493" s="180">
        <v>4231.96</v>
      </c>
      <c r="N493" s="178">
        <v>1015.6704</v>
      </c>
      <c r="O493" s="181" t="s">
        <v>882</v>
      </c>
      <c r="P493" s="180">
        <v>0</v>
      </c>
      <c r="Q493" s="182">
        <v>0</v>
      </c>
      <c r="R493" s="183" t="s">
        <v>883</v>
      </c>
      <c r="S493" s="174" t="s">
        <v>1135</v>
      </c>
      <c r="T493" s="44">
        <v>1</v>
      </c>
      <c r="U493" s="184">
        <v>57</v>
      </c>
      <c r="V493" s="185">
        <v>2</v>
      </c>
      <c r="W493" s="186">
        <v>6985</v>
      </c>
      <c r="X493" s="187">
        <v>2023</v>
      </c>
      <c r="Y493" s="188">
        <v>3500</v>
      </c>
      <c r="Z493" s="188" t="s">
        <v>883</v>
      </c>
      <c r="AA493" s="187" t="s">
        <v>883</v>
      </c>
      <c r="AB493" s="188">
        <v>0</v>
      </c>
      <c r="AC493" s="188"/>
      <c r="AD493" s="189" t="s">
        <v>883</v>
      </c>
      <c r="AE493" s="190" t="s">
        <v>883</v>
      </c>
      <c r="AF493" s="180">
        <v>2578</v>
      </c>
      <c r="AG493" s="183">
        <v>44147</v>
      </c>
      <c r="AH493" s="183">
        <v>38930</v>
      </c>
      <c r="AI493" s="183">
        <v>44126</v>
      </c>
      <c r="AJ493" s="183" t="s">
        <v>883</v>
      </c>
      <c r="AK493" s="174"/>
    </row>
    <row r="494" spans="1:37" x14ac:dyDescent="0.3">
      <c r="A494" s="173">
        <v>93456</v>
      </c>
      <c r="B494" s="174" t="s">
        <v>1536</v>
      </c>
      <c r="C494" s="175" t="s">
        <v>569</v>
      </c>
      <c r="D494" s="176">
        <v>0.24</v>
      </c>
      <c r="E494" s="174"/>
      <c r="F494" s="174"/>
      <c r="G494" s="174" t="s">
        <v>883</v>
      </c>
      <c r="H494" s="177">
        <v>0</v>
      </c>
      <c r="I494" s="24">
        <v>103003</v>
      </c>
      <c r="J494" s="178">
        <v>0.24</v>
      </c>
      <c r="K494" s="177">
        <v>4895</v>
      </c>
      <c r="L494" s="179">
        <v>0</v>
      </c>
      <c r="M494" s="180">
        <v>4978.96</v>
      </c>
      <c r="N494" s="178">
        <v>1194.9503999999999</v>
      </c>
      <c r="O494" s="181" t="s">
        <v>882</v>
      </c>
      <c r="P494" s="180">
        <v>0</v>
      </c>
      <c r="Q494" s="182">
        <v>0</v>
      </c>
      <c r="R494" s="183" t="s">
        <v>883</v>
      </c>
      <c r="S494" s="174" t="s">
        <v>1135</v>
      </c>
      <c r="T494" s="44">
        <v>1</v>
      </c>
      <c r="U494" s="184">
        <v>57</v>
      </c>
      <c r="V494" s="185">
        <v>2</v>
      </c>
      <c r="W494" s="186">
        <v>6985</v>
      </c>
      <c r="X494" s="187">
        <v>2023</v>
      </c>
      <c r="Y494" s="188">
        <v>2300</v>
      </c>
      <c r="Z494" s="188" t="s">
        <v>883</v>
      </c>
      <c r="AA494" s="187" t="s">
        <v>883</v>
      </c>
      <c r="AB494" s="188">
        <v>0</v>
      </c>
      <c r="AC494" s="188"/>
      <c r="AD494" s="189" t="s">
        <v>883</v>
      </c>
      <c r="AE494" s="190" t="s">
        <v>883</v>
      </c>
      <c r="AF494" s="180">
        <v>2426</v>
      </c>
      <c r="AG494" s="183">
        <v>44147</v>
      </c>
      <c r="AH494" s="183">
        <v>38930</v>
      </c>
      <c r="AI494" s="183">
        <v>44126</v>
      </c>
      <c r="AJ494" s="183" t="s">
        <v>883</v>
      </c>
      <c r="AK494" s="174"/>
    </row>
    <row r="495" spans="1:37" x14ac:dyDescent="0.3">
      <c r="A495" s="173">
        <v>93461</v>
      </c>
      <c r="B495" s="174" t="s">
        <v>1537</v>
      </c>
      <c r="C495" s="175" t="s">
        <v>569</v>
      </c>
      <c r="D495" s="176">
        <v>0.24</v>
      </c>
      <c r="E495" s="174"/>
      <c r="F495" s="174"/>
      <c r="G495" s="174" t="s">
        <v>883</v>
      </c>
      <c r="H495" s="177">
        <v>1377</v>
      </c>
      <c r="I495" s="24">
        <v>103003</v>
      </c>
      <c r="J495" s="178">
        <v>0.24</v>
      </c>
      <c r="K495" s="177">
        <v>5044</v>
      </c>
      <c r="L495" s="179">
        <v>2.0670399447588452</v>
      </c>
      <c r="M495" s="180">
        <v>5617.04</v>
      </c>
      <c r="N495" s="178">
        <v>1348.0896</v>
      </c>
      <c r="O495" s="181" t="s">
        <v>882</v>
      </c>
      <c r="P495" s="180">
        <v>0</v>
      </c>
      <c r="Q495" s="182">
        <v>0</v>
      </c>
      <c r="R495" s="183" t="s">
        <v>883</v>
      </c>
      <c r="S495" s="174" t="s">
        <v>1135</v>
      </c>
      <c r="T495" s="44">
        <v>1</v>
      </c>
      <c r="U495" s="184">
        <v>57</v>
      </c>
      <c r="V495" s="185">
        <v>2</v>
      </c>
      <c r="W495" s="186">
        <v>6217</v>
      </c>
      <c r="X495" s="187">
        <v>2023</v>
      </c>
      <c r="Y495" s="188">
        <v>1000</v>
      </c>
      <c r="Z495" s="188" t="s">
        <v>883</v>
      </c>
      <c r="AA495" s="187" t="s">
        <v>883</v>
      </c>
      <c r="AB495" s="188">
        <v>0</v>
      </c>
      <c r="AC495" s="188"/>
      <c r="AD495" s="189" t="s">
        <v>883</v>
      </c>
      <c r="AE495" s="190" t="s">
        <v>883</v>
      </c>
      <c r="AF495" s="180">
        <v>2664</v>
      </c>
      <c r="AG495" s="183">
        <v>44147</v>
      </c>
      <c r="AH495" s="183">
        <v>38930</v>
      </c>
      <c r="AI495" s="183">
        <v>44126</v>
      </c>
      <c r="AJ495" s="183" t="s">
        <v>883</v>
      </c>
      <c r="AK495" s="174"/>
    </row>
    <row r="496" spans="1:37" x14ac:dyDescent="0.3">
      <c r="A496" s="173">
        <v>93462</v>
      </c>
      <c r="B496" s="174" t="s">
        <v>1538</v>
      </c>
      <c r="C496" s="175" t="s">
        <v>569</v>
      </c>
      <c r="D496" s="176">
        <v>0.24</v>
      </c>
      <c r="E496" s="174"/>
      <c r="F496" s="174"/>
      <c r="G496" s="174" t="s">
        <v>883</v>
      </c>
      <c r="H496" s="177">
        <v>0</v>
      </c>
      <c r="I496" s="24">
        <v>103003</v>
      </c>
      <c r="J496" s="178">
        <v>0.24</v>
      </c>
      <c r="K496" s="177">
        <v>4653</v>
      </c>
      <c r="L496" s="179">
        <v>0</v>
      </c>
      <c r="M496" s="180">
        <v>3486.96</v>
      </c>
      <c r="N496" s="178">
        <v>836.87040000000002</v>
      </c>
      <c r="O496" s="181" t="s">
        <v>882</v>
      </c>
      <c r="P496" s="180">
        <v>0</v>
      </c>
      <c r="Q496" s="182">
        <v>0</v>
      </c>
      <c r="R496" s="183" t="s">
        <v>883</v>
      </c>
      <c r="S496" s="174" t="s">
        <v>1135</v>
      </c>
      <c r="T496" s="44">
        <v>1</v>
      </c>
      <c r="U496" s="184">
        <v>57</v>
      </c>
      <c r="V496" s="185">
        <v>2</v>
      </c>
      <c r="W496" s="186">
        <v>6985</v>
      </c>
      <c r="X496" s="187">
        <v>2023</v>
      </c>
      <c r="Y496" s="188">
        <v>3300</v>
      </c>
      <c r="Z496" s="188" t="s">
        <v>883</v>
      </c>
      <c r="AA496" s="187" t="s">
        <v>883</v>
      </c>
      <c r="AB496" s="188">
        <v>0</v>
      </c>
      <c r="AC496" s="188"/>
      <c r="AD496" s="189" t="s">
        <v>883</v>
      </c>
      <c r="AE496" s="190" t="s">
        <v>883</v>
      </c>
      <c r="AF496" s="180">
        <v>2262</v>
      </c>
      <c r="AG496" s="183">
        <v>44147</v>
      </c>
      <c r="AH496" s="183">
        <v>38930</v>
      </c>
      <c r="AI496" s="183">
        <v>44126</v>
      </c>
      <c r="AJ496" s="183" t="s">
        <v>883</v>
      </c>
      <c r="AK496" s="174"/>
    </row>
    <row r="497" spans="1:37" x14ac:dyDescent="0.3">
      <c r="A497" s="173">
        <v>93486</v>
      </c>
      <c r="B497" s="174" t="s">
        <v>1539</v>
      </c>
      <c r="C497" s="175" t="s">
        <v>256</v>
      </c>
      <c r="D497" s="176">
        <v>50.5</v>
      </c>
      <c r="E497" s="174"/>
      <c r="F497" s="174"/>
      <c r="G497" s="174" t="s">
        <v>883</v>
      </c>
      <c r="H497" s="177">
        <v>87</v>
      </c>
      <c r="I497" s="24">
        <v>103003</v>
      </c>
      <c r="J497" s="178">
        <v>50.5</v>
      </c>
      <c r="K497" s="177">
        <v>3</v>
      </c>
      <c r="L497" s="179">
        <v>348</v>
      </c>
      <c r="M497" s="180">
        <v>0</v>
      </c>
      <c r="N497" s="178">
        <v>0</v>
      </c>
      <c r="O497" s="181" t="s">
        <v>882</v>
      </c>
      <c r="P497" s="180">
        <v>0</v>
      </c>
      <c r="Q497" s="182">
        <v>0</v>
      </c>
      <c r="R497" s="183" t="s">
        <v>883</v>
      </c>
      <c r="S497" s="174" t="s">
        <v>1491</v>
      </c>
      <c r="T497" s="44">
        <v>1</v>
      </c>
      <c r="U497" s="184">
        <v>55</v>
      </c>
      <c r="V497" s="185">
        <v>26</v>
      </c>
      <c r="W497" s="186" t="s">
        <v>883</v>
      </c>
      <c r="X497" s="187" t="s">
        <v>883</v>
      </c>
      <c r="Y497" s="188">
        <v>0</v>
      </c>
      <c r="Z497" s="188" t="s">
        <v>883</v>
      </c>
      <c r="AA497" s="187" t="s">
        <v>883</v>
      </c>
      <c r="AB497" s="188">
        <v>0</v>
      </c>
      <c r="AC497" s="188"/>
      <c r="AD497" s="189" t="s">
        <v>883</v>
      </c>
      <c r="AE497" s="190" t="s">
        <v>883</v>
      </c>
      <c r="AF497" s="180">
        <v>2</v>
      </c>
      <c r="AG497" s="183">
        <v>43641</v>
      </c>
      <c r="AH497" s="183">
        <v>38930</v>
      </c>
      <c r="AI497" s="183">
        <v>43623</v>
      </c>
      <c r="AJ497" s="183" t="s">
        <v>883</v>
      </c>
      <c r="AK497" s="174"/>
    </row>
    <row r="498" spans="1:37" x14ac:dyDescent="0.3">
      <c r="A498" s="173">
        <v>93487</v>
      </c>
      <c r="B498" s="174" t="s">
        <v>1540</v>
      </c>
      <c r="C498" s="175" t="s">
        <v>256</v>
      </c>
      <c r="D498" s="176">
        <v>66.900000000000006</v>
      </c>
      <c r="E498" s="174"/>
      <c r="F498" s="174"/>
      <c r="G498" s="174" t="s">
        <v>883</v>
      </c>
      <c r="H498" s="177">
        <v>7</v>
      </c>
      <c r="I498" s="24">
        <v>103003</v>
      </c>
      <c r="J498" s="178">
        <v>66.900000000000006</v>
      </c>
      <c r="K498" s="177"/>
      <c r="L498" s="179">
        <v>0</v>
      </c>
      <c r="M498" s="180">
        <v>0</v>
      </c>
      <c r="N498" s="178">
        <v>0</v>
      </c>
      <c r="O498" s="181" t="s">
        <v>882</v>
      </c>
      <c r="P498" s="180">
        <v>0</v>
      </c>
      <c r="Q498" s="182">
        <v>0</v>
      </c>
      <c r="R498" s="183" t="s">
        <v>883</v>
      </c>
      <c r="S498" s="174" t="s">
        <v>1491</v>
      </c>
      <c r="T498" s="44">
        <v>1</v>
      </c>
      <c r="U498" s="184">
        <v>55</v>
      </c>
      <c r="V498" s="185">
        <v>26</v>
      </c>
      <c r="W498" s="186" t="s">
        <v>883</v>
      </c>
      <c r="X498" s="187" t="s">
        <v>883</v>
      </c>
      <c r="Y498" s="188">
        <v>0</v>
      </c>
      <c r="Z498" s="188" t="s">
        <v>883</v>
      </c>
      <c r="AA498" s="187" t="s">
        <v>883</v>
      </c>
      <c r="AB498" s="188">
        <v>0</v>
      </c>
      <c r="AC498" s="188"/>
      <c r="AD498" s="189" t="s">
        <v>883</v>
      </c>
      <c r="AE498" s="190" t="s">
        <v>883</v>
      </c>
      <c r="AF498" s="180">
        <v>0</v>
      </c>
      <c r="AG498" s="183">
        <v>43440</v>
      </c>
      <c r="AH498" s="183">
        <v>38930</v>
      </c>
      <c r="AI498" s="183">
        <v>43411</v>
      </c>
      <c r="AJ498" s="183" t="s">
        <v>883</v>
      </c>
      <c r="AK498" s="174"/>
    </row>
    <row r="499" spans="1:37" x14ac:dyDescent="0.3">
      <c r="A499" s="173">
        <v>93488</v>
      </c>
      <c r="B499" s="174" t="s">
        <v>1541</v>
      </c>
      <c r="C499" s="175" t="s">
        <v>256</v>
      </c>
      <c r="D499" s="176">
        <v>78.400000000000006</v>
      </c>
      <c r="E499" s="174"/>
      <c r="F499" s="174"/>
      <c r="G499" s="174" t="s">
        <v>883</v>
      </c>
      <c r="H499" s="177">
        <v>17</v>
      </c>
      <c r="I499" s="24">
        <v>103003</v>
      </c>
      <c r="J499" s="178">
        <v>78.400000000000006</v>
      </c>
      <c r="K499" s="177">
        <v>5</v>
      </c>
      <c r="L499" s="179">
        <v>40.476190476190474</v>
      </c>
      <c r="M499" s="180">
        <v>0</v>
      </c>
      <c r="N499" s="178">
        <v>0</v>
      </c>
      <c r="O499" s="181" t="s">
        <v>882</v>
      </c>
      <c r="P499" s="180">
        <v>0</v>
      </c>
      <c r="Q499" s="182">
        <v>0</v>
      </c>
      <c r="R499" s="183" t="s">
        <v>883</v>
      </c>
      <c r="S499" s="174" t="s">
        <v>1491</v>
      </c>
      <c r="T499" s="44">
        <v>1</v>
      </c>
      <c r="U499" s="184">
        <v>55</v>
      </c>
      <c r="V499" s="185">
        <v>26</v>
      </c>
      <c r="W499" s="186" t="s">
        <v>883</v>
      </c>
      <c r="X499" s="187" t="s">
        <v>883</v>
      </c>
      <c r="Y499" s="188">
        <v>0</v>
      </c>
      <c r="Z499" s="188" t="s">
        <v>883</v>
      </c>
      <c r="AA499" s="187" t="s">
        <v>883</v>
      </c>
      <c r="AB499" s="188">
        <v>0</v>
      </c>
      <c r="AC499" s="188"/>
      <c r="AD499" s="189" t="s">
        <v>883</v>
      </c>
      <c r="AE499" s="190" t="s">
        <v>883</v>
      </c>
      <c r="AF499" s="180">
        <v>2</v>
      </c>
      <c r="AG499" s="183">
        <v>43424</v>
      </c>
      <c r="AH499" s="183">
        <v>38930</v>
      </c>
      <c r="AI499" s="183">
        <v>43411</v>
      </c>
      <c r="AJ499" s="183" t="s">
        <v>883</v>
      </c>
      <c r="AK499" s="174"/>
    </row>
    <row r="500" spans="1:37" x14ac:dyDescent="0.3">
      <c r="A500" s="173">
        <v>95121</v>
      </c>
      <c r="B500" s="174" t="s">
        <v>1542</v>
      </c>
      <c r="C500" s="175" t="s">
        <v>256</v>
      </c>
      <c r="D500" s="176">
        <v>1.53</v>
      </c>
      <c r="E500" s="174"/>
      <c r="F500" s="174"/>
      <c r="G500" s="174" t="s">
        <v>883</v>
      </c>
      <c r="H500" s="177">
        <v>0</v>
      </c>
      <c r="I500" s="24">
        <v>103003</v>
      </c>
      <c r="J500" s="178">
        <v>1.53</v>
      </c>
      <c r="K500" s="177">
        <v>245</v>
      </c>
      <c r="L500" s="179">
        <v>0</v>
      </c>
      <c r="M500" s="180">
        <v>123.04</v>
      </c>
      <c r="N500" s="178">
        <v>188.25120000000001</v>
      </c>
      <c r="O500" s="181" t="s">
        <v>882</v>
      </c>
      <c r="P500" s="180">
        <v>0</v>
      </c>
      <c r="Q500" s="182">
        <v>0</v>
      </c>
      <c r="R500" s="183" t="s">
        <v>883</v>
      </c>
      <c r="S500" s="174" t="s">
        <v>964</v>
      </c>
      <c r="T500" s="44">
        <v>1</v>
      </c>
      <c r="U500" s="184">
        <v>61</v>
      </c>
      <c r="V500" s="185">
        <v>8</v>
      </c>
      <c r="W500" s="186">
        <v>2454</v>
      </c>
      <c r="X500" s="187">
        <v>2023</v>
      </c>
      <c r="Y500" s="188">
        <v>200</v>
      </c>
      <c r="Z500" s="188" t="s">
        <v>883</v>
      </c>
      <c r="AA500" s="187" t="s">
        <v>883</v>
      </c>
      <c r="AB500" s="188">
        <v>0</v>
      </c>
      <c r="AC500" s="188"/>
      <c r="AD500" s="189" t="s">
        <v>883</v>
      </c>
      <c r="AE500" s="190" t="s">
        <v>883</v>
      </c>
      <c r="AF500" s="180">
        <v>108</v>
      </c>
      <c r="AG500" s="183">
        <v>44823</v>
      </c>
      <c r="AH500" s="183">
        <v>39001</v>
      </c>
      <c r="AI500" s="183">
        <v>44776</v>
      </c>
      <c r="AJ500" s="183" t="s">
        <v>883</v>
      </c>
      <c r="AK500" s="174"/>
    </row>
    <row r="501" spans="1:37" x14ac:dyDescent="0.3">
      <c r="A501" s="173">
        <v>95209</v>
      </c>
      <c r="B501" s="174" t="s">
        <v>1543</v>
      </c>
      <c r="C501" s="175" t="s">
        <v>256</v>
      </c>
      <c r="D501" s="176">
        <v>6.8</v>
      </c>
      <c r="E501" s="174"/>
      <c r="F501" s="174"/>
      <c r="G501" s="174" t="s">
        <v>883</v>
      </c>
      <c r="H501" s="177">
        <v>13</v>
      </c>
      <c r="I501" s="24">
        <v>103003</v>
      </c>
      <c r="J501" s="178">
        <v>6.8</v>
      </c>
      <c r="K501" s="177">
        <v>245</v>
      </c>
      <c r="L501" s="179">
        <v>0.53608247422680411</v>
      </c>
      <c r="M501" s="180">
        <v>178</v>
      </c>
      <c r="N501" s="178">
        <v>1210.4000000000001</v>
      </c>
      <c r="O501" s="181" t="s">
        <v>882</v>
      </c>
      <c r="P501" s="180">
        <v>0</v>
      </c>
      <c r="Q501" s="182">
        <v>0</v>
      </c>
      <c r="R501" s="183" t="s">
        <v>883</v>
      </c>
      <c r="S501" s="174" t="s">
        <v>1009</v>
      </c>
      <c r="T501" s="44">
        <v>1</v>
      </c>
      <c r="U501" s="184">
        <v>61</v>
      </c>
      <c r="V501" s="185">
        <v>15</v>
      </c>
      <c r="W501" s="186">
        <v>2702</v>
      </c>
      <c r="X501" s="187">
        <v>2023</v>
      </c>
      <c r="Y501" s="188">
        <v>100</v>
      </c>
      <c r="Z501" s="188" t="s">
        <v>883</v>
      </c>
      <c r="AA501" s="187" t="s">
        <v>883</v>
      </c>
      <c r="AB501" s="188">
        <v>0</v>
      </c>
      <c r="AC501" s="188"/>
      <c r="AD501" s="189" t="s">
        <v>883</v>
      </c>
      <c r="AE501" s="190" t="s">
        <v>883</v>
      </c>
      <c r="AF501" s="180">
        <v>98</v>
      </c>
      <c r="AG501" s="183">
        <v>44806</v>
      </c>
      <c r="AH501" s="183">
        <v>39007</v>
      </c>
      <c r="AI501" s="183">
        <v>44776</v>
      </c>
      <c r="AJ501" s="183" t="s">
        <v>883</v>
      </c>
      <c r="AK501" s="174"/>
    </row>
    <row r="502" spans="1:37" x14ac:dyDescent="0.3">
      <c r="A502" s="173">
        <v>95228</v>
      </c>
      <c r="B502" s="174" t="s">
        <v>1544</v>
      </c>
      <c r="C502" s="175" t="s">
        <v>256</v>
      </c>
      <c r="D502" s="176">
        <v>8.2699999999999996E-2</v>
      </c>
      <c r="E502" s="174"/>
      <c r="F502" s="174"/>
      <c r="G502" s="174" t="s">
        <v>883</v>
      </c>
      <c r="H502" s="177">
        <v>1446</v>
      </c>
      <c r="I502" s="24">
        <v>103003</v>
      </c>
      <c r="J502" s="178">
        <v>8.2699999999999996E-2</v>
      </c>
      <c r="K502" s="177">
        <v>5004</v>
      </c>
      <c r="L502" s="179">
        <v>3.1890962021966387</v>
      </c>
      <c r="M502" s="180">
        <v>2995.04</v>
      </c>
      <c r="N502" s="178">
        <v>247.689808</v>
      </c>
      <c r="O502" s="181" t="s">
        <v>882</v>
      </c>
      <c r="P502" s="180">
        <v>0</v>
      </c>
      <c r="Q502" s="182">
        <v>0</v>
      </c>
      <c r="R502" s="183" t="s">
        <v>883</v>
      </c>
      <c r="S502" s="174" t="s">
        <v>1050</v>
      </c>
      <c r="T502" s="44">
        <v>1</v>
      </c>
      <c r="U502" s="184">
        <v>55</v>
      </c>
      <c r="V502" s="185">
        <v>46</v>
      </c>
      <c r="W502" s="186">
        <v>2442</v>
      </c>
      <c r="X502" s="187">
        <v>2023</v>
      </c>
      <c r="Y502" s="188">
        <v>1000</v>
      </c>
      <c r="Z502" s="188" t="s">
        <v>883</v>
      </c>
      <c r="AA502" s="187" t="s">
        <v>883</v>
      </c>
      <c r="AB502" s="188">
        <v>0</v>
      </c>
      <c r="AC502" s="188"/>
      <c r="AD502" s="189" t="s">
        <v>883</v>
      </c>
      <c r="AE502" s="190" t="s">
        <v>883</v>
      </c>
      <c r="AF502" s="180">
        <v>1814</v>
      </c>
      <c r="AG502" s="183">
        <v>44172</v>
      </c>
      <c r="AH502" s="183">
        <v>39007</v>
      </c>
      <c r="AI502" s="183">
        <v>44383</v>
      </c>
      <c r="AJ502" s="183" t="s">
        <v>883</v>
      </c>
      <c r="AK502" s="174"/>
    </row>
    <row r="503" spans="1:37" x14ac:dyDescent="0.3">
      <c r="A503" s="173">
        <v>95229</v>
      </c>
      <c r="B503" s="174" t="s">
        <v>1545</v>
      </c>
      <c r="C503" s="175" t="s">
        <v>256</v>
      </c>
      <c r="D503" s="176">
        <v>0.19</v>
      </c>
      <c r="E503" s="174"/>
      <c r="F503" s="174"/>
      <c r="G503" s="174" t="s">
        <v>883</v>
      </c>
      <c r="H503" s="177">
        <v>0</v>
      </c>
      <c r="I503" s="24">
        <v>103003</v>
      </c>
      <c r="J503" s="178">
        <v>0.19</v>
      </c>
      <c r="K503" s="177">
        <v>8356</v>
      </c>
      <c r="L503" s="179">
        <v>0</v>
      </c>
      <c r="M503" s="180">
        <v>9418.9599999999991</v>
      </c>
      <c r="N503" s="178">
        <v>1789.6024</v>
      </c>
      <c r="O503" s="181" t="s">
        <v>882</v>
      </c>
      <c r="P503" s="180">
        <v>0</v>
      </c>
      <c r="Q503" s="182">
        <v>0</v>
      </c>
      <c r="R503" s="183" t="s">
        <v>883</v>
      </c>
      <c r="S503" s="174" t="s">
        <v>1050</v>
      </c>
      <c r="T503" s="44">
        <v>1</v>
      </c>
      <c r="U503" s="184">
        <v>55</v>
      </c>
      <c r="V503" s="185">
        <v>46</v>
      </c>
      <c r="W503" s="186">
        <v>2448</v>
      </c>
      <c r="X503" s="187">
        <v>2023</v>
      </c>
      <c r="Y503" s="188">
        <v>2000</v>
      </c>
      <c r="Z503" s="188" t="s">
        <v>883</v>
      </c>
      <c r="AA503" s="187" t="s">
        <v>883</v>
      </c>
      <c r="AB503" s="188">
        <v>0</v>
      </c>
      <c r="AC503" s="188"/>
      <c r="AD503" s="189" t="s">
        <v>883</v>
      </c>
      <c r="AE503" s="190" t="s">
        <v>883</v>
      </c>
      <c r="AF503" s="180">
        <v>3806</v>
      </c>
      <c r="AG503" s="183">
        <v>44599</v>
      </c>
      <c r="AH503" s="183">
        <v>39007</v>
      </c>
      <c r="AI503" s="183">
        <v>45105</v>
      </c>
      <c r="AJ503" s="183" t="s">
        <v>883</v>
      </c>
      <c r="AK503" s="174"/>
    </row>
    <row r="504" spans="1:37" x14ac:dyDescent="0.3">
      <c r="A504" s="173">
        <v>96516</v>
      </c>
      <c r="B504" s="174" t="s">
        <v>1546</v>
      </c>
      <c r="C504" s="175" t="s">
        <v>301</v>
      </c>
      <c r="D504" s="176">
        <v>2.2799999999999998</v>
      </c>
      <c r="E504" s="174" t="s">
        <v>1547</v>
      </c>
      <c r="F504" s="174" t="s">
        <v>1548</v>
      </c>
      <c r="G504" s="174" t="s">
        <v>945</v>
      </c>
      <c r="H504" s="177">
        <v>3054</v>
      </c>
      <c r="I504" s="24">
        <v>103003</v>
      </c>
      <c r="J504" s="178">
        <v>2.2799999999999998</v>
      </c>
      <c r="K504" s="177">
        <v>263</v>
      </c>
      <c r="L504" s="179">
        <v>104.12546880327311</v>
      </c>
      <c r="M504" s="180">
        <v>0</v>
      </c>
      <c r="N504" s="178">
        <v>0</v>
      </c>
      <c r="O504" s="181" t="s">
        <v>946</v>
      </c>
      <c r="P504" s="180">
        <v>1220</v>
      </c>
      <c r="Q504" s="182">
        <v>2781.6</v>
      </c>
      <c r="R504" s="183">
        <v>45454</v>
      </c>
      <c r="S504" s="174" t="s">
        <v>1481</v>
      </c>
      <c r="T504" s="44">
        <v>1</v>
      </c>
      <c r="U504" s="184">
        <v>54</v>
      </c>
      <c r="V504" s="185">
        <v>4</v>
      </c>
      <c r="W504" s="186" t="s">
        <v>883</v>
      </c>
      <c r="X504" s="187" t="s">
        <v>883</v>
      </c>
      <c r="Y504" s="188">
        <v>0</v>
      </c>
      <c r="Z504" s="188" t="s">
        <v>883</v>
      </c>
      <c r="AA504" s="187" t="s">
        <v>883</v>
      </c>
      <c r="AB504" s="188">
        <v>0</v>
      </c>
      <c r="AC504" s="188"/>
      <c r="AD504" s="189" t="s">
        <v>883</v>
      </c>
      <c r="AE504" s="190" t="s">
        <v>883</v>
      </c>
      <c r="AF504" s="180">
        <v>118</v>
      </c>
      <c r="AG504" s="183">
        <v>43759</v>
      </c>
      <c r="AH504" s="183">
        <v>39063</v>
      </c>
      <c r="AI504" s="183">
        <v>45104</v>
      </c>
      <c r="AJ504" s="183" t="s">
        <v>883</v>
      </c>
      <c r="AK504" s="174"/>
    </row>
    <row r="505" spans="1:37" x14ac:dyDescent="0.3">
      <c r="A505" s="173">
        <v>98080</v>
      </c>
      <c r="B505" s="174" t="s">
        <v>1549</v>
      </c>
      <c r="C505" s="175" t="s">
        <v>301</v>
      </c>
      <c r="D505" s="176">
        <v>2.27</v>
      </c>
      <c r="E505" s="174" t="s">
        <v>1547</v>
      </c>
      <c r="F505" s="174" t="s">
        <v>1548</v>
      </c>
      <c r="G505" s="174" t="s">
        <v>945</v>
      </c>
      <c r="H505" s="177">
        <v>2392</v>
      </c>
      <c r="I505" s="24">
        <v>103003</v>
      </c>
      <c r="J505" s="178">
        <v>2.27</v>
      </c>
      <c r="K505" s="177">
        <v>178</v>
      </c>
      <c r="L505" s="179">
        <v>111.25581395348837</v>
      </c>
      <c r="M505" s="180">
        <v>0</v>
      </c>
      <c r="N505" s="178">
        <v>0</v>
      </c>
      <c r="O505" s="181" t="s">
        <v>946</v>
      </c>
      <c r="P505" s="180">
        <v>1220</v>
      </c>
      <c r="Q505" s="182">
        <v>2769.4</v>
      </c>
      <c r="R505" s="183">
        <v>45454</v>
      </c>
      <c r="S505" s="174" t="s">
        <v>1550</v>
      </c>
      <c r="T505" s="44">
        <v>1</v>
      </c>
      <c r="U505" s="184">
        <v>54</v>
      </c>
      <c r="V505" s="185">
        <v>19</v>
      </c>
      <c r="W505" s="186" t="s">
        <v>883</v>
      </c>
      <c r="X505" s="187" t="s">
        <v>883</v>
      </c>
      <c r="Y505" s="188">
        <v>0</v>
      </c>
      <c r="Z505" s="188" t="s">
        <v>883</v>
      </c>
      <c r="AA505" s="187" t="s">
        <v>883</v>
      </c>
      <c r="AB505" s="188">
        <v>0</v>
      </c>
      <c r="AC505" s="188"/>
      <c r="AD505" s="189" t="s">
        <v>883</v>
      </c>
      <c r="AE505" s="190" t="s">
        <v>883</v>
      </c>
      <c r="AF505" s="180">
        <v>86</v>
      </c>
      <c r="AG505" s="183">
        <v>43798</v>
      </c>
      <c r="AH505" s="183">
        <v>39154</v>
      </c>
      <c r="AI505" s="183">
        <v>45104</v>
      </c>
      <c r="AJ505" s="183" t="s">
        <v>883</v>
      </c>
      <c r="AK505" s="174"/>
    </row>
    <row r="506" spans="1:37" x14ac:dyDescent="0.3">
      <c r="A506" s="173">
        <v>98359</v>
      </c>
      <c r="B506" s="174" t="s">
        <v>1551</v>
      </c>
      <c r="C506" s="175" t="s">
        <v>281</v>
      </c>
      <c r="D506" s="176">
        <v>137</v>
      </c>
      <c r="E506" s="174"/>
      <c r="F506" s="174"/>
      <c r="G506" s="174" t="s">
        <v>883</v>
      </c>
      <c r="H506" s="177">
        <v>66</v>
      </c>
      <c r="I506" s="24">
        <v>103003</v>
      </c>
      <c r="J506" s="178">
        <v>137</v>
      </c>
      <c r="K506" s="177">
        <v>30</v>
      </c>
      <c r="L506" s="179">
        <v>26.4</v>
      </c>
      <c r="M506" s="180">
        <v>0</v>
      </c>
      <c r="N506" s="178">
        <v>0</v>
      </c>
      <c r="O506" s="181" t="s">
        <v>882</v>
      </c>
      <c r="P506" s="180">
        <v>0</v>
      </c>
      <c r="Q506" s="182">
        <v>0</v>
      </c>
      <c r="R506" s="183" t="s">
        <v>883</v>
      </c>
      <c r="S506" s="174" t="s">
        <v>1073</v>
      </c>
      <c r="T506" s="44">
        <v>1</v>
      </c>
      <c r="U506" s="184">
        <v>78</v>
      </c>
      <c r="V506" s="185">
        <v>2</v>
      </c>
      <c r="W506" s="186" t="s">
        <v>883</v>
      </c>
      <c r="X506" s="187" t="s">
        <v>883</v>
      </c>
      <c r="Y506" s="188">
        <v>0</v>
      </c>
      <c r="Z506" s="188" t="s">
        <v>883</v>
      </c>
      <c r="AA506" s="187" t="s">
        <v>883</v>
      </c>
      <c r="AB506" s="188">
        <v>0</v>
      </c>
      <c r="AC506" s="188"/>
      <c r="AD506" s="189" t="s">
        <v>883</v>
      </c>
      <c r="AE506" s="190" t="s">
        <v>883</v>
      </c>
      <c r="AF506" s="180">
        <v>10</v>
      </c>
      <c r="AG506" s="183">
        <v>44165</v>
      </c>
      <c r="AH506" s="183">
        <v>39168</v>
      </c>
      <c r="AI506" s="183">
        <v>44789</v>
      </c>
      <c r="AJ506" s="183" t="s">
        <v>883</v>
      </c>
      <c r="AK506" s="174"/>
    </row>
    <row r="507" spans="1:37" x14ac:dyDescent="0.3">
      <c r="A507" s="173">
        <v>98360</v>
      </c>
      <c r="B507" s="174" t="s">
        <v>509</v>
      </c>
      <c r="C507" s="175" t="s">
        <v>281</v>
      </c>
      <c r="D507" s="176">
        <v>42</v>
      </c>
      <c r="E507" s="174"/>
      <c r="F507" s="174"/>
      <c r="G507" s="174" t="s">
        <v>883</v>
      </c>
      <c r="H507" s="177">
        <v>55</v>
      </c>
      <c r="I507" s="24">
        <v>103003</v>
      </c>
      <c r="J507" s="178">
        <v>42</v>
      </c>
      <c r="K507" s="177"/>
      <c r="L507" s="179">
        <v>0</v>
      </c>
      <c r="M507" s="180">
        <v>0</v>
      </c>
      <c r="N507" s="178">
        <v>0</v>
      </c>
      <c r="O507" s="181" t="s">
        <v>882</v>
      </c>
      <c r="P507" s="180">
        <v>0</v>
      </c>
      <c r="Q507" s="182">
        <v>0</v>
      </c>
      <c r="R507" s="183" t="s">
        <v>883</v>
      </c>
      <c r="S507" s="174" t="s">
        <v>1552</v>
      </c>
      <c r="T507" s="44">
        <v>1</v>
      </c>
      <c r="U507" s="184">
        <v>70</v>
      </c>
      <c r="V507" s="185">
        <v>47</v>
      </c>
      <c r="W507" s="186" t="s">
        <v>883</v>
      </c>
      <c r="X507" s="187" t="s">
        <v>883</v>
      </c>
      <c r="Y507" s="188">
        <v>0</v>
      </c>
      <c r="Z507" s="188" t="s">
        <v>883</v>
      </c>
      <c r="AA507" s="187" t="s">
        <v>883</v>
      </c>
      <c r="AB507" s="188">
        <v>0</v>
      </c>
      <c r="AC507" s="188"/>
      <c r="AD507" s="189" t="s">
        <v>883</v>
      </c>
      <c r="AE507" s="190" t="s">
        <v>883</v>
      </c>
      <c r="AF507" s="180">
        <v>0</v>
      </c>
      <c r="AG507" s="183">
        <v>43063</v>
      </c>
      <c r="AH507" s="183">
        <v>39168</v>
      </c>
      <c r="AI507" s="183">
        <v>44789</v>
      </c>
      <c r="AJ507" s="183" t="s">
        <v>883</v>
      </c>
      <c r="AK507" s="174"/>
    </row>
    <row r="508" spans="1:37" x14ac:dyDescent="0.3">
      <c r="A508" s="173">
        <v>98702</v>
      </c>
      <c r="B508" s="174" t="s">
        <v>1553</v>
      </c>
      <c r="C508" s="175" t="s">
        <v>629</v>
      </c>
      <c r="D508" s="176">
        <v>49.9</v>
      </c>
      <c r="E508" s="174"/>
      <c r="F508" s="174"/>
      <c r="G508" s="174" t="s">
        <v>883</v>
      </c>
      <c r="H508" s="177">
        <v>401.6</v>
      </c>
      <c r="I508" s="24">
        <v>103003</v>
      </c>
      <c r="J508" s="178">
        <v>49.9</v>
      </c>
      <c r="K508" s="177">
        <v>4683</v>
      </c>
      <c r="L508" s="179">
        <v>0.77279812188504249</v>
      </c>
      <c r="M508" s="180">
        <v>0</v>
      </c>
      <c r="N508" s="178">
        <v>0</v>
      </c>
      <c r="O508" s="181" t="s">
        <v>882</v>
      </c>
      <c r="P508" s="180">
        <v>0</v>
      </c>
      <c r="Q508" s="182">
        <v>0</v>
      </c>
      <c r="R508" s="183" t="s">
        <v>883</v>
      </c>
      <c r="S508" s="174" t="s">
        <v>1554</v>
      </c>
      <c r="T508" s="44">
        <v>1</v>
      </c>
      <c r="U508" s="184">
        <v>51</v>
      </c>
      <c r="V508" s="185">
        <v>24</v>
      </c>
      <c r="W508" s="186">
        <v>2572</v>
      </c>
      <c r="X508" s="187">
        <v>2023</v>
      </c>
      <c r="Y508" s="188">
        <v>8000</v>
      </c>
      <c r="Z508" s="188" t="s">
        <v>883</v>
      </c>
      <c r="AA508" s="187" t="s">
        <v>883</v>
      </c>
      <c r="AB508" s="188">
        <v>0</v>
      </c>
      <c r="AC508" s="188"/>
      <c r="AD508" s="189" t="s">
        <v>883</v>
      </c>
      <c r="AE508" s="190" t="s">
        <v>883</v>
      </c>
      <c r="AF508" s="180">
        <v>2078</v>
      </c>
      <c r="AG508" s="183">
        <v>44775</v>
      </c>
      <c r="AH508" s="183">
        <v>39183</v>
      </c>
      <c r="AI508" s="183">
        <v>44748</v>
      </c>
      <c r="AJ508" s="183" t="s">
        <v>883</v>
      </c>
      <c r="AK508" s="174"/>
    </row>
    <row r="509" spans="1:37" x14ac:dyDescent="0.3">
      <c r="A509" s="173">
        <v>98703</v>
      </c>
      <c r="B509" s="174" t="s">
        <v>1555</v>
      </c>
      <c r="C509" s="175" t="s">
        <v>294</v>
      </c>
      <c r="D509" s="176">
        <v>45.37</v>
      </c>
      <c r="E509" s="174"/>
      <c r="F509" s="174"/>
      <c r="G509" s="174" t="s">
        <v>883</v>
      </c>
      <c r="H509" s="177">
        <v>534</v>
      </c>
      <c r="I509" s="24">
        <v>103003</v>
      </c>
      <c r="J509" s="178">
        <v>45.37</v>
      </c>
      <c r="K509" s="177">
        <v>686</v>
      </c>
      <c r="L509" s="179">
        <v>7.4601844090528084</v>
      </c>
      <c r="M509" s="180">
        <v>0</v>
      </c>
      <c r="N509" s="178">
        <v>0</v>
      </c>
      <c r="O509" s="181" t="s">
        <v>882</v>
      </c>
      <c r="P509" s="180">
        <v>0</v>
      </c>
      <c r="Q509" s="182">
        <v>0</v>
      </c>
      <c r="R509" s="183" t="s">
        <v>883</v>
      </c>
      <c r="S509" s="174" t="s">
        <v>1258</v>
      </c>
      <c r="T509" s="44">
        <v>1</v>
      </c>
      <c r="U509" s="184">
        <v>69</v>
      </c>
      <c r="V509" s="185">
        <v>3</v>
      </c>
      <c r="W509" s="186">
        <v>7337</v>
      </c>
      <c r="X509" s="187">
        <v>2023</v>
      </c>
      <c r="Y509" s="188">
        <v>500</v>
      </c>
      <c r="Z509" s="188" t="s">
        <v>883</v>
      </c>
      <c r="AA509" s="187" t="s">
        <v>883</v>
      </c>
      <c r="AB509" s="188">
        <v>0</v>
      </c>
      <c r="AC509" s="188"/>
      <c r="AD509" s="189" t="s">
        <v>883</v>
      </c>
      <c r="AE509" s="190" t="s">
        <v>883</v>
      </c>
      <c r="AF509" s="180">
        <v>286</v>
      </c>
      <c r="AG509" s="183">
        <v>44148</v>
      </c>
      <c r="AH509" s="183">
        <v>39183</v>
      </c>
      <c r="AI509" s="183">
        <v>44685</v>
      </c>
      <c r="AJ509" s="183" t="s">
        <v>883</v>
      </c>
      <c r="AK509" s="174"/>
    </row>
    <row r="510" spans="1:37" x14ac:dyDescent="0.3">
      <c r="A510" s="173">
        <v>98704</v>
      </c>
      <c r="B510" s="174" t="s">
        <v>1556</v>
      </c>
      <c r="C510" s="175" t="s">
        <v>294</v>
      </c>
      <c r="D510" s="176">
        <v>35</v>
      </c>
      <c r="E510" s="174"/>
      <c r="F510" s="174"/>
      <c r="G510" s="174" t="s">
        <v>883</v>
      </c>
      <c r="H510" s="177">
        <v>156</v>
      </c>
      <c r="I510" s="24">
        <v>103003</v>
      </c>
      <c r="J510" s="178">
        <v>35</v>
      </c>
      <c r="K510" s="177">
        <v>204</v>
      </c>
      <c r="L510" s="179">
        <v>8.32</v>
      </c>
      <c r="M510" s="180">
        <v>19</v>
      </c>
      <c r="N510" s="178">
        <v>665</v>
      </c>
      <c r="O510" s="181" t="s">
        <v>882</v>
      </c>
      <c r="P510" s="180">
        <v>0</v>
      </c>
      <c r="Q510" s="182">
        <v>0</v>
      </c>
      <c r="R510" s="183" t="s">
        <v>883</v>
      </c>
      <c r="S510" s="174" t="s">
        <v>1258</v>
      </c>
      <c r="T510" s="44">
        <v>1</v>
      </c>
      <c r="U510" s="184">
        <v>69</v>
      </c>
      <c r="V510" s="185">
        <v>3</v>
      </c>
      <c r="W510" s="186">
        <v>2575</v>
      </c>
      <c r="X510" s="187">
        <v>2023</v>
      </c>
      <c r="Y510" s="188">
        <v>50</v>
      </c>
      <c r="Z510" s="188" t="s">
        <v>883</v>
      </c>
      <c r="AA510" s="187" t="s">
        <v>883</v>
      </c>
      <c r="AB510" s="188">
        <v>0</v>
      </c>
      <c r="AC510" s="188"/>
      <c r="AD510" s="189" t="s">
        <v>883</v>
      </c>
      <c r="AE510" s="190" t="s">
        <v>883</v>
      </c>
      <c r="AF510" s="180">
        <v>76</v>
      </c>
      <c r="AG510" s="183">
        <v>44460</v>
      </c>
      <c r="AH510" s="183">
        <v>39183</v>
      </c>
      <c r="AI510" s="183">
        <v>44432</v>
      </c>
      <c r="AJ510" s="183" t="s">
        <v>883</v>
      </c>
      <c r="AK510" s="174"/>
    </row>
    <row r="511" spans="1:37" x14ac:dyDescent="0.3">
      <c r="A511" s="173">
        <v>98732</v>
      </c>
      <c r="B511" s="174" t="s">
        <v>1557</v>
      </c>
      <c r="C511" s="175" t="s">
        <v>31</v>
      </c>
      <c r="D511" s="176">
        <v>134</v>
      </c>
      <c r="E511" s="174"/>
      <c r="F511" s="174"/>
      <c r="G511" s="174" t="s">
        <v>883</v>
      </c>
      <c r="H511" s="177">
        <v>55</v>
      </c>
      <c r="I511" s="24">
        <v>103003</v>
      </c>
      <c r="J511" s="178">
        <v>143.14286000000001</v>
      </c>
      <c r="K511" s="177"/>
      <c r="L511" s="179">
        <v>0</v>
      </c>
      <c r="M511" s="180">
        <v>0</v>
      </c>
      <c r="N511" s="178">
        <v>0</v>
      </c>
      <c r="O511" s="181" t="s">
        <v>882</v>
      </c>
      <c r="P511" s="180">
        <v>0</v>
      </c>
      <c r="Q511" s="182">
        <v>0</v>
      </c>
      <c r="R511" s="183" t="s">
        <v>883</v>
      </c>
      <c r="S511" s="174" t="s">
        <v>1558</v>
      </c>
      <c r="T511" s="44">
        <v>1</v>
      </c>
      <c r="U511" s="184">
        <v>58</v>
      </c>
      <c r="V511" s="185">
        <v>14</v>
      </c>
      <c r="W511" s="186" t="s">
        <v>883</v>
      </c>
      <c r="X511" s="187" t="s">
        <v>883</v>
      </c>
      <c r="Y511" s="188">
        <v>0</v>
      </c>
      <c r="Z511" s="188" t="s">
        <v>883</v>
      </c>
      <c r="AA511" s="187" t="s">
        <v>883</v>
      </c>
      <c r="AB511" s="188">
        <v>0</v>
      </c>
      <c r="AC511" s="188"/>
      <c r="AD511" s="189" t="s">
        <v>883</v>
      </c>
      <c r="AE511" s="190" t="s">
        <v>883</v>
      </c>
      <c r="AF511" s="180">
        <v>0</v>
      </c>
      <c r="AG511" s="183">
        <v>43619</v>
      </c>
      <c r="AH511" s="183">
        <v>39184</v>
      </c>
      <c r="AI511" s="183">
        <v>43585</v>
      </c>
      <c r="AJ511" s="183" t="s">
        <v>883</v>
      </c>
      <c r="AK511" s="174"/>
    </row>
    <row r="512" spans="1:37" x14ac:dyDescent="0.3">
      <c r="A512" s="173">
        <v>98733</v>
      </c>
      <c r="B512" s="174" t="s">
        <v>1559</v>
      </c>
      <c r="C512" s="175" t="s">
        <v>31</v>
      </c>
      <c r="D512" s="176">
        <v>134</v>
      </c>
      <c r="E512" s="174"/>
      <c r="F512" s="174"/>
      <c r="G512" s="174" t="s">
        <v>883</v>
      </c>
      <c r="H512" s="177">
        <v>41</v>
      </c>
      <c r="I512" s="24">
        <v>103003</v>
      </c>
      <c r="J512" s="178">
        <v>144.25</v>
      </c>
      <c r="K512" s="177"/>
      <c r="L512" s="179">
        <v>0</v>
      </c>
      <c r="M512" s="180">
        <v>0</v>
      </c>
      <c r="N512" s="178">
        <v>0</v>
      </c>
      <c r="O512" s="181" t="s">
        <v>882</v>
      </c>
      <c r="P512" s="180">
        <v>0</v>
      </c>
      <c r="Q512" s="182">
        <v>0</v>
      </c>
      <c r="R512" s="183" t="s">
        <v>883</v>
      </c>
      <c r="S512" s="174" t="s">
        <v>1558</v>
      </c>
      <c r="T512" s="44">
        <v>1</v>
      </c>
      <c r="U512" s="184">
        <v>58</v>
      </c>
      <c r="V512" s="185">
        <v>14</v>
      </c>
      <c r="W512" s="186" t="s">
        <v>883</v>
      </c>
      <c r="X512" s="187" t="s">
        <v>883</v>
      </c>
      <c r="Y512" s="188">
        <v>0</v>
      </c>
      <c r="Z512" s="188" t="s">
        <v>883</v>
      </c>
      <c r="AA512" s="187" t="s">
        <v>883</v>
      </c>
      <c r="AB512" s="188">
        <v>0</v>
      </c>
      <c r="AC512" s="188"/>
      <c r="AD512" s="189" t="s">
        <v>883</v>
      </c>
      <c r="AE512" s="190" t="s">
        <v>883</v>
      </c>
      <c r="AF512" s="180">
        <v>0</v>
      </c>
      <c r="AG512" s="183">
        <v>43613</v>
      </c>
      <c r="AH512" s="183">
        <v>39184</v>
      </c>
      <c r="AI512" s="183">
        <v>43585</v>
      </c>
      <c r="AJ512" s="183" t="s">
        <v>883</v>
      </c>
      <c r="AK512" s="174"/>
    </row>
    <row r="513" spans="1:37" x14ac:dyDescent="0.3">
      <c r="A513" s="173">
        <v>98734</v>
      </c>
      <c r="B513" s="174" t="s">
        <v>2231</v>
      </c>
      <c r="C513" s="175" t="s">
        <v>31</v>
      </c>
      <c r="D513" s="176">
        <v>134</v>
      </c>
      <c r="E513" s="174"/>
      <c r="F513" s="174"/>
      <c r="G513" s="174" t="s">
        <v>883</v>
      </c>
      <c r="H513" s="177">
        <v>36</v>
      </c>
      <c r="I513" s="24">
        <v>103003</v>
      </c>
      <c r="J513" s="178">
        <v>160.98412999999999</v>
      </c>
      <c r="K513" s="177"/>
      <c r="L513" s="179">
        <v>0</v>
      </c>
      <c r="M513" s="180">
        <v>0</v>
      </c>
      <c r="N513" s="178">
        <v>0</v>
      </c>
      <c r="O513" s="181" t="s">
        <v>882</v>
      </c>
      <c r="P513" s="180">
        <v>0</v>
      </c>
      <c r="Q513" s="182">
        <v>0</v>
      </c>
      <c r="R513" s="183" t="s">
        <v>883</v>
      </c>
      <c r="S513" s="174" t="s">
        <v>1558</v>
      </c>
      <c r="T513" s="44">
        <v>1</v>
      </c>
      <c r="U513" s="184">
        <v>58</v>
      </c>
      <c r="V513" s="185">
        <v>14</v>
      </c>
      <c r="W513" s="186" t="s">
        <v>883</v>
      </c>
      <c r="X513" s="187" t="s">
        <v>883</v>
      </c>
      <c r="Y513" s="188">
        <v>0</v>
      </c>
      <c r="Z513" s="188" t="s">
        <v>883</v>
      </c>
      <c r="AA513" s="187" t="s">
        <v>883</v>
      </c>
      <c r="AB513" s="188">
        <v>0</v>
      </c>
      <c r="AC513" s="188"/>
      <c r="AD513" s="189" t="s">
        <v>883</v>
      </c>
      <c r="AE513" s="190" t="s">
        <v>883</v>
      </c>
      <c r="AF513" s="180">
        <v>0</v>
      </c>
      <c r="AG513" s="183">
        <v>43619</v>
      </c>
      <c r="AH513" s="183">
        <v>39184</v>
      </c>
      <c r="AI513" s="183">
        <v>43585</v>
      </c>
      <c r="AJ513" s="183" t="s">
        <v>883</v>
      </c>
      <c r="AK513" s="174"/>
    </row>
    <row r="514" spans="1:37" x14ac:dyDescent="0.3">
      <c r="A514" s="173">
        <v>99787</v>
      </c>
      <c r="B514" s="174" t="s">
        <v>1560</v>
      </c>
      <c r="C514" s="175" t="s">
        <v>256</v>
      </c>
      <c r="D514" s="176">
        <v>73</v>
      </c>
      <c r="E514" s="174"/>
      <c r="F514" s="174"/>
      <c r="G514" s="174" t="s">
        <v>883</v>
      </c>
      <c r="H514" s="177">
        <v>16</v>
      </c>
      <c r="I514" s="24">
        <v>103003</v>
      </c>
      <c r="J514" s="178">
        <v>73</v>
      </c>
      <c r="K514" s="177">
        <v>63</v>
      </c>
      <c r="L514" s="179">
        <v>2.7826086956521743</v>
      </c>
      <c r="M514" s="180">
        <v>0</v>
      </c>
      <c r="N514" s="178">
        <v>0</v>
      </c>
      <c r="O514" s="181" t="s">
        <v>882</v>
      </c>
      <c r="P514" s="180">
        <v>0</v>
      </c>
      <c r="Q514" s="182">
        <v>0</v>
      </c>
      <c r="R514" s="183" t="s">
        <v>883</v>
      </c>
      <c r="S514" s="174" t="s">
        <v>988</v>
      </c>
      <c r="T514" s="44">
        <v>1</v>
      </c>
      <c r="U514" s="184">
        <v>55</v>
      </c>
      <c r="V514" s="185">
        <v>32</v>
      </c>
      <c r="W514" s="186">
        <v>2691</v>
      </c>
      <c r="X514" s="187">
        <v>2023</v>
      </c>
      <c r="Y514" s="188">
        <v>60</v>
      </c>
      <c r="Z514" s="188" t="s">
        <v>883</v>
      </c>
      <c r="AA514" s="187" t="s">
        <v>883</v>
      </c>
      <c r="AB514" s="188">
        <v>0</v>
      </c>
      <c r="AC514" s="188"/>
      <c r="AD514" s="189" t="s">
        <v>883</v>
      </c>
      <c r="AE514" s="190" t="s">
        <v>883</v>
      </c>
      <c r="AF514" s="180">
        <v>24</v>
      </c>
      <c r="AG514" s="183">
        <v>44874</v>
      </c>
      <c r="AH514" s="183">
        <v>39227</v>
      </c>
      <c r="AI514" s="183">
        <v>44845</v>
      </c>
      <c r="AJ514" s="183" t="s">
        <v>883</v>
      </c>
      <c r="AK514" s="174"/>
    </row>
    <row r="515" spans="1:37" x14ac:dyDescent="0.3">
      <c r="A515" s="173">
        <v>99788</v>
      </c>
      <c r="B515" s="174" t="s">
        <v>1561</v>
      </c>
      <c r="C515" s="175" t="s">
        <v>256</v>
      </c>
      <c r="D515" s="176">
        <v>1.49</v>
      </c>
      <c r="E515" s="174"/>
      <c r="F515" s="174"/>
      <c r="G515" s="174" t="s">
        <v>883</v>
      </c>
      <c r="H515" s="177">
        <v>150</v>
      </c>
      <c r="I515" s="24">
        <v>103003</v>
      </c>
      <c r="J515" s="178">
        <v>1.49</v>
      </c>
      <c r="K515" s="177"/>
      <c r="L515" s="179">
        <v>0</v>
      </c>
      <c r="M515" s="180">
        <v>0</v>
      </c>
      <c r="N515" s="178">
        <v>0</v>
      </c>
      <c r="O515" s="181" t="s">
        <v>882</v>
      </c>
      <c r="P515" s="180">
        <v>0</v>
      </c>
      <c r="Q515" s="182">
        <v>0</v>
      </c>
      <c r="R515" s="183" t="s">
        <v>883</v>
      </c>
      <c r="S515" s="174" t="s">
        <v>988</v>
      </c>
      <c r="T515" s="44">
        <v>1</v>
      </c>
      <c r="U515" s="184">
        <v>55</v>
      </c>
      <c r="V515" s="185">
        <v>32</v>
      </c>
      <c r="W515" s="186" t="s">
        <v>883</v>
      </c>
      <c r="X515" s="187" t="s">
        <v>883</v>
      </c>
      <c r="Y515" s="188">
        <v>0</v>
      </c>
      <c r="Z515" s="188" t="s">
        <v>883</v>
      </c>
      <c r="AA515" s="187" t="s">
        <v>883</v>
      </c>
      <c r="AB515" s="188">
        <v>0</v>
      </c>
      <c r="AC515" s="188"/>
      <c r="AD515" s="189" t="s">
        <v>883</v>
      </c>
      <c r="AE515" s="190" t="s">
        <v>883</v>
      </c>
      <c r="AF515" s="180">
        <v>0</v>
      </c>
      <c r="AG515" s="183">
        <v>39741</v>
      </c>
      <c r="AH515" s="183">
        <v>39227</v>
      </c>
      <c r="AI515" s="183">
        <v>39729</v>
      </c>
      <c r="AJ515" s="183" t="s">
        <v>883</v>
      </c>
      <c r="AK515" s="174"/>
    </row>
    <row r="516" spans="1:37" x14ac:dyDescent="0.3">
      <c r="A516" s="173">
        <v>100362</v>
      </c>
      <c r="B516" s="174" t="s">
        <v>1562</v>
      </c>
      <c r="C516" s="175" t="s">
        <v>411</v>
      </c>
      <c r="D516" s="176">
        <v>31.4</v>
      </c>
      <c r="E516" s="174"/>
      <c r="F516" s="174"/>
      <c r="G516" s="174" t="s">
        <v>883</v>
      </c>
      <c r="H516" s="177">
        <v>0</v>
      </c>
      <c r="I516" s="24">
        <v>103003</v>
      </c>
      <c r="J516" s="178">
        <v>31.4</v>
      </c>
      <c r="K516" s="177">
        <v>4028</v>
      </c>
      <c r="L516" s="179">
        <v>0</v>
      </c>
      <c r="M516" s="180">
        <v>0</v>
      </c>
      <c r="N516" s="178">
        <v>0</v>
      </c>
      <c r="O516" s="181" t="s">
        <v>882</v>
      </c>
      <c r="P516" s="180">
        <v>0</v>
      </c>
      <c r="Q516" s="182">
        <v>0</v>
      </c>
      <c r="R516" s="183" t="s">
        <v>883</v>
      </c>
      <c r="S516" s="174" t="s">
        <v>961</v>
      </c>
      <c r="T516" s="44">
        <v>1</v>
      </c>
      <c r="U516" s="184">
        <v>51</v>
      </c>
      <c r="V516" s="185">
        <v>3</v>
      </c>
      <c r="W516" s="186" t="s">
        <v>883</v>
      </c>
      <c r="X516" s="187" t="s">
        <v>883</v>
      </c>
      <c r="Y516" s="188">
        <v>0</v>
      </c>
      <c r="Z516" s="188">
        <v>8935</v>
      </c>
      <c r="AA516" s="187">
        <v>2023</v>
      </c>
      <c r="AB516" s="188">
        <v>8000</v>
      </c>
      <c r="AC516" s="188">
        <v>8000</v>
      </c>
      <c r="AD516" s="189" t="s">
        <v>2036</v>
      </c>
      <c r="AE516" s="190" t="s">
        <v>883</v>
      </c>
      <c r="AF516" s="180">
        <v>1342</v>
      </c>
      <c r="AG516" s="183">
        <v>44783</v>
      </c>
      <c r="AH516" s="183">
        <v>39258</v>
      </c>
      <c r="AI516" s="183">
        <v>45099</v>
      </c>
      <c r="AJ516" s="183" t="s">
        <v>883</v>
      </c>
      <c r="AK516" s="174"/>
    </row>
    <row r="517" spans="1:37" x14ac:dyDescent="0.3">
      <c r="A517" s="173">
        <v>100383</v>
      </c>
      <c r="B517" s="174" t="s">
        <v>871</v>
      </c>
      <c r="C517" s="175" t="s">
        <v>281</v>
      </c>
      <c r="D517" s="176">
        <v>160</v>
      </c>
      <c r="E517" s="174"/>
      <c r="F517" s="174"/>
      <c r="G517" s="174" t="s">
        <v>883</v>
      </c>
      <c r="H517" s="177">
        <v>74</v>
      </c>
      <c r="I517" s="24">
        <v>103003</v>
      </c>
      <c r="J517" s="178">
        <v>160</v>
      </c>
      <c r="K517" s="177">
        <v>3</v>
      </c>
      <c r="L517" s="179">
        <v>296</v>
      </c>
      <c r="M517" s="180">
        <v>0</v>
      </c>
      <c r="N517" s="178">
        <v>0</v>
      </c>
      <c r="O517" s="181" t="s">
        <v>882</v>
      </c>
      <c r="P517" s="180">
        <v>0</v>
      </c>
      <c r="Q517" s="182">
        <v>0</v>
      </c>
      <c r="R517" s="183" t="s">
        <v>883</v>
      </c>
      <c r="S517" s="174" t="s">
        <v>1563</v>
      </c>
      <c r="T517" s="44">
        <v>1</v>
      </c>
      <c r="U517" s="184">
        <v>80</v>
      </c>
      <c r="V517" s="185">
        <v>7</v>
      </c>
      <c r="W517" s="186" t="s">
        <v>883</v>
      </c>
      <c r="X517" s="187" t="s">
        <v>883</v>
      </c>
      <c r="Y517" s="188">
        <v>0</v>
      </c>
      <c r="Z517" s="188" t="s">
        <v>883</v>
      </c>
      <c r="AA517" s="187" t="s">
        <v>883</v>
      </c>
      <c r="AB517" s="188">
        <v>0</v>
      </c>
      <c r="AC517" s="188"/>
      <c r="AD517" s="189" t="s">
        <v>883</v>
      </c>
      <c r="AE517" s="190" t="s">
        <v>883</v>
      </c>
      <c r="AF517" s="180">
        <v>2</v>
      </c>
      <c r="AG517" s="183">
        <v>44372</v>
      </c>
      <c r="AH517" s="183">
        <v>39260</v>
      </c>
      <c r="AI517" s="183">
        <v>44757</v>
      </c>
      <c r="AJ517" s="183" t="s">
        <v>883</v>
      </c>
      <c r="AK517" s="174"/>
    </row>
    <row r="518" spans="1:37" x14ac:dyDescent="0.3">
      <c r="A518" s="173">
        <v>100802</v>
      </c>
      <c r="B518" s="174" t="s">
        <v>1564</v>
      </c>
      <c r="C518" s="175" t="s">
        <v>270</v>
      </c>
      <c r="D518" s="176">
        <v>14</v>
      </c>
      <c r="E518" s="174"/>
      <c r="F518" s="174"/>
      <c r="G518" s="174" t="s">
        <v>883</v>
      </c>
      <c r="H518" s="177">
        <v>0</v>
      </c>
      <c r="I518" s="24">
        <v>103003</v>
      </c>
      <c r="J518" s="178">
        <v>14</v>
      </c>
      <c r="K518" s="177">
        <v>769</v>
      </c>
      <c r="L518" s="179">
        <v>0</v>
      </c>
      <c r="M518" s="180">
        <v>0</v>
      </c>
      <c r="N518" s="178">
        <v>0</v>
      </c>
      <c r="O518" s="181" t="s">
        <v>882</v>
      </c>
      <c r="P518" s="180">
        <v>0</v>
      </c>
      <c r="Q518" s="182">
        <v>0</v>
      </c>
      <c r="R518" s="183" t="s">
        <v>883</v>
      </c>
      <c r="S518" s="174" t="s">
        <v>991</v>
      </c>
      <c r="T518" s="44">
        <v>1</v>
      </c>
      <c r="U518" s="184">
        <v>61</v>
      </c>
      <c r="V518" s="185">
        <v>9</v>
      </c>
      <c r="W518" s="186" t="s">
        <v>883</v>
      </c>
      <c r="X518" s="187" t="s">
        <v>883</v>
      </c>
      <c r="Y518" s="188">
        <v>0</v>
      </c>
      <c r="Z518" s="188">
        <v>8939</v>
      </c>
      <c r="AA518" s="187">
        <v>2023</v>
      </c>
      <c r="AB518" s="188">
        <v>1000</v>
      </c>
      <c r="AC518" s="188">
        <v>1000</v>
      </c>
      <c r="AD518" s="189" t="s">
        <v>2043</v>
      </c>
      <c r="AE518" s="190">
        <v>45162</v>
      </c>
      <c r="AF518" s="180">
        <v>256</v>
      </c>
      <c r="AG518" s="183">
        <v>44615</v>
      </c>
      <c r="AH518" s="183">
        <v>39275</v>
      </c>
      <c r="AI518" s="183">
        <v>45131</v>
      </c>
      <c r="AJ518" s="183" t="s">
        <v>883</v>
      </c>
      <c r="AK518" s="174"/>
    </row>
    <row r="519" spans="1:37" x14ac:dyDescent="0.3">
      <c r="A519" s="173">
        <v>100907</v>
      </c>
      <c r="B519" s="174" t="s">
        <v>1565</v>
      </c>
      <c r="C519" s="175" t="s">
        <v>400</v>
      </c>
      <c r="D519" s="176">
        <v>7.6</v>
      </c>
      <c r="E519" s="174"/>
      <c r="F519" s="174"/>
      <c r="G519" s="174" t="s">
        <v>883</v>
      </c>
      <c r="H519" s="177">
        <v>121</v>
      </c>
      <c r="I519" s="24">
        <v>103003</v>
      </c>
      <c r="J519" s="178">
        <v>7.6</v>
      </c>
      <c r="K519" s="177">
        <v>92</v>
      </c>
      <c r="L519" s="179">
        <v>10.920577617328521</v>
      </c>
      <c r="M519" s="180">
        <v>11.96</v>
      </c>
      <c r="N519" s="178">
        <v>90.896000000000001</v>
      </c>
      <c r="O519" s="181" t="s">
        <v>882</v>
      </c>
      <c r="P519" s="180">
        <v>0</v>
      </c>
      <c r="Q519" s="182">
        <v>0</v>
      </c>
      <c r="R519" s="183" t="s">
        <v>883</v>
      </c>
      <c r="S519" s="174" t="s">
        <v>1461</v>
      </c>
      <c r="T519" s="44">
        <v>1</v>
      </c>
      <c r="U519" s="184">
        <v>73</v>
      </c>
      <c r="V519" s="185">
        <v>1</v>
      </c>
      <c r="W519" s="186" t="s">
        <v>883</v>
      </c>
      <c r="X519" s="187" t="s">
        <v>883</v>
      </c>
      <c r="Y519" s="188">
        <v>0</v>
      </c>
      <c r="Z519" s="188" t="s">
        <v>883</v>
      </c>
      <c r="AA519" s="187" t="s">
        <v>883</v>
      </c>
      <c r="AB519" s="188">
        <v>0</v>
      </c>
      <c r="AC519" s="188"/>
      <c r="AD519" s="189" t="s">
        <v>883</v>
      </c>
      <c r="AE519" s="190" t="s">
        <v>883</v>
      </c>
      <c r="AF519" s="180">
        <v>44</v>
      </c>
      <c r="AG519" s="183">
        <v>44027</v>
      </c>
      <c r="AH519" s="183">
        <v>39281</v>
      </c>
      <c r="AI519" s="183">
        <v>44025</v>
      </c>
      <c r="AJ519" s="183" t="s">
        <v>883</v>
      </c>
      <c r="AK519" s="174"/>
    </row>
    <row r="520" spans="1:37" x14ac:dyDescent="0.3">
      <c r="A520" s="173">
        <v>101867</v>
      </c>
      <c r="B520" s="174" t="s">
        <v>1566</v>
      </c>
      <c r="C520" s="175" t="s">
        <v>294</v>
      </c>
      <c r="D520" s="176">
        <v>215.16</v>
      </c>
      <c r="E520" s="174"/>
      <c r="F520" s="174"/>
      <c r="G520" s="174" t="s">
        <v>883</v>
      </c>
      <c r="H520" s="177">
        <v>81</v>
      </c>
      <c r="I520" s="24">
        <v>103003</v>
      </c>
      <c r="J520" s="178">
        <v>215.16</v>
      </c>
      <c r="K520" s="177">
        <v>30</v>
      </c>
      <c r="L520" s="179">
        <v>32.4</v>
      </c>
      <c r="M520" s="180">
        <v>0</v>
      </c>
      <c r="N520" s="178">
        <v>0</v>
      </c>
      <c r="O520" s="181" t="s">
        <v>882</v>
      </c>
      <c r="P520" s="180">
        <v>0</v>
      </c>
      <c r="Q520" s="182">
        <v>0</v>
      </c>
      <c r="R520" s="183" t="s">
        <v>883</v>
      </c>
      <c r="S520" s="174" t="s">
        <v>1037</v>
      </c>
      <c r="T520" s="44">
        <v>1</v>
      </c>
      <c r="U520" s="184">
        <v>69</v>
      </c>
      <c r="V520" s="185">
        <v>10</v>
      </c>
      <c r="W520" s="186" t="s">
        <v>883</v>
      </c>
      <c r="X520" s="187" t="s">
        <v>883</v>
      </c>
      <c r="Y520" s="188">
        <v>0</v>
      </c>
      <c r="Z520" s="188" t="s">
        <v>883</v>
      </c>
      <c r="AA520" s="187" t="s">
        <v>883</v>
      </c>
      <c r="AB520" s="188">
        <v>0</v>
      </c>
      <c r="AC520" s="188"/>
      <c r="AD520" s="189" t="s">
        <v>883</v>
      </c>
      <c r="AE520" s="190" t="s">
        <v>883</v>
      </c>
      <c r="AF520" s="180">
        <v>10</v>
      </c>
      <c r="AG520" s="183">
        <v>43396</v>
      </c>
      <c r="AH520" s="183">
        <v>39328</v>
      </c>
      <c r="AI520" s="183">
        <v>44123</v>
      </c>
      <c r="AJ520" s="183" t="s">
        <v>883</v>
      </c>
      <c r="AK520" s="174"/>
    </row>
    <row r="521" spans="1:37" x14ac:dyDescent="0.3">
      <c r="A521" s="173">
        <v>101868</v>
      </c>
      <c r="B521" s="174" t="s">
        <v>1567</v>
      </c>
      <c r="C521" s="175" t="s">
        <v>294</v>
      </c>
      <c r="D521" s="176">
        <v>99.43</v>
      </c>
      <c r="E521" s="174"/>
      <c r="F521" s="174"/>
      <c r="G521" s="174" t="s">
        <v>883</v>
      </c>
      <c r="H521" s="177">
        <v>1239</v>
      </c>
      <c r="I521" s="24">
        <v>103003</v>
      </c>
      <c r="J521" s="178">
        <v>99.43</v>
      </c>
      <c r="K521" s="177">
        <v>63</v>
      </c>
      <c r="L521" s="179">
        <v>236</v>
      </c>
      <c r="M521" s="180">
        <v>0</v>
      </c>
      <c r="N521" s="178">
        <v>0</v>
      </c>
      <c r="O521" s="181" t="s">
        <v>882</v>
      </c>
      <c r="P521" s="180">
        <v>0</v>
      </c>
      <c r="Q521" s="182">
        <v>0</v>
      </c>
      <c r="R521" s="183" t="s">
        <v>883</v>
      </c>
      <c r="S521" s="174" t="s">
        <v>1037</v>
      </c>
      <c r="T521" s="44">
        <v>1</v>
      </c>
      <c r="U521" s="184">
        <v>69</v>
      </c>
      <c r="V521" s="185">
        <v>10</v>
      </c>
      <c r="W521" s="186" t="s">
        <v>883</v>
      </c>
      <c r="X521" s="187" t="s">
        <v>883</v>
      </c>
      <c r="Y521" s="188">
        <v>0</v>
      </c>
      <c r="Z521" s="188" t="s">
        <v>883</v>
      </c>
      <c r="AA521" s="187" t="s">
        <v>883</v>
      </c>
      <c r="AB521" s="188">
        <v>0</v>
      </c>
      <c r="AC521" s="188"/>
      <c r="AD521" s="189" t="s">
        <v>883</v>
      </c>
      <c r="AE521" s="190" t="s">
        <v>883</v>
      </c>
      <c r="AF521" s="180">
        <v>22</v>
      </c>
      <c r="AG521" s="183">
        <v>43693</v>
      </c>
      <c r="AH521" s="183">
        <v>39328</v>
      </c>
      <c r="AI521" s="183">
        <v>43671</v>
      </c>
      <c r="AJ521" s="183" t="s">
        <v>883</v>
      </c>
      <c r="AK521" s="174"/>
    </row>
    <row r="522" spans="1:37" x14ac:dyDescent="0.3">
      <c r="A522" s="173">
        <v>101891</v>
      </c>
      <c r="B522" s="174" t="s">
        <v>1568</v>
      </c>
      <c r="C522" s="175" t="s">
        <v>256</v>
      </c>
      <c r="D522" s="176">
        <v>67.45</v>
      </c>
      <c r="E522" s="174"/>
      <c r="F522" s="174"/>
      <c r="G522" s="174" t="s">
        <v>883</v>
      </c>
      <c r="H522" s="177">
        <v>29</v>
      </c>
      <c r="I522" s="24">
        <v>103003</v>
      </c>
      <c r="J522" s="178">
        <v>67.45</v>
      </c>
      <c r="K522" s="177">
        <v>26</v>
      </c>
      <c r="L522" s="179">
        <v>13.364055299539171</v>
      </c>
      <c r="M522" s="180">
        <v>0</v>
      </c>
      <c r="N522" s="178">
        <v>0</v>
      </c>
      <c r="O522" s="181" t="s">
        <v>882</v>
      </c>
      <c r="P522" s="180">
        <v>0</v>
      </c>
      <c r="Q522" s="182">
        <v>0</v>
      </c>
      <c r="R522" s="183" t="s">
        <v>883</v>
      </c>
      <c r="S522" s="174" t="s">
        <v>1569</v>
      </c>
      <c r="T522" s="44">
        <v>1</v>
      </c>
      <c r="U522" s="184">
        <v>55</v>
      </c>
      <c r="V522" s="185">
        <v>24</v>
      </c>
      <c r="W522" s="186">
        <v>2956</v>
      </c>
      <c r="X522" s="187">
        <v>2023</v>
      </c>
      <c r="Y522" s="188">
        <v>10</v>
      </c>
      <c r="Z522" s="188" t="s">
        <v>883</v>
      </c>
      <c r="AA522" s="187" t="s">
        <v>883</v>
      </c>
      <c r="AB522" s="188">
        <v>0</v>
      </c>
      <c r="AC522" s="188"/>
      <c r="AD522" s="189" t="s">
        <v>883</v>
      </c>
      <c r="AE522" s="190" t="s">
        <v>883</v>
      </c>
      <c r="AF522" s="180">
        <v>8</v>
      </c>
      <c r="AG522" s="183">
        <v>44945</v>
      </c>
      <c r="AH522" s="183">
        <v>39330</v>
      </c>
      <c r="AI522" s="183">
        <v>44917</v>
      </c>
      <c r="AJ522" s="183" t="s">
        <v>883</v>
      </c>
      <c r="AK522" s="174"/>
    </row>
    <row r="523" spans="1:37" x14ac:dyDescent="0.3">
      <c r="A523" s="173">
        <v>102000</v>
      </c>
      <c r="B523" s="174" t="s">
        <v>1570</v>
      </c>
      <c r="C523" s="175" t="s">
        <v>629</v>
      </c>
      <c r="D523" s="176">
        <v>54.02</v>
      </c>
      <c r="E523" s="174"/>
      <c r="F523" s="174"/>
      <c r="G523" s="174" t="s">
        <v>883</v>
      </c>
      <c r="H523" s="177">
        <v>546</v>
      </c>
      <c r="I523" s="24">
        <v>103003</v>
      </c>
      <c r="J523" s="178">
        <v>54.02</v>
      </c>
      <c r="K523" s="177">
        <v>2330</v>
      </c>
      <c r="L523" s="179">
        <v>2.7141223840532884</v>
      </c>
      <c r="M523" s="180">
        <v>1618.04</v>
      </c>
      <c r="N523" s="178">
        <v>87406.520799999998</v>
      </c>
      <c r="O523" s="181" t="s">
        <v>882</v>
      </c>
      <c r="P523" s="180">
        <v>0</v>
      </c>
      <c r="Q523" s="182">
        <v>0</v>
      </c>
      <c r="R523" s="183" t="s">
        <v>883</v>
      </c>
      <c r="S523" s="174" t="s">
        <v>1197</v>
      </c>
      <c r="T523" s="44">
        <v>1</v>
      </c>
      <c r="U523" s="184">
        <v>51</v>
      </c>
      <c r="V523" s="185">
        <v>7</v>
      </c>
      <c r="W523" s="186">
        <v>2997</v>
      </c>
      <c r="X523" s="187">
        <v>2023</v>
      </c>
      <c r="Y523" s="188">
        <v>250</v>
      </c>
      <c r="Z523" s="188" t="s">
        <v>883</v>
      </c>
      <c r="AA523" s="187" t="s">
        <v>883</v>
      </c>
      <c r="AB523" s="188">
        <v>0</v>
      </c>
      <c r="AC523" s="188"/>
      <c r="AD523" s="189" t="s">
        <v>883</v>
      </c>
      <c r="AE523" s="190" t="s">
        <v>883</v>
      </c>
      <c r="AF523" s="180">
        <v>804</v>
      </c>
      <c r="AG523" s="183">
        <v>44733</v>
      </c>
      <c r="AH523" s="183">
        <v>39339</v>
      </c>
      <c r="AI523" s="183">
        <v>44887</v>
      </c>
      <c r="AJ523" s="183" t="s">
        <v>883</v>
      </c>
      <c r="AK523" s="174"/>
    </row>
    <row r="524" spans="1:37" x14ac:dyDescent="0.3">
      <c r="A524" s="173">
        <v>102276</v>
      </c>
      <c r="B524" s="174" t="s">
        <v>1571</v>
      </c>
      <c r="C524" s="175" t="s">
        <v>294</v>
      </c>
      <c r="D524" s="176">
        <v>260</v>
      </c>
      <c r="E524" s="174"/>
      <c r="F524" s="174"/>
      <c r="G524" s="174" t="s">
        <v>883</v>
      </c>
      <c r="H524" s="177">
        <v>156</v>
      </c>
      <c r="I524" s="24">
        <v>103003</v>
      </c>
      <c r="J524" s="178">
        <v>260</v>
      </c>
      <c r="K524" s="177">
        <v>42</v>
      </c>
      <c r="L524" s="179">
        <v>39</v>
      </c>
      <c r="M524" s="180">
        <v>0</v>
      </c>
      <c r="N524" s="178">
        <v>0</v>
      </c>
      <c r="O524" s="181" t="s">
        <v>882</v>
      </c>
      <c r="P524" s="180">
        <v>0</v>
      </c>
      <c r="Q524" s="182">
        <v>0</v>
      </c>
      <c r="R524" s="183" t="s">
        <v>883</v>
      </c>
      <c r="S524" s="174" t="s">
        <v>1037</v>
      </c>
      <c r="T524" s="44">
        <v>1</v>
      </c>
      <c r="U524" s="184">
        <v>69</v>
      </c>
      <c r="V524" s="185">
        <v>10</v>
      </c>
      <c r="W524" s="186">
        <v>2976</v>
      </c>
      <c r="X524" s="187">
        <v>2023</v>
      </c>
      <c r="Y524" s="188">
        <v>100</v>
      </c>
      <c r="Z524" s="188" t="s">
        <v>883</v>
      </c>
      <c r="AA524" s="187" t="s">
        <v>883</v>
      </c>
      <c r="AB524" s="188">
        <v>0</v>
      </c>
      <c r="AC524" s="188"/>
      <c r="AD524" s="189" t="s">
        <v>883</v>
      </c>
      <c r="AE524" s="190" t="s">
        <v>883</v>
      </c>
      <c r="AF524" s="180">
        <v>16</v>
      </c>
      <c r="AG524" s="183">
        <v>44736</v>
      </c>
      <c r="AH524" s="183">
        <v>39352</v>
      </c>
      <c r="AI524" s="183">
        <v>44882</v>
      </c>
      <c r="AJ524" s="183" t="s">
        <v>883</v>
      </c>
      <c r="AK524" s="174"/>
    </row>
    <row r="525" spans="1:37" x14ac:dyDescent="0.3">
      <c r="A525" s="173">
        <v>102277</v>
      </c>
      <c r="B525" s="174" t="s">
        <v>1572</v>
      </c>
      <c r="C525" s="175" t="s">
        <v>256</v>
      </c>
      <c r="D525" s="176">
        <v>355</v>
      </c>
      <c r="E525" s="174"/>
      <c r="F525" s="174"/>
      <c r="G525" s="174" t="s">
        <v>883</v>
      </c>
      <c r="H525" s="177">
        <v>162</v>
      </c>
      <c r="I525" s="24">
        <v>103003</v>
      </c>
      <c r="J525" s="178">
        <v>355</v>
      </c>
      <c r="K525" s="177"/>
      <c r="L525" s="179">
        <v>88.52459016393442</v>
      </c>
      <c r="M525" s="180">
        <v>0</v>
      </c>
      <c r="N525" s="178">
        <v>0</v>
      </c>
      <c r="O525" s="181" t="s">
        <v>882</v>
      </c>
      <c r="P525" s="180">
        <v>0</v>
      </c>
      <c r="Q525" s="182">
        <v>0</v>
      </c>
      <c r="R525" s="183" t="s">
        <v>883</v>
      </c>
      <c r="S525" s="174" t="s">
        <v>1037</v>
      </c>
      <c r="T525" s="44">
        <v>1</v>
      </c>
      <c r="U525" s="184">
        <v>69</v>
      </c>
      <c r="V525" s="185">
        <v>10</v>
      </c>
      <c r="W525" s="186" t="s">
        <v>883</v>
      </c>
      <c r="X525" s="187" t="s">
        <v>883</v>
      </c>
      <c r="Y525" s="188">
        <v>0</v>
      </c>
      <c r="Z525" s="188" t="s">
        <v>883</v>
      </c>
      <c r="AA525" s="187" t="s">
        <v>883</v>
      </c>
      <c r="AB525" s="188">
        <v>0</v>
      </c>
      <c r="AC525" s="188"/>
      <c r="AD525" s="189" t="s">
        <v>883</v>
      </c>
      <c r="AE525" s="190" t="s">
        <v>883</v>
      </c>
      <c r="AF525" s="180">
        <v>8</v>
      </c>
      <c r="AG525" s="183">
        <v>44516</v>
      </c>
      <c r="AH525" s="183">
        <v>39352</v>
      </c>
      <c r="AI525" s="183">
        <v>44483</v>
      </c>
      <c r="AJ525" s="183" t="s">
        <v>883</v>
      </c>
      <c r="AK525" s="174"/>
    </row>
    <row r="526" spans="1:37" x14ac:dyDescent="0.3">
      <c r="A526" s="173">
        <v>102278</v>
      </c>
      <c r="B526" s="174" t="s">
        <v>1573</v>
      </c>
      <c r="C526" s="175" t="s">
        <v>256</v>
      </c>
      <c r="D526" s="176">
        <v>205.18</v>
      </c>
      <c r="E526" s="174"/>
      <c r="F526" s="174"/>
      <c r="G526" s="174" t="s">
        <v>883</v>
      </c>
      <c r="H526" s="177">
        <v>144</v>
      </c>
      <c r="I526" s="24">
        <v>103003</v>
      </c>
      <c r="J526" s="178">
        <v>205.18</v>
      </c>
      <c r="K526" s="177">
        <v>8</v>
      </c>
      <c r="L526" s="179">
        <v>214.92537313432834</v>
      </c>
      <c r="M526" s="180">
        <v>0</v>
      </c>
      <c r="N526" s="178">
        <v>0</v>
      </c>
      <c r="O526" s="181" t="s">
        <v>882</v>
      </c>
      <c r="P526" s="180">
        <v>0</v>
      </c>
      <c r="Q526" s="182">
        <v>0</v>
      </c>
      <c r="R526" s="183" t="s">
        <v>883</v>
      </c>
      <c r="S526" s="174" t="s">
        <v>1037</v>
      </c>
      <c r="T526" s="44">
        <v>1</v>
      </c>
      <c r="U526" s="184">
        <v>69</v>
      </c>
      <c r="V526" s="185">
        <v>10</v>
      </c>
      <c r="W526" s="186" t="s">
        <v>883</v>
      </c>
      <c r="X526" s="187" t="s">
        <v>883</v>
      </c>
      <c r="Y526" s="188">
        <v>0</v>
      </c>
      <c r="Z526" s="188" t="s">
        <v>883</v>
      </c>
      <c r="AA526" s="187" t="s">
        <v>883</v>
      </c>
      <c r="AB526" s="188">
        <v>0</v>
      </c>
      <c r="AC526" s="188"/>
      <c r="AD526" s="189" t="s">
        <v>883</v>
      </c>
      <c r="AE526" s="190" t="s">
        <v>883</v>
      </c>
      <c r="AF526" s="180">
        <v>2</v>
      </c>
      <c r="AG526" s="183">
        <v>43545</v>
      </c>
      <c r="AH526" s="183">
        <v>39352</v>
      </c>
      <c r="AI526" s="183">
        <v>44784</v>
      </c>
      <c r="AJ526" s="183" t="s">
        <v>883</v>
      </c>
      <c r="AK526" s="174"/>
    </row>
    <row r="527" spans="1:37" x14ac:dyDescent="0.3">
      <c r="A527" s="173">
        <v>102279</v>
      </c>
      <c r="B527" s="174" t="s">
        <v>1574</v>
      </c>
      <c r="C527" s="175" t="s">
        <v>294</v>
      </c>
      <c r="D527" s="176">
        <v>201.33</v>
      </c>
      <c r="E527" s="174"/>
      <c r="F527" s="174"/>
      <c r="G527" s="174" t="s">
        <v>883</v>
      </c>
      <c r="H527" s="177">
        <v>280</v>
      </c>
      <c r="I527" s="24">
        <v>103003</v>
      </c>
      <c r="J527" s="178">
        <v>201.33</v>
      </c>
      <c r="K527" s="177">
        <v>50</v>
      </c>
      <c r="L527" s="179">
        <v>9.5989029825162842</v>
      </c>
      <c r="M527" s="180">
        <v>20.04</v>
      </c>
      <c r="N527" s="178">
        <v>4034.6532000000002</v>
      </c>
      <c r="O527" s="181" t="s">
        <v>882</v>
      </c>
      <c r="P527" s="180">
        <v>0</v>
      </c>
      <c r="Q527" s="182">
        <v>0</v>
      </c>
      <c r="R527" s="183" t="s">
        <v>883</v>
      </c>
      <c r="S527" s="174" t="s">
        <v>1037</v>
      </c>
      <c r="T527" s="44">
        <v>1</v>
      </c>
      <c r="U527" s="184">
        <v>69</v>
      </c>
      <c r="V527" s="185">
        <v>10</v>
      </c>
      <c r="W527" s="186">
        <v>2976</v>
      </c>
      <c r="X527" s="187">
        <v>2023</v>
      </c>
      <c r="Y527" s="188">
        <v>50</v>
      </c>
      <c r="Z527" s="188" t="s">
        <v>883</v>
      </c>
      <c r="AA527" s="187" t="s">
        <v>883</v>
      </c>
      <c r="AB527" s="188">
        <v>0</v>
      </c>
      <c r="AC527" s="188"/>
      <c r="AD527" s="189" t="s">
        <v>883</v>
      </c>
      <c r="AE527" s="190" t="s">
        <v>883</v>
      </c>
      <c r="AF527" s="180">
        <v>116</v>
      </c>
      <c r="AG527" s="183">
        <v>44924</v>
      </c>
      <c r="AH527" s="183">
        <v>39352</v>
      </c>
      <c r="AI527" s="183">
        <v>44881</v>
      </c>
      <c r="AJ527" s="183" t="s">
        <v>883</v>
      </c>
      <c r="AK527" s="174"/>
    </row>
    <row r="528" spans="1:37" x14ac:dyDescent="0.3">
      <c r="A528" s="173">
        <v>102443</v>
      </c>
      <c r="B528" s="174" t="s">
        <v>780</v>
      </c>
      <c r="C528" s="175" t="s">
        <v>256</v>
      </c>
      <c r="D528" s="176">
        <v>39.700000000000003</v>
      </c>
      <c r="E528" s="174"/>
      <c r="F528" s="174"/>
      <c r="G528" s="174" t="s">
        <v>883</v>
      </c>
      <c r="H528" s="177">
        <v>210</v>
      </c>
      <c r="I528" s="24">
        <v>103003</v>
      </c>
      <c r="J528" s="178">
        <v>39.700000000000003</v>
      </c>
      <c r="K528" s="177">
        <v>3</v>
      </c>
      <c r="L528" s="179">
        <v>840</v>
      </c>
      <c r="M528" s="180">
        <v>0</v>
      </c>
      <c r="N528" s="178">
        <v>0</v>
      </c>
      <c r="O528" s="181" t="s">
        <v>882</v>
      </c>
      <c r="P528" s="180">
        <v>0</v>
      </c>
      <c r="Q528" s="182">
        <v>0</v>
      </c>
      <c r="R528" s="183" t="s">
        <v>883</v>
      </c>
      <c r="S528" s="174" t="s">
        <v>1213</v>
      </c>
      <c r="T528" s="44">
        <v>1</v>
      </c>
      <c r="U528" s="184">
        <v>78</v>
      </c>
      <c r="V528" s="185">
        <v>6</v>
      </c>
      <c r="W528" s="186" t="s">
        <v>883</v>
      </c>
      <c r="X528" s="187" t="s">
        <v>883</v>
      </c>
      <c r="Y528" s="188">
        <v>0</v>
      </c>
      <c r="Z528" s="188" t="s">
        <v>883</v>
      </c>
      <c r="AA528" s="187" t="s">
        <v>883</v>
      </c>
      <c r="AB528" s="188">
        <v>0</v>
      </c>
      <c r="AC528" s="188"/>
      <c r="AD528" s="189" t="s">
        <v>883</v>
      </c>
      <c r="AE528" s="190" t="s">
        <v>883</v>
      </c>
      <c r="AF528" s="180">
        <v>2</v>
      </c>
      <c r="AG528" s="183">
        <v>39457</v>
      </c>
      <c r="AH528" s="183">
        <v>39360</v>
      </c>
      <c r="AI528" s="183">
        <v>39414</v>
      </c>
      <c r="AJ528" s="183" t="s">
        <v>883</v>
      </c>
      <c r="AK528" s="174"/>
    </row>
    <row r="529" spans="1:37" x14ac:dyDescent="0.3">
      <c r="A529" s="173">
        <v>102588</v>
      </c>
      <c r="B529" s="174" t="s">
        <v>1575</v>
      </c>
      <c r="C529" s="175" t="s">
        <v>256</v>
      </c>
      <c r="D529" s="176">
        <v>5.18</v>
      </c>
      <c r="E529" s="174"/>
      <c r="F529" s="174"/>
      <c r="G529" s="174" t="s">
        <v>883</v>
      </c>
      <c r="H529" s="177">
        <v>0</v>
      </c>
      <c r="I529" s="24">
        <v>103003</v>
      </c>
      <c r="J529" s="178">
        <v>5.18</v>
      </c>
      <c r="K529" s="177">
        <v>103</v>
      </c>
      <c r="L529" s="179">
        <v>0</v>
      </c>
      <c r="M529" s="180">
        <v>0</v>
      </c>
      <c r="N529" s="178">
        <v>0</v>
      </c>
      <c r="O529" s="181" t="s">
        <v>882</v>
      </c>
      <c r="P529" s="180">
        <v>0</v>
      </c>
      <c r="Q529" s="182">
        <v>0</v>
      </c>
      <c r="R529" s="183" t="s">
        <v>883</v>
      </c>
      <c r="S529" s="174" t="s">
        <v>1001</v>
      </c>
      <c r="T529" s="44">
        <v>1</v>
      </c>
      <c r="U529" s="184">
        <v>61</v>
      </c>
      <c r="V529" s="185">
        <v>11</v>
      </c>
      <c r="W529" s="186">
        <v>2768</v>
      </c>
      <c r="X529" s="187">
        <v>2023</v>
      </c>
      <c r="Y529" s="188">
        <v>500</v>
      </c>
      <c r="Z529" s="188" t="s">
        <v>883</v>
      </c>
      <c r="AA529" s="187" t="s">
        <v>883</v>
      </c>
      <c r="AB529" s="188">
        <v>0</v>
      </c>
      <c r="AC529" s="188"/>
      <c r="AD529" s="189" t="s">
        <v>883</v>
      </c>
      <c r="AE529" s="190" t="s">
        <v>883</v>
      </c>
      <c r="AF529" s="180">
        <v>36</v>
      </c>
      <c r="AG529" s="183">
        <v>44771</v>
      </c>
      <c r="AH529" s="183">
        <v>39365</v>
      </c>
      <c r="AI529" s="183">
        <v>45103</v>
      </c>
      <c r="AJ529" s="183" t="s">
        <v>883</v>
      </c>
      <c r="AK529" s="174"/>
    </row>
    <row r="530" spans="1:37" x14ac:dyDescent="0.3">
      <c r="A530" s="173">
        <v>102690</v>
      </c>
      <c r="B530" s="174" t="s">
        <v>1576</v>
      </c>
      <c r="C530" s="175" t="s">
        <v>256</v>
      </c>
      <c r="D530" s="176">
        <v>85.67</v>
      </c>
      <c r="E530" s="174"/>
      <c r="F530" s="174"/>
      <c r="G530" s="174" t="s">
        <v>883</v>
      </c>
      <c r="H530" s="177">
        <v>412</v>
      </c>
      <c r="I530" s="24">
        <v>103003</v>
      </c>
      <c r="J530" s="178">
        <v>85.67</v>
      </c>
      <c r="K530" s="177">
        <v>86</v>
      </c>
      <c r="L530" s="179">
        <v>57.461645746164571</v>
      </c>
      <c r="M530" s="180">
        <v>0</v>
      </c>
      <c r="N530" s="178">
        <v>0</v>
      </c>
      <c r="O530" s="181" t="s">
        <v>882</v>
      </c>
      <c r="P530" s="180">
        <v>0</v>
      </c>
      <c r="Q530" s="182">
        <v>0</v>
      </c>
      <c r="R530" s="183" t="s">
        <v>883</v>
      </c>
      <c r="S530" s="174" t="s">
        <v>1577</v>
      </c>
      <c r="T530" s="44">
        <v>1</v>
      </c>
      <c r="U530" s="184">
        <v>69</v>
      </c>
      <c r="V530" s="185">
        <v>5</v>
      </c>
      <c r="W530" s="186" t="s">
        <v>883</v>
      </c>
      <c r="X530" s="187" t="s">
        <v>883</v>
      </c>
      <c r="Y530" s="188">
        <v>0</v>
      </c>
      <c r="Z530" s="188" t="s">
        <v>883</v>
      </c>
      <c r="AA530" s="187" t="s">
        <v>883</v>
      </c>
      <c r="AB530" s="188">
        <v>0</v>
      </c>
      <c r="AC530" s="188"/>
      <c r="AD530" s="189" t="s">
        <v>883</v>
      </c>
      <c r="AE530" s="190" t="s">
        <v>883</v>
      </c>
      <c r="AF530" s="180">
        <v>28</v>
      </c>
      <c r="AG530" s="183">
        <v>44965</v>
      </c>
      <c r="AH530" s="183">
        <v>39371</v>
      </c>
      <c r="AI530" s="183">
        <v>44916</v>
      </c>
      <c r="AJ530" s="183" t="s">
        <v>883</v>
      </c>
      <c r="AK530" s="174"/>
    </row>
    <row r="531" spans="1:37" x14ac:dyDescent="0.3">
      <c r="A531" s="173">
        <v>102694</v>
      </c>
      <c r="B531" s="174" t="s">
        <v>1578</v>
      </c>
      <c r="C531" s="175" t="s">
        <v>256</v>
      </c>
      <c r="D531" s="176">
        <v>4</v>
      </c>
      <c r="E531" s="174"/>
      <c r="F531" s="174"/>
      <c r="G531" s="174" t="s">
        <v>883</v>
      </c>
      <c r="H531" s="177">
        <v>215</v>
      </c>
      <c r="I531" s="24">
        <v>103003</v>
      </c>
      <c r="J531" s="178">
        <v>4</v>
      </c>
      <c r="K531" s="177">
        <v>67</v>
      </c>
      <c r="L531" s="179">
        <v>38.530465949820787</v>
      </c>
      <c r="M531" s="180">
        <v>0</v>
      </c>
      <c r="N531" s="178">
        <v>0</v>
      </c>
      <c r="O531" s="181" t="s">
        <v>882</v>
      </c>
      <c r="P531" s="180">
        <v>0</v>
      </c>
      <c r="Q531" s="182">
        <v>0</v>
      </c>
      <c r="R531" s="183" t="s">
        <v>883</v>
      </c>
      <c r="S531" s="174" t="s">
        <v>1577</v>
      </c>
      <c r="T531" s="44">
        <v>1</v>
      </c>
      <c r="U531" s="184">
        <v>69</v>
      </c>
      <c r="V531" s="185">
        <v>5</v>
      </c>
      <c r="W531" s="186">
        <v>2221</v>
      </c>
      <c r="X531" s="187">
        <v>2023</v>
      </c>
      <c r="Y531" s="188">
        <v>50</v>
      </c>
      <c r="Z531" s="188" t="s">
        <v>883</v>
      </c>
      <c r="AA531" s="187" t="s">
        <v>883</v>
      </c>
      <c r="AB531" s="188">
        <v>0</v>
      </c>
      <c r="AC531" s="188"/>
      <c r="AD531" s="189" t="s">
        <v>883</v>
      </c>
      <c r="AE531" s="190" t="s">
        <v>883</v>
      </c>
      <c r="AF531" s="180">
        <v>22</v>
      </c>
      <c r="AG531" s="183">
        <v>44965</v>
      </c>
      <c r="AH531" s="183">
        <v>39371</v>
      </c>
      <c r="AI531" s="183">
        <v>44916</v>
      </c>
      <c r="AJ531" s="183" t="s">
        <v>883</v>
      </c>
      <c r="AK531" s="174"/>
    </row>
    <row r="532" spans="1:37" x14ac:dyDescent="0.3">
      <c r="A532" s="173">
        <v>102694</v>
      </c>
      <c r="B532" s="174" t="s">
        <v>1578</v>
      </c>
      <c r="C532" s="175" t="s">
        <v>256</v>
      </c>
      <c r="D532" s="176">
        <v>4</v>
      </c>
      <c r="E532" s="174"/>
      <c r="F532" s="174"/>
      <c r="G532" s="174" t="s">
        <v>883</v>
      </c>
      <c r="H532" s="177">
        <v>215</v>
      </c>
      <c r="I532" s="24">
        <v>103003</v>
      </c>
      <c r="J532" s="178">
        <v>4</v>
      </c>
      <c r="K532" s="177">
        <v>67</v>
      </c>
      <c r="L532" s="179">
        <v>38.530465949820787</v>
      </c>
      <c r="M532" s="180">
        <v>0</v>
      </c>
      <c r="N532" s="178">
        <v>0</v>
      </c>
      <c r="O532" s="181" t="s">
        <v>882</v>
      </c>
      <c r="P532" s="180">
        <v>0</v>
      </c>
      <c r="Q532" s="182">
        <v>0</v>
      </c>
      <c r="R532" s="183" t="s">
        <v>883</v>
      </c>
      <c r="S532" s="174" t="s">
        <v>1577</v>
      </c>
      <c r="T532" s="44">
        <v>1</v>
      </c>
      <c r="U532" s="184">
        <v>69</v>
      </c>
      <c r="V532" s="185">
        <v>5</v>
      </c>
      <c r="W532" s="186">
        <v>2803</v>
      </c>
      <c r="X532" s="187">
        <v>2023</v>
      </c>
      <c r="Y532" s="188">
        <v>60</v>
      </c>
      <c r="Z532" s="188" t="s">
        <v>883</v>
      </c>
      <c r="AA532" s="187" t="s">
        <v>883</v>
      </c>
      <c r="AB532" s="188">
        <v>0</v>
      </c>
      <c r="AC532" s="188"/>
      <c r="AD532" s="189" t="s">
        <v>883</v>
      </c>
      <c r="AE532" s="190" t="s">
        <v>883</v>
      </c>
      <c r="AF532" s="180">
        <v>22</v>
      </c>
      <c r="AG532" s="183">
        <v>44965</v>
      </c>
      <c r="AH532" s="183">
        <v>39371</v>
      </c>
      <c r="AI532" s="183">
        <v>44916</v>
      </c>
      <c r="AJ532" s="183" t="s">
        <v>883</v>
      </c>
      <c r="AK532" s="174"/>
    </row>
    <row r="533" spans="1:37" x14ac:dyDescent="0.3">
      <c r="A533" s="173">
        <v>102723</v>
      </c>
      <c r="B533" s="174" t="s">
        <v>1579</v>
      </c>
      <c r="C533" s="175" t="s">
        <v>256</v>
      </c>
      <c r="D533" s="176">
        <v>38.33</v>
      </c>
      <c r="E533" s="174"/>
      <c r="F533" s="174"/>
      <c r="G533" s="174" t="s">
        <v>883</v>
      </c>
      <c r="H533" s="177">
        <v>245</v>
      </c>
      <c r="I533" s="24">
        <v>103003</v>
      </c>
      <c r="J533" s="178">
        <v>38.33</v>
      </c>
      <c r="K533" s="177">
        <v>126</v>
      </c>
      <c r="L533" s="179">
        <v>23.333333333333332</v>
      </c>
      <c r="M533" s="180">
        <v>0</v>
      </c>
      <c r="N533" s="178">
        <v>0</v>
      </c>
      <c r="O533" s="181" t="s">
        <v>882</v>
      </c>
      <c r="P533" s="180">
        <v>0</v>
      </c>
      <c r="Q533" s="182">
        <v>0</v>
      </c>
      <c r="R533" s="183" t="s">
        <v>883</v>
      </c>
      <c r="S533" s="174" t="s">
        <v>1577</v>
      </c>
      <c r="T533" s="44">
        <v>1</v>
      </c>
      <c r="U533" s="184">
        <v>69</v>
      </c>
      <c r="V533" s="185">
        <v>5</v>
      </c>
      <c r="W533" s="186">
        <v>2221</v>
      </c>
      <c r="X533" s="187">
        <v>2023</v>
      </c>
      <c r="Y533" s="188">
        <v>100</v>
      </c>
      <c r="Z533" s="188" t="s">
        <v>883</v>
      </c>
      <c r="AA533" s="187" t="s">
        <v>883</v>
      </c>
      <c r="AB533" s="188">
        <v>0</v>
      </c>
      <c r="AC533" s="188"/>
      <c r="AD533" s="189" t="s">
        <v>883</v>
      </c>
      <c r="AE533" s="190" t="s">
        <v>883</v>
      </c>
      <c r="AF533" s="180">
        <v>42</v>
      </c>
      <c r="AG533" s="183">
        <v>44965</v>
      </c>
      <c r="AH533" s="183">
        <v>39371</v>
      </c>
      <c r="AI533" s="183">
        <v>44916</v>
      </c>
      <c r="AJ533" s="183" t="s">
        <v>883</v>
      </c>
      <c r="AK533" s="174"/>
    </row>
    <row r="534" spans="1:37" x14ac:dyDescent="0.3">
      <c r="A534" s="173">
        <v>102728</v>
      </c>
      <c r="B534" s="174" t="s">
        <v>1580</v>
      </c>
      <c r="C534" s="175" t="s">
        <v>256</v>
      </c>
      <c r="D534" s="176">
        <v>2.97</v>
      </c>
      <c r="E534" s="174"/>
      <c r="F534" s="174"/>
      <c r="G534" s="174" t="s">
        <v>883</v>
      </c>
      <c r="H534" s="177">
        <v>224</v>
      </c>
      <c r="I534" s="24">
        <v>103003</v>
      </c>
      <c r="J534" s="178">
        <v>2.97</v>
      </c>
      <c r="K534" s="177">
        <v>360</v>
      </c>
      <c r="L534" s="179">
        <v>7.1863971767725383</v>
      </c>
      <c r="M534" s="180">
        <v>100.04</v>
      </c>
      <c r="N534" s="178">
        <v>297.11880000000002</v>
      </c>
      <c r="O534" s="181" t="s">
        <v>882</v>
      </c>
      <c r="P534" s="180">
        <v>0</v>
      </c>
      <c r="Q534" s="182">
        <v>0</v>
      </c>
      <c r="R534" s="183" t="s">
        <v>883</v>
      </c>
      <c r="S534" s="174" t="s">
        <v>1342</v>
      </c>
      <c r="T534" s="44">
        <v>1</v>
      </c>
      <c r="U534" s="184">
        <v>69</v>
      </c>
      <c r="V534" s="185">
        <v>8</v>
      </c>
      <c r="W534" s="186">
        <v>2496</v>
      </c>
      <c r="X534" s="187">
        <v>2023</v>
      </c>
      <c r="Y534" s="188">
        <v>50</v>
      </c>
      <c r="Z534" s="188" t="s">
        <v>883</v>
      </c>
      <c r="AA534" s="187" t="s">
        <v>883</v>
      </c>
      <c r="AB534" s="188">
        <v>0</v>
      </c>
      <c r="AC534" s="188"/>
      <c r="AD534" s="189" t="s">
        <v>883</v>
      </c>
      <c r="AE534" s="190" t="s">
        <v>883</v>
      </c>
      <c r="AF534" s="180">
        <v>124</v>
      </c>
      <c r="AG534" s="183">
        <v>44943</v>
      </c>
      <c r="AH534" s="183">
        <v>39371</v>
      </c>
      <c r="AI534" s="183">
        <v>44917</v>
      </c>
      <c r="AJ534" s="183" t="s">
        <v>883</v>
      </c>
      <c r="AK534" s="174"/>
    </row>
    <row r="535" spans="1:37" x14ac:dyDescent="0.3">
      <c r="A535" s="173">
        <v>102776</v>
      </c>
      <c r="B535" s="174" t="s">
        <v>1581</v>
      </c>
      <c r="C535" s="175" t="s">
        <v>256</v>
      </c>
      <c r="D535" s="176">
        <v>16</v>
      </c>
      <c r="E535" s="174"/>
      <c r="F535" s="174"/>
      <c r="G535" s="174" t="s">
        <v>883</v>
      </c>
      <c r="H535" s="177">
        <v>40</v>
      </c>
      <c r="I535" s="24">
        <v>103003</v>
      </c>
      <c r="J535" s="178">
        <v>16</v>
      </c>
      <c r="K535" s="177"/>
      <c r="L535" s="179">
        <v>0</v>
      </c>
      <c r="M535" s="180">
        <v>0</v>
      </c>
      <c r="N535" s="178">
        <v>0</v>
      </c>
      <c r="O535" s="181" t="s">
        <v>882</v>
      </c>
      <c r="P535" s="180">
        <v>0</v>
      </c>
      <c r="Q535" s="182">
        <v>0</v>
      </c>
      <c r="R535" s="183" t="s">
        <v>883</v>
      </c>
      <c r="S535" s="174" t="s">
        <v>988</v>
      </c>
      <c r="T535" s="44">
        <v>1</v>
      </c>
      <c r="U535" s="184">
        <v>55</v>
      </c>
      <c r="V535" s="185">
        <v>32</v>
      </c>
      <c r="W535" s="186" t="s">
        <v>883</v>
      </c>
      <c r="X535" s="187" t="s">
        <v>883</v>
      </c>
      <c r="Y535" s="188">
        <v>0</v>
      </c>
      <c r="Z535" s="188" t="s">
        <v>883</v>
      </c>
      <c r="AA535" s="187" t="s">
        <v>883</v>
      </c>
      <c r="AB535" s="188">
        <v>0</v>
      </c>
      <c r="AC535" s="188"/>
      <c r="AD535" s="189" t="s">
        <v>883</v>
      </c>
      <c r="AE535" s="190" t="s">
        <v>883</v>
      </c>
      <c r="AF535" s="180">
        <v>0</v>
      </c>
      <c r="AG535" s="183">
        <v>42534</v>
      </c>
      <c r="AH535" s="183">
        <v>39373</v>
      </c>
      <c r="AI535" s="183">
        <v>42494</v>
      </c>
      <c r="AJ535" s="183" t="s">
        <v>883</v>
      </c>
      <c r="AK535" s="174"/>
    </row>
    <row r="536" spans="1:37" x14ac:dyDescent="0.3">
      <c r="A536" s="173">
        <v>102819</v>
      </c>
      <c r="B536" s="174" t="s">
        <v>1582</v>
      </c>
      <c r="C536" s="175" t="s">
        <v>256</v>
      </c>
      <c r="D536" s="176">
        <v>231.13</v>
      </c>
      <c r="E536" s="174"/>
      <c r="F536" s="174"/>
      <c r="G536" s="174" t="s">
        <v>883</v>
      </c>
      <c r="H536" s="177">
        <v>3</v>
      </c>
      <c r="I536" s="24">
        <v>103003</v>
      </c>
      <c r="J536" s="178">
        <v>231.13</v>
      </c>
      <c r="K536" s="177">
        <v>11</v>
      </c>
      <c r="L536" s="179">
        <v>3.2608695652173916</v>
      </c>
      <c r="M536" s="180">
        <v>5.04</v>
      </c>
      <c r="N536" s="178">
        <v>1164.8951999999999</v>
      </c>
      <c r="O536" s="181" t="s">
        <v>882</v>
      </c>
      <c r="P536" s="180">
        <v>0</v>
      </c>
      <c r="Q536" s="182">
        <v>0</v>
      </c>
      <c r="R536" s="183" t="s">
        <v>883</v>
      </c>
      <c r="S536" s="174" t="s">
        <v>1491</v>
      </c>
      <c r="T536" s="44">
        <v>1</v>
      </c>
      <c r="U536" s="184">
        <v>55</v>
      </c>
      <c r="V536" s="185">
        <v>26</v>
      </c>
      <c r="W536" s="186">
        <v>2956</v>
      </c>
      <c r="X536" s="187">
        <v>2023</v>
      </c>
      <c r="Y536" s="188">
        <v>3</v>
      </c>
      <c r="Z536" s="188" t="s">
        <v>883</v>
      </c>
      <c r="AA536" s="187" t="s">
        <v>883</v>
      </c>
      <c r="AB536" s="188">
        <v>0</v>
      </c>
      <c r="AC536" s="188"/>
      <c r="AD536" s="189" t="s">
        <v>883</v>
      </c>
      <c r="AE536" s="190" t="s">
        <v>883</v>
      </c>
      <c r="AF536" s="180">
        <v>4</v>
      </c>
      <c r="AG536" s="183">
        <v>44357</v>
      </c>
      <c r="AH536" s="183">
        <v>39374</v>
      </c>
      <c r="AI536" s="183">
        <v>44333</v>
      </c>
      <c r="AJ536" s="183" t="s">
        <v>883</v>
      </c>
      <c r="AK536" s="174"/>
    </row>
    <row r="537" spans="1:37" x14ac:dyDescent="0.3">
      <c r="A537" s="173">
        <v>102820</v>
      </c>
      <c r="B537" s="174" t="s">
        <v>1583</v>
      </c>
      <c r="C537" s="175" t="s">
        <v>256</v>
      </c>
      <c r="D537" s="176">
        <v>233.33</v>
      </c>
      <c r="E537" s="174"/>
      <c r="F537" s="174"/>
      <c r="G537" s="174" t="s">
        <v>883</v>
      </c>
      <c r="H537" s="177">
        <v>0</v>
      </c>
      <c r="I537" s="24">
        <v>103003</v>
      </c>
      <c r="J537" s="178">
        <v>233.33</v>
      </c>
      <c r="K537" s="177">
        <v>5</v>
      </c>
      <c r="L537" s="179">
        <v>0</v>
      </c>
      <c r="M537" s="180">
        <v>0</v>
      </c>
      <c r="N537" s="178">
        <v>0</v>
      </c>
      <c r="O537" s="181" t="s">
        <v>882</v>
      </c>
      <c r="P537" s="180">
        <v>0</v>
      </c>
      <c r="Q537" s="182">
        <v>0</v>
      </c>
      <c r="R537" s="183" t="s">
        <v>883</v>
      </c>
      <c r="S537" s="174" t="s">
        <v>1491</v>
      </c>
      <c r="T537" s="44">
        <v>1</v>
      </c>
      <c r="U537" s="184">
        <v>55</v>
      </c>
      <c r="V537" s="185">
        <v>26</v>
      </c>
      <c r="W537" s="186">
        <v>2234</v>
      </c>
      <c r="X537" s="187">
        <v>2023</v>
      </c>
      <c r="Y537" s="188">
        <v>20</v>
      </c>
      <c r="Z537" s="188" t="s">
        <v>883</v>
      </c>
      <c r="AA537" s="187" t="s">
        <v>883</v>
      </c>
      <c r="AB537" s="188">
        <v>0</v>
      </c>
      <c r="AC537" s="188"/>
      <c r="AD537" s="189" t="s">
        <v>883</v>
      </c>
      <c r="AE537" s="190" t="s">
        <v>883</v>
      </c>
      <c r="AF537" s="180">
        <v>2</v>
      </c>
      <c r="AG537" s="183">
        <v>44874</v>
      </c>
      <c r="AH537" s="183">
        <v>39374</v>
      </c>
      <c r="AI537" s="183">
        <v>44845</v>
      </c>
      <c r="AJ537" s="183" t="s">
        <v>883</v>
      </c>
      <c r="AK537" s="174"/>
    </row>
    <row r="538" spans="1:37" x14ac:dyDescent="0.3">
      <c r="A538" s="173">
        <v>102822</v>
      </c>
      <c r="B538" s="174" t="s">
        <v>1584</v>
      </c>
      <c r="C538" s="175" t="s">
        <v>256</v>
      </c>
      <c r="D538" s="176">
        <v>4.0999999999999996</v>
      </c>
      <c r="E538" s="174"/>
      <c r="F538" s="174"/>
      <c r="G538" s="174" t="s">
        <v>883</v>
      </c>
      <c r="H538" s="177">
        <v>60</v>
      </c>
      <c r="I538" s="24">
        <v>103003</v>
      </c>
      <c r="J538" s="178">
        <v>4.0999999999999996</v>
      </c>
      <c r="K538" s="177">
        <v>7</v>
      </c>
      <c r="L538" s="179">
        <v>103.44827586206895</v>
      </c>
      <c r="M538" s="180">
        <v>0</v>
      </c>
      <c r="N538" s="178">
        <v>0</v>
      </c>
      <c r="O538" s="181" t="s">
        <v>882</v>
      </c>
      <c r="P538" s="180">
        <v>0</v>
      </c>
      <c r="Q538" s="182">
        <v>0</v>
      </c>
      <c r="R538" s="183" t="s">
        <v>883</v>
      </c>
      <c r="S538" s="174" t="s">
        <v>1491</v>
      </c>
      <c r="T538" s="44">
        <v>1</v>
      </c>
      <c r="U538" s="184">
        <v>55</v>
      </c>
      <c r="V538" s="185">
        <v>26</v>
      </c>
      <c r="W538" s="186" t="s">
        <v>883</v>
      </c>
      <c r="X538" s="187" t="s">
        <v>883</v>
      </c>
      <c r="Y538" s="188">
        <v>0</v>
      </c>
      <c r="Z538" s="188" t="s">
        <v>883</v>
      </c>
      <c r="AA538" s="187" t="s">
        <v>883</v>
      </c>
      <c r="AB538" s="188">
        <v>0</v>
      </c>
      <c r="AC538" s="188"/>
      <c r="AD538" s="189" t="s">
        <v>883</v>
      </c>
      <c r="AE538" s="190" t="s">
        <v>883</v>
      </c>
      <c r="AF538" s="180">
        <v>2</v>
      </c>
      <c r="AG538" s="183">
        <v>40263</v>
      </c>
      <c r="AH538" s="183">
        <v>39374</v>
      </c>
      <c r="AI538" s="183">
        <v>42968</v>
      </c>
      <c r="AJ538" s="183" t="s">
        <v>883</v>
      </c>
      <c r="AK538" s="174"/>
    </row>
    <row r="539" spans="1:37" x14ac:dyDescent="0.3">
      <c r="A539" s="173">
        <v>102832</v>
      </c>
      <c r="B539" s="174" t="s">
        <v>1585</v>
      </c>
      <c r="C539" s="175" t="s">
        <v>256</v>
      </c>
      <c r="D539" s="176">
        <v>0</v>
      </c>
      <c r="E539" s="174"/>
      <c r="F539" s="174"/>
      <c r="G539" s="174" t="s">
        <v>883</v>
      </c>
      <c r="H539" s="177">
        <v>75</v>
      </c>
      <c r="I539" s="24">
        <v>103003</v>
      </c>
      <c r="J539" s="178">
        <v>0</v>
      </c>
      <c r="K539" s="177">
        <v>90</v>
      </c>
      <c r="L539" s="179">
        <v>10</v>
      </c>
      <c r="M539" s="180">
        <v>15</v>
      </c>
      <c r="N539" s="178">
        <v>0</v>
      </c>
      <c r="O539" s="181" t="s">
        <v>882</v>
      </c>
      <c r="P539" s="180">
        <v>0</v>
      </c>
      <c r="Q539" s="182">
        <v>0</v>
      </c>
      <c r="R539" s="183" t="s">
        <v>883</v>
      </c>
      <c r="S539" s="174" t="s">
        <v>1586</v>
      </c>
      <c r="T539" s="44">
        <v>1</v>
      </c>
      <c r="U539" s="184">
        <v>51</v>
      </c>
      <c r="V539" s="185">
        <v>42</v>
      </c>
      <c r="W539" s="186" t="s">
        <v>883</v>
      </c>
      <c r="X539" s="187" t="s">
        <v>883</v>
      </c>
      <c r="Y539" s="188">
        <v>0</v>
      </c>
      <c r="Z539" s="188" t="s">
        <v>883</v>
      </c>
      <c r="AA539" s="187" t="s">
        <v>883</v>
      </c>
      <c r="AB539" s="188">
        <v>0</v>
      </c>
      <c r="AC539" s="188"/>
      <c r="AD539" s="189" t="s">
        <v>883</v>
      </c>
      <c r="AE539" s="190" t="s">
        <v>883</v>
      </c>
      <c r="AF539" s="180">
        <v>30</v>
      </c>
      <c r="AG539" s="183" t="s">
        <v>883</v>
      </c>
      <c r="AH539" s="183">
        <v>39377</v>
      </c>
      <c r="AI539" s="183" t="s">
        <v>883</v>
      </c>
      <c r="AJ539" s="183" t="s">
        <v>883</v>
      </c>
      <c r="AK539" s="174"/>
    </row>
    <row r="540" spans="1:37" x14ac:dyDescent="0.3">
      <c r="A540" s="173">
        <v>102922</v>
      </c>
      <c r="B540" s="174" t="s">
        <v>1587</v>
      </c>
      <c r="C540" s="175" t="s">
        <v>275</v>
      </c>
      <c r="D540" s="176">
        <v>1.41</v>
      </c>
      <c r="E540" s="174" t="s">
        <v>1588</v>
      </c>
      <c r="F540" s="174" t="s">
        <v>1522</v>
      </c>
      <c r="G540" s="174" t="s">
        <v>890</v>
      </c>
      <c r="H540" s="177">
        <v>0</v>
      </c>
      <c r="I540" s="24">
        <v>103003</v>
      </c>
      <c r="J540" s="178">
        <v>1.41</v>
      </c>
      <c r="K540" s="177">
        <v>14273</v>
      </c>
      <c r="L540" s="179">
        <v>0</v>
      </c>
      <c r="M540" s="180">
        <v>16482.96</v>
      </c>
      <c r="N540" s="178">
        <v>23240.973600000001</v>
      </c>
      <c r="O540" s="181" t="s">
        <v>891</v>
      </c>
      <c r="P540" s="180">
        <v>44000</v>
      </c>
      <c r="Q540" s="182">
        <v>62040</v>
      </c>
      <c r="R540" s="183">
        <v>45377</v>
      </c>
      <c r="S540" s="174" t="s">
        <v>958</v>
      </c>
      <c r="T540" s="44">
        <v>1</v>
      </c>
      <c r="U540" s="184">
        <v>72</v>
      </c>
      <c r="V540" s="185">
        <v>10</v>
      </c>
      <c r="W540" s="186" t="s">
        <v>883</v>
      </c>
      <c r="X540" s="187" t="s">
        <v>883</v>
      </c>
      <c r="Y540" s="188">
        <v>0</v>
      </c>
      <c r="Z540" s="188">
        <v>8520</v>
      </c>
      <c r="AA540" s="187">
        <v>2023</v>
      </c>
      <c r="AB540" s="188">
        <v>3600</v>
      </c>
      <c r="AC540" s="188">
        <v>3600</v>
      </c>
      <c r="AD540" s="189" t="s">
        <v>2044</v>
      </c>
      <c r="AE540" s="190">
        <v>45152</v>
      </c>
      <c r="AF540" s="180">
        <v>6694</v>
      </c>
      <c r="AG540" s="183">
        <v>45084</v>
      </c>
      <c r="AH540" s="183">
        <v>39379</v>
      </c>
      <c r="AI540" s="183">
        <v>45120</v>
      </c>
      <c r="AJ540" s="183" t="s">
        <v>883</v>
      </c>
      <c r="AK540" s="174"/>
    </row>
    <row r="541" spans="1:37" x14ac:dyDescent="0.3">
      <c r="A541" s="173">
        <v>103142</v>
      </c>
      <c r="B541" s="174" t="s">
        <v>1589</v>
      </c>
      <c r="C541" s="175" t="s">
        <v>256</v>
      </c>
      <c r="D541" s="176">
        <v>414.81</v>
      </c>
      <c r="E541" s="174"/>
      <c r="F541" s="174"/>
      <c r="G541" s="174" t="s">
        <v>883</v>
      </c>
      <c r="H541" s="177">
        <v>7</v>
      </c>
      <c r="I541" s="24">
        <v>103003</v>
      </c>
      <c r="J541" s="178">
        <v>402.46832999999998</v>
      </c>
      <c r="K541" s="177">
        <v>7</v>
      </c>
      <c r="L541" s="179">
        <v>12.068965517241379</v>
      </c>
      <c r="M541" s="180">
        <v>0</v>
      </c>
      <c r="N541" s="178">
        <v>0</v>
      </c>
      <c r="O541" s="181" t="s">
        <v>882</v>
      </c>
      <c r="P541" s="180">
        <v>0</v>
      </c>
      <c r="Q541" s="182">
        <v>0</v>
      </c>
      <c r="R541" s="183" t="s">
        <v>883</v>
      </c>
      <c r="S541" s="174" t="s">
        <v>1590</v>
      </c>
      <c r="T541" s="44">
        <v>1</v>
      </c>
      <c r="U541" s="184">
        <v>61</v>
      </c>
      <c r="V541" s="185">
        <v>13</v>
      </c>
      <c r="W541" s="186">
        <v>2960</v>
      </c>
      <c r="X541" s="187">
        <v>2023</v>
      </c>
      <c r="Y541" s="188">
        <v>5</v>
      </c>
      <c r="Z541" s="188" t="s">
        <v>883</v>
      </c>
      <c r="AA541" s="187" t="s">
        <v>883</v>
      </c>
      <c r="AB541" s="188">
        <v>0</v>
      </c>
      <c r="AC541" s="188"/>
      <c r="AD541" s="189" t="s">
        <v>883</v>
      </c>
      <c r="AE541" s="190" t="s">
        <v>883</v>
      </c>
      <c r="AF541" s="180">
        <v>2</v>
      </c>
      <c r="AG541" s="183">
        <v>44950</v>
      </c>
      <c r="AH541" s="183">
        <v>39393</v>
      </c>
      <c r="AI541" s="183">
        <v>44939</v>
      </c>
      <c r="AJ541" s="183" t="s">
        <v>883</v>
      </c>
      <c r="AK541" s="174"/>
    </row>
    <row r="542" spans="1:37" x14ac:dyDescent="0.3">
      <c r="A542" s="173">
        <v>103344</v>
      </c>
      <c r="B542" s="174" t="s">
        <v>1591</v>
      </c>
      <c r="C542" s="175" t="s">
        <v>256</v>
      </c>
      <c r="D542" s="176">
        <v>1.85</v>
      </c>
      <c r="E542" s="174"/>
      <c r="F542" s="174"/>
      <c r="G542" s="174" t="s">
        <v>883</v>
      </c>
      <c r="H542" s="177">
        <v>516</v>
      </c>
      <c r="I542" s="24">
        <v>103003</v>
      </c>
      <c r="J542" s="178">
        <v>1.85</v>
      </c>
      <c r="K542" s="177">
        <v>28</v>
      </c>
      <c r="L542" s="179">
        <v>221.45922746781116</v>
      </c>
      <c r="M542" s="180">
        <v>0</v>
      </c>
      <c r="N542" s="178">
        <v>0</v>
      </c>
      <c r="O542" s="181" t="s">
        <v>882</v>
      </c>
      <c r="P542" s="180">
        <v>0</v>
      </c>
      <c r="Q542" s="182">
        <v>0</v>
      </c>
      <c r="R542" s="183" t="s">
        <v>883</v>
      </c>
      <c r="S542" s="174" t="s">
        <v>1100</v>
      </c>
      <c r="T542" s="44">
        <v>1</v>
      </c>
      <c r="U542" s="184">
        <v>55</v>
      </c>
      <c r="V542" s="185">
        <v>35</v>
      </c>
      <c r="W542" s="186" t="s">
        <v>883</v>
      </c>
      <c r="X542" s="187" t="s">
        <v>883</v>
      </c>
      <c r="Y542" s="188">
        <v>0</v>
      </c>
      <c r="Z542" s="188" t="s">
        <v>883</v>
      </c>
      <c r="AA542" s="187" t="s">
        <v>883</v>
      </c>
      <c r="AB542" s="188">
        <v>0</v>
      </c>
      <c r="AC542" s="188"/>
      <c r="AD542" s="189" t="s">
        <v>883</v>
      </c>
      <c r="AE542" s="190" t="s">
        <v>883</v>
      </c>
      <c r="AF542" s="180">
        <v>10</v>
      </c>
      <c r="AG542" s="183">
        <v>44677</v>
      </c>
      <c r="AH542" s="183">
        <v>39400</v>
      </c>
      <c r="AI542" s="183">
        <v>44670</v>
      </c>
      <c r="AJ542" s="183" t="s">
        <v>883</v>
      </c>
      <c r="AK542" s="174"/>
    </row>
    <row r="543" spans="1:37" x14ac:dyDescent="0.3">
      <c r="A543" s="173">
        <v>103490</v>
      </c>
      <c r="B543" s="174" t="s">
        <v>866</v>
      </c>
      <c r="C543" s="175" t="s">
        <v>281</v>
      </c>
      <c r="D543" s="176">
        <v>416.18</v>
      </c>
      <c r="E543" s="174"/>
      <c r="F543" s="174"/>
      <c r="G543" s="174" t="s">
        <v>883</v>
      </c>
      <c r="H543" s="177">
        <v>3</v>
      </c>
      <c r="I543" s="24">
        <v>103003</v>
      </c>
      <c r="J543" s="178">
        <v>416.18</v>
      </c>
      <c r="K543" s="177"/>
      <c r="L543" s="179">
        <v>0</v>
      </c>
      <c r="M543" s="180">
        <v>0</v>
      </c>
      <c r="N543" s="178">
        <v>0</v>
      </c>
      <c r="O543" s="181" t="s">
        <v>882</v>
      </c>
      <c r="P543" s="180">
        <v>0</v>
      </c>
      <c r="Q543" s="182">
        <v>0</v>
      </c>
      <c r="R543" s="183" t="s">
        <v>883</v>
      </c>
      <c r="S543" s="174" t="s">
        <v>1270</v>
      </c>
      <c r="T543" s="44">
        <v>1</v>
      </c>
      <c r="U543" s="184">
        <v>59</v>
      </c>
      <c r="V543" s="185">
        <v>18</v>
      </c>
      <c r="W543" s="186" t="s">
        <v>883</v>
      </c>
      <c r="X543" s="187" t="s">
        <v>883</v>
      </c>
      <c r="Y543" s="188">
        <v>0</v>
      </c>
      <c r="Z543" s="188" t="s">
        <v>883</v>
      </c>
      <c r="AA543" s="187" t="s">
        <v>883</v>
      </c>
      <c r="AB543" s="188">
        <v>0</v>
      </c>
      <c r="AC543" s="188"/>
      <c r="AD543" s="189" t="s">
        <v>883</v>
      </c>
      <c r="AE543" s="190" t="s">
        <v>883</v>
      </c>
      <c r="AF543" s="180">
        <v>0</v>
      </c>
      <c r="AG543" s="183">
        <v>40511</v>
      </c>
      <c r="AH543" s="183">
        <v>39407</v>
      </c>
      <c r="AI543" s="183">
        <v>44516</v>
      </c>
      <c r="AJ543" s="183" t="s">
        <v>883</v>
      </c>
      <c r="AK543" s="174"/>
    </row>
    <row r="544" spans="1:37" x14ac:dyDescent="0.3">
      <c r="A544" s="173">
        <v>104655</v>
      </c>
      <c r="B544" s="174" t="s">
        <v>1592</v>
      </c>
      <c r="C544" s="175" t="s">
        <v>256</v>
      </c>
      <c r="D544" s="176">
        <v>0.25</v>
      </c>
      <c r="E544" s="174"/>
      <c r="F544" s="174"/>
      <c r="G544" s="174" t="s">
        <v>883</v>
      </c>
      <c r="H544" s="177">
        <v>12374</v>
      </c>
      <c r="I544" s="24">
        <v>103003</v>
      </c>
      <c r="J544" s="178">
        <v>0.25</v>
      </c>
      <c r="K544" s="177">
        <v>2200</v>
      </c>
      <c r="L544" s="179">
        <v>67.495772650411823</v>
      </c>
      <c r="M544" s="180">
        <v>0</v>
      </c>
      <c r="N544" s="178">
        <v>0</v>
      </c>
      <c r="O544" s="181" t="s">
        <v>882</v>
      </c>
      <c r="P544" s="180">
        <v>0</v>
      </c>
      <c r="Q544" s="182">
        <v>0</v>
      </c>
      <c r="R544" s="183" t="s">
        <v>883</v>
      </c>
      <c r="S544" s="174" t="s">
        <v>1593</v>
      </c>
      <c r="T544" s="44">
        <v>1</v>
      </c>
      <c r="U544" s="184">
        <v>67</v>
      </c>
      <c r="V544" s="185">
        <v>17</v>
      </c>
      <c r="W544" s="186" t="s">
        <v>883</v>
      </c>
      <c r="X544" s="187" t="s">
        <v>883</v>
      </c>
      <c r="Y544" s="188">
        <v>0</v>
      </c>
      <c r="Z544" s="188" t="s">
        <v>883</v>
      </c>
      <c r="AA544" s="187" t="s">
        <v>883</v>
      </c>
      <c r="AB544" s="188">
        <v>0</v>
      </c>
      <c r="AC544" s="188"/>
      <c r="AD544" s="189" t="s">
        <v>883</v>
      </c>
      <c r="AE544" s="190" t="s">
        <v>883</v>
      </c>
      <c r="AF544" s="180">
        <v>734</v>
      </c>
      <c r="AG544" s="183">
        <v>44055</v>
      </c>
      <c r="AH544" s="183">
        <v>39471</v>
      </c>
      <c r="AI544" s="183">
        <v>44040</v>
      </c>
      <c r="AJ544" s="183" t="s">
        <v>883</v>
      </c>
      <c r="AK544" s="174"/>
    </row>
    <row r="545" spans="1:37" x14ac:dyDescent="0.3">
      <c r="A545" s="173">
        <v>104665</v>
      </c>
      <c r="B545" s="174" t="s">
        <v>1594</v>
      </c>
      <c r="C545" s="175" t="s">
        <v>1595</v>
      </c>
      <c r="D545" s="176">
        <v>485</v>
      </c>
      <c r="E545" s="174"/>
      <c r="F545" s="174"/>
      <c r="G545" s="174" t="s">
        <v>883</v>
      </c>
      <c r="H545" s="177">
        <v>108</v>
      </c>
      <c r="I545" s="24">
        <v>103003</v>
      </c>
      <c r="J545" s="178">
        <v>485</v>
      </c>
      <c r="K545" s="177">
        <v>13</v>
      </c>
      <c r="L545" s="179">
        <v>100</v>
      </c>
      <c r="M545" s="180">
        <v>0</v>
      </c>
      <c r="N545" s="178">
        <v>0</v>
      </c>
      <c r="O545" s="181" t="s">
        <v>882</v>
      </c>
      <c r="P545" s="180">
        <v>0</v>
      </c>
      <c r="Q545" s="182">
        <v>0</v>
      </c>
      <c r="R545" s="183" t="s">
        <v>883</v>
      </c>
      <c r="S545" s="174" t="s">
        <v>1073</v>
      </c>
      <c r="T545" s="44">
        <v>1</v>
      </c>
      <c r="U545" s="184">
        <v>55</v>
      </c>
      <c r="V545" s="185">
        <v>27</v>
      </c>
      <c r="W545" s="186" t="s">
        <v>883</v>
      </c>
      <c r="X545" s="187" t="s">
        <v>883</v>
      </c>
      <c r="Y545" s="188">
        <v>0</v>
      </c>
      <c r="Z545" s="188" t="s">
        <v>883</v>
      </c>
      <c r="AA545" s="187" t="s">
        <v>883</v>
      </c>
      <c r="AB545" s="188">
        <v>0</v>
      </c>
      <c r="AC545" s="188"/>
      <c r="AD545" s="189" t="s">
        <v>883</v>
      </c>
      <c r="AE545" s="190" t="s">
        <v>883</v>
      </c>
      <c r="AF545" s="180">
        <v>4</v>
      </c>
      <c r="AG545" s="183">
        <v>40305</v>
      </c>
      <c r="AH545" s="183">
        <v>39472</v>
      </c>
      <c r="AI545" s="183">
        <v>44126</v>
      </c>
      <c r="AJ545" s="183" t="s">
        <v>883</v>
      </c>
      <c r="AK545" s="174"/>
    </row>
    <row r="546" spans="1:37" x14ac:dyDescent="0.3">
      <c r="A546" s="173">
        <v>104667</v>
      </c>
      <c r="B546" s="174" t="s">
        <v>1596</v>
      </c>
      <c r="C546" s="175" t="s">
        <v>256</v>
      </c>
      <c r="D546" s="176">
        <v>150</v>
      </c>
      <c r="E546" s="174"/>
      <c r="F546" s="174"/>
      <c r="G546" s="174" t="s">
        <v>883</v>
      </c>
      <c r="H546" s="177">
        <v>110</v>
      </c>
      <c r="I546" s="24">
        <v>103003</v>
      </c>
      <c r="J546" s="178">
        <v>150</v>
      </c>
      <c r="K546" s="177">
        <v>66</v>
      </c>
      <c r="L546" s="179">
        <v>17.828200972447327</v>
      </c>
      <c r="M546" s="180">
        <v>0</v>
      </c>
      <c r="N546" s="178">
        <v>0</v>
      </c>
      <c r="O546" s="181" t="s">
        <v>882</v>
      </c>
      <c r="P546" s="180">
        <v>0</v>
      </c>
      <c r="Q546" s="182">
        <v>0</v>
      </c>
      <c r="R546" s="183" t="s">
        <v>883</v>
      </c>
      <c r="S546" s="174" t="s">
        <v>1009</v>
      </c>
      <c r="T546" s="44">
        <v>1</v>
      </c>
      <c r="U546" s="184">
        <v>61</v>
      </c>
      <c r="V546" s="185">
        <v>15</v>
      </c>
      <c r="W546" s="186">
        <v>2626</v>
      </c>
      <c r="X546" s="187">
        <v>2023</v>
      </c>
      <c r="Y546" s="188">
        <v>50</v>
      </c>
      <c r="Z546" s="188" t="s">
        <v>883</v>
      </c>
      <c r="AA546" s="187" t="s">
        <v>883</v>
      </c>
      <c r="AB546" s="188">
        <v>0</v>
      </c>
      <c r="AC546" s="188"/>
      <c r="AD546" s="189" t="s">
        <v>883</v>
      </c>
      <c r="AE546" s="190" t="s">
        <v>883</v>
      </c>
      <c r="AF546" s="180">
        <v>24</v>
      </c>
      <c r="AG546" s="183">
        <v>44615</v>
      </c>
      <c r="AH546" s="183">
        <v>39472</v>
      </c>
      <c r="AI546" s="183">
        <v>44607</v>
      </c>
      <c r="AJ546" s="183" t="s">
        <v>883</v>
      </c>
      <c r="AK546" s="174"/>
    </row>
    <row r="547" spans="1:37" x14ac:dyDescent="0.3">
      <c r="A547" s="173">
        <v>104755</v>
      </c>
      <c r="B547" s="174" t="s">
        <v>781</v>
      </c>
      <c r="C547" s="175" t="s">
        <v>256</v>
      </c>
      <c r="D547" s="176">
        <v>23.92</v>
      </c>
      <c r="E547" s="174"/>
      <c r="F547" s="174"/>
      <c r="G547" s="174" t="s">
        <v>883</v>
      </c>
      <c r="H547" s="177">
        <v>60</v>
      </c>
      <c r="I547" s="24">
        <v>103003</v>
      </c>
      <c r="J547" s="178">
        <v>23.92</v>
      </c>
      <c r="K547" s="177"/>
      <c r="L547" s="179">
        <v>0</v>
      </c>
      <c r="M547" s="180">
        <v>0</v>
      </c>
      <c r="N547" s="178">
        <v>0</v>
      </c>
      <c r="O547" s="181" t="s">
        <v>882</v>
      </c>
      <c r="P547" s="180">
        <v>0</v>
      </c>
      <c r="Q547" s="182">
        <v>0</v>
      </c>
      <c r="R547" s="183" t="s">
        <v>883</v>
      </c>
      <c r="S547" s="174" t="s">
        <v>1213</v>
      </c>
      <c r="T547" s="44">
        <v>1</v>
      </c>
      <c r="U547" s="184">
        <v>78</v>
      </c>
      <c r="V547" s="185">
        <v>6</v>
      </c>
      <c r="W547" s="186" t="s">
        <v>883</v>
      </c>
      <c r="X547" s="187" t="s">
        <v>883</v>
      </c>
      <c r="Y547" s="188">
        <v>0</v>
      </c>
      <c r="Z547" s="188" t="s">
        <v>883</v>
      </c>
      <c r="AA547" s="187" t="s">
        <v>883</v>
      </c>
      <c r="AB547" s="188">
        <v>0</v>
      </c>
      <c r="AC547" s="188"/>
      <c r="AD547" s="189" t="s">
        <v>883</v>
      </c>
      <c r="AE547" s="190" t="s">
        <v>883</v>
      </c>
      <c r="AF547" s="180">
        <v>0</v>
      </c>
      <c r="AG547" s="183">
        <v>43376</v>
      </c>
      <c r="AH547" s="183">
        <v>39479</v>
      </c>
      <c r="AI547" s="183">
        <v>43347</v>
      </c>
      <c r="AJ547" s="183" t="s">
        <v>883</v>
      </c>
      <c r="AK547" s="174"/>
    </row>
    <row r="548" spans="1:37" x14ac:dyDescent="0.3">
      <c r="A548" s="173">
        <v>104911</v>
      </c>
      <c r="B548" s="174" t="s">
        <v>1597</v>
      </c>
      <c r="C548" s="175" t="s">
        <v>31</v>
      </c>
      <c r="D548" s="176">
        <v>92</v>
      </c>
      <c r="E548" s="174"/>
      <c r="F548" s="174"/>
      <c r="G548" s="174" t="s">
        <v>883</v>
      </c>
      <c r="H548" s="177">
        <v>95</v>
      </c>
      <c r="I548" s="24">
        <v>103003</v>
      </c>
      <c r="J548" s="178">
        <v>92</v>
      </c>
      <c r="K548" s="177">
        <v>46</v>
      </c>
      <c r="L548" s="179">
        <v>17.527675276752767</v>
      </c>
      <c r="M548" s="180">
        <v>0</v>
      </c>
      <c r="N548" s="178">
        <v>0</v>
      </c>
      <c r="O548" s="181" t="s">
        <v>882</v>
      </c>
      <c r="P548" s="180">
        <v>0</v>
      </c>
      <c r="Q548" s="182">
        <v>0</v>
      </c>
      <c r="R548" s="183" t="s">
        <v>883</v>
      </c>
      <c r="S548" s="174" t="s">
        <v>1598</v>
      </c>
      <c r="T548" s="44">
        <v>1</v>
      </c>
      <c r="U548" s="184">
        <v>70</v>
      </c>
      <c r="V548" s="185">
        <v>45</v>
      </c>
      <c r="W548" s="186" t="s">
        <v>883</v>
      </c>
      <c r="X548" s="187" t="s">
        <v>883</v>
      </c>
      <c r="Y548" s="188">
        <v>0</v>
      </c>
      <c r="Z548" s="188" t="s">
        <v>883</v>
      </c>
      <c r="AA548" s="187" t="s">
        <v>883</v>
      </c>
      <c r="AB548" s="188">
        <v>0</v>
      </c>
      <c r="AC548" s="188"/>
      <c r="AD548" s="189" t="s">
        <v>883</v>
      </c>
      <c r="AE548" s="190" t="s">
        <v>883</v>
      </c>
      <c r="AF548" s="180">
        <v>22</v>
      </c>
      <c r="AG548" s="183">
        <v>40423</v>
      </c>
      <c r="AH548" s="183">
        <v>39490</v>
      </c>
      <c r="AI548" s="183">
        <v>40387</v>
      </c>
      <c r="AJ548" s="183" t="s">
        <v>883</v>
      </c>
      <c r="AK548" s="174"/>
    </row>
    <row r="549" spans="1:37" x14ac:dyDescent="0.3">
      <c r="A549" s="173">
        <v>105106</v>
      </c>
      <c r="B549" s="174" t="s">
        <v>1599</v>
      </c>
      <c r="C549" s="175" t="s">
        <v>256</v>
      </c>
      <c r="D549" s="176">
        <v>54.98</v>
      </c>
      <c r="E549" s="174"/>
      <c r="F549" s="174"/>
      <c r="G549" s="174" t="s">
        <v>883</v>
      </c>
      <c r="H549" s="177">
        <v>13</v>
      </c>
      <c r="I549" s="24">
        <v>103003</v>
      </c>
      <c r="J549" s="178">
        <v>54.98</v>
      </c>
      <c r="K549" s="177">
        <v>2</v>
      </c>
      <c r="L549" s="179">
        <v>76.470588235294116</v>
      </c>
      <c r="M549" s="180">
        <v>0</v>
      </c>
      <c r="N549" s="178">
        <v>0</v>
      </c>
      <c r="O549" s="181" t="s">
        <v>882</v>
      </c>
      <c r="P549" s="180">
        <v>0</v>
      </c>
      <c r="Q549" s="182">
        <v>0</v>
      </c>
      <c r="R549" s="183" t="s">
        <v>883</v>
      </c>
      <c r="S549" s="174" t="s">
        <v>1600</v>
      </c>
      <c r="T549" s="44">
        <v>1</v>
      </c>
      <c r="U549" s="184">
        <v>62</v>
      </c>
      <c r="V549" s="185">
        <v>4</v>
      </c>
      <c r="W549" s="186" t="s">
        <v>883</v>
      </c>
      <c r="X549" s="187" t="s">
        <v>883</v>
      </c>
      <c r="Y549" s="188">
        <v>0</v>
      </c>
      <c r="Z549" s="188" t="s">
        <v>883</v>
      </c>
      <c r="AA549" s="187" t="s">
        <v>883</v>
      </c>
      <c r="AB549" s="188">
        <v>0</v>
      </c>
      <c r="AC549" s="188"/>
      <c r="AD549" s="189" t="s">
        <v>883</v>
      </c>
      <c r="AE549" s="190" t="s">
        <v>883</v>
      </c>
      <c r="AF549" s="180">
        <v>0</v>
      </c>
      <c r="AG549" s="183">
        <v>43697</v>
      </c>
      <c r="AH549" s="183">
        <v>39499</v>
      </c>
      <c r="AI549" s="183">
        <v>44791</v>
      </c>
      <c r="AJ549" s="183" t="s">
        <v>883</v>
      </c>
      <c r="AK549" s="174"/>
    </row>
    <row r="550" spans="1:37" x14ac:dyDescent="0.3">
      <c r="A550" s="173">
        <v>105107</v>
      </c>
      <c r="B550" s="174" t="s">
        <v>1601</v>
      </c>
      <c r="C550" s="175" t="s">
        <v>256</v>
      </c>
      <c r="D550" s="176">
        <v>54.98</v>
      </c>
      <c r="E550" s="174"/>
      <c r="F550" s="174"/>
      <c r="G550" s="174" t="s">
        <v>883</v>
      </c>
      <c r="H550" s="177">
        <v>8</v>
      </c>
      <c r="I550" s="24">
        <v>103003</v>
      </c>
      <c r="J550" s="178">
        <v>54.98</v>
      </c>
      <c r="K550" s="177">
        <v>2</v>
      </c>
      <c r="L550" s="179">
        <v>47.058823529411761</v>
      </c>
      <c r="M550" s="180">
        <v>0</v>
      </c>
      <c r="N550" s="178">
        <v>0</v>
      </c>
      <c r="O550" s="181" t="s">
        <v>882</v>
      </c>
      <c r="P550" s="180">
        <v>0</v>
      </c>
      <c r="Q550" s="182">
        <v>0</v>
      </c>
      <c r="R550" s="183" t="s">
        <v>883</v>
      </c>
      <c r="S550" s="174" t="s">
        <v>1600</v>
      </c>
      <c r="T550" s="44">
        <v>1</v>
      </c>
      <c r="U550" s="184">
        <v>62</v>
      </c>
      <c r="V550" s="185">
        <v>4</v>
      </c>
      <c r="W550" s="186" t="s">
        <v>883</v>
      </c>
      <c r="X550" s="187" t="s">
        <v>883</v>
      </c>
      <c r="Y550" s="188">
        <v>0</v>
      </c>
      <c r="Z550" s="188" t="s">
        <v>883</v>
      </c>
      <c r="AA550" s="187" t="s">
        <v>883</v>
      </c>
      <c r="AB550" s="188">
        <v>0</v>
      </c>
      <c r="AC550" s="188"/>
      <c r="AD550" s="189" t="s">
        <v>883</v>
      </c>
      <c r="AE550" s="190" t="s">
        <v>883</v>
      </c>
      <c r="AF550" s="180">
        <v>0</v>
      </c>
      <c r="AG550" s="183">
        <v>43697</v>
      </c>
      <c r="AH550" s="183">
        <v>39499</v>
      </c>
      <c r="AI550" s="183">
        <v>44791</v>
      </c>
      <c r="AJ550" s="183" t="s">
        <v>883</v>
      </c>
      <c r="AK550" s="174"/>
    </row>
    <row r="551" spans="1:37" x14ac:dyDescent="0.3">
      <c r="A551" s="173">
        <v>105108</v>
      </c>
      <c r="B551" s="174" t="s">
        <v>1602</v>
      </c>
      <c r="C551" s="175" t="s">
        <v>256</v>
      </c>
      <c r="D551" s="176">
        <v>54.98</v>
      </c>
      <c r="E551" s="174"/>
      <c r="F551" s="174"/>
      <c r="G551" s="174" t="s">
        <v>883</v>
      </c>
      <c r="H551" s="177">
        <v>13</v>
      </c>
      <c r="I551" s="24">
        <v>103003</v>
      </c>
      <c r="J551" s="178">
        <v>54.98</v>
      </c>
      <c r="K551" s="177">
        <v>7</v>
      </c>
      <c r="L551" s="179">
        <v>22.413793103448274</v>
      </c>
      <c r="M551" s="180">
        <v>0</v>
      </c>
      <c r="N551" s="178">
        <v>0</v>
      </c>
      <c r="O551" s="181" t="s">
        <v>882</v>
      </c>
      <c r="P551" s="180">
        <v>0</v>
      </c>
      <c r="Q551" s="182">
        <v>0</v>
      </c>
      <c r="R551" s="183" t="s">
        <v>883</v>
      </c>
      <c r="S551" s="174" t="s">
        <v>1600</v>
      </c>
      <c r="T551" s="44">
        <v>1</v>
      </c>
      <c r="U551" s="184">
        <v>62</v>
      </c>
      <c r="V551" s="185">
        <v>4</v>
      </c>
      <c r="W551" s="186">
        <v>2830</v>
      </c>
      <c r="X551" s="187">
        <v>2023</v>
      </c>
      <c r="Y551" s="188">
        <v>10</v>
      </c>
      <c r="Z551" s="188" t="s">
        <v>883</v>
      </c>
      <c r="AA551" s="187" t="s">
        <v>883</v>
      </c>
      <c r="AB551" s="188">
        <v>0</v>
      </c>
      <c r="AC551" s="188"/>
      <c r="AD551" s="189" t="s">
        <v>883</v>
      </c>
      <c r="AE551" s="190" t="s">
        <v>883</v>
      </c>
      <c r="AF551" s="180">
        <v>2</v>
      </c>
      <c r="AG551" s="183">
        <v>43698</v>
      </c>
      <c r="AH551" s="183">
        <v>39499</v>
      </c>
      <c r="AI551" s="183">
        <v>44791</v>
      </c>
      <c r="AJ551" s="183" t="s">
        <v>883</v>
      </c>
      <c r="AK551" s="174"/>
    </row>
    <row r="552" spans="1:37" x14ac:dyDescent="0.3">
      <c r="A552" s="173">
        <v>105110</v>
      </c>
      <c r="B552" s="174" t="s">
        <v>1603</v>
      </c>
      <c r="C552" s="175" t="s">
        <v>256</v>
      </c>
      <c r="D552" s="176">
        <v>29.94</v>
      </c>
      <c r="E552" s="174"/>
      <c r="F552" s="174"/>
      <c r="G552" s="174" t="s">
        <v>883</v>
      </c>
      <c r="H552" s="177">
        <v>12</v>
      </c>
      <c r="I552" s="24">
        <v>103003</v>
      </c>
      <c r="J552" s="178">
        <v>29.94</v>
      </c>
      <c r="K552" s="177">
        <v>2</v>
      </c>
      <c r="L552" s="179">
        <v>70.588235294117652</v>
      </c>
      <c r="M552" s="180">
        <v>0</v>
      </c>
      <c r="N552" s="178">
        <v>0</v>
      </c>
      <c r="O552" s="181" t="s">
        <v>882</v>
      </c>
      <c r="P552" s="180">
        <v>0</v>
      </c>
      <c r="Q552" s="182">
        <v>0</v>
      </c>
      <c r="R552" s="183" t="s">
        <v>883</v>
      </c>
      <c r="S552" s="174" t="s">
        <v>1600</v>
      </c>
      <c r="T552" s="44">
        <v>1</v>
      </c>
      <c r="U552" s="184">
        <v>62</v>
      </c>
      <c r="V552" s="185">
        <v>4</v>
      </c>
      <c r="W552" s="186" t="s">
        <v>883</v>
      </c>
      <c r="X552" s="187" t="s">
        <v>883</v>
      </c>
      <c r="Y552" s="188">
        <v>0</v>
      </c>
      <c r="Z552" s="188" t="s">
        <v>883</v>
      </c>
      <c r="AA552" s="187" t="s">
        <v>883</v>
      </c>
      <c r="AB552" s="188">
        <v>0</v>
      </c>
      <c r="AC552" s="188"/>
      <c r="AD552" s="189" t="s">
        <v>883</v>
      </c>
      <c r="AE552" s="190" t="s">
        <v>883</v>
      </c>
      <c r="AF552" s="180">
        <v>0</v>
      </c>
      <c r="AG552" s="183">
        <v>44018</v>
      </c>
      <c r="AH552" s="183">
        <v>39499</v>
      </c>
      <c r="AI552" s="183">
        <v>44235</v>
      </c>
      <c r="AJ552" s="183" t="s">
        <v>883</v>
      </c>
      <c r="AK552" s="174"/>
    </row>
    <row r="553" spans="1:37" x14ac:dyDescent="0.3">
      <c r="A553" s="173">
        <v>105112</v>
      </c>
      <c r="B553" s="174" t="s">
        <v>1604</v>
      </c>
      <c r="C553" s="175" t="s">
        <v>256</v>
      </c>
      <c r="D553" s="176">
        <v>54.98</v>
      </c>
      <c r="E553" s="174"/>
      <c r="F553" s="174"/>
      <c r="G553" s="174" t="s">
        <v>883</v>
      </c>
      <c r="H553" s="177">
        <v>4</v>
      </c>
      <c r="I553" s="24">
        <v>103003</v>
      </c>
      <c r="J553" s="178">
        <v>54.98</v>
      </c>
      <c r="K553" s="177"/>
      <c r="L553" s="179">
        <v>0</v>
      </c>
      <c r="M553" s="180">
        <v>0</v>
      </c>
      <c r="N553" s="178">
        <v>0</v>
      </c>
      <c r="O553" s="181" t="s">
        <v>882</v>
      </c>
      <c r="P553" s="180">
        <v>0</v>
      </c>
      <c r="Q553" s="182">
        <v>0</v>
      </c>
      <c r="R553" s="183" t="s">
        <v>883</v>
      </c>
      <c r="S553" s="174" t="s">
        <v>1600</v>
      </c>
      <c r="T553" s="44">
        <v>1</v>
      </c>
      <c r="U553" s="184">
        <v>62</v>
      </c>
      <c r="V553" s="185">
        <v>4</v>
      </c>
      <c r="W553" s="186" t="s">
        <v>883</v>
      </c>
      <c r="X553" s="187" t="s">
        <v>883</v>
      </c>
      <c r="Y553" s="188">
        <v>0</v>
      </c>
      <c r="Z553" s="188" t="s">
        <v>883</v>
      </c>
      <c r="AA553" s="187" t="s">
        <v>883</v>
      </c>
      <c r="AB553" s="188">
        <v>0</v>
      </c>
      <c r="AC553" s="188"/>
      <c r="AD553" s="189" t="s">
        <v>883</v>
      </c>
      <c r="AE553" s="190" t="s">
        <v>883</v>
      </c>
      <c r="AF553" s="180">
        <v>0</v>
      </c>
      <c r="AG553" s="183">
        <v>42772</v>
      </c>
      <c r="AH553" s="183">
        <v>39499</v>
      </c>
      <c r="AI553" s="183">
        <v>44791</v>
      </c>
      <c r="AJ553" s="183" t="s">
        <v>883</v>
      </c>
      <c r="AK553" s="174"/>
    </row>
    <row r="554" spans="1:37" x14ac:dyDescent="0.3">
      <c r="A554" s="173">
        <v>105113</v>
      </c>
      <c r="B554" s="174" t="s">
        <v>1605</v>
      </c>
      <c r="C554" s="175" t="s">
        <v>256</v>
      </c>
      <c r="D554" s="176">
        <v>33.869999999999997</v>
      </c>
      <c r="E554" s="174"/>
      <c r="F554" s="174"/>
      <c r="G554" s="174" t="s">
        <v>883</v>
      </c>
      <c r="H554" s="177">
        <v>5</v>
      </c>
      <c r="I554" s="24">
        <v>103003</v>
      </c>
      <c r="J554" s="178">
        <v>33.869999999999997</v>
      </c>
      <c r="K554" s="177"/>
      <c r="L554" s="179">
        <v>0</v>
      </c>
      <c r="M554" s="180">
        <v>0</v>
      </c>
      <c r="N554" s="178">
        <v>0</v>
      </c>
      <c r="O554" s="181" t="s">
        <v>882</v>
      </c>
      <c r="P554" s="180">
        <v>0</v>
      </c>
      <c r="Q554" s="182">
        <v>0</v>
      </c>
      <c r="R554" s="183" t="s">
        <v>883</v>
      </c>
      <c r="S554" s="174" t="s">
        <v>1550</v>
      </c>
      <c r="T554" s="44">
        <v>1</v>
      </c>
      <c r="U554" s="184">
        <v>54</v>
      </c>
      <c r="V554" s="185">
        <v>19</v>
      </c>
      <c r="W554" s="186" t="s">
        <v>883</v>
      </c>
      <c r="X554" s="187" t="s">
        <v>883</v>
      </c>
      <c r="Y554" s="188">
        <v>0</v>
      </c>
      <c r="Z554" s="188" t="s">
        <v>883</v>
      </c>
      <c r="AA554" s="187" t="s">
        <v>883</v>
      </c>
      <c r="AB554" s="188">
        <v>0</v>
      </c>
      <c r="AC554" s="188"/>
      <c r="AD554" s="189" t="s">
        <v>883</v>
      </c>
      <c r="AE554" s="190" t="s">
        <v>883</v>
      </c>
      <c r="AF554" s="180">
        <v>0</v>
      </c>
      <c r="AG554" s="183">
        <v>42772</v>
      </c>
      <c r="AH554" s="183">
        <v>39499</v>
      </c>
      <c r="AI554" s="183">
        <v>42706</v>
      </c>
      <c r="AJ554" s="183" t="s">
        <v>883</v>
      </c>
      <c r="AK554" s="174"/>
    </row>
    <row r="555" spans="1:37" x14ac:dyDescent="0.3">
      <c r="A555" s="173">
        <v>105114</v>
      </c>
      <c r="B555" s="174" t="s">
        <v>1606</v>
      </c>
      <c r="C555" s="175" t="s">
        <v>256</v>
      </c>
      <c r="D555" s="176">
        <v>25</v>
      </c>
      <c r="E555" s="174"/>
      <c r="F555" s="174"/>
      <c r="G555" s="174" t="s">
        <v>883</v>
      </c>
      <c r="H555" s="177">
        <v>39</v>
      </c>
      <c r="I555" s="24">
        <v>103003</v>
      </c>
      <c r="J555" s="178">
        <v>25</v>
      </c>
      <c r="K555" s="177">
        <v>2</v>
      </c>
      <c r="L555" s="179">
        <v>229.41176470588232</v>
      </c>
      <c r="M555" s="180">
        <v>0</v>
      </c>
      <c r="N555" s="178">
        <v>0</v>
      </c>
      <c r="O555" s="181" t="s">
        <v>882</v>
      </c>
      <c r="P555" s="180">
        <v>0</v>
      </c>
      <c r="Q555" s="182">
        <v>0</v>
      </c>
      <c r="R555" s="183" t="s">
        <v>883</v>
      </c>
      <c r="S555" s="174" t="s">
        <v>1607</v>
      </c>
      <c r="T555" s="44">
        <v>1</v>
      </c>
      <c r="U555" s="184">
        <v>62</v>
      </c>
      <c r="V555" s="185">
        <v>1</v>
      </c>
      <c r="W555" s="186" t="s">
        <v>883</v>
      </c>
      <c r="X555" s="187" t="s">
        <v>883</v>
      </c>
      <c r="Y555" s="188">
        <v>0</v>
      </c>
      <c r="Z555" s="188" t="s">
        <v>883</v>
      </c>
      <c r="AA555" s="187" t="s">
        <v>883</v>
      </c>
      <c r="AB555" s="188">
        <v>0</v>
      </c>
      <c r="AC555" s="188"/>
      <c r="AD555" s="189" t="s">
        <v>883</v>
      </c>
      <c r="AE555" s="190" t="s">
        <v>883</v>
      </c>
      <c r="AF555" s="180">
        <v>0</v>
      </c>
      <c r="AG555" s="183">
        <v>43697</v>
      </c>
      <c r="AH555" s="183">
        <v>39499</v>
      </c>
      <c r="AI555" s="183">
        <v>43564</v>
      </c>
      <c r="AJ555" s="183" t="s">
        <v>883</v>
      </c>
      <c r="AK555" s="174"/>
    </row>
    <row r="556" spans="1:37" x14ac:dyDescent="0.3">
      <c r="A556" s="173">
        <v>105115</v>
      </c>
      <c r="B556" s="174" t="s">
        <v>1608</v>
      </c>
      <c r="C556" s="175" t="s">
        <v>256</v>
      </c>
      <c r="D556" s="176">
        <v>25.24</v>
      </c>
      <c r="E556" s="174"/>
      <c r="F556" s="174"/>
      <c r="G556" s="174" t="s">
        <v>883</v>
      </c>
      <c r="H556" s="177">
        <v>24</v>
      </c>
      <c r="I556" s="24">
        <v>103003</v>
      </c>
      <c r="J556" s="178">
        <v>25.24</v>
      </c>
      <c r="K556" s="177">
        <v>4</v>
      </c>
      <c r="L556" s="179">
        <v>72.727272727272734</v>
      </c>
      <c r="M556" s="180">
        <v>0</v>
      </c>
      <c r="N556" s="178">
        <v>0</v>
      </c>
      <c r="O556" s="181" t="s">
        <v>882</v>
      </c>
      <c r="P556" s="180">
        <v>0</v>
      </c>
      <c r="Q556" s="182">
        <v>0</v>
      </c>
      <c r="R556" s="183" t="s">
        <v>883</v>
      </c>
      <c r="S556" s="174" t="s">
        <v>1607</v>
      </c>
      <c r="T556" s="44">
        <v>1</v>
      </c>
      <c r="U556" s="184">
        <v>62</v>
      </c>
      <c r="V556" s="185">
        <v>1</v>
      </c>
      <c r="W556" s="186" t="s">
        <v>883</v>
      </c>
      <c r="X556" s="187" t="s">
        <v>883</v>
      </c>
      <c r="Y556" s="188">
        <v>0</v>
      </c>
      <c r="Z556" s="188" t="s">
        <v>883</v>
      </c>
      <c r="AA556" s="187" t="s">
        <v>883</v>
      </c>
      <c r="AB556" s="188">
        <v>0</v>
      </c>
      <c r="AC556" s="188"/>
      <c r="AD556" s="189" t="s">
        <v>883</v>
      </c>
      <c r="AE556" s="190" t="s">
        <v>883</v>
      </c>
      <c r="AF556" s="180">
        <v>2</v>
      </c>
      <c r="AG556" s="183">
        <v>44018</v>
      </c>
      <c r="AH556" s="183">
        <v>39499</v>
      </c>
      <c r="AI556" s="183">
        <v>44468</v>
      </c>
      <c r="AJ556" s="183" t="s">
        <v>883</v>
      </c>
      <c r="AK556" s="174"/>
    </row>
    <row r="557" spans="1:37" x14ac:dyDescent="0.3">
      <c r="A557" s="173">
        <v>105118</v>
      </c>
      <c r="B557" s="174" t="s">
        <v>1609</v>
      </c>
      <c r="C557" s="175" t="s">
        <v>256</v>
      </c>
      <c r="D557" s="176">
        <v>47.41</v>
      </c>
      <c r="E557" s="174"/>
      <c r="F557" s="174"/>
      <c r="G557" s="174" t="s">
        <v>883</v>
      </c>
      <c r="H557" s="177">
        <v>0</v>
      </c>
      <c r="I557" s="24">
        <v>103003</v>
      </c>
      <c r="J557" s="178">
        <v>47.41</v>
      </c>
      <c r="K557" s="177">
        <v>6</v>
      </c>
      <c r="L557" s="179">
        <v>0</v>
      </c>
      <c r="M557" s="180">
        <v>4</v>
      </c>
      <c r="N557" s="178">
        <v>189.64</v>
      </c>
      <c r="O557" s="181" t="s">
        <v>882</v>
      </c>
      <c r="P557" s="180">
        <v>0</v>
      </c>
      <c r="Q557" s="182">
        <v>0</v>
      </c>
      <c r="R557" s="183" t="s">
        <v>883</v>
      </c>
      <c r="S557" s="174" t="s">
        <v>1607</v>
      </c>
      <c r="T557" s="44">
        <v>1</v>
      </c>
      <c r="U557" s="184">
        <v>62</v>
      </c>
      <c r="V557" s="185">
        <v>1</v>
      </c>
      <c r="W557" s="186">
        <v>8984</v>
      </c>
      <c r="X557" s="187">
        <v>2023</v>
      </c>
      <c r="Y557" s="188">
        <v>2</v>
      </c>
      <c r="Z557" s="188" t="s">
        <v>883</v>
      </c>
      <c r="AA557" s="187" t="s">
        <v>883</v>
      </c>
      <c r="AB557" s="188">
        <v>0</v>
      </c>
      <c r="AC557" s="188"/>
      <c r="AD557" s="189" t="s">
        <v>883</v>
      </c>
      <c r="AE557" s="190" t="s">
        <v>883</v>
      </c>
      <c r="AF557" s="180">
        <v>2</v>
      </c>
      <c r="AG557" s="183">
        <v>43872</v>
      </c>
      <c r="AH557" s="183">
        <v>39499</v>
      </c>
      <c r="AI557" s="183">
        <v>44791</v>
      </c>
      <c r="AJ557" s="183" t="s">
        <v>883</v>
      </c>
      <c r="AK557" s="174"/>
    </row>
    <row r="558" spans="1:37" x14ac:dyDescent="0.3">
      <c r="A558" s="173">
        <v>105259</v>
      </c>
      <c r="B558" s="174" t="s">
        <v>1610</v>
      </c>
      <c r="C558" s="175" t="s">
        <v>281</v>
      </c>
      <c r="D558" s="176">
        <v>90.87</v>
      </c>
      <c r="E558" s="174"/>
      <c r="F558" s="174"/>
      <c r="G558" s="174" t="s">
        <v>883</v>
      </c>
      <c r="H558" s="177">
        <v>1323</v>
      </c>
      <c r="I558" s="24">
        <v>103003</v>
      </c>
      <c r="J558" s="178">
        <v>90.87</v>
      </c>
      <c r="K558" s="177">
        <v>3624</v>
      </c>
      <c r="L558" s="179">
        <v>3.1726618705035969</v>
      </c>
      <c r="M558" s="180">
        <v>3181</v>
      </c>
      <c r="N558" s="178">
        <v>289057.46999999997</v>
      </c>
      <c r="O558" s="181" t="s">
        <v>882</v>
      </c>
      <c r="P558" s="180">
        <v>0</v>
      </c>
      <c r="Q558" s="182">
        <v>0</v>
      </c>
      <c r="R558" s="183" t="s">
        <v>883</v>
      </c>
      <c r="S558" s="174" t="s">
        <v>1611</v>
      </c>
      <c r="T558" s="44">
        <v>1</v>
      </c>
      <c r="U558" s="184">
        <v>57</v>
      </c>
      <c r="V558" s="185">
        <v>3</v>
      </c>
      <c r="W558" s="186">
        <v>6216</v>
      </c>
      <c r="X558" s="187">
        <v>2023</v>
      </c>
      <c r="Y558" s="188">
        <v>500</v>
      </c>
      <c r="Z558" s="188" t="s">
        <v>883</v>
      </c>
      <c r="AA558" s="187" t="s">
        <v>883</v>
      </c>
      <c r="AB558" s="188">
        <v>0</v>
      </c>
      <c r="AC558" s="188"/>
      <c r="AD558" s="189" t="s">
        <v>883</v>
      </c>
      <c r="AE558" s="190" t="s">
        <v>883</v>
      </c>
      <c r="AF558" s="180">
        <v>1668</v>
      </c>
      <c r="AG558" s="183">
        <v>44957</v>
      </c>
      <c r="AH558" s="183">
        <v>39505</v>
      </c>
      <c r="AI558" s="183">
        <v>45070</v>
      </c>
      <c r="AJ558" s="183" t="s">
        <v>883</v>
      </c>
      <c r="AK558" s="174"/>
    </row>
    <row r="559" spans="1:37" x14ac:dyDescent="0.3">
      <c r="A559" s="173">
        <v>105293</v>
      </c>
      <c r="B559" s="174" t="s">
        <v>1612</v>
      </c>
      <c r="C559" s="175" t="s">
        <v>256</v>
      </c>
      <c r="D559" s="176">
        <v>6</v>
      </c>
      <c r="E559" s="174"/>
      <c r="F559" s="174"/>
      <c r="G559" s="174" t="s">
        <v>883</v>
      </c>
      <c r="H559" s="177">
        <v>0</v>
      </c>
      <c r="I559" s="24">
        <v>103003</v>
      </c>
      <c r="J559" s="178">
        <v>6</v>
      </c>
      <c r="K559" s="177">
        <v>907</v>
      </c>
      <c r="L559" s="179">
        <v>0</v>
      </c>
      <c r="M559" s="180">
        <v>469.04</v>
      </c>
      <c r="N559" s="178">
        <v>2814.24</v>
      </c>
      <c r="O559" s="181" t="s">
        <v>882</v>
      </c>
      <c r="P559" s="180">
        <v>0</v>
      </c>
      <c r="Q559" s="182">
        <v>0</v>
      </c>
      <c r="R559" s="183" t="s">
        <v>883</v>
      </c>
      <c r="S559" s="174" t="s">
        <v>1003</v>
      </c>
      <c r="T559" s="44">
        <v>1</v>
      </c>
      <c r="U559" s="184">
        <v>51</v>
      </c>
      <c r="V559" s="185">
        <v>11</v>
      </c>
      <c r="W559" s="186">
        <v>2638</v>
      </c>
      <c r="X559" s="187">
        <v>2023</v>
      </c>
      <c r="Y559" s="188">
        <v>1000</v>
      </c>
      <c r="Z559" s="188" t="s">
        <v>883</v>
      </c>
      <c r="AA559" s="187" t="s">
        <v>883</v>
      </c>
      <c r="AB559" s="188">
        <v>0</v>
      </c>
      <c r="AC559" s="188"/>
      <c r="AD559" s="189" t="s">
        <v>883</v>
      </c>
      <c r="AE559" s="190" t="s">
        <v>883</v>
      </c>
      <c r="AF559" s="180">
        <v>490</v>
      </c>
      <c r="AG559" s="183">
        <v>44931</v>
      </c>
      <c r="AH559" s="183">
        <v>39506</v>
      </c>
      <c r="AI559" s="183">
        <v>44922</v>
      </c>
      <c r="AJ559" s="183" t="s">
        <v>883</v>
      </c>
      <c r="AK559" s="174"/>
    </row>
    <row r="560" spans="1:37" x14ac:dyDescent="0.3">
      <c r="A560" s="173">
        <v>105294</v>
      </c>
      <c r="B560" s="174" t="s">
        <v>1613</v>
      </c>
      <c r="C560" s="175" t="s">
        <v>256</v>
      </c>
      <c r="D560" s="176">
        <v>12.69</v>
      </c>
      <c r="E560" s="174"/>
      <c r="F560" s="174"/>
      <c r="G560" s="174" t="s">
        <v>883</v>
      </c>
      <c r="H560" s="177">
        <v>175</v>
      </c>
      <c r="I560" s="24">
        <v>103003</v>
      </c>
      <c r="J560" s="178">
        <v>12.69</v>
      </c>
      <c r="K560" s="177">
        <v>85</v>
      </c>
      <c r="L560" s="179">
        <v>24.717514124293782</v>
      </c>
      <c r="M560" s="180">
        <v>0</v>
      </c>
      <c r="N560" s="178">
        <v>0</v>
      </c>
      <c r="O560" s="181" t="s">
        <v>882</v>
      </c>
      <c r="P560" s="180">
        <v>0</v>
      </c>
      <c r="Q560" s="182">
        <v>0</v>
      </c>
      <c r="R560" s="183" t="s">
        <v>883</v>
      </c>
      <c r="S560" s="174" t="s">
        <v>1586</v>
      </c>
      <c r="T560" s="44">
        <v>1</v>
      </c>
      <c r="U560" s="184">
        <v>51</v>
      </c>
      <c r="V560" s="185">
        <v>42</v>
      </c>
      <c r="W560" s="186" t="s">
        <v>883</v>
      </c>
      <c r="X560" s="187" t="s">
        <v>883</v>
      </c>
      <c r="Y560" s="188">
        <v>0</v>
      </c>
      <c r="Z560" s="188" t="s">
        <v>883</v>
      </c>
      <c r="AA560" s="187" t="s">
        <v>883</v>
      </c>
      <c r="AB560" s="188">
        <v>0</v>
      </c>
      <c r="AC560" s="188"/>
      <c r="AD560" s="189" t="s">
        <v>883</v>
      </c>
      <c r="AE560" s="190" t="s">
        <v>883</v>
      </c>
      <c r="AF560" s="180">
        <v>28</v>
      </c>
      <c r="AG560" s="183">
        <v>44946</v>
      </c>
      <c r="AH560" s="183">
        <v>39506</v>
      </c>
      <c r="AI560" s="183">
        <v>44939</v>
      </c>
      <c r="AJ560" s="183" t="s">
        <v>883</v>
      </c>
      <c r="AK560" s="174"/>
    </row>
    <row r="561" spans="1:37" x14ac:dyDescent="0.3">
      <c r="A561" s="173">
        <v>105704</v>
      </c>
      <c r="B561" s="174" t="s">
        <v>1614</v>
      </c>
      <c r="C561" s="175" t="s">
        <v>256</v>
      </c>
      <c r="D561" s="176">
        <v>54.98</v>
      </c>
      <c r="E561" s="174"/>
      <c r="F561" s="174"/>
      <c r="G561" s="174" t="s">
        <v>883</v>
      </c>
      <c r="H561" s="177">
        <v>20</v>
      </c>
      <c r="I561" s="24">
        <v>103003</v>
      </c>
      <c r="J561" s="178">
        <v>54.98</v>
      </c>
      <c r="K561" s="177"/>
      <c r="L561" s="179">
        <v>0</v>
      </c>
      <c r="M561" s="180">
        <v>0</v>
      </c>
      <c r="N561" s="178">
        <v>0</v>
      </c>
      <c r="O561" s="181" t="s">
        <v>882</v>
      </c>
      <c r="P561" s="180">
        <v>0</v>
      </c>
      <c r="Q561" s="182">
        <v>0</v>
      </c>
      <c r="R561" s="183" t="s">
        <v>883</v>
      </c>
      <c r="S561" s="174" t="s">
        <v>1600</v>
      </c>
      <c r="T561" s="44">
        <v>1</v>
      </c>
      <c r="U561" s="184">
        <v>62</v>
      </c>
      <c r="V561" s="185">
        <v>4</v>
      </c>
      <c r="W561" s="186" t="s">
        <v>883</v>
      </c>
      <c r="X561" s="187" t="s">
        <v>883</v>
      </c>
      <c r="Y561" s="188">
        <v>0</v>
      </c>
      <c r="Z561" s="188" t="s">
        <v>883</v>
      </c>
      <c r="AA561" s="187" t="s">
        <v>883</v>
      </c>
      <c r="AB561" s="188">
        <v>0</v>
      </c>
      <c r="AC561" s="188"/>
      <c r="AD561" s="189" t="s">
        <v>883</v>
      </c>
      <c r="AE561" s="190" t="s">
        <v>883</v>
      </c>
      <c r="AF561" s="180">
        <v>0</v>
      </c>
      <c r="AG561" s="183">
        <v>39826</v>
      </c>
      <c r="AH561" s="183">
        <v>39538</v>
      </c>
      <c r="AI561" s="183">
        <v>44791</v>
      </c>
      <c r="AJ561" s="183" t="s">
        <v>883</v>
      </c>
      <c r="AK561" s="174"/>
    </row>
    <row r="562" spans="1:37" x14ac:dyDescent="0.3">
      <c r="A562" s="173">
        <v>105709</v>
      </c>
      <c r="B562" s="174" t="s">
        <v>1615</v>
      </c>
      <c r="C562" s="175" t="s">
        <v>256</v>
      </c>
      <c r="D562" s="176">
        <v>25</v>
      </c>
      <c r="E562" s="174"/>
      <c r="F562" s="174"/>
      <c r="G562" s="174" t="s">
        <v>883</v>
      </c>
      <c r="H562" s="177">
        <v>12</v>
      </c>
      <c r="I562" s="24">
        <v>103003</v>
      </c>
      <c r="J562" s="178">
        <v>25</v>
      </c>
      <c r="K562" s="177"/>
      <c r="L562" s="179">
        <v>0</v>
      </c>
      <c r="M562" s="180">
        <v>0</v>
      </c>
      <c r="N562" s="178">
        <v>0</v>
      </c>
      <c r="O562" s="181" t="s">
        <v>882</v>
      </c>
      <c r="P562" s="180">
        <v>0</v>
      </c>
      <c r="Q562" s="182">
        <v>0</v>
      </c>
      <c r="R562" s="183" t="s">
        <v>883</v>
      </c>
      <c r="S562" s="174" t="s">
        <v>1550</v>
      </c>
      <c r="T562" s="44">
        <v>1</v>
      </c>
      <c r="U562" s="184">
        <v>54</v>
      </c>
      <c r="V562" s="185">
        <v>19</v>
      </c>
      <c r="W562" s="186" t="s">
        <v>883</v>
      </c>
      <c r="X562" s="187" t="s">
        <v>883</v>
      </c>
      <c r="Y562" s="188">
        <v>0</v>
      </c>
      <c r="Z562" s="188" t="s">
        <v>883</v>
      </c>
      <c r="AA562" s="187" t="s">
        <v>883</v>
      </c>
      <c r="AB562" s="188">
        <v>0</v>
      </c>
      <c r="AC562" s="188"/>
      <c r="AD562" s="189" t="s">
        <v>883</v>
      </c>
      <c r="AE562" s="190" t="s">
        <v>883</v>
      </c>
      <c r="AF562" s="180">
        <v>0</v>
      </c>
      <c r="AG562" s="183">
        <v>43698</v>
      </c>
      <c r="AH562" s="183">
        <v>39538</v>
      </c>
      <c r="AI562" s="183">
        <v>43557</v>
      </c>
      <c r="AJ562" s="183" t="s">
        <v>883</v>
      </c>
      <c r="AK562" s="174"/>
    </row>
    <row r="563" spans="1:37" x14ac:dyDescent="0.3">
      <c r="A563" s="173">
        <v>105889</v>
      </c>
      <c r="B563" s="174" t="s">
        <v>1616</v>
      </c>
      <c r="C563" s="175" t="s">
        <v>256</v>
      </c>
      <c r="D563" s="176">
        <v>36.9</v>
      </c>
      <c r="E563" s="174"/>
      <c r="F563" s="174"/>
      <c r="G563" s="174" t="s">
        <v>883</v>
      </c>
      <c r="H563" s="177">
        <v>369</v>
      </c>
      <c r="I563" s="24">
        <v>103003</v>
      </c>
      <c r="J563" s="178">
        <v>36.9</v>
      </c>
      <c r="K563" s="177"/>
      <c r="L563" s="179">
        <v>0</v>
      </c>
      <c r="M563" s="180">
        <v>0</v>
      </c>
      <c r="N563" s="178">
        <v>0</v>
      </c>
      <c r="O563" s="181" t="s">
        <v>882</v>
      </c>
      <c r="P563" s="180">
        <v>0</v>
      </c>
      <c r="Q563" s="182">
        <v>0</v>
      </c>
      <c r="R563" s="183" t="s">
        <v>883</v>
      </c>
      <c r="S563" s="174" t="s">
        <v>1332</v>
      </c>
      <c r="T563" s="44">
        <v>1</v>
      </c>
      <c r="U563" s="184">
        <v>69</v>
      </c>
      <c r="V563" s="185">
        <v>2</v>
      </c>
      <c r="W563" s="186" t="s">
        <v>883</v>
      </c>
      <c r="X563" s="187" t="s">
        <v>883</v>
      </c>
      <c r="Y563" s="188">
        <v>0</v>
      </c>
      <c r="Z563" s="188" t="s">
        <v>883</v>
      </c>
      <c r="AA563" s="187" t="s">
        <v>883</v>
      </c>
      <c r="AB563" s="188">
        <v>0</v>
      </c>
      <c r="AC563" s="188"/>
      <c r="AD563" s="189" t="s">
        <v>883</v>
      </c>
      <c r="AE563" s="190" t="s">
        <v>883</v>
      </c>
      <c r="AF563" s="180">
        <v>0</v>
      </c>
      <c r="AG563" s="183">
        <v>43535</v>
      </c>
      <c r="AH563" s="183">
        <v>39546</v>
      </c>
      <c r="AI563" s="183">
        <v>43523</v>
      </c>
      <c r="AJ563" s="183" t="s">
        <v>883</v>
      </c>
      <c r="AK563" s="174"/>
    </row>
    <row r="564" spans="1:37" x14ac:dyDescent="0.3">
      <c r="A564" s="173">
        <v>106038</v>
      </c>
      <c r="B564" s="174" t="s">
        <v>1617</v>
      </c>
      <c r="C564" s="175" t="s">
        <v>256</v>
      </c>
      <c r="D564" s="176">
        <v>7.85</v>
      </c>
      <c r="E564" s="174"/>
      <c r="F564" s="174"/>
      <c r="G564" s="174" t="s">
        <v>883</v>
      </c>
      <c r="H564" s="177">
        <v>0</v>
      </c>
      <c r="I564" s="24">
        <v>103003</v>
      </c>
      <c r="J564" s="178">
        <v>7.85</v>
      </c>
      <c r="K564" s="177">
        <v>80</v>
      </c>
      <c r="L564" s="179">
        <v>0</v>
      </c>
      <c r="M564" s="180">
        <v>0</v>
      </c>
      <c r="N564" s="178">
        <v>0</v>
      </c>
      <c r="O564" s="181" t="s">
        <v>882</v>
      </c>
      <c r="P564" s="180">
        <v>0</v>
      </c>
      <c r="Q564" s="182">
        <v>0</v>
      </c>
      <c r="R564" s="183" t="s">
        <v>883</v>
      </c>
      <c r="S564" s="174" t="s">
        <v>1618</v>
      </c>
      <c r="T564" s="44">
        <v>1</v>
      </c>
      <c r="U564" s="184">
        <v>60</v>
      </c>
      <c r="V564" s="185">
        <v>21</v>
      </c>
      <c r="W564" s="186">
        <v>2239</v>
      </c>
      <c r="X564" s="187">
        <v>2023</v>
      </c>
      <c r="Y564" s="188">
        <v>700</v>
      </c>
      <c r="Z564" s="188" t="s">
        <v>883</v>
      </c>
      <c r="AA564" s="187" t="s">
        <v>883</v>
      </c>
      <c r="AB564" s="188">
        <v>0</v>
      </c>
      <c r="AC564" s="188"/>
      <c r="AD564" s="189" t="s">
        <v>883</v>
      </c>
      <c r="AE564" s="190" t="s">
        <v>883</v>
      </c>
      <c r="AF564" s="180">
        <v>26</v>
      </c>
      <c r="AG564" s="183">
        <v>44365</v>
      </c>
      <c r="AH564" s="183">
        <v>39554</v>
      </c>
      <c r="AI564" s="183">
        <v>44176</v>
      </c>
      <c r="AJ564" s="183" t="s">
        <v>883</v>
      </c>
      <c r="AK564" s="174"/>
    </row>
    <row r="565" spans="1:37" x14ac:dyDescent="0.3">
      <c r="A565" s="173">
        <v>106129</v>
      </c>
      <c r="B565" s="174" t="s">
        <v>1619</v>
      </c>
      <c r="C565" s="175" t="s">
        <v>256</v>
      </c>
      <c r="D565" s="176">
        <v>92.9</v>
      </c>
      <c r="E565" s="174"/>
      <c r="F565" s="174"/>
      <c r="G565" s="174" t="s">
        <v>883</v>
      </c>
      <c r="H565" s="177">
        <v>1</v>
      </c>
      <c r="I565" s="24">
        <v>103003</v>
      </c>
      <c r="J565" s="178">
        <v>92.9</v>
      </c>
      <c r="K565" s="177">
        <v>15</v>
      </c>
      <c r="L565" s="179">
        <v>0.8</v>
      </c>
      <c r="M565" s="180">
        <v>9</v>
      </c>
      <c r="N565" s="178">
        <v>836.1</v>
      </c>
      <c r="O565" s="181" t="s">
        <v>882</v>
      </c>
      <c r="P565" s="180">
        <v>0</v>
      </c>
      <c r="Q565" s="182">
        <v>0</v>
      </c>
      <c r="R565" s="183" t="s">
        <v>883</v>
      </c>
      <c r="S565" s="174" t="s">
        <v>1620</v>
      </c>
      <c r="T565" s="44">
        <v>1</v>
      </c>
      <c r="U565" s="184">
        <v>50</v>
      </c>
      <c r="V565" s="185">
        <v>2</v>
      </c>
      <c r="W565" s="186">
        <v>2391</v>
      </c>
      <c r="X565" s="187">
        <v>2023</v>
      </c>
      <c r="Y565" s="188">
        <v>5</v>
      </c>
      <c r="Z565" s="188" t="s">
        <v>883</v>
      </c>
      <c r="AA565" s="187" t="s">
        <v>883</v>
      </c>
      <c r="AB565" s="188">
        <v>0</v>
      </c>
      <c r="AC565" s="188"/>
      <c r="AD565" s="189" t="s">
        <v>883</v>
      </c>
      <c r="AE565" s="190" t="s">
        <v>883</v>
      </c>
      <c r="AF565" s="180">
        <v>6</v>
      </c>
      <c r="AG565" s="183">
        <v>44186</v>
      </c>
      <c r="AH565" s="183">
        <v>39562</v>
      </c>
      <c r="AI565" s="183">
        <v>44176</v>
      </c>
      <c r="AJ565" s="183" t="s">
        <v>883</v>
      </c>
      <c r="AK565" s="174"/>
    </row>
    <row r="566" spans="1:37" x14ac:dyDescent="0.3">
      <c r="A566" s="173">
        <v>106130</v>
      </c>
      <c r="B566" s="174" t="s">
        <v>1621</v>
      </c>
      <c r="C566" s="175" t="s">
        <v>256</v>
      </c>
      <c r="D566" s="176">
        <v>49</v>
      </c>
      <c r="E566" s="174"/>
      <c r="F566" s="174"/>
      <c r="G566" s="174" t="s">
        <v>883</v>
      </c>
      <c r="H566" s="177">
        <v>2</v>
      </c>
      <c r="I566" s="24">
        <v>103003</v>
      </c>
      <c r="J566" s="178">
        <v>49</v>
      </c>
      <c r="K566" s="177">
        <v>12</v>
      </c>
      <c r="L566" s="179">
        <v>2</v>
      </c>
      <c r="M566" s="180">
        <v>4</v>
      </c>
      <c r="N566" s="178">
        <v>196</v>
      </c>
      <c r="O566" s="181" t="s">
        <v>882</v>
      </c>
      <c r="P566" s="180">
        <v>0</v>
      </c>
      <c r="Q566" s="182">
        <v>0</v>
      </c>
      <c r="R566" s="183" t="s">
        <v>883</v>
      </c>
      <c r="S566" s="174" t="s">
        <v>1620</v>
      </c>
      <c r="T566" s="44">
        <v>1</v>
      </c>
      <c r="U566" s="184">
        <v>50</v>
      </c>
      <c r="V566" s="185">
        <v>2</v>
      </c>
      <c r="W566" s="186">
        <v>2959</v>
      </c>
      <c r="X566" s="187">
        <v>2023</v>
      </c>
      <c r="Y566" s="188">
        <v>6</v>
      </c>
      <c r="Z566" s="188" t="s">
        <v>883</v>
      </c>
      <c r="AA566" s="187" t="s">
        <v>883</v>
      </c>
      <c r="AB566" s="188">
        <v>0</v>
      </c>
      <c r="AC566" s="188"/>
      <c r="AD566" s="189" t="s">
        <v>883</v>
      </c>
      <c r="AE566" s="190" t="s">
        <v>883</v>
      </c>
      <c r="AF566" s="180">
        <v>4</v>
      </c>
      <c r="AG566" s="183">
        <v>43434</v>
      </c>
      <c r="AH566" s="183">
        <v>39562</v>
      </c>
      <c r="AI566" s="183">
        <v>43411</v>
      </c>
      <c r="AJ566" s="183" t="s">
        <v>883</v>
      </c>
      <c r="AK566" s="174"/>
    </row>
    <row r="567" spans="1:37" x14ac:dyDescent="0.3">
      <c r="A567" s="173">
        <v>106131</v>
      </c>
      <c r="B567" s="174" t="s">
        <v>1622</v>
      </c>
      <c r="C567" s="175" t="s">
        <v>256</v>
      </c>
      <c r="D567" s="176">
        <v>49</v>
      </c>
      <c r="E567" s="174"/>
      <c r="F567" s="174"/>
      <c r="G567" s="174" t="s">
        <v>883</v>
      </c>
      <c r="H567" s="177">
        <v>1</v>
      </c>
      <c r="I567" s="24">
        <v>103003</v>
      </c>
      <c r="J567" s="178">
        <v>49</v>
      </c>
      <c r="K567" s="177">
        <v>17</v>
      </c>
      <c r="L567" s="179">
        <v>0.70422535211267612</v>
      </c>
      <c r="M567" s="180">
        <v>6.04</v>
      </c>
      <c r="N567" s="178">
        <v>295.95999999999998</v>
      </c>
      <c r="O567" s="181" t="s">
        <v>882</v>
      </c>
      <c r="P567" s="180">
        <v>0</v>
      </c>
      <c r="Q567" s="182">
        <v>0</v>
      </c>
      <c r="R567" s="183" t="s">
        <v>883</v>
      </c>
      <c r="S567" s="174" t="s">
        <v>1620</v>
      </c>
      <c r="T567" s="44">
        <v>1</v>
      </c>
      <c r="U567" s="184">
        <v>50</v>
      </c>
      <c r="V567" s="185">
        <v>2</v>
      </c>
      <c r="W567" s="186">
        <v>2959</v>
      </c>
      <c r="X567" s="187">
        <v>2023</v>
      </c>
      <c r="Y567" s="188">
        <v>10</v>
      </c>
      <c r="Z567" s="188" t="s">
        <v>883</v>
      </c>
      <c r="AA567" s="187" t="s">
        <v>883</v>
      </c>
      <c r="AB567" s="188">
        <v>0</v>
      </c>
      <c r="AC567" s="188"/>
      <c r="AD567" s="189" t="s">
        <v>883</v>
      </c>
      <c r="AE567" s="190" t="s">
        <v>883</v>
      </c>
      <c r="AF567" s="180">
        <v>6</v>
      </c>
      <c r="AG567" s="183">
        <v>43434</v>
      </c>
      <c r="AH567" s="183">
        <v>39562</v>
      </c>
      <c r="AI567" s="183">
        <v>43411</v>
      </c>
      <c r="AJ567" s="183" t="s">
        <v>883</v>
      </c>
      <c r="AK567" s="174"/>
    </row>
    <row r="568" spans="1:37" x14ac:dyDescent="0.3">
      <c r="A568" s="173">
        <v>106375</v>
      </c>
      <c r="B568" s="174" t="s">
        <v>1623</v>
      </c>
      <c r="C568" s="175" t="s">
        <v>256</v>
      </c>
      <c r="D568" s="176">
        <v>59.33</v>
      </c>
      <c r="E568" s="174"/>
      <c r="F568" s="174"/>
      <c r="G568" s="174" t="s">
        <v>883</v>
      </c>
      <c r="H568" s="177">
        <v>0</v>
      </c>
      <c r="I568" s="24">
        <v>103003</v>
      </c>
      <c r="J568" s="178">
        <v>59.33</v>
      </c>
      <c r="K568" s="177">
        <v>502</v>
      </c>
      <c r="L568" s="179">
        <v>0</v>
      </c>
      <c r="M568" s="180">
        <v>0</v>
      </c>
      <c r="N568" s="178">
        <v>0</v>
      </c>
      <c r="O568" s="181" t="s">
        <v>882</v>
      </c>
      <c r="P568" s="180">
        <v>0</v>
      </c>
      <c r="Q568" s="182">
        <v>0</v>
      </c>
      <c r="R568" s="183" t="s">
        <v>883</v>
      </c>
      <c r="S568" s="174" t="s">
        <v>1273</v>
      </c>
      <c r="T568" s="44">
        <v>1</v>
      </c>
      <c r="U568" s="184">
        <v>51</v>
      </c>
      <c r="V568" s="185">
        <v>17</v>
      </c>
      <c r="W568" s="186">
        <v>2625</v>
      </c>
      <c r="X568" s="187">
        <v>2023</v>
      </c>
      <c r="Y568" s="188">
        <v>1000</v>
      </c>
      <c r="Z568" s="188" t="s">
        <v>883</v>
      </c>
      <c r="AA568" s="187" t="s">
        <v>883</v>
      </c>
      <c r="AB568" s="188">
        <v>0</v>
      </c>
      <c r="AC568" s="188"/>
      <c r="AD568" s="189" t="s">
        <v>883</v>
      </c>
      <c r="AE568" s="190" t="s">
        <v>883</v>
      </c>
      <c r="AF568" s="180">
        <v>184</v>
      </c>
      <c r="AG568" s="183">
        <v>44775</v>
      </c>
      <c r="AH568" s="183">
        <v>39580</v>
      </c>
      <c r="AI568" s="183">
        <v>44748</v>
      </c>
      <c r="AJ568" s="183" t="s">
        <v>883</v>
      </c>
      <c r="AK568" s="174"/>
    </row>
    <row r="569" spans="1:37" x14ac:dyDescent="0.3">
      <c r="A569" s="173">
        <v>106376</v>
      </c>
      <c r="B569" s="174" t="s">
        <v>1624</v>
      </c>
      <c r="C569" s="175" t="s">
        <v>256</v>
      </c>
      <c r="D569" s="176">
        <v>74.209999999999994</v>
      </c>
      <c r="E569" s="174"/>
      <c r="F569" s="174"/>
      <c r="G569" s="174" t="s">
        <v>883</v>
      </c>
      <c r="H569" s="177">
        <v>1427</v>
      </c>
      <c r="I569" s="24">
        <v>103003</v>
      </c>
      <c r="J569" s="178">
        <v>74.209999999999994</v>
      </c>
      <c r="K569" s="177">
        <v>1221</v>
      </c>
      <c r="L569" s="179">
        <v>10.278758193474033</v>
      </c>
      <c r="M569" s="180">
        <v>238.96</v>
      </c>
      <c r="N569" s="178">
        <v>17733.221600000001</v>
      </c>
      <c r="O569" s="181" t="s">
        <v>882</v>
      </c>
      <c r="P569" s="180">
        <v>0</v>
      </c>
      <c r="Q569" s="182">
        <v>0</v>
      </c>
      <c r="R569" s="183" t="s">
        <v>883</v>
      </c>
      <c r="S569" s="174" t="s">
        <v>1273</v>
      </c>
      <c r="T569" s="44">
        <v>1</v>
      </c>
      <c r="U569" s="184">
        <v>51</v>
      </c>
      <c r="V569" s="185">
        <v>17</v>
      </c>
      <c r="W569" s="186" t="s">
        <v>883</v>
      </c>
      <c r="X569" s="187" t="s">
        <v>883</v>
      </c>
      <c r="Y569" s="188">
        <v>0</v>
      </c>
      <c r="Z569" s="188" t="s">
        <v>883</v>
      </c>
      <c r="AA569" s="187" t="s">
        <v>883</v>
      </c>
      <c r="AB569" s="188">
        <v>0</v>
      </c>
      <c r="AC569" s="188"/>
      <c r="AD569" s="189" t="s">
        <v>883</v>
      </c>
      <c r="AE569" s="190" t="s">
        <v>883</v>
      </c>
      <c r="AF569" s="180">
        <v>556</v>
      </c>
      <c r="AG569" s="183">
        <v>44775</v>
      </c>
      <c r="AH569" s="183">
        <v>39580</v>
      </c>
      <c r="AI569" s="183">
        <v>44748</v>
      </c>
      <c r="AJ569" s="183" t="s">
        <v>883</v>
      </c>
      <c r="AK569" s="174"/>
    </row>
    <row r="570" spans="1:37" x14ac:dyDescent="0.3">
      <c r="A570" s="173">
        <v>106408</v>
      </c>
      <c r="B570" s="174" t="s">
        <v>1625</v>
      </c>
      <c r="C570" s="175" t="s">
        <v>256</v>
      </c>
      <c r="D570" s="176">
        <v>8.3000000000000007</v>
      </c>
      <c r="E570" s="174"/>
      <c r="F570" s="174"/>
      <c r="G570" s="174" t="s">
        <v>883</v>
      </c>
      <c r="H570" s="177">
        <v>54</v>
      </c>
      <c r="I570" s="24">
        <v>103003</v>
      </c>
      <c r="J570" s="178">
        <v>8.3000000000000007</v>
      </c>
      <c r="K570" s="177">
        <v>123</v>
      </c>
      <c r="L570" s="179">
        <v>4.9450549450549453</v>
      </c>
      <c r="M570" s="180">
        <v>27.04</v>
      </c>
      <c r="N570" s="178">
        <v>224.43199999999999</v>
      </c>
      <c r="O570" s="181" t="s">
        <v>882</v>
      </c>
      <c r="P570" s="180">
        <v>0</v>
      </c>
      <c r="Q570" s="182">
        <v>0</v>
      </c>
      <c r="R570" s="183" t="s">
        <v>883</v>
      </c>
      <c r="S570" s="174" t="s">
        <v>988</v>
      </c>
      <c r="T570" s="44">
        <v>1</v>
      </c>
      <c r="U570" s="184">
        <v>55</v>
      </c>
      <c r="V570" s="185">
        <v>32</v>
      </c>
      <c r="W570" s="186">
        <v>2442</v>
      </c>
      <c r="X570" s="187">
        <v>2023</v>
      </c>
      <c r="Y570" s="188">
        <v>50</v>
      </c>
      <c r="Z570" s="188" t="s">
        <v>883</v>
      </c>
      <c r="AA570" s="187" t="s">
        <v>883</v>
      </c>
      <c r="AB570" s="188">
        <v>0</v>
      </c>
      <c r="AC570" s="188"/>
      <c r="AD570" s="189" t="s">
        <v>883</v>
      </c>
      <c r="AE570" s="190" t="s">
        <v>883</v>
      </c>
      <c r="AF570" s="180">
        <v>44</v>
      </c>
      <c r="AG570" s="183">
        <v>42229</v>
      </c>
      <c r="AH570" s="183">
        <v>39581</v>
      </c>
      <c r="AI570" s="183">
        <v>42205</v>
      </c>
      <c r="AJ570" s="183" t="s">
        <v>883</v>
      </c>
      <c r="AK570" s="174"/>
    </row>
    <row r="571" spans="1:37" x14ac:dyDescent="0.3">
      <c r="A571" s="173">
        <v>106414</v>
      </c>
      <c r="B571" s="174" t="s">
        <v>1626</v>
      </c>
      <c r="C571" s="175" t="s">
        <v>256</v>
      </c>
      <c r="D571" s="176">
        <v>3.69</v>
      </c>
      <c r="E571" s="174"/>
      <c r="F571" s="174"/>
      <c r="G571" s="174" t="s">
        <v>883</v>
      </c>
      <c r="H571" s="177">
        <v>2812</v>
      </c>
      <c r="I571" s="24">
        <v>103003</v>
      </c>
      <c r="J571" s="178">
        <v>3.69</v>
      </c>
      <c r="K571" s="177">
        <v>2907</v>
      </c>
      <c r="L571" s="179">
        <v>7.8529937444146558</v>
      </c>
      <c r="M571" s="180">
        <v>484.96</v>
      </c>
      <c r="N571" s="178">
        <v>1789.5024000000001</v>
      </c>
      <c r="O571" s="181" t="s">
        <v>882</v>
      </c>
      <c r="P571" s="180">
        <v>0</v>
      </c>
      <c r="Q571" s="182">
        <v>0</v>
      </c>
      <c r="R571" s="183" t="s">
        <v>883</v>
      </c>
      <c r="S571" s="174" t="s">
        <v>988</v>
      </c>
      <c r="T571" s="44">
        <v>1</v>
      </c>
      <c r="U571" s="184">
        <v>55</v>
      </c>
      <c r="V571" s="185">
        <v>32</v>
      </c>
      <c r="W571" s="186">
        <v>2547</v>
      </c>
      <c r="X571" s="187">
        <v>2023</v>
      </c>
      <c r="Y571" s="188">
        <v>1000</v>
      </c>
      <c r="Z571" s="188" t="s">
        <v>883</v>
      </c>
      <c r="AA571" s="187" t="s">
        <v>883</v>
      </c>
      <c r="AB571" s="188">
        <v>0</v>
      </c>
      <c r="AC571" s="188"/>
      <c r="AD571" s="189" t="s">
        <v>883</v>
      </c>
      <c r="AE571" s="190" t="s">
        <v>883</v>
      </c>
      <c r="AF571" s="180">
        <v>1432</v>
      </c>
      <c r="AG571" s="183">
        <v>44659</v>
      </c>
      <c r="AH571" s="183">
        <v>39581</v>
      </c>
      <c r="AI571" s="183">
        <v>44616</v>
      </c>
      <c r="AJ571" s="183" t="s">
        <v>883</v>
      </c>
      <c r="AK571" s="174"/>
    </row>
    <row r="572" spans="1:37" x14ac:dyDescent="0.3">
      <c r="A572" s="173">
        <v>106544</v>
      </c>
      <c r="B572" s="174" t="s">
        <v>1627</v>
      </c>
      <c r="C572" s="175" t="s">
        <v>256</v>
      </c>
      <c r="D572" s="176">
        <v>1.58</v>
      </c>
      <c r="E572" s="174"/>
      <c r="F572" s="174"/>
      <c r="G572" s="174" t="s">
        <v>883</v>
      </c>
      <c r="H572" s="177">
        <v>0</v>
      </c>
      <c r="I572" s="24">
        <v>103003</v>
      </c>
      <c r="J572" s="178">
        <v>1.58</v>
      </c>
      <c r="K572" s="177">
        <v>2289</v>
      </c>
      <c r="L572" s="179">
        <v>0</v>
      </c>
      <c r="M572" s="180">
        <v>0</v>
      </c>
      <c r="N572" s="178">
        <v>0</v>
      </c>
      <c r="O572" s="181" t="s">
        <v>882</v>
      </c>
      <c r="P572" s="180">
        <v>0</v>
      </c>
      <c r="Q572" s="182">
        <v>0</v>
      </c>
      <c r="R572" s="183" t="s">
        <v>883</v>
      </c>
      <c r="S572" s="174" t="s">
        <v>1016</v>
      </c>
      <c r="T572" s="44">
        <v>1</v>
      </c>
      <c r="U572" s="184">
        <v>67</v>
      </c>
      <c r="V572" s="185">
        <v>9</v>
      </c>
      <c r="W572" s="186">
        <v>2520</v>
      </c>
      <c r="X572" s="187">
        <v>2023</v>
      </c>
      <c r="Y572" s="188">
        <v>3000</v>
      </c>
      <c r="Z572" s="188" t="s">
        <v>883</v>
      </c>
      <c r="AA572" s="187" t="s">
        <v>883</v>
      </c>
      <c r="AB572" s="188">
        <v>0</v>
      </c>
      <c r="AC572" s="188"/>
      <c r="AD572" s="189" t="s">
        <v>883</v>
      </c>
      <c r="AE572" s="190" t="s">
        <v>883</v>
      </c>
      <c r="AF572" s="180">
        <v>852</v>
      </c>
      <c r="AG572" s="183">
        <v>43866</v>
      </c>
      <c r="AH572" s="183">
        <v>39589</v>
      </c>
      <c r="AI572" s="183">
        <v>45105</v>
      </c>
      <c r="AJ572" s="183" t="s">
        <v>883</v>
      </c>
      <c r="AK572" s="174"/>
    </row>
    <row r="573" spans="1:37" x14ac:dyDescent="0.3">
      <c r="A573" s="173">
        <v>106546</v>
      </c>
      <c r="B573" s="174" t="s">
        <v>1628</v>
      </c>
      <c r="C573" s="175" t="s">
        <v>256</v>
      </c>
      <c r="D573" s="176">
        <v>2.04</v>
      </c>
      <c r="E573" s="174"/>
      <c r="F573" s="174"/>
      <c r="G573" s="174" t="s">
        <v>883</v>
      </c>
      <c r="H573" s="177">
        <v>2431</v>
      </c>
      <c r="I573" s="24">
        <v>103003</v>
      </c>
      <c r="J573" s="178">
        <v>2.04</v>
      </c>
      <c r="K573" s="177">
        <v>1588</v>
      </c>
      <c r="L573" s="179">
        <v>17.787371039730736</v>
      </c>
      <c r="M573" s="180">
        <v>0</v>
      </c>
      <c r="N573" s="178">
        <v>0</v>
      </c>
      <c r="O573" s="181" t="s">
        <v>882</v>
      </c>
      <c r="P573" s="180">
        <v>0</v>
      </c>
      <c r="Q573" s="182">
        <v>0</v>
      </c>
      <c r="R573" s="183" t="s">
        <v>883</v>
      </c>
      <c r="S573" s="174" t="s">
        <v>1016</v>
      </c>
      <c r="T573" s="44">
        <v>1</v>
      </c>
      <c r="U573" s="184">
        <v>67</v>
      </c>
      <c r="V573" s="185">
        <v>9</v>
      </c>
      <c r="W573" s="186" t="s">
        <v>883</v>
      </c>
      <c r="X573" s="187" t="s">
        <v>883</v>
      </c>
      <c r="Y573" s="188">
        <v>0</v>
      </c>
      <c r="Z573" s="188" t="s">
        <v>883</v>
      </c>
      <c r="AA573" s="187" t="s">
        <v>883</v>
      </c>
      <c r="AB573" s="188">
        <v>0</v>
      </c>
      <c r="AC573" s="188"/>
      <c r="AD573" s="189" t="s">
        <v>883</v>
      </c>
      <c r="AE573" s="190" t="s">
        <v>883</v>
      </c>
      <c r="AF573" s="180">
        <v>546</v>
      </c>
      <c r="AG573" s="183">
        <v>43866</v>
      </c>
      <c r="AH573" s="183">
        <v>39589</v>
      </c>
      <c r="AI573" s="183">
        <v>45105</v>
      </c>
      <c r="AJ573" s="183" t="s">
        <v>883</v>
      </c>
      <c r="AK573" s="174"/>
    </row>
    <row r="574" spans="1:37" x14ac:dyDescent="0.3">
      <c r="A574" s="173">
        <v>106697</v>
      </c>
      <c r="B574" s="174" t="s">
        <v>1629</v>
      </c>
      <c r="C574" s="175" t="s">
        <v>275</v>
      </c>
      <c r="D574" s="176">
        <v>3.39</v>
      </c>
      <c r="E574" s="174"/>
      <c r="F574" s="174"/>
      <c r="G574" s="174" t="s">
        <v>883</v>
      </c>
      <c r="H574" s="177">
        <v>1971</v>
      </c>
      <c r="I574" s="24">
        <v>103003</v>
      </c>
      <c r="J574" s="178">
        <v>3.39</v>
      </c>
      <c r="K574" s="177">
        <v>3556</v>
      </c>
      <c r="L574" s="179">
        <v>4.546712802768166</v>
      </c>
      <c r="M574" s="180">
        <v>2931</v>
      </c>
      <c r="N574" s="178">
        <v>9936.09</v>
      </c>
      <c r="O574" s="181" t="s">
        <v>882</v>
      </c>
      <c r="P574" s="180">
        <v>0</v>
      </c>
      <c r="Q574" s="182">
        <v>0</v>
      </c>
      <c r="R574" s="183" t="s">
        <v>883</v>
      </c>
      <c r="S574" s="174" t="s">
        <v>1445</v>
      </c>
      <c r="T574" s="44">
        <v>1</v>
      </c>
      <c r="U574" s="184">
        <v>45</v>
      </c>
      <c r="V574" s="185">
        <v>30</v>
      </c>
      <c r="W574" s="186">
        <v>6979</v>
      </c>
      <c r="X574" s="187">
        <v>2023</v>
      </c>
      <c r="Y574" s="188">
        <v>300</v>
      </c>
      <c r="Z574" s="188" t="s">
        <v>883</v>
      </c>
      <c r="AA574" s="187" t="s">
        <v>883</v>
      </c>
      <c r="AB574" s="188">
        <v>0</v>
      </c>
      <c r="AC574" s="188"/>
      <c r="AD574" s="189" t="s">
        <v>883</v>
      </c>
      <c r="AE574" s="190" t="s">
        <v>883</v>
      </c>
      <c r="AF574" s="180">
        <v>1734</v>
      </c>
      <c r="AG574" s="183">
        <v>44928</v>
      </c>
      <c r="AH574" s="183">
        <v>39598</v>
      </c>
      <c r="AI574" s="183">
        <v>44910</v>
      </c>
      <c r="AJ574" s="183" t="s">
        <v>883</v>
      </c>
      <c r="AK574" s="174"/>
    </row>
    <row r="575" spans="1:37" x14ac:dyDescent="0.3">
      <c r="A575" s="173">
        <v>106909</v>
      </c>
      <c r="B575" s="174" t="s">
        <v>1630</v>
      </c>
      <c r="C575" s="175" t="s">
        <v>256</v>
      </c>
      <c r="D575" s="176">
        <v>105.38</v>
      </c>
      <c r="E575" s="174"/>
      <c r="F575" s="174"/>
      <c r="G575" s="174" t="s">
        <v>883</v>
      </c>
      <c r="H575" s="177">
        <v>1</v>
      </c>
      <c r="I575" s="24">
        <v>103003</v>
      </c>
      <c r="J575" s="178">
        <v>105.38</v>
      </c>
      <c r="K575" s="177"/>
      <c r="L575" s="179">
        <v>0</v>
      </c>
      <c r="M575" s="180">
        <v>0</v>
      </c>
      <c r="N575" s="178">
        <v>0</v>
      </c>
      <c r="O575" s="181" t="s">
        <v>882</v>
      </c>
      <c r="P575" s="180">
        <v>0</v>
      </c>
      <c r="Q575" s="182">
        <v>0</v>
      </c>
      <c r="R575" s="183" t="s">
        <v>883</v>
      </c>
      <c r="S575" s="174" t="s">
        <v>1481</v>
      </c>
      <c r="T575" s="44">
        <v>1</v>
      </c>
      <c r="U575" s="184">
        <v>54</v>
      </c>
      <c r="V575" s="185">
        <v>4</v>
      </c>
      <c r="W575" s="186">
        <v>2813</v>
      </c>
      <c r="X575" s="187">
        <v>2023</v>
      </c>
      <c r="Y575" s="188">
        <v>2</v>
      </c>
      <c r="Z575" s="188" t="s">
        <v>883</v>
      </c>
      <c r="AA575" s="187" t="s">
        <v>883</v>
      </c>
      <c r="AB575" s="188">
        <v>0</v>
      </c>
      <c r="AC575" s="188"/>
      <c r="AD575" s="189" t="s">
        <v>883</v>
      </c>
      <c r="AE575" s="190" t="s">
        <v>883</v>
      </c>
      <c r="AF575" s="180">
        <v>0</v>
      </c>
      <c r="AG575" s="183">
        <v>43703</v>
      </c>
      <c r="AH575" s="183">
        <v>39624</v>
      </c>
      <c r="AI575" s="183">
        <v>43677</v>
      </c>
      <c r="AJ575" s="183" t="s">
        <v>883</v>
      </c>
      <c r="AK575" s="174"/>
    </row>
    <row r="576" spans="1:37" x14ac:dyDescent="0.3">
      <c r="A576" s="173">
        <v>106910</v>
      </c>
      <c r="B576" s="174" t="s">
        <v>1631</v>
      </c>
      <c r="C576" s="175" t="s">
        <v>256</v>
      </c>
      <c r="D576" s="176">
        <v>105.38</v>
      </c>
      <c r="E576" s="174"/>
      <c r="F576" s="174"/>
      <c r="G576" s="174" t="s">
        <v>883</v>
      </c>
      <c r="H576" s="177">
        <v>7</v>
      </c>
      <c r="I576" s="24">
        <v>103003</v>
      </c>
      <c r="J576" s="178">
        <v>105.38</v>
      </c>
      <c r="K576" s="177">
        <v>4</v>
      </c>
      <c r="L576" s="179">
        <v>21.212121212121215</v>
      </c>
      <c r="M576" s="180">
        <v>0</v>
      </c>
      <c r="N576" s="178">
        <v>0</v>
      </c>
      <c r="O576" s="181" t="s">
        <v>882</v>
      </c>
      <c r="P576" s="180">
        <v>0</v>
      </c>
      <c r="Q576" s="182">
        <v>0</v>
      </c>
      <c r="R576" s="183" t="s">
        <v>883</v>
      </c>
      <c r="S576" s="174" t="s">
        <v>1481</v>
      </c>
      <c r="T576" s="44">
        <v>1</v>
      </c>
      <c r="U576" s="184">
        <v>54</v>
      </c>
      <c r="V576" s="185">
        <v>4</v>
      </c>
      <c r="W576" s="186" t="s">
        <v>883</v>
      </c>
      <c r="X576" s="187" t="s">
        <v>883</v>
      </c>
      <c r="Y576" s="188">
        <v>0</v>
      </c>
      <c r="Z576" s="188" t="s">
        <v>883</v>
      </c>
      <c r="AA576" s="187" t="s">
        <v>883</v>
      </c>
      <c r="AB576" s="188">
        <v>0</v>
      </c>
      <c r="AC576" s="188"/>
      <c r="AD576" s="189" t="s">
        <v>883</v>
      </c>
      <c r="AE576" s="190" t="s">
        <v>883</v>
      </c>
      <c r="AF576" s="180">
        <v>0</v>
      </c>
      <c r="AG576" s="183">
        <v>43703</v>
      </c>
      <c r="AH576" s="183">
        <v>39624</v>
      </c>
      <c r="AI576" s="183">
        <v>43677</v>
      </c>
      <c r="AJ576" s="183" t="s">
        <v>883</v>
      </c>
      <c r="AK576" s="174"/>
    </row>
    <row r="577" spans="1:37" x14ac:dyDescent="0.3">
      <c r="A577" s="173">
        <v>106911</v>
      </c>
      <c r="B577" s="174" t="s">
        <v>1632</v>
      </c>
      <c r="C577" s="175" t="s">
        <v>256</v>
      </c>
      <c r="D577" s="176">
        <v>105.39</v>
      </c>
      <c r="E577" s="174"/>
      <c r="F577" s="174"/>
      <c r="G577" s="174" t="s">
        <v>883</v>
      </c>
      <c r="H577" s="177">
        <v>6</v>
      </c>
      <c r="I577" s="24">
        <v>103003</v>
      </c>
      <c r="J577" s="178">
        <v>105.39</v>
      </c>
      <c r="K577" s="177">
        <v>2</v>
      </c>
      <c r="L577" s="179">
        <v>35.294117647058826</v>
      </c>
      <c r="M577" s="180">
        <v>0</v>
      </c>
      <c r="N577" s="178">
        <v>0</v>
      </c>
      <c r="O577" s="181" t="s">
        <v>882</v>
      </c>
      <c r="P577" s="180">
        <v>0</v>
      </c>
      <c r="Q577" s="182">
        <v>0</v>
      </c>
      <c r="R577" s="183" t="s">
        <v>883</v>
      </c>
      <c r="S577" s="174" t="s">
        <v>1481</v>
      </c>
      <c r="T577" s="44">
        <v>1</v>
      </c>
      <c r="U577" s="184">
        <v>54</v>
      </c>
      <c r="V577" s="185">
        <v>4</v>
      </c>
      <c r="W577" s="186" t="s">
        <v>883</v>
      </c>
      <c r="X577" s="187" t="s">
        <v>883</v>
      </c>
      <c r="Y577" s="188">
        <v>0</v>
      </c>
      <c r="Z577" s="188" t="s">
        <v>883</v>
      </c>
      <c r="AA577" s="187" t="s">
        <v>883</v>
      </c>
      <c r="AB577" s="188">
        <v>0</v>
      </c>
      <c r="AC577" s="188"/>
      <c r="AD577" s="189" t="s">
        <v>883</v>
      </c>
      <c r="AE577" s="190" t="s">
        <v>883</v>
      </c>
      <c r="AF577" s="180">
        <v>0</v>
      </c>
      <c r="AG577" s="183">
        <v>43703</v>
      </c>
      <c r="AH577" s="183">
        <v>39624</v>
      </c>
      <c r="AI577" s="183">
        <v>43677</v>
      </c>
      <c r="AJ577" s="183" t="s">
        <v>883</v>
      </c>
      <c r="AK577" s="174"/>
    </row>
    <row r="578" spans="1:37" x14ac:dyDescent="0.3">
      <c r="A578" s="173">
        <v>106913</v>
      </c>
      <c r="B578" s="174" t="s">
        <v>1633</v>
      </c>
      <c r="C578" s="175" t="s">
        <v>256</v>
      </c>
      <c r="D578" s="176">
        <v>105.39</v>
      </c>
      <c r="E578" s="174"/>
      <c r="F578" s="174"/>
      <c r="G578" s="174" t="s">
        <v>883</v>
      </c>
      <c r="H578" s="177">
        <v>1</v>
      </c>
      <c r="I578" s="24">
        <v>103003</v>
      </c>
      <c r="J578" s="178">
        <v>105.39</v>
      </c>
      <c r="K578" s="177"/>
      <c r="L578" s="179">
        <v>0</v>
      </c>
      <c r="M578" s="180">
        <v>0</v>
      </c>
      <c r="N578" s="178">
        <v>0</v>
      </c>
      <c r="O578" s="181" t="s">
        <v>882</v>
      </c>
      <c r="P578" s="180">
        <v>0</v>
      </c>
      <c r="Q578" s="182">
        <v>0</v>
      </c>
      <c r="R578" s="183" t="s">
        <v>883</v>
      </c>
      <c r="S578" s="174" t="s">
        <v>1481</v>
      </c>
      <c r="T578" s="44">
        <v>1</v>
      </c>
      <c r="U578" s="184">
        <v>54</v>
      </c>
      <c r="V578" s="185">
        <v>4</v>
      </c>
      <c r="W578" s="186">
        <v>2813</v>
      </c>
      <c r="X578" s="187">
        <v>2023</v>
      </c>
      <c r="Y578" s="188">
        <v>2</v>
      </c>
      <c r="Z578" s="188" t="s">
        <v>883</v>
      </c>
      <c r="AA578" s="187" t="s">
        <v>883</v>
      </c>
      <c r="AB578" s="188">
        <v>0</v>
      </c>
      <c r="AC578" s="188"/>
      <c r="AD578" s="189" t="s">
        <v>883</v>
      </c>
      <c r="AE578" s="190" t="s">
        <v>883</v>
      </c>
      <c r="AF578" s="180">
        <v>0</v>
      </c>
      <c r="AG578" s="183">
        <v>43703</v>
      </c>
      <c r="AH578" s="183">
        <v>39624</v>
      </c>
      <c r="AI578" s="183">
        <v>43677</v>
      </c>
      <c r="AJ578" s="183" t="s">
        <v>883</v>
      </c>
      <c r="AK578" s="174"/>
    </row>
    <row r="579" spans="1:37" x14ac:dyDescent="0.3">
      <c r="A579" s="173">
        <v>106914</v>
      </c>
      <c r="B579" s="174" t="s">
        <v>1634</v>
      </c>
      <c r="C579" s="175" t="s">
        <v>256</v>
      </c>
      <c r="D579" s="176">
        <v>86.54</v>
      </c>
      <c r="E579" s="174"/>
      <c r="F579" s="174"/>
      <c r="G579" s="174" t="s">
        <v>883</v>
      </c>
      <c r="H579" s="177">
        <v>3</v>
      </c>
      <c r="I579" s="24">
        <v>103003</v>
      </c>
      <c r="J579" s="178">
        <v>86.54</v>
      </c>
      <c r="K579" s="177"/>
      <c r="L579" s="179">
        <v>0</v>
      </c>
      <c r="M579" s="180">
        <v>0</v>
      </c>
      <c r="N579" s="178">
        <v>0</v>
      </c>
      <c r="O579" s="181" t="s">
        <v>882</v>
      </c>
      <c r="P579" s="180">
        <v>0</v>
      </c>
      <c r="Q579" s="182">
        <v>0</v>
      </c>
      <c r="R579" s="183" t="s">
        <v>883</v>
      </c>
      <c r="S579" s="174" t="s">
        <v>1481</v>
      </c>
      <c r="T579" s="44">
        <v>1</v>
      </c>
      <c r="U579" s="184">
        <v>54</v>
      </c>
      <c r="V579" s="185">
        <v>4</v>
      </c>
      <c r="W579" s="186" t="s">
        <v>883</v>
      </c>
      <c r="X579" s="187" t="s">
        <v>883</v>
      </c>
      <c r="Y579" s="188">
        <v>0</v>
      </c>
      <c r="Z579" s="188" t="s">
        <v>883</v>
      </c>
      <c r="AA579" s="187" t="s">
        <v>883</v>
      </c>
      <c r="AB579" s="188">
        <v>0</v>
      </c>
      <c r="AC579" s="188"/>
      <c r="AD579" s="189" t="s">
        <v>883</v>
      </c>
      <c r="AE579" s="190" t="s">
        <v>883</v>
      </c>
      <c r="AF579" s="180">
        <v>0</v>
      </c>
      <c r="AG579" s="183">
        <v>43703</v>
      </c>
      <c r="AH579" s="183">
        <v>39624</v>
      </c>
      <c r="AI579" s="183">
        <v>43677</v>
      </c>
      <c r="AJ579" s="183" t="s">
        <v>883</v>
      </c>
      <c r="AK579" s="174"/>
    </row>
    <row r="580" spans="1:37" x14ac:dyDescent="0.3">
      <c r="A580" s="173">
        <v>106916</v>
      </c>
      <c r="B580" s="174" t="s">
        <v>1635</v>
      </c>
      <c r="C580" s="175" t="s">
        <v>256</v>
      </c>
      <c r="D580" s="176">
        <v>86.54</v>
      </c>
      <c r="E580" s="174"/>
      <c r="F580" s="174"/>
      <c r="G580" s="174" t="s">
        <v>883</v>
      </c>
      <c r="H580" s="177">
        <v>8</v>
      </c>
      <c r="I580" s="24">
        <v>103003</v>
      </c>
      <c r="J580" s="178">
        <v>86.54</v>
      </c>
      <c r="K580" s="177"/>
      <c r="L580" s="179">
        <v>0</v>
      </c>
      <c r="M580" s="180">
        <v>0</v>
      </c>
      <c r="N580" s="178">
        <v>0</v>
      </c>
      <c r="O580" s="181" t="s">
        <v>882</v>
      </c>
      <c r="P580" s="180">
        <v>0</v>
      </c>
      <c r="Q580" s="182">
        <v>0</v>
      </c>
      <c r="R580" s="183" t="s">
        <v>883</v>
      </c>
      <c r="S580" s="174" t="s">
        <v>1481</v>
      </c>
      <c r="T580" s="44">
        <v>1</v>
      </c>
      <c r="U580" s="184">
        <v>54</v>
      </c>
      <c r="V580" s="185">
        <v>4</v>
      </c>
      <c r="W580" s="186" t="s">
        <v>883</v>
      </c>
      <c r="X580" s="187" t="s">
        <v>883</v>
      </c>
      <c r="Y580" s="188">
        <v>0</v>
      </c>
      <c r="Z580" s="188" t="s">
        <v>883</v>
      </c>
      <c r="AA580" s="187" t="s">
        <v>883</v>
      </c>
      <c r="AB580" s="188">
        <v>0</v>
      </c>
      <c r="AC580" s="188"/>
      <c r="AD580" s="189" t="s">
        <v>883</v>
      </c>
      <c r="AE580" s="190" t="s">
        <v>883</v>
      </c>
      <c r="AF580" s="180">
        <v>0</v>
      </c>
      <c r="AG580" s="183">
        <v>43703</v>
      </c>
      <c r="AH580" s="183">
        <v>39624</v>
      </c>
      <c r="AI580" s="183">
        <v>43677</v>
      </c>
      <c r="AJ580" s="183" t="s">
        <v>883</v>
      </c>
      <c r="AK580" s="174"/>
    </row>
    <row r="581" spans="1:37" x14ac:dyDescent="0.3">
      <c r="A581" s="173">
        <v>106917</v>
      </c>
      <c r="B581" s="174" t="s">
        <v>1636</v>
      </c>
      <c r="C581" s="175" t="s">
        <v>256</v>
      </c>
      <c r="D581" s="176">
        <v>86.56</v>
      </c>
      <c r="E581" s="174"/>
      <c r="F581" s="174"/>
      <c r="G581" s="174" t="s">
        <v>883</v>
      </c>
      <c r="H581" s="177">
        <v>0</v>
      </c>
      <c r="I581" s="24">
        <v>103003</v>
      </c>
      <c r="J581" s="178">
        <v>86.56</v>
      </c>
      <c r="K581" s="177">
        <v>1</v>
      </c>
      <c r="L581" s="179">
        <v>0</v>
      </c>
      <c r="M581" s="180">
        <v>0</v>
      </c>
      <c r="N581" s="178">
        <v>0</v>
      </c>
      <c r="O581" s="181" t="s">
        <v>882</v>
      </c>
      <c r="P581" s="180">
        <v>0</v>
      </c>
      <c r="Q581" s="182">
        <v>0</v>
      </c>
      <c r="R581" s="183" t="s">
        <v>883</v>
      </c>
      <c r="S581" s="174" t="s">
        <v>1481</v>
      </c>
      <c r="T581" s="44">
        <v>1</v>
      </c>
      <c r="U581" s="184">
        <v>54</v>
      </c>
      <c r="V581" s="185">
        <v>4</v>
      </c>
      <c r="W581" s="186">
        <v>2813</v>
      </c>
      <c r="X581" s="187">
        <v>2023</v>
      </c>
      <c r="Y581" s="188">
        <v>4</v>
      </c>
      <c r="Z581" s="188" t="s">
        <v>883</v>
      </c>
      <c r="AA581" s="187" t="s">
        <v>883</v>
      </c>
      <c r="AB581" s="188">
        <v>0</v>
      </c>
      <c r="AC581" s="188"/>
      <c r="AD581" s="189" t="s">
        <v>883</v>
      </c>
      <c r="AE581" s="190" t="s">
        <v>883</v>
      </c>
      <c r="AF581" s="180">
        <v>0</v>
      </c>
      <c r="AG581" s="183">
        <v>43703</v>
      </c>
      <c r="AH581" s="183">
        <v>39624</v>
      </c>
      <c r="AI581" s="183">
        <v>43677</v>
      </c>
      <c r="AJ581" s="183" t="s">
        <v>883</v>
      </c>
      <c r="AK581" s="174"/>
    </row>
    <row r="582" spans="1:37" x14ac:dyDescent="0.3">
      <c r="A582" s="173">
        <v>106918</v>
      </c>
      <c r="B582" s="174" t="s">
        <v>1637</v>
      </c>
      <c r="C582" s="175" t="s">
        <v>256</v>
      </c>
      <c r="D582" s="176">
        <v>86.54</v>
      </c>
      <c r="E582" s="174"/>
      <c r="F582" s="174"/>
      <c r="G582" s="174" t="s">
        <v>883</v>
      </c>
      <c r="H582" s="177">
        <v>8</v>
      </c>
      <c r="I582" s="24">
        <v>103003</v>
      </c>
      <c r="J582" s="178">
        <v>86.54</v>
      </c>
      <c r="K582" s="177">
        <v>2</v>
      </c>
      <c r="L582" s="179">
        <v>47.058823529411761</v>
      </c>
      <c r="M582" s="180">
        <v>0</v>
      </c>
      <c r="N582" s="178">
        <v>0</v>
      </c>
      <c r="O582" s="181" t="s">
        <v>882</v>
      </c>
      <c r="P582" s="180">
        <v>0</v>
      </c>
      <c r="Q582" s="182">
        <v>0</v>
      </c>
      <c r="R582" s="183" t="s">
        <v>883</v>
      </c>
      <c r="S582" s="174" t="s">
        <v>1481</v>
      </c>
      <c r="T582" s="44">
        <v>1</v>
      </c>
      <c r="U582" s="184">
        <v>54</v>
      </c>
      <c r="V582" s="185">
        <v>4</v>
      </c>
      <c r="W582" s="186" t="s">
        <v>883</v>
      </c>
      <c r="X582" s="187" t="s">
        <v>883</v>
      </c>
      <c r="Y582" s="188">
        <v>0</v>
      </c>
      <c r="Z582" s="188" t="s">
        <v>883</v>
      </c>
      <c r="AA582" s="187" t="s">
        <v>883</v>
      </c>
      <c r="AB582" s="188">
        <v>0</v>
      </c>
      <c r="AC582" s="188"/>
      <c r="AD582" s="189" t="s">
        <v>883</v>
      </c>
      <c r="AE582" s="190" t="s">
        <v>883</v>
      </c>
      <c r="AF582" s="180">
        <v>0</v>
      </c>
      <c r="AG582" s="183">
        <v>43703</v>
      </c>
      <c r="AH582" s="183">
        <v>39624</v>
      </c>
      <c r="AI582" s="183">
        <v>43677</v>
      </c>
      <c r="AJ582" s="183" t="s">
        <v>883</v>
      </c>
      <c r="AK582" s="174"/>
    </row>
    <row r="583" spans="1:37" x14ac:dyDescent="0.3">
      <c r="A583" s="173">
        <v>106919</v>
      </c>
      <c r="B583" s="174" t="s">
        <v>1638</v>
      </c>
      <c r="C583" s="175" t="s">
        <v>256</v>
      </c>
      <c r="D583" s="176">
        <v>86.54</v>
      </c>
      <c r="E583" s="174"/>
      <c r="F583" s="174"/>
      <c r="G583" s="174" t="s">
        <v>883</v>
      </c>
      <c r="H583" s="177">
        <v>1</v>
      </c>
      <c r="I583" s="24">
        <v>103003</v>
      </c>
      <c r="J583" s="178">
        <v>86.54</v>
      </c>
      <c r="K583" s="177"/>
      <c r="L583" s="179">
        <v>0</v>
      </c>
      <c r="M583" s="180">
        <v>0</v>
      </c>
      <c r="N583" s="178">
        <v>0</v>
      </c>
      <c r="O583" s="181" t="s">
        <v>882</v>
      </c>
      <c r="P583" s="180">
        <v>0</v>
      </c>
      <c r="Q583" s="182">
        <v>0</v>
      </c>
      <c r="R583" s="183" t="s">
        <v>883</v>
      </c>
      <c r="S583" s="174" t="s">
        <v>1481</v>
      </c>
      <c r="T583" s="44">
        <v>1</v>
      </c>
      <c r="U583" s="184">
        <v>54</v>
      </c>
      <c r="V583" s="185">
        <v>4</v>
      </c>
      <c r="W583" s="186">
        <v>2813</v>
      </c>
      <c r="X583" s="187">
        <v>2023</v>
      </c>
      <c r="Y583" s="188">
        <v>2</v>
      </c>
      <c r="Z583" s="188" t="s">
        <v>883</v>
      </c>
      <c r="AA583" s="187" t="s">
        <v>883</v>
      </c>
      <c r="AB583" s="188">
        <v>0</v>
      </c>
      <c r="AC583" s="188"/>
      <c r="AD583" s="189" t="s">
        <v>883</v>
      </c>
      <c r="AE583" s="190" t="s">
        <v>883</v>
      </c>
      <c r="AF583" s="180">
        <v>0</v>
      </c>
      <c r="AG583" s="183">
        <v>43703</v>
      </c>
      <c r="AH583" s="183">
        <v>39624</v>
      </c>
      <c r="AI583" s="183">
        <v>43677</v>
      </c>
      <c r="AJ583" s="183" t="s">
        <v>883</v>
      </c>
      <c r="AK583" s="174"/>
    </row>
    <row r="584" spans="1:37" x14ac:dyDescent="0.3">
      <c r="A584" s="173">
        <v>107401</v>
      </c>
      <c r="B584" s="174" t="s">
        <v>1639</v>
      </c>
      <c r="C584" s="175" t="s">
        <v>256</v>
      </c>
      <c r="D584" s="176">
        <v>6.9</v>
      </c>
      <c r="E584" s="174"/>
      <c r="F584" s="174"/>
      <c r="G584" s="174" t="s">
        <v>883</v>
      </c>
      <c r="H584" s="177">
        <v>201</v>
      </c>
      <c r="I584" s="24">
        <v>103003</v>
      </c>
      <c r="J584" s="178">
        <v>6.9</v>
      </c>
      <c r="K584" s="177">
        <v>55</v>
      </c>
      <c r="L584" s="179">
        <v>40.853658536585364</v>
      </c>
      <c r="M584" s="180">
        <v>0</v>
      </c>
      <c r="N584" s="178">
        <v>0</v>
      </c>
      <c r="O584" s="181" t="s">
        <v>882</v>
      </c>
      <c r="P584" s="180">
        <v>0</v>
      </c>
      <c r="Q584" s="182">
        <v>0</v>
      </c>
      <c r="R584" s="183" t="s">
        <v>883</v>
      </c>
      <c r="S584" s="174" t="s">
        <v>964</v>
      </c>
      <c r="T584" s="44">
        <v>1</v>
      </c>
      <c r="U584" s="184">
        <v>61</v>
      </c>
      <c r="V584" s="185">
        <v>8</v>
      </c>
      <c r="W584" s="186" t="s">
        <v>883</v>
      </c>
      <c r="X584" s="187" t="s">
        <v>883</v>
      </c>
      <c r="Y584" s="188">
        <v>0</v>
      </c>
      <c r="Z584" s="188" t="s">
        <v>883</v>
      </c>
      <c r="AA584" s="187" t="s">
        <v>883</v>
      </c>
      <c r="AB584" s="188">
        <v>0</v>
      </c>
      <c r="AC584" s="188"/>
      <c r="AD584" s="189" t="s">
        <v>883</v>
      </c>
      <c r="AE584" s="190" t="s">
        <v>883</v>
      </c>
      <c r="AF584" s="180">
        <v>20</v>
      </c>
      <c r="AG584" s="183">
        <v>44658</v>
      </c>
      <c r="AH584" s="183">
        <v>39671</v>
      </c>
      <c r="AI584" s="183">
        <v>44607</v>
      </c>
      <c r="AJ584" s="183" t="s">
        <v>883</v>
      </c>
      <c r="AK584" s="174"/>
    </row>
    <row r="585" spans="1:37" x14ac:dyDescent="0.3">
      <c r="A585" s="173">
        <v>107483</v>
      </c>
      <c r="B585" s="174" t="s">
        <v>1640</v>
      </c>
      <c r="C585" s="175" t="s">
        <v>31</v>
      </c>
      <c r="D585" s="176">
        <v>15.3</v>
      </c>
      <c r="E585" s="174"/>
      <c r="F585" s="174"/>
      <c r="G585" s="174" t="s">
        <v>883</v>
      </c>
      <c r="H585" s="177">
        <v>101</v>
      </c>
      <c r="I585" s="24">
        <v>103003</v>
      </c>
      <c r="J585" s="178">
        <v>15.3</v>
      </c>
      <c r="K585" s="177">
        <v>204</v>
      </c>
      <c r="L585" s="179">
        <v>4.7709022201228155</v>
      </c>
      <c r="M585" s="180">
        <v>0</v>
      </c>
      <c r="N585" s="178">
        <v>0</v>
      </c>
      <c r="O585" s="181" t="s">
        <v>882</v>
      </c>
      <c r="P585" s="180">
        <v>0</v>
      </c>
      <c r="Q585" s="182">
        <v>0</v>
      </c>
      <c r="R585" s="183" t="s">
        <v>883</v>
      </c>
      <c r="S585" s="174" t="s">
        <v>1641</v>
      </c>
      <c r="T585" s="44">
        <v>1</v>
      </c>
      <c r="U585" s="184">
        <v>55</v>
      </c>
      <c r="V585" s="185">
        <v>4</v>
      </c>
      <c r="W585" s="186">
        <v>2646</v>
      </c>
      <c r="X585" s="187">
        <v>2023</v>
      </c>
      <c r="Y585" s="188">
        <v>200</v>
      </c>
      <c r="Z585" s="188" t="s">
        <v>883</v>
      </c>
      <c r="AA585" s="187" t="s">
        <v>883</v>
      </c>
      <c r="AB585" s="188">
        <v>0</v>
      </c>
      <c r="AC585" s="188"/>
      <c r="AD585" s="189" t="s">
        <v>883</v>
      </c>
      <c r="AE585" s="190" t="s">
        <v>883</v>
      </c>
      <c r="AF585" s="180">
        <v>84</v>
      </c>
      <c r="AG585" s="183">
        <v>44874</v>
      </c>
      <c r="AH585" s="183">
        <v>39679</v>
      </c>
      <c r="AI585" s="183">
        <v>44845</v>
      </c>
      <c r="AJ585" s="183" t="s">
        <v>883</v>
      </c>
      <c r="AK585" s="174"/>
    </row>
    <row r="586" spans="1:37" x14ac:dyDescent="0.3">
      <c r="A586" s="173">
        <v>107790</v>
      </c>
      <c r="B586" s="174" t="s">
        <v>1642</v>
      </c>
      <c r="C586" s="175" t="s">
        <v>256</v>
      </c>
      <c r="D586" s="176">
        <v>17.28</v>
      </c>
      <c r="E586" s="174"/>
      <c r="F586" s="174"/>
      <c r="G586" s="174" t="s">
        <v>883</v>
      </c>
      <c r="H586" s="177">
        <v>141</v>
      </c>
      <c r="I586" s="24">
        <v>103003</v>
      </c>
      <c r="J586" s="178">
        <v>17.28</v>
      </c>
      <c r="K586" s="177">
        <v>145</v>
      </c>
      <c r="L586" s="179">
        <v>10.014204545454545</v>
      </c>
      <c r="M586" s="180">
        <v>0</v>
      </c>
      <c r="N586" s="178">
        <v>0</v>
      </c>
      <c r="O586" s="181" t="s">
        <v>882</v>
      </c>
      <c r="P586" s="180">
        <v>0</v>
      </c>
      <c r="Q586" s="182">
        <v>0</v>
      </c>
      <c r="R586" s="183" t="s">
        <v>883</v>
      </c>
      <c r="S586" s="174" t="s">
        <v>1643</v>
      </c>
      <c r="T586" s="44">
        <v>1</v>
      </c>
      <c r="U586" s="184">
        <v>50</v>
      </c>
      <c r="V586" s="185">
        <v>3</v>
      </c>
      <c r="W586" s="186">
        <v>2412</v>
      </c>
      <c r="X586" s="187">
        <v>2023</v>
      </c>
      <c r="Y586" s="188">
        <v>100</v>
      </c>
      <c r="Z586" s="188" t="s">
        <v>883</v>
      </c>
      <c r="AA586" s="187" t="s">
        <v>883</v>
      </c>
      <c r="AB586" s="188">
        <v>0</v>
      </c>
      <c r="AC586" s="188"/>
      <c r="AD586" s="189" t="s">
        <v>883</v>
      </c>
      <c r="AE586" s="190" t="s">
        <v>883</v>
      </c>
      <c r="AF586" s="180">
        <v>56</v>
      </c>
      <c r="AG586" s="183">
        <v>44634</v>
      </c>
      <c r="AH586" s="183">
        <v>39700</v>
      </c>
      <c r="AI586" s="183">
        <v>44616</v>
      </c>
      <c r="AJ586" s="183" t="s">
        <v>883</v>
      </c>
      <c r="AK586" s="174"/>
    </row>
    <row r="587" spans="1:37" x14ac:dyDescent="0.3">
      <c r="A587" s="173">
        <v>107889</v>
      </c>
      <c r="B587" s="174" t="s">
        <v>1644</v>
      </c>
      <c r="C587" s="175" t="s">
        <v>31</v>
      </c>
      <c r="D587" s="176">
        <v>29.75</v>
      </c>
      <c r="E587" s="174"/>
      <c r="F587" s="174"/>
      <c r="G587" s="174" t="s">
        <v>883</v>
      </c>
      <c r="H587" s="177">
        <v>0</v>
      </c>
      <c r="I587" s="24">
        <v>103003</v>
      </c>
      <c r="J587" s="178">
        <v>29.75</v>
      </c>
      <c r="K587" s="177">
        <v>202</v>
      </c>
      <c r="L587" s="179">
        <v>0</v>
      </c>
      <c r="M587" s="180">
        <v>54.04</v>
      </c>
      <c r="N587" s="178">
        <v>1607.69</v>
      </c>
      <c r="O587" s="181" t="s">
        <v>882</v>
      </c>
      <c r="P587" s="180">
        <v>0</v>
      </c>
      <c r="Q587" s="182">
        <v>0</v>
      </c>
      <c r="R587" s="183" t="s">
        <v>883</v>
      </c>
      <c r="S587" s="174" t="s">
        <v>1285</v>
      </c>
      <c r="T587" s="44">
        <v>1</v>
      </c>
      <c r="U587" s="184">
        <v>55</v>
      </c>
      <c r="V587" s="185">
        <v>9</v>
      </c>
      <c r="W587" s="186">
        <v>2647</v>
      </c>
      <c r="X587" s="187">
        <v>2023</v>
      </c>
      <c r="Y587" s="188">
        <v>200</v>
      </c>
      <c r="Z587" s="188" t="s">
        <v>883</v>
      </c>
      <c r="AA587" s="187" t="s">
        <v>883</v>
      </c>
      <c r="AB587" s="188">
        <v>0</v>
      </c>
      <c r="AC587" s="188"/>
      <c r="AD587" s="189" t="s">
        <v>883</v>
      </c>
      <c r="AE587" s="190" t="s">
        <v>883</v>
      </c>
      <c r="AF587" s="180">
        <v>84</v>
      </c>
      <c r="AG587" s="183">
        <v>44874</v>
      </c>
      <c r="AH587" s="183">
        <v>39709</v>
      </c>
      <c r="AI587" s="183">
        <v>44845</v>
      </c>
      <c r="AJ587" s="183" t="s">
        <v>883</v>
      </c>
      <c r="AK587" s="174"/>
    </row>
    <row r="588" spans="1:37" x14ac:dyDescent="0.3">
      <c r="A588" s="173">
        <v>107926</v>
      </c>
      <c r="B588" s="174" t="s">
        <v>1645</v>
      </c>
      <c r="C588" s="175" t="s">
        <v>256</v>
      </c>
      <c r="D588" s="176">
        <v>0.57999999999999996</v>
      </c>
      <c r="E588" s="174"/>
      <c r="F588" s="174"/>
      <c r="G588" s="174" t="s">
        <v>883</v>
      </c>
      <c r="H588" s="177">
        <v>4424</v>
      </c>
      <c r="I588" s="24">
        <v>103003</v>
      </c>
      <c r="J588" s="178">
        <v>0.57999999999999996</v>
      </c>
      <c r="K588" s="177">
        <v>3476</v>
      </c>
      <c r="L588" s="179">
        <v>15.272551524148168</v>
      </c>
      <c r="M588" s="180">
        <v>0</v>
      </c>
      <c r="N588" s="178">
        <v>0</v>
      </c>
      <c r="O588" s="181" t="s">
        <v>882</v>
      </c>
      <c r="P588" s="180">
        <v>0</v>
      </c>
      <c r="Q588" s="182">
        <v>0</v>
      </c>
      <c r="R588" s="183" t="s">
        <v>883</v>
      </c>
      <c r="S588" s="174" t="s">
        <v>1073</v>
      </c>
      <c r="T588" s="44">
        <v>1</v>
      </c>
      <c r="U588" s="184">
        <v>78</v>
      </c>
      <c r="V588" s="185">
        <v>2</v>
      </c>
      <c r="W588" s="186">
        <v>2506</v>
      </c>
      <c r="X588" s="187">
        <v>2023</v>
      </c>
      <c r="Y588" s="188">
        <v>1000</v>
      </c>
      <c r="Z588" s="188" t="s">
        <v>883</v>
      </c>
      <c r="AA588" s="187" t="s">
        <v>883</v>
      </c>
      <c r="AB588" s="188">
        <v>0</v>
      </c>
      <c r="AC588" s="188"/>
      <c r="AD588" s="189" t="s">
        <v>883</v>
      </c>
      <c r="AE588" s="190" t="s">
        <v>883</v>
      </c>
      <c r="AF588" s="180">
        <v>1158</v>
      </c>
      <c r="AG588" s="183">
        <v>44068</v>
      </c>
      <c r="AH588" s="183">
        <v>39710</v>
      </c>
      <c r="AI588" s="183">
        <v>44040</v>
      </c>
      <c r="AJ588" s="183" t="s">
        <v>883</v>
      </c>
      <c r="AK588" s="174"/>
    </row>
    <row r="589" spans="1:37" x14ac:dyDescent="0.3">
      <c r="A589" s="173">
        <v>108393</v>
      </c>
      <c r="B589" s="174" t="s">
        <v>1646</v>
      </c>
      <c r="C589" s="175" t="s">
        <v>256</v>
      </c>
      <c r="D589" s="176">
        <v>71.66</v>
      </c>
      <c r="E589" s="174"/>
      <c r="F589" s="174"/>
      <c r="G589" s="174" t="s">
        <v>883</v>
      </c>
      <c r="H589" s="177">
        <v>161</v>
      </c>
      <c r="I589" s="24">
        <v>103003</v>
      </c>
      <c r="J589" s="178">
        <v>71.66</v>
      </c>
      <c r="K589" s="177">
        <v>50</v>
      </c>
      <c r="L589" s="179">
        <v>38.609112709832132</v>
      </c>
      <c r="M589" s="180">
        <v>0</v>
      </c>
      <c r="N589" s="178">
        <v>0</v>
      </c>
      <c r="O589" s="181" t="s">
        <v>882</v>
      </c>
      <c r="P589" s="180">
        <v>0</v>
      </c>
      <c r="Q589" s="182">
        <v>0</v>
      </c>
      <c r="R589" s="183" t="s">
        <v>883</v>
      </c>
      <c r="S589" s="174" t="s">
        <v>1491</v>
      </c>
      <c r="T589" s="44">
        <v>1</v>
      </c>
      <c r="U589" s="184">
        <v>55</v>
      </c>
      <c r="V589" s="185">
        <v>26</v>
      </c>
      <c r="W589" s="186" t="s">
        <v>883</v>
      </c>
      <c r="X589" s="187" t="s">
        <v>883</v>
      </c>
      <c r="Y589" s="188">
        <v>0</v>
      </c>
      <c r="Z589" s="188" t="s">
        <v>883</v>
      </c>
      <c r="AA589" s="187" t="s">
        <v>883</v>
      </c>
      <c r="AB589" s="188">
        <v>0</v>
      </c>
      <c r="AC589" s="188"/>
      <c r="AD589" s="189" t="s">
        <v>883</v>
      </c>
      <c r="AE589" s="190" t="s">
        <v>883</v>
      </c>
      <c r="AF589" s="180">
        <v>16</v>
      </c>
      <c r="AG589" s="183">
        <v>44649</v>
      </c>
      <c r="AH589" s="183">
        <v>39737</v>
      </c>
      <c r="AI589" s="183">
        <v>44616</v>
      </c>
      <c r="AJ589" s="183" t="s">
        <v>883</v>
      </c>
      <c r="AK589" s="174"/>
    </row>
    <row r="590" spans="1:37" x14ac:dyDescent="0.3">
      <c r="A590" s="173">
        <v>108398</v>
      </c>
      <c r="B590" s="174" t="s">
        <v>1647</v>
      </c>
      <c r="C590" s="175" t="s">
        <v>256</v>
      </c>
      <c r="D590" s="176">
        <v>588</v>
      </c>
      <c r="E590" s="174"/>
      <c r="F590" s="174"/>
      <c r="G590" s="174" t="s">
        <v>883</v>
      </c>
      <c r="H590" s="177">
        <v>5</v>
      </c>
      <c r="I590" s="24">
        <v>103003</v>
      </c>
      <c r="J590" s="178">
        <v>588</v>
      </c>
      <c r="K590" s="177">
        <v>5</v>
      </c>
      <c r="L590" s="179">
        <v>11.904761904761905</v>
      </c>
      <c r="M590" s="180">
        <v>0</v>
      </c>
      <c r="N590" s="178">
        <v>0</v>
      </c>
      <c r="O590" s="181" t="s">
        <v>882</v>
      </c>
      <c r="P590" s="180">
        <v>0</v>
      </c>
      <c r="Q590" s="182">
        <v>0</v>
      </c>
      <c r="R590" s="183" t="s">
        <v>883</v>
      </c>
      <c r="S590" s="174" t="s">
        <v>1648</v>
      </c>
      <c r="T590" s="44">
        <v>1</v>
      </c>
      <c r="U590" s="184">
        <v>55</v>
      </c>
      <c r="V590" s="185">
        <v>30</v>
      </c>
      <c r="W590" s="186">
        <v>2446</v>
      </c>
      <c r="X590" s="187">
        <v>2023</v>
      </c>
      <c r="Y590" s="188">
        <v>20</v>
      </c>
      <c r="Z590" s="188" t="s">
        <v>883</v>
      </c>
      <c r="AA590" s="187" t="s">
        <v>883</v>
      </c>
      <c r="AB590" s="188">
        <v>0</v>
      </c>
      <c r="AC590" s="188"/>
      <c r="AD590" s="189" t="s">
        <v>883</v>
      </c>
      <c r="AE590" s="190" t="s">
        <v>883</v>
      </c>
      <c r="AF590" s="180">
        <v>2</v>
      </c>
      <c r="AG590" s="183">
        <v>42192</v>
      </c>
      <c r="AH590" s="183">
        <v>39737</v>
      </c>
      <c r="AI590" s="183">
        <v>42167</v>
      </c>
      <c r="AJ590" s="183" t="s">
        <v>883</v>
      </c>
      <c r="AK590" s="174"/>
    </row>
    <row r="591" spans="1:37" x14ac:dyDescent="0.3">
      <c r="A591" s="173">
        <v>108440</v>
      </c>
      <c r="B591" s="174" t="s">
        <v>532</v>
      </c>
      <c r="C591" s="175" t="s">
        <v>31</v>
      </c>
      <c r="D591" s="176">
        <v>45</v>
      </c>
      <c r="E591" s="174"/>
      <c r="F591" s="174"/>
      <c r="G591" s="174" t="s">
        <v>883</v>
      </c>
      <c r="H591" s="177">
        <v>10</v>
      </c>
      <c r="I591" s="24">
        <v>103003</v>
      </c>
      <c r="J591" s="178">
        <v>45</v>
      </c>
      <c r="K591" s="177"/>
      <c r="L591" s="179">
        <v>0</v>
      </c>
      <c r="M591" s="180">
        <v>0</v>
      </c>
      <c r="N591" s="178">
        <v>0</v>
      </c>
      <c r="O591" s="181" t="s">
        <v>882</v>
      </c>
      <c r="P591" s="180">
        <v>0</v>
      </c>
      <c r="Q591" s="182">
        <v>0</v>
      </c>
      <c r="R591" s="183" t="s">
        <v>883</v>
      </c>
      <c r="S591" s="174" t="s">
        <v>1083</v>
      </c>
      <c r="T591" s="44">
        <v>1</v>
      </c>
      <c r="U591" s="184">
        <v>55</v>
      </c>
      <c r="V591" s="185">
        <v>49</v>
      </c>
      <c r="W591" s="186" t="s">
        <v>883</v>
      </c>
      <c r="X591" s="187" t="s">
        <v>883</v>
      </c>
      <c r="Y591" s="188">
        <v>0</v>
      </c>
      <c r="Z591" s="188" t="s">
        <v>883</v>
      </c>
      <c r="AA591" s="187" t="s">
        <v>883</v>
      </c>
      <c r="AB591" s="188">
        <v>0</v>
      </c>
      <c r="AC591" s="188"/>
      <c r="AD591" s="189" t="s">
        <v>883</v>
      </c>
      <c r="AE591" s="190" t="s">
        <v>883</v>
      </c>
      <c r="AF591" s="180">
        <v>0</v>
      </c>
      <c r="AG591" s="183">
        <v>43924</v>
      </c>
      <c r="AH591" s="183">
        <v>39738</v>
      </c>
      <c r="AI591" s="183">
        <v>43880</v>
      </c>
      <c r="AJ591" s="183" t="s">
        <v>883</v>
      </c>
      <c r="AK591" s="174"/>
    </row>
    <row r="592" spans="1:37" x14ac:dyDescent="0.3">
      <c r="A592" s="173">
        <v>108697</v>
      </c>
      <c r="B592" s="174" t="s">
        <v>1649</v>
      </c>
      <c r="C592" s="175" t="s">
        <v>256</v>
      </c>
      <c r="D592" s="176">
        <v>50.85</v>
      </c>
      <c r="E592" s="174"/>
      <c r="F592" s="174"/>
      <c r="G592" s="174" t="s">
        <v>883</v>
      </c>
      <c r="H592" s="177">
        <v>37</v>
      </c>
      <c r="I592" s="24">
        <v>103003</v>
      </c>
      <c r="J592" s="178">
        <v>50.85</v>
      </c>
      <c r="K592" s="177">
        <v>13</v>
      </c>
      <c r="L592" s="179">
        <v>34.25925925925926</v>
      </c>
      <c r="M592" s="180">
        <v>0</v>
      </c>
      <c r="N592" s="178">
        <v>0</v>
      </c>
      <c r="O592" s="181" t="s">
        <v>882</v>
      </c>
      <c r="P592" s="180">
        <v>0</v>
      </c>
      <c r="Q592" s="182">
        <v>0</v>
      </c>
      <c r="R592" s="183" t="s">
        <v>883</v>
      </c>
      <c r="S592" s="174" t="s">
        <v>1650</v>
      </c>
      <c r="T592" s="44">
        <v>1</v>
      </c>
      <c r="U592" s="184">
        <v>55</v>
      </c>
      <c r="V592" s="185">
        <v>48</v>
      </c>
      <c r="W592" s="186" t="s">
        <v>883</v>
      </c>
      <c r="X592" s="187" t="s">
        <v>883</v>
      </c>
      <c r="Y592" s="188">
        <v>0</v>
      </c>
      <c r="Z592" s="188" t="s">
        <v>883</v>
      </c>
      <c r="AA592" s="187" t="s">
        <v>883</v>
      </c>
      <c r="AB592" s="188">
        <v>0</v>
      </c>
      <c r="AC592" s="188"/>
      <c r="AD592" s="189" t="s">
        <v>883</v>
      </c>
      <c r="AE592" s="190" t="s">
        <v>883</v>
      </c>
      <c r="AF592" s="180">
        <v>4</v>
      </c>
      <c r="AG592" s="183">
        <v>39820</v>
      </c>
      <c r="AH592" s="183">
        <v>39759</v>
      </c>
      <c r="AI592" s="183">
        <v>43402</v>
      </c>
      <c r="AJ592" s="183" t="s">
        <v>883</v>
      </c>
      <c r="AK592" s="174"/>
    </row>
    <row r="593" spans="1:37" x14ac:dyDescent="0.3">
      <c r="A593" s="173">
        <v>108711</v>
      </c>
      <c r="B593" s="174" t="s">
        <v>1651</v>
      </c>
      <c r="C593" s="175" t="s">
        <v>31</v>
      </c>
      <c r="D593" s="176">
        <v>36.5</v>
      </c>
      <c r="E593" s="174"/>
      <c r="F593" s="174"/>
      <c r="G593" s="174" t="s">
        <v>883</v>
      </c>
      <c r="H593" s="177">
        <v>108</v>
      </c>
      <c r="I593" s="24">
        <v>103003</v>
      </c>
      <c r="J593" s="178">
        <v>36.5</v>
      </c>
      <c r="K593" s="177">
        <v>7</v>
      </c>
      <c r="L593" s="179">
        <v>186.20689655172413</v>
      </c>
      <c r="M593" s="180">
        <v>0</v>
      </c>
      <c r="N593" s="178">
        <v>0</v>
      </c>
      <c r="O593" s="181" t="s">
        <v>882</v>
      </c>
      <c r="P593" s="180">
        <v>0</v>
      </c>
      <c r="Q593" s="182">
        <v>0</v>
      </c>
      <c r="R593" s="183" t="s">
        <v>883</v>
      </c>
      <c r="S593" s="174" t="s">
        <v>1652</v>
      </c>
      <c r="T593" s="44">
        <v>1</v>
      </c>
      <c r="U593" s="184">
        <v>61</v>
      </c>
      <c r="V593" s="185">
        <v>10</v>
      </c>
      <c r="W593" s="186" t="s">
        <v>883</v>
      </c>
      <c r="X593" s="187" t="s">
        <v>883</v>
      </c>
      <c r="Y593" s="188">
        <v>0</v>
      </c>
      <c r="Z593" s="188" t="s">
        <v>883</v>
      </c>
      <c r="AA593" s="187" t="s">
        <v>883</v>
      </c>
      <c r="AB593" s="188">
        <v>0</v>
      </c>
      <c r="AC593" s="188"/>
      <c r="AD593" s="189" t="s">
        <v>883</v>
      </c>
      <c r="AE593" s="190" t="s">
        <v>883</v>
      </c>
      <c r="AF593" s="180">
        <v>2</v>
      </c>
      <c r="AG593" s="183">
        <v>43739</v>
      </c>
      <c r="AH593" s="183">
        <v>39762</v>
      </c>
      <c r="AI593" s="183">
        <v>44462</v>
      </c>
      <c r="AJ593" s="183" t="s">
        <v>883</v>
      </c>
      <c r="AK593" s="174"/>
    </row>
    <row r="594" spans="1:37" x14ac:dyDescent="0.3">
      <c r="A594" s="173">
        <v>109251</v>
      </c>
      <c r="B594" s="174" t="s">
        <v>1653</v>
      </c>
      <c r="C594" s="175" t="s">
        <v>31</v>
      </c>
      <c r="D594" s="176">
        <v>0.52</v>
      </c>
      <c r="E594" s="174" t="s">
        <v>1055</v>
      </c>
      <c r="F594" s="174" t="s">
        <v>1056</v>
      </c>
      <c r="G594" s="174" t="s">
        <v>1057</v>
      </c>
      <c r="H594" s="177">
        <v>386</v>
      </c>
      <c r="I594" s="24">
        <v>103003</v>
      </c>
      <c r="J594" s="178">
        <v>0.66</v>
      </c>
      <c r="K594" s="177">
        <v>3</v>
      </c>
      <c r="L594" s="179">
        <v>2.6913959001533958</v>
      </c>
      <c r="M594" s="180">
        <v>1335.04</v>
      </c>
      <c r="N594" s="178">
        <v>694.22080000000005</v>
      </c>
      <c r="O594" s="181" t="s">
        <v>1058</v>
      </c>
      <c r="P594" s="180">
        <v>309300</v>
      </c>
      <c r="Q594" s="182">
        <v>160836</v>
      </c>
      <c r="R594" s="183">
        <v>45446</v>
      </c>
      <c r="S594" s="174" t="s">
        <v>892</v>
      </c>
      <c r="T594" s="44">
        <v>1</v>
      </c>
      <c r="U594" s="184">
        <v>72</v>
      </c>
      <c r="V594" s="185">
        <v>6</v>
      </c>
      <c r="W594" s="186" t="s">
        <v>883</v>
      </c>
      <c r="X594" s="187" t="s">
        <v>883</v>
      </c>
      <c r="Y594" s="188">
        <v>0</v>
      </c>
      <c r="Z594" s="188" t="s">
        <v>883</v>
      </c>
      <c r="AA594" s="187" t="s">
        <v>883</v>
      </c>
      <c r="AB594" s="188">
        <v>0</v>
      </c>
      <c r="AC594" s="188"/>
      <c r="AD594" s="189" t="s">
        <v>883</v>
      </c>
      <c r="AE594" s="190" t="s">
        <v>883</v>
      </c>
      <c r="AF594" s="180">
        <v>574</v>
      </c>
      <c r="AG594" s="183">
        <v>44337</v>
      </c>
      <c r="AH594" s="183">
        <v>39832</v>
      </c>
      <c r="AI594" s="183">
        <v>45133</v>
      </c>
      <c r="AJ594" s="183" t="s">
        <v>883</v>
      </c>
      <c r="AK594" s="174"/>
    </row>
    <row r="595" spans="1:37" x14ac:dyDescent="0.3">
      <c r="A595" s="173">
        <v>109848</v>
      </c>
      <c r="B595" s="174" t="s">
        <v>1654</v>
      </c>
      <c r="C595" s="175" t="s">
        <v>1655</v>
      </c>
      <c r="D595" s="176">
        <v>54.34</v>
      </c>
      <c r="E595" s="174"/>
      <c r="F595" s="174"/>
      <c r="G595" s="174" t="s">
        <v>883</v>
      </c>
      <c r="H595" s="177">
        <v>9</v>
      </c>
      <c r="I595" s="24">
        <v>103003</v>
      </c>
      <c r="J595" s="178">
        <v>54.34</v>
      </c>
      <c r="K595" s="177">
        <v>90</v>
      </c>
      <c r="L595" s="179">
        <v>1.2</v>
      </c>
      <c r="M595" s="180">
        <v>0</v>
      </c>
      <c r="N595" s="178">
        <v>0</v>
      </c>
      <c r="O595" s="181" t="s">
        <v>882</v>
      </c>
      <c r="P595" s="180">
        <v>0</v>
      </c>
      <c r="Q595" s="182">
        <v>0</v>
      </c>
      <c r="R595" s="183" t="s">
        <v>883</v>
      </c>
      <c r="S595" s="174" t="s">
        <v>1386</v>
      </c>
      <c r="T595" s="44">
        <v>1</v>
      </c>
      <c r="U595" s="184">
        <v>76</v>
      </c>
      <c r="V595" s="185">
        <v>9</v>
      </c>
      <c r="W595" s="186">
        <v>2795</v>
      </c>
      <c r="X595" s="187">
        <v>2023</v>
      </c>
      <c r="Y595" s="188">
        <v>200</v>
      </c>
      <c r="Z595" s="188" t="s">
        <v>883</v>
      </c>
      <c r="AA595" s="187" t="s">
        <v>883</v>
      </c>
      <c r="AB595" s="188">
        <v>0</v>
      </c>
      <c r="AC595" s="188"/>
      <c r="AD595" s="189" t="s">
        <v>883</v>
      </c>
      <c r="AE595" s="190" t="s">
        <v>883</v>
      </c>
      <c r="AF595" s="180">
        <v>30</v>
      </c>
      <c r="AG595" s="183">
        <v>44725</v>
      </c>
      <c r="AH595" s="183">
        <v>39857</v>
      </c>
      <c r="AI595" s="183">
        <v>44781</v>
      </c>
      <c r="AJ595" s="183" t="s">
        <v>883</v>
      </c>
      <c r="AK595" s="174"/>
    </row>
    <row r="596" spans="1:37" x14ac:dyDescent="0.3">
      <c r="A596" s="173">
        <v>109944</v>
      </c>
      <c r="B596" s="174" t="s">
        <v>1656</v>
      </c>
      <c r="C596" s="175" t="s">
        <v>256</v>
      </c>
      <c r="D596" s="176">
        <v>290</v>
      </c>
      <c r="E596" s="174"/>
      <c r="F596" s="174"/>
      <c r="G596" s="174" t="s">
        <v>883</v>
      </c>
      <c r="H596" s="177">
        <v>190</v>
      </c>
      <c r="I596" s="24">
        <v>103003</v>
      </c>
      <c r="J596" s="178">
        <v>290</v>
      </c>
      <c r="K596" s="177">
        <v>420</v>
      </c>
      <c r="L596" s="179">
        <v>5.0666666666666673</v>
      </c>
      <c r="M596" s="180">
        <v>260</v>
      </c>
      <c r="N596" s="178">
        <v>75400</v>
      </c>
      <c r="O596" s="181" t="s">
        <v>882</v>
      </c>
      <c r="P596" s="180">
        <v>0</v>
      </c>
      <c r="Q596" s="182">
        <v>0</v>
      </c>
      <c r="R596" s="183" t="s">
        <v>883</v>
      </c>
      <c r="S596" s="174" t="s">
        <v>1112</v>
      </c>
      <c r="T596" s="44">
        <v>1</v>
      </c>
      <c r="U596" s="184">
        <v>74</v>
      </c>
      <c r="V596" s="185">
        <v>8</v>
      </c>
      <c r="W596" s="186" t="s">
        <v>883</v>
      </c>
      <c r="X596" s="187" t="s">
        <v>883</v>
      </c>
      <c r="Y596" s="188">
        <v>0</v>
      </c>
      <c r="Z596" s="188" t="s">
        <v>883</v>
      </c>
      <c r="AA596" s="187" t="s">
        <v>883</v>
      </c>
      <c r="AB596" s="188">
        <v>0</v>
      </c>
      <c r="AC596" s="188"/>
      <c r="AD596" s="189" t="s">
        <v>883</v>
      </c>
      <c r="AE596" s="190" t="s">
        <v>883</v>
      </c>
      <c r="AF596" s="180">
        <v>150</v>
      </c>
      <c r="AG596" s="183">
        <v>44546</v>
      </c>
      <c r="AH596" s="183">
        <v>39875</v>
      </c>
      <c r="AI596" s="183">
        <v>44511</v>
      </c>
      <c r="AJ596" s="183" t="s">
        <v>883</v>
      </c>
      <c r="AK596" s="174"/>
    </row>
    <row r="597" spans="1:37" x14ac:dyDescent="0.3">
      <c r="A597" s="173">
        <v>109986</v>
      </c>
      <c r="B597" s="174" t="s">
        <v>1657</v>
      </c>
      <c r="C597" s="175" t="s">
        <v>256</v>
      </c>
      <c r="D597" s="176">
        <v>14.5</v>
      </c>
      <c r="E597" s="174"/>
      <c r="F597" s="174"/>
      <c r="G597" s="174" t="s">
        <v>883</v>
      </c>
      <c r="H597" s="177">
        <v>98</v>
      </c>
      <c r="I597" s="24">
        <v>103003</v>
      </c>
      <c r="J597" s="178">
        <v>14.5</v>
      </c>
      <c r="K597" s="177"/>
      <c r="L597" s="179">
        <v>0</v>
      </c>
      <c r="M597" s="180">
        <v>0</v>
      </c>
      <c r="N597" s="178">
        <v>0</v>
      </c>
      <c r="O597" s="181" t="s">
        <v>882</v>
      </c>
      <c r="P597" s="180">
        <v>0</v>
      </c>
      <c r="Q597" s="182">
        <v>0</v>
      </c>
      <c r="R597" s="183" t="s">
        <v>883</v>
      </c>
      <c r="S597" s="174" t="s">
        <v>1275</v>
      </c>
      <c r="T597" s="44">
        <v>1</v>
      </c>
      <c r="U597" s="184">
        <v>83</v>
      </c>
      <c r="V597" s="185">
        <v>4</v>
      </c>
      <c r="W597" s="186" t="s">
        <v>883</v>
      </c>
      <c r="X597" s="187" t="s">
        <v>883</v>
      </c>
      <c r="Y597" s="188">
        <v>0</v>
      </c>
      <c r="Z597" s="188" t="s">
        <v>883</v>
      </c>
      <c r="AA597" s="187" t="s">
        <v>883</v>
      </c>
      <c r="AB597" s="188">
        <v>0</v>
      </c>
      <c r="AC597" s="188"/>
      <c r="AD597" s="189" t="s">
        <v>883</v>
      </c>
      <c r="AE597" s="190" t="s">
        <v>883</v>
      </c>
      <c r="AF597" s="180">
        <v>0</v>
      </c>
      <c r="AG597" s="183">
        <v>43614</v>
      </c>
      <c r="AH597" s="183">
        <v>39877</v>
      </c>
      <c r="AI597" s="183">
        <v>43588</v>
      </c>
      <c r="AJ597" s="183" t="s">
        <v>883</v>
      </c>
      <c r="AK597" s="174"/>
    </row>
    <row r="598" spans="1:37" x14ac:dyDescent="0.3">
      <c r="A598" s="173">
        <v>110578</v>
      </c>
      <c r="B598" s="174" t="s">
        <v>1658</v>
      </c>
      <c r="C598" s="175" t="s">
        <v>1659</v>
      </c>
      <c r="D598" s="176">
        <v>5.09</v>
      </c>
      <c r="E598" s="174" t="s">
        <v>1660</v>
      </c>
      <c r="F598" s="174" t="s">
        <v>1661</v>
      </c>
      <c r="G598" s="174" t="s">
        <v>952</v>
      </c>
      <c r="H598" s="177">
        <v>79</v>
      </c>
      <c r="I598" s="24">
        <v>103003</v>
      </c>
      <c r="J598" s="178">
        <v>5.09</v>
      </c>
      <c r="K598" s="177">
        <v>135</v>
      </c>
      <c r="L598" s="179">
        <v>2.6184951939012264</v>
      </c>
      <c r="M598" s="180">
        <v>188.04</v>
      </c>
      <c r="N598" s="178">
        <v>957.12360000000001</v>
      </c>
      <c r="O598" s="181" t="s">
        <v>953</v>
      </c>
      <c r="P598" s="180">
        <v>15375</v>
      </c>
      <c r="Q598" s="182">
        <v>78258.75</v>
      </c>
      <c r="R598" s="183">
        <v>45189</v>
      </c>
      <c r="S598" s="174" t="s">
        <v>1523</v>
      </c>
      <c r="T598" s="44">
        <v>1</v>
      </c>
      <c r="U598" s="184">
        <v>72</v>
      </c>
      <c r="V598" s="185">
        <v>9</v>
      </c>
      <c r="W598" s="186" t="s">
        <v>883</v>
      </c>
      <c r="X598" s="187" t="s">
        <v>883</v>
      </c>
      <c r="Y598" s="188">
        <v>0</v>
      </c>
      <c r="Z598" s="188">
        <v>7217</v>
      </c>
      <c r="AA598" s="187">
        <v>2023</v>
      </c>
      <c r="AB598" s="188">
        <v>95</v>
      </c>
      <c r="AC598" s="188">
        <v>95</v>
      </c>
      <c r="AD598" s="189" t="s">
        <v>2045</v>
      </c>
      <c r="AE598" s="190">
        <v>45131</v>
      </c>
      <c r="AF598" s="180">
        <v>120</v>
      </c>
      <c r="AG598" s="183">
        <v>45064</v>
      </c>
      <c r="AH598" s="183">
        <v>39916</v>
      </c>
      <c r="AI598" s="183">
        <v>45098</v>
      </c>
      <c r="AJ598" s="183" t="s">
        <v>883</v>
      </c>
      <c r="AK598" s="174"/>
    </row>
    <row r="599" spans="1:37" x14ac:dyDescent="0.3">
      <c r="A599" s="173">
        <v>110702</v>
      </c>
      <c r="B599" s="174" t="s">
        <v>1662</v>
      </c>
      <c r="C599" s="175" t="s">
        <v>256</v>
      </c>
      <c r="D599" s="176">
        <v>16.79</v>
      </c>
      <c r="E599" s="174"/>
      <c r="F599" s="174"/>
      <c r="G599" s="174" t="s">
        <v>883</v>
      </c>
      <c r="H599" s="177">
        <v>136</v>
      </c>
      <c r="I599" s="24">
        <v>103003</v>
      </c>
      <c r="J599" s="178">
        <v>16.79</v>
      </c>
      <c r="K599" s="177">
        <v>27</v>
      </c>
      <c r="L599" s="179">
        <v>60.444444444444443</v>
      </c>
      <c r="M599" s="180">
        <v>0</v>
      </c>
      <c r="N599" s="178">
        <v>0</v>
      </c>
      <c r="O599" s="181" t="s">
        <v>882</v>
      </c>
      <c r="P599" s="180">
        <v>0</v>
      </c>
      <c r="Q599" s="182">
        <v>0</v>
      </c>
      <c r="R599" s="183" t="s">
        <v>883</v>
      </c>
      <c r="S599" s="174" t="s">
        <v>988</v>
      </c>
      <c r="T599" s="44">
        <v>1</v>
      </c>
      <c r="U599" s="184">
        <v>55</v>
      </c>
      <c r="V599" s="185">
        <v>32</v>
      </c>
      <c r="W599" s="186">
        <v>2956</v>
      </c>
      <c r="X599" s="187">
        <v>2023</v>
      </c>
      <c r="Y599" s="188">
        <v>50</v>
      </c>
      <c r="Z599" s="188" t="s">
        <v>883</v>
      </c>
      <c r="AA599" s="187" t="s">
        <v>883</v>
      </c>
      <c r="AB599" s="188">
        <v>0</v>
      </c>
      <c r="AC599" s="188"/>
      <c r="AD599" s="189" t="s">
        <v>883</v>
      </c>
      <c r="AE599" s="190" t="s">
        <v>883</v>
      </c>
      <c r="AF599" s="180">
        <v>10</v>
      </c>
      <c r="AG599" s="183">
        <v>42216</v>
      </c>
      <c r="AH599" s="183">
        <v>39927</v>
      </c>
      <c r="AI599" s="183">
        <v>42205</v>
      </c>
      <c r="AJ599" s="183" t="s">
        <v>883</v>
      </c>
      <c r="AK599" s="174"/>
    </row>
    <row r="600" spans="1:37" x14ac:dyDescent="0.3">
      <c r="A600" s="173">
        <v>110771</v>
      </c>
      <c r="B600" s="174" t="s">
        <v>1663</v>
      </c>
      <c r="C600" s="175" t="s">
        <v>256</v>
      </c>
      <c r="D600" s="176">
        <v>19.3</v>
      </c>
      <c r="E600" s="174"/>
      <c r="F600" s="174"/>
      <c r="G600" s="174" t="s">
        <v>883</v>
      </c>
      <c r="H600" s="177">
        <v>52</v>
      </c>
      <c r="I600" s="24">
        <v>103003</v>
      </c>
      <c r="J600" s="178">
        <v>19.3</v>
      </c>
      <c r="K600" s="177">
        <v>83</v>
      </c>
      <c r="L600" s="179">
        <v>7.2524407252440728</v>
      </c>
      <c r="M600" s="180">
        <v>4.04</v>
      </c>
      <c r="N600" s="178">
        <v>77.971999999999994</v>
      </c>
      <c r="O600" s="181" t="s">
        <v>882</v>
      </c>
      <c r="P600" s="180">
        <v>0</v>
      </c>
      <c r="Q600" s="182">
        <v>0</v>
      </c>
      <c r="R600" s="183" t="s">
        <v>883</v>
      </c>
      <c r="S600" s="174" t="s">
        <v>1491</v>
      </c>
      <c r="T600" s="44">
        <v>1</v>
      </c>
      <c r="U600" s="184">
        <v>55</v>
      </c>
      <c r="V600" s="185">
        <v>26</v>
      </c>
      <c r="W600" s="186">
        <v>2560</v>
      </c>
      <c r="X600" s="187">
        <v>2023</v>
      </c>
      <c r="Y600" s="188">
        <v>30</v>
      </c>
      <c r="Z600" s="188" t="s">
        <v>883</v>
      </c>
      <c r="AA600" s="187" t="s">
        <v>883</v>
      </c>
      <c r="AB600" s="188">
        <v>0</v>
      </c>
      <c r="AC600" s="188"/>
      <c r="AD600" s="189" t="s">
        <v>883</v>
      </c>
      <c r="AE600" s="190" t="s">
        <v>883</v>
      </c>
      <c r="AF600" s="180">
        <v>28</v>
      </c>
      <c r="AG600" s="183">
        <v>44336</v>
      </c>
      <c r="AH600" s="183">
        <v>39933</v>
      </c>
      <c r="AI600" s="183">
        <v>44333</v>
      </c>
      <c r="AJ600" s="183" t="s">
        <v>883</v>
      </c>
      <c r="AK600" s="174"/>
    </row>
    <row r="601" spans="1:37" x14ac:dyDescent="0.3">
      <c r="A601" s="173">
        <v>110888</v>
      </c>
      <c r="B601" s="174" t="s">
        <v>1664</v>
      </c>
      <c r="C601" s="175" t="s">
        <v>256</v>
      </c>
      <c r="D601" s="176">
        <v>280</v>
      </c>
      <c r="E601" s="174"/>
      <c r="F601" s="174"/>
      <c r="G601" s="174" t="s">
        <v>883</v>
      </c>
      <c r="H601" s="177">
        <v>1</v>
      </c>
      <c r="I601" s="24">
        <v>103003</v>
      </c>
      <c r="J601" s="178">
        <v>280</v>
      </c>
      <c r="K601" s="177">
        <v>3</v>
      </c>
      <c r="L601" s="179">
        <v>4</v>
      </c>
      <c r="M601" s="180">
        <v>0</v>
      </c>
      <c r="N601" s="178">
        <v>0</v>
      </c>
      <c r="O601" s="181" t="s">
        <v>882</v>
      </c>
      <c r="P601" s="180">
        <v>0</v>
      </c>
      <c r="Q601" s="182">
        <v>0</v>
      </c>
      <c r="R601" s="183" t="s">
        <v>883</v>
      </c>
      <c r="S601" s="174" t="s">
        <v>1491</v>
      </c>
      <c r="T601" s="44">
        <v>1</v>
      </c>
      <c r="U601" s="184">
        <v>55</v>
      </c>
      <c r="V601" s="185">
        <v>26</v>
      </c>
      <c r="W601" s="186">
        <v>2560</v>
      </c>
      <c r="X601" s="187">
        <v>2023</v>
      </c>
      <c r="Y601" s="188">
        <v>2</v>
      </c>
      <c r="Z601" s="188" t="s">
        <v>883</v>
      </c>
      <c r="AA601" s="187" t="s">
        <v>883</v>
      </c>
      <c r="AB601" s="188">
        <v>0</v>
      </c>
      <c r="AC601" s="188"/>
      <c r="AD601" s="189" t="s">
        <v>883</v>
      </c>
      <c r="AE601" s="190" t="s">
        <v>883</v>
      </c>
      <c r="AF601" s="180">
        <v>2</v>
      </c>
      <c r="AG601" s="183">
        <v>44874</v>
      </c>
      <c r="AH601" s="183">
        <v>39944</v>
      </c>
      <c r="AI601" s="183">
        <v>44845</v>
      </c>
      <c r="AJ601" s="183" t="s">
        <v>883</v>
      </c>
      <c r="AK601" s="174"/>
    </row>
    <row r="602" spans="1:37" x14ac:dyDescent="0.3">
      <c r="A602" s="173">
        <v>110889</v>
      </c>
      <c r="B602" s="174" t="s">
        <v>1665</v>
      </c>
      <c r="C602" s="175" t="s">
        <v>331</v>
      </c>
      <c r="D602" s="176">
        <v>27.99</v>
      </c>
      <c r="E602" s="174"/>
      <c r="F602" s="174"/>
      <c r="G602" s="174" t="s">
        <v>883</v>
      </c>
      <c r="H602" s="177">
        <v>80</v>
      </c>
      <c r="I602" s="24">
        <v>103003</v>
      </c>
      <c r="J602" s="178">
        <v>27.99</v>
      </c>
      <c r="K602" s="177">
        <v>220</v>
      </c>
      <c r="L602" s="179">
        <v>4.3644298963447898</v>
      </c>
      <c r="M602" s="180">
        <v>0</v>
      </c>
      <c r="N602" s="178">
        <v>0</v>
      </c>
      <c r="O602" s="181" t="s">
        <v>882</v>
      </c>
      <c r="P602" s="180">
        <v>0</v>
      </c>
      <c r="Q602" s="182">
        <v>0</v>
      </c>
      <c r="R602" s="183" t="s">
        <v>883</v>
      </c>
      <c r="S602" s="174" t="s">
        <v>1666</v>
      </c>
      <c r="T602" s="44">
        <v>1</v>
      </c>
      <c r="U602" s="184">
        <v>55</v>
      </c>
      <c r="V602" s="185">
        <v>19</v>
      </c>
      <c r="W602" s="186">
        <v>1929</v>
      </c>
      <c r="X602" s="187">
        <v>2023</v>
      </c>
      <c r="Y602" s="188">
        <v>200</v>
      </c>
      <c r="Z602" s="188" t="s">
        <v>883</v>
      </c>
      <c r="AA602" s="187" t="s">
        <v>883</v>
      </c>
      <c r="AB602" s="188">
        <v>0</v>
      </c>
      <c r="AC602" s="188"/>
      <c r="AD602" s="189" t="s">
        <v>883</v>
      </c>
      <c r="AE602" s="190" t="s">
        <v>883</v>
      </c>
      <c r="AF602" s="180">
        <v>74</v>
      </c>
      <c r="AG602" s="183">
        <v>40288</v>
      </c>
      <c r="AH602" s="183">
        <v>39944</v>
      </c>
      <c r="AI602" s="183">
        <v>40252</v>
      </c>
      <c r="AJ602" s="183" t="s">
        <v>883</v>
      </c>
      <c r="AK602" s="174"/>
    </row>
    <row r="603" spans="1:37" x14ac:dyDescent="0.3">
      <c r="A603" s="173">
        <v>110889</v>
      </c>
      <c r="B603" s="174" t="s">
        <v>1665</v>
      </c>
      <c r="C603" s="175" t="s">
        <v>331</v>
      </c>
      <c r="D603" s="176">
        <v>27.99</v>
      </c>
      <c r="E603" s="174"/>
      <c r="F603" s="174"/>
      <c r="G603" s="174" t="s">
        <v>883</v>
      </c>
      <c r="H603" s="177">
        <v>80</v>
      </c>
      <c r="I603" s="24">
        <v>103003</v>
      </c>
      <c r="J603" s="178">
        <v>27.99</v>
      </c>
      <c r="K603" s="177">
        <v>220</v>
      </c>
      <c r="L603" s="179">
        <v>4.3644298963447898</v>
      </c>
      <c r="M603" s="180">
        <v>39.96</v>
      </c>
      <c r="N603" s="178">
        <v>1118.4803999999999</v>
      </c>
      <c r="O603" s="181" t="s">
        <v>882</v>
      </c>
      <c r="P603" s="180">
        <v>0</v>
      </c>
      <c r="Q603" s="182">
        <v>0</v>
      </c>
      <c r="R603" s="183" t="s">
        <v>883</v>
      </c>
      <c r="S603" s="174" t="s">
        <v>1666</v>
      </c>
      <c r="T603" s="44">
        <v>1</v>
      </c>
      <c r="U603" s="184">
        <v>55</v>
      </c>
      <c r="V603" s="185">
        <v>19</v>
      </c>
      <c r="W603" s="186">
        <v>2956</v>
      </c>
      <c r="X603" s="187">
        <v>2023</v>
      </c>
      <c r="Y603" s="188">
        <v>100</v>
      </c>
      <c r="Z603" s="188" t="s">
        <v>883</v>
      </c>
      <c r="AA603" s="187" t="s">
        <v>883</v>
      </c>
      <c r="AB603" s="188">
        <v>0</v>
      </c>
      <c r="AC603" s="188"/>
      <c r="AD603" s="189" t="s">
        <v>883</v>
      </c>
      <c r="AE603" s="190" t="s">
        <v>883</v>
      </c>
      <c r="AF603" s="180">
        <v>74</v>
      </c>
      <c r="AG603" s="183">
        <v>40288</v>
      </c>
      <c r="AH603" s="183">
        <v>39944</v>
      </c>
      <c r="AI603" s="183">
        <v>40252</v>
      </c>
      <c r="AJ603" s="183" t="s">
        <v>883</v>
      </c>
      <c r="AK603" s="174"/>
    </row>
    <row r="604" spans="1:37" x14ac:dyDescent="0.3">
      <c r="A604" s="173">
        <v>110892</v>
      </c>
      <c r="B604" s="174" t="s">
        <v>1667</v>
      </c>
      <c r="C604" s="175" t="s">
        <v>256</v>
      </c>
      <c r="D604" s="176">
        <v>9.9</v>
      </c>
      <c r="E604" s="174"/>
      <c r="F604" s="174"/>
      <c r="G604" s="174" t="s">
        <v>883</v>
      </c>
      <c r="H604" s="177">
        <v>154</v>
      </c>
      <c r="I604" s="24">
        <v>103003</v>
      </c>
      <c r="J604" s="178">
        <v>9.9</v>
      </c>
      <c r="K604" s="177">
        <v>35</v>
      </c>
      <c r="L604" s="179">
        <v>52.739726027397261</v>
      </c>
      <c r="M604" s="180">
        <v>0</v>
      </c>
      <c r="N604" s="178">
        <v>0</v>
      </c>
      <c r="O604" s="181" t="s">
        <v>882</v>
      </c>
      <c r="P604" s="180">
        <v>0</v>
      </c>
      <c r="Q604" s="182">
        <v>0</v>
      </c>
      <c r="R604" s="183" t="s">
        <v>883</v>
      </c>
      <c r="S604" s="174" t="s">
        <v>1100</v>
      </c>
      <c r="T604" s="44">
        <v>1</v>
      </c>
      <c r="U604" s="184">
        <v>55</v>
      </c>
      <c r="V604" s="185">
        <v>35</v>
      </c>
      <c r="W604" s="186" t="s">
        <v>883</v>
      </c>
      <c r="X604" s="187" t="s">
        <v>883</v>
      </c>
      <c r="Y604" s="188">
        <v>0</v>
      </c>
      <c r="Z604" s="188" t="s">
        <v>883</v>
      </c>
      <c r="AA604" s="187" t="s">
        <v>883</v>
      </c>
      <c r="AB604" s="188">
        <v>0</v>
      </c>
      <c r="AC604" s="188"/>
      <c r="AD604" s="189" t="s">
        <v>883</v>
      </c>
      <c r="AE604" s="190" t="s">
        <v>883</v>
      </c>
      <c r="AF604" s="180">
        <v>12</v>
      </c>
      <c r="AG604" s="183">
        <v>41577</v>
      </c>
      <c r="AH604" s="183">
        <v>39944</v>
      </c>
      <c r="AI604" s="183">
        <v>43859</v>
      </c>
      <c r="AJ604" s="183" t="s">
        <v>883</v>
      </c>
      <c r="AK604" s="174"/>
    </row>
    <row r="605" spans="1:37" x14ac:dyDescent="0.3">
      <c r="A605" s="173">
        <v>110893</v>
      </c>
      <c r="B605" s="174" t="s">
        <v>1668</v>
      </c>
      <c r="C605" s="175" t="s">
        <v>256</v>
      </c>
      <c r="D605" s="176">
        <v>8</v>
      </c>
      <c r="E605" s="174"/>
      <c r="F605" s="174"/>
      <c r="G605" s="174" t="s">
        <v>883</v>
      </c>
      <c r="H605" s="177">
        <v>119</v>
      </c>
      <c r="I605" s="24">
        <v>103003</v>
      </c>
      <c r="J605" s="178">
        <v>8</v>
      </c>
      <c r="K605" s="177">
        <v>43</v>
      </c>
      <c r="L605" s="179">
        <v>33.240223463687151</v>
      </c>
      <c r="M605" s="180">
        <v>0</v>
      </c>
      <c r="N605" s="178">
        <v>0</v>
      </c>
      <c r="O605" s="181" t="s">
        <v>882</v>
      </c>
      <c r="P605" s="180">
        <v>0</v>
      </c>
      <c r="Q605" s="182">
        <v>0</v>
      </c>
      <c r="R605" s="183" t="s">
        <v>883</v>
      </c>
      <c r="S605" s="174" t="s">
        <v>1100</v>
      </c>
      <c r="T605" s="44">
        <v>1</v>
      </c>
      <c r="U605" s="184">
        <v>55</v>
      </c>
      <c r="V605" s="185">
        <v>35</v>
      </c>
      <c r="W605" s="186">
        <v>2956</v>
      </c>
      <c r="X605" s="187">
        <v>2023</v>
      </c>
      <c r="Y605" s="188">
        <v>40</v>
      </c>
      <c r="Z605" s="188" t="s">
        <v>883</v>
      </c>
      <c r="AA605" s="187" t="s">
        <v>883</v>
      </c>
      <c r="AB605" s="188">
        <v>0</v>
      </c>
      <c r="AC605" s="188"/>
      <c r="AD605" s="189" t="s">
        <v>883</v>
      </c>
      <c r="AE605" s="190" t="s">
        <v>883</v>
      </c>
      <c r="AF605" s="180">
        <v>14</v>
      </c>
      <c r="AG605" s="183">
        <v>44348</v>
      </c>
      <c r="AH605" s="183">
        <v>39944</v>
      </c>
      <c r="AI605" s="183">
        <v>44333</v>
      </c>
      <c r="AJ605" s="183" t="s">
        <v>883</v>
      </c>
      <c r="AK605" s="174"/>
    </row>
    <row r="606" spans="1:37" x14ac:dyDescent="0.3">
      <c r="A606" s="173">
        <v>110895</v>
      </c>
      <c r="B606" s="174" t="s">
        <v>1669</v>
      </c>
      <c r="C606" s="175" t="s">
        <v>256</v>
      </c>
      <c r="D606" s="176">
        <v>4.45</v>
      </c>
      <c r="E606" s="174"/>
      <c r="F606" s="174"/>
      <c r="G606" s="174" t="s">
        <v>883</v>
      </c>
      <c r="H606" s="177">
        <v>223</v>
      </c>
      <c r="I606" s="24">
        <v>103003</v>
      </c>
      <c r="J606" s="178">
        <v>4.45</v>
      </c>
      <c r="K606" s="177">
        <v>204</v>
      </c>
      <c r="L606" s="179">
        <v>11.291139240506331</v>
      </c>
      <c r="M606" s="180">
        <v>14</v>
      </c>
      <c r="N606" s="178">
        <v>62.3</v>
      </c>
      <c r="O606" s="181" t="s">
        <v>882</v>
      </c>
      <c r="P606" s="180">
        <v>0</v>
      </c>
      <c r="Q606" s="182">
        <v>0</v>
      </c>
      <c r="R606" s="183" t="s">
        <v>883</v>
      </c>
      <c r="S606" s="174" t="s">
        <v>985</v>
      </c>
      <c r="T606" s="44">
        <v>1</v>
      </c>
      <c r="U606" s="184">
        <v>55</v>
      </c>
      <c r="V606" s="185">
        <v>7</v>
      </c>
      <c r="W606" s="186" t="s">
        <v>883</v>
      </c>
      <c r="X606" s="187" t="s">
        <v>883</v>
      </c>
      <c r="Y606" s="188">
        <v>0</v>
      </c>
      <c r="Z606" s="188" t="s">
        <v>883</v>
      </c>
      <c r="AA606" s="187" t="s">
        <v>883</v>
      </c>
      <c r="AB606" s="188">
        <v>0</v>
      </c>
      <c r="AC606" s="188"/>
      <c r="AD606" s="189" t="s">
        <v>883</v>
      </c>
      <c r="AE606" s="190" t="s">
        <v>883</v>
      </c>
      <c r="AF606" s="180">
        <v>80</v>
      </c>
      <c r="AG606" s="183">
        <v>44638</v>
      </c>
      <c r="AH606" s="183">
        <v>39944</v>
      </c>
      <c r="AI606" s="183">
        <v>44616</v>
      </c>
      <c r="AJ606" s="183" t="s">
        <v>883</v>
      </c>
      <c r="AK606" s="174"/>
    </row>
    <row r="607" spans="1:37" x14ac:dyDescent="0.3">
      <c r="A607" s="173">
        <v>110896</v>
      </c>
      <c r="B607" s="174" t="s">
        <v>1670</v>
      </c>
      <c r="C607" s="175" t="s">
        <v>256</v>
      </c>
      <c r="D607" s="176">
        <v>6.4</v>
      </c>
      <c r="E607" s="174"/>
      <c r="F607" s="174"/>
      <c r="G607" s="174" t="s">
        <v>883</v>
      </c>
      <c r="H607" s="177">
        <v>42</v>
      </c>
      <c r="I607" s="24">
        <v>103003</v>
      </c>
      <c r="J607" s="178">
        <v>6.4</v>
      </c>
      <c r="K607" s="177">
        <v>14</v>
      </c>
      <c r="L607" s="179">
        <v>33.6</v>
      </c>
      <c r="M607" s="180">
        <v>0</v>
      </c>
      <c r="N607" s="178">
        <v>0</v>
      </c>
      <c r="O607" s="181" t="s">
        <v>882</v>
      </c>
      <c r="P607" s="180">
        <v>0</v>
      </c>
      <c r="Q607" s="182">
        <v>0</v>
      </c>
      <c r="R607" s="183" t="s">
        <v>883</v>
      </c>
      <c r="S607" s="174" t="s">
        <v>985</v>
      </c>
      <c r="T607" s="44">
        <v>1</v>
      </c>
      <c r="U607" s="184">
        <v>55</v>
      </c>
      <c r="V607" s="185">
        <v>7</v>
      </c>
      <c r="W607" s="186" t="s">
        <v>883</v>
      </c>
      <c r="X607" s="187" t="s">
        <v>883</v>
      </c>
      <c r="Y607" s="188">
        <v>0</v>
      </c>
      <c r="Z607" s="188" t="s">
        <v>883</v>
      </c>
      <c r="AA607" s="187" t="s">
        <v>883</v>
      </c>
      <c r="AB607" s="188">
        <v>0</v>
      </c>
      <c r="AC607" s="188"/>
      <c r="AD607" s="189" t="s">
        <v>883</v>
      </c>
      <c r="AE607" s="190" t="s">
        <v>883</v>
      </c>
      <c r="AF607" s="180">
        <v>6</v>
      </c>
      <c r="AG607" s="183">
        <v>43812</v>
      </c>
      <c r="AH607" s="183">
        <v>39944</v>
      </c>
      <c r="AI607" s="183">
        <v>43783</v>
      </c>
      <c r="AJ607" s="183" t="s">
        <v>883</v>
      </c>
      <c r="AK607" s="174"/>
    </row>
    <row r="608" spans="1:37" x14ac:dyDescent="0.3">
      <c r="A608" s="173">
        <v>111336</v>
      </c>
      <c r="B608" s="174" t="s">
        <v>1671</v>
      </c>
      <c r="C608" s="175" t="s">
        <v>294</v>
      </c>
      <c r="D608" s="176">
        <v>358.6</v>
      </c>
      <c r="E608" s="174"/>
      <c r="F608" s="174"/>
      <c r="G608" s="174" t="s">
        <v>883</v>
      </c>
      <c r="H608" s="177">
        <v>362</v>
      </c>
      <c r="I608" s="24">
        <v>103003</v>
      </c>
      <c r="J608" s="178">
        <v>358.6</v>
      </c>
      <c r="K608" s="177">
        <v>516</v>
      </c>
      <c r="L608" s="179">
        <v>7.6613756613756614</v>
      </c>
      <c r="M608" s="180">
        <v>0</v>
      </c>
      <c r="N608" s="178">
        <v>0</v>
      </c>
      <c r="O608" s="181" t="s">
        <v>882</v>
      </c>
      <c r="P608" s="180">
        <v>0</v>
      </c>
      <c r="Q608" s="182">
        <v>0</v>
      </c>
      <c r="R608" s="183" t="s">
        <v>883</v>
      </c>
      <c r="S608" s="174" t="s">
        <v>1366</v>
      </c>
      <c r="T608" s="44">
        <v>1</v>
      </c>
      <c r="U608" s="184">
        <v>69</v>
      </c>
      <c r="V608" s="185">
        <v>17</v>
      </c>
      <c r="W608" s="186">
        <v>2631</v>
      </c>
      <c r="X608" s="187">
        <v>2023</v>
      </c>
      <c r="Y608" s="188">
        <v>300</v>
      </c>
      <c r="Z608" s="188" t="s">
        <v>883</v>
      </c>
      <c r="AA608" s="187" t="s">
        <v>883</v>
      </c>
      <c r="AB608" s="188">
        <v>0</v>
      </c>
      <c r="AC608" s="188"/>
      <c r="AD608" s="189" t="s">
        <v>883</v>
      </c>
      <c r="AE608" s="190" t="s">
        <v>883</v>
      </c>
      <c r="AF608" s="180">
        <v>190</v>
      </c>
      <c r="AG608" s="183">
        <v>44951</v>
      </c>
      <c r="AH608" s="183">
        <v>39981</v>
      </c>
      <c r="AI608" s="183">
        <v>44973</v>
      </c>
      <c r="AJ608" s="183" t="s">
        <v>883</v>
      </c>
      <c r="AK608" s="174"/>
    </row>
    <row r="609" spans="1:37" x14ac:dyDescent="0.3">
      <c r="A609" s="173">
        <v>111524</v>
      </c>
      <c r="B609" s="174" t="s">
        <v>1672</v>
      </c>
      <c r="C609" s="175" t="s">
        <v>256</v>
      </c>
      <c r="D609" s="176">
        <v>53.41</v>
      </c>
      <c r="E609" s="174"/>
      <c r="F609" s="174"/>
      <c r="G609" s="174" t="s">
        <v>883</v>
      </c>
      <c r="H609" s="177">
        <v>127</v>
      </c>
      <c r="I609" s="24">
        <v>103003</v>
      </c>
      <c r="J609" s="178">
        <v>53.41</v>
      </c>
      <c r="K609" s="177">
        <v>219</v>
      </c>
      <c r="L609" s="179">
        <v>5.2198931360460339</v>
      </c>
      <c r="M609" s="180">
        <v>64.959999999999994</v>
      </c>
      <c r="N609" s="178">
        <v>3469.5136000000002</v>
      </c>
      <c r="O609" s="181" t="s">
        <v>882</v>
      </c>
      <c r="P609" s="180">
        <v>0</v>
      </c>
      <c r="Q609" s="182">
        <v>0</v>
      </c>
      <c r="R609" s="183" t="s">
        <v>883</v>
      </c>
      <c r="S609" s="174" t="s">
        <v>1013</v>
      </c>
      <c r="T609" s="44">
        <v>1</v>
      </c>
      <c r="U609" s="184">
        <v>61</v>
      </c>
      <c r="V609" s="185">
        <v>14</v>
      </c>
      <c r="W609" s="186">
        <v>2558</v>
      </c>
      <c r="X609" s="187">
        <v>2023</v>
      </c>
      <c r="Y609" s="188">
        <v>100</v>
      </c>
      <c r="Z609" s="188" t="s">
        <v>883</v>
      </c>
      <c r="AA609" s="187" t="s">
        <v>883</v>
      </c>
      <c r="AB609" s="188">
        <v>0</v>
      </c>
      <c r="AC609" s="188"/>
      <c r="AD609" s="189" t="s">
        <v>883</v>
      </c>
      <c r="AE609" s="190" t="s">
        <v>883</v>
      </c>
      <c r="AF609" s="180">
        <v>98</v>
      </c>
      <c r="AG609" s="183">
        <v>44796</v>
      </c>
      <c r="AH609" s="183">
        <v>39988</v>
      </c>
      <c r="AI609" s="183">
        <v>44750</v>
      </c>
      <c r="AJ609" s="183" t="s">
        <v>883</v>
      </c>
      <c r="AK609" s="174"/>
    </row>
    <row r="610" spans="1:37" x14ac:dyDescent="0.3">
      <c r="A610" s="173">
        <v>111806</v>
      </c>
      <c r="B610" s="174" t="s">
        <v>1673</v>
      </c>
      <c r="C610" s="175" t="s">
        <v>256</v>
      </c>
      <c r="D610" s="176">
        <v>2.1</v>
      </c>
      <c r="E610" s="174"/>
      <c r="F610" s="174"/>
      <c r="G610" s="174" t="s">
        <v>883</v>
      </c>
      <c r="H610" s="177">
        <v>0</v>
      </c>
      <c r="I610" s="24">
        <v>103003</v>
      </c>
      <c r="J610" s="178">
        <v>2.1</v>
      </c>
      <c r="K610" s="177">
        <v>1620</v>
      </c>
      <c r="L610" s="179">
        <v>0</v>
      </c>
      <c r="M610" s="180">
        <v>0</v>
      </c>
      <c r="N610" s="178">
        <v>0</v>
      </c>
      <c r="O610" s="181" t="s">
        <v>882</v>
      </c>
      <c r="P610" s="180">
        <v>0</v>
      </c>
      <c r="Q610" s="182">
        <v>0</v>
      </c>
      <c r="R610" s="183" t="s">
        <v>883</v>
      </c>
      <c r="S610" s="174" t="s">
        <v>988</v>
      </c>
      <c r="T610" s="44">
        <v>1</v>
      </c>
      <c r="U610" s="184">
        <v>55</v>
      </c>
      <c r="V610" s="185">
        <v>32</v>
      </c>
      <c r="W610" s="186">
        <v>2547</v>
      </c>
      <c r="X610" s="187">
        <v>2023</v>
      </c>
      <c r="Y610" s="188">
        <v>2000</v>
      </c>
      <c r="Z610" s="188" t="s">
        <v>883</v>
      </c>
      <c r="AA610" s="187" t="s">
        <v>883</v>
      </c>
      <c r="AB610" s="188">
        <v>0</v>
      </c>
      <c r="AC610" s="188"/>
      <c r="AD610" s="189" t="s">
        <v>883</v>
      </c>
      <c r="AE610" s="190" t="s">
        <v>883</v>
      </c>
      <c r="AF610" s="180">
        <v>558</v>
      </c>
      <c r="AG610" s="183">
        <v>44631</v>
      </c>
      <c r="AH610" s="183">
        <v>40011</v>
      </c>
      <c r="AI610" s="183">
        <v>44616</v>
      </c>
      <c r="AJ610" s="183" t="s">
        <v>883</v>
      </c>
      <c r="AK610" s="174"/>
    </row>
    <row r="611" spans="1:37" x14ac:dyDescent="0.3">
      <c r="A611" s="173">
        <v>111841</v>
      </c>
      <c r="B611" s="174" t="s">
        <v>1674</v>
      </c>
      <c r="C611" s="175" t="s">
        <v>31</v>
      </c>
      <c r="D611" s="176">
        <v>379.88</v>
      </c>
      <c r="E611" s="174"/>
      <c r="F611" s="174"/>
      <c r="G611" s="174" t="s">
        <v>883</v>
      </c>
      <c r="H611" s="177">
        <v>21</v>
      </c>
      <c r="I611" s="24">
        <v>103003</v>
      </c>
      <c r="J611" s="178">
        <v>379.88</v>
      </c>
      <c r="K611" s="177">
        <v>8</v>
      </c>
      <c r="L611" s="179">
        <v>28</v>
      </c>
      <c r="M611" s="180">
        <v>0</v>
      </c>
      <c r="N611" s="178">
        <v>0</v>
      </c>
      <c r="O611" s="181" t="s">
        <v>882</v>
      </c>
      <c r="P611" s="180">
        <v>0</v>
      </c>
      <c r="Q611" s="182">
        <v>0</v>
      </c>
      <c r="R611" s="183" t="s">
        <v>883</v>
      </c>
      <c r="S611" s="174" t="s">
        <v>1648</v>
      </c>
      <c r="T611" s="44">
        <v>1</v>
      </c>
      <c r="U611" s="184">
        <v>55</v>
      </c>
      <c r="V611" s="185">
        <v>30</v>
      </c>
      <c r="W611" s="186" t="s">
        <v>883</v>
      </c>
      <c r="X611" s="187" t="s">
        <v>883</v>
      </c>
      <c r="Y611" s="188">
        <v>0</v>
      </c>
      <c r="Z611" s="188" t="s">
        <v>883</v>
      </c>
      <c r="AA611" s="187" t="s">
        <v>883</v>
      </c>
      <c r="AB611" s="188">
        <v>0</v>
      </c>
      <c r="AC611" s="188"/>
      <c r="AD611" s="189" t="s">
        <v>883</v>
      </c>
      <c r="AE611" s="190" t="s">
        <v>883</v>
      </c>
      <c r="AF611" s="180">
        <v>4</v>
      </c>
      <c r="AG611" s="183">
        <v>44043</v>
      </c>
      <c r="AH611" s="183">
        <v>40015</v>
      </c>
      <c r="AI611" s="183">
        <v>44028</v>
      </c>
      <c r="AJ611" s="183" t="s">
        <v>883</v>
      </c>
      <c r="AK611" s="174"/>
    </row>
    <row r="612" spans="1:37" x14ac:dyDescent="0.3">
      <c r="A612" s="173">
        <v>112109</v>
      </c>
      <c r="B612" s="174" t="s">
        <v>1675</v>
      </c>
      <c r="C612" s="175" t="s">
        <v>275</v>
      </c>
      <c r="D612" s="176">
        <v>5.5</v>
      </c>
      <c r="E612" s="174"/>
      <c r="F612" s="174"/>
      <c r="G612" s="174" t="s">
        <v>883</v>
      </c>
      <c r="H612" s="177">
        <v>21519</v>
      </c>
      <c r="I612" s="24">
        <v>103003</v>
      </c>
      <c r="J612" s="178">
        <v>5.5</v>
      </c>
      <c r="K612" s="177">
        <v>13137</v>
      </c>
      <c r="L612" s="179">
        <v>15.172068559503076</v>
      </c>
      <c r="M612" s="180">
        <v>0</v>
      </c>
      <c r="N612" s="178">
        <v>0</v>
      </c>
      <c r="O612" s="181" t="s">
        <v>882</v>
      </c>
      <c r="P612" s="180">
        <v>0</v>
      </c>
      <c r="Q612" s="182">
        <v>0</v>
      </c>
      <c r="R612" s="183" t="s">
        <v>883</v>
      </c>
      <c r="S612" s="174" t="s">
        <v>1434</v>
      </c>
      <c r="T612" s="44">
        <v>1</v>
      </c>
      <c r="U612" s="184">
        <v>72</v>
      </c>
      <c r="V612" s="185">
        <v>8</v>
      </c>
      <c r="W612" s="186" t="s">
        <v>883</v>
      </c>
      <c r="X612" s="187" t="s">
        <v>883</v>
      </c>
      <c r="Y612" s="188">
        <v>0</v>
      </c>
      <c r="Z612" s="188" t="s">
        <v>883</v>
      </c>
      <c r="AA612" s="187" t="s">
        <v>883</v>
      </c>
      <c r="AB612" s="188">
        <v>0</v>
      </c>
      <c r="AC612" s="188"/>
      <c r="AD612" s="189" t="s">
        <v>883</v>
      </c>
      <c r="AE612" s="190" t="s">
        <v>883</v>
      </c>
      <c r="AF612" s="180">
        <v>5674</v>
      </c>
      <c r="AG612" s="183">
        <v>44886</v>
      </c>
      <c r="AH612" s="183">
        <v>40043</v>
      </c>
      <c r="AI612" s="183">
        <v>44854</v>
      </c>
      <c r="AJ612" s="183" t="s">
        <v>883</v>
      </c>
      <c r="AK612" s="174"/>
    </row>
    <row r="613" spans="1:37" x14ac:dyDescent="0.3">
      <c r="A613" s="173">
        <v>112154</v>
      </c>
      <c r="B613" s="174" t="s">
        <v>1676</v>
      </c>
      <c r="C613" s="175" t="s">
        <v>31</v>
      </c>
      <c r="D613" s="176">
        <v>6</v>
      </c>
      <c r="E613" s="174"/>
      <c r="F613" s="174"/>
      <c r="G613" s="174" t="s">
        <v>883</v>
      </c>
      <c r="H613" s="177">
        <v>68</v>
      </c>
      <c r="I613" s="24">
        <v>103003</v>
      </c>
      <c r="J613" s="178">
        <v>6</v>
      </c>
      <c r="K613" s="177">
        <v>437</v>
      </c>
      <c r="L613" s="179">
        <v>1.6256275400430316</v>
      </c>
      <c r="M613" s="180">
        <v>0</v>
      </c>
      <c r="N613" s="178">
        <v>0</v>
      </c>
      <c r="O613" s="181" t="s">
        <v>882</v>
      </c>
      <c r="P613" s="180">
        <v>0</v>
      </c>
      <c r="Q613" s="182">
        <v>0</v>
      </c>
      <c r="R613" s="183" t="s">
        <v>883</v>
      </c>
      <c r="S613" s="174" t="s">
        <v>1677</v>
      </c>
      <c r="T613" s="44">
        <v>1</v>
      </c>
      <c r="U613" s="184">
        <v>55</v>
      </c>
      <c r="V613" s="185">
        <v>37</v>
      </c>
      <c r="W613" s="186">
        <v>2448</v>
      </c>
      <c r="X613" s="187">
        <v>2023</v>
      </c>
      <c r="Y613" s="188">
        <v>600</v>
      </c>
      <c r="Z613" s="188" t="s">
        <v>883</v>
      </c>
      <c r="AA613" s="187" t="s">
        <v>883</v>
      </c>
      <c r="AB613" s="188">
        <v>0</v>
      </c>
      <c r="AC613" s="188"/>
      <c r="AD613" s="189" t="s">
        <v>883</v>
      </c>
      <c r="AE613" s="190" t="s">
        <v>883</v>
      </c>
      <c r="AF613" s="180">
        <v>168</v>
      </c>
      <c r="AG613" s="183">
        <v>44544</v>
      </c>
      <c r="AH613" s="183">
        <v>40045</v>
      </c>
      <c r="AI613" s="183">
        <v>45077</v>
      </c>
      <c r="AJ613" s="183" t="s">
        <v>883</v>
      </c>
      <c r="AK613" s="174"/>
    </row>
    <row r="614" spans="1:37" x14ac:dyDescent="0.3">
      <c r="A614" s="173">
        <v>112155</v>
      </c>
      <c r="B614" s="174" t="s">
        <v>1678</v>
      </c>
      <c r="C614" s="175" t="s">
        <v>31</v>
      </c>
      <c r="D614" s="176">
        <v>10.5</v>
      </c>
      <c r="E614" s="174"/>
      <c r="F614" s="174"/>
      <c r="G614" s="174" t="s">
        <v>883</v>
      </c>
      <c r="H614" s="177">
        <v>22</v>
      </c>
      <c r="I614" s="24">
        <v>103003</v>
      </c>
      <c r="J614" s="178">
        <v>10.5</v>
      </c>
      <c r="K614" s="177">
        <v>238</v>
      </c>
      <c r="L614" s="179">
        <v>1.0643444605708758</v>
      </c>
      <c r="M614" s="180">
        <v>126.04</v>
      </c>
      <c r="N614" s="178">
        <v>1323.42</v>
      </c>
      <c r="O614" s="181" t="s">
        <v>882</v>
      </c>
      <c r="P614" s="180">
        <v>0</v>
      </c>
      <c r="Q614" s="182">
        <v>0</v>
      </c>
      <c r="R614" s="183" t="s">
        <v>883</v>
      </c>
      <c r="S614" s="174" t="s">
        <v>1677</v>
      </c>
      <c r="T614" s="44">
        <v>1</v>
      </c>
      <c r="U614" s="184">
        <v>55</v>
      </c>
      <c r="V614" s="185">
        <v>37</v>
      </c>
      <c r="W614" s="186">
        <v>9003</v>
      </c>
      <c r="X614" s="187">
        <v>2023</v>
      </c>
      <c r="Y614" s="188">
        <v>100</v>
      </c>
      <c r="Z614" s="188" t="s">
        <v>883</v>
      </c>
      <c r="AA614" s="187" t="s">
        <v>883</v>
      </c>
      <c r="AB614" s="188">
        <v>0</v>
      </c>
      <c r="AC614" s="188"/>
      <c r="AD614" s="189" t="s">
        <v>883</v>
      </c>
      <c r="AE614" s="190" t="s">
        <v>883</v>
      </c>
      <c r="AF614" s="180">
        <v>82</v>
      </c>
      <c r="AG614" s="183">
        <v>44951</v>
      </c>
      <c r="AH614" s="183">
        <v>40045</v>
      </c>
      <c r="AI614" s="183">
        <v>45077</v>
      </c>
      <c r="AJ614" s="183" t="s">
        <v>883</v>
      </c>
      <c r="AK614" s="174"/>
    </row>
    <row r="615" spans="1:37" x14ac:dyDescent="0.3">
      <c r="A615" s="173">
        <v>112156</v>
      </c>
      <c r="B615" s="174" t="s">
        <v>1679</v>
      </c>
      <c r="C615" s="175" t="s">
        <v>31</v>
      </c>
      <c r="D615" s="176">
        <v>3.8</v>
      </c>
      <c r="E615" s="174"/>
      <c r="F615" s="174"/>
      <c r="G615" s="174" t="s">
        <v>883</v>
      </c>
      <c r="H615" s="177">
        <v>143</v>
      </c>
      <c r="I615" s="24">
        <v>103003</v>
      </c>
      <c r="J615" s="178">
        <v>3.8</v>
      </c>
      <c r="K615" s="177">
        <v>520</v>
      </c>
      <c r="L615" s="179">
        <v>2.736842105263158</v>
      </c>
      <c r="M615" s="180">
        <v>284</v>
      </c>
      <c r="N615" s="178">
        <v>1079.2</v>
      </c>
      <c r="O615" s="181" t="s">
        <v>882</v>
      </c>
      <c r="P615" s="180">
        <v>0</v>
      </c>
      <c r="Q615" s="182">
        <v>0</v>
      </c>
      <c r="R615" s="183" t="s">
        <v>883</v>
      </c>
      <c r="S615" s="174" t="s">
        <v>1677</v>
      </c>
      <c r="T615" s="44">
        <v>1</v>
      </c>
      <c r="U615" s="184">
        <v>55</v>
      </c>
      <c r="V615" s="185">
        <v>37</v>
      </c>
      <c r="W615" s="186">
        <v>2649</v>
      </c>
      <c r="X615" s="187">
        <v>2023</v>
      </c>
      <c r="Y615" s="188">
        <v>200</v>
      </c>
      <c r="Z615" s="188" t="s">
        <v>883</v>
      </c>
      <c r="AA615" s="187" t="s">
        <v>883</v>
      </c>
      <c r="AB615" s="188">
        <v>0</v>
      </c>
      <c r="AC615" s="188"/>
      <c r="AD615" s="189" t="s">
        <v>883</v>
      </c>
      <c r="AE615" s="190" t="s">
        <v>883</v>
      </c>
      <c r="AF615" s="180">
        <v>210</v>
      </c>
      <c r="AG615" s="183">
        <v>44855</v>
      </c>
      <c r="AH615" s="183">
        <v>40045</v>
      </c>
      <c r="AI615" s="183">
        <v>44845</v>
      </c>
      <c r="AJ615" s="183" t="s">
        <v>883</v>
      </c>
      <c r="AK615" s="174"/>
    </row>
    <row r="616" spans="1:37" x14ac:dyDescent="0.3">
      <c r="A616" s="173">
        <v>112157</v>
      </c>
      <c r="B616" s="174" t="s">
        <v>1680</v>
      </c>
      <c r="C616" s="175" t="s">
        <v>31</v>
      </c>
      <c r="D616" s="176">
        <v>5.69</v>
      </c>
      <c r="E616" s="174"/>
      <c r="F616" s="174"/>
      <c r="G616" s="174" t="s">
        <v>883</v>
      </c>
      <c r="H616" s="177">
        <v>93</v>
      </c>
      <c r="I616" s="24">
        <v>103003</v>
      </c>
      <c r="J616" s="178">
        <v>5.69</v>
      </c>
      <c r="K616" s="177">
        <v>31</v>
      </c>
      <c r="L616" s="179">
        <v>36.046511627906973</v>
      </c>
      <c r="M616" s="180">
        <v>0</v>
      </c>
      <c r="N616" s="178">
        <v>0</v>
      </c>
      <c r="O616" s="181" t="s">
        <v>882</v>
      </c>
      <c r="P616" s="180">
        <v>0</v>
      </c>
      <c r="Q616" s="182">
        <v>0</v>
      </c>
      <c r="R616" s="183" t="s">
        <v>883</v>
      </c>
      <c r="S616" s="174" t="s">
        <v>1677</v>
      </c>
      <c r="T616" s="44">
        <v>1</v>
      </c>
      <c r="U616" s="184">
        <v>55</v>
      </c>
      <c r="V616" s="185">
        <v>37</v>
      </c>
      <c r="W616" s="186" t="s">
        <v>883</v>
      </c>
      <c r="X616" s="187" t="s">
        <v>883</v>
      </c>
      <c r="Y616" s="188">
        <v>0</v>
      </c>
      <c r="Z616" s="188" t="s">
        <v>883</v>
      </c>
      <c r="AA616" s="187" t="s">
        <v>883</v>
      </c>
      <c r="AB616" s="188">
        <v>0</v>
      </c>
      <c r="AC616" s="188"/>
      <c r="AD616" s="189" t="s">
        <v>883</v>
      </c>
      <c r="AE616" s="190" t="s">
        <v>883</v>
      </c>
      <c r="AF616" s="180">
        <v>10</v>
      </c>
      <c r="AG616" s="183">
        <v>44224</v>
      </c>
      <c r="AH616" s="183">
        <v>40045</v>
      </c>
      <c r="AI616" s="183">
        <v>44725</v>
      </c>
      <c r="AJ616" s="183" t="s">
        <v>883</v>
      </c>
      <c r="AK616" s="174"/>
    </row>
    <row r="617" spans="1:37" x14ac:dyDescent="0.3">
      <c r="A617" s="173">
        <v>112158</v>
      </c>
      <c r="B617" s="174" t="s">
        <v>1681</v>
      </c>
      <c r="C617" s="175" t="s">
        <v>31</v>
      </c>
      <c r="D617" s="176">
        <v>9.49</v>
      </c>
      <c r="E617" s="174"/>
      <c r="F617" s="174"/>
      <c r="G617" s="174" t="s">
        <v>883</v>
      </c>
      <c r="H617" s="177">
        <v>248</v>
      </c>
      <c r="I617" s="24">
        <v>103003</v>
      </c>
      <c r="J617" s="178">
        <v>9.49</v>
      </c>
      <c r="K617" s="177">
        <v>122</v>
      </c>
      <c r="L617" s="179">
        <v>18.37037037037037</v>
      </c>
      <c r="M617" s="180">
        <v>0</v>
      </c>
      <c r="N617" s="178">
        <v>0</v>
      </c>
      <c r="O617" s="181" t="s">
        <v>882</v>
      </c>
      <c r="P617" s="180">
        <v>0</v>
      </c>
      <c r="Q617" s="182">
        <v>0</v>
      </c>
      <c r="R617" s="183" t="s">
        <v>883</v>
      </c>
      <c r="S617" s="174" t="s">
        <v>985</v>
      </c>
      <c r="T617" s="44">
        <v>1</v>
      </c>
      <c r="U617" s="184">
        <v>55</v>
      </c>
      <c r="V617" s="185">
        <v>7</v>
      </c>
      <c r="W617" s="186" t="s">
        <v>883</v>
      </c>
      <c r="X617" s="187" t="s">
        <v>883</v>
      </c>
      <c r="Y617" s="188">
        <v>0</v>
      </c>
      <c r="Z617" s="188" t="s">
        <v>883</v>
      </c>
      <c r="AA617" s="187" t="s">
        <v>883</v>
      </c>
      <c r="AB617" s="188">
        <v>0</v>
      </c>
      <c r="AC617" s="188"/>
      <c r="AD617" s="189" t="s">
        <v>883</v>
      </c>
      <c r="AE617" s="190" t="s">
        <v>883</v>
      </c>
      <c r="AF617" s="180">
        <v>54</v>
      </c>
      <c r="AG617" s="183">
        <v>44544</v>
      </c>
      <c r="AH617" s="183">
        <v>40045</v>
      </c>
      <c r="AI617" s="183">
        <v>44516</v>
      </c>
      <c r="AJ617" s="183" t="s">
        <v>883</v>
      </c>
      <c r="AK617" s="174"/>
    </row>
    <row r="618" spans="1:37" x14ac:dyDescent="0.3">
      <c r="A618" s="173">
        <v>112159</v>
      </c>
      <c r="B618" s="174" t="s">
        <v>1682</v>
      </c>
      <c r="C618" s="175" t="s">
        <v>31</v>
      </c>
      <c r="D618" s="176">
        <v>17.48</v>
      </c>
      <c r="E618" s="174"/>
      <c r="F618" s="174"/>
      <c r="G618" s="174" t="s">
        <v>883</v>
      </c>
      <c r="H618" s="177">
        <v>306</v>
      </c>
      <c r="I618" s="24">
        <v>103003</v>
      </c>
      <c r="J618" s="178">
        <v>17.48</v>
      </c>
      <c r="K618" s="177">
        <v>52</v>
      </c>
      <c r="L618" s="179">
        <v>70.669745958429559</v>
      </c>
      <c r="M618" s="180">
        <v>0</v>
      </c>
      <c r="N618" s="178">
        <v>0</v>
      </c>
      <c r="O618" s="181" t="s">
        <v>882</v>
      </c>
      <c r="P618" s="180">
        <v>0</v>
      </c>
      <c r="Q618" s="182">
        <v>0</v>
      </c>
      <c r="R618" s="183" t="s">
        <v>883</v>
      </c>
      <c r="S618" s="174" t="s">
        <v>985</v>
      </c>
      <c r="T618" s="44">
        <v>1</v>
      </c>
      <c r="U618" s="184">
        <v>55</v>
      </c>
      <c r="V618" s="185">
        <v>7</v>
      </c>
      <c r="W618" s="186" t="s">
        <v>883</v>
      </c>
      <c r="X618" s="187" t="s">
        <v>883</v>
      </c>
      <c r="Y618" s="188">
        <v>0</v>
      </c>
      <c r="Z618" s="188" t="s">
        <v>883</v>
      </c>
      <c r="AA618" s="187" t="s">
        <v>883</v>
      </c>
      <c r="AB618" s="188">
        <v>0</v>
      </c>
      <c r="AC618" s="188"/>
      <c r="AD618" s="189" t="s">
        <v>883</v>
      </c>
      <c r="AE618" s="190" t="s">
        <v>883</v>
      </c>
      <c r="AF618" s="180">
        <v>18</v>
      </c>
      <c r="AG618" s="183">
        <v>44544</v>
      </c>
      <c r="AH618" s="183">
        <v>40045</v>
      </c>
      <c r="AI618" s="183">
        <v>44516</v>
      </c>
      <c r="AJ618" s="183" t="s">
        <v>883</v>
      </c>
      <c r="AK618" s="174"/>
    </row>
    <row r="619" spans="1:37" x14ac:dyDescent="0.3">
      <c r="A619" s="173">
        <v>112162</v>
      </c>
      <c r="B619" s="174" t="s">
        <v>1683</v>
      </c>
      <c r="C619" s="175" t="s">
        <v>31</v>
      </c>
      <c r="D619" s="176">
        <v>4.4000000000000004</v>
      </c>
      <c r="E619" s="174"/>
      <c r="F619" s="174"/>
      <c r="G619" s="174" t="s">
        <v>883</v>
      </c>
      <c r="H619" s="177">
        <v>213</v>
      </c>
      <c r="I619" s="24">
        <v>103003</v>
      </c>
      <c r="J619" s="178">
        <v>4.4000000000000004</v>
      </c>
      <c r="K619" s="177">
        <v>118</v>
      </c>
      <c r="L619" s="179">
        <v>21.668362156663278</v>
      </c>
      <c r="M619" s="180">
        <v>0</v>
      </c>
      <c r="N619" s="178">
        <v>0</v>
      </c>
      <c r="O619" s="181" t="s">
        <v>882</v>
      </c>
      <c r="P619" s="180">
        <v>0</v>
      </c>
      <c r="Q619" s="182">
        <v>0</v>
      </c>
      <c r="R619" s="183" t="s">
        <v>883</v>
      </c>
      <c r="S619" s="174" t="s">
        <v>985</v>
      </c>
      <c r="T619" s="44">
        <v>1</v>
      </c>
      <c r="U619" s="184">
        <v>55</v>
      </c>
      <c r="V619" s="185">
        <v>7</v>
      </c>
      <c r="W619" s="186">
        <v>2442</v>
      </c>
      <c r="X619" s="187">
        <v>2023</v>
      </c>
      <c r="Y619" s="188">
        <v>100</v>
      </c>
      <c r="Z619" s="188" t="s">
        <v>883</v>
      </c>
      <c r="AA619" s="187" t="s">
        <v>883</v>
      </c>
      <c r="AB619" s="188">
        <v>0</v>
      </c>
      <c r="AC619" s="188"/>
      <c r="AD619" s="189" t="s">
        <v>883</v>
      </c>
      <c r="AE619" s="190" t="s">
        <v>883</v>
      </c>
      <c r="AF619" s="180">
        <v>40</v>
      </c>
      <c r="AG619" s="183">
        <v>44638</v>
      </c>
      <c r="AH619" s="183">
        <v>40045</v>
      </c>
      <c r="AI619" s="183">
        <v>44616</v>
      </c>
      <c r="AJ619" s="183" t="s">
        <v>883</v>
      </c>
      <c r="AK619" s="174"/>
    </row>
    <row r="620" spans="1:37" x14ac:dyDescent="0.3">
      <c r="A620" s="173">
        <v>112163</v>
      </c>
      <c r="B620" s="174" t="s">
        <v>1684</v>
      </c>
      <c r="C620" s="175" t="s">
        <v>31</v>
      </c>
      <c r="D620" s="176">
        <v>5.5</v>
      </c>
      <c r="E620" s="174"/>
      <c r="F620" s="174"/>
      <c r="G620" s="174" t="s">
        <v>883</v>
      </c>
      <c r="H620" s="177">
        <v>209</v>
      </c>
      <c r="I620" s="24">
        <v>103003</v>
      </c>
      <c r="J620" s="178">
        <v>5.5</v>
      </c>
      <c r="K620" s="177">
        <v>665</v>
      </c>
      <c r="L620" s="179">
        <v>2.8661546900713111</v>
      </c>
      <c r="M620" s="180">
        <v>0</v>
      </c>
      <c r="N620" s="178">
        <v>0</v>
      </c>
      <c r="O620" s="181" t="s">
        <v>882</v>
      </c>
      <c r="P620" s="180">
        <v>0</v>
      </c>
      <c r="Q620" s="182">
        <v>0</v>
      </c>
      <c r="R620" s="183" t="s">
        <v>883</v>
      </c>
      <c r="S620" s="174" t="s">
        <v>985</v>
      </c>
      <c r="T620" s="44">
        <v>1</v>
      </c>
      <c r="U620" s="184">
        <v>55</v>
      </c>
      <c r="V620" s="185">
        <v>7</v>
      </c>
      <c r="W620" s="186">
        <v>2547</v>
      </c>
      <c r="X620" s="187">
        <v>2023</v>
      </c>
      <c r="Y620" s="188">
        <v>1000</v>
      </c>
      <c r="Z620" s="188" t="s">
        <v>883</v>
      </c>
      <c r="AA620" s="187" t="s">
        <v>883</v>
      </c>
      <c r="AB620" s="188">
        <v>0</v>
      </c>
      <c r="AC620" s="188"/>
      <c r="AD620" s="189" t="s">
        <v>883</v>
      </c>
      <c r="AE620" s="190" t="s">
        <v>883</v>
      </c>
      <c r="AF620" s="180">
        <v>292</v>
      </c>
      <c r="AG620" s="183">
        <v>44638</v>
      </c>
      <c r="AH620" s="183">
        <v>40045</v>
      </c>
      <c r="AI620" s="183">
        <v>45077</v>
      </c>
      <c r="AJ620" s="183" t="s">
        <v>883</v>
      </c>
      <c r="AK620" s="174"/>
    </row>
    <row r="621" spans="1:37" x14ac:dyDescent="0.3">
      <c r="A621" s="173">
        <v>112494</v>
      </c>
      <c r="B621" s="174" t="s">
        <v>1685</v>
      </c>
      <c r="C621" s="175" t="s">
        <v>31</v>
      </c>
      <c r="D621" s="176">
        <v>4.8</v>
      </c>
      <c r="E621" s="174"/>
      <c r="F621" s="174"/>
      <c r="G621" s="174" t="s">
        <v>883</v>
      </c>
      <c r="H621" s="177">
        <v>376</v>
      </c>
      <c r="I621" s="24">
        <v>103003</v>
      </c>
      <c r="J621" s="178">
        <v>4.8</v>
      </c>
      <c r="K621" s="177">
        <v>62</v>
      </c>
      <c r="L621" s="179">
        <v>72.727272727272734</v>
      </c>
      <c r="M621" s="180">
        <v>0</v>
      </c>
      <c r="N621" s="178">
        <v>0</v>
      </c>
      <c r="O621" s="181" t="s">
        <v>882</v>
      </c>
      <c r="P621" s="180">
        <v>0</v>
      </c>
      <c r="Q621" s="182">
        <v>0</v>
      </c>
      <c r="R621" s="183" t="s">
        <v>883</v>
      </c>
      <c r="S621" s="174" t="s">
        <v>1100</v>
      </c>
      <c r="T621" s="44">
        <v>1</v>
      </c>
      <c r="U621" s="184">
        <v>55</v>
      </c>
      <c r="V621" s="185">
        <v>35</v>
      </c>
      <c r="W621" s="186" t="s">
        <v>883</v>
      </c>
      <c r="X621" s="187" t="s">
        <v>883</v>
      </c>
      <c r="Y621" s="188">
        <v>0</v>
      </c>
      <c r="Z621" s="188" t="s">
        <v>883</v>
      </c>
      <c r="AA621" s="187" t="s">
        <v>883</v>
      </c>
      <c r="AB621" s="188">
        <v>0</v>
      </c>
      <c r="AC621" s="188"/>
      <c r="AD621" s="189" t="s">
        <v>883</v>
      </c>
      <c r="AE621" s="190" t="s">
        <v>883</v>
      </c>
      <c r="AF621" s="180">
        <v>20</v>
      </c>
      <c r="AG621" s="183">
        <v>44536</v>
      </c>
      <c r="AH621" s="183">
        <v>40064</v>
      </c>
      <c r="AI621" s="183">
        <v>44516</v>
      </c>
      <c r="AJ621" s="183" t="s">
        <v>883</v>
      </c>
      <c r="AK621" s="174"/>
    </row>
    <row r="622" spans="1:37" x14ac:dyDescent="0.3">
      <c r="A622" s="173">
        <v>113238</v>
      </c>
      <c r="B622" s="174" t="s">
        <v>1686</v>
      </c>
      <c r="C622" s="175" t="s">
        <v>1595</v>
      </c>
      <c r="D622" s="176">
        <v>1166.6600000000001</v>
      </c>
      <c r="E622" s="174"/>
      <c r="F622" s="174"/>
      <c r="G622" s="174" t="s">
        <v>883</v>
      </c>
      <c r="H622" s="177">
        <v>49</v>
      </c>
      <c r="I622" s="24">
        <v>103003</v>
      </c>
      <c r="J622" s="178">
        <v>1166.6600000000001</v>
      </c>
      <c r="K622" s="177">
        <v>12</v>
      </c>
      <c r="L622" s="179">
        <v>45.370370370370367</v>
      </c>
      <c r="M622" s="180">
        <v>0</v>
      </c>
      <c r="N622" s="178">
        <v>0</v>
      </c>
      <c r="O622" s="181" t="s">
        <v>882</v>
      </c>
      <c r="P622" s="180">
        <v>0</v>
      </c>
      <c r="Q622" s="182">
        <v>0</v>
      </c>
      <c r="R622" s="183" t="s">
        <v>883</v>
      </c>
      <c r="S622" s="174" t="s">
        <v>1073</v>
      </c>
      <c r="T622" s="44">
        <v>1</v>
      </c>
      <c r="U622" s="184">
        <v>55</v>
      </c>
      <c r="V622" s="185">
        <v>27</v>
      </c>
      <c r="W622" s="186" t="s">
        <v>883</v>
      </c>
      <c r="X622" s="187" t="s">
        <v>883</v>
      </c>
      <c r="Y622" s="188">
        <v>0</v>
      </c>
      <c r="Z622" s="188" t="s">
        <v>883</v>
      </c>
      <c r="AA622" s="187" t="s">
        <v>883</v>
      </c>
      <c r="AB622" s="188">
        <v>0</v>
      </c>
      <c r="AC622" s="188"/>
      <c r="AD622" s="189" t="s">
        <v>883</v>
      </c>
      <c r="AE622" s="190" t="s">
        <v>883</v>
      </c>
      <c r="AF622" s="180">
        <v>4</v>
      </c>
      <c r="AG622" s="183">
        <v>44536</v>
      </c>
      <c r="AH622" s="183">
        <v>40113</v>
      </c>
      <c r="AI622" s="183">
        <v>44516</v>
      </c>
      <c r="AJ622" s="183" t="s">
        <v>883</v>
      </c>
      <c r="AK622" s="174"/>
    </row>
    <row r="623" spans="1:37" x14ac:dyDescent="0.3">
      <c r="A623" s="173">
        <v>113242</v>
      </c>
      <c r="B623" s="174" t="s">
        <v>1687</v>
      </c>
      <c r="C623" s="175" t="s">
        <v>31</v>
      </c>
      <c r="D623" s="176">
        <v>6.25</v>
      </c>
      <c r="E623" s="174"/>
      <c r="F623" s="174"/>
      <c r="G623" s="174" t="s">
        <v>883</v>
      </c>
      <c r="H623" s="177">
        <v>100</v>
      </c>
      <c r="I623" s="24">
        <v>103003</v>
      </c>
      <c r="J623" s="178">
        <v>6.25</v>
      </c>
      <c r="K623" s="177">
        <v>67</v>
      </c>
      <c r="L623" s="179">
        <v>17.921146953405017</v>
      </c>
      <c r="M623" s="180">
        <v>0</v>
      </c>
      <c r="N623" s="178">
        <v>0</v>
      </c>
      <c r="O623" s="181" t="s">
        <v>882</v>
      </c>
      <c r="P623" s="180">
        <v>0</v>
      </c>
      <c r="Q623" s="182">
        <v>0</v>
      </c>
      <c r="R623" s="183" t="s">
        <v>883</v>
      </c>
      <c r="S623" s="174" t="s">
        <v>1100</v>
      </c>
      <c r="T623" s="44">
        <v>1</v>
      </c>
      <c r="U623" s="184">
        <v>55</v>
      </c>
      <c r="V623" s="185">
        <v>35</v>
      </c>
      <c r="W623" s="186">
        <v>2956</v>
      </c>
      <c r="X623" s="187">
        <v>2023</v>
      </c>
      <c r="Y623" s="188">
        <v>50</v>
      </c>
      <c r="Z623" s="188" t="s">
        <v>883</v>
      </c>
      <c r="AA623" s="187" t="s">
        <v>883</v>
      </c>
      <c r="AB623" s="188">
        <v>0</v>
      </c>
      <c r="AC623" s="188"/>
      <c r="AD623" s="189" t="s">
        <v>883</v>
      </c>
      <c r="AE623" s="190" t="s">
        <v>883</v>
      </c>
      <c r="AF623" s="180">
        <v>22</v>
      </c>
      <c r="AG623" s="183">
        <v>44530</v>
      </c>
      <c r="AH623" s="183">
        <v>40113</v>
      </c>
      <c r="AI623" s="183">
        <v>44393</v>
      </c>
      <c r="AJ623" s="183" t="s">
        <v>883</v>
      </c>
      <c r="AK623" s="174"/>
    </row>
    <row r="624" spans="1:37" x14ac:dyDescent="0.3">
      <c r="A624" s="173">
        <v>113581</v>
      </c>
      <c r="B624" s="174" t="s">
        <v>1688</v>
      </c>
      <c r="C624" s="175" t="s">
        <v>256</v>
      </c>
      <c r="D624" s="176">
        <v>5</v>
      </c>
      <c r="E624" s="174"/>
      <c r="F624" s="174"/>
      <c r="G624" s="174" t="s">
        <v>883</v>
      </c>
      <c r="H624" s="177">
        <v>309</v>
      </c>
      <c r="I624" s="24">
        <v>103003</v>
      </c>
      <c r="J624" s="178">
        <v>5</v>
      </c>
      <c r="K624" s="177">
        <v>314</v>
      </c>
      <c r="L624" s="179">
        <v>8.8920863309352516</v>
      </c>
      <c r="M624" s="180">
        <v>0</v>
      </c>
      <c r="N624" s="178">
        <v>0</v>
      </c>
      <c r="O624" s="181" t="s">
        <v>882</v>
      </c>
      <c r="P624" s="180">
        <v>0</v>
      </c>
      <c r="Q624" s="182">
        <v>0</v>
      </c>
      <c r="R624" s="183" t="s">
        <v>883</v>
      </c>
      <c r="S624" s="174" t="s">
        <v>1009</v>
      </c>
      <c r="T624" s="44">
        <v>1</v>
      </c>
      <c r="U624" s="184">
        <v>61</v>
      </c>
      <c r="V624" s="185">
        <v>15</v>
      </c>
      <c r="W624" s="186">
        <v>2590</v>
      </c>
      <c r="X624" s="187">
        <v>2023</v>
      </c>
      <c r="Y624" s="188">
        <v>600</v>
      </c>
      <c r="Z624" s="188" t="s">
        <v>883</v>
      </c>
      <c r="AA624" s="187" t="s">
        <v>883</v>
      </c>
      <c r="AB624" s="188">
        <v>0</v>
      </c>
      <c r="AC624" s="188"/>
      <c r="AD624" s="189" t="s">
        <v>883</v>
      </c>
      <c r="AE624" s="190" t="s">
        <v>883</v>
      </c>
      <c r="AF624" s="180">
        <v>140</v>
      </c>
      <c r="AG624" s="183">
        <v>44956</v>
      </c>
      <c r="AH624" s="183">
        <v>40143</v>
      </c>
      <c r="AI624" s="183">
        <v>44942</v>
      </c>
      <c r="AJ624" s="183" t="s">
        <v>883</v>
      </c>
      <c r="AK624" s="174"/>
    </row>
    <row r="625" spans="1:37" x14ac:dyDescent="0.3">
      <c r="A625" s="173">
        <v>113634</v>
      </c>
      <c r="B625" s="174" t="s">
        <v>1689</v>
      </c>
      <c r="C625" s="175" t="s">
        <v>31</v>
      </c>
      <c r="D625" s="176">
        <v>15.25</v>
      </c>
      <c r="E625" s="174"/>
      <c r="F625" s="174"/>
      <c r="G625" s="174" t="s">
        <v>883</v>
      </c>
      <c r="H625" s="177">
        <v>63</v>
      </c>
      <c r="I625" s="24">
        <v>103003</v>
      </c>
      <c r="J625" s="178">
        <v>15.25</v>
      </c>
      <c r="K625" s="177">
        <v>4</v>
      </c>
      <c r="L625" s="179">
        <v>190.90909090909091</v>
      </c>
      <c r="M625" s="180">
        <v>0</v>
      </c>
      <c r="N625" s="178">
        <v>0</v>
      </c>
      <c r="O625" s="181" t="s">
        <v>882</v>
      </c>
      <c r="P625" s="180">
        <v>0</v>
      </c>
      <c r="Q625" s="182">
        <v>0</v>
      </c>
      <c r="R625" s="183" t="s">
        <v>883</v>
      </c>
      <c r="S625" s="174" t="s">
        <v>983</v>
      </c>
      <c r="T625" s="44">
        <v>1</v>
      </c>
      <c r="U625" s="184">
        <v>55</v>
      </c>
      <c r="V625" s="185">
        <v>31</v>
      </c>
      <c r="W625" s="186" t="s">
        <v>883</v>
      </c>
      <c r="X625" s="187" t="s">
        <v>883</v>
      </c>
      <c r="Y625" s="188">
        <v>0</v>
      </c>
      <c r="Z625" s="188" t="s">
        <v>883</v>
      </c>
      <c r="AA625" s="187" t="s">
        <v>883</v>
      </c>
      <c r="AB625" s="188">
        <v>0</v>
      </c>
      <c r="AC625" s="188"/>
      <c r="AD625" s="189" t="s">
        <v>883</v>
      </c>
      <c r="AE625" s="190" t="s">
        <v>883</v>
      </c>
      <c r="AF625" s="180">
        <v>2</v>
      </c>
      <c r="AG625" s="183">
        <v>43916</v>
      </c>
      <c r="AH625" s="183">
        <v>40150</v>
      </c>
      <c r="AI625" s="183">
        <v>43865</v>
      </c>
      <c r="AJ625" s="183" t="s">
        <v>883</v>
      </c>
      <c r="AK625" s="174"/>
    </row>
    <row r="626" spans="1:37" x14ac:dyDescent="0.3">
      <c r="A626" s="173">
        <v>113846</v>
      </c>
      <c r="B626" s="174" t="s">
        <v>1690</v>
      </c>
      <c r="C626" s="175" t="s">
        <v>411</v>
      </c>
      <c r="D626" s="176">
        <v>2</v>
      </c>
      <c r="E626" s="174"/>
      <c r="F626" s="174"/>
      <c r="G626" s="174" t="s">
        <v>883</v>
      </c>
      <c r="H626" s="177">
        <v>1255</v>
      </c>
      <c r="I626" s="24">
        <v>103003</v>
      </c>
      <c r="J626" s="178">
        <v>2.0726200000000001</v>
      </c>
      <c r="K626" s="177">
        <v>729</v>
      </c>
      <c r="L626" s="179">
        <v>17.510813450537182</v>
      </c>
      <c r="M626" s="180">
        <v>0</v>
      </c>
      <c r="N626" s="178">
        <v>0</v>
      </c>
      <c r="O626" s="181" t="s">
        <v>882</v>
      </c>
      <c r="P626" s="180">
        <v>0</v>
      </c>
      <c r="Q626" s="182">
        <v>0</v>
      </c>
      <c r="R626" s="183" t="s">
        <v>883</v>
      </c>
      <c r="S626" s="174" t="s">
        <v>1305</v>
      </c>
      <c r="T626" s="44">
        <v>1</v>
      </c>
      <c r="U626" s="184">
        <v>51</v>
      </c>
      <c r="V626" s="185">
        <v>19</v>
      </c>
      <c r="W626" s="186">
        <v>8972</v>
      </c>
      <c r="X626" s="187">
        <v>2023</v>
      </c>
      <c r="Y626" s="188">
        <v>1500</v>
      </c>
      <c r="Z626" s="188" t="s">
        <v>883</v>
      </c>
      <c r="AA626" s="187" t="s">
        <v>883</v>
      </c>
      <c r="AB626" s="188">
        <v>0</v>
      </c>
      <c r="AC626" s="188"/>
      <c r="AD626" s="189" t="s">
        <v>883</v>
      </c>
      <c r="AE626" s="190" t="s">
        <v>883</v>
      </c>
      <c r="AF626" s="180">
        <v>286</v>
      </c>
      <c r="AG626" s="183">
        <v>44532</v>
      </c>
      <c r="AH626" s="183">
        <v>40198</v>
      </c>
      <c r="AI626" s="183">
        <v>44508</v>
      </c>
      <c r="AJ626" s="183" t="s">
        <v>883</v>
      </c>
      <c r="AK626" s="174"/>
    </row>
    <row r="627" spans="1:37" x14ac:dyDescent="0.3">
      <c r="A627" s="173">
        <v>114297</v>
      </c>
      <c r="B627" s="174" t="s">
        <v>1691</v>
      </c>
      <c r="C627" s="175" t="s">
        <v>256</v>
      </c>
      <c r="D627" s="176">
        <v>2.06</v>
      </c>
      <c r="E627" s="174"/>
      <c r="F627" s="174"/>
      <c r="G627" s="174" t="s">
        <v>883</v>
      </c>
      <c r="H627" s="177">
        <v>4224</v>
      </c>
      <c r="I627" s="24">
        <v>103003</v>
      </c>
      <c r="J627" s="178">
        <v>2.06</v>
      </c>
      <c r="K627" s="177">
        <v>53</v>
      </c>
      <c r="L627" s="179">
        <v>955.65610859728497</v>
      </c>
      <c r="M627" s="180">
        <v>0</v>
      </c>
      <c r="N627" s="178">
        <v>0</v>
      </c>
      <c r="O627" s="181" t="s">
        <v>882</v>
      </c>
      <c r="P627" s="180">
        <v>0</v>
      </c>
      <c r="Q627" s="182">
        <v>0</v>
      </c>
      <c r="R627" s="183" t="s">
        <v>883</v>
      </c>
      <c r="S627" s="174" t="s">
        <v>1273</v>
      </c>
      <c r="T627" s="44">
        <v>1</v>
      </c>
      <c r="U627" s="184">
        <v>51</v>
      </c>
      <c r="V627" s="185">
        <v>17</v>
      </c>
      <c r="W627" s="186" t="s">
        <v>883</v>
      </c>
      <c r="X627" s="187" t="s">
        <v>883</v>
      </c>
      <c r="Y627" s="188">
        <v>0</v>
      </c>
      <c r="Z627" s="188" t="s">
        <v>883</v>
      </c>
      <c r="AA627" s="187" t="s">
        <v>883</v>
      </c>
      <c r="AB627" s="188">
        <v>0</v>
      </c>
      <c r="AC627" s="188"/>
      <c r="AD627" s="189" t="s">
        <v>883</v>
      </c>
      <c r="AE627" s="190" t="s">
        <v>883</v>
      </c>
      <c r="AF627" s="180">
        <v>18</v>
      </c>
      <c r="AG627" s="183">
        <v>42552</v>
      </c>
      <c r="AH627" s="183">
        <v>40240</v>
      </c>
      <c r="AI627" s="183">
        <v>42543</v>
      </c>
      <c r="AJ627" s="183" t="s">
        <v>883</v>
      </c>
      <c r="AK627" s="174"/>
    </row>
    <row r="628" spans="1:37" x14ac:dyDescent="0.3">
      <c r="A628" s="173">
        <v>114299</v>
      </c>
      <c r="B628" s="174" t="s">
        <v>1692</v>
      </c>
      <c r="C628" s="175" t="s">
        <v>256</v>
      </c>
      <c r="D628" s="176">
        <v>16.850000000000001</v>
      </c>
      <c r="E628" s="174"/>
      <c r="F628" s="174"/>
      <c r="G628" s="174" t="s">
        <v>883</v>
      </c>
      <c r="H628" s="177">
        <v>174</v>
      </c>
      <c r="I628" s="24">
        <v>103003</v>
      </c>
      <c r="J628" s="178">
        <v>16.850000000000001</v>
      </c>
      <c r="K628" s="177"/>
      <c r="L628" s="179">
        <v>0</v>
      </c>
      <c r="M628" s="180">
        <v>0</v>
      </c>
      <c r="N628" s="178">
        <v>0</v>
      </c>
      <c r="O628" s="181" t="s">
        <v>882</v>
      </c>
      <c r="P628" s="180">
        <v>0</v>
      </c>
      <c r="Q628" s="182">
        <v>0</v>
      </c>
      <c r="R628" s="183" t="s">
        <v>883</v>
      </c>
      <c r="S628" s="174" t="s">
        <v>1273</v>
      </c>
      <c r="T628" s="44">
        <v>1</v>
      </c>
      <c r="U628" s="184">
        <v>51</v>
      </c>
      <c r="V628" s="185">
        <v>17</v>
      </c>
      <c r="W628" s="186" t="s">
        <v>883</v>
      </c>
      <c r="X628" s="187" t="s">
        <v>883</v>
      </c>
      <c r="Y628" s="188">
        <v>0</v>
      </c>
      <c r="Z628" s="188" t="s">
        <v>883</v>
      </c>
      <c r="AA628" s="187" t="s">
        <v>883</v>
      </c>
      <c r="AB628" s="188">
        <v>0</v>
      </c>
      <c r="AC628" s="188"/>
      <c r="AD628" s="189" t="s">
        <v>883</v>
      </c>
      <c r="AE628" s="190" t="s">
        <v>883</v>
      </c>
      <c r="AF628" s="180">
        <v>0</v>
      </c>
      <c r="AG628" s="183">
        <v>43070</v>
      </c>
      <c r="AH628" s="183">
        <v>40240</v>
      </c>
      <c r="AI628" s="183">
        <v>42996</v>
      </c>
      <c r="AJ628" s="183" t="s">
        <v>883</v>
      </c>
      <c r="AK628" s="174"/>
    </row>
    <row r="629" spans="1:37" x14ac:dyDescent="0.3">
      <c r="A629" s="173">
        <v>114430</v>
      </c>
      <c r="B629" s="174" t="s">
        <v>1693</v>
      </c>
      <c r="C629" s="175" t="s">
        <v>31</v>
      </c>
      <c r="D629" s="176">
        <v>13.47</v>
      </c>
      <c r="E629" s="174"/>
      <c r="F629" s="174"/>
      <c r="G629" s="174" t="s">
        <v>883</v>
      </c>
      <c r="H629" s="177">
        <v>25</v>
      </c>
      <c r="I629" s="24">
        <v>103003</v>
      </c>
      <c r="J629" s="178">
        <v>13.47</v>
      </c>
      <c r="K629" s="177">
        <v>259</v>
      </c>
      <c r="L629" s="179">
        <v>0.81512879034887509</v>
      </c>
      <c r="M629" s="180">
        <v>143.04</v>
      </c>
      <c r="N629" s="178">
        <v>1926.7488000000001</v>
      </c>
      <c r="O629" s="181" t="s">
        <v>882</v>
      </c>
      <c r="P629" s="180">
        <v>0</v>
      </c>
      <c r="Q629" s="182">
        <v>0</v>
      </c>
      <c r="R629" s="183" t="s">
        <v>883</v>
      </c>
      <c r="S629" s="174" t="s">
        <v>1694</v>
      </c>
      <c r="T629" s="44">
        <v>1</v>
      </c>
      <c r="U629" s="184">
        <v>62</v>
      </c>
      <c r="V629" s="185">
        <v>25</v>
      </c>
      <c r="W629" s="186">
        <v>2832</v>
      </c>
      <c r="X629" s="187">
        <v>2023</v>
      </c>
      <c r="Y629" s="188">
        <v>200</v>
      </c>
      <c r="Z629" s="188" t="s">
        <v>883</v>
      </c>
      <c r="AA629" s="187" t="s">
        <v>883</v>
      </c>
      <c r="AB629" s="188">
        <v>0</v>
      </c>
      <c r="AC629" s="188"/>
      <c r="AD629" s="189" t="s">
        <v>883</v>
      </c>
      <c r="AE629" s="190" t="s">
        <v>883</v>
      </c>
      <c r="AF629" s="180">
        <v>122</v>
      </c>
      <c r="AG629" s="183">
        <v>44844</v>
      </c>
      <c r="AH629" s="183">
        <v>40249</v>
      </c>
      <c r="AI629" s="183">
        <v>44834</v>
      </c>
      <c r="AJ629" s="183" t="s">
        <v>883</v>
      </c>
      <c r="AK629" s="174"/>
    </row>
    <row r="630" spans="1:37" x14ac:dyDescent="0.3">
      <c r="A630" s="173">
        <v>114771</v>
      </c>
      <c r="B630" s="174" t="s">
        <v>1695</v>
      </c>
      <c r="C630" s="175" t="s">
        <v>256</v>
      </c>
      <c r="D630" s="176">
        <v>40.35</v>
      </c>
      <c r="E630" s="174"/>
      <c r="F630" s="174"/>
      <c r="G630" s="174" t="s">
        <v>883</v>
      </c>
      <c r="H630" s="177">
        <v>105</v>
      </c>
      <c r="I630" s="24">
        <v>103003</v>
      </c>
      <c r="J630" s="178">
        <v>40.35</v>
      </c>
      <c r="K630" s="177"/>
      <c r="L630" s="179">
        <v>0</v>
      </c>
      <c r="M630" s="180">
        <v>0</v>
      </c>
      <c r="N630" s="178">
        <v>0</v>
      </c>
      <c r="O630" s="181" t="s">
        <v>882</v>
      </c>
      <c r="P630" s="180">
        <v>0</v>
      </c>
      <c r="Q630" s="182">
        <v>0</v>
      </c>
      <c r="R630" s="183" t="s">
        <v>883</v>
      </c>
      <c r="S630" s="174" t="s">
        <v>983</v>
      </c>
      <c r="T630" s="44">
        <v>1</v>
      </c>
      <c r="U630" s="184">
        <v>55</v>
      </c>
      <c r="V630" s="185">
        <v>31</v>
      </c>
      <c r="W630" s="186" t="s">
        <v>883</v>
      </c>
      <c r="X630" s="187" t="s">
        <v>883</v>
      </c>
      <c r="Y630" s="188">
        <v>0</v>
      </c>
      <c r="Z630" s="188" t="s">
        <v>883</v>
      </c>
      <c r="AA630" s="187" t="s">
        <v>883</v>
      </c>
      <c r="AB630" s="188">
        <v>0</v>
      </c>
      <c r="AC630" s="188"/>
      <c r="AD630" s="189" t="s">
        <v>883</v>
      </c>
      <c r="AE630" s="190" t="s">
        <v>883</v>
      </c>
      <c r="AF630" s="180">
        <v>0</v>
      </c>
      <c r="AG630" s="183">
        <v>40581</v>
      </c>
      <c r="AH630" s="183">
        <v>40275</v>
      </c>
      <c r="AI630" s="183">
        <v>40527</v>
      </c>
      <c r="AJ630" s="183" t="s">
        <v>883</v>
      </c>
      <c r="AK630" s="174"/>
    </row>
    <row r="631" spans="1:37" x14ac:dyDescent="0.3">
      <c r="A631" s="173">
        <v>114772</v>
      </c>
      <c r="B631" s="174" t="s">
        <v>1696</v>
      </c>
      <c r="C631" s="175" t="s">
        <v>256</v>
      </c>
      <c r="D631" s="176">
        <v>51.4</v>
      </c>
      <c r="E631" s="174"/>
      <c r="F631" s="174"/>
      <c r="G631" s="174" t="s">
        <v>883</v>
      </c>
      <c r="H631" s="177">
        <v>35</v>
      </c>
      <c r="I631" s="24">
        <v>103003</v>
      </c>
      <c r="J631" s="178">
        <v>51.4</v>
      </c>
      <c r="K631" s="177"/>
      <c r="L631" s="179">
        <v>0</v>
      </c>
      <c r="M631" s="180">
        <v>0</v>
      </c>
      <c r="N631" s="178">
        <v>0</v>
      </c>
      <c r="O631" s="181" t="s">
        <v>882</v>
      </c>
      <c r="P631" s="180">
        <v>0</v>
      </c>
      <c r="Q631" s="182">
        <v>0</v>
      </c>
      <c r="R631" s="183" t="s">
        <v>883</v>
      </c>
      <c r="S631" s="174" t="s">
        <v>983</v>
      </c>
      <c r="T631" s="44">
        <v>1</v>
      </c>
      <c r="U631" s="184">
        <v>55</v>
      </c>
      <c r="V631" s="185">
        <v>31</v>
      </c>
      <c r="W631" s="186" t="s">
        <v>883</v>
      </c>
      <c r="X631" s="187" t="s">
        <v>883</v>
      </c>
      <c r="Y631" s="188">
        <v>0</v>
      </c>
      <c r="Z631" s="188" t="s">
        <v>883</v>
      </c>
      <c r="AA631" s="187" t="s">
        <v>883</v>
      </c>
      <c r="AB631" s="188">
        <v>0</v>
      </c>
      <c r="AC631" s="188"/>
      <c r="AD631" s="189" t="s">
        <v>883</v>
      </c>
      <c r="AE631" s="190" t="s">
        <v>883</v>
      </c>
      <c r="AF631" s="180">
        <v>0</v>
      </c>
      <c r="AG631" s="183">
        <v>40403</v>
      </c>
      <c r="AH631" s="183">
        <v>40275</v>
      </c>
      <c r="AI631" s="183">
        <v>40337</v>
      </c>
      <c r="AJ631" s="183" t="s">
        <v>883</v>
      </c>
      <c r="AK631" s="174"/>
    </row>
    <row r="632" spans="1:37" x14ac:dyDescent="0.3">
      <c r="A632" s="173">
        <v>114773</v>
      </c>
      <c r="B632" s="174" t="s">
        <v>1697</v>
      </c>
      <c r="C632" s="175" t="s">
        <v>256</v>
      </c>
      <c r="D632" s="176">
        <v>151.62</v>
      </c>
      <c r="E632" s="174"/>
      <c r="F632" s="174"/>
      <c r="G632" s="174" t="s">
        <v>883</v>
      </c>
      <c r="H632" s="177">
        <v>17</v>
      </c>
      <c r="I632" s="24">
        <v>103003</v>
      </c>
      <c r="J632" s="178">
        <v>151.62</v>
      </c>
      <c r="K632" s="177">
        <v>7</v>
      </c>
      <c r="L632" s="179">
        <v>29.310344827586206</v>
      </c>
      <c r="M632" s="180">
        <v>0</v>
      </c>
      <c r="N632" s="178">
        <v>0</v>
      </c>
      <c r="O632" s="181" t="s">
        <v>882</v>
      </c>
      <c r="P632" s="180">
        <v>0</v>
      </c>
      <c r="Q632" s="182">
        <v>0</v>
      </c>
      <c r="R632" s="183" t="s">
        <v>883</v>
      </c>
      <c r="S632" s="174" t="s">
        <v>1648</v>
      </c>
      <c r="T632" s="44">
        <v>1</v>
      </c>
      <c r="U632" s="184">
        <v>55</v>
      </c>
      <c r="V632" s="185">
        <v>30</v>
      </c>
      <c r="W632" s="186">
        <v>2956</v>
      </c>
      <c r="X632" s="187">
        <v>2023</v>
      </c>
      <c r="Y632" s="188">
        <v>5</v>
      </c>
      <c r="Z632" s="188" t="s">
        <v>883</v>
      </c>
      <c r="AA632" s="187" t="s">
        <v>883</v>
      </c>
      <c r="AB632" s="188">
        <v>0</v>
      </c>
      <c r="AC632" s="188"/>
      <c r="AD632" s="189" t="s">
        <v>883</v>
      </c>
      <c r="AE632" s="190" t="s">
        <v>883</v>
      </c>
      <c r="AF632" s="180">
        <v>2</v>
      </c>
      <c r="AG632" s="183">
        <v>44628</v>
      </c>
      <c r="AH632" s="183">
        <v>40275</v>
      </c>
      <c r="AI632" s="183">
        <v>44616</v>
      </c>
      <c r="AJ632" s="183" t="s">
        <v>883</v>
      </c>
      <c r="AK632" s="174"/>
    </row>
    <row r="633" spans="1:37" x14ac:dyDescent="0.3">
      <c r="A633" s="173">
        <v>114822</v>
      </c>
      <c r="B633" s="174" t="s">
        <v>1698</v>
      </c>
      <c r="C633" s="175" t="s">
        <v>31</v>
      </c>
      <c r="D633" s="176">
        <v>280</v>
      </c>
      <c r="E633" s="174"/>
      <c r="F633" s="174"/>
      <c r="G633" s="174" t="s">
        <v>883</v>
      </c>
      <c r="H633" s="177">
        <v>42</v>
      </c>
      <c r="I633" s="24">
        <v>103003</v>
      </c>
      <c r="J633" s="178">
        <v>280</v>
      </c>
      <c r="K633" s="177">
        <v>21</v>
      </c>
      <c r="L633" s="179">
        <v>24</v>
      </c>
      <c r="M633" s="180">
        <v>0</v>
      </c>
      <c r="N633" s="178">
        <v>0</v>
      </c>
      <c r="O633" s="181" t="s">
        <v>882</v>
      </c>
      <c r="P633" s="180">
        <v>0</v>
      </c>
      <c r="Q633" s="182">
        <v>0</v>
      </c>
      <c r="R633" s="183" t="s">
        <v>883</v>
      </c>
      <c r="S633" s="174" t="s">
        <v>964</v>
      </c>
      <c r="T633" s="44">
        <v>1</v>
      </c>
      <c r="U633" s="184">
        <v>61</v>
      </c>
      <c r="V633" s="185">
        <v>8</v>
      </c>
      <c r="W633" s="186" t="s">
        <v>883</v>
      </c>
      <c r="X633" s="187" t="s">
        <v>883</v>
      </c>
      <c r="Y633" s="188">
        <v>0</v>
      </c>
      <c r="Z633" s="188" t="s">
        <v>883</v>
      </c>
      <c r="AA633" s="187" t="s">
        <v>883</v>
      </c>
      <c r="AB633" s="188">
        <v>0</v>
      </c>
      <c r="AC633" s="188"/>
      <c r="AD633" s="189" t="s">
        <v>883</v>
      </c>
      <c r="AE633" s="190" t="s">
        <v>883</v>
      </c>
      <c r="AF633" s="180">
        <v>8</v>
      </c>
      <c r="AG633" s="183">
        <v>43803</v>
      </c>
      <c r="AH633" s="183">
        <v>40277</v>
      </c>
      <c r="AI633" s="183">
        <v>43788</v>
      </c>
      <c r="AJ633" s="183" t="s">
        <v>883</v>
      </c>
      <c r="AK633" s="174"/>
    </row>
    <row r="634" spans="1:37" x14ac:dyDescent="0.3">
      <c r="A634" s="173">
        <v>114852</v>
      </c>
      <c r="B634" s="174" t="s">
        <v>1699</v>
      </c>
      <c r="C634" s="175" t="s">
        <v>256</v>
      </c>
      <c r="D634" s="176">
        <v>160</v>
      </c>
      <c r="E634" s="174"/>
      <c r="F634" s="174"/>
      <c r="G634" s="174" t="s">
        <v>883</v>
      </c>
      <c r="H634" s="177">
        <v>133</v>
      </c>
      <c r="I634" s="24">
        <v>103003</v>
      </c>
      <c r="J634" s="178">
        <v>160</v>
      </c>
      <c r="K634" s="177">
        <v>69</v>
      </c>
      <c r="L634" s="179">
        <v>9.7938144329896897</v>
      </c>
      <c r="M634" s="180">
        <v>29.96</v>
      </c>
      <c r="N634" s="178">
        <v>4793.6000000000004</v>
      </c>
      <c r="O634" s="181" t="s">
        <v>882</v>
      </c>
      <c r="P634" s="180">
        <v>0</v>
      </c>
      <c r="Q634" s="182">
        <v>0</v>
      </c>
      <c r="R634" s="183" t="s">
        <v>883</v>
      </c>
      <c r="S634" s="174" t="s">
        <v>1334</v>
      </c>
      <c r="T634" s="44">
        <v>1</v>
      </c>
      <c r="U634" s="184">
        <v>74</v>
      </c>
      <c r="V634" s="185">
        <v>3</v>
      </c>
      <c r="W634" s="186" t="s">
        <v>883</v>
      </c>
      <c r="X634" s="187" t="s">
        <v>883</v>
      </c>
      <c r="Y634" s="188">
        <v>0</v>
      </c>
      <c r="Z634" s="188" t="s">
        <v>883</v>
      </c>
      <c r="AA634" s="187" t="s">
        <v>883</v>
      </c>
      <c r="AB634" s="188">
        <v>0</v>
      </c>
      <c r="AC634" s="188"/>
      <c r="AD634" s="189" t="s">
        <v>883</v>
      </c>
      <c r="AE634" s="190" t="s">
        <v>883</v>
      </c>
      <c r="AF634" s="180">
        <v>54</v>
      </c>
      <c r="AG634" s="183">
        <v>44195</v>
      </c>
      <c r="AH634" s="183">
        <v>40280</v>
      </c>
      <c r="AI634" s="183">
        <v>44372</v>
      </c>
      <c r="AJ634" s="183" t="s">
        <v>883</v>
      </c>
      <c r="AK634" s="174"/>
    </row>
    <row r="635" spans="1:37" x14ac:dyDescent="0.3">
      <c r="A635" s="173">
        <v>114853</v>
      </c>
      <c r="B635" s="174" t="s">
        <v>1700</v>
      </c>
      <c r="C635" s="175" t="s">
        <v>256</v>
      </c>
      <c r="D635" s="176">
        <v>168.35</v>
      </c>
      <c r="E635" s="174"/>
      <c r="F635" s="174"/>
      <c r="G635" s="174" t="s">
        <v>883</v>
      </c>
      <c r="H635" s="177">
        <v>161</v>
      </c>
      <c r="I635" s="24">
        <v>103003</v>
      </c>
      <c r="J635" s="178">
        <v>168.35</v>
      </c>
      <c r="K635" s="177">
        <v>86</v>
      </c>
      <c r="L635" s="179">
        <v>22.206896551724135</v>
      </c>
      <c r="M635" s="180">
        <v>0</v>
      </c>
      <c r="N635" s="178">
        <v>0</v>
      </c>
      <c r="O635" s="181" t="s">
        <v>882</v>
      </c>
      <c r="P635" s="180">
        <v>0</v>
      </c>
      <c r="Q635" s="182">
        <v>0</v>
      </c>
      <c r="R635" s="183" t="s">
        <v>883</v>
      </c>
      <c r="S635" s="174" t="s">
        <v>1334</v>
      </c>
      <c r="T635" s="44">
        <v>1</v>
      </c>
      <c r="U635" s="184">
        <v>74</v>
      </c>
      <c r="V635" s="185">
        <v>3</v>
      </c>
      <c r="W635" s="186" t="s">
        <v>883</v>
      </c>
      <c r="X635" s="187" t="s">
        <v>883</v>
      </c>
      <c r="Y635" s="188">
        <v>0</v>
      </c>
      <c r="Z635" s="188" t="s">
        <v>883</v>
      </c>
      <c r="AA635" s="187" t="s">
        <v>883</v>
      </c>
      <c r="AB635" s="188">
        <v>0</v>
      </c>
      <c r="AC635" s="188"/>
      <c r="AD635" s="189" t="s">
        <v>883</v>
      </c>
      <c r="AE635" s="190" t="s">
        <v>883</v>
      </c>
      <c r="AF635" s="180">
        <v>30</v>
      </c>
      <c r="AG635" s="183">
        <v>44165</v>
      </c>
      <c r="AH635" s="183">
        <v>40280</v>
      </c>
      <c r="AI635" s="183">
        <v>44133</v>
      </c>
      <c r="AJ635" s="183" t="s">
        <v>883</v>
      </c>
      <c r="AK635" s="174"/>
    </row>
    <row r="636" spans="1:37" x14ac:dyDescent="0.3">
      <c r="A636" s="173">
        <v>114923</v>
      </c>
      <c r="B636" s="174" t="s">
        <v>1701</v>
      </c>
      <c r="C636" s="175" t="s">
        <v>256</v>
      </c>
      <c r="D636" s="176">
        <v>0.24</v>
      </c>
      <c r="E636" s="174"/>
      <c r="F636" s="174"/>
      <c r="G636" s="174" t="s">
        <v>883</v>
      </c>
      <c r="H636" s="177">
        <v>5742</v>
      </c>
      <c r="I636" s="24">
        <v>103003</v>
      </c>
      <c r="J636" s="178">
        <v>0.24</v>
      </c>
      <c r="K636" s="177">
        <v>1218</v>
      </c>
      <c r="L636" s="179">
        <v>51.729729729729726</v>
      </c>
      <c r="M636" s="180">
        <v>0</v>
      </c>
      <c r="N636" s="178">
        <v>0</v>
      </c>
      <c r="O636" s="181" t="s">
        <v>882</v>
      </c>
      <c r="P636" s="180">
        <v>0</v>
      </c>
      <c r="Q636" s="182">
        <v>0</v>
      </c>
      <c r="R636" s="183" t="s">
        <v>883</v>
      </c>
      <c r="S636" s="174" t="s">
        <v>1440</v>
      </c>
      <c r="T636" s="44">
        <v>1</v>
      </c>
      <c r="U636" s="184">
        <v>67</v>
      </c>
      <c r="V636" s="185">
        <v>18</v>
      </c>
      <c r="W636" s="186" t="s">
        <v>883</v>
      </c>
      <c r="X636" s="187" t="s">
        <v>883</v>
      </c>
      <c r="Y636" s="188">
        <v>0</v>
      </c>
      <c r="Z636" s="188" t="s">
        <v>883</v>
      </c>
      <c r="AA636" s="187" t="s">
        <v>883</v>
      </c>
      <c r="AB636" s="188">
        <v>0</v>
      </c>
      <c r="AC636" s="188"/>
      <c r="AD636" s="189" t="s">
        <v>883</v>
      </c>
      <c r="AE636" s="190" t="s">
        <v>883</v>
      </c>
      <c r="AF636" s="180">
        <v>444</v>
      </c>
      <c r="AG636" s="183">
        <v>44071</v>
      </c>
      <c r="AH636" s="183">
        <v>40288</v>
      </c>
      <c r="AI636" s="183">
        <v>44040</v>
      </c>
      <c r="AJ636" s="183" t="s">
        <v>883</v>
      </c>
      <c r="AK636" s="174"/>
    </row>
    <row r="637" spans="1:37" x14ac:dyDescent="0.3">
      <c r="A637" s="173">
        <v>114976</v>
      </c>
      <c r="B637" s="174" t="s">
        <v>1702</v>
      </c>
      <c r="C637" s="175" t="s">
        <v>331</v>
      </c>
      <c r="D637" s="176">
        <v>90.5</v>
      </c>
      <c r="E637" s="174"/>
      <c r="F637" s="174"/>
      <c r="G637" s="174" t="s">
        <v>883</v>
      </c>
      <c r="H637" s="177">
        <v>634</v>
      </c>
      <c r="I637" s="24">
        <v>103003</v>
      </c>
      <c r="J637" s="178">
        <v>90.5</v>
      </c>
      <c r="K637" s="177">
        <v>71</v>
      </c>
      <c r="L637" s="179">
        <v>107.09459459459458</v>
      </c>
      <c r="M637" s="180">
        <v>0</v>
      </c>
      <c r="N637" s="178">
        <v>0</v>
      </c>
      <c r="O637" s="181" t="s">
        <v>882</v>
      </c>
      <c r="P637" s="180">
        <v>0</v>
      </c>
      <c r="Q637" s="182">
        <v>0</v>
      </c>
      <c r="R637" s="183" t="s">
        <v>883</v>
      </c>
      <c r="S637" s="174" t="s">
        <v>1666</v>
      </c>
      <c r="T637" s="44">
        <v>1</v>
      </c>
      <c r="U637" s="184">
        <v>55</v>
      </c>
      <c r="V637" s="185">
        <v>19</v>
      </c>
      <c r="W637" s="186" t="s">
        <v>883</v>
      </c>
      <c r="X637" s="187" t="s">
        <v>883</v>
      </c>
      <c r="Y637" s="188">
        <v>0</v>
      </c>
      <c r="Z637" s="188" t="s">
        <v>883</v>
      </c>
      <c r="AA637" s="187" t="s">
        <v>883</v>
      </c>
      <c r="AB637" s="188">
        <v>0</v>
      </c>
      <c r="AC637" s="188"/>
      <c r="AD637" s="189" t="s">
        <v>883</v>
      </c>
      <c r="AE637" s="190" t="s">
        <v>883</v>
      </c>
      <c r="AF637" s="180">
        <v>24</v>
      </c>
      <c r="AG637" s="183">
        <v>41884</v>
      </c>
      <c r="AH637" s="183">
        <v>40291</v>
      </c>
      <c r="AI637" s="183">
        <v>43580</v>
      </c>
      <c r="AJ637" s="183" t="s">
        <v>883</v>
      </c>
      <c r="AK637" s="174"/>
    </row>
    <row r="638" spans="1:37" x14ac:dyDescent="0.3">
      <c r="A638" s="173">
        <v>115060</v>
      </c>
      <c r="B638" s="174" t="s">
        <v>1703</v>
      </c>
      <c r="C638" s="175" t="s">
        <v>31</v>
      </c>
      <c r="D638" s="176">
        <v>572.15</v>
      </c>
      <c r="E638" s="174"/>
      <c r="F638" s="174"/>
      <c r="G638" s="174" t="s">
        <v>883</v>
      </c>
      <c r="H638" s="177">
        <v>37</v>
      </c>
      <c r="I638" s="24">
        <v>103003</v>
      </c>
      <c r="J638" s="178">
        <v>572.15</v>
      </c>
      <c r="K638" s="177"/>
      <c r="L638" s="179">
        <v>0</v>
      </c>
      <c r="M638" s="180">
        <v>0</v>
      </c>
      <c r="N638" s="178">
        <v>0</v>
      </c>
      <c r="O638" s="181" t="s">
        <v>882</v>
      </c>
      <c r="P638" s="180">
        <v>0</v>
      </c>
      <c r="Q638" s="182">
        <v>0</v>
      </c>
      <c r="R638" s="183" t="s">
        <v>883</v>
      </c>
      <c r="S638" s="174" t="s">
        <v>1704</v>
      </c>
      <c r="T638" s="44">
        <v>1</v>
      </c>
      <c r="U638" s="184">
        <v>69</v>
      </c>
      <c r="V638" s="185">
        <v>11</v>
      </c>
      <c r="W638" s="186" t="s">
        <v>883</v>
      </c>
      <c r="X638" s="187" t="s">
        <v>883</v>
      </c>
      <c r="Y638" s="188">
        <v>0</v>
      </c>
      <c r="Z638" s="188" t="s">
        <v>883</v>
      </c>
      <c r="AA638" s="187" t="s">
        <v>883</v>
      </c>
      <c r="AB638" s="188">
        <v>0</v>
      </c>
      <c r="AC638" s="188"/>
      <c r="AD638" s="189" t="s">
        <v>883</v>
      </c>
      <c r="AE638" s="190" t="s">
        <v>883</v>
      </c>
      <c r="AF638" s="180">
        <v>0</v>
      </c>
      <c r="AG638" s="183">
        <v>43749</v>
      </c>
      <c r="AH638" s="183">
        <v>40295</v>
      </c>
      <c r="AI638" s="183">
        <v>43997</v>
      </c>
      <c r="AJ638" s="183" t="s">
        <v>883</v>
      </c>
      <c r="AK638" s="174"/>
    </row>
    <row r="639" spans="1:37" x14ac:dyDescent="0.3">
      <c r="A639" s="173">
        <v>115135</v>
      </c>
      <c r="B639" s="174" t="s">
        <v>455</v>
      </c>
      <c r="C639" s="175" t="s">
        <v>256</v>
      </c>
      <c r="D639" s="176">
        <v>15</v>
      </c>
      <c r="E639" s="174"/>
      <c r="F639" s="174"/>
      <c r="G639" s="174" t="s">
        <v>883</v>
      </c>
      <c r="H639" s="177">
        <v>177</v>
      </c>
      <c r="I639" s="24">
        <v>103003</v>
      </c>
      <c r="J639" s="178">
        <v>15</v>
      </c>
      <c r="K639" s="177">
        <v>3</v>
      </c>
      <c r="L639" s="179">
        <v>708</v>
      </c>
      <c r="M639" s="180">
        <v>0</v>
      </c>
      <c r="N639" s="178">
        <v>0</v>
      </c>
      <c r="O639" s="181" t="s">
        <v>882</v>
      </c>
      <c r="P639" s="180">
        <v>0</v>
      </c>
      <c r="Q639" s="182">
        <v>0</v>
      </c>
      <c r="R639" s="183" t="s">
        <v>883</v>
      </c>
      <c r="S639" s="174" t="s">
        <v>1273</v>
      </c>
      <c r="T639" s="44">
        <v>1</v>
      </c>
      <c r="U639" s="184">
        <v>51</v>
      </c>
      <c r="V639" s="185">
        <v>17</v>
      </c>
      <c r="W639" s="186" t="s">
        <v>883</v>
      </c>
      <c r="X639" s="187" t="s">
        <v>883</v>
      </c>
      <c r="Y639" s="188">
        <v>0</v>
      </c>
      <c r="Z639" s="188" t="s">
        <v>883</v>
      </c>
      <c r="AA639" s="187" t="s">
        <v>883</v>
      </c>
      <c r="AB639" s="188">
        <v>0</v>
      </c>
      <c r="AC639" s="188"/>
      <c r="AD639" s="189" t="s">
        <v>883</v>
      </c>
      <c r="AE639" s="190" t="s">
        <v>883</v>
      </c>
      <c r="AF639" s="180">
        <v>2</v>
      </c>
      <c r="AG639" s="183">
        <v>40673</v>
      </c>
      <c r="AH639" s="183">
        <v>40303</v>
      </c>
      <c r="AI639" s="183">
        <v>40613</v>
      </c>
      <c r="AJ639" s="183" t="s">
        <v>883</v>
      </c>
      <c r="AK639" s="174"/>
    </row>
    <row r="640" spans="1:37" x14ac:dyDescent="0.3">
      <c r="A640" s="173">
        <v>115282</v>
      </c>
      <c r="B640" s="174" t="s">
        <v>1705</v>
      </c>
      <c r="C640" s="175" t="s">
        <v>616</v>
      </c>
      <c r="D640" s="176">
        <v>39.9</v>
      </c>
      <c r="E640" s="174"/>
      <c r="F640" s="174"/>
      <c r="G640" s="174" t="s">
        <v>883</v>
      </c>
      <c r="H640" s="177">
        <v>1137</v>
      </c>
      <c r="I640" s="24">
        <v>103003</v>
      </c>
      <c r="J640" s="178">
        <v>39.9</v>
      </c>
      <c r="K640" s="177">
        <v>616</v>
      </c>
      <c r="L640" s="179">
        <v>18.768570485308683</v>
      </c>
      <c r="M640" s="180">
        <v>0</v>
      </c>
      <c r="N640" s="178">
        <v>0</v>
      </c>
      <c r="O640" s="181" t="s">
        <v>882</v>
      </c>
      <c r="P640" s="180">
        <v>0</v>
      </c>
      <c r="Q640" s="182">
        <v>0</v>
      </c>
      <c r="R640" s="183" t="s">
        <v>883</v>
      </c>
      <c r="S640" s="174" t="s">
        <v>1706</v>
      </c>
      <c r="T640" s="44">
        <v>1</v>
      </c>
      <c r="U640" s="184">
        <v>73</v>
      </c>
      <c r="V640" s="185">
        <v>10</v>
      </c>
      <c r="W640" s="186">
        <v>2924</v>
      </c>
      <c r="X640" s="187">
        <v>2023</v>
      </c>
      <c r="Y640" s="188">
        <v>1000</v>
      </c>
      <c r="Z640" s="188" t="s">
        <v>883</v>
      </c>
      <c r="AA640" s="187" t="s">
        <v>883</v>
      </c>
      <c r="AB640" s="188">
        <v>0</v>
      </c>
      <c r="AC640" s="188"/>
      <c r="AD640" s="189" t="s">
        <v>883</v>
      </c>
      <c r="AE640" s="190" t="s">
        <v>883</v>
      </c>
      <c r="AF640" s="180">
        <v>242</v>
      </c>
      <c r="AG640" s="183">
        <v>44914</v>
      </c>
      <c r="AH640" s="183">
        <v>40312</v>
      </c>
      <c r="AI640" s="183">
        <v>45076</v>
      </c>
      <c r="AJ640" s="183" t="s">
        <v>883</v>
      </c>
      <c r="AK640" s="174"/>
    </row>
    <row r="641" spans="1:37" x14ac:dyDescent="0.3">
      <c r="A641" s="173">
        <v>115765</v>
      </c>
      <c r="B641" s="174" t="s">
        <v>1707</v>
      </c>
      <c r="C641" s="175" t="s">
        <v>413</v>
      </c>
      <c r="D641" s="176">
        <v>145</v>
      </c>
      <c r="E641" s="174"/>
      <c r="F641" s="174"/>
      <c r="G641" s="174" t="s">
        <v>883</v>
      </c>
      <c r="H641" s="177">
        <v>955</v>
      </c>
      <c r="I641" s="24">
        <v>103003</v>
      </c>
      <c r="J641" s="178">
        <v>145</v>
      </c>
      <c r="K641" s="177">
        <v>1011</v>
      </c>
      <c r="L641" s="179">
        <v>8.747824493908583</v>
      </c>
      <c r="M641" s="180">
        <v>355.04</v>
      </c>
      <c r="N641" s="178">
        <v>51480.800000000003</v>
      </c>
      <c r="O641" s="181" t="s">
        <v>882</v>
      </c>
      <c r="P641" s="180">
        <v>0</v>
      </c>
      <c r="Q641" s="182">
        <v>0</v>
      </c>
      <c r="R641" s="183" t="s">
        <v>883</v>
      </c>
      <c r="S641" s="174" t="s">
        <v>1708</v>
      </c>
      <c r="T641" s="44">
        <v>1</v>
      </c>
      <c r="U641" s="184">
        <v>45</v>
      </c>
      <c r="V641" s="185">
        <v>20</v>
      </c>
      <c r="W641" s="186" t="s">
        <v>883</v>
      </c>
      <c r="X641" s="187" t="s">
        <v>883</v>
      </c>
      <c r="Y641" s="188">
        <v>0</v>
      </c>
      <c r="Z641" s="188" t="s">
        <v>883</v>
      </c>
      <c r="AA641" s="187" t="s">
        <v>883</v>
      </c>
      <c r="AB641" s="188">
        <v>0</v>
      </c>
      <c r="AC641" s="188"/>
      <c r="AD641" s="189" t="s">
        <v>883</v>
      </c>
      <c r="AE641" s="190" t="s">
        <v>883</v>
      </c>
      <c r="AF641" s="180">
        <v>436</v>
      </c>
      <c r="AG641" s="183">
        <v>44970</v>
      </c>
      <c r="AH641" s="183">
        <v>40347</v>
      </c>
      <c r="AI641" s="183">
        <v>44959</v>
      </c>
      <c r="AJ641" s="183" t="s">
        <v>883</v>
      </c>
      <c r="AK641" s="174"/>
    </row>
    <row r="642" spans="1:37" x14ac:dyDescent="0.3">
      <c r="A642" s="173">
        <v>115805</v>
      </c>
      <c r="B642" s="174" t="s">
        <v>1709</v>
      </c>
      <c r="C642" s="175" t="s">
        <v>256</v>
      </c>
      <c r="D642" s="176">
        <v>39.799999999999997</v>
      </c>
      <c r="E642" s="174"/>
      <c r="F642" s="174"/>
      <c r="G642" s="174" t="s">
        <v>883</v>
      </c>
      <c r="H642" s="177">
        <v>217</v>
      </c>
      <c r="I642" s="24">
        <v>103003</v>
      </c>
      <c r="J642" s="178">
        <v>39.799999999999997</v>
      </c>
      <c r="K642" s="177">
        <v>245</v>
      </c>
      <c r="L642" s="179">
        <v>8.9484536082474229</v>
      </c>
      <c r="M642" s="180">
        <v>24</v>
      </c>
      <c r="N642" s="178">
        <v>955.2</v>
      </c>
      <c r="O642" s="181" t="s">
        <v>882</v>
      </c>
      <c r="P642" s="180">
        <v>0</v>
      </c>
      <c r="Q642" s="182">
        <v>0</v>
      </c>
      <c r="R642" s="183" t="s">
        <v>883</v>
      </c>
      <c r="S642" s="174" t="s">
        <v>1009</v>
      </c>
      <c r="T642" s="44">
        <v>1</v>
      </c>
      <c r="U642" s="184">
        <v>61</v>
      </c>
      <c r="V642" s="185">
        <v>15</v>
      </c>
      <c r="W642" s="186">
        <v>2960</v>
      </c>
      <c r="X642" s="187">
        <v>2023</v>
      </c>
      <c r="Y642" s="188">
        <v>50</v>
      </c>
      <c r="Z642" s="188" t="s">
        <v>883</v>
      </c>
      <c r="AA642" s="187" t="s">
        <v>883</v>
      </c>
      <c r="AB642" s="188">
        <v>0</v>
      </c>
      <c r="AC642" s="188"/>
      <c r="AD642" s="189" t="s">
        <v>883</v>
      </c>
      <c r="AE642" s="190" t="s">
        <v>883</v>
      </c>
      <c r="AF642" s="180">
        <v>98</v>
      </c>
      <c r="AG642" s="183">
        <v>44833</v>
      </c>
      <c r="AH642" s="183">
        <v>40352</v>
      </c>
      <c r="AI642" s="183">
        <v>45105</v>
      </c>
      <c r="AJ642" s="183" t="s">
        <v>883</v>
      </c>
      <c r="AK642" s="174"/>
    </row>
    <row r="643" spans="1:37" x14ac:dyDescent="0.3">
      <c r="A643" s="173">
        <v>115807</v>
      </c>
      <c r="B643" s="174" t="s">
        <v>1710</v>
      </c>
      <c r="C643" s="175" t="s">
        <v>31</v>
      </c>
      <c r="D643" s="176">
        <v>332.59</v>
      </c>
      <c r="E643" s="174"/>
      <c r="F643" s="174"/>
      <c r="G643" s="174" t="s">
        <v>883</v>
      </c>
      <c r="H643" s="177">
        <v>0</v>
      </c>
      <c r="I643" s="24">
        <v>103003</v>
      </c>
      <c r="J643" s="178">
        <v>332.59</v>
      </c>
      <c r="K643" s="177">
        <v>404</v>
      </c>
      <c r="L643" s="179">
        <v>0</v>
      </c>
      <c r="M643" s="180">
        <v>394</v>
      </c>
      <c r="N643" s="178">
        <v>131040.46</v>
      </c>
      <c r="O643" s="181" t="s">
        <v>882</v>
      </c>
      <c r="P643" s="180">
        <v>0</v>
      </c>
      <c r="Q643" s="182">
        <v>0</v>
      </c>
      <c r="R643" s="183" t="s">
        <v>883</v>
      </c>
      <c r="S643" s="174" t="s">
        <v>1112</v>
      </c>
      <c r="T643" s="44">
        <v>1</v>
      </c>
      <c r="U643" s="184">
        <v>74</v>
      </c>
      <c r="V643" s="185">
        <v>8</v>
      </c>
      <c r="W643" s="186">
        <v>8994</v>
      </c>
      <c r="X643" s="187">
        <v>2023</v>
      </c>
      <c r="Y643" s="188">
        <v>170</v>
      </c>
      <c r="Z643" s="188" t="s">
        <v>883</v>
      </c>
      <c r="AA643" s="187" t="s">
        <v>883</v>
      </c>
      <c r="AB643" s="188">
        <v>0</v>
      </c>
      <c r="AC643" s="188"/>
      <c r="AD643" s="189" t="s">
        <v>883</v>
      </c>
      <c r="AE643" s="190" t="s">
        <v>883</v>
      </c>
      <c r="AF643" s="180">
        <v>188</v>
      </c>
      <c r="AG643" s="183">
        <v>44792</v>
      </c>
      <c r="AH643" s="183">
        <v>40352</v>
      </c>
      <c r="AI643" s="183">
        <v>44720</v>
      </c>
      <c r="AJ643" s="183" t="s">
        <v>883</v>
      </c>
      <c r="AK643" s="174"/>
    </row>
    <row r="644" spans="1:37" x14ac:dyDescent="0.3">
      <c r="A644" s="173">
        <v>115840</v>
      </c>
      <c r="B644" s="174" t="s">
        <v>1711</v>
      </c>
      <c r="C644" s="175" t="s">
        <v>31</v>
      </c>
      <c r="D644" s="176">
        <v>849.2</v>
      </c>
      <c r="E644" s="174"/>
      <c r="F644" s="174"/>
      <c r="G644" s="174" t="s">
        <v>883</v>
      </c>
      <c r="H644" s="177">
        <v>25</v>
      </c>
      <c r="I644" s="24">
        <v>103003</v>
      </c>
      <c r="J644" s="178">
        <v>849.2</v>
      </c>
      <c r="K644" s="177">
        <v>7</v>
      </c>
      <c r="L644" s="179">
        <v>43.103448275862064</v>
      </c>
      <c r="M644" s="180">
        <v>0</v>
      </c>
      <c r="N644" s="178">
        <v>0</v>
      </c>
      <c r="O644" s="181" t="s">
        <v>882</v>
      </c>
      <c r="P644" s="180">
        <v>0</v>
      </c>
      <c r="Q644" s="182">
        <v>0</v>
      </c>
      <c r="R644" s="183" t="s">
        <v>883</v>
      </c>
      <c r="S644" s="174" t="s">
        <v>1211</v>
      </c>
      <c r="T644" s="44">
        <v>1</v>
      </c>
      <c r="U644" s="184">
        <v>51</v>
      </c>
      <c r="V644" s="185">
        <v>26</v>
      </c>
      <c r="W644" s="186" t="s">
        <v>883</v>
      </c>
      <c r="X644" s="187" t="s">
        <v>883</v>
      </c>
      <c r="Y644" s="188">
        <v>0</v>
      </c>
      <c r="Z644" s="188" t="s">
        <v>883</v>
      </c>
      <c r="AA644" s="187" t="s">
        <v>883</v>
      </c>
      <c r="AB644" s="188">
        <v>0</v>
      </c>
      <c r="AC644" s="188"/>
      <c r="AD644" s="189" t="s">
        <v>883</v>
      </c>
      <c r="AE644" s="190" t="s">
        <v>883</v>
      </c>
      <c r="AF644" s="180">
        <v>0</v>
      </c>
      <c r="AG644" s="183">
        <v>44188</v>
      </c>
      <c r="AH644" s="183">
        <v>40357</v>
      </c>
      <c r="AI644" s="183">
        <v>44176</v>
      </c>
      <c r="AJ644" s="183" t="s">
        <v>883</v>
      </c>
      <c r="AK644" s="174"/>
    </row>
    <row r="645" spans="1:37" x14ac:dyDescent="0.3">
      <c r="A645" s="173">
        <v>115841</v>
      </c>
      <c r="B645" s="174" t="s">
        <v>1712</v>
      </c>
      <c r="C645" s="175" t="s">
        <v>31</v>
      </c>
      <c r="D645" s="176">
        <v>719.5</v>
      </c>
      <c r="E645" s="174"/>
      <c r="F645" s="174"/>
      <c r="G645" s="174" t="s">
        <v>883</v>
      </c>
      <c r="H645" s="177">
        <v>14</v>
      </c>
      <c r="I645" s="24">
        <v>103003</v>
      </c>
      <c r="J645" s="178">
        <v>719.5</v>
      </c>
      <c r="K645" s="177"/>
      <c r="L645" s="179">
        <v>0</v>
      </c>
      <c r="M645" s="180">
        <v>0</v>
      </c>
      <c r="N645" s="178">
        <v>0</v>
      </c>
      <c r="O645" s="181" t="s">
        <v>882</v>
      </c>
      <c r="P645" s="180">
        <v>0</v>
      </c>
      <c r="Q645" s="182">
        <v>0</v>
      </c>
      <c r="R645" s="183" t="s">
        <v>883</v>
      </c>
      <c r="S645" s="174" t="s">
        <v>1211</v>
      </c>
      <c r="T645" s="44">
        <v>1</v>
      </c>
      <c r="U645" s="184">
        <v>51</v>
      </c>
      <c r="V645" s="185">
        <v>26</v>
      </c>
      <c r="W645" s="186" t="s">
        <v>883</v>
      </c>
      <c r="X645" s="187" t="s">
        <v>883</v>
      </c>
      <c r="Y645" s="188">
        <v>0</v>
      </c>
      <c r="Z645" s="188" t="s">
        <v>883</v>
      </c>
      <c r="AA645" s="187" t="s">
        <v>883</v>
      </c>
      <c r="AB645" s="188">
        <v>0</v>
      </c>
      <c r="AC645" s="188"/>
      <c r="AD645" s="189" t="s">
        <v>883</v>
      </c>
      <c r="AE645" s="190" t="s">
        <v>883</v>
      </c>
      <c r="AF645" s="180">
        <v>0</v>
      </c>
      <c r="AG645" s="183">
        <v>43455</v>
      </c>
      <c r="AH645" s="183">
        <v>40357</v>
      </c>
      <c r="AI645" s="183">
        <v>44377</v>
      </c>
      <c r="AJ645" s="183" t="s">
        <v>883</v>
      </c>
      <c r="AK645" s="174"/>
    </row>
    <row r="646" spans="1:37" x14ac:dyDescent="0.3">
      <c r="A646" s="173">
        <v>116466</v>
      </c>
      <c r="B646" s="174" t="s">
        <v>1713</v>
      </c>
      <c r="C646" s="175" t="s">
        <v>31</v>
      </c>
      <c r="D646" s="176">
        <v>0.85</v>
      </c>
      <c r="E646" s="174"/>
      <c r="F646" s="174"/>
      <c r="G646" s="174" t="s">
        <v>883</v>
      </c>
      <c r="H646" s="177">
        <v>1339</v>
      </c>
      <c r="I646" s="24">
        <v>103003</v>
      </c>
      <c r="J646" s="178">
        <v>0.85</v>
      </c>
      <c r="K646" s="177">
        <v>7286</v>
      </c>
      <c r="L646" s="179">
        <v>1.9450335550971791</v>
      </c>
      <c r="M646" s="180">
        <v>4922.04</v>
      </c>
      <c r="N646" s="178">
        <v>4183.7340000000004</v>
      </c>
      <c r="O646" s="181" t="s">
        <v>882</v>
      </c>
      <c r="P646" s="180">
        <v>0</v>
      </c>
      <c r="Q646" s="182">
        <v>0</v>
      </c>
      <c r="R646" s="183" t="s">
        <v>883</v>
      </c>
      <c r="S646" s="174" t="s">
        <v>1258</v>
      </c>
      <c r="T646" s="44">
        <v>1</v>
      </c>
      <c r="U646" s="184">
        <v>69</v>
      </c>
      <c r="V646" s="185">
        <v>3</v>
      </c>
      <c r="W646" s="186">
        <v>2637</v>
      </c>
      <c r="X646" s="187">
        <v>2023</v>
      </c>
      <c r="Y646" s="188">
        <v>2000</v>
      </c>
      <c r="Z646" s="188" t="s">
        <v>883</v>
      </c>
      <c r="AA646" s="187" t="s">
        <v>883</v>
      </c>
      <c r="AB646" s="188">
        <v>0</v>
      </c>
      <c r="AC646" s="188"/>
      <c r="AD646" s="189" t="s">
        <v>883</v>
      </c>
      <c r="AE646" s="190" t="s">
        <v>883</v>
      </c>
      <c r="AF646" s="180">
        <v>2754</v>
      </c>
      <c r="AG646" s="183">
        <v>44236</v>
      </c>
      <c r="AH646" s="183">
        <v>40382</v>
      </c>
      <c r="AI646" s="183">
        <v>44335</v>
      </c>
      <c r="AJ646" s="183" t="s">
        <v>883</v>
      </c>
      <c r="AK646" s="174"/>
    </row>
    <row r="647" spans="1:37" x14ac:dyDescent="0.3">
      <c r="A647" s="173">
        <v>116751</v>
      </c>
      <c r="B647" s="174" t="s">
        <v>1714</v>
      </c>
      <c r="C647" s="175" t="s">
        <v>294</v>
      </c>
      <c r="D647" s="176">
        <v>35.47</v>
      </c>
      <c r="E647" s="174"/>
      <c r="F647" s="174"/>
      <c r="G647" s="174" t="s">
        <v>883</v>
      </c>
      <c r="H647" s="177">
        <v>906</v>
      </c>
      <c r="I647" s="24">
        <v>103003</v>
      </c>
      <c r="J647" s="178">
        <v>35.47</v>
      </c>
      <c r="K647" s="177">
        <v>19</v>
      </c>
      <c r="L647" s="179">
        <v>573.41772151898738</v>
      </c>
      <c r="M647" s="180">
        <v>0</v>
      </c>
      <c r="N647" s="178">
        <v>0</v>
      </c>
      <c r="O647" s="181" t="s">
        <v>882</v>
      </c>
      <c r="P647" s="180">
        <v>0</v>
      </c>
      <c r="Q647" s="182">
        <v>0</v>
      </c>
      <c r="R647" s="183" t="s">
        <v>883</v>
      </c>
      <c r="S647" s="174" t="s">
        <v>1332</v>
      </c>
      <c r="T647" s="44">
        <v>1</v>
      </c>
      <c r="U647" s="184">
        <v>69</v>
      </c>
      <c r="V647" s="185">
        <v>2</v>
      </c>
      <c r="W647" s="186" t="s">
        <v>883</v>
      </c>
      <c r="X647" s="187" t="s">
        <v>883</v>
      </c>
      <c r="Y647" s="188">
        <v>0</v>
      </c>
      <c r="Z647" s="188" t="s">
        <v>883</v>
      </c>
      <c r="AA647" s="187" t="s">
        <v>883</v>
      </c>
      <c r="AB647" s="188">
        <v>0</v>
      </c>
      <c r="AC647" s="188"/>
      <c r="AD647" s="189" t="s">
        <v>883</v>
      </c>
      <c r="AE647" s="190" t="s">
        <v>883</v>
      </c>
      <c r="AF647" s="180">
        <v>6</v>
      </c>
      <c r="AG647" s="183">
        <v>43622</v>
      </c>
      <c r="AH647" s="183">
        <v>40395</v>
      </c>
      <c r="AI647" s="183">
        <v>43614</v>
      </c>
      <c r="AJ647" s="183" t="s">
        <v>883</v>
      </c>
      <c r="AK647" s="174"/>
    </row>
    <row r="648" spans="1:37" x14ac:dyDescent="0.3">
      <c r="A648" s="173">
        <v>116754</v>
      </c>
      <c r="B648" s="174" t="s">
        <v>1715</v>
      </c>
      <c r="C648" s="175" t="s">
        <v>294</v>
      </c>
      <c r="D648" s="176">
        <v>98.43</v>
      </c>
      <c r="E648" s="174"/>
      <c r="F648" s="174"/>
      <c r="G648" s="174" t="s">
        <v>883</v>
      </c>
      <c r="H648" s="177">
        <v>365</v>
      </c>
      <c r="I648" s="24">
        <v>103003</v>
      </c>
      <c r="J648" s="178">
        <v>98.43</v>
      </c>
      <c r="K648" s="177">
        <v>81</v>
      </c>
      <c r="L648" s="179">
        <v>54.074074074074076</v>
      </c>
      <c r="M648" s="180">
        <v>0</v>
      </c>
      <c r="N648" s="178">
        <v>0</v>
      </c>
      <c r="O648" s="181" t="s">
        <v>882</v>
      </c>
      <c r="P648" s="180">
        <v>0</v>
      </c>
      <c r="Q648" s="182">
        <v>0</v>
      </c>
      <c r="R648" s="183" t="s">
        <v>883</v>
      </c>
      <c r="S648" s="174" t="s">
        <v>1332</v>
      </c>
      <c r="T648" s="44">
        <v>1</v>
      </c>
      <c r="U648" s="184">
        <v>69</v>
      </c>
      <c r="V648" s="185">
        <v>2</v>
      </c>
      <c r="W648" s="186" t="s">
        <v>883</v>
      </c>
      <c r="X648" s="187" t="s">
        <v>883</v>
      </c>
      <c r="Y648" s="188">
        <v>0</v>
      </c>
      <c r="Z648" s="188" t="s">
        <v>883</v>
      </c>
      <c r="AA648" s="187" t="s">
        <v>883</v>
      </c>
      <c r="AB648" s="188">
        <v>0</v>
      </c>
      <c r="AC648" s="188"/>
      <c r="AD648" s="189" t="s">
        <v>883</v>
      </c>
      <c r="AE648" s="190" t="s">
        <v>883</v>
      </c>
      <c r="AF648" s="180">
        <v>28</v>
      </c>
      <c r="AG648" s="183">
        <v>44526</v>
      </c>
      <c r="AH648" s="183">
        <v>40395</v>
      </c>
      <c r="AI648" s="183">
        <v>44483</v>
      </c>
      <c r="AJ648" s="183" t="s">
        <v>883</v>
      </c>
      <c r="AK648" s="174"/>
    </row>
    <row r="649" spans="1:37" x14ac:dyDescent="0.3">
      <c r="A649" s="173">
        <v>116771</v>
      </c>
      <c r="B649" s="174" t="s">
        <v>407</v>
      </c>
      <c r="C649" s="175" t="s">
        <v>406</v>
      </c>
      <c r="D649" s="176">
        <v>299</v>
      </c>
      <c r="E649" s="174"/>
      <c r="F649" s="174"/>
      <c r="G649" s="174" t="s">
        <v>883</v>
      </c>
      <c r="H649" s="177">
        <v>28</v>
      </c>
      <c r="I649" s="24">
        <v>103003</v>
      </c>
      <c r="J649" s="178">
        <v>299</v>
      </c>
      <c r="K649" s="177">
        <v>11</v>
      </c>
      <c r="L649" s="179">
        <v>30.434782608695652</v>
      </c>
      <c r="M649" s="180">
        <v>0</v>
      </c>
      <c r="N649" s="178">
        <v>0</v>
      </c>
      <c r="O649" s="181" t="s">
        <v>882</v>
      </c>
      <c r="P649" s="180">
        <v>0</v>
      </c>
      <c r="Q649" s="182">
        <v>0</v>
      </c>
      <c r="R649" s="183" t="s">
        <v>883</v>
      </c>
      <c r="S649" s="174" t="s">
        <v>1162</v>
      </c>
      <c r="T649" s="44">
        <v>1</v>
      </c>
      <c r="U649" s="184">
        <v>69</v>
      </c>
      <c r="V649" s="185">
        <v>1</v>
      </c>
      <c r="W649" s="186" t="s">
        <v>883</v>
      </c>
      <c r="X649" s="187" t="s">
        <v>883</v>
      </c>
      <c r="Y649" s="188">
        <v>0</v>
      </c>
      <c r="Z649" s="188" t="s">
        <v>883</v>
      </c>
      <c r="AA649" s="187" t="s">
        <v>883</v>
      </c>
      <c r="AB649" s="188">
        <v>0</v>
      </c>
      <c r="AC649" s="188"/>
      <c r="AD649" s="189" t="s">
        <v>883</v>
      </c>
      <c r="AE649" s="190" t="s">
        <v>883</v>
      </c>
      <c r="AF649" s="180">
        <v>4</v>
      </c>
      <c r="AG649" s="183">
        <v>42360</v>
      </c>
      <c r="AH649" s="183">
        <v>40396</v>
      </c>
      <c r="AI649" s="183">
        <v>44040</v>
      </c>
      <c r="AJ649" s="183" t="s">
        <v>883</v>
      </c>
      <c r="AK649" s="174"/>
    </row>
    <row r="650" spans="1:37" x14ac:dyDescent="0.3">
      <c r="A650" s="173">
        <v>116874</v>
      </c>
      <c r="B650" s="174" t="s">
        <v>1716</v>
      </c>
      <c r="C650" s="175" t="s">
        <v>31</v>
      </c>
      <c r="D650" s="176">
        <v>5.1428599999999998</v>
      </c>
      <c r="E650" s="174"/>
      <c r="F650" s="174"/>
      <c r="G650" s="174" t="s">
        <v>883</v>
      </c>
      <c r="H650" s="177">
        <v>583</v>
      </c>
      <c r="I650" s="24">
        <v>103003</v>
      </c>
      <c r="J650" s="178">
        <v>5.1428599999999998</v>
      </c>
      <c r="K650" s="177">
        <v>1619</v>
      </c>
      <c r="L650" s="179">
        <v>3.0510780824785435</v>
      </c>
      <c r="M650" s="180">
        <v>1209.96</v>
      </c>
      <c r="N650" s="178">
        <v>6222.6548855999999</v>
      </c>
      <c r="O650" s="181" t="s">
        <v>882</v>
      </c>
      <c r="P650" s="180">
        <v>0</v>
      </c>
      <c r="Q650" s="182">
        <v>0</v>
      </c>
      <c r="R650" s="183" t="s">
        <v>883</v>
      </c>
      <c r="S650" s="174" t="s">
        <v>1677</v>
      </c>
      <c r="T650" s="44">
        <v>1</v>
      </c>
      <c r="U650" s="184">
        <v>55</v>
      </c>
      <c r="V650" s="185">
        <v>37</v>
      </c>
      <c r="W650" s="186">
        <v>2448</v>
      </c>
      <c r="X650" s="187">
        <v>2023</v>
      </c>
      <c r="Y650" s="188">
        <v>500</v>
      </c>
      <c r="Z650" s="188" t="s">
        <v>883</v>
      </c>
      <c r="AA650" s="187" t="s">
        <v>883</v>
      </c>
      <c r="AB650" s="188">
        <v>0</v>
      </c>
      <c r="AC650" s="188"/>
      <c r="AD650" s="189" t="s">
        <v>883</v>
      </c>
      <c r="AE650" s="190" t="s">
        <v>883</v>
      </c>
      <c r="AF650" s="180">
        <v>764</v>
      </c>
      <c r="AG650" s="183">
        <v>44638</v>
      </c>
      <c r="AH650" s="183">
        <v>40406</v>
      </c>
      <c r="AI650" s="183">
        <v>45077</v>
      </c>
      <c r="AJ650" s="183" t="s">
        <v>883</v>
      </c>
      <c r="AK650" s="174"/>
    </row>
    <row r="651" spans="1:37" x14ac:dyDescent="0.3">
      <c r="A651" s="173">
        <v>117734</v>
      </c>
      <c r="B651" s="174" t="s">
        <v>1717</v>
      </c>
      <c r="C651" s="175" t="s">
        <v>256</v>
      </c>
      <c r="D651" s="176">
        <v>25.62</v>
      </c>
      <c r="E651" s="174"/>
      <c r="F651" s="174"/>
      <c r="G651" s="174" t="s">
        <v>883</v>
      </c>
      <c r="H651" s="177">
        <v>114</v>
      </c>
      <c r="I651" s="24">
        <v>103003</v>
      </c>
      <c r="J651" s="178">
        <v>25.62</v>
      </c>
      <c r="K651" s="177">
        <v>4</v>
      </c>
      <c r="L651" s="179">
        <v>345.45454545454544</v>
      </c>
      <c r="M651" s="180">
        <v>0</v>
      </c>
      <c r="N651" s="178">
        <v>0</v>
      </c>
      <c r="O651" s="181" t="s">
        <v>882</v>
      </c>
      <c r="P651" s="180">
        <v>0</v>
      </c>
      <c r="Q651" s="182">
        <v>0</v>
      </c>
      <c r="R651" s="183" t="s">
        <v>883</v>
      </c>
      <c r="S651" s="174" t="s">
        <v>983</v>
      </c>
      <c r="T651" s="44">
        <v>1</v>
      </c>
      <c r="U651" s="184">
        <v>55</v>
      </c>
      <c r="V651" s="185">
        <v>31</v>
      </c>
      <c r="W651" s="186" t="s">
        <v>883</v>
      </c>
      <c r="X651" s="187" t="s">
        <v>883</v>
      </c>
      <c r="Y651" s="188">
        <v>0</v>
      </c>
      <c r="Z651" s="188" t="s">
        <v>883</v>
      </c>
      <c r="AA651" s="187" t="s">
        <v>883</v>
      </c>
      <c r="AB651" s="188">
        <v>0</v>
      </c>
      <c r="AC651" s="188"/>
      <c r="AD651" s="189" t="s">
        <v>883</v>
      </c>
      <c r="AE651" s="190" t="s">
        <v>883</v>
      </c>
      <c r="AF651" s="180">
        <v>2</v>
      </c>
      <c r="AG651" s="183">
        <v>43892</v>
      </c>
      <c r="AH651" s="183">
        <v>40438</v>
      </c>
      <c r="AI651" s="183">
        <v>43865</v>
      </c>
      <c r="AJ651" s="183" t="s">
        <v>883</v>
      </c>
      <c r="AK651" s="174"/>
    </row>
    <row r="652" spans="1:37" x14ac:dyDescent="0.3">
      <c r="A652" s="173">
        <v>118244</v>
      </c>
      <c r="B652" s="174" t="s">
        <v>1718</v>
      </c>
      <c r="C652" s="175" t="s">
        <v>256</v>
      </c>
      <c r="D652" s="176">
        <v>5.99</v>
      </c>
      <c r="E652" s="174"/>
      <c r="F652" s="174"/>
      <c r="G652" s="174" t="s">
        <v>883</v>
      </c>
      <c r="H652" s="177">
        <v>173</v>
      </c>
      <c r="I652" s="24">
        <v>103003</v>
      </c>
      <c r="J652" s="178">
        <v>5.99</v>
      </c>
      <c r="K652" s="177">
        <v>5</v>
      </c>
      <c r="L652" s="179">
        <v>411.90476190476193</v>
      </c>
      <c r="M652" s="180">
        <v>0</v>
      </c>
      <c r="N652" s="178">
        <v>0</v>
      </c>
      <c r="O652" s="181" t="s">
        <v>882</v>
      </c>
      <c r="P652" s="180">
        <v>0</v>
      </c>
      <c r="Q652" s="182">
        <v>0</v>
      </c>
      <c r="R652" s="183" t="s">
        <v>883</v>
      </c>
      <c r="S652" s="174" t="s">
        <v>1265</v>
      </c>
      <c r="T652" s="44">
        <v>1</v>
      </c>
      <c r="U652" s="184">
        <v>89</v>
      </c>
      <c r="V652" s="185">
        <v>12</v>
      </c>
      <c r="W652" s="186" t="s">
        <v>883</v>
      </c>
      <c r="X652" s="187" t="s">
        <v>883</v>
      </c>
      <c r="Y652" s="188">
        <v>0</v>
      </c>
      <c r="Z652" s="188" t="s">
        <v>883</v>
      </c>
      <c r="AA652" s="187" t="s">
        <v>883</v>
      </c>
      <c r="AB652" s="188">
        <v>0</v>
      </c>
      <c r="AC652" s="188"/>
      <c r="AD652" s="189" t="s">
        <v>883</v>
      </c>
      <c r="AE652" s="190" t="s">
        <v>883</v>
      </c>
      <c r="AF652" s="180">
        <v>2</v>
      </c>
      <c r="AG652" s="183">
        <v>40955</v>
      </c>
      <c r="AH652" s="183">
        <v>40466</v>
      </c>
      <c r="AI652" s="183">
        <v>44974</v>
      </c>
      <c r="AJ652" s="183" t="s">
        <v>883</v>
      </c>
      <c r="AK652" s="174"/>
    </row>
    <row r="653" spans="1:37" x14ac:dyDescent="0.3">
      <c r="A653" s="173">
        <v>118245</v>
      </c>
      <c r="B653" s="174" t="s">
        <v>1719</v>
      </c>
      <c r="C653" s="175" t="s">
        <v>256</v>
      </c>
      <c r="D653" s="176">
        <v>2.72</v>
      </c>
      <c r="E653" s="174"/>
      <c r="F653" s="174"/>
      <c r="G653" s="174" t="s">
        <v>883</v>
      </c>
      <c r="H653" s="177">
        <v>33</v>
      </c>
      <c r="I653" s="24">
        <v>103003</v>
      </c>
      <c r="J653" s="178">
        <v>2.72</v>
      </c>
      <c r="K653" s="177">
        <v>5</v>
      </c>
      <c r="L653" s="179">
        <v>78.571428571428569</v>
      </c>
      <c r="M653" s="180">
        <v>0</v>
      </c>
      <c r="N653" s="178">
        <v>0</v>
      </c>
      <c r="O653" s="181" t="s">
        <v>882</v>
      </c>
      <c r="P653" s="180">
        <v>0</v>
      </c>
      <c r="Q653" s="182">
        <v>0</v>
      </c>
      <c r="R653" s="183" t="s">
        <v>883</v>
      </c>
      <c r="S653" s="174" t="s">
        <v>1265</v>
      </c>
      <c r="T653" s="44">
        <v>1</v>
      </c>
      <c r="U653" s="184">
        <v>89</v>
      </c>
      <c r="V653" s="185">
        <v>12</v>
      </c>
      <c r="W653" s="186" t="s">
        <v>883</v>
      </c>
      <c r="X653" s="187" t="s">
        <v>883</v>
      </c>
      <c r="Y653" s="188">
        <v>0</v>
      </c>
      <c r="Z653" s="188" t="s">
        <v>883</v>
      </c>
      <c r="AA653" s="187" t="s">
        <v>883</v>
      </c>
      <c r="AB653" s="188">
        <v>0</v>
      </c>
      <c r="AC653" s="188"/>
      <c r="AD653" s="189" t="s">
        <v>883</v>
      </c>
      <c r="AE653" s="190" t="s">
        <v>883</v>
      </c>
      <c r="AF653" s="180">
        <v>2</v>
      </c>
      <c r="AG653" s="183">
        <v>40955</v>
      </c>
      <c r="AH653" s="183">
        <v>40466</v>
      </c>
      <c r="AI653" s="183">
        <v>40941</v>
      </c>
      <c r="AJ653" s="183" t="s">
        <v>883</v>
      </c>
      <c r="AK653" s="174"/>
    </row>
    <row r="654" spans="1:37" x14ac:dyDescent="0.3">
      <c r="A654" s="173">
        <v>118246</v>
      </c>
      <c r="B654" s="174" t="s">
        <v>1720</v>
      </c>
      <c r="C654" s="175" t="s">
        <v>256</v>
      </c>
      <c r="D654" s="176">
        <v>1.1000000000000001</v>
      </c>
      <c r="E654" s="174"/>
      <c r="F654" s="174"/>
      <c r="G654" s="174" t="s">
        <v>883</v>
      </c>
      <c r="H654" s="177">
        <v>60</v>
      </c>
      <c r="I654" s="24">
        <v>103003</v>
      </c>
      <c r="J654" s="178">
        <v>1.1000000000000001</v>
      </c>
      <c r="K654" s="177">
        <v>5</v>
      </c>
      <c r="L654" s="179">
        <v>142.85714285714283</v>
      </c>
      <c r="M654" s="180">
        <v>0</v>
      </c>
      <c r="N654" s="178">
        <v>0</v>
      </c>
      <c r="O654" s="181" t="s">
        <v>882</v>
      </c>
      <c r="P654" s="180">
        <v>0</v>
      </c>
      <c r="Q654" s="182">
        <v>0</v>
      </c>
      <c r="R654" s="183" t="s">
        <v>883</v>
      </c>
      <c r="S654" s="174" t="s">
        <v>1265</v>
      </c>
      <c r="T654" s="44">
        <v>1</v>
      </c>
      <c r="U654" s="184">
        <v>89</v>
      </c>
      <c r="V654" s="185">
        <v>12</v>
      </c>
      <c r="W654" s="186" t="s">
        <v>883</v>
      </c>
      <c r="X654" s="187" t="s">
        <v>883</v>
      </c>
      <c r="Y654" s="188">
        <v>0</v>
      </c>
      <c r="Z654" s="188" t="s">
        <v>883</v>
      </c>
      <c r="AA654" s="187" t="s">
        <v>883</v>
      </c>
      <c r="AB654" s="188">
        <v>0</v>
      </c>
      <c r="AC654" s="188"/>
      <c r="AD654" s="189" t="s">
        <v>883</v>
      </c>
      <c r="AE654" s="190" t="s">
        <v>883</v>
      </c>
      <c r="AF654" s="180">
        <v>2</v>
      </c>
      <c r="AG654" s="183">
        <v>40955</v>
      </c>
      <c r="AH654" s="183">
        <v>40466</v>
      </c>
      <c r="AI654" s="183">
        <v>40941</v>
      </c>
      <c r="AJ654" s="183" t="s">
        <v>883</v>
      </c>
      <c r="AK654" s="174"/>
    </row>
    <row r="655" spans="1:37" x14ac:dyDescent="0.3">
      <c r="A655" s="173">
        <v>118427</v>
      </c>
      <c r="B655" s="174" t="s">
        <v>1721</v>
      </c>
      <c r="C655" s="175" t="s">
        <v>331</v>
      </c>
      <c r="D655" s="176">
        <v>128.11000000000001</v>
      </c>
      <c r="E655" s="174"/>
      <c r="F655" s="174"/>
      <c r="G655" s="174" t="s">
        <v>883</v>
      </c>
      <c r="H655" s="177">
        <v>31</v>
      </c>
      <c r="I655" s="24">
        <v>103003</v>
      </c>
      <c r="J655" s="178">
        <v>128.11000000000001</v>
      </c>
      <c r="K655" s="177">
        <v>5144</v>
      </c>
      <c r="L655" s="179">
        <v>6.0645186532855999E-2</v>
      </c>
      <c r="M655" s="180">
        <v>2903.04</v>
      </c>
      <c r="N655" s="178">
        <v>371908.45439999999</v>
      </c>
      <c r="O655" s="181" t="s">
        <v>882</v>
      </c>
      <c r="P655" s="180">
        <v>0</v>
      </c>
      <c r="Q655" s="182">
        <v>0</v>
      </c>
      <c r="R655" s="183" t="s">
        <v>883</v>
      </c>
      <c r="S655" s="174" t="s">
        <v>1422</v>
      </c>
      <c r="T655" s="44">
        <v>1</v>
      </c>
      <c r="U655" s="184">
        <v>74</v>
      </c>
      <c r="V655" s="185">
        <v>2</v>
      </c>
      <c r="W655" s="186">
        <v>8996</v>
      </c>
      <c r="X655" s="187">
        <v>2023</v>
      </c>
      <c r="Y655" s="188">
        <v>3200</v>
      </c>
      <c r="Z655" s="188" t="s">
        <v>883</v>
      </c>
      <c r="AA655" s="187" t="s">
        <v>883</v>
      </c>
      <c r="AB655" s="188">
        <v>0</v>
      </c>
      <c r="AC655" s="188"/>
      <c r="AD655" s="189" t="s">
        <v>883</v>
      </c>
      <c r="AE655" s="190" t="s">
        <v>883</v>
      </c>
      <c r="AF655" s="180">
        <v>2044</v>
      </c>
      <c r="AG655" s="183">
        <v>44974</v>
      </c>
      <c r="AH655" s="183">
        <v>40490</v>
      </c>
      <c r="AI655" s="183">
        <v>44960</v>
      </c>
      <c r="AJ655" s="183" t="s">
        <v>883</v>
      </c>
      <c r="AK655" s="174"/>
    </row>
    <row r="656" spans="1:37" x14ac:dyDescent="0.3">
      <c r="A656" s="173">
        <v>118515</v>
      </c>
      <c r="B656" s="174" t="s">
        <v>1722</v>
      </c>
      <c r="C656" s="175" t="s">
        <v>629</v>
      </c>
      <c r="D656" s="176">
        <v>69.97</v>
      </c>
      <c r="E656" s="174"/>
      <c r="F656" s="174"/>
      <c r="G656" s="174" t="s">
        <v>883</v>
      </c>
      <c r="H656" s="177">
        <v>0</v>
      </c>
      <c r="I656" s="24">
        <v>103003</v>
      </c>
      <c r="J656" s="178">
        <v>69.97</v>
      </c>
      <c r="K656" s="177">
        <v>316</v>
      </c>
      <c r="L656" s="179">
        <v>0</v>
      </c>
      <c r="M656" s="180">
        <v>182.1</v>
      </c>
      <c r="N656" s="178">
        <v>12741.537</v>
      </c>
      <c r="O656" s="181" t="s">
        <v>882</v>
      </c>
      <c r="P656" s="180">
        <v>0</v>
      </c>
      <c r="Q656" s="182">
        <v>0</v>
      </c>
      <c r="R656" s="183" t="s">
        <v>883</v>
      </c>
      <c r="S656" s="174" t="s">
        <v>1723</v>
      </c>
      <c r="T656" s="44">
        <v>1</v>
      </c>
      <c r="U656" s="184">
        <v>51</v>
      </c>
      <c r="V656" s="185">
        <v>21</v>
      </c>
      <c r="W656" s="186">
        <v>7340</v>
      </c>
      <c r="X656" s="187">
        <v>2023</v>
      </c>
      <c r="Y656" s="188">
        <v>135.9</v>
      </c>
      <c r="Z656" s="188" t="s">
        <v>883</v>
      </c>
      <c r="AA656" s="187" t="s">
        <v>883</v>
      </c>
      <c r="AB656" s="188">
        <v>0</v>
      </c>
      <c r="AC656" s="188"/>
      <c r="AD656" s="189" t="s">
        <v>883</v>
      </c>
      <c r="AE656" s="190" t="s">
        <v>883</v>
      </c>
      <c r="AF656" s="180">
        <v>106</v>
      </c>
      <c r="AG656" s="183">
        <v>44417</v>
      </c>
      <c r="AH656" s="183">
        <v>40498</v>
      </c>
      <c r="AI656" s="183">
        <v>44405</v>
      </c>
      <c r="AJ656" s="183" t="s">
        <v>883</v>
      </c>
      <c r="AK656" s="174"/>
    </row>
    <row r="657" spans="1:37" x14ac:dyDescent="0.3">
      <c r="A657" s="173">
        <v>118577</v>
      </c>
      <c r="B657" s="174" t="s">
        <v>1724</v>
      </c>
      <c r="C657" s="175" t="s">
        <v>629</v>
      </c>
      <c r="D657" s="176">
        <v>81.25</v>
      </c>
      <c r="E657" s="174"/>
      <c r="F657" s="174"/>
      <c r="G657" s="174" t="s">
        <v>883</v>
      </c>
      <c r="H657" s="177">
        <v>0</v>
      </c>
      <c r="I657" s="24">
        <v>103003</v>
      </c>
      <c r="J657" s="178">
        <v>81.25</v>
      </c>
      <c r="K657" s="177">
        <v>748.5</v>
      </c>
      <c r="L657" s="179">
        <v>0</v>
      </c>
      <c r="M657" s="180">
        <v>0</v>
      </c>
      <c r="N657" s="178">
        <v>0</v>
      </c>
      <c r="O657" s="181" t="s">
        <v>882</v>
      </c>
      <c r="P657" s="180">
        <v>0</v>
      </c>
      <c r="Q657" s="182">
        <v>0</v>
      </c>
      <c r="R657" s="183" t="s">
        <v>883</v>
      </c>
      <c r="S657" s="174" t="s">
        <v>1723</v>
      </c>
      <c r="T657" s="44">
        <v>1</v>
      </c>
      <c r="U657" s="184">
        <v>51</v>
      </c>
      <c r="V657" s="185">
        <v>21</v>
      </c>
      <c r="W657" s="186">
        <v>2231</v>
      </c>
      <c r="X657" s="187">
        <v>2023</v>
      </c>
      <c r="Y657" s="188">
        <v>2000</v>
      </c>
      <c r="Z657" s="188" t="s">
        <v>883</v>
      </c>
      <c r="AA657" s="187" t="s">
        <v>883</v>
      </c>
      <c r="AB657" s="188">
        <v>0</v>
      </c>
      <c r="AC657" s="188"/>
      <c r="AD657" s="189" t="s">
        <v>883</v>
      </c>
      <c r="AE657" s="190" t="s">
        <v>883</v>
      </c>
      <c r="AF657" s="180">
        <v>250</v>
      </c>
      <c r="AG657" s="183">
        <v>44551</v>
      </c>
      <c r="AH657" s="183">
        <v>40501</v>
      </c>
      <c r="AI657" s="183">
        <v>44544</v>
      </c>
      <c r="AJ657" s="183" t="s">
        <v>883</v>
      </c>
      <c r="AK657" s="174"/>
    </row>
    <row r="658" spans="1:37" x14ac:dyDescent="0.3">
      <c r="A658" s="173">
        <v>119087</v>
      </c>
      <c r="B658" s="174" t="s">
        <v>867</v>
      </c>
      <c r="C658" s="175" t="s">
        <v>256</v>
      </c>
      <c r="D658" s="176">
        <v>5.48</v>
      </c>
      <c r="E658" s="174"/>
      <c r="F658" s="174"/>
      <c r="G658" s="174" t="s">
        <v>883</v>
      </c>
      <c r="H658" s="177">
        <v>255</v>
      </c>
      <c r="I658" s="24">
        <v>103003</v>
      </c>
      <c r="J658" s="178">
        <v>5.48</v>
      </c>
      <c r="K658" s="177">
        <v>30</v>
      </c>
      <c r="L658" s="179">
        <v>58.891454965357966</v>
      </c>
      <c r="M658" s="180">
        <v>0</v>
      </c>
      <c r="N658" s="178">
        <v>0</v>
      </c>
      <c r="O658" s="181" t="s">
        <v>882</v>
      </c>
      <c r="P658" s="180">
        <v>0</v>
      </c>
      <c r="Q658" s="182">
        <v>0</v>
      </c>
      <c r="R658" s="183" t="s">
        <v>883</v>
      </c>
      <c r="S658" s="174" t="s">
        <v>1270</v>
      </c>
      <c r="T658" s="44">
        <v>1</v>
      </c>
      <c r="U658" s="184">
        <v>59</v>
      </c>
      <c r="V658" s="185">
        <v>18</v>
      </c>
      <c r="W658" s="186" t="s">
        <v>883</v>
      </c>
      <c r="X658" s="187" t="s">
        <v>883</v>
      </c>
      <c r="Y658" s="188">
        <v>0</v>
      </c>
      <c r="Z658" s="188" t="s">
        <v>883</v>
      </c>
      <c r="AA658" s="187" t="s">
        <v>883</v>
      </c>
      <c r="AB658" s="188">
        <v>0</v>
      </c>
      <c r="AC658" s="188"/>
      <c r="AD658" s="189" t="s">
        <v>883</v>
      </c>
      <c r="AE658" s="190" t="s">
        <v>883</v>
      </c>
      <c r="AF658" s="180">
        <v>18</v>
      </c>
      <c r="AG658" s="183">
        <v>40842</v>
      </c>
      <c r="AH658" s="183">
        <v>40575</v>
      </c>
      <c r="AI658" s="183">
        <v>40834</v>
      </c>
      <c r="AJ658" s="183" t="s">
        <v>883</v>
      </c>
      <c r="AK658" s="174"/>
    </row>
    <row r="659" spans="1:37" x14ac:dyDescent="0.3">
      <c r="A659" s="173">
        <v>119180</v>
      </c>
      <c r="B659" s="174" t="s">
        <v>1725</v>
      </c>
      <c r="C659" s="175" t="s">
        <v>31</v>
      </c>
      <c r="D659" s="176">
        <v>6.28</v>
      </c>
      <c r="E659" s="174"/>
      <c r="F659" s="174"/>
      <c r="G659" s="174" t="s">
        <v>883</v>
      </c>
      <c r="H659" s="177">
        <v>157</v>
      </c>
      <c r="I659" s="24">
        <v>103003</v>
      </c>
      <c r="J659" s="178">
        <v>6.28</v>
      </c>
      <c r="K659" s="177">
        <v>59</v>
      </c>
      <c r="L659" s="179">
        <v>31.910569105691057</v>
      </c>
      <c r="M659" s="180">
        <v>0</v>
      </c>
      <c r="N659" s="178">
        <v>0</v>
      </c>
      <c r="O659" s="181" t="s">
        <v>882</v>
      </c>
      <c r="P659" s="180">
        <v>0</v>
      </c>
      <c r="Q659" s="182">
        <v>0</v>
      </c>
      <c r="R659" s="183" t="s">
        <v>883</v>
      </c>
      <c r="S659" s="174" t="s">
        <v>1677</v>
      </c>
      <c r="T659" s="44">
        <v>1</v>
      </c>
      <c r="U659" s="184">
        <v>55</v>
      </c>
      <c r="V659" s="185">
        <v>37</v>
      </c>
      <c r="W659" s="186" t="s">
        <v>883</v>
      </c>
      <c r="X659" s="187" t="s">
        <v>883</v>
      </c>
      <c r="Y659" s="188">
        <v>0</v>
      </c>
      <c r="Z659" s="188" t="s">
        <v>883</v>
      </c>
      <c r="AA659" s="187" t="s">
        <v>883</v>
      </c>
      <c r="AB659" s="188">
        <v>0</v>
      </c>
      <c r="AC659" s="188"/>
      <c r="AD659" s="189" t="s">
        <v>883</v>
      </c>
      <c r="AE659" s="190" t="s">
        <v>883</v>
      </c>
      <c r="AF659" s="180">
        <v>20</v>
      </c>
      <c r="AG659" s="183">
        <v>41460</v>
      </c>
      <c r="AH659" s="183">
        <v>40581</v>
      </c>
      <c r="AI659" s="183">
        <v>42075</v>
      </c>
      <c r="AJ659" s="183" t="s">
        <v>883</v>
      </c>
      <c r="AK659" s="174"/>
    </row>
    <row r="660" spans="1:37" x14ac:dyDescent="0.3">
      <c r="A660" s="173">
        <v>119181</v>
      </c>
      <c r="B660" s="174" t="s">
        <v>1726</v>
      </c>
      <c r="C660" s="175" t="s">
        <v>31</v>
      </c>
      <c r="D660" s="176">
        <v>2.68</v>
      </c>
      <c r="E660" s="174"/>
      <c r="F660" s="174"/>
      <c r="G660" s="174" t="s">
        <v>883</v>
      </c>
      <c r="H660" s="177">
        <v>680</v>
      </c>
      <c r="I660" s="24">
        <v>103003</v>
      </c>
      <c r="J660" s="178">
        <v>2.68</v>
      </c>
      <c r="K660" s="177">
        <v>387</v>
      </c>
      <c r="L660" s="179">
        <v>16.03017444601603</v>
      </c>
      <c r="M660" s="180">
        <v>0</v>
      </c>
      <c r="N660" s="178">
        <v>0</v>
      </c>
      <c r="O660" s="181" t="s">
        <v>882</v>
      </c>
      <c r="P660" s="180">
        <v>0</v>
      </c>
      <c r="Q660" s="182">
        <v>0</v>
      </c>
      <c r="R660" s="183" t="s">
        <v>883</v>
      </c>
      <c r="S660" s="174" t="s">
        <v>1677</v>
      </c>
      <c r="T660" s="44">
        <v>1</v>
      </c>
      <c r="U660" s="184">
        <v>55</v>
      </c>
      <c r="V660" s="185">
        <v>37</v>
      </c>
      <c r="W660" s="186" t="s">
        <v>883</v>
      </c>
      <c r="X660" s="187" t="s">
        <v>883</v>
      </c>
      <c r="Y660" s="188">
        <v>0</v>
      </c>
      <c r="Z660" s="188" t="s">
        <v>883</v>
      </c>
      <c r="AA660" s="187" t="s">
        <v>883</v>
      </c>
      <c r="AB660" s="188">
        <v>0</v>
      </c>
      <c r="AC660" s="188"/>
      <c r="AD660" s="189" t="s">
        <v>883</v>
      </c>
      <c r="AE660" s="190" t="s">
        <v>883</v>
      </c>
      <c r="AF660" s="180">
        <v>170</v>
      </c>
      <c r="AG660" s="183">
        <v>44544</v>
      </c>
      <c r="AH660" s="183">
        <v>40581</v>
      </c>
      <c r="AI660" s="183">
        <v>44470</v>
      </c>
      <c r="AJ660" s="183" t="s">
        <v>883</v>
      </c>
      <c r="AK660" s="174"/>
    </row>
    <row r="661" spans="1:37" x14ac:dyDescent="0.3">
      <c r="A661" s="173">
        <v>119318</v>
      </c>
      <c r="B661" s="174" t="s">
        <v>1727</v>
      </c>
      <c r="C661" s="175" t="s">
        <v>275</v>
      </c>
      <c r="D661" s="176">
        <v>3.2</v>
      </c>
      <c r="E661" s="174"/>
      <c r="F661" s="174"/>
      <c r="G661" s="174" t="s">
        <v>883</v>
      </c>
      <c r="H661" s="177">
        <v>0</v>
      </c>
      <c r="I661" s="24">
        <v>103003</v>
      </c>
      <c r="J661" s="178">
        <v>3.2</v>
      </c>
      <c r="K661" s="177">
        <v>139</v>
      </c>
      <c r="L661" s="179">
        <v>0</v>
      </c>
      <c r="M661" s="180">
        <v>145</v>
      </c>
      <c r="N661" s="178">
        <v>464</v>
      </c>
      <c r="O661" s="181" t="s">
        <v>882</v>
      </c>
      <c r="P661" s="180">
        <v>0</v>
      </c>
      <c r="Q661" s="182">
        <v>0</v>
      </c>
      <c r="R661" s="183" t="s">
        <v>883</v>
      </c>
      <c r="S661" s="174" t="s">
        <v>1728</v>
      </c>
      <c r="T661" s="44">
        <v>1</v>
      </c>
      <c r="U661" s="184">
        <v>45</v>
      </c>
      <c r="V661" s="185">
        <v>8</v>
      </c>
      <c r="W661" s="186">
        <v>6209</v>
      </c>
      <c r="X661" s="187">
        <v>2023</v>
      </c>
      <c r="Y661" s="188">
        <v>50</v>
      </c>
      <c r="Z661" s="188" t="s">
        <v>883</v>
      </c>
      <c r="AA661" s="187" t="s">
        <v>883</v>
      </c>
      <c r="AB661" s="188">
        <v>0</v>
      </c>
      <c r="AC661" s="188"/>
      <c r="AD661" s="189" t="s">
        <v>883</v>
      </c>
      <c r="AE661" s="190" t="s">
        <v>883</v>
      </c>
      <c r="AF661" s="180">
        <v>66</v>
      </c>
      <c r="AG661" s="183">
        <v>43874</v>
      </c>
      <c r="AH661" s="183">
        <v>40598</v>
      </c>
      <c r="AI661" s="183">
        <v>43866</v>
      </c>
      <c r="AJ661" s="183" t="s">
        <v>883</v>
      </c>
      <c r="AK661" s="174"/>
    </row>
    <row r="662" spans="1:37" x14ac:dyDescent="0.3">
      <c r="A662" s="173">
        <v>119554</v>
      </c>
      <c r="B662" s="174" t="s">
        <v>1729</v>
      </c>
      <c r="C662" s="175" t="s">
        <v>406</v>
      </c>
      <c r="D662" s="176">
        <v>482.5</v>
      </c>
      <c r="E662" s="174"/>
      <c r="F662" s="174"/>
      <c r="G662" s="174" t="s">
        <v>883</v>
      </c>
      <c r="H662" s="177">
        <v>188</v>
      </c>
      <c r="I662" s="24">
        <v>103003</v>
      </c>
      <c r="J662" s="178">
        <v>482.5</v>
      </c>
      <c r="K662" s="177">
        <v>146</v>
      </c>
      <c r="L662" s="179">
        <v>15.44782251437962</v>
      </c>
      <c r="M662" s="180">
        <v>0</v>
      </c>
      <c r="N662" s="178">
        <v>0</v>
      </c>
      <c r="O662" s="181" t="s">
        <v>882</v>
      </c>
      <c r="P662" s="180">
        <v>0</v>
      </c>
      <c r="Q662" s="182">
        <v>0</v>
      </c>
      <c r="R662" s="183" t="s">
        <v>883</v>
      </c>
      <c r="S662" s="174" t="s">
        <v>1209</v>
      </c>
      <c r="T662" s="44">
        <v>1</v>
      </c>
      <c r="U662" s="184">
        <v>74</v>
      </c>
      <c r="V662" s="185">
        <v>9</v>
      </c>
      <c r="W662" s="186" t="s">
        <v>883</v>
      </c>
      <c r="X662" s="187" t="s">
        <v>883</v>
      </c>
      <c r="Y662" s="188">
        <v>0</v>
      </c>
      <c r="Z662" s="188" t="s">
        <v>883</v>
      </c>
      <c r="AA662" s="187" t="s">
        <v>883</v>
      </c>
      <c r="AB662" s="188">
        <v>0</v>
      </c>
      <c r="AC662" s="188"/>
      <c r="AD662" s="189" t="s">
        <v>883</v>
      </c>
      <c r="AE662" s="190" t="s">
        <v>883</v>
      </c>
      <c r="AF662" s="180">
        <v>48</v>
      </c>
      <c r="AG662" s="183">
        <v>44545</v>
      </c>
      <c r="AH662" s="183">
        <v>40632</v>
      </c>
      <c r="AI662" s="183">
        <v>44539</v>
      </c>
      <c r="AJ662" s="183" t="s">
        <v>883</v>
      </c>
      <c r="AK662" s="174"/>
    </row>
    <row r="663" spans="1:37" x14ac:dyDescent="0.3">
      <c r="A663" s="173">
        <v>119595</v>
      </c>
      <c r="B663" s="174" t="s">
        <v>1730</v>
      </c>
      <c r="C663" s="175" t="s">
        <v>281</v>
      </c>
      <c r="D663" s="176">
        <v>4.33</v>
      </c>
      <c r="E663" s="174" t="s">
        <v>1731</v>
      </c>
      <c r="F663" s="174" t="s">
        <v>1732</v>
      </c>
      <c r="G663" s="174" t="s">
        <v>952</v>
      </c>
      <c r="H663" s="177">
        <v>317</v>
      </c>
      <c r="I663" s="24">
        <v>103003</v>
      </c>
      <c r="J663" s="178">
        <v>4.33</v>
      </c>
      <c r="K663" s="177">
        <v>34</v>
      </c>
      <c r="L663" s="179">
        <v>102.92207792207792</v>
      </c>
      <c r="M663" s="180">
        <v>0</v>
      </c>
      <c r="N663" s="178">
        <v>0</v>
      </c>
      <c r="O663" s="181" t="s">
        <v>953</v>
      </c>
      <c r="P663" s="180">
        <v>44840</v>
      </c>
      <c r="Q663" s="182">
        <v>194157.2</v>
      </c>
      <c r="R663" s="183">
        <v>45189</v>
      </c>
      <c r="S663" s="174" t="s">
        <v>1733</v>
      </c>
      <c r="T663" s="44">
        <v>1</v>
      </c>
      <c r="U663" s="184">
        <v>62</v>
      </c>
      <c r="V663" s="185">
        <v>26</v>
      </c>
      <c r="W663" s="186" t="s">
        <v>883</v>
      </c>
      <c r="X663" s="187" t="s">
        <v>883</v>
      </c>
      <c r="Y663" s="188">
        <v>0</v>
      </c>
      <c r="Z663" s="188" t="s">
        <v>883</v>
      </c>
      <c r="AA663" s="187" t="s">
        <v>883</v>
      </c>
      <c r="AB663" s="188">
        <v>0</v>
      </c>
      <c r="AC663" s="188"/>
      <c r="AD663" s="189" t="s">
        <v>883</v>
      </c>
      <c r="AE663" s="190" t="s">
        <v>883</v>
      </c>
      <c r="AF663" s="180">
        <v>12</v>
      </c>
      <c r="AG663" s="183">
        <v>44145</v>
      </c>
      <c r="AH663" s="183">
        <v>40638</v>
      </c>
      <c r="AI663" s="183">
        <v>44958</v>
      </c>
      <c r="AJ663" s="183" t="s">
        <v>883</v>
      </c>
      <c r="AK663" s="174"/>
    </row>
    <row r="664" spans="1:37" x14ac:dyDescent="0.3">
      <c r="A664" s="173">
        <v>119621</v>
      </c>
      <c r="B664" s="174" t="s">
        <v>1734</v>
      </c>
      <c r="C664" s="175" t="s">
        <v>406</v>
      </c>
      <c r="D664" s="176">
        <v>200.76</v>
      </c>
      <c r="E664" s="174"/>
      <c r="F664" s="174"/>
      <c r="G664" s="174" t="s">
        <v>883</v>
      </c>
      <c r="H664" s="177">
        <v>298</v>
      </c>
      <c r="I664" s="24">
        <v>103003</v>
      </c>
      <c r="J664" s="178">
        <v>200.76</v>
      </c>
      <c r="K664" s="177">
        <v>369</v>
      </c>
      <c r="L664" s="179">
        <v>8.0540540540540544</v>
      </c>
      <c r="M664" s="180">
        <v>46</v>
      </c>
      <c r="N664" s="178">
        <v>9234.9599999999991</v>
      </c>
      <c r="O664" s="181" t="s">
        <v>882</v>
      </c>
      <c r="P664" s="180">
        <v>0</v>
      </c>
      <c r="Q664" s="182">
        <v>0</v>
      </c>
      <c r="R664" s="183" t="s">
        <v>883</v>
      </c>
      <c r="S664" s="174" t="s">
        <v>1209</v>
      </c>
      <c r="T664" s="44">
        <v>1</v>
      </c>
      <c r="U664" s="184">
        <v>74</v>
      </c>
      <c r="V664" s="185">
        <v>9</v>
      </c>
      <c r="W664" s="186">
        <v>2982</v>
      </c>
      <c r="X664" s="187">
        <v>2023</v>
      </c>
      <c r="Y664" s="188">
        <v>100</v>
      </c>
      <c r="Z664" s="188" t="s">
        <v>883</v>
      </c>
      <c r="AA664" s="187" t="s">
        <v>883</v>
      </c>
      <c r="AB664" s="188">
        <v>0</v>
      </c>
      <c r="AC664" s="188"/>
      <c r="AD664" s="189" t="s">
        <v>883</v>
      </c>
      <c r="AE664" s="190" t="s">
        <v>883</v>
      </c>
      <c r="AF664" s="180">
        <v>148</v>
      </c>
      <c r="AG664" s="183">
        <v>44244</v>
      </c>
      <c r="AH664" s="183">
        <v>40641</v>
      </c>
      <c r="AI664" s="183">
        <v>44133</v>
      </c>
      <c r="AJ664" s="183" t="s">
        <v>883</v>
      </c>
      <c r="AK664" s="174"/>
    </row>
    <row r="665" spans="1:37" x14ac:dyDescent="0.3">
      <c r="A665" s="173">
        <v>120615</v>
      </c>
      <c r="B665" s="174" t="s">
        <v>1735</v>
      </c>
      <c r="C665" s="175" t="s">
        <v>331</v>
      </c>
      <c r="D665" s="176">
        <v>1.05</v>
      </c>
      <c r="E665" s="174"/>
      <c r="F665" s="174"/>
      <c r="G665" s="174" t="s">
        <v>883</v>
      </c>
      <c r="H665" s="177">
        <v>1276</v>
      </c>
      <c r="I665" s="24">
        <v>103003</v>
      </c>
      <c r="J665" s="178">
        <v>1.05</v>
      </c>
      <c r="K665" s="177"/>
      <c r="L665" s="179">
        <v>0</v>
      </c>
      <c r="M665" s="180">
        <v>0</v>
      </c>
      <c r="N665" s="178">
        <v>0</v>
      </c>
      <c r="O665" s="181" t="s">
        <v>882</v>
      </c>
      <c r="P665" s="180">
        <v>0</v>
      </c>
      <c r="Q665" s="182">
        <v>0</v>
      </c>
      <c r="R665" s="183" t="s">
        <v>883</v>
      </c>
      <c r="S665" s="174" t="s">
        <v>1736</v>
      </c>
      <c r="T665" s="44">
        <v>1</v>
      </c>
      <c r="U665" s="184">
        <v>80</v>
      </c>
      <c r="V665" s="185">
        <v>13</v>
      </c>
      <c r="W665" s="186" t="s">
        <v>883</v>
      </c>
      <c r="X665" s="187" t="s">
        <v>883</v>
      </c>
      <c r="Y665" s="188">
        <v>0</v>
      </c>
      <c r="Z665" s="188" t="s">
        <v>883</v>
      </c>
      <c r="AA665" s="187" t="s">
        <v>883</v>
      </c>
      <c r="AB665" s="188">
        <v>0</v>
      </c>
      <c r="AC665" s="188"/>
      <c r="AD665" s="189" t="s">
        <v>883</v>
      </c>
      <c r="AE665" s="190" t="s">
        <v>883</v>
      </c>
      <c r="AF665" s="180">
        <v>0</v>
      </c>
      <c r="AG665" s="183">
        <v>42333</v>
      </c>
      <c r="AH665" s="183">
        <v>40756</v>
      </c>
      <c r="AI665" s="183">
        <v>42297</v>
      </c>
      <c r="AJ665" s="183" t="s">
        <v>883</v>
      </c>
      <c r="AK665" s="174"/>
    </row>
    <row r="666" spans="1:37" x14ac:dyDescent="0.3">
      <c r="A666" s="173">
        <v>120995</v>
      </c>
      <c r="B666" s="174" t="s">
        <v>1737</v>
      </c>
      <c r="C666" s="175" t="s">
        <v>331</v>
      </c>
      <c r="D666" s="176">
        <v>3.39</v>
      </c>
      <c r="E666" s="174"/>
      <c r="F666" s="174"/>
      <c r="G666" s="174" t="s">
        <v>883</v>
      </c>
      <c r="H666" s="177">
        <v>80</v>
      </c>
      <c r="I666" s="24">
        <v>103003</v>
      </c>
      <c r="J666" s="178">
        <v>3.39</v>
      </c>
      <c r="K666" s="177">
        <v>156</v>
      </c>
      <c r="L666" s="179">
        <v>6.1538461538461533</v>
      </c>
      <c r="M666" s="180">
        <v>0</v>
      </c>
      <c r="N666" s="178">
        <v>0</v>
      </c>
      <c r="O666" s="181" t="s">
        <v>882</v>
      </c>
      <c r="P666" s="180">
        <v>0</v>
      </c>
      <c r="Q666" s="182">
        <v>0</v>
      </c>
      <c r="R666" s="183" t="s">
        <v>883</v>
      </c>
      <c r="S666" s="174" t="s">
        <v>988</v>
      </c>
      <c r="T666" s="44">
        <v>1</v>
      </c>
      <c r="U666" s="184">
        <v>55</v>
      </c>
      <c r="V666" s="185">
        <v>32</v>
      </c>
      <c r="W666" s="186">
        <v>2442</v>
      </c>
      <c r="X666" s="187">
        <v>2023</v>
      </c>
      <c r="Y666" s="188">
        <v>100</v>
      </c>
      <c r="Z666" s="188" t="s">
        <v>883</v>
      </c>
      <c r="AA666" s="187" t="s">
        <v>883</v>
      </c>
      <c r="AB666" s="188">
        <v>0</v>
      </c>
      <c r="AC666" s="188"/>
      <c r="AD666" s="189" t="s">
        <v>883</v>
      </c>
      <c r="AE666" s="190" t="s">
        <v>883</v>
      </c>
      <c r="AF666" s="180">
        <v>52</v>
      </c>
      <c r="AG666" s="183">
        <v>44883</v>
      </c>
      <c r="AH666" s="183">
        <v>40794</v>
      </c>
      <c r="AI666" s="183">
        <v>44917</v>
      </c>
      <c r="AJ666" s="183" t="s">
        <v>883</v>
      </c>
      <c r="AK666" s="174"/>
    </row>
    <row r="667" spans="1:37" x14ac:dyDescent="0.3">
      <c r="A667" s="173">
        <v>121054</v>
      </c>
      <c r="B667" s="174" t="s">
        <v>1738</v>
      </c>
      <c r="C667" s="175" t="s">
        <v>294</v>
      </c>
      <c r="D667" s="176">
        <v>498.9</v>
      </c>
      <c r="E667" s="174"/>
      <c r="F667" s="174"/>
      <c r="G667" s="174" t="s">
        <v>883</v>
      </c>
      <c r="H667" s="177">
        <v>93</v>
      </c>
      <c r="I667" s="24">
        <v>103003</v>
      </c>
      <c r="J667" s="178">
        <v>498.9</v>
      </c>
      <c r="K667" s="177">
        <v>2</v>
      </c>
      <c r="L667" s="179">
        <v>547.05882352941182</v>
      </c>
      <c r="M667" s="180">
        <v>0</v>
      </c>
      <c r="N667" s="178">
        <v>0</v>
      </c>
      <c r="O667" s="181" t="s">
        <v>882</v>
      </c>
      <c r="P667" s="180">
        <v>0</v>
      </c>
      <c r="Q667" s="182">
        <v>0</v>
      </c>
      <c r="R667" s="183" t="s">
        <v>883</v>
      </c>
      <c r="S667" s="174" t="s">
        <v>1037</v>
      </c>
      <c r="T667" s="44">
        <v>1</v>
      </c>
      <c r="U667" s="184">
        <v>69</v>
      </c>
      <c r="V667" s="185">
        <v>10</v>
      </c>
      <c r="W667" s="186" t="s">
        <v>883</v>
      </c>
      <c r="X667" s="187" t="s">
        <v>883</v>
      </c>
      <c r="Y667" s="188">
        <v>0</v>
      </c>
      <c r="Z667" s="188" t="s">
        <v>883</v>
      </c>
      <c r="AA667" s="187" t="s">
        <v>883</v>
      </c>
      <c r="AB667" s="188">
        <v>0</v>
      </c>
      <c r="AC667" s="188"/>
      <c r="AD667" s="189" t="s">
        <v>883</v>
      </c>
      <c r="AE667" s="190" t="s">
        <v>883</v>
      </c>
      <c r="AF667" s="180">
        <v>0</v>
      </c>
      <c r="AG667" s="183">
        <v>44117</v>
      </c>
      <c r="AH667" s="183">
        <v>40805</v>
      </c>
      <c r="AI667" s="183">
        <v>44881</v>
      </c>
      <c r="AJ667" s="183" t="s">
        <v>883</v>
      </c>
      <c r="AK667" s="174"/>
    </row>
    <row r="668" spans="1:37" x14ac:dyDescent="0.3">
      <c r="A668" s="173">
        <v>121086</v>
      </c>
      <c r="B668" s="174" t="s">
        <v>1739</v>
      </c>
      <c r="C668" s="175" t="s">
        <v>596</v>
      </c>
      <c r="D668" s="176">
        <v>95</v>
      </c>
      <c r="E668" s="174"/>
      <c r="F668" s="174"/>
      <c r="G668" s="174" t="s">
        <v>883</v>
      </c>
      <c r="H668" s="177">
        <v>2</v>
      </c>
      <c r="I668" s="24">
        <v>103003</v>
      </c>
      <c r="J668" s="178">
        <v>95</v>
      </c>
      <c r="K668" s="177">
        <v>9</v>
      </c>
      <c r="L668" s="179">
        <v>2.666666666666667</v>
      </c>
      <c r="M668" s="180">
        <v>2</v>
      </c>
      <c r="N668" s="178">
        <v>190</v>
      </c>
      <c r="O668" s="181" t="s">
        <v>882</v>
      </c>
      <c r="P668" s="180">
        <v>0</v>
      </c>
      <c r="Q668" s="182">
        <v>0</v>
      </c>
      <c r="R668" s="183" t="s">
        <v>883</v>
      </c>
      <c r="S668" s="174" t="s">
        <v>1740</v>
      </c>
      <c r="T668" s="44">
        <v>1</v>
      </c>
      <c r="U668" s="184">
        <v>75</v>
      </c>
      <c r="V668" s="185">
        <v>5</v>
      </c>
      <c r="W668" s="186">
        <v>2501</v>
      </c>
      <c r="X668" s="187">
        <v>2023</v>
      </c>
      <c r="Y668" s="188">
        <v>5</v>
      </c>
      <c r="Z668" s="188" t="s">
        <v>883</v>
      </c>
      <c r="AA668" s="187" t="s">
        <v>883</v>
      </c>
      <c r="AB668" s="188">
        <v>0</v>
      </c>
      <c r="AC668" s="188"/>
      <c r="AD668" s="189" t="s">
        <v>883</v>
      </c>
      <c r="AE668" s="190" t="s">
        <v>883</v>
      </c>
      <c r="AF668" s="180">
        <v>4</v>
      </c>
      <c r="AG668" s="183">
        <v>43560</v>
      </c>
      <c r="AH668" s="183">
        <v>40807</v>
      </c>
      <c r="AI668" s="183">
        <v>43552</v>
      </c>
      <c r="AJ668" s="183" t="s">
        <v>883</v>
      </c>
      <c r="AK668" s="174"/>
    </row>
    <row r="669" spans="1:37" x14ac:dyDescent="0.3">
      <c r="A669" s="173">
        <v>121126</v>
      </c>
      <c r="B669" s="174" t="s">
        <v>1741</v>
      </c>
      <c r="C669" s="175" t="s">
        <v>31</v>
      </c>
      <c r="D669" s="176">
        <v>0.12</v>
      </c>
      <c r="E669" s="174"/>
      <c r="F669" s="174"/>
      <c r="G669" s="174" t="s">
        <v>883</v>
      </c>
      <c r="H669" s="177">
        <v>0</v>
      </c>
      <c r="I669" s="24">
        <v>103003</v>
      </c>
      <c r="J669" s="178">
        <v>0.12</v>
      </c>
      <c r="K669" s="177">
        <v>63900</v>
      </c>
      <c r="L669" s="179">
        <v>0</v>
      </c>
      <c r="M669" s="180">
        <v>0</v>
      </c>
      <c r="N669" s="178">
        <v>0</v>
      </c>
      <c r="O669" s="181" t="s">
        <v>882</v>
      </c>
      <c r="P669" s="180">
        <v>0</v>
      </c>
      <c r="Q669" s="182">
        <v>0</v>
      </c>
      <c r="R669" s="183" t="s">
        <v>883</v>
      </c>
      <c r="S669" s="174" t="s">
        <v>1218</v>
      </c>
      <c r="T669" s="44">
        <v>1</v>
      </c>
      <c r="U669" s="184">
        <v>62</v>
      </c>
      <c r="V669" s="185">
        <v>10</v>
      </c>
      <c r="W669" s="186">
        <v>5544</v>
      </c>
      <c r="X669" s="187">
        <v>2023</v>
      </c>
      <c r="Y669" s="188">
        <v>200000</v>
      </c>
      <c r="Z669" s="188" t="s">
        <v>883</v>
      </c>
      <c r="AA669" s="187" t="s">
        <v>883</v>
      </c>
      <c r="AB669" s="188">
        <v>0</v>
      </c>
      <c r="AC669" s="188"/>
      <c r="AD669" s="189" t="s">
        <v>883</v>
      </c>
      <c r="AE669" s="190" t="s">
        <v>883</v>
      </c>
      <c r="AF669" s="180">
        <v>21302</v>
      </c>
      <c r="AG669" s="183">
        <v>44736</v>
      </c>
      <c r="AH669" s="183">
        <v>40814</v>
      </c>
      <c r="AI669" s="183">
        <v>44711</v>
      </c>
      <c r="AJ669" s="183" t="s">
        <v>883</v>
      </c>
      <c r="AK669" s="174"/>
    </row>
    <row r="670" spans="1:37" x14ac:dyDescent="0.3">
      <c r="A670" s="173">
        <v>122304</v>
      </c>
      <c r="B670" s="174" t="s">
        <v>1742</v>
      </c>
      <c r="C670" s="175" t="s">
        <v>31</v>
      </c>
      <c r="D670" s="176">
        <v>1.99</v>
      </c>
      <c r="E670" s="174"/>
      <c r="F670" s="174"/>
      <c r="G670" s="174" t="s">
        <v>883</v>
      </c>
      <c r="H670" s="177">
        <v>0</v>
      </c>
      <c r="I670" s="24">
        <v>103003</v>
      </c>
      <c r="J670" s="178">
        <v>1.99</v>
      </c>
      <c r="K670" s="177">
        <v>2417</v>
      </c>
      <c r="L670" s="179">
        <v>0</v>
      </c>
      <c r="M670" s="180">
        <v>0</v>
      </c>
      <c r="N670" s="178">
        <v>0</v>
      </c>
      <c r="O670" s="181" t="s">
        <v>882</v>
      </c>
      <c r="P670" s="180">
        <v>0</v>
      </c>
      <c r="Q670" s="182">
        <v>0</v>
      </c>
      <c r="R670" s="183" t="s">
        <v>883</v>
      </c>
      <c r="S670" s="174" t="s">
        <v>1275</v>
      </c>
      <c r="T670" s="44">
        <v>1</v>
      </c>
      <c r="U670" s="184">
        <v>83</v>
      </c>
      <c r="V670" s="185">
        <v>4</v>
      </c>
      <c r="W670" s="186">
        <v>2542</v>
      </c>
      <c r="X670" s="187">
        <v>2023</v>
      </c>
      <c r="Y670" s="188">
        <v>4000</v>
      </c>
      <c r="Z670" s="188" t="s">
        <v>883</v>
      </c>
      <c r="AA670" s="187" t="s">
        <v>883</v>
      </c>
      <c r="AB670" s="188">
        <v>0</v>
      </c>
      <c r="AC670" s="188"/>
      <c r="AD670" s="189" t="s">
        <v>883</v>
      </c>
      <c r="AE670" s="190" t="s">
        <v>883</v>
      </c>
      <c r="AF670" s="180">
        <v>936</v>
      </c>
      <c r="AG670" s="183">
        <v>44970</v>
      </c>
      <c r="AH670" s="183">
        <v>40946</v>
      </c>
      <c r="AI670" s="183">
        <v>45082</v>
      </c>
      <c r="AJ670" s="183" t="s">
        <v>883</v>
      </c>
      <c r="AK670" s="174"/>
    </row>
    <row r="671" spans="1:37" x14ac:dyDescent="0.3">
      <c r="A671" s="173">
        <v>122305</v>
      </c>
      <c r="B671" s="174" t="s">
        <v>1743</v>
      </c>
      <c r="C671" s="175" t="s">
        <v>31</v>
      </c>
      <c r="D671" s="176">
        <v>2.14</v>
      </c>
      <c r="E671" s="174"/>
      <c r="F671" s="174"/>
      <c r="G671" s="174" t="s">
        <v>883</v>
      </c>
      <c r="H671" s="177">
        <v>526</v>
      </c>
      <c r="I671" s="24">
        <v>103003</v>
      </c>
      <c r="J671" s="178">
        <v>2.14</v>
      </c>
      <c r="K671" s="177">
        <v>753</v>
      </c>
      <c r="L671" s="179">
        <v>8.382470119521912</v>
      </c>
      <c r="M671" s="180">
        <v>227</v>
      </c>
      <c r="N671" s="178">
        <v>485.78</v>
      </c>
      <c r="O671" s="181" t="s">
        <v>882</v>
      </c>
      <c r="P671" s="180">
        <v>0</v>
      </c>
      <c r="Q671" s="182">
        <v>0</v>
      </c>
      <c r="R671" s="183" t="s">
        <v>883</v>
      </c>
      <c r="S671" s="174" t="s">
        <v>1275</v>
      </c>
      <c r="T671" s="44">
        <v>1</v>
      </c>
      <c r="U671" s="184">
        <v>83</v>
      </c>
      <c r="V671" s="185">
        <v>4</v>
      </c>
      <c r="W671" s="186" t="s">
        <v>883</v>
      </c>
      <c r="X671" s="187" t="s">
        <v>883</v>
      </c>
      <c r="Y671" s="188">
        <v>0</v>
      </c>
      <c r="Z671" s="188" t="s">
        <v>883</v>
      </c>
      <c r="AA671" s="187" t="s">
        <v>883</v>
      </c>
      <c r="AB671" s="188">
        <v>0</v>
      </c>
      <c r="AC671" s="188"/>
      <c r="AD671" s="189" t="s">
        <v>883</v>
      </c>
      <c r="AE671" s="190" t="s">
        <v>883</v>
      </c>
      <c r="AF671" s="180">
        <v>252</v>
      </c>
      <c r="AG671" s="183">
        <v>43818</v>
      </c>
      <c r="AH671" s="183">
        <v>40946</v>
      </c>
      <c r="AI671" s="183">
        <v>44214</v>
      </c>
      <c r="AJ671" s="183" t="s">
        <v>883</v>
      </c>
      <c r="AK671" s="174"/>
    </row>
    <row r="672" spans="1:37" x14ac:dyDescent="0.3">
      <c r="A672" s="173">
        <v>122818</v>
      </c>
      <c r="B672" s="174" t="s">
        <v>1744</v>
      </c>
      <c r="C672" s="175" t="s">
        <v>629</v>
      </c>
      <c r="D672" s="176">
        <v>319.89999999999998</v>
      </c>
      <c r="E672" s="174"/>
      <c r="F672" s="174"/>
      <c r="G672" s="174" t="s">
        <v>883</v>
      </c>
      <c r="H672" s="177">
        <v>2413.25</v>
      </c>
      <c r="I672" s="24">
        <v>103003</v>
      </c>
      <c r="J672" s="178">
        <v>319.89999999999998</v>
      </c>
      <c r="K672" s="177">
        <v>457</v>
      </c>
      <c r="L672" s="179">
        <v>63.373161764705877</v>
      </c>
      <c r="M672" s="180">
        <v>0</v>
      </c>
      <c r="N672" s="178">
        <v>0</v>
      </c>
      <c r="O672" s="181" t="s">
        <v>882</v>
      </c>
      <c r="P672" s="180">
        <v>0</v>
      </c>
      <c r="Q672" s="182">
        <v>0</v>
      </c>
      <c r="R672" s="183" t="s">
        <v>883</v>
      </c>
      <c r="S672" s="174" t="s">
        <v>1723</v>
      </c>
      <c r="T672" s="44">
        <v>1</v>
      </c>
      <c r="U672" s="184">
        <v>51</v>
      </c>
      <c r="V672" s="185">
        <v>21</v>
      </c>
      <c r="W672" s="186" t="s">
        <v>883</v>
      </c>
      <c r="X672" s="187" t="s">
        <v>883</v>
      </c>
      <c r="Y672" s="188">
        <v>0</v>
      </c>
      <c r="Z672" s="188" t="s">
        <v>883</v>
      </c>
      <c r="AA672" s="187" t="s">
        <v>883</v>
      </c>
      <c r="AB672" s="188">
        <v>0</v>
      </c>
      <c r="AC672" s="188"/>
      <c r="AD672" s="189" t="s">
        <v>883</v>
      </c>
      <c r="AE672" s="190" t="s">
        <v>883</v>
      </c>
      <c r="AF672" s="180">
        <v>152</v>
      </c>
      <c r="AG672" s="183">
        <v>44553</v>
      </c>
      <c r="AH672" s="183">
        <v>41003</v>
      </c>
      <c r="AI672" s="183">
        <v>44412</v>
      </c>
      <c r="AJ672" s="183" t="s">
        <v>883</v>
      </c>
      <c r="AK672" s="174"/>
    </row>
    <row r="673" spans="1:37" x14ac:dyDescent="0.3">
      <c r="A673" s="173">
        <v>123131</v>
      </c>
      <c r="B673" s="174" t="s">
        <v>1745</v>
      </c>
      <c r="C673" s="175" t="s">
        <v>294</v>
      </c>
      <c r="D673" s="176">
        <v>30</v>
      </c>
      <c r="E673" s="174"/>
      <c r="F673" s="174"/>
      <c r="G673" s="174" t="s">
        <v>883</v>
      </c>
      <c r="H673" s="177">
        <v>332</v>
      </c>
      <c r="I673" s="24">
        <v>103003</v>
      </c>
      <c r="J673" s="178">
        <v>30</v>
      </c>
      <c r="K673" s="177"/>
      <c r="L673" s="179">
        <v>0</v>
      </c>
      <c r="M673" s="180">
        <v>0</v>
      </c>
      <c r="N673" s="178">
        <v>0</v>
      </c>
      <c r="O673" s="181" t="s">
        <v>882</v>
      </c>
      <c r="P673" s="180">
        <v>0</v>
      </c>
      <c r="Q673" s="182">
        <v>0</v>
      </c>
      <c r="R673" s="183" t="s">
        <v>883</v>
      </c>
      <c r="S673" s="174" t="s">
        <v>1332</v>
      </c>
      <c r="T673" s="44">
        <v>1</v>
      </c>
      <c r="U673" s="184">
        <v>69</v>
      </c>
      <c r="V673" s="185">
        <v>2</v>
      </c>
      <c r="W673" s="186" t="s">
        <v>883</v>
      </c>
      <c r="X673" s="187" t="s">
        <v>883</v>
      </c>
      <c r="Y673" s="188">
        <v>0</v>
      </c>
      <c r="Z673" s="188" t="s">
        <v>883</v>
      </c>
      <c r="AA673" s="187" t="s">
        <v>883</v>
      </c>
      <c r="AB673" s="188">
        <v>0</v>
      </c>
      <c r="AC673" s="188"/>
      <c r="AD673" s="189" t="s">
        <v>883</v>
      </c>
      <c r="AE673" s="190" t="s">
        <v>883</v>
      </c>
      <c r="AF673" s="180">
        <v>0</v>
      </c>
      <c r="AG673" s="183">
        <v>43622</v>
      </c>
      <c r="AH673" s="183">
        <v>41053</v>
      </c>
      <c r="AI673" s="183">
        <v>43614</v>
      </c>
      <c r="AJ673" s="183" t="s">
        <v>883</v>
      </c>
      <c r="AK673" s="174"/>
    </row>
    <row r="674" spans="1:37" x14ac:dyDescent="0.3">
      <c r="A674" s="173">
        <v>123132</v>
      </c>
      <c r="B674" s="174" t="s">
        <v>1746</v>
      </c>
      <c r="C674" s="175" t="s">
        <v>294</v>
      </c>
      <c r="D674" s="176">
        <v>53.47</v>
      </c>
      <c r="E674" s="174"/>
      <c r="F674" s="174"/>
      <c r="G674" s="174" t="s">
        <v>883</v>
      </c>
      <c r="H674" s="177">
        <v>527</v>
      </c>
      <c r="I674" s="24">
        <v>103003</v>
      </c>
      <c r="J674" s="178">
        <v>53.47</v>
      </c>
      <c r="K674" s="177"/>
      <c r="L674" s="179">
        <v>0</v>
      </c>
      <c r="M674" s="180">
        <v>0</v>
      </c>
      <c r="N674" s="178">
        <v>0</v>
      </c>
      <c r="O674" s="181" t="s">
        <v>882</v>
      </c>
      <c r="P674" s="180">
        <v>0</v>
      </c>
      <c r="Q674" s="182">
        <v>0</v>
      </c>
      <c r="R674" s="183" t="s">
        <v>883</v>
      </c>
      <c r="S674" s="174" t="s">
        <v>1332</v>
      </c>
      <c r="T674" s="44">
        <v>1</v>
      </c>
      <c r="U674" s="184">
        <v>69</v>
      </c>
      <c r="V674" s="185">
        <v>2</v>
      </c>
      <c r="W674" s="186" t="s">
        <v>883</v>
      </c>
      <c r="X674" s="187" t="s">
        <v>883</v>
      </c>
      <c r="Y674" s="188">
        <v>0</v>
      </c>
      <c r="Z674" s="188" t="s">
        <v>883</v>
      </c>
      <c r="AA674" s="187" t="s">
        <v>883</v>
      </c>
      <c r="AB674" s="188">
        <v>0</v>
      </c>
      <c r="AC674" s="188"/>
      <c r="AD674" s="189" t="s">
        <v>883</v>
      </c>
      <c r="AE674" s="190" t="s">
        <v>883</v>
      </c>
      <c r="AF674" s="180">
        <v>0</v>
      </c>
      <c r="AG674" s="183">
        <v>43690</v>
      </c>
      <c r="AH674" s="183">
        <v>41053</v>
      </c>
      <c r="AI674" s="183">
        <v>43671</v>
      </c>
      <c r="AJ674" s="183" t="s">
        <v>883</v>
      </c>
      <c r="AK674" s="174"/>
    </row>
    <row r="675" spans="1:37" x14ac:dyDescent="0.3">
      <c r="A675" s="173">
        <v>123133</v>
      </c>
      <c r="B675" s="174" t="s">
        <v>1747</v>
      </c>
      <c r="C675" s="175" t="s">
        <v>294</v>
      </c>
      <c r="D675" s="176">
        <v>15.97</v>
      </c>
      <c r="E675" s="174"/>
      <c r="F675" s="174"/>
      <c r="G675" s="174" t="s">
        <v>883</v>
      </c>
      <c r="H675" s="177">
        <v>382</v>
      </c>
      <c r="I675" s="24">
        <v>103003</v>
      </c>
      <c r="J675" s="178">
        <v>15.97</v>
      </c>
      <c r="K675" s="177">
        <v>8</v>
      </c>
      <c r="L675" s="179">
        <v>570.14925373134326</v>
      </c>
      <c r="M675" s="180">
        <v>0</v>
      </c>
      <c r="N675" s="178">
        <v>0</v>
      </c>
      <c r="O675" s="181" t="s">
        <v>882</v>
      </c>
      <c r="P675" s="180">
        <v>0</v>
      </c>
      <c r="Q675" s="182">
        <v>0</v>
      </c>
      <c r="R675" s="183" t="s">
        <v>883</v>
      </c>
      <c r="S675" s="174" t="s">
        <v>1332</v>
      </c>
      <c r="T675" s="44">
        <v>1</v>
      </c>
      <c r="U675" s="184">
        <v>69</v>
      </c>
      <c r="V675" s="185">
        <v>2</v>
      </c>
      <c r="W675" s="186" t="s">
        <v>883</v>
      </c>
      <c r="X675" s="187" t="s">
        <v>883</v>
      </c>
      <c r="Y675" s="188">
        <v>0</v>
      </c>
      <c r="Z675" s="188" t="s">
        <v>883</v>
      </c>
      <c r="AA675" s="187" t="s">
        <v>883</v>
      </c>
      <c r="AB675" s="188">
        <v>0</v>
      </c>
      <c r="AC675" s="188"/>
      <c r="AD675" s="189" t="s">
        <v>883</v>
      </c>
      <c r="AE675" s="190" t="s">
        <v>883</v>
      </c>
      <c r="AF675" s="180">
        <v>2</v>
      </c>
      <c r="AG675" s="183">
        <v>43690</v>
      </c>
      <c r="AH675" s="183">
        <v>41053</v>
      </c>
      <c r="AI675" s="183">
        <v>43671</v>
      </c>
      <c r="AJ675" s="183" t="s">
        <v>883</v>
      </c>
      <c r="AK675" s="174"/>
    </row>
    <row r="676" spans="1:37" x14ac:dyDescent="0.3">
      <c r="A676" s="173">
        <v>123349</v>
      </c>
      <c r="B676" s="174" t="s">
        <v>1748</v>
      </c>
      <c r="C676" s="175" t="s">
        <v>413</v>
      </c>
      <c r="D676" s="176">
        <v>12.78</v>
      </c>
      <c r="E676" s="174"/>
      <c r="F676" s="174"/>
      <c r="G676" s="174" t="s">
        <v>883</v>
      </c>
      <c r="H676" s="177">
        <v>164</v>
      </c>
      <c r="I676" s="24">
        <v>103003</v>
      </c>
      <c r="J676" s="178">
        <v>12.78</v>
      </c>
      <c r="K676" s="177"/>
      <c r="L676" s="179">
        <v>0</v>
      </c>
      <c r="M676" s="180">
        <v>0</v>
      </c>
      <c r="N676" s="178">
        <v>0</v>
      </c>
      <c r="O676" s="181" t="s">
        <v>882</v>
      </c>
      <c r="P676" s="180">
        <v>0</v>
      </c>
      <c r="Q676" s="182">
        <v>0</v>
      </c>
      <c r="R676" s="183" t="s">
        <v>883</v>
      </c>
      <c r="S676" s="174" t="s">
        <v>1168</v>
      </c>
      <c r="T676" s="44">
        <v>1</v>
      </c>
      <c r="U676" s="184">
        <v>67</v>
      </c>
      <c r="V676" s="185">
        <v>7</v>
      </c>
      <c r="W676" s="186" t="s">
        <v>883</v>
      </c>
      <c r="X676" s="187" t="s">
        <v>883</v>
      </c>
      <c r="Y676" s="188">
        <v>0</v>
      </c>
      <c r="Z676" s="188" t="s">
        <v>883</v>
      </c>
      <c r="AA676" s="187" t="s">
        <v>883</v>
      </c>
      <c r="AB676" s="188">
        <v>0</v>
      </c>
      <c r="AC676" s="188"/>
      <c r="AD676" s="189" t="s">
        <v>883</v>
      </c>
      <c r="AE676" s="190" t="s">
        <v>883</v>
      </c>
      <c r="AF676" s="180">
        <v>0</v>
      </c>
      <c r="AG676" s="183">
        <v>44055</v>
      </c>
      <c r="AH676" s="183">
        <v>41096</v>
      </c>
      <c r="AI676" s="183">
        <v>44040</v>
      </c>
      <c r="AJ676" s="183" t="s">
        <v>883</v>
      </c>
      <c r="AK676" s="174"/>
    </row>
    <row r="677" spans="1:37" x14ac:dyDescent="0.3">
      <c r="A677" s="173">
        <v>123350</v>
      </c>
      <c r="B677" s="174" t="s">
        <v>1749</v>
      </c>
      <c r="C677" s="175" t="s">
        <v>413</v>
      </c>
      <c r="D677" s="176">
        <v>20.47</v>
      </c>
      <c r="E677" s="174"/>
      <c r="F677" s="174"/>
      <c r="G677" s="174" t="s">
        <v>883</v>
      </c>
      <c r="H677" s="177">
        <v>91</v>
      </c>
      <c r="I677" s="24">
        <v>103003</v>
      </c>
      <c r="J677" s="178">
        <v>20.47</v>
      </c>
      <c r="K677" s="177"/>
      <c r="L677" s="179">
        <v>0</v>
      </c>
      <c r="M677" s="180">
        <v>0</v>
      </c>
      <c r="N677" s="178">
        <v>0</v>
      </c>
      <c r="O677" s="181" t="s">
        <v>882</v>
      </c>
      <c r="P677" s="180">
        <v>0</v>
      </c>
      <c r="Q677" s="182">
        <v>0</v>
      </c>
      <c r="R677" s="183" t="s">
        <v>883</v>
      </c>
      <c r="S677" s="174" t="s">
        <v>1168</v>
      </c>
      <c r="T677" s="44">
        <v>1</v>
      </c>
      <c r="U677" s="184">
        <v>67</v>
      </c>
      <c r="V677" s="185">
        <v>7</v>
      </c>
      <c r="W677" s="186" t="s">
        <v>883</v>
      </c>
      <c r="X677" s="187" t="s">
        <v>883</v>
      </c>
      <c r="Y677" s="188">
        <v>0</v>
      </c>
      <c r="Z677" s="188" t="s">
        <v>883</v>
      </c>
      <c r="AA677" s="187" t="s">
        <v>883</v>
      </c>
      <c r="AB677" s="188">
        <v>0</v>
      </c>
      <c r="AC677" s="188"/>
      <c r="AD677" s="189" t="s">
        <v>883</v>
      </c>
      <c r="AE677" s="190" t="s">
        <v>883</v>
      </c>
      <c r="AF677" s="180">
        <v>0</v>
      </c>
      <c r="AG677" s="183">
        <v>43560</v>
      </c>
      <c r="AH677" s="183">
        <v>41096</v>
      </c>
      <c r="AI677" s="183">
        <v>43524</v>
      </c>
      <c r="AJ677" s="183" t="s">
        <v>883</v>
      </c>
      <c r="AK677" s="174"/>
    </row>
    <row r="678" spans="1:37" x14ac:dyDescent="0.3">
      <c r="A678" s="173">
        <v>123370</v>
      </c>
      <c r="B678" s="174" t="s">
        <v>1750</v>
      </c>
      <c r="C678" s="175" t="s">
        <v>331</v>
      </c>
      <c r="D678" s="176">
        <v>65.45</v>
      </c>
      <c r="E678" s="174"/>
      <c r="F678" s="174"/>
      <c r="G678" s="174" t="s">
        <v>883</v>
      </c>
      <c r="H678" s="177">
        <v>49</v>
      </c>
      <c r="I678" s="24">
        <v>103003</v>
      </c>
      <c r="J678" s="178">
        <v>65.45</v>
      </c>
      <c r="K678" s="177">
        <v>120</v>
      </c>
      <c r="L678" s="179">
        <v>4.9000000000000004</v>
      </c>
      <c r="M678" s="180">
        <v>71</v>
      </c>
      <c r="N678" s="178">
        <v>4646.95</v>
      </c>
      <c r="O678" s="181" t="s">
        <v>882</v>
      </c>
      <c r="P678" s="180">
        <v>0</v>
      </c>
      <c r="Q678" s="182">
        <v>0</v>
      </c>
      <c r="R678" s="183" t="s">
        <v>883</v>
      </c>
      <c r="S678" s="174" t="s">
        <v>1666</v>
      </c>
      <c r="T678" s="44">
        <v>1</v>
      </c>
      <c r="U678" s="184">
        <v>55</v>
      </c>
      <c r="V678" s="185">
        <v>19</v>
      </c>
      <c r="W678" s="186" t="s">
        <v>883</v>
      </c>
      <c r="X678" s="187" t="s">
        <v>883</v>
      </c>
      <c r="Y678" s="188">
        <v>0</v>
      </c>
      <c r="Z678" s="188" t="s">
        <v>883</v>
      </c>
      <c r="AA678" s="187" t="s">
        <v>883</v>
      </c>
      <c r="AB678" s="188">
        <v>0</v>
      </c>
      <c r="AC678" s="188"/>
      <c r="AD678" s="189" t="s">
        <v>883</v>
      </c>
      <c r="AE678" s="190" t="s">
        <v>883</v>
      </c>
      <c r="AF678" s="180">
        <v>0</v>
      </c>
      <c r="AG678" s="183">
        <v>42643</v>
      </c>
      <c r="AH678" s="183">
        <v>41101</v>
      </c>
      <c r="AI678" s="183">
        <v>42577</v>
      </c>
      <c r="AJ678" s="183" t="s">
        <v>883</v>
      </c>
      <c r="AK678" s="174"/>
    </row>
    <row r="679" spans="1:37" x14ac:dyDescent="0.3">
      <c r="A679" s="173">
        <v>123372</v>
      </c>
      <c r="B679" s="174" t="s">
        <v>1751</v>
      </c>
      <c r="C679" s="175" t="s">
        <v>331</v>
      </c>
      <c r="D679" s="176">
        <v>33</v>
      </c>
      <c r="E679" s="174"/>
      <c r="F679" s="174"/>
      <c r="G679" s="174" t="s">
        <v>883</v>
      </c>
      <c r="H679" s="177">
        <v>651</v>
      </c>
      <c r="I679" s="24">
        <v>103003</v>
      </c>
      <c r="J679" s="178">
        <v>33</v>
      </c>
      <c r="K679" s="177">
        <v>27</v>
      </c>
      <c r="L679" s="179">
        <v>289.33333333333331</v>
      </c>
      <c r="M679" s="180">
        <v>0</v>
      </c>
      <c r="N679" s="178">
        <v>0</v>
      </c>
      <c r="O679" s="181" t="s">
        <v>882</v>
      </c>
      <c r="P679" s="180">
        <v>0</v>
      </c>
      <c r="Q679" s="182">
        <v>0</v>
      </c>
      <c r="R679" s="183" t="s">
        <v>883</v>
      </c>
      <c r="S679" s="174" t="s">
        <v>1666</v>
      </c>
      <c r="T679" s="44">
        <v>1</v>
      </c>
      <c r="U679" s="184">
        <v>55</v>
      </c>
      <c r="V679" s="185">
        <v>19</v>
      </c>
      <c r="W679" s="186" t="s">
        <v>883</v>
      </c>
      <c r="X679" s="187" t="s">
        <v>883</v>
      </c>
      <c r="Y679" s="188">
        <v>0</v>
      </c>
      <c r="Z679" s="188" t="s">
        <v>883</v>
      </c>
      <c r="AA679" s="187" t="s">
        <v>883</v>
      </c>
      <c r="AB679" s="188">
        <v>0</v>
      </c>
      <c r="AC679" s="188"/>
      <c r="AD679" s="189" t="s">
        <v>883</v>
      </c>
      <c r="AE679" s="190" t="s">
        <v>883</v>
      </c>
      <c r="AF679" s="180">
        <v>10</v>
      </c>
      <c r="AG679" s="183">
        <v>41471</v>
      </c>
      <c r="AH679" s="183">
        <v>41101</v>
      </c>
      <c r="AI679" s="183">
        <v>43584</v>
      </c>
      <c r="AJ679" s="183" t="s">
        <v>883</v>
      </c>
      <c r="AK679" s="174"/>
    </row>
    <row r="680" spans="1:37" x14ac:dyDescent="0.3">
      <c r="A680" s="173">
        <v>123618</v>
      </c>
      <c r="B680" s="174" t="s">
        <v>1752</v>
      </c>
      <c r="C680" s="175" t="s">
        <v>294</v>
      </c>
      <c r="D680" s="176">
        <v>29.45</v>
      </c>
      <c r="E680" s="174"/>
      <c r="F680" s="174"/>
      <c r="G680" s="174" t="s">
        <v>883</v>
      </c>
      <c r="H680" s="177">
        <v>999</v>
      </c>
      <c r="I680" s="24">
        <v>103003</v>
      </c>
      <c r="J680" s="178">
        <v>29.445920000000001</v>
      </c>
      <c r="K680" s="177">
        <v>1</v>
      </c>
      <c r="L680" s="179">
        <v>12487.5</v>
      </c>
      <c r="M680" s="180">
        <v>0</v>
      </c>
      <c r="N680" s="178">
        <v>0</v>
      </c>
      <c r="O680" s="181" t="s">
        <v>882</v>
      </c>
      <c r="P680" s="180">
        <v>0</v>
      </c>
      <c r="Q680" s="182">
        <v>0</v>
      </c>
      <c r="R680" s="183" t="s">
        <v>883</v>
      </c>
      <c r="S680" s="174" t="s">
        <v>1332</v>
      </c>
      <c r="T680" s="44">
        <v>1</v>
      </c>
      <c r="U680" s="184">
        <v>69</v>
      </c>
      <c r="V680" s="185">
        <v>2</v>
      </c>
      <c r="W680" s="186" t="s">
        <v>883</v>
      </c>
      <c r="X680" s="187" t="s">
        <v>883</v>
      </c>
      <c r="Y680" s="188">
        <v>0</v>
      </c>
      <c r="Z680" s="188" t="s">
        <v>883</v>
      </c>
      <c r="AA680" s="187" t="s">
        <v>883</v>
      </c>
      <c r="AB680" s="188">
        <v>0</v>
      </c>
      <c r="AC680" s="188"/>
      <c r="AD680" s="189" t="s">
        <v>883</v>
      </c>
      <c r="AE680" s="190" t="s">
        <v>883</v>
      </c>
      <c r="AF680" s="180">
        <v>0</v>
      </c>
      <c r="AG680" s="183">
        <v>43658</v>
      </c>
      <c r="AH680" s="183">
        <v>41142</v>
      </c>
      <c r="AI680" s="183">
        <v>43614</v>
      </c>
      <c r="AJ680" s="183" t="s">
        <v>883</v>
      </c>
      <c r="AK680" s="174"/>
    </row>
    <row r="681" spans="1:37" x14ac:dyDescent="0.3">
      <c r="A681" s="173">
        <v>123710</v>
      </c>
      <c r="B681" s="174" t="s">
        <v>1753</v>
      </c>
      <c r="C681" s="175" t="s">
        <v>281</v>
      </c>
      <c r="D681" s="176">
        <v>220</v>
      </c>
      <c r="E681" s="174"/>
      <c r="F681" s="174"/>
      <c r="G681" s="174" t="s">
        <v>883</v>
      </c>
      <c r="H681" s="177">
        <v>0</v>
      </c>
      <c r="I681" s="24">
        <v>103003</v>
      </c>
      <c r="J681" s="178">
        <v>220</v>
      </c>
      <c r="K681" s="177">
        <v>121</v>
      </c>
      <c r="L681" s="179">
        <v>0</v>
      </c>
      <c r="M681" s="180">
        <v>59</v>
      </c>
      <c r="N681" s="178">
        <v>12980</v>
      </c>
      <c r="O681" s="181" t="s">
        <v>882</v>
      </c>
      <c r="P681" s="180">
        <v>0</v>
      </c>
      <c r="Q681" s="182">
        <v>0</v>
      </c>
      <c r="R681" s="183" t="s">
        <v>883</v>
      </c>
      <c r="S681" s="174" t="s">
        <v>1754</v>
      </c>
      <c r="T681" s="44">
        <v>1</v>
      </c>
      <c r="U681" s="184">
        <v>61</v>
      </c>
      <c r="V681" s="185">
        <v>4</v>
      </c>
      <c r="W681" s="186">
        <v>2960</v>
      </c>
      <c r="X681" s="187">
        <v>2023</v>
      </c>
      <c r="Y681" s="188">
        <v>100</v>
      </c>
      <c r="Z681" s="188" t="s">
        <v>883</v>
      </c>
      <c r="AA681" s="187" t="s">
        <v>883</v>
      </c>
      <c r="AB681" s="188">
        <v>0</v>
      </c>
      <c r="AC681" s="188"/>
      <c r="AD681" s="189" t="s">
        <v>883</v>
      </c>
      <c r="AE681" s="190" t="s">
        <v>883</v>
      </c>
      <c r="AF681" s="180">
        <v>54</v>
      </c>
      <c r="AG681" s="183">
        <v>44946</v>
      </c>
      <c r="AH681" s="183">
        <v>41143</v>
      </c>
      <c r="AI681" s="183">
        <v>44942</v>
      </c>
      <c r="AJ681" s="183" t="s">
        <v>883</v>
      </c>
      <c r="AK681" s="174"/>
    </row>
    <row r="682" spans="1:37" x14ac:dyDescent="0.3">
      <c r="A682" s="173">
        <v>124261</v>
      </c>
      <c r="B682" s="174" t="s">
        <v>1755</v>
      </c>
      <c r="C682" s="175" t="s">
        <v>569</v>
      </c>
      <c r="D682" s="176">
        <v>0.86</v>
      </c>
      <c r="E682" s="174"/>
      <c r="F682" s="174"/>
      <c r="G682" s="174" t="s">
        <v>883</v>
      </c>
      <c r="H682" s="177">
        <v>2460</v>
      </c>
      <c r="I682" s="24">
        <v>103003</v>
      </c>
      <c r="J682" s="178">
        <v>0.86</v>
      </c>
      <c r="K682" s="177">
        <v>4902</v>
      </c>
      <c r="L682" s="179">
        <v>3.8080495356037152</v>
      </c>
      <c r="M682" s="180">
        <v>4792</v>
      </c>
      <c r="N682" s="178">
        <v>4121.12</v>
      </c>
      <c r="O682" s="181" t="s">
        <v>882</v>
      </c>
      <c r="P682" s="180">
        <v>0</v>
      </c>
      <c r="Q682" s="182">
        <v>0</v>
      </c>
      <c r="R682" s="183" t="s">
        <v>883</v>
      </c>
      <c r="S682" s="174" t="s">
        <v>1129</v>
      </c>
      <c r="T682" s="44">
        <v>1</v>
      </c>
      <c r="U682" s="184">
        <v>57</v>
      </c>
      <c r="V682" s="185">
        <v>15</v>
      </c>
      <c r="W682" s="186">
        <v>6216</v>
      </c>
      <c r="X682" s="187">
        <v>2023</v>
      </c>
      <c r="Y682" s="188">
        <v>500</v>
      </c>
      <c r="Z682" s="188" t="s">
        <v>883</v>
      </c>
      <c r="AA682" s="187" t="s">
        <v>883</v>
      </c>
      <c r="AB682" s="188">
        <v>0</v>
      </c>
      <c r="AC682" s="188"/>
      <c r="AD682" s="189" t="s">
        <v>883</v>
      </c>
      <c r="AE682" s="190" t="s">
        <v>883</v>
      </c>
      <c r="AF682" s="180">
        <v>2584</v>
      </c>
      <c r="AG682" s="183">
        <v>44974</v>
      </c>
      <c r="AH682" s="183">
        <v>41170</v>
      </c>
      <c r="AI682" s="183">
        <v>44959</v>
      </c>
      <c r="AJ682" s="183" t="s">
        <v>883</v>
      </c>
      <c r="AK682" s="174"/>
    </row>
    <row r="683" spans="1:37" x14ac:dyDescent="0.3">
      <c r="A683" s="173">
        <v>124963</v>
      </c>
      <c r="B683" s="174" t="s">
        <v>1756</v>
      </c>
      <c r="C683" s="175" t="s">
        <v>413</v>
      </c>
      <c r="D683" s="176">
        <v>14.36</v>
      </c>
      <c r="E683" s="174"/>
      <c r="F683" s="174"/>
      <c r="G683" s="174" t="s">
        <v>883</v>
      </c>
      <c r="H683" s="177">
        <v>116</v>
      </c>
      <c r="I683" s="24">
        <v>103003</v>
      </c>
      <c r="J683" s="178">
        <v>14.36</v>
      </c>
      <c r="K683" s="177">
        <v>235</v>
      </c>
      <c r="L683" s="179">
        <v>5.395348837209303</v>
      </c>
      <c r="M683" s="180">
        <v>92</v>
      </c>
      <c r="N683" s="178">
        <v>1321.12</v>
      </c>
      <c r="O683" s="181" t="s">
        <v>882</v>
      </c>
      <c r="P683" s="180">
        <v>0</v>
      </c>
      <c r="Q683" s="182">
        <v>0</v>
      </c>
      <c r="R683" s="183" t="s">
        <v>883</v>
      </c>
      <c r="S683" s="174" t="s">
        <v>1516</v>
      </c>
      <c r="T683" s="44">
        <v>1</v>
      </c>
      <c r="U683" s="184">
        <v>67</v>
      </c>
      <c r="V683" s="185">
        <v>3</v>
      </c>
      <c r="W683" s="186">
        <v>2490</v>
      </c>
      <c r="X683" s="187">
        <v>2023</v>
      </c>
      <c r="Y683" s="188">
        <v>50</v>
      </c>
      <c r="Z683" s="188" t="s">
        <v>883</v>
      </c>
      <c r="AA683" s="187" t="s">
        <v>883</v>
      </c>
      <c r="AB683" s="188">
        <v>0</v>
      </c>
      <c r="AC683" s="188"/>
      <c r="AD683" s="189" t="s">
        <v>883</v>
      </c>
      <c r="AE683" s="190" t="s">
        <v>883</v>
      </c>
      <c r="AF683" s="180">
        <v>86</v>
      </c>
      <c r="AG683" s="183">
        <v>43640</v>
      </c>
      <c r="AH683" s="183">
        <v>41309</v>
      </c>
      <c r="AI683" s="183">
        <v>43612</v>
      </c>
      <c r="AJ683" s="183" t="s">
        <v>883</v>
      </c>
      <c r="AK683" s="174"/>
    </row>
    <row r="684" spans="1:37" x14ac:dyDescent="0.3">
      <c r="A684" s="173">
        <v>125173</v>
      </c>
      <c r="B684" s="174" t="s">
        <v>1757</v>
      </c>
      <c r="C684" s="175" t="s">
        <v>31</v>
      </c>
      <c r="D684" s="176">
        <v>2.37</v>
      </c>
      <c r="E684" s="174"/>
      <c r="F684" s="174"/>
      <c r="G684" s="174" t="s">
        <v>883</v>
      </c>
      <c r="H684" s="177">
        <v>200</v>
      </c>
      <c r="I684" s="24">
        <v>103003</v>
      </c>
      <c r="J684" s="178">
        <v>2.37</v>
      </c>
      <c r="K684" s="177">
        <v>34</v>
      </c>
      <c r="L684" s="179">
        <v>68.493150684931507</v>
      </c>
      <c r="M684" s="180">
        <v>0</v>
      </c>
      <c r="N684" s="178">
        <v>0</v>
      </c>
      <c r="O684" s="181" t="s">
        <v>882</v>
      </c>
      <c r="P684" s="180">
        <v>0</v>
      </c>
      <c r="Q684" s="182">
        <v>0</v>
      </c>
      <c r="R684" s="183" t="s">
        <v>883</v>
      </c>
      <c r="S684" s="174" t="s">
        <v>964</v>
      </c>
      <c r="T684" s="44">
        <v>1</v>
      </c>
      <c r="U684" s="184">
        <v>61</v>
      </c>
      <c r="V684" s="185">
        <v>8</v>
      </c>
      <c r="W684" s="186" t="s">
        <v>883</v>
      </c>
      <c r="X684" s="187" t="s">
        <v>883</v>
      </c>
      <c r="Y684" s="188">
        <v>0</v>
      </c>
      <c r="Z684" s="188" t="s">
        <v>883</v>
      </c>
      <c r="AA684" s="187" t="s">
        <v>883</v>
      </c>
      <c r="AB684" s="188">
        <v>0</v>
      </c>
      <c r="AC684" s="188"/>
      <c r="AD684" s="189" t="s">
        <v>883</v>
      </c>
      <c r="AE684" s="190" t="s">
        <v>883</v>
      </c>
      <c r="AF684" s="180">
        <v>12</v>
      </c>
      <c r="AG684" s="183">
        <v>44526</v>
      </c>
      <c r="AH684" s="183">
        <v>41345</v>
      </c>
      <c r="AI684" s="183">
        <v>45096</v>
      </c>
      <c r="AJ684" s="183" t="s">
        <v>883</v>
      </c>
      <c r="AK684" s="174"/>
    </row>
    <row r="685" spans="1:37" x14ac:dyDescent="0.3">
      <c r="A685" s="173">
        <v>125201</v>
      </c>
      <c r="B685" s="174" t="s">
        <v>1758</v>
      </c>
      <c r="C685" s="175" t="s">
        <v>413</v>
      </c>
      <c r="D685" s="176">
        <v>23.94</v>
      </c>
      <c r="E685" s="174"/>
      <c r="F685" s="174"/>
      <c r="G685" s="174" t="s">
        <v>883</v>
      </c>
      <c r="H685" s="177">
        <v>668</v>
      </c>
      <c r="I685" s="24">
        <v>103003</v>
      </c>
      <c r="J685" s="178">
        <v>23.94</v>
      </c>
      <c r="K685" s="177">
        <v>100</v>
      </c>
      <c r="L685" s="179">
        <v>70.315789473684205</v>
      </c>
      <c r="M685" s="180">
        <v>0</v>
      </c>
      <c r="N685" s="178">
        <v>0</v>
      </c>
      <c r="O685" s="181" t="s">
        <v>882</v>
      </c>
      <c r="P685" s="180">
        <v>0</v>
      </c>
      <c r="Q685" s="182">
        <v>0</v>
      </c>
      <c r="R685" s="183" t="s">
        <v>883</v>
      </c>
      <c r="S685" s="174" t="s">
        <v>1516</v>
      </c>
      <c r="T685" s="44">
        <v>1</v>
      </c>
      <c r="U685" s="184">
        <v>67</v>
      </c>
      <c r="V685" s="185">
        <v>3</v>
      </c>
      <c r="W685" s="186" t="s">
        <v>883</v>
      </c>
      <c r="X685" s="187" t="s">
        <v>883</v>
      </c>
      <c r="Y685" s="188">
        <v>0</v>
      </c>
      <c r="Z685" s="188" t="s">
        <v>883</v>
      </c>
      <c r="AA685" s="187" t="s">
        <v>883</v>
      </c>
      <c r="AB685" s="188">
        <v>0</v>
      </c>
      <c r="AC685" s="188"/>
      <c r="AD685" s="189" t="s">
        <v>883</v>
      </c>
      <c r="AE685" s="190" t="s">
        <v>883</v>
      </c>
      <c r="AF685" s="180">
        <v>38</v>
      </c>
      <c r="AG685" s="183">
        <v>43640</v>
      </c>
      <c r="AH685" s="183">
        <v>41348</v>
      </c>
      <c r="AI685" s="183">
        <v>43612</v>
      </c>
      <c r="AJ685" s="183" t="s">
        <v>883</v>
      </c>
      <c r="AK685" s="174"/>
    </row>
    <row r="686" spans="1:37" x14ac:dyDescent="0.3">
      <c r="A686" s="173">
        <v>125262</v>
      </c>
      <c r="B686" s="174" t="s">
        <v>1759</v>
      </c>
      <c r="C686" s="175" t="s">
        <v>629</v>
      </c>
      <c r="D686" s="176">
        <v>319.89999999999998</v>
      </c>
      <c r="E686" s="174"/>
      <c r="F686" s="174"/>
      <c r="G686" s="174" t="s">
        <v>883</v>
      </c>
      <c r="H686" s="177">
        <v>1692.56</v>
      </c>
      <c r="I686" s="24">
        <v>103003</v>
      </c>
      <c r="J686" s="178">
        <v>319.89999999999998</v>
      </c>
      <c r="K686" s="177">
        <v>457</v>
      </c>
      <c r="L686" s="179">
        <v>44.44747899159664</v>
      </c>
      <c r="M686" s="180">
        <v>0</v>
      </c>
      <c r="N686" s="178">
        <v>0</v>
      </c>
      <c r="O686" s="181" t="s">
        <v>882</v>
      </c>
      <c r="P686" s="180">
        <v>0</v>
      </c>
      <c r="Q686" s="182">
        <v>0</v>
      </c>
      <c r="R686" s="183" t="s">
        <v>883</v>
      </c>
      <c r="S686" s="174" t="s">
        <v>1723</v>
      </c>
      <c r="T686" s="44">
        <v>1</v>
      </c>
      <c r="U686" s="184">
        <v>51</v>
      </c>
      <c r="V686" s="185">
        <v>21</v>
      </c>
      <c r="W686" s="186">
        <v>2996</v>
      </c>
      <c r="X686" s="187">
        <v>2023</v>
      </c>
      <c r="Y686" s="188">
        <v>500</v>
      </c>
      <c r="Z686" s="188" t="s">
        <v>883</v>
      </c>
      <c r="AA686" s="187" t="s">
        <v>883</v>
      </c>
      <c r="AB686" s="188">
        <v>0</v>
      </c>
      <c r="AC686" s="188"/>
      <c r="AD686" s="189" t="s">
        <v>883</v>
      </c>
      <c r="AE686" s="190" t="s">
        <v>883</v>
      </c>
      <c r="AF686" s="180">
        <v>152</v>
      </c>
      <c r="AG686" s="183">
        <v>44550</v>
      </c>
      <c r="AH686" s="183">
        <v>41366</v>
      </c>
      <c r="AI686" s="183">
        <v>44412</v>
      </c>
      <c r="AJ686" s="183" t="s">
        <v>883</v>
      </c>
      <c r="AK686" s="174"/>
    </row>
    <row r="687" spans="1:37" x14ac:dyDescent="0.3">
      <c r="A687" s="173">
        <v>125269</v>
      </c>
      <c r="B687" s="174" t="s">
        <v>1760</v>
      </c>
      <c r="C687" s="175" t="s">
        <v>31</v>
      </c>
      <c r="D687" s="176">
        <v>0.59</v>
      </c>
      <c r="E687" s="174"/>
      <c r="F687" s="174"/>
      <c r="G687" s="174" t="s">
        <v>883</v>
      </c>
      <c r="H687" s="177">
        <v>2965</v>
      </c>
      <c r="I687" s="24">
        <v>103003</v>
      </c>
      <c r="J687" s="178">
        <v>0.59</v>
      </c>
      <c r="K687" s="177">
        <v>365</v>
      </c>
      <c r="L687" s="179">
        <v>97.468770545693616</v>
      </c>
      <c r="M687" s="180">
        <v>0</v>
      </c>
      <c r="N687" s="178">
        <v>0</v>
      </c>
      <c r="O687" s="181" t="s">
        <v>882</v>
      </c>
      <c r="P687" s="180">
        <v>0</v>
      </c>
      <c r="Q687" s="182">
        <v>0</v>
      </c>
      <c r="R687" s="183" t="s">
        <v>883</v>
      </c>
      <c r="S687" s="174" t="s">
        <v>1618</v>
      </c>
      <c r="T687" s="44">
        <v>1</v>
      </c>
      <c r="U687" s="184">
        <v>60</v>
      </c>
      <c r="V687" s="185">
        <v>21</v>
      </c>
      <c r="W687" s="186" t="s">
        <v>883</v>
      </c>
      <c r="X687" s="187" t="s">
        <v>883</v>
      </c>
      <c r="Y687" s="188">
        <v>0</v>
      </c>
      <c r="Z687" s="188" t="s">
        <v>883</v>
      </c>
      <c r="AA687" s="187" t="s">
        <v>883</v>
      </c>
      <c r="AB687" s="188">
        <v>0</v>
      </c>
      <c r="AC687" s="188"/>
      <c r="AD687" s="189" t="s">
        <v>883</v>
      </c>
      <c r="AE687" s="190" t="s">
        <v>883</v>
      </c>
      <c r="AF687" s="180">
        <v>122</v>
      </c>
      <c r="AG687" s="183">
        <v>44747</v>
      </c>
      <c r="AH687" s="183">
        <v>41368</v>
      </c>
      <c r="AI687" s="183">
        <v>45111</v>
      </c>
      <c r="AJ687" s="183" t="s">
        <v>883</v>
      </c>
      <c r="AK687" s="174"/>
    </row>
    <row r="688" spans="1:37" x14ac:dyDescent="0.3">
      <c r="A688" s="173">
        <v>125576</v>
      </c>
      <c r="B688" s="174" t="s">
        <v>677</v>
      </c>
      <c r="C688" s="175" t="s">
        <v>31</v>
      </c>
      <c r="D688" s="176">
        <v>1559</v>
      </c>
      <c r="E688" s="174"/>
      <c r="F688" s="174"/>
      <c r="G688" s="174" t="s">
        <v>883</v>
      </c>
      <c r="H688" s="177">
        <v>4</v>
      </c>
      <c r="I688" s="24">
        <v>103003</v>
      </c>
      <c r="J688" s="178">
        <v>1559</v>
      </c>
      <c r="K688" s="177"/>
      <c r="L688" s="179">
        <v>0</v>
      </c>
      <c r="M688" s="180">
        <v>0</v>
      </c>
      <c r="N688" s="178">
        <v>0</v>
      </c>
      <c r="O688" s="181" t="s">
        <v>882</v>
      </c>
      <c r="P688" s="180">
        <v>0</v>
      </c>
      <c r="Q688" s="182">
        <v>0</v>
      </c>
      <c r="R688" s="183" t="s">
        <v>883</v>
      </c>
      <c r="S688" s="174" t="s">
        <v>1761</v>
      </c>
      <c r="T688" s="44">
        <v>1</v>
      </c>
      <c r="U688" s="184">
        <v>84</v>
      </c>
      <c r="V688" s="185">
        <v>7</v>
      </c>
      <c r="W688" s="186" t="s">
        <v>883</v>
      </c>
      <c r="X688" s="187" t="s">
        <v>883</v>
      </c>
      <c r="Y688" s="188">
        <v>0</v>
      </c>
      <c r="Z688" s="188" t="s">
        <v>883</v>
      </c>
      <c r="AA688" s="187" t="s">
        <v>883</v>
      </c>
      <c r="AB688" s="188">
        <v>0</v>
      </c>
      <c r="AC688" s="188"/>
      <c r="AD688" s="189" t="s">
        <v>883</v>
      </c>
      <c r="AE688" s="190" t="s">
        <v>883</v>
      </c>
      <c r="AF688" s="180">
        <v>0</v>
      </c>
      <c r="AG688" s="183">
        <v>41890</v>
      </c>
      <c r="AH688" s="183">
        <v>41422</v>
      </c>
      <c r="AI688" s="183">
        <v>44840</v>
      </c>
      <c r="AJ688" s="183" t="s">
        <v>883</v>
      </c>
      <c r="AK688" s="174"/>
    </row>
    <row r="689" spans="1:37" x14ac:dyDescent="0.3">
      <c r="A689" s="173">
        <v>125641</v>
      </c>
      <c r="B689" s="174" t="s">
        <v>1762</v>
      </c>
      <c r="C689" s="175" t="s">
        <v>281</v>
      </c>
      <c r="D689" s="176">
        <v>1.02</v>
      </c>
      <c r="E689" s="174" t="s">
        <v>1763</v>
      </c>
      <c r="F689" s="174" t="s">
        <v>1732</v>
      </c>
      <c r="G689" s="174" t="s">
        <v>952</v>
      </c>
      <c r="H689" s="177">
        <v>15600</v>
      </c>
      <c r="I689" s="24">
        <v>103003</v>
      </c>
      <c r="J689" s="178">
        <v>1.02</v>
      </c>
      <c r="K689" s="177">
        <v>18283</v>
      </c>
      <c r="L689" s="179">
        <v>6.0566765152368118</v>
      </c>
      <c r="M689" s="180">
        <v>15308.04</v>
      </c>
      <c r="N689" s="178">
        <v>15614.200800000001</v>
      </c>
      <c r="O689" s="181" t="s">
        <v>953</v>
      </c>
      <c r="P689" s="180">
        <v>198700</v>
      </c>
      <c r="Q689" s="182">
        <v>202674</v>
      </c>
      <c r="R689" s="183">
        <v>45189</v>
      </c>
      <c r="S689" s="174" t="s">
        <v>1733</v>
      </c>
      <c r="T689" s="44">
        <v>1</v>
      </c>
      <c r="U689" s="184">
        <v>62</v>
      </c>
      <c r="V689" s="185">
        <v>26</v>
      </c>
      <c r="W689" s="186" t="s">
        <v>883</v>
      </c>
      <c r="X689" s="187" t="s">
        <v>883</v>
      </c>
      <c r="Y689" s="188">
        <v>0</v>
      </c>
      <c r="Z689" s="188" t="s">
        <v>883</v>
      </c>
      <c r="AA689" s="187" t="s">
        <v>883</v>
      </c>
      <c r="AB689" s="188">
        <v>0</v>
      </c>
      <c r="AC689" s="188"/>
      <c r="AD689" s="189" t="s">
        <v>883</v>
      </c>
      <c r="AE689" s="190" t="s">
        <v>883</v>
      </c>
      <c r="AF689" s="180">
        <v>10302</v>
      </c>
      <c r="AG689" s="183">
        <v>44949</v>
      </c>
      <c r="AH689" s="183">
        <v>41439</v>
      </c>
      <c r="AI689" s="183">
        <v>45082</v>
      </c>
      <c r="AJ689" s="183" t="s">
        <v>883</v>
      </c>
      <c r="AK689" s="174"/>
    </row>
    <row r="690" spans="1:37" x14ac:dyDescent="0.3">
      <c r="A690" s="173">
        <v>126044</v>
      </c>
      <c r="B690" s="174" t="s">
        <v>1764</v>
      </c>
      <c r="C690" s="175" t="s">
        <v>406</v>
      </c>
      <c r="D690" s="176">
        <v>407.35</v>
      </c>
      <c r="E690" s="174"/>
      <c r="F690" s="174"/>
      <c r="G690" s="174" t="s">
        <v>883</v>
      </c>
      <c r="H690" s="177">
        <v>172</v>
      </c>
      <c r="I690" s="24">
        <v>103003</v>
      </c>
      <c r="J690" s="178">
        <v>407.35</v>
      </c>
      <c r="K690" s="177">
        <v>22</v>
      </c>
      <c r="L690" s="179">
        <v>93.989071038251353</v>
      </c>
      <c r="M690" s="180">
        <v>0</v>
      </c>
      <c r="N690" s="178">
        <v>0</v>
      </c>
      <c r="O690" s="181" t="s">
        <v>882</v>
      </c>
      <c r="P690" s="180">
        <v>0</v>
      </c>
      <c r="Q690" s="182">
        <v>0</v>
      </c>
      <c r="R690" s="183" t="s">
        <v>883</v>
      </c>
      <c r="S690" s="174" t="s">
        <v>1112</v>
      </c>
      <c r="T690" s="44">
        <v>1</v>
      </c>
      <c r="U690" s="184">
        <v>74</v>
      </c>
      <c r="V690" s="185">
        <v>8</v>
      </c>
      <c r="W690" s="186" t="s">
        <v>883</v>
      </c>
      <c r="X690" s="187" t="s">
        <v>883</v>
      </c>
      <c r="Y690" s="188">
        <v>0</v>
      </c>
      <c r="Z690" s="188" t="s">
        <v>883</v>
      </c>
      <c r="AA690" s="187" t="s">
        <v>883</v>
      </c>
      <c r="AB690" s="188">
        <v>0</v>
      </c>
      <c r="AC690" s="188"/>
      <c r="AD690" s="189" t="s">
        <v>883</v>
      </c>
      <c r="AE690" s="190" t="s">
        <v>883</v>
      </c>
      <c r="AF690" s="180">
        <v>8</v>
      </c>
      <c r="AG690" s="183">
        <v>44461</v>
      </c>
      <c r="AH690" s="183">
        <v>41508</v>
      </c>
      <c r="AI690" s="183">
        <v>44453</v>
      </c>
      <c r="AJ690" s="183" t="s">
        <v>883</v>
      </c>
      <c r="AK690" s="174"/>
    </row>
    <row r="691" spans="1:37" x14ac:dyDescent="0.3">
      <c r="A691" s="173">
        <v>126059</v>
      </c>
      <c r="B691" s="174" t="s">
        <v>1765</v>
      </c>
      <c r="C691" s="175" t="s">
        <v>413</v>
      </c>
      <c r="D691" s="176">
        <v>8.8699999999999992</v>
      </c>
      <c r="E691" s="174"/>
      <c r="F691" s="174"/>
      <c r="G691" s="174" t="s">
        <v>883</v>
      </c>
      <c r="H691" s="177">
        <v>0</v>
      </c>
      <c r="I691" s="24">
        <v>103003</v>
      </c>
      <c r="J691" s="178">
        <v>8.8699999999999992</v>
      </c>
      <c r="K691" s="177">
        <v>82</v>
      </c>
      <c r="L691" s="179">
        <v>0</v>
      </c>
      <c r="M691" s="180">
        <v>0</v>
      </c>
      <c r="N691" s="178">
        <v>0</v>
      </c>
      <c r="O691" s="181" t="s">
        <v>882</v>
      </c>
      <c r="P691" s="180">
        <v>0</v>
      </c>
      <c r="Q691" s="182">
        <v>0</v>
      </c>
      <c r="R691" s="183" t="s">
        <v>883</v>
      </c>
      <c r="S691" s="174" t="s">
        <v>1440</v>
      </c>
      <c r="T691" s="44">
        <v>1</v>
      </c>
      <c r="U691" s="184">
        <v>67</v>
      </c>
      <c r="V691" s="185">
        <v>18</v>
      </c>
      <c r="W691" s="186">
        <v>2490</v>
      </c>
      <c r="X691" s="187">
        <v>2023</v>
      </c>
      <c r="Y691" s="188">
        <v>100</v>
      </c>
      <c r="Z691" s="188" t="s">
        <v>883</v>
      </c>
      <c r="AA691" s="187" t="s">
        <v>883</v>
      </c>
      <c r="AB691" s="188">
        <v>0</v>
      </c>
      <c r="AC691" s="188"/>
      <c r="AD691" s="189" t="s">
        <v>883</v>
      </c>
      <c r="AE691" s="190" t="s">
        <v>883</v>
      </c>
      <c r="AF691" s="180">
        <v>30</v>
      </c>
      <c r="AG691" s="183">
        <v>43882</v>
      </c>
      <c r="AH691" s="183">
        <v>41509</v>
      </c>
      <c r="AI691" s="183">
        <v>43826</v>
      </c>
      <c r="AJ691" s="183" t="s">
        <v>883</v>
      </c>
      <c r="AK691" s="174"/>
    </row>
    <row r="692" spans="1:37" x14ac:dyDescent="0.3">
      <c r="A692" s="173">
        <v>126060</v>
      </c>
      <c r="B692" s="174" t="s">
        <v>1766</v>
      </c>
      <c r="C692" s="175" t="s">
        <v>413</v>
      </c>
      <c r="D692" s="176">
        <v>20</v>
      </c>
      <c r="E692" s="174"/>
      <c r="F692" s="174"/>
      <c r="G692" s="174" t="s">
        <v>883</v>
      </c>
      <c r="H692" s="177">
        <v>107</v>
      </c>
      <c r="I692" s="24">
        <v>103003</v>
      </c>
      <c r="J692" s="178">
        <v>20</v>
      </c>
      <c r="K692" s="177">
        <v>178</v>
      </c>
      <c r="L692" s="179">
        <v>6.828334396936822</v>
      </c>
      <c r="M692" s="180">
        <v>0</v>
      </c>
      <c r="N692" s="178">
        <v>0</v>
      </c>
      <c r="O692" s="181" t="s">
        <v>882</v>
      </c>
      <c r="P692" s="180">
        <v>0</v>
      </c>
      <c r="Q692" s="182">
        <v>0</v>
      </c>
      <c r="R692" s="183" t="s">
        <v>883</v>
      </c>
      <c r="S692" s="174" t="s">
        <v>1440</v>
      </c>
      <c r="T692" s="44">
        <v>1</v>
      </c>
      <c r="U692" s="184">
        <v>67</v>
      </c>
      <c r="V692" s="185">
        <v>18</v>
      </c>
      <c r="W692" s="186">
        <v>2492</v>
      </c>
      <c r="X692" s="187">
        <v>2023</v>
      </c>
      <c r="Y692" s="188">
        <v>150</v>
      </c>
      <c r="Z692" s="188" t="s">
        <v>883</v>
      </c>
      <c r="AA692" s="187" t="s">
        <v>883</v>
      </c>
      <c r="AB692" s="188">
        <v>0</v>
      </c>
      <c r="AC692" s="188"/>
      <c r="AD692" s="189" t="s">
        <v>883</v>
      </c>
      <c r="AE692" s="190" t="s">
        <v>883</v>
      </c>
      <c r="AF692" s="180">
        <v>62</v>
      </c>
      <c r="AG692" s="183">
        <v>45019</v>
      </c>
      <c r="AH692" s="183">
        <v>41509</v>
      </c>
      <c r="AI692" s="183">
        <v>44922</v>
      </c>
      <c r="AJ692" s="183" t="s">
        <v>883</v>
      </c>
      <c r="AK692" s="174"/>
    </row>
    <row r="693" spans="1:37" x14ac:dyDescent="0.3">
      <c r="A693" s="173">
        <v>126345</v>
      </c>
      <c r="B693" s="174" t="s">
        <v>1767</v>
      </c>
      <c r="C693" s="175" t="s">
        <v>1659</v>
      </c>
      <c r="D693" s="176">
        <v>2.79</v>
      </c>
      <c r="E693" s="174"/>
      <c r="F693" s="174"/>
      <c r="G693" s="174" t="s">
        <v>883</v>
      </c>
      <c r="H693" s="177">
        <v>334</v>
      </c>
      <c r="I693" s="24">
        <v>103003</v>
      </c>
      <c r="J693" s="178">
        <v>2.79</v>
      </c>
      <c r="K693" s="177">
        <v>39</v>
      </c>
      <c r="L693" s="179">
        <v>91.00817438692097</v>
      </c>
      <c r="M693" s="180">
        <v>0</v>
      </c>
      <c r="N693" s="178">
        <v>0</v>
      </c>
      <c r="O693" s="181" t="s">
        <v>882</v>
      </c>
      <c r="P693" s="180">
        <v>0</v>
      </c>
      <c r="Q693" s="182">
        <v>0</v>
      </c>
      <c r="R693" s="183" t="s">
        <v>883</v>
      </c>
      <c r="S693" s="174" t="s">
        <v>1768</v>
      </c>
      <c r="T693" s="44">
        <v>1</v>
      </c>
      <c r="U693" s="184">
        <v>89</v>
      </c>
      <c r="V693" s="185">
        <v>7</v>
      </c>
      <c r="W693" s="186" t="s">
        <v>883</v>
      </c>
      <c r="X693" s="187" t="s">
        <v>883</v>
      </c>
      <c r="Y693" s="188">
        <v>0</v>
      </c>
      <c r="Z693" s="188" t="s">
        <v>883</v>
      </c>
      <c r="AA693" s="187" t="s">
        <v>883</v>
      </c>
      <c r="AB693" s="188">
        <v>0</v>
      </c>
      <c r="AC693" s="188"/>
      <c r="AD693" s="189" t="s">
        <v>883</v>
      </c>
      <c r="AE693" s="190" t="s">
        <v>883</v>
      </c>
      <c r="AF693" s="180">
        <v>14</v>
      </c>
      <c r="AG693" s="183">
        <v>44085</v>
      </c>
      <c r="AH693" s="183">
        <v>41543</v>
      </c>
      <c r="AI693" s="183">
        <v>44082</v>
      </c>
      <c r="AJ693" s="183" t="s">
        <v>883</v>
      </c>
      <c r="AK693" s="174"/>
    </row>
    <row r="694" spans="1:37" x14ac:dyDescent="0.3">
      <c r="A694" s="173">
        <v>126837</v>
      </c>
      <c r="B694" s="174" t="s">
        <v>1769</v>
      </c>
      <c r="C694" s="175" t="s">
        <v>31</v>
      </c>
      <c r="D694" s="176">
        <v>10</v>
      </c>
      <c r="E694" s="174"/>
      <c r="F694" s="174"/>
      <c r="G694" s="174" t="s">
        <v>883</v>
      </c>
      <c r="H694" s="177">
        <v>3519</v>
      </c>
      <c r="I694" s="24">
        <v>103003</v>
      </c>
      <c r="J694" s="178">
        <v>10</v>
      </c>
      <c r="K694" s="177">
        <v>1162</v>
      </c>
      <c r="L694" s="179">
        <v>36.342042755344416</v>
      </c>
      <c r="M694" s="180">
        <v>0</v>
      </c>
      <c r="N694" s="178">
        <v>0</v>
      </c>
      <c r="O694" s="181" t="s">
        <v>882</v>
      </c>
      <c r="P694" s="180">
        <v>0</v>
      </c>
      <c r="Q694" s="182">
        <v>0</v>
      </c>
      <c r="R694" s="183" t="s">
        <v>883</v>
      </c>
      <c r="S694" s="174" t="s">
        <v>1073</v>
      </c>
      <c r="T694" s="44">
        <v>1</v>
      </c>
      <c r="U694" s="184">
        <v>78</v>
      </c>
      <c r="V694" s="185">
        <v>2</v>
      </c>
      <c r="W694" s="186" t="s">
        <v>883</v>
      </c>
      <c r="X694" s="187" t="s">
        <v>883</v>
      </c>
      <c r="Y694" s="188">
        <v>0</v>
      </c>
      <c r="Z694" s="188" t="s">
        <v>883</v>
      </c>
      <c r="AA694" s="187" t="s">
        <v>883</v>
      </c>
      <c r="AB694" s="188">
        <v>0</v>
      </c>
      <c r="AC694" s="188"/>
      <c r="AD694" s="189" t="s">
        <v>883</v>
      </c>
      <c r="AE694" s="190" t="s">
        <v>883</v>
      </c>
      <c r="AF694" s="180">
        <v>388</v>
      </c>
      <c r="AG694" s="183">
        <v>43845</v>
      </c>
      <c r="AH694" s="183">
        <v>41596</v>
      </c>
      <c r="AI694" s="183">
        <v>44785</v>
      </c>
      <c r="AJ694" s="183" t="s">
        <v>883</v>
      </c>
      <c r="AK694" s="174"/>
    </row>
    <row r="695" spans="1:37" x14ac:dyDescent="0.3">
      <c r="A695" s="173">
        <v>126838</v>
      </c>
      <c r="B695" s="174" t="s">
        <v>1770</v>
      </c>
      <c r="C695" s="175" t="s">
        <v>256</v>
      </c>
      <c r="D695" s="176">
        <v>0.33</v>
      </c>
      <c r="E695" s="174"/>
      <c r="F695" s="174"/>
      <c r="G695" s="174" t="s">
        <v>883</v>
      </c>
      <c r="H695" s="177">
        <v>2471</v>
      </c>
      <c r="I695" s="24">
        <v>103003</v>
      </c>
      <c r="J695" s="178">
        <v>0.33</v>
      </c>
      <c r="K695" s="177"/>
      <c r="L695" s="179">
        <v>0</v>
      </c>
      <c r="M695" s="180">
        <v>0</v>
      </c>
      <c r="N695" s="178">
        <v>0</v>
      </c>
      <c r="O695" s="181" t="s">
        <v>882</v>
      </c>
      <c r="P695" s="180">
        <v>0</v>
      </c>
      <c r="Q695" s="182">
        <v>0</v>
      </c>
      <c r="R695" s="183" t="s">
        <v>883</v>
      </c>
      <c r="S695" s="174" t="s">
        <v>1771</v>
      </c>
      <c r="T695" s="44">
        <v>1</v>
      </c>
      <c r="U695" s="184">
        <v>67</v>
      </c>
      <c r="V695" s="185">
        <v>2</v>
      </c>
      <c r="W695" s="186" t="s">
        <v>883</v>
      </c>
      <c r="X695" s="187" t="s">
        <v>883</v>
      </c>
      <c r="Y695" s="188">
        <v>0</v>
      </c>
      <c r="Z695" s="188" t="s">
        <v>883</v>
      </c>
      <c r="AA695" s="187" t="s">
        <v>883</v>
      </c>
      <c r="AB695" s="188">
        <v>0</v>
      </c>
      <c r="AC695" s="188"/>
      <c r="AD695" s="189" t="s">
        <v>883</v>
      </c>
      <c r="AE695" s="190" t="s">
        <v>883</v>
      </c>
      <c r="AF695" s="180">
        <v>0</v>
      </c>
      <c r="AG695" s="183">
        <v>43759</v>
      </c>
      <c r="AH695" s="183">
        <v>41596</v>
      </c>
      <c r="AI695" s="183">
        <v>43747</v>
      </c>
      <c r="AJ695" s="183" t="s">
        <v>883</v>
      </c>
      <c r="AK695" s="174"/>
    </row>
    <row r="696" spans="1:37" x14ac:dyDescent="0.3">
      <c r="A696" s="173">
        <v>127105</v>
      </c>
      <c r="B696" s="174" t="s">
        <v>1772</v>
      </c>
      <c r="C696" s="175" t="s">
        <v>256</v>
      </c>
      <c r="D696" s="176">
        <v>54.98</v>
      </c>
      <c r="E696" s="174"/>
      <c r="F696" s="174"/>
      <c r="G696" s="174" t="s">
        <v>883</v>
      </c>
      <c r="H696" s="177">
        <v>10</v>
      </c>
      <c r="I696" s="24">
        <v>103003</v>
      </c>
      <c r="J696" s="178">
        <v>54.98</v>
      </c>
      <c r="K696" s="177"/>
      <c r="L696" s="179">
        <v>0</v>
      </c>
      <c r="M696" s="180">
        <v>0</v>
      </c>
      <c r="N696" s="178">
        <v>0</v>
      </c>
      <c r="O696" s="181" t="s">
        <v>882</v>
      </c>
      <c r="P696" s="180">
        <v>0</v>
      </c>
      <c r="Q696" s="182">
        <v>0</v>
      </c>
      <c r="R696" s="183" t="s">
        <v>883</v>
      </c>
      <c r="S696" s="174" t="s">
        <v>1600</v>
      </c>
      <c r="T696" s="44">
        <v>1</v>
      </c>
      <c r="U696" s="184">
        <v>62</v>
      </c>
      <c r="V696" s="185">
        <v>4</v>
      </c>
      <c r="W696" s="186" t="s">
        <v>883</v>
      </c>
      <c r="X696" s="187" t="s">
        <v>883</v>
      </c>
      <c r="Y696" s="188">
        <v>0</v>
      </c>
      <c r="Z696" s="188" t="s">
        <v>883</v>
      </c>
      <c r="AA696" s="187" t="s">
        <v>883</v>
      </c>
      <c r="AB696" s="188">
        <v>0</v>
      </c>
      <c r="AC696" s="188"/>
      <c r="AD696" s="189" t="s">
        <v>883</v>
      </c>
      <c r="AE696" s="190" t="s">
        <v>883</v>
      </c>
      <c r="AF696" s="180">
        <v>0</v>
      </c>
      <c r="AG696" s="183">
        <v>44018</v>
      </c>
      <c r="AH696" s="183">
        <v>41648</v>
      </c>
      <c r="AI696" s="183">
        <v>44791</v>
      </c>
      <c r="AJ696" s="183" t="s">
        <v>883</v>
      </c>
      <c r="AK696" s="174"/>
    </row>
    <row r="697" spans="1:37" x14ac:dyDescent="0.3">
      <c r="A697" s="173">
        <v>127106</v>
      </c>
      <c r="B697" s="174" t="s">
        <v>1773</v>
      </c>
      <c r="C697" s="175" t="s">
        <v>256</v>
      </c>
      <c r="D697" s="176">
        <v>39.5</v>
      </c>
      <c r="E697" s="174"/>
      <c r="F697" s="174"/>
      <c r="G697" s="174" t="s">
        <v>883</v>
      </c>
      <c r="H697" s="177">
        <v>10</v>
      </c>
      <c r="I697" s="24">
        <v>103003</v>
      </c>
      <c r="J697" s="178">
        <v>39.5</v>
      </c>
      <c r="K697" s="177"/>
      <c r="L697" s="179">
        <v>0</v>
      </c>
      <c r="M697" s="180">
        <v>0</v>
      </c>
      <c r="N697" s="178">
        <v>0</v>
      </c>
      <c r="O697" s="181" t="s">
        <v>882</v>
      </c>
      <c r="P697" s="180">
        <v>0</v>
      </c>
      <c r="Q697" s="182">
        <v>0</v>
      </c>
      <c r="R697" s="183" t="s">
        <v>883</v>
      </c>
      <c r="S697" s="174" t="s">
        <v>1600</v>
      </c>
      <c r="T697" s="44">
        <v>1</v>
      </c>
      <c r="U697" s="184">
        <v>62</v>
      </c>
      <c r="V697" s="185">
        <v>4</v>
      </c>
      <c r="W697" s="186" t="s">
        <v>883</v>
      </c>
      <c r="X697" s="187" t="s">
        <v>883</v>
      </c>
      <c r="Y697" s="188">
        <v>0</v>
      </c>
      <c r="Z697" s="188" t="s">
        <v>883</v>
      </c>
      <c r="AA697" s="187" t="s">
        <v>883</v>
      </c>
      <c r="AB697" s="188">
        <v>0</v>
      </c>
      <c r="AC697" s="188"/>
      <c r="AD697" s="189" t="s">
        <v>883</v>
      </c>
      <c r="AE697" s="190" t="s">
        <v>883</v>
      </c>
      <c r="AF697" s="180">
        <v>0</v>
      </c>
      <c r="AG697" s="183">
        <v>42601</v>
      </c>
      <c r="AH697" s="183">
        <v>41648</v>
      </c>
      <c r="AI697" s="183">
        <v>42487</v>
      </c>
      <c r="AJ697" s="183" t="s">
        <v>883</v>
      </c>
      <c r="AK697" s="174"/>
    </row>
    <row r="698" spans="1:37" x14ac:dyDescent="0.3">
      <c r="A698" s="173">
        <v>127107</v>
      </c>
      <c r="B698" s="174" t="s">
        <v>1774</v>
      </c>
      <c r="C698" s="175" t="s">
        <v>256</v>
      </c>
      <c r="D698" s="176">
        <v>64.62</v>
      </c>
      <c r="E698" s="174"/>
      <c r="F698" s="174"/>
      <c r="G698" s="174" t="s">
        <v>883</v>
      </c>
      <c r="H698" s="177">
        <v>14</v>
      </c>
      <c r="I698" s="24">
        <v>103003</v>
      </c>
      <c r="J698" s="178">
        <v>64.62</v>
      </c>
      <c r="K698" s="177">
        <v>4</v>
      </c>
      <c r="L698" s="179">
        <v>42.424242424242429</v>
      </c>
      <c r="M698" s="180">
        <v>0</v>
      </c>
      <c r="N698" s="178">
        <v>0</v>
      </c>
      <c r="O698" s="181" t="s">
        <v>882</v>
      </c>
      <c r="P698" s="180">
        <v>0</v>
      </c>
      <c r="Q698" s="182">
        <v>0</v>
      </c>
      <c r="R698" s="183" t="s">
        <v>883</v>
      </c>
      <c r="S698" s="174" t="s">
        <v>1600</v>
      </c>
      <c r="T698" s="44">
        <v>1</v>
      </c>
      <c r="U698" s="184">
        <v>62</v>
      </c>
      <c r="V698" s="185">
        <v>4</v>
      </c>
      <c r="W698" s="186" t="s">
        <v>883</v>
      </c>
      <c r="X698" s="187" t="s">
        <v>883</v>
      </c>
      <c r="Y698" s="188">
        <v>0</v>
      </c>
      <c r="Z698" s="188" t="s">
        <v>883</v>
      </c>
      <c r="AA698" s="187" t="s">
        <v>883</v>
      </c>
      <c r="AB698" s="188">
        <v>0</v>
      </c>
      <c r="AC698" s="188"/>
      <c r="AD698" s="189" t="s">
        <v>883</v>
      </c>
      <c r="AE698" s="190" t="s">
        <v>883</v>
      </c>
      <c r="AF698" s="180">
        <v>2</v>
      </c>
      <c r="AG698" s="183">
        <v>43872</v>
      </c>
      <c r="AH698" s="183">
        <v>41648</v>
      </c>
      <c r="AI698" s="183">
        <v>44791</v>
      </c>
      <c r="AJ698" s="183" t="s">
        <v>883</v>
      </c>
      <c r="AK698" s="174"/>
    </row>
    <row r="699" spans="1:37" x14ac:dyDescent="0.3">
      <c r="A699" s="173">
        <v>127384</v>
      </c>
      <c r="B699" s="174" t="s">
        <v>1775</v>
      </c>
      <c r="C699" s="175" t="s">
        <v>281</v>
      </c>
      <c r="D699" s="176">
        <v>27.3</v>
      </c>
      <c r="E699" s="174"/>
      <c r="F699" s="174"/>
      <c r="G699" s="174" t="s">
        <v>883</v>
      </c>
      <c r="H699" s="177">
        <v>218</v>
      </c>
      <c r="I699" s="24">
        <v>103003</v>
      </c>
      <c r="J699" s="178">
        <v>27.3</v>
      </c>
      <c r="K699" s="177">
        <v>253</v>
      </c>
      <c r="L699" s="179">
        <v>8.4660194174757279</v>
      </c>
      <c r="M699" s="180">
        <v>0</v>
      </c>
      <c r="N699" s="178">
        <v>0</v>
      </c>
      <c r="O699" s="181" t="s">
        <v>882</v>
      </c>
      <c r="P699" s="180">
        <v>0</v>
      </c>
      <c r="Q699" s="182">
        <v>0</v>
      </c>
      <c r="R699" s="183" t="s">
        <v>883</v>
      </c>
      <c r="S699" s="174" t="s">
        <v>1110</v>
      </c>
      <c r="T699" s="44">
        <v>1</v>
      </c>
      <c r="U699" s="184">
        <v>51</v>
      </c>
      <c r="V699" s="185">
        <v>33</v>
      </c>
      <c r="W699" s="186">
        <v>2432</v>
      </c>
      <c r="X699" s="187">
        <v>2023</v>
      </c>
      <c r="Y699" s="188">
        <v>100</v>
      </c>
      <c r="Z699" s="188" t="s">
        <v>883</v>
      </c>
      <c r="AA699" s="187" t="s">
        <v>883</v>
      </c>
      <c r="AB699" s="188">
        <v>0</v>
      </c>
      <c r="AC699" s="188"/>
      <c r="AD699" s="189" t="s">
        <v>883</v>
      </c>
      <c r="AE699" s="190" t="s">
        <v>883</v>
      </c>
      <c r="AF699" s="180">
        <v>104</v>
      </c>
      <c r="AG699" s="183">
        <v>44953</v>
      </c>
      <c r="AH699" s="183">
        <v>41688</v>
      </c>
      <c r="AI699" s="183">
        <v>44914</v>
      </c>
      <c r="AJ699" s="183" t="s">
        <v>883</v>
      </c>
      <c r="AK699" s="174"/>
    </row>
    <row r="700" spans="1:37" x14ac:dyDescent="0.3">
      <c r="A700" s="173">
        <v>127664</v>
      </c>
      <c r="B700" s="174" t="s">
        <v>1776</v>
      </c>
      <c r="C700" s="175" t="s">
        <v>413</v>
      </c>
      <c r="D700" s="176">
        <v>3.63</v>
      </c>
      <c r="E700" s="174"/>
      <c r="F700" s="174"/>
      <c r="G700" s="174" t="s">
        <v>883</v>
      </c>
      <c r="H700" s="177">
        <v>4461</v>
      </c>
      <c r="I700" s="24">
        <v>103003</v>
      </c>
      <c r="J700" s="178">
        <v>3.63</v>
      </c>
      <c r="K700" s="177">
        <v>3337</v>
      </c>
      <c r="L700" s="179">
        <v>9.2488545186905231</v>
      </c>
      <c r="M700" s="180">
        <v>1326.96</v>
      </c>
      <c r="N700" s="178">
        <v>4816.8648000000003</v>
      </c>
      <c r="O700" s="181" t="s">
        <v>882</v>
      </c>
      <c r="P700" s="180">
        <v>0</v>
      </c>
      <c r="Q700" s="182">
        <v>0</v>
      </c>
      <c r="R700" s="183" t="s">
        <v>883</v>
      </c>
      <c r="S700" s="174" t="s">
        <v>1777</v>
      </c>
      <c r="T700" s="44">
        <v>1</v>
      </c>
      <c r="U700" s="184">
        <v>71</v>
      </c>
      <c r="V700" s="185">
        <v>34</v>
      </c>
      <c r="W700" s="186" t="s">
        <v>883</v>
      </c>
      <c r="X700" s="187" t="s">
        <v>883</v>
      </c>
      <c r="Y700" s="188">
        <v>0</v>
      </c>
      <c r="Z700" s="188" t="s">
        <v>883</v>
      </c>
      <c r="AA700" s="187" t="s">
        <v>883</v>
      </c>
      <c r="AB700" s="188">
        <v>0</v>
      </c>
      <c r="AC700" s="188"/>
      <c r="AD700" s="189" t="s">
        <v>883</v>
      </c>
      <c r="AE700" s="190" t="s">
        <v>883</v>
      </c>
      <c r="AF700" s="180">
        <v>1930</v>
      </c>
      <c r="AG700" s="183">
        <v>45090</v>
      </c>
      <c r="AH700" s="183">
        <v>41733</v>
      </c>
      <c r="AI700" s="183">
        <v>45072</v>
      </c>
      <c r="AJ700" s="183" t="s">
        <v>883</v>
      </c>
      <c r="AK700" s="174"/>
    </row>
    <row r="701" spans="1:37" x14ac:dyDescent="0.3">
      <c r="A701" s="173">
        <v>128229</v>
      </c>
      <c r="B701" s="174" t="s">
        <v>1778</v>
      </c>
      <c r="C701" s="175" t="s">
        <v>31</v>
      </c>
      <c r="D701" s="176">
        <v>5.88</v>
      </c>
      <c r="E701" s="174"/>
      <c r="F701" s="174"/>
      <c r="G701" s="174" t="s">
        <v>883</v>
      </c>
      <c r="H701" s="177">
        <v>108</v>
      </c>
      <c r="I701" s="24">
        <v>103003</v>
      </c>
      <c r="J701" s="178">
        <v>5.88</v>
      </c>
      <c r="K701" s="177">
        <v>18</v>
      </c>
      <c r="L701" s="179">
        <v>61.714285714285708</v>
      </c>
      <c r="M701" s="180">
        <v>0</v>
      </c>
      <c r="N701" s="178">
        <v>0</v>
      </c>
      <c r="O701" s="181" t="s">
        <v>882</v>
      </c>
      <c r="P701" s="180">
        <v>0</v>
      </c>
      <c r="Q701" s="182">
        <v>0</v>
      </c>
      <c r="R701" s="183" t="s">
        <v>883</v>
      </c>
      <c r="S701" s="174" t="s">
        <v>964</v>
      </c>
      <c r="T701" s="44">
        <v>1</v>
      </c>
      <c r="U701" s="184">
        <v>61</v>
      </c>
      <c r="V701" s="185">
        <v>8</v>
      </c>
      <c r="W701" s="186" t="s">
        <v>883</v>
      </c>
      <c r="X701" s="187" t="s">
        <v>883</v>
      </c>
      <c r="Y701" s="188">
        <v>0</v>
      </c>
      <c r="Z701" s="188" t="s">
        <v>883</v>
      </c>
      <c r="AA701" s="187" t="s">
        <v>883</v>
      </c>
      <c r="AB701" s="188">
        <v>0</v>
      </c>
      <c r="AC701" s="188"/>
      <c r="AD701" s="189" t="s">
        <v>883</v>
      </c>
      <c r="AE701" s="190" t="s">
        <v>883</v>
      </c>
      <c r="AF701" s="180">
        <v>8</v>
      </c>
      <c r="AG701" s="183">
        <v>44573</v>
      </c>
      <c r="AH701" s="183">
        <v>41814</v>
      </c>
      <c r="AI701" s="183">
        <v>44522</v>
      </c>
      <c r="AJ701" s="183" t="s">
        <v>883</v>
      </c>
      <c r="AK701" s="174"/>
    </row>
    <row r="702" spans="1:37" x14ac:dyDescent="0.3">
      <c r="A702" s="173">
        <v>128287</v>
      </c>
      <c r="B702" s="174" t="s">
        <v>1779</v>
      </c>
      <c r="C702" s="175" t="s">
        <v>273</v>
      </c>
      <c r="D702" s="176">
        <v>84.22</v>
      </c>
      <c r="E702" s="174"/>
      <c r="F702" s="174"/>
      <c r="G702" s="174" t="s">
        <v>883</v>
      </c>
      <c r="H702" s="177">
        <v>0</v>
      </c>
      <c r="I702" s="24">
        <v>103003</v>
      </c>
      <c r="J702" s="178">
        <v>84.22</v>
      </c>
      <c r="K702" s="177">
        <v>328</v>
      </c>
      <c r="L702" s="179">
        <v>0</v>
      </c>
      <c r="M702" s="180">
        <v>0</v>
      </c>
      <c r="N702" s="178">
        <v>0</v>
      </c>
      <c r="O702" s="181" t="s">
        <v>882</v>
      </c>
      <c r="P702" s="180">
        <v>0</v>
      </c>
      <c r="Q702" s="182">
        <v>0</v>
      </c>
      <c r="R702" s="183" t="s">
        <v>883</v>
      </c>
      <c r="S702" s="174" t="s">
        <v>1183</v>
      </c>
      <c r="T702" s="44">
        <v>1</v>
      </c>
      <c r="U702" s="184">
        <v>76</v>
      </c>
      <c r="V702" s="185">
        <v>16</v>
      </c>
      <c r="W702" s="186">
        <v>2503</v>
      </c>
      <c r="X702" s="187">
        <v>2023</v>
      </c>
      <c r="Y702" s="188">
        <v>700</v>
      </c>
      <c r="Z702" s="188" t="s">
        <v>883</v>
      </c>
      <c r="AA702" s="187" t="s">
        <v>883</v>
      </c>
      <c r="AB702" s="188">
        <v>0</v>
      </c>
      <c r="AC702" s="188"/>
      <c r="AD702" s="189" t="s">
        <v>883</v>
      </c>
      <c r="AE702" s="190" t="s">
        <v>883</v>
      </c>
      <c r="AF702" s="180">
        <v>126</v>
      </c>
      <c r="AG702" s="183">
        <v>44601</v>
      </c>
      <c r="AH702" s="183">
        <v>41828</v>
      </c>
      <c r="AI702" s="183">
        <v>44586</v>
      </c>
      <c r="AJ702" s="183" t="s">
        <v>883</v>
      </c>
      <c r="AK702" s="174"/>
    </row>
    <row r="703" spans="1:37" x14ac:dyDescent="0.3">
      <c r="A703" s="173">
        <v>128288</v>
      </c>
      <c r="B703" s="174" t="s">
        <v>1780</v>
      </c>
      <c r="C703" s="175" t="s">
        <v>596</v>
      </c>
      <c r="D703" s="176">
        <v>135.71</v>
      </c>
      <c r="E703" s="174"/>
      <c r="F703" s="174"/>
      <c r="G703" s="174" t="s">
        <v>883</v>
      </c>
      <c r="H703" s="177">
        <v>0</v>
      </c>
      <c r="I703" s="24">
        <v>103003</v>
      </c>
      <c r="J703" s="178">
        <v>135.71</v>
      </c>
      <c r="K703" s="177">
        <v>19</v>
      </c>
      <c r="L703" s="179">
        <v>0</v>
      </c>
      <c r="M703" s="180">
        <v>0</v>
      </c>
      <c r="N703" s="178">
        <v>0</v>
      </c>
      <c r="O703" s="181" t="s">
        <v>882</v>
      </c>
      <c r="P703" s="180">
        <v>0</v>
      </c>
      <c r="Q703" s="182">
        <v>0</v>
      </c>
      <c r="R703" s="183" t="s">
        <v>883</v>
      </c>
      <c r="S703" s="174" t="s">
        <v>1509</v>
      </c>
      <c r="T703" s="44">
        <v>1</v>
      </c>
      <c r="U703" s="184">
        <v>76</v>
      </c>
      <c r="V703" s="185">
        <v>13</v>
      </c>
      <c r="W703" s="186">
        <v>2790</v>
      </c>
      <c r="X703" s="187">
        <v>2023</v>
      </c>
      <c r="Y703" s="188">
        <v>50</v>
      </c>
      <c r="Z703" s="188">
        <v>14002</v>
      </c>
      <c r="AA703" s="187">
        <v>2022</v>
      </c>
      <c r="AB703" s="188">
        <v>20</v>
      </c>
      <c r="AC703" s="188">
        <v>20</v>
      </c>
      <c r="AD703" s="189" t="s">
        <v>2046</v>
      </c>
      <c r="AE703" s="190">
        <v>44875</v>
      </c>
      <c r="AF703" s="180">
        <v>6</v>
      </c>
      <c r="AG703" s="183">
        <v>44742</v>
      </c>
      <c r="AH703" s="183">
        <v>41830</v>
      </c>
      <c r="AI703" s="183">
        <v>44865</v>
      </c>
      <c r="AJ703" s="183" t="s">
        <v>883</v>
      </c>
      <c r="AK703" s="174"/>
    </row>
    <row r="704" spans="1:37" x14ac:dyDescent="0.3">
      <c r="A704" s="173">
        <v>128392</v>
      </c>
      <c r="B704" s="174" t="s">
        <v>510</v>
      </c>
      <c r="C704" s="175" t="s">
        <v>281</v>
      </c>
      <c r="D704" s="176">
        <v>210.5</v>
      </c>
      <c r="E704" s="174"/>
      <c r="F704" s="174"/>
      <c r="G704" s="174" t="s">
        <v>883</v>
      </c>
      <c r="H704" s="177">
        <v>103</v>
      </c>
      <c r="I704" s="24">
        <v>103003</v>
      </c>
      <c r="J704" s="178">
        <v>210.5</v>
      </c>
      <c r="K704" s="177"/>
      <c r="L704" s="179">
        <v>0</v>
      </c>
      <c r="M704" s="180">
        <v>0</v>
      </c>
      <c r="N704" s="178">
        <v>0</v>
      </c>
      <c r="O704" s="181" t="s">
        <v>882</v>
      </c>
      <c r="P704" s="180">
        <v>0</v>
      </c>
      <c r="Q704" s="182">
        <v>0</v>
      </c>
      <c r="R704" s="183" t="s">
        <v>883</v>
      </c>
      <c r="S704" s="174" t="s">
        <v>1552</v>
      </c>
      <c r="T704" s="44">
        <v>1</v>
      </c>
      <c r="U704" s="184">
        <v>70</v>
      </c>
      <c r="V704" s="185">
        <v>47</v>
      </c>
      <c r="W704" s="186" t="s">
        <v>883</v>
      </c>
      <c r="X704" s="187" t="s">
        <v>883</v>
      </c>
      <c r="Y704" s="188">
        <v>0</v>
      </c>
      <c r="Z704" s="188" t="s">
        <v>883</v>
      </c>
      <c r="AA704" s="187" t="s">
        <v>883</v>
      </c>
      <c r="AB704" s="188">
        <v>0</v>
      </c>
      <c r="AC704" s="188"/>
      <c r="AD704" s="189" t="s">
        <v>883</v>
      </c>
      <c r="AE704" s="190" t="s">
        <v>883</v>
      </c>
      <c r="AF704" s="180">
        <v>0</v>
      </c>
      <c r="AG704" s="183">
        <v>42522</v>
      </c>
      <c r="AH704" s="183">
        <v>41851</v>
      </c>
      <c r="AI704" s="183">
        <v>42499</v>
      </c>
      <c r="AJ704" s="183" t="s">
        <v>883</v>
      </c>
      <c r="AK704" s="174"/>
    </row>
    <row r="705" spans="1:37" x14ac:dyDescent="0.3">
      <c r="A705" s="173">
        <v>128782</v>
      </c>
      <c r="B705" s="174" t="s">
        <v>1781</v>
      </c>
      <c r="C705" s="175" t="s">
        <v>281</v>
      </c>
      <c r="D705" s="176">
        <v>188</v>
      </c>
      <c r="E705" s="174"/>
      <c r="F705" s="174"/>
      <c r="G705" s="174" t="s">
        <v>883</v>
      </c>
      <c r="H705" s="177">
        <v>97</v>
      </c>
      <c r="I705" s="24">
        <v>103003</v>
      </c>
      <c r="J705" s="178">
        <v>188</v>
      </c>
      <c r="K705" s="177"/>
      <c r="L705" s="179">
        <v>0</v>
      </c>
      <c r="M705" s="180">
        <v>0</v>
      </c>
      <c r="N705" s="178">
        <v>0</v>
      </c>
      <c r="O705" s="181" t="s">
        <v>882</v>
      </c>
      <c r="P705" s="180">
        <v>0</v>
      </c>
      <c r="Q705" s="182">
        <v>0</v>
      </c>
      <c r="R705" s="183" t="s">
        <v>883</v>
      </c>
      <c r="S705" s="174" t="s">
        <v>1073</v>
      </c>
      <c r="T705" s="44">
        <v>1</v>
      </c>
      <c r="U705" s="184">
        <v>78</v>
      </c>
      <c r="V705" s="185">
        <v>2</v>
      </c>
      <c r="W705" s="186" t="s">
        <v>883</v>
      </c>
      <c r="X705" s="187" t="s">
        <v>883</v>
      </c>
      <c r="Y705" s="188">
        <v>0</v>
      </c>
      <c r="Z705" s="188" t="s">
        <v>883</v>
      </c>
      <c r="AA705" s="187" t="s">
        <v>883</v>
      </c>
      <c r="AB705" s="188">
        <v>0</v>
      </c>
      <c r="AC705" s="188"/>
      <c r="AD705" s="189" t="s">
        <v>883</v>
      </c>
      <c r="AE705" s="190" t="s">
        <v>883</v>
      </c>
      <c r="AF705" s="180">
        <v>0</v>
      </c>
      <c r="AG705" s="183">
        <v>42522</v>
      </c>
      <c r="AH705" s="183">
        <v>41914</v>
      </c>
      <c r="AI705" s="183">
        <v>42893</v>
      </c>
      <c r="AJ705" s="183" t="s">
        <v>883</v>
      </c>
      <c r="AK705" s="174"/>
    </row>
    <row r="706" spans="1:37" x14ac:dyDescent="0.3">
      <c r="A706" s="173">
        <v>128815</v>
      </c>
      <c r="B706" s="174" t="s">
        <v>1782</v>
      </c>
      <c r="C706" s="175" t="s">
        <v>31</v>
      </c>
      <c r="D706" s="176">
        <v>0.25</v>
      </c>
      <c r="E706" s="174"/>
      <c r="F706" s="174"/>
      <c r="G706" s="174" t="s">
        <v>883</v>
      </c>
      <c r="H706" s="177">
        <v>2691</v>
      </c>
      <c r="I706" s="24">
        <v>103003</v>
      </c>
      <c r="J706" s="178">
        <v>0.25</v>
      </c>
      <c r="K706" s="177">
        <v>2874</v>
      </c>
      <c r="L706" s="179">
        <v>8.4868172070140027</v>
      </c>
      <c r="M706" s="180">
        <v>0</v>
      </c>
      <c r="N706" s="178">
        <v>0</v>
      </c>
      <c r="O706" s="181" t="s">
        <v>882</v>
      </c>
      <c r="P706" s="180">
        <v>0</v>
      </c>
      <c r="Q706" s="182">
        <v>0</v>
      </c>
      <c r="R706" s="183" t="s">
        <v>883</v>
      </c>
      <c r="S706" s="174" t="s">
        <v>988</v>
      </c>
      <c r="T706" s="44">
        <v>1</v>
      </c>
      <c r="U706" s="184">
        <v>55</v>
      </c>
      <c r="V706" s="185">
        <v>32</v>
      </c>
      <c r="W706" s="186">
        <v>2956</v>
      </c>
      <c r="X706" s="187">
        <v>2023</v>
      </c>
      <c r="Y706" s="188">
        <v>3000</v>
      </c>
      <c r="Z706" s="188" t="s">
        <v>883</v>
      </c>
      <c r="AA706" s="187" t="s">
        <v>883</v>
      </c>
      <c r="AB706" s="188">
        <v>0</v>
      </c>
      <c r="AC706" s="188"/>
      <c r="AD706" s="189" t="s">
        <v>883</v>
      </c>
      <c r="AE706" s="190" t="s">
        <v>883</v>
      </c>
      <c r="AF706" s="180">
        <v>1268</v>
      </c>
      <c r="AG706" s="183">
        <v>44628</v>
      </c>
      <c r="AH706" s="183">
        <v>41926</v>
      </c>
      <c r="AI706" s="183">
        <v>44616</v>
      </c>
      <c r="AJ706" s="183" t="s">
        <v>883</v>
      </c>
      <c r="AK706" s="174"/>
    </row>
    <row r="707" spans="1:37" x14ac:dyDescent="0.3">
      <c r="A707" s="173">
        <v>128816</v>
      </c>
      <c r="B707" s="174" t="s">
        <v>1783</v>
      </c>
      <c r="C707" s="175" t="s">
        <v>31</v>
      </c>
      <c r="D707" s="176">
        <v>0.39</v>
      </c>
      <c r="E707" s="174"/>
      <c r="F707" s="174"/>
      <c r="G707" s="174" t="s">
        <v>883</v>
      </c>
      <c r="H707" s="177">
        <v>805</v>
      </c>
      <c r="I707" s="24">
        <v>103003</v>
      </c>
      <c r="J707" s="178">
        <v>0.39</v>
      </c>
      <c r="K707" s="177">
        <v>185</v>
      </c>
      <c r="L707" s="179">
        <v>52.204928664072639</v>
      </c>
      <c r="M707" s="180">
        <v>0</v>
      </c>
      <c r="N707" s="178">
        <v>0</v>
      </c>
      <c r="O707" s="181" t="s">
        <v>882</v>
      </c>
      <c r="P707" s="180">
        <v>0</v>
      </c>
      <c r="Q707" s="182">
        <v>0</v>
      </c>
      <c r="R707" s="183" t="s">
        <v>883</v>
      </c>
      <c r="S707" s="174" t="s">
        <v>988</v>
      </c>
      <c r="T707" s="44">
        <v>1</v>
      </c>
      <c r="U707" s="184">
        <v>55</v>
      </c>
      <c r="V707" s="185">
        <v>32</v>
      </c>
      <c r="W707" s="186" t="s">
        <v>883</v>
      </c>
      <c r="X707" s="187" t="s">
        <v>883</v>
      </c>
      <c r="Y707" s="188">
        <v>0</v>
      </c>
      <c r="Z707" s="188" t="s">
        <v>883</v>
      </c>
      <c r="AA707" s="187" t="s">
        <v>883</v>
      </c>
      <c r="AB707" s="188">
        <v>0</v>
      </c>
      <c r="AC707" s="188"/>
      <c r="AD707" s="189" t="s">
        <v>883</v>
      </c>
      <c r="AE707" s="190" t="s">
        <v>883</v>
      </c>
      <c r="AF707" s="180">
        <v>62</v>
      </c>
      <c r="AG707" s="183">
        <v>42220</v>
      </c>
      <c r="AH707" s="183">
        <v>41926</v>
      </c>
      <c r="AI707" s="183">
        <v>42205</v>
      </c>
      <c r="AJ707" s="183" t="s">
        <v>883</v>
      </c>
      <c r="AK707" s="174"/>
    </row>
    <row r="708" spans="1:37" x14ac:dyDescent="0.3">
      <c r="A708" s="173">
        <v>128818</v>
      </c>
      <c r="B708" s="174" t="s">
        <v>1784</v>
      </c>
      <c r="C708" s="175" t="s">
        <v>31</v>
      </c>
      <c r="D708" s="176">
        <v>1.1499999999999999</v>
      </c>
      <c r="E708" s="174"/>
      <c r="F708" s="174"/>
      <c r="G708" s="174" t="s">
        <v>883</v>
      </c>
      <c r="H708" s="177">
        <v>3255</v>
      </c>
      <c r="I708" s="24">
        <v>103003</v>
      </c>
      <c r="J708" s="178">
        <v>1.1499999999999999</v>
      </c>
      <c r="K708" s="177">
        <v>4281</v>
      </c>
      <c r="L708" s="179">
        <v>6.5857359635811843</v>
      </c>
      <c r="M708" s="180">
        <v>1676</v>
      </c>
      <c r="N708" s="178">
        <v>1927.4</v>
      </c>
      <c r="O708" s="181" t="s">
        <v>882</v>
      </c>
      <c r="P708" s="180">
        <v>0</v>
      </c>
      <c r="Q708" s="182">
        <v>0</v>
      </c>
      <c r="R708" s="183" t="s">
        <v>883</v>
      </c>
      <c r="S708" s="174" t="s">
        <v>1085</v>
      </c>
      <c r="T708" s="44">
        <v>1</v>
      </c>
      <c r="U708" s="184">
        <v>55</v>
      </c>
      <c r="V708" s="185">
        <v>34</v>
      </c>
      <c r="W708" s="186">
        <v>2448</v>
      </c>
      <c r="X708" s="187">
        <v>2023</v>
      </c>
      <c r="Y708" s="188">
        <v>1000</v>
      </c>
      <c r="Z708" s="188" t="s">
        <v>883</v>
      </c>
      <c r="AA708" s="187" t="s">
        <v>883</v>
      </c>
      <c r="AB708" s="188">
        <v>0</v>
      </c>
      <c r="AC708" s="188"/>
      <c r="AD708" s="189" t="s">
        <v>883</v>
      </c>
      <c r="AE708" s="190" t="s">
        <v>883</v>
      </c>
      <c r="AF708" s="180">
        <v>1978</v>
      </c>
      <c r="AG708" s="183">
        <v>44659</v>
      </c>
      <c r="AH708" s="183">
        <v>41926</v>
      </c>
      <c r="AI708" s="183">
        <v>44616</v>
      </c>
      <c r="AJ708" s="183" t="s">
        <v>883</v>
      </c>
      <c r="AK708" s="174"/>
    </row>
    <row r="709" spans="1:37" x14ac:dyDescent="0.3">
      <c r="A709" s="173">
        <v>128819</v>
      </c>
      <c r="B709" s="174" t="s">
        <v>1785</v>
      </c>
      <c r="C709" s="175" t="s">
        <v>31</v>
      </c>
      <c r="D709" s="176">
        <v>5.6</v>
      </c>
      <c r="E709" s="174"/>
      <c r="F709" s="174"/>
      <c r="G709" s="174" t="s">
        <v>883</v>
      </c>
      <c r="H709" s="177">
        <v>251</v>
      </c>
      <c r="I709" s="24">
        <v>103003</v>
      </c>
      <c r="J709" s="178">
        <v>5.6</v>
      </c>
      <c r="K709" s="177">
        <v>216</v>
      </c>
      <c r="L709" s="179">
        <v>13.09337506520605</v>
      </c>
      <c r="M709" s="180">
        <v>0</v>
      </c>
      <c r="N709" s="178">
        <v>0</v>
      </c>
      <c r="O709" s="181" t="s">
        <v>882</v>
      </c>
      <c r="P709" s="180">
        <v>0</v>
      </c>
      <c r="Q709" s="182">
        <v>0</v>
      </c>
      <c r="R709" s="183" t="s">
        <v>883</v>
      </c>
      <c r="S709" s="174" t="s">
        <v>1085</v>
      </c>
      <c r="T709" s="44">
        <v>1</v>
      </c>
      <c r="U709" s="184">
        <v>55</v>
      </c>
      <c r="V709" s="185">
        <v>34</v>
      </c>
      <c r="W709" s="186">
        <v>2546</v>
      </c>
      <c r="X709" s="187">
        <v>2023</v>
      </c>
      <c r="Y709" s="188">
        <v>100</v>
      </c>
      <c r="Z709" s="188" t="s">
        <v>883</v>
      </c>
      <c r="AA709" s="187" t="s">
        <v>883</v>
      </c>
      <c r="AB709" s="188">
        <v>0</v>
      </c>
      <c r="AC709" s="188"/>
      <c r="AD709" s="189" t="s">
        <v>883</v>
      </c>
      <c r="AE709" s="190" t="s">
        <v>883</v>
      </c>
      <c r="AF709" s="180">
        <v>76</v>
      </c>
      <c r="AG709" s="183">
        <v>44659</v>
      </c>
      <c r="AH709" s="183">
        <v>41926</v>
      </c>
      <c r="AI709" s="183">
        <v>44616</v>
      </c>
      <c r="AJ709" s="183" t="s">
        <v>883</v>
      </c>
      <c r="AK709" s="174"/>
    </row>
    <row r="710" spans="1:37" x14ac:dyDescent="0.3">
      <c r="A710" s="173">
        <v>128832</v>
      </c>
      <c r="B710" s="174" t="s">
        <v>676</v>
      </c>
      <c r="C710" s="175" t="s">
        <v>31</v>
      </c>
      <c r="D710" s="176">
        <v>1310</v>
      </c>
      <c r="E710" s="174"/>
      <c r="F710" s="174"/>
      <c r="G710" s="174" t="s">
        <v>883</v>
      </c>
      <c r="H710" s="177">
        <v>2</v>
      </c>
      <c r="I710" s="24">
        <v>103003</v>
      </c>
      <c r="J710" s="178">
        <v>1310</v>
      </c>
      <c r="K710" s="177"/>
      <c r="L710" s="179">
        <v>0</v>
      </c>
      <c r="M710" s="180">
        <v>0</v>
      </c>
      <c r="N710" s="178">
        <v>0</v>
      </c>
      <c r="O710" s="181" t="s">
        <v>882</v>
      </c>
      <c r="P710" s="180">
        <v>0</v>
      </c>
      <c r="Q710" s="182">
        <v>0</v>
      </c>
      <c r="R710" s="183" t="s">
        <v>883</v>
      </c>
      <c r="S710" s="174" t="s">
        <v>1786</v>
      </c>
      <c r="T710" s="44">
        <v>1</v>
      </c>
      <c r="U710" s="184">
        <v>84</v>
      </c>
      <c r="V710" s="185">
        <v>5</v>
      </c>
      <c r="W710" s="186" t="s">
        <v>883</v>
      </c>
      <c r="X710" s="187" t="s">
        <v>883</v>
      </c>
      <c r="Y710" s="188">
        <v>0</v>
      </c>
      <c r="Z710" s="188" t="s">
        <v>883</v>
      </c>
      <c r="AA710" s="187" t="s">
        <v>883</v>
      </c>
      <c r="AB710" s="188">
        <v>0</v>
      </c>
      <c r="AC710" s="188"/>
      <c r="AD710" s="189" t="s">
        <v>883</v>
      </c>
      <c r="AE710" s="190" t="s">
        <v>883</v>
      </c>
      <c r="AF710" s="180">
        <v>0</v>
      </c>
      <c r="AG710" s="183">
        <v>42146</v>
      </c>
      <c r="AH710" s="183">
        <v>41932</v>
      </c>
      <c r="AI710" s="183">
        <v>42142</v>
      </c>
      <c r="AJ710" s="183" t="s">
        <v>883</v>
      </c>
      <c r="AK710" s="174"/>
    </row>
    <row r="711" spans="1:37" x14ac:dyDescent="0.3">
      <c r="A711" s="173">
        <v>129960</v>
      </c>
      <c r="B711" s="174" t="s">
        <v>1787</v>
      </c>
      <c r="C711" s="175" t="s">
        <v>331</v>
      </c>
      <c r="D711" s="176">
        <v>136</v>
      </c>
      <c r="E711" s="174"/>
      <c r="F711" s="174"/>
      <c r="G711" s="174" t="s">
        <v>883</v>
      </c>
      <c r="H711" s="177">
        <v>250</v>
      </c>
      <c r="I711" s="24">
        <v>103003</v>
      </c>
      <c r="J711" s="178">
        <v>136</v>
      </c>
      <c r="K711" s="177">
        <v>25</v>
      </c>
      <c r="L711" s="179">
        <v>120.19230769230769</v>
      </c>
      <c r="M711" s="180">
        <v>0</v>
      </c>
      <c r="N711" s="178">
        <v>0</v>
      </c>
      <c r="O711" s="181" t="s">
        <v>882</v>
      </c>
      <c r="P711" s="180">
        <v>0</v>
      </c>
      <c r="Q711" s="182">
        <v>0</v>
      </c>
      <c r="R711" s="183" t="s">
        <v>883</v>
      </c>
      <c r="S711" s="174" t="s">
        <v>1666</v>
      </c>
      <c r="T711" s="44">
        <v>1</v>
      </c>
      <c r="U711" s="184">
        <v>55</v>
      </c>
      <c r="V711" s="185">
        <v>19</v>
      </c>
      <c r="W711" s="186" t="s">
        <v>883</v>
      </c>
      <c r="X711" s="187" t="s">
        <v>883</v>
      </c>
      <c r="Y711" s="188">
        <v>0</v>
      </c>
      <c r="Z711" s="188" t="s">
        <v>883</v>
      </c>
      <c r="AA711" s="187" t="s">
        <v>883</v>
      </c>
      <c r="AB711" s="188">
        <v>0</v>
      </c>
      <c r="AC711" s="188"/>
      <c r="AD711" s="189" t="s">
        <v>883</v>
      </c>
      <c r="AE711" s="190" t="s">
        <v>883</v>
      </c>
      <c r="AF711" s="180">
        <v>8</v>
      </c>
      <c r="AG711" s="183">
        <v>44960</v>
      </c>
      <c r="AH711" s="183">
        <v>42046</v>
      </c>
      <c r="AI711" s="183">
        <v>44845</v>
      </c>
      <c r="AJ711" s="183" t="s">
        <v>883</v>
      </c>
      <c r="AK711" s="174"/>
    </row>
    <row r="712" spans="1:37" x14ac:dyDescent="0.3">
      <c r="A712" s="173">
        <v>129961</v>
      </c>
      <c r="B712" s="174" t="s">
        <v>1788</v>
      </c>
      <c r="C712" s="175" t="s">
        <v>256</v>
      </c>
      <c r="D712" s="176">
        <v>574.29999999999995</v>
      </c>
      <c r="E712" s="174"/>
      <c r="F712" s="174"/>
      <c r="G712" s="174" t="s">
        <v>883</v>
      </c>
      <c r="H712" s="177">
        <v>5</v>
      </c>
      <c r="I712" s="24">
        <v>103003</v>
      </c>
      <c r="J712" s="178">
        <v>574.29999999999995</v>
      </c>
      <c r="K712" s="177">
        <v>1</v>
      </c>
      <c r="L712" s="179">
        <v>62.5</v>
      </c>
      <c r="M712" s="180">
        <v>0</v>
      </c>
      <c r="N712" s="178">
        <v>0</v>
      </c>
      <c r="O712" s="181" t="s">
        <v>882</v>
      </c>
      <c r="P712" s="180">
        <v>0</v>
      </c>
      <c r="Q712" s="182">
        <v>0</v>
      </c>
      <c r="R712" s="183" t="s">
        <v>883</v>
      </c>
      <c r="S712" s="174" t="s">
        <v>1491</v>
      </c>
      <c r="T712" s="44">
        <v>1</v>
      </c>
      <c r="U712" s="184">
        <v>55</v>
      </c>
      <c r="V712" s="185">
        <v>26</v>
      </c>
      <c r="W712" s="186" t="s">
        <v>883</v>
      </c>
      <c r="X712" s="187" t="s">
        <v>883</v>
      </c>
      <c r="Y712" s="188">
        <v>0</v>
      </c>
      <c r="Z712" s="188" t="s">
        <v>883</v>
      </c>
      <c r="AA712" s="187" t="s">
        <v>883</v>
      </c>
      <c r="AB712" s="188">
        <v>0</v>
      </c>
      <c r="AC712" s="188"/>
      <c r="AD712" s="189" t="s">
        <v>883</v>
      </c>
      <c r="AE712" s="190" t="s">
        <v>883</v>
      </c>
      <c r="AF712" s="180">
        <v>0</v>
      </c>
      <c r="AG712" s="183">
        <v>43790</v>
      </c>
      <c r="AH712" s="183">
        <v>42046</v>
      </c>
      <c r="AI712" s="183">
        <v>43783</v>
      </c>
      <c r="AJ712" s="183" t="s">
        <v>883</v>
      </c>
      <c r="AK712" s="174"/>
    </row>
    <row r="713" spans="1:37" x14ac:dyDescent="0.3">
      <c r="A713" s="173">
        <v>129962</v>
      </c>
      <c r="B713" s="174" t="s">
        <v>1789</v>
      </c>
      <c r="C713" s="175" t="s">
        <v>256</v>
      </c>
      <c r="D713" s="176">
        <v>351.97</v>
      </c>
      <c r="E713" s="174"/>
      <c r="F713" s="174"/>
      <c r="G713" s="174" t="s">
        <v>883</v>
      </c>
      <c r="H713" s="177">
        <v>7</v>
      </c>
      <c r="I713" s="24">
        <v>103003</v>
      </c>
      <c r="J713" s="178">
        <v>351.97</v>
      </c>
      <c r="K713" s="177">
        <v>3</v>
      </c>
      <c r="L713" s="179">
        <v>28</v>
      </c>
      <c r="M713" s="180">
        <v>0</v>
      </c>
      <c r="N713" s="178">
        <v>0</v>
      </c>
      <c r="O713" s="181" t="s">
        <v>882</v>
      </c>
      <c r="P713" s="180">
        <v>0</v>
      </c>
      <c r="Q713" s="182">
        <v>0</v>
      </c>
      <c r="R713" s="183" t="s">
        <v>883</v>
      </c>
      <c r="S713" s="174" t="s">
        <v>1491</v>
      </c>
      <c r="T713" s="44">
        <v>1</v>
      </c>
      <c r="U713" s="184">
        <v>55</v>
      </c>
      <c r="V713" s="185">
        <v>26</v>
      </c>
      <c r="W713" s="186">
        <v>2956</v>
      </c>
      <c r="X713" s="187">
        <v>2023</v>
      </c>
      <c r="Y713" s="188">
        <v>3</v>
      </c>
      <c r="Z713" s="188" t="s">
        <v>883</v>
      </c>
      <c r="AA713" s="187" t="s">
        <v>883</v>
      </c>
      <c r="AB713" s="188">
        <v>0</v>
      </c>
      <c r="AC713" s="188"/>
      <c r="AD713" s="189" t="s">
        <v>883</v>
      </c>
      <c r="AE713" s="190" t="s">
        <v>883</v>
      </c>
      <c r="AF713" s="180">
        <v>2</v>
      </c>
      <c r="AG713" s="183">
        <v>43642</v>
      </c>
      <c r="AH713" s="183">
        <v>42046</v>
      </c>
      <c r="AI713" s="183">
        <v>43859</v>
      </c>
      <c r="AJ713" s="183" t="s">
        <v>883</v>
      </c>
      <c r="AK713" s="174"/>
    </row>
    <row r="714" spans="1:37" x14ac:dyDescent="0.3">
      <c r="A714" s="173">
        <v>129991</v>
      </c>
      <c r="B714" s="174" t="s">
        <v>1790</v>
      </c>
      <c r="C714" s="175" t="s">
        <v>331</v>
      </c>
      <c r="D714" s="176">
        <v>12.24</v>
      </c>
      <c r="E714" s="174"/>
      <c r="F714" s="174"/>
      <c r="G714" s="174" t="s">
        <v>883</v>
      </c>
      <c r="H714" s="177">
        <v>374</v>
      </c>
      <c r="I714" s="24">
        <v>103003</v>
      </c>
      <c r="J714" s="178">
        <v>12.24</v>
      </c>
      <c r="K714" s="177">
        <v>228</v>
      </c>
      <c r="L714" s="179">
        <v>19.684210526315791</v>
      </c>
      <c r="M714" s="180">
        <v>0</v>
      </c>
      <c r="N714" s="178">
        <v>0</v>
      </c>
      <c r="O714" s="181" t="s">
        <v>882</v>
      </c>
      <c r="P714" s="180">
        <v>0</v>
      </c>
      <c r="Q714" s="182">
        <v>0</v>
      </c>
      <c r="R714" s="183" t="s">
        <v>883</v>
      </c>
      <c r="S714" s="174" t="s">
        <v>988</v>
      </c>
      <c r="T714" s="44">
        <v>1</v>
      </c>
      <c r="U714" s="184">
        <v>55</v>
      </c>
      <c r="V714" s="185">
        <v>32</v>
      </c>
      <c r="W714" s="186" t="s">
        <v>883</v>
      </c>
      <c r="X714" s="187" t="s">
        <v>883</v>
      </c>
      <c r="Y714" s="188">
        <v>0</v>
      </c>
      <c r="Z714" s="188" t="s">
        <v>883</v>
      </c>
      <c r="AA714" s="187" t="s">
        <v>883</v>
      </c>
      <c r="AB714" s="188">
        <v>0</v>
      </c>
      <c r="AC714" s="188"/>
      <c r="AD714" s="189" t="s">
        <v>883</v>
      </c>
      <c r="AE714" s="190" t="s">
        <v>883</v>
      </c>
      <c r="AF714" s="180">
        <v>76</v>
      </c>
      <c r="AG714" s="183">
        <v>44945</v>
      </c>
      <c r="AH714" s="183">
        <v>42055</v>
      </c>
      <c r="AI714" s="183">
        <v>44917</v>
      </c>
      <c r="AJ714" s="183" t="s">
        <v>883</v>
      </c>
      <c r="AK714" s="174"/>
    </row>
    <row r="715" spans="1:37" x14ac:dyDescent="0.3">
      <c r="A715" s="173">
        <v>130024</v>
      </c>
      <c r="B715" s="174" t="s">
        <v>1791</v>
      </c>
      <c r="C715" s="175" t="s">
        <v>413</v>
      </c>
      <c r="D715" s="176">
        <v>3.12</v>
      </c>
      <c r="E715" s="174" t="s">
        <v>1792</v>
      </c>
      <c r="F715" s="174" t="s">
        <v>951</v>
      </c>
      <c r="G715" s="174" t="s">
        <v>952</v>
      </c>
      <c r="H715" s="177">
        <v>1398</v>
      </c>
      <c r="I715" s="24">
        <v>103003</v>
      </c>
      <c r="J715" s="178">
        <v>3.12</v>
      </c>
      <c r="K715" s="177">
        <v>2281</v>
      </c>
      <c r="L715" s="179">
        <v>4.4451510333863276</v>
      </c>
      <c r="M715" s="180">
        <v>2376</v>
      </c>
      <c r="N715" s="178">
        <v>7413.12</v>
      </c>
      <c r="O715" s="181" t="s">
        <v>953</v>
      </c>
      <c r="P715" s="180">
        <v>6640</v>
      </c>
      <c r="Q715" s="182">
        <v>20716.8</v>
      </c>
      <c r="R715" s="183">
        <v>45189</v>
      </c>
      <c r="S715" s="174" t="s">
        <v>1793</v>
      </c>
      <c r="T715" s="44">
        <v>1</v>
      </c>
      <c r="U715" s="184">
        <v>52</v>
      </c>
      <c r="V715" s="185">
        <v>8</v>
      </c>
      <c r="W715" s="186" t="s">
        <v>883</v>
      </c>
      <c r="X715" s="187" t="s">
        <v>883</v>
      </c>
      <c r="Y715" s="188">
        <v>0</v>
      </c>
      <c r="Z715" s="188" t="s">
        <v>883</v>
      </c>
      <c r="AA715" s="187" t="s">
        <v>883</v>
      </c>
      <c r="AB715" s="188">
        <v>0</v>
      </c>
      <c r="AC715" s="188"/>
      <c r="AD715" s="189" t="s">
        <v>883</v>
      </c>
      <c r="AE715" s="190" t="s">
        <v>883</v>
      </c>
      <c r="AF715" s="180">
        <v>1258</v>
      </c>
      <c r="AG715" s="183">
        <v>45117</v>
      </c>
      <c r="AH715" s="183">
        <v>42065</v>
      </c>
      <c r="AI715" s="183">
        <v>45098</v>
      </c>
      <c r="AJ715" s="183" t="s">
        <v>883</v>
      </c>
      <c r="AK715" s="174"/>
    </row>
    <row r="716" spans="1:37" x14ac:dyDescent="0.3">
      <c r="A716" s="173">
        <v>130572</v>
      </c>
      <c r="B716" s="174" t="s">
        <v>1794</v>
      </c>
      <c r="C716" s="175" t="s">
        <v>301</v>
      </c>
      <c r="D716" s="176">
        <v>6.47</v>
      </c>
      <c r="E716" s="174"/>
      <c r="F716" s="174"/>
      <c r="G716" s="174" t="s">
        <v>883</v>
      </c>
      <c r="H716" s="177">
        <v>0</v>
      </c>
      <c r="I716" s="24">
        <v>103003</v>
      </c>
      <c r="J716" s="178">
        <v>6.47</v>
      </c>
      <c r="K716" s="177">
        <v>18</v>
      </c>
      <c r="L716" s="179">
        <v>0</v>
      </c>
      <c r="M716" s="180">
        <v>0</v>
      </c>
      <c r="N716" s="178">
        <v>0</v>
      </c>
      <c r="O716" s="181" t="s">
        <v>882</v>
      </c>
      <c r="P716" s="180">
        <v>0</v>
      </c>
      <c r="Q716" s="182">
        <v>0</v>
      </c>
      <c r="R716" s="183" t="s">
        <v>883</v>
      </c>
      <c r="S716" s="174" t="s">
        <v>1481</v>
      </c>
      <c r="T716" s="44">
        <v>1</v>
      </c>
      <c r="U716" s="184">
        <v>54</v>
      </c>
      <c r="V716" s="185">
        <v>4</v>
      </c>
      <c r="W716" s="186">
        <v>2825</v>
      </c>
      <c r="X716" s="187">
        <v>2023</v>
      </c>
      <c r="Y716" s="188">
        <v>20</v>
      </c>
      <c r="Z716" s="188" t="s">
        <v>883</v>
      </c>
      <c r="AA716" s="187" t="s">
        <v>883</v>
      </c>
      <c r="AB716" s="188">
        <v>0</v>
      </c>
      <c r="AC716" s="188"/>
      <c r="AD716" s="189" t="s">
        <v>883</v>
      </c>
      <c r="AE716" s="190" t="s">
        <v>883</v>
      </c>
      <c r="AF716" s="180">
        <v>6</v>
      </c>
      <c r="AG716" s="183">
        <v>43819</v>
      </c>
      <c r="AH716" s="183">
        <v>42188</v>
      </c>
      <c r="AI716" s="183">
        <v>44232</v>
      </c>
      <c r="AJ716" s="183" t="s">
        <v>883</v>
      </c>
      <c r="AK716" s="174"/>
    </row>
    <row r="717" spans="1:37" x14ac:dyDescent="0.3">
      <c r="A717" s="173">
        <v>130614</v>
      </c>
      <c r="B717" s="174" t="s">
        <v>869</v>
      </c>
      <c r="C717" s="175" t="s">
        <v>275</v>
      </c>
      <c r="D717" s="176">
        <v>32.25</v>
      </c>
      <c r="E717" s="174"/>
      <c r="F717" s="174"/>
      <c r="G717" s="174" t="s">
        <v>883</v>
      </c>
      <c r="H717" s="177">
        <v>726</v>
      </c>
      <c r="I717" s="24">
        <v>103003</v>
      </c>
      <c r="J717" s="178">
        <v>32.25</v>
      </c>
      <c r="K717" s="177">
        <v>39</v>
      </c>
      <c r="L717" s="179">
        <v>223.38461538461536</v>
      </c>
      <c r="M717" s="180">
        <v>0</v>
      </c>
      <c r="N717" s="178">
        <v>0</v>
      </c>
      <c r="O717" s="181" t="s">
        <v>882</v>
      </c>
      <c r="P717" s="180">
        <v>0</v>
      </c>
      <c r="Q717" s="182">
        <v>0</v>
      </c>
      <c r="R717" s="183" t="s">
        <v>883</v>
      </c>
      <c r="S717" s="174" t="s">
        <v>1740</v>
      </c>
      <c r="T717" s="44">
        <v>1</v>
      </c>
      <c r="U717" s="184">
        <v>75</v>
      </c>
      <c r="V717" s="185">
        <v>5</v>
      </c>
      <c r="W717" s="186" t="s">
        <v>883</v>
      </c>
      <c r="X717" s="187" t="s">
        <v>883</v>
      </c>
      <c r="Y717" s="188">
        <v>0</v>
      </c>
      <c r="Z717" s="188" t="s">
        <v>883</v>
      </c>
      <c r="AA717" s="187" t="s">
        <v>883</v>
      </c>
      <c r="AB717" s="188">
        <v>0</v>
      </c>
      <c r="AC717" s="188"/>
      <c r="AD717" s="189" t="s">
        <v>883</v>
      </c>
      <c r="AE717" s="190" t="s">
        <v>883</v>
      </c>
      <c r="AF717" s="180">
        <v>14</v>
      </c>
      <c r="AG717" s="183">
        <v>43826</v>
      </c>
      <c r="AH717" s="183">
        <v>42201</v>
      </c>
      <c r="AI717" s="183">
        <v>45077</v>
      </c>
      <c r="AJ717" s="183" t="s">
        <v>883</v>
      </c>
      <c r="AK717" s="174"/>
    </row>
    <row r="718" spans="1:37" x14ac:dyDescent="0.3">
      <c r="A718" s="173">
        <v>130618</v>
      </c>
      <c r="B718" s="174" t="s">
        <v>1795</v>
      </c>
      <c r="C718" s="175" t="s">
        <v>281</v>
      </c>
      <c r="D718" s="176">
        <v>30</v>
      </c>
      <c r="E718" s="174"/>
      <c r="F718" s="174"/>
      <c r="G718" s="174" t="s">
        <v>883</v>
      </c>
      <c r="H718" s="177">
        <v>0</v>
      </c>
      <c r="I718" s="24">
        <v>103003</v>
      </c>
      <c r="J718" s="178">
        <v>30</v>
      </c>
      <c r="K718" s="177">
        <v>81</v>
      </c>
      <c r="L718" s="179">
        <v>0</v>
      </c>
      <c r="M718" s="180">
        <v>51</v>
      </c>
      <c r="N718" s="178">
        <v>1530</v>
      </c>
      <c r="O718" s="181" t="s">
        <v>882</v>
      </c>
      <c r="P718" s="180">
        <v>0</v>
      </c>
      <c r="Q718" s="182">
        <v>0</v>
      </c>
      <c r="R718" s="183" t="s">
        <v>883</v>
      </c>
      <c r="S718" s="174" t="s">
        <v>1073</v>
      </c>
      <c r="T718" s="44">
        <v>1</v>
      </c>
      <c r="U718" s="184">
        <v>78</v>
      </c>
      <c r="V718" s="185">
        <v>2</v>
      </c>
      <c r="W718" s="186">
        <v>3976</v>
      </c>
      <c r="X718" s="187">
        <v>2023</v>
      </c>
      <c r="Y718" s="188">
        <v>30</v>
      </c>
      <c r="Z718" s="188" t="s">
        <v>883</v>
      </c>
      <c r="AA718" s="187" t="s">
        <v>883</v>
      </c>
      <c r="AB718" s="188">
        <v>0</v>
      </c>
      <c r="AC718" s="188"/>
      <c r="AD718" s="189" t="s">
        <v>883</v>
      </c>
      <c r="AE718" s="190" t="s">
        <v>883</v>
      </c>
      <c r="AF718" s="180">
        <v>28</v>
      </c>
      <c r="AG718" s="183">
        <v>42535</v>
      </c>
      <c r="AH718" s="183">
        <v>42201</v>
      </c>
      <c r="AI718" s="183">
        <v>42523</v>
      </c>
      <c r="AJ718" s="183" t="s">
        <v>883</v>
      </c>
      <c r="AK718" s="174"/>
    </row>
    <row r="719" spans="1:37" x14ac:dyDescent="0.3">
      <c r="A719" s="173">
        <v>130624</v>
      </c>
      <c r="B719" s="174" t="s">
        <v>1796</v>
      </c>
      <c r="C719" s="175" t="s">
        <v>268</v>
      </c>
      <c r="D719" s="176">
        <v>9.5500000000000007</v>
      </c>
      <c r="E719" s="174"/>
      <c r="F719" s="174"/>
      <c r="G719" s="174" t="s">
        <v>883</v>
      </c>
      <c r="H719" s="177">
        <v>9912</v>
      </c>
      <c r="I719" s="24">
        <v>103003</v>
      </c>
      <c r="J719" s="178">
        <v>9.5500000000000007</v>
      </c>
      <c r="K719" s="177">
        <v>21639</v>
      </c>
      <c r="L719" s="179">
        <v>4.3128467312085288</v>
      </c>
      <c r="M719" s="180">
        <v>16667</v>
      </c>
      <c r="N719" s="178">
        <v>159169.85</v>
      </c>
      <c r="O719" s="181" t="s">
        <v>882</v>
      </c>
      <c r="P719" s="180">
        <v>0</v>
      </c>
      <c r="Q719" s="182">
        <v>0</v>
      </c>
      <c r="R719" s="183" t="s">
        <v>883</v>
      </c>
      <c r="S719" s="174" t="s">
        <v>1359</v>
      </c>
      <c r="T719" s="44">
        <v>1</v>
      </c>
      <c r="U719" s="184">
        <v>57</v>
      </c>
      <c r="V719" s="185">
        <v>17</v>
      </c>
      <c r="W719" s="186">
        <v>6217</v>
      </c>
      <c r="X719" s="187">
        <v>2023</v>
      </c>
      <c r="Y719" s="188">
        <v>1000</v>
      </c>
      <c r="Z719" s="188" t="s">
        <v>883</v>
      </c>
      <c r="AA719" s="187" t="s">
        <v>883</v>
      </c>
      <c r="AB719" s="188">
        <v>0</v>
      </c>
      <c r="AC719" s="188"/>
      <c r="AD719" s="189" t="s">
        <v>883</v>
      </c>
      <c r="AE719" s="190" t="s">
        <v>883</v>
      </c>
      <c r="AF719" s="180">
        <v>9194</v>
      </c>
      <c r="AG719" s="183">
        <v>44991</v>
      </c>
      <c r="AH719" s="183">
        <v>42205</v>
      </c>
      <c r="AI719" s="183">
        <v>45043</v>
      </c>
      <c r="AJ719" s="183" t="s">
        <v>883</v>
      </c>
      <c r="AK719" s="174"/>
    </row>
    <row r="720" spans="1:37" x14ac:dyDescent="0.3">
      <c r="A720" s="173">
        <v>130632</v>
      </c>
      <c r="B720" s="174" t="s">
        <v>1797</v>
      </c>
      <c r="C720" s="175" t="s">
        <v>31</v>
      </c>
      <c r="D720" s="176">
        <v>38.33</v>
      </c>
      <c r="E720" s="174"/>
      <c r="F720" s="174"/>
      <c r="G720" s="174" t="s">
        <v>883</v>
      </c>
      <c r="H720" s="177">
        <v>0</v>
      </c>
      <c r="I720" s="24">
        <v>103003</v>
      </c>
      <c r="J720" s="178">
        <v>38.33</v>
      </c>
      <c r="K720" s="177">
        <v>29</v>
      </c>
      <c r="L720" s="179">
        <v>0</v>
      </c>
      <c r="M720" s="180">
        <v>0</v>
      </c>
      <c r="N720" s="178">
        <v>0</v>
      </c>
      <c r="O720" s="181" t="s">
        <v>882</v>
      </c>
      <c r="P720" s="180">
        <v>0</v>
      </c>
      <c r="Q720" s="182">
        <v>0</v>
      </c>
      <c r="R720" s="183" t="s">
        <v>883</v>
      </c>
      <c r="S720" s="174" t="s">
        <v>961</v>
      </c>
      <c r="T720" s="44">
        <v>1</v>
      </c>
      <c r="U720" s="184">
        <v>51</v>
      </c>
      <c r="V720" s="185">
        <v>3</v>
      </c>
      <c r="W720" s="186">
        <v>2427</v>
      </c>
      <c r="X720" s="187">
        <v>2023</v>
      </c>
      <c r="Y720" s="188">
        <v>60</v>
      </c>
      <c r="Z720" s="188" t="s">
        <v>883</v>
      </c>
      <c r="AA720" s="187" t="s">
        <v>883</v>
      </c>
      <c r="AB720" s="188">
        <v>0</v>
      </c>
      <c r="AC720" s="188"/>
      <c r="AD720" s="189" t="s">
        <v>883</v>
      </c>
      <c r="AE720" s="190" t="s">
        <v>883</v>
      </c>
      <c r="AF720" s="180">
        <v>10</v>
      </c>
      <c r="AG720" s="183">
        <v>44785</v>
      </c>
      <c r="AH720" s="183">
        <v>42207</v>
      </c>
      <c r="AI720" s="183">
        <v>44755</v>
      </c>
      <c r="AJ720" s="183" t="s">
        <v>883</v>
      </c>
      <c r="AK720" s="174"/>
    </row>
    <row r="721" spans="1:37" x14ac:dyDescent="0.3">
      <c r="A721" s="173">
        <v>130634</v>
      </c>
      <c r="B721" s="174" t="s">
        <v>1798</v>
      </c>
      <c r="C721" s="175" t="s">
        <v>256</v>
      </c>
      <c r="D721" s="176">
        <v>15.95</v>
      </c>
      <c r="E721" s="174"/>
      <c r="F721" s="174"/>
      <c r="G721" s="174" t="s">
        <v>883</v>
      </c>
      <c r="H721" s="177">
        <v>1077</v>
      </c>
      <c r="I721" s="24">
        <v>103003</v>
      </c>
      <c r="J721" s="178">
        <v>15.95</v>
      </c>
      <c r="K721" s="177">
        <v>1104</v>
      </c>
      <c r="L721" s="179">
        <v>5.26007326007326</v>
      </c>
      <c r="M721" s="180">
        <v>1380</v>
      </c>
      <c r="N721" s="178">
        <v>22011</v>
      </c>
      <c r="O721" s="181" t="s">
        <v>882</v>
      </c>
      <c r="P721" s="180">
        <v>0</v>
      </c>
      <c r="Q721" s="182">
        <v>0</v>
      </c>
      <c r="R721" s="183" t="s">
        <v>883</v>
      </c>
      <c r="S721" s="174" t="s">
        <v>1554</v>
      </c>
      <c r="T721" s="44">
        <v>1</v>
      </c>
      <c r="U721" s="184">
        <v>51</v>
      </c>
      <c r="V721" s="185">
        <v>24</v>
      </c>
      <c r="W721" s="186" t="s">
        <v>883</v>
      </c>
      <c r="X721" s="187" t="s">
        <v>883</v>
      </c>
      <c r="Y721" s="188">
        <v>0</v>
      </c>
      <c r="Z721" s="188" t="s">
        <v>883</v>
      </c>
      <c r="AA721" s="187" t="s">
        <v>883</v>
      </c>
      <c r="AB721" s="188">
        <v>0</v>
      </c>
      <c r="AC721" s="188"/>
      <c r="AD721" s="189" t="s">
        <v>883</v>
      </c>
      <c r="AE721" s="190" t="s">
        <v>883</v>
      </c>
      <c r="AF721" s="180">
        <v>820</v>
      </c>
      <c r="AG721" s="183">
        <v>44924</v>
      </c>
      <c r="AH721" s="183">
        <v>42208</v>
      </c>
      <c r="AI721" s="183">
        <v>45000</v>
      </c>
      <c r="AJ721" s="183" t="s">
        <v>883</v>
      </c>
      <c r="AK721" s="174"/>
    </row>
    <row r="722" spans="1:37" x14ac:dyDescent="0.3">
      <c r="A722" s="173">
        <v>130695</v>
      </c>
      <c r="B722" s="174" t="s">
        <v>1799</v>
      </c>
      <c r="C722" s="175" t="s">
        <v>413</v>
      </c>
      <c r="D722" s="176">
        <v>18.989999999999998</v>
      </c>
      <c r="E722" s="174" t="s">
        <v>1800</v>
      </c>
      <c r="F722" s="174" t="s">
        <v>1801</v>
      </c>
      <c r="G722" s="174" t="s">
        <v>1802</v>
      </c>
      <c r="H722" s="177">
        <v>2834</v>
      </c>
      <c r="I722" s="24">
        <v>103003</v>
      </c>
      <c r="J722" s="178">
        <v>18.989999999999998</v>
      </c>
      <c r="K722" s="177">
        <v>3007</v>
      </c>
      <c r="L722" s="179">
        <v>7.2962257350290924</v>
      </c>
      <c r="M722" s="180">
        <v>1697.04</v>
      </c>
      <c r="N722" s="178">
        <v>32226.7896</v>
      </c>
      <c r="O722" s="181" t="s">
        <v>1803</v>
      </c>
      <c r="P722" s="180">
        <v>0</v>
      </c>
      <c r="Q722" s="182">
        <v>0</v>
      </c>
      <c r="R722" s="183">
        <v>45238</v>
      </c>
      <c r="S722" s="174" t="s">
        <v>1733</v>
      </c>
      <c r="T722" s="44">
        <v>1</v>
      </c>
      <c r="U722" s="184">
        <v>62</v>
      </c>
      <c r="V722" s="185">
        <v>26</v>
      </c>
      <c r="W722" s="186" t="s">
        <v>883</v>
      </c>
      <c r="X722" s="187" t="s">
        <v>883</v>
      </c>
      <c r="Y722" s="188">
        <v>0</v>
      </c>
      <c r="Z722" s="188">
        <v>5519</v>
      </c>
      <c r="AA722" s="187">
        <v>2023</v>
      </c>
      <c r="AB722" s="188">
        <v>130</v>
      </c>
      <c r="AC722" s="188">
        <v>3000</v>
      </c>
      <c r="AD722" s="189" t="s">
        <v>2047</v>
      </c>
      <c r="AE722" s="190">
        <v>45089</v>
      </c>
      <c r="AF722" s="180">
        <v>1554</v>
      </c>
      <c r="AG722" s="183">
        <v>45138</v>
      </c>
      <c r="AH722" s="183">
        <v>42230</v>
      </c>
      <c r="AI722" s="183">
        <v>45113</v>
      </c>
      <c r="AJ722" s="183" t="s">
        <v>883</v>
      </c>
      <c r="AK722" s="174"/>
    </row>
    <row r="723" spans="1:37" x14ac:dyDescent="0.3">
      <c r="A723" s="173">
        <v>131138</v>
      </c>
      <c r="B723" s="174" t="s">
        <v>1804</v>
      </c>
      <c r="C723" s="175" t="s">
        <v>413</v>
      </c>
      <c r="D723" s="176">
        <v>133.46</v>
      </c>
      <c r="E723" s="174"/>
      <c r="F723" s="174"/>
      <c r="G723" s="174" t="s">
        <v>883</v>
      </c>
      <c r="H723" s="177">
        <v>396</v>
      </c>
      <c r="I723" s="24">
        <v>103003</v>
      </c>
      <c r="J723" s="178">
        <v>133.46</v>
      </c>
      <c r="K723" s="177">
        <v>5</v>
      </c>
      <c r="L723" s="179">
        <v>942.85714285714278</v>
      </c>
      <c r="M723" s="180">
        <v>0</v>
      </c>
      <c r="N723" s="178">
        <v>0</v>
      </c>
      <c r="O723" s="181" t="s">
        <v>882</v>
      </c>
      <c r="P723" s="180">
        <v>0</v>
      </c>
      <c r="Q723" s="182">
        <v>0</v>
      </c>
      <c r="R723" s="183" t="s">
        <v>883</v>
      </c>
      <c r="S723" s="174" t="s">
        <v>1442</v>
      </c>
      <c r="T723" s="44">
        <v>1</v>
      </c>
      <c r="U723" s="184">
        <v>67</v>
      </c>
      <c r="V723" s="185">
        <v>16</v>
      </c>
      <c r="W723" s="186" t="s">
        <v>883</v>
      </c>
      <c r="X723" s="187" t="s">
        <v>883</v>
      </c>
      <c r="Y723" s="188">
        <v>0</v>
      </c>
      <c r="Z723" s="188" t="s">
        <v>883</v>
      </c>
      <c r="AA723" s="187" t="s">
        <v>883</v>
      </c>
      <c r="AB723" s="188">
        <v>0</v>
      </c>
      <c r="AC723" s="188"/>
      <c r="AD723" s="189" t="s">
        <v>883</v>
      </c>
      <c r="AE723" s="190" t="s">
        <v>883</v>
      </c>
      <c r="AF723" s="180">
        <v>2</v>
      </c>
      <c r="AG723" s="183">
        <v>44186</v>
      </c>
      <c r="AH723" s="183">
        <v>42342</v>
      </c>
      <c r="AI723" s="183">
        <v>44176</v>
      </c>
      <c r="AJ723" s="183" t="s">
        <v>883</v>
      </c>
      <c r="AK723" s="174"/>
    </row>
    <row r="724" spans="1:37" x14ac:dyDescent="0.3">
      <c r="A724" s="173">
        <v>131482</v>
      </c>
      <c r="B724" s="174" t="s">
        <v>1805</v>
      </c>
      <c r="C724" s="175" t="s">
        <v>31</v>
      </c>
      <c r="D724" s="176">
        <v>4.5</v>
      </c>
      <c r="E724" s="174"/>
      <c r="F724" s="174"/>
      <c r="G724" s="174" t="s">
        <v>883</v>
      </c>
      <c r="H724" s="177">
        <v>115</v>
      </c>
      <c r="I724" s="24">
        <v>103003</v>
      </c>
      <c r="J724" s="178">
        <v>4.5</v>
      </c>
      <c r="K724" s="177">
        <v>29</v>
      </c>
      <c r="L724" s="179">
        <v>47.52066115702479</v>
      </c>
      <c r="M724" s="180">
        <v>0</v>
      </c>
      <c r="N724" s="178">
        <v>0</v>
      </c>
      <c r="O724" s="181" t="s">
        <v>882</v>
      </c>
      <c r="P724" s="180">
        <v>0</v>
      </c>
      <c r="Q724" s="182">
        <v>0</v>
      </c>
      <c r="R724" s="183" t="s">
        <v>883</v>
      </c>
      <c r="S724" s="174" t="s">
        <v>1430</v>
      </c>
      <c r="T724" s="44">
        <v>1</v>
      </c>
      <c r="U724" s="184">
        <v>72</v>
      </c>
      <c r="V724" s="185">
        <v>5</v>
      </c>
      <c r="W724" s="186" t="s">
        <v>883</v>
      </c>
      <c r="X724" s="187" t="s">
        <v>883</v>
      </c>
      <c r="Y724" s="188">
        <v>0</v>
      </c>
      <c r="Z724" s="188" t="s">
        <v>883</v>
      </c>
      <c r="AA724" s="187" t="s">
        <v>883</v>
      </c>
      <c r="AB724" s="188">
        <v>0</v>
      </c>
      <c r="AC724" s="188"/>
      <c r="AD724" s="189" t="s">
        <v>883</v>
      </c>
      <c r="AE724" s="190" t="s">
        <v>883</v>
      </c>
      <c r="AF724" s="180">
        <v>10</v>
      </c>
      <c r="AG724" s="183">
        <v>42559</v>
      </c>
      <c r="AH724" s="183">
        <v>42464</v>
      </c>
      <c r="AI724" s="183">
        <v>44582</v>
      </c>
      <c r="AJ724" s="183" t="s">
        <v>883</v>
      </c>
      <c r="AK724" s="174"/>
    </row>
    <row r="725" spans="1:37" x14ac:dyDescent="0.3">
      <c r="A725" s="173">
        <v>131917</v>
      </c>
      <c r="B725" s="174" t="s">
        <v>1806</v>
      </c>
      <c r="C725" s="175" t="s">
        <v>31</v>
      </c>
      <c r="D725" s="176">
        <v>2.0699999999999998</v>
      </c>
      <c r="E725" s="174"/>
      <c r="F725" s="174"/>
      <c r="G725" s="174" t="s">
        <v>883</v>
      </c>
      <c r="H725" s="177">
        <v>3876</v>
      </c>
      <c r="I725" s="24">
        <v>103003</v>
      </c>
      <c r="J725" s="178">
        <v>2.0699999999999998</v>
      </c>
      <c r="K725" s="177">
        <v>8833</v>
      </c>
      <c r="L725" s="179">
        <v>4.8795840519683251</v>
      </c>
      <c r="M725" s="180">
        <v>5655.96</v>
      </c>
      <c r="N725" s="178">
        <v>11707.8372</v>
      </c>
      <c r="O725" s="181" t="s">
        <v>882</v>
      </c>
      <c r="P725" s="180">
        <v>0</v>
      </c>
      <c r="Q725" s="182">
        <v>0</v>
      </c>
      <c r="R725" s="183" t="s">
        <v>883</v>
      </c>
      <c r="S725" s="174" t="s">
        <v>931</v>
      </c>
      <c r="T725" s="44">
        <v>1</v>
      </c>
      <c r="U725" s="184">
        <v>45</v>
      </c>
      <c r="V725" s="185">
        <v>9</v>
      </c>
      <c r="W725" s="186" t="s">
        <v>883</v>
      </c>
      <c r="X725" s="187" t="s">
        <v>883</v>
      </c>
      <c r="Y725" s="188">
        <v>0</v>
      </c>
      <c r="Z725" s="188" t="s">
        <v>883</v>
      </c>
      <c r="AA725" s="187" t="s">
        <v>883</v>
      </c>
      <c r="AB725" s="188">
        <v>0</v>
      </c>
      <c r="AC725" s="188"/>
      <c r="AD725" s="189" t="s">
        <v>883</v>
      </c>
      <c r="AE725" s="190" t="s">
        <v>883</v>
      </c>
      <c r="AF725" s="180">
        <v>3178</v>
      </c>
      <c r="AG725" s="183">
        <v>44950</v>
      </c>
      <c r="AH725" s="183">
        <v>42590</v>
      </c>
      <c r="AI725" s="183">
        <v>44910</v>
      </c>
      <c r="AJ725" s="183" t="s">
        <v>883</v>
      </c>
      <c r="AK725" s="174"/>
    </row>
    <row r="726" spans="1:37" x14ac:dyDescent="0.3">
      <c r="A726" s="173">
        <v>131926</v>
      </c>
      <c r="B726" s="174" t="s">
        <v>1807</v>
      </c>
      <c r="C726" s="175" t="s">
        <v>31</v>
      </c>
      <c r="D726" s="176">
        <v>3.32</v>
      </c>
      <c r="E726" s="174"/>
      <c r="F726" s="174"/>
      <c r="G726" s="174" t="s">
        <v>883</v>
      </c>
      <c r="H726" s="177">
        <v>11393</v>
      </c>
      <c r="I726" s="24">
        <v>103003</v>
      </c>
      <c r="J726" s="178">
        <v>3.32</v>
      </c>
      <c r="K726" s="177">
        <v>1462</v>
      </c>
      <c r="L726" s="179">
        <v>93.515554461134357</v>
      </c>
      <c r="M726" s="180">
        <v>0</v>
      </c>
      <c r="N726" s="178">
        <v>0</v>
      </c>
      <c r="O726" s="181" t="s">
        <v>882</v>
      </c>
      <c r="P726" s="180">
        <v>0</v>
      </c>
      <c r="Q726" s="182">
        <v>0</v>
      </c>
      <c r="R726" s="183" t="s">
        <v>883</v>
      </c>
      <c r="S726" s="174" t="s">
        <v>931</v>
      </c>
      <c r="T726" s="44">
        <v>1</v>
      </c>
      <c r="U726" s="184">
        <v>45</v>
      </c>
      <c r="V726" s="185">
        <v>9</v>
      </c>
      <c r="W726" s="186" t="s">
        <v>883</v>
      </c>
      <c r="X726" s="187" t="s">
        <v>883</v>
      </c>
      <c r="Y726" s="188">
        <v>0</v>
      </c>
      <c r="Z726" s="188" t="s">
        <v>883</v>
      </c>
      <c r="AA726" s="187" t="s">
        <v>883</v>
      </c>
      <c r="AB726" s="188">
        <v>0</v>
      </c>
      <c r="AC726" s="188"/>
      <c r="AD726" s="189" t="s">
        <v>883</v>
      </c>
      <c r="AE726" s="190" t="s">
        <v>883</v>
      </c>
      <c r="AF726" s="180">
        <v>488</v>
      </c>
      <c r="AG726" s="183">
        <v>45105</v>
      </c>
      <c r="AH726" s="183">
        <v>42590</v>
      </c>
      <c r="AI726" s="183">
        <v>45079</v>
      </c>
      <c r="AJ726" s="183" t="s">
        <v>883</v>
      </c>
      <c r="AK726" s="174"/>
    </row>
    <row r="727" spans="1:37" x14ac:dyDescent="0.3">
      <c r="A727" s="173">
        <v>131927</v>
      </c>
      <c r="B727" s="174" t="s">
        <v>1808</v>
      </c>
      <c r="C727" s="175" t="s">
        <v>31</v>
      </c>
      <c r="D727" s="176">
        <v>1.19</v>
      </c>
      <c r="E727" s="174"/>
      <c r="F727" s="174"/>
      <c r="G727" s="174" t="s">
        <v>883</v>
      </c>
      <c r="H727" s="177">
        <v>0</v>
      </c>
      <c r="I727" s="24">
        <v>103003</v>
      </c>
      <c r="J727" s="178">
        <v>1.19</v>
      </c>
      <c r="K727" s="177">
        <v>5032</v>
      </c>
      <c r="L727" s="179">
        <v>0</v>
      </c>
      <c r="M727" s="180">
        <v>5517</v>
      </c>
      <c r="N727" s="178">
        <v>6565.23</v>
      </c>
      <c r="O727" s="181" t="s">
        <v>882</v>
      </c>
      <c r="P727" s="180">
        <v>0</v>
      </c>
      <c r="Q727" s="182">
        <v>0</v>
      </c>
      <c r="R727" s="183" t="s">
        <v>883</v>
      </c>
      <c r="S727" s="174" t="s">
        <v>931</v>
      </c>
      <c r="T727" s="44">
        <v>1</v>
      </c>
      <c r="U727" s="184">
        <v>45</v>
      </c>
      <c r="V727" s="185">
        <v>9</v>
      </c>
      <c r="W727" s="186" t="s">
        <v>883</v>
      </c>
      <c r="X727" s="187" t="s">
        <v>883</v>
      </c>
      <c r="Y727" s="188">
        <v>0</v>
      </c>
      <c r="Z727" s="188" t="s">
        <v>883</v>
      </c>
      <c r="AA727" s="187" t="s">
        <v>883</v>
      </c>
      <c r="AB727" s="188">
        <v>0</v>
      </c>
      <c r="AC727" s="188"/>
      <c r="AD727" s="189" t="s">
        <v>883</v>
      </c>
      <c r="AE727" s="190" t="s">
        <v>883</v>
      </c>
      <c r="AF727" s="180">
        <v>1840</v>
      </c>
      <c r="AG727" s="183">
        <v>44608</v>
      </c>
      <c r="AH727" s="183">
        <v>42590</v>
      </c>
      <c r="AI727" s="183">
        <v>44551</v>
      </c>
      <c r="AJ727" s="183" t="s">
        <v>883</v>
      </c>
      <c r="AK727" s="174"/>
    </row>
    <row r="728" spans="1:37" x14ac:dyDescent="0.3">
      <c r="A728" s="173">
        <v>131930</v>
      </c>
      <c r="B728" s="174" t="s">
        <v>1809</v>
      </c>
      <c r="C728" s="175" t="s">
        <v>31</v>
      </c>
      <c r="D728" s="176">
        <v>5.18</v>
      </c>
      <c r="E728" s="174"/>
      <c r="F728" s="174"/>
      <c r="G728" s="174" t="s">
        <v>883</v>
      </c>
      <c r="H728" s="177">
        <v>11504</v>
      </c>
      <c r="I728" s="24">
        <v>103003</v>
      </c>
      <c r="J728" s="178">
        <v>4.4969000000000001</v>
      </c>
      <c r="K728" s="177">
        <v>11073</v>
      </c>
      <c r="L728" s="179">
        <v>8.310637529348023</v>
      </c>
      <c r="M728" s="180">
        <v>5107</v>
      </c>
      <c r="N728" s="178">
        <v>26454.26</v>
      </c>
      <c r="O728" s="181" t="s">
        <v>882</v>
      </c>
      <c r="P728" s="180">
        <v>0</v>
      </c>
      <c r="Q728" s="182">
        <v>0</v>
      </c>
      <c r="R728" s="183" t="s">
        <v>883</v>
      </c>
      <c r="S728" s="174" t="s">
        <v>931</v>
      </c>
      <c r="T728" s="44">
        <v>1</v>
      </c>
      <c r="U728" s="184">
        <v>45</v>
      </c>
      <c r="V728" s="185">
        <v>9</v>
      </c>
      <c r="W728" s="186" t="s">
        <v>883</v>
      </c>
      <c r="X728" s="187" t="s">
        <v>883</v>
      </c>
      <c r="Y728" s="188">
        <v>0</v>
      </c>
      <c r="Z728" s="188" t="s">
        <v>883</v>
      </c>
      <c r="AA728" s="187" t="s">
        <v>883</v>
      </c>
      <c r="AB728" s="188">
        <v>0</v>
      </c>
      <c r="AC728" s="188"/>
      <c r="AD728" s="189" t="s">
        <v>883</v>
      </c>
      <c r="AE728" s="190" t="s">
        <v>883</v>
      </c>
      <c r="AF728" s="180">
        <v>5538</v>
      </c>
      <c r="AG728" s="183">
        <v>44998</v>
      </c>
      <c r="AH728" s="183">
        <v>42590</v>
      </c>
      <c r="AI728" s="183">
        <v>44986</v>
      </c>
      <c r="AJ728" s="183" t="s">
        <v>883</v>
      </c>
      <c r="AK728" s="174"/>
    </row>
    <row r="729" spans="1:37" x14ac:dyDescent="0.3">
      <c r="A729" s="173">
        <v>131935</v>
      </c>
      <c r="B729" s="174" t="s">
        <v>1810</v>
      </c>
      <c r="C729" s="175" t="s">
        <v>31</v>
      </c>
      <c r="D729" s="176">
        <v>2.56</v>
      </c>
      <c r="E729" s="174"/>
      <c r="F729" s="174"/>
      <c r="G729" s="174" t="s">
        <v>883</v>
      </c>
      <c r="H729" s="177">
        <v>2742</v>
      </c>
      <c r="I729" s="24">
        <v>103003</v>
      </c>
      <c r="J729" s="178">
        <v>2.56</v>
      </c>
      <c r="K729" s="177">
        <v>7267</v>
      </c>
      <c r="L729" s="179">
        <v>4.3848847808357183</v>
      </c>
      <c r="M729" s="180">
        <v>4761.96</v>
      </c>
      <c r="N729" s="178">
        <v>12190.6176</v>
      </c>
      <c r="O729" s="181" t="s">
        <v>882</v>
      </c>
      <c r="P729" s="180">
        <v>0</v>
      </c>
      <c r="Q729" s="182">
        <v>0</v>
      </c>
      <c r="R729" s="183" t="s">
        <v>883</v>
      </c>
      <c r="S729" s="174" t="s">
        <v>931</v>
      </c>
      <c r="T729" s="44">
        <v>1</v>
      </c>
      <c r="U729" s="184">
        <v>45</v>
      </c>
      <c r="V729" s="185">
        <v>9</v>
      </c>
      <c r="W729" s="186" t="s">
        <v>883</v>
      </c>
      <c r="X729" s="187" t="s">
        <v>883</v>
      </c>
      <c r="Y729" s="188">
        <v>0</v>
      </c>
      <c r="Z729" s="188" t="s">
        <v>883</v>
      </c>
      <c r="AA729" s="187" t="s">
        <v>883</v>
      </c>
      <c r="AB729" s="188">
        <v>0</v>
      </c>
      <c r="AC729" s="188"/>
      <c r="AD729" s="189" t="s">
        <v>883</v>
      </c>
      <c r="AE729" s="190" t="s">
        <v>883</v>
      </c>
      <c r="AF729" s="180">
        <v>2502</v>
      </c>
      <c r="AG729" s="183">
        <v>44950</v>
      </c>
      <c r="AH729" s="183">
        <v>42590</v>
      </c>
      <c r="AI729" s="183">
        <v>44910</v>
      </c>
      <c r="AJ729" s="183" t="s">
        <v>883</v>
      </c>
      <c r="AK729" s="174"/>
    </row>
    <row r="730" spans="1:37" x14ac:dyDescent="0.3">
      <c r="A730" s="173">
        <v>131937</v>
      </c>
      <c r="B730" s="174" t="s">
        <v>1811</v>
      </c>
      <c r="C730" s="175" t="s">
        <v>31</v>
      </c>
      <c r="D730" s="176">
        <v>3.4</v>
      </c>
      <c r="E730" s="174"/>
      <c r="F730" s="174"/>
      <c r="G730" s="174" t="s">
        <v>883</v>
      </c>
      <c r="H730" s="177">
        <v>150</v>
      </c>
      <c r="I730" s="24">
        <v>103003</v>
      </c>
      <c r="J730" s="178">
        <v>3.4</v>
      </c>
      <c r="K730" s="177">
        <v>3986</v>
      </c>
      <c r="L730" s="179">
        <v>0.38297546403860394</v>
      </c>
      <c r="M730" s="180">
        <v>3250.04</v>
      </c>
      <c r="N730" s="178">
        <v>11050.136</v>
      </c>
      <c r="O730" s="181" t="s">
        <v>882</v>
      </c>
      <c r="P730" s="180">
        <v>0</v>
      </c>
      <c r="Q730" s="182">
        <v>0</v>
      </c>
      <c r="R730" s="183" t="s">
        <v>883</v>
      </c>
      <c r="S730" s="174" t="s">
        <v>931</v>
      </c>
      <c r="T730" s="44">
        <v>1</v>
      </c>
      <c r="U730" s="184">
        <v>45</v>
      </c>
      <c r="V730" s="185">
        <v>9</v>
      </c>
      <c r="W730" s="186">
        <v>6978</v>
      </c>
      <c r="X730" s="187">
        <v>2023</v>
      </c>
      <c r="Y730" s="188">
        <v>1300</v>
      </c>
      <c r="Z730" s="188" t="s">
        <v>883</v>
      </c>
      <c r="AA730" s="187" t="s">
        <v>883</v>
      </c>
      <c r="AB730" s="188">
        <v>0</v>
      </c>
      <c r="AC730" s="188"/>
      <c r="AD730" s="189" t="s">
        <v>883</v>
      </c>
      <c r="AE730" s="190" t="s">
        <v>883</v>
      </c>
      <c r="AF730" s="180">
        <v>1566</v>
      </c>
      <c r="AG730" s="183">
        <v>44952</v>
      </c>
      <c r="AH730" s="183">
        <v>42590</v>
      </c>
      <c r="AI730" s="183">
        <v>44910</v>
      </c>
      <c r="AJ730" s="183" t="s">
        <v>883</v>
      </c>
      <c r="AK730" s="174"/>
    </row>
    <row r="731" spans="1:37" x14ac:dyDescent="0.3">
      <c r="A731" s="173">
        <v>132229</v>
      </c>
      <c r="B731" s="174" t="s">
        <v>1812</v>
      </c>
      <c r="C731" s="175" t="s">
        <v>331</v>
      </c>
      <c r="D731" s="176">
        <v>0</v>
      </c>
      <c r="E731" s="174"/>
      <c r="F731" s="174"/>
      <c r="G731" s="174" t="s">
        <v>883</v>
      </c>
      <c r="H731" s="177">
        <v>970.5</v>
      </c>
      <c r="I731" s="24">
        <v>103003</v>
      </c>
      <c r="J731" s="178">
        <v>0</v>
      </c>
      <c r="K731" s="177">
        <v>316</v>
      </c>
      <c r="L731" s="179">
        <v>36.859096088112423</v>
      </c>
      <c r="M731" s="180">
        <v>0</v>
      </c>
      <c r="N731" s="178">
        <v>0</v>
      </c>
      <c r="O731" s="181" t="s">
        <v>882</v>
      </c>
      <c r="P731" s="180">
        <v>0</v>
      </c>
      <c r="Q731" s="182">
        <v>0</v>
      </c>
      <c r="R731" s="183" t="s">
        <v>883</v>
      </c>
      <c r="S731" s="174" t="s">
        <v>1666</v>
      </c>
      <c r="T731" s="44">
        <v>1</v>
      </c>
      <c r="U731" s="184">
        <v>55</v>
      </c>
      <c r="V731" s="185">
        <v>19</v>
      </c>
      <c r="W731" s="186" t="s">
        <v>883</v>
      </c>
      <c r="X731" s="187" t="s">
        <v>883</v>
      </c>
      <c r="Y731" s="188">
        <v>0</v>
      </c>
      <c r="Z731" s="188" t="s">
        <v>883</v>
      </c>
      <c r="AA731" s="187" t="s">
        <v>883</v>
      </c>
      <c r="AB731" s="188">
        <v>0</v>
      </c>
      <c r="AC731" s="188"/>
      <c r="AD731" s="189" t="s">
        <v>883</v>
      </c>
      <c r="AE731" s="190" t="s">
        <v>883</v>
      </c>
      <c r="AF731" s="180">
        <v>106</v>
      </c>
      <c r="AG731" s="183" t="s">
        <v>883</v>
      </c>
      <c r="AH731" s="183">
        <v>42656</v>
      </c>
      <c r="AI731" s="183" t="s">
        <v>883</v>
      </c>
      <c r="AJ731" s="183" t="s">
        <v>883</v>
      </c>
      <c r="AK731" s="174"/>
    </row>
    <row r="732" spans="1:37" x14ac:dyDescent="0.3">
      <c r="A732" s="173">
        <v>132232</v>
      </c>
      <c r="B732" s="174" t="s">
        <v>1813</v>
      </c>
      <c r="C732" s="175" t="s">
        <v>294</v>
      </c>
      <c r="D732" s="176">
        <v>388.33</v>
      </c>
      <c r="E732" s="174"/>
      <c r="F732" s="174"/>
      <c r="G732" s="174" t="s">
        <v>883</v>
      </c>
      <c r="H732" s="177">
        <v>44</v>
      </c>
      <c r="I732" s="24">
        <v>103003</v>
      </c>
      <c r="J732" s="178">
        <v>388.33</v>
      </c>
      <c r="K732" s="177">
        <v>36</v>
      </c>
      <c r="L732" s="179">
        <v>14.666666666666668</v>
      </c>
      <c r="M732" s="180">
        <v>0</v>
      </c>
      <c r="N732" s="178">
        <v>0</v>
      </c>
      <c r="O732" s="181" t="s">
        <v>882</v>
      </c>
      <c r="P732" s="180">
        <v>0</v>
      </c>
      <c r="Q732" s="182">
        <v>0</v>
      </c>
      <c r="R732" s="183" t="s">
        <v>883</v>
      </c>
      <c r="S732" s="174" t="s">
        <v>1224</v>
      </c>
      <c r="T732" s="44">
        <v>1</v>
      </c>
      <c r="U732" s="184">
        <v>51</v>
      </c>
      <c r="V732" s="185">
        <v>13</v>
      </c>
      <c r="W732" s="186">
        <v>2988</v>
      </c>
      <c r="X732" s="187">
        <v>2023</v>
      </c>
      <c r="Y732" s="188">
        <v>20</v>
      </c>
      <c r="Z732" s="188" t="s">
        <v>883</v>
      </c>
      <c r="AA732" s="187" t="s">
        <v>883</v>
      </c>
      <c r="AB732" s="188">
        <v>0</v>
      </c>
      <c r="AC732" s="188"/>
      <c r="AD732" s="189" t="s">
        <v>883</v>
      </c>
      <c r="AE732" s="190" t="s">
        <v>883</v>
      </c>
      <c r="AF732" s="180">
        <v>12</v>
      </c>
      <c r="AG732" s="183">
        <v>44754</v>
      </c>
      <c r="AH732" s="183">
        <v>42656</v>
      </c>
      <c r="AI732" s="183">
        <v>44713</v>
      </c>
      <c r="AJ732" s="183" t="s">
        <v>883</v>
      </c>
      <c r="AK732" s="174"/>
    </row>
    <row r="733" spans="1:37" x14ac:dyDescent="0.3">
      <c r="A733" s="173">
        <v>132290</v>
      </c>
      <c r="B733" s="174" t="s">
        <v>1814</v>
      </c>
      <c r="C733" s="175" t="s">
        <v>281</v>
      </c>
      <c r="D733" s="176">
        <v>0.6</v>
      </c>
      <c r="E733" s="174"/>
      <c r="F733" s="174"/>
      <c r="G733" s="174" t="s">
        <v>883</v>
      </c>
      <c r="H733" s="177">
        <v>3536</v>
      </c>
      <c r="I733" s="24">
        <v>103003</v>
      </c>
      <c r="J733" s="178">
        <v>0.6</v>
      </c>
      <c r="K733" s="177">
        <v>6102</v>
      </c>
      <c r="L733" s="179">
        <v>5.3380030796171614</v>
      </c>
      <c r="M733" s="180">
        <v>4413.04</v>
      </c>
      <c r="N733" s="178">
        <v>2647.8240000000001</v>
      </c>
      <c r="O733" s="181" t="s">
        <v>882</v>
      </c>
      <c r="P733" s="180">
        <v>0</v>
      </c>
      <c r="Q733" s="182">
        <v>0</v>
      </c>
      <c r="R733" s="183" t="s">
        <v>883</v>
      </c>
      <c r="S733" s="174" t="s">
        <v>911</v>
      </c>
      <c r="T733" s="44">
        <v>1</v>
      </c>
      <c r="U733" s="184">
        <v>45</v>
      </c>
      <c r="V733" s="185">
        <v>14</v>
      </c>
      <c r="W733" s="186" t="s">
        <v>883</v>
      </c>
      <c r="X733" s="187" t="s">
        <v>883</v>
      </c>
      <c r="Y733" s="188">
        <v>0</v>
      </c>
      <c r="Z733" s="188" t="s">
        <v>883</v>
      </c>
      <c r="AA733" s="187" t="s">
        <v>883</v>
      </c>
      <c r="AB733" s="188">
        <v>0</v>
      </c>
      <c r="AC733" s="188"/>
      <c r="AD733" s="189" t="s">
        <v>883</v>
      </c>
      <c r="AE733" s="190" t="s">
        <v>883</v>
      </c>
      <c r="AF733" s="180">
        <v>2650</v>
      </c>
      <c r="AG733" s="183">
        <v>44967</v>
      </c>
      <c r="AH733" s="183">
        <v>42685</v>
      </c>
      <c r="AI733" s="183">
        <v>44959</v>
      </c>
      <c r="AJ733" s="183" t="s">
        <v>883</v>
      </c>
      <c r="AK733" s="174"/>
    </row>
    <row r="734" spans="1:37" x14ac:dyDescent="0.3">
      <c r="A734" s="173">
        <v>132296</v>
      </c>
      <c r="B734" s="174" t="s">
        <v>1815</v>
      </c>
      <c r="C734" s="175" t="s">
        <v>281</v>
      </c>
      <c r="D734" s="176">
        <v>1.49</v>
      </c>
      <c r="E734" s="174"/>
      <c r="F734" s="174"/>
      <c r="G734" s="174" t="s">
        <v>883</v>
      </c>
      <c r="H734" s="177">
        <v>5620</v>
      </c>
      <c r="I734" s="24">
        <v>103003</v>
      </c>
      <c r="J734" s="178">
        <v>1.49</v>
      </c>
      <c r="K734" s="177">
        <v>4842</v>
      </c>
      <c r="L734" s="179">
        <v>13.928128872366791</v>
      </c>
      <c r="M734" s="180">
        <v>0</v>
      </c>
      <c r="N734" s="178">
        <v>0</v>
      </c>
      <c r="O734" s="181" t="s">
        <v>882</v>
      </c>
      <c r="P734" s="180">
        <v>0</v>
      </c>
      <c r="Q734" s="182">
        <v>0</v>
      </c>
      <c r="R734" s="183" t="s">
        <v>883</v>
      </c>
      <c r="S734" s="174" t="s">
        <v>911</v>
      </c>
      <c r="T734" s="44">
        <v>1</v>
      </c>
      <c r="U734" s="184">
        <v>45</v>
      </c>
      <c r="V734" s="185">
        <v>14</v>
      </c>
      <c r="W734" s="186" t="s">
        <v>883</v>
      </c>
      <c r="X734" s="187" t="s">
        <v>883</v>
      </c>
      <c r="Y734" s="188">
        <v>0</v>
      </c>
      <c r="Z734" s="188" t="s">
        <v>883</v>
      </c>
      <c r="AA734" s="187" t="s">
        <v>883</v>
      </c>
      <c r="AB734" s="188">
        <v>0</v>
      </c>
      <c r="AC734" s="188"/>
      <c r="AD734" s="189" t="s">
        <v>883</v>
      </c>
      <c r="AE734" s="190" t="s">
        <v>883</v>
      </c>
      <c r="AF734" s="180">
        <v>1614</v>
      </c>
      <c r="AG734" s="183">
        <v>44998</v>
      </c>
      <c r="AH734" s="183">
        <v>42685</v>
      </c>
      <c r="AI734" s="183">
        <v>44910</v>
      </c>
      <c r="AJ734" s="183" t="s">
        <v>883</v>
      </c>
      <c r="AK734" s="174"/>
    </row>
    <row r="735" spans="1:37" x14ac:dyDescent="0.3">
      <c r="A735" s="173">
        <v>132297</v>
      </c>
      <c r="B735" s="174" t="s">
        <v>1816</v>
      </c>
      <c r="C735" s="175" t="s">
        <v>281</v>
      </c>
      <c r="D735" s="176">
        <v>3.57</v>
      </c>
      <c r="E735" s="174"/>
      <c r="F735" s="174"/>
      <c r="G735" s="174" t="s">
        <v>883</v>
      </c>
      <c r="H735" s="177">
        <v>3707</v>
      </c>
      <c r="I735" s="24">
        <v>103003</v>
      </c>
      <c r="J735" s="178">
        <v>3.14</v>
      </c>
      <c r="K735" s="177">
        <v>15864</v>
      </c>
      <c r="L735" s="179">
        <v>1.4273722796371311</v>
      </c>
      <c r="M735" s="180">
        <v>23457.96</v>
      </c>
      <c r="N735" s="178">
        <v>83744.917199999996</v>
      </c>
      <c r="O735" s="181" t="s">
        <v>882</v>
      </c>
      <c r="P735" s="180">
        <v>0</v>
      </c>
      <c r="Q735" s="182">
        <v>0</v>
      </c>
      <c r="R735" s="183" t="s">
        <v>883</v>
      </c>
      <c r="S735" s="174" t="s">
        <v>911</v>
      </c>
      <c r="T735" s="44">
        <v>1</v>
      </c>
      <c r="U735" s="184">
        <v>45</v>
      </c>
      <c r="V735" s="185">
        <v>14</v>
      </c>
      <c r="W735" s="186">
        <v>6982</v>
      </c>
      <c r="X735" s="187">
        <v>2023</v>
      </c>
      <c r="Y735" s="188">
        <v>4000</v>
      </c>
      <c r="Z735" s="188" t="s">
        <v>883</v>
      </c>
      <c r="AA735" s="187" t="s">
        <v>883</v>
      </c>
      <c r="AB735" s="188">
        <v>0</v>
      </c>
      <c r="AC735" s="188"/>
      <c r="AD735" s="189" t="s">
        <v>883</v>
      </c>
      <c r="AE735" s="190" t="s">
        <v>883</v>
      </c>
      <c r="AF735" s="180">
        <v>10388</v>
      </c>
      <c r="AG735" s="183">
        <v>45019</v>
      </c>
      <c r="AH735" s="183">
        <v>42685</v>
      </c>
      <c r="AI735" s="183">
        <v>44999</v>
      </c>
      <c r="AJ735" s="183" t="s">
        <v>883</v>
      </c>
      <c r="AK735" s="174"/>
    </row>
    <row r="736" spans="1:37" x14ac:dyDescent="0.3">
      <c r="A736" s="173">
        <v>132299</v>
      </c>
      <c r="B736" s="174" t="s">
        <v>1817</v>
      </c>
      <c r="C736" s="175" t="s">
        <v>413</v>
      </c>
      <c r="D736" s="176">
        <v>7.96</v>
      </c>
      <c r="E736" s="174"/>
      <c r="F736" s="174"/>
      <c r="G736" s="174" t="s">
        <v>883</v>
      </c>
      <c r="H736" s="177">
        <v>2653</v>
      </c>
      <c r="I736" s="24">
        <v>103003</v>
      </c>
      <c r="J736" s="178">
        <v>7.96</v>
      </c>
      <c r="K736" s="177">
        <v>3332</v>
      </c>
      <c r="L736" s="179">
        <v>7.7328902879794805</v>
      </c>
      <c r="M736" s="180">
        <v>1463.96</v>
      </c>
      <c r="N736" s="178">
        <v>11653.1216</v>
      </c>
      <c r="O736" s="181" t="s">
        <v>882</v>
      </c>
      <c r="P736" s="180">
        <v>0</v>
      </c>
      <c r="Q736" s="182">
        <v>0</v>
      </c>
      <c r="R736" s="183" t="s">
        <v>883</v>
      </c>
      <c r="S736" s="174" t="s">
        <v>1287</v>
      </c>
      <c r="T736" s="44">
        <v>1</v>
      </c>
      <c r="U736" s="184">
        <v>45</v>
      </c>
      <c r="V736" s="185">
        <v>16</v>
      </c>
      <c r="W736" s="186" t="s">
        <v>883</v>
      </c>
      <c r="X736" s="187" t="s">
        <v>883</v>
      </c>
      <c r="Y736" s="188">
        <v>0</v>
      </c>
      <c r="Z736" s="188" t="s">
        <v>883</v>
      </c>
      <c r="AA736" s="187" t="s">
        <v>883</v>
      </c>
      <c r="AB736" s="188">
        <v>0</v>
      </c>
      <c r="AC736" s="188"/>
      <c r="AD736" s="189" t="s">
        <v>883</v>
      </c>
      <c r="AE736" s="190" t="s">
        <v>883</v>
      </c>
      <c r="AF736" s="180">
        <v>1372</v>
      </c>
      <c r="AG736" s="183">
        <v>45020</v>
      </c>
      <c r="AH736" s="183">
        <v>42685</v>
      </c>
      <c r="AI736" s="183">
        <v>44998</v>
      </c>
      <c r="AJ736" s="183" t="s">
        <v>883</v>
      </c>
      <c r="AK736" s="174"/>
    </row>
    <row r="737" spans="1:37" x14ac:dyDescent="0.3">
      <c r="A737" s="173">
        <v>132300</v>
      </c>
      <c r="B737" s="174" t="s">
        <v>1818</v>
      </c>
      <c r="C737" s="175" t="s">
        <v>413</v>
      </c>
      <c r="D737" s="176">
        <v>10.37</v>
      </c>
      <c r="E737" s="174"/>
      <c r="F737" s="174"/>
      <c r="G737" s="174" t="s">
        <v>883</v>
      </c>
      <c r="H737" s="177">
        <v>3984</v>
      </c>
      <c r="I737" s="24">
        <v>103003</v>
      </c>
      <c r="J737" s="178">
        <v>10.37</v>
      </c>
      <c r="K737" s="177">
        <v>11320</v>
      </c>
      <c r="L737" s="179">
        <v>3.6472494575815002</v>
      </c>
      <c r="M737" s="180">
        <v>8123.96</v>
      </c>
      <c r="N737" s="178">
        <v>84245.465200000006</v>
      </c>
      <c r="O737" s="181" t="s">
        <v>882</v>
      </c>
      <c r="P737" s="180">
        <v>0</v>
      </c>
      <c r="Q737" s="182">
        <v>0</v>
      </c>
      <c r="R737" s="183" t="s">
        <v>883</v>
      </c>
      <c r="S737" s="174" t="s">
        <v>1287</v>
      </c>
      <c r="T737" s="44">
        <v>1</v>
      </c>
      <c r="U737" s="184">
        <v>45</v>
      </c>
      <c r="V737" s="185">
        <v>16</v>
      </c>
      <c r="W737" s="186">
        <v>6209</v>
      </c>
      <c r="X737" s="187">
        <v>2023</v>
      </c>
      <c r="Y737" s="188">
        <v>1000</v>
      </c>
      <c r="Z737" s="188" t="s">
        <v>883</v>
      </c>
      <c r="AA737" s="187" t="s">
        <v>883</v>
      </c>
      <c r="AB737" s="188">
        <v>0</v>
      </c>
      <c r="AC737" s="188"/>
      <c r="AD737" s="189" t="s">
        <v>883</v>
      </c>
      <c r="AE737" s="190" t="s">
        <v>883</v>
      </c>
      <c r="AF737" s="180">
        <v>4370</v>
      </c>
      <c r="AG737" s="183">
        <v>44956</v>
      </c>
      <c r="AH737" s="183">
        <v>42685</v>
      </c>
      <c r="AI737" s="183">
        <v>44910</v>
      </c>
      <c r="AJ737" s="183" t="s">
        <v>883</v>
      </c>
      <c r="AK737" s="174"/>
    </row>
    <row r="738" spans="1:37" x14ac:dyDescent="0.3">
      <c r="A738" s="173">
        <v>132303</v>
      </c>
      <c r="B738" s="174" t="s">
        <v>1819</v>
      </c>
      <c r="C738" s="175" t="s">
        <v>1338</v>
      </c>
      <c r="D738" s="176">
        <v>6.22</v>
      </c>
      <c r="E738" s="174"/>
      <c r="F738" s="174"/>
      <c r="G738" s="174" t="s">
        <v>883</v>
      </c>
      <c r="H738" s="177">
        <v>11014</v>
      </c>
      <c r="I738" s="24">
        <v>103003</v>
      </c>
      <c r="J738" s="178">
        <v>6.22</v>
      </c>
      <c r="K738" s="177">
        <v>14939</v>
      </c>
      <c r="L738" s="179">
        <v>6.6883254896007287</v>
      </c>
      <c r="M738" s="180">
        <v>8747</v>
      </c>
      <c r="N738" s="178">
        <v>54406.34</v>
      </c>
      <c r="O738" s="181" t="s">
        <v>882</v>
      </c>
      <c r="P738" s="180">
        <v>0</v>
      </c>
      <c r="Q738" s="182">
        <v>0</v>
      </c>
      <c r="R738" s="183" t="s">
        <v>883</v>
      </c>
      <c r="S738" s="174" t="s">
        <v>1359</v>
      </c>
      <c r="T738" s="44">
        <v>1</v>
      </c>
      <c r="U738" s="184">
        <v>57</v>
      </c>
      <c r="V738" s="185">
        <v>17</v>
      </c>
      <c r="W738" s="186" t="s">
        <v>883</v>
      </c>
      <c r="X738" s="187" t="s">
        <v>883</v>
      </c>
      <c r="Y738" s="188">
        <v>0</v>
      </c>
      <c r="Z738" s="188" t="s">
        <v>883</v>
      </c>
      <c r="AA738" s="187" t="s">
        <v>883</v>
      </c>
      <c r="AB738" s="188">
        <v>0</v>
      </c>
      <c r="AC738" s="188"/>
      <c r="AD738" s="189" t="s">
        <v>883</v>
      </c>
      <c r="AE738" s="190" t="s">
        <v>883</v>
      </c>
      <c r="AF738" s="180">
        <v>6588</v>
      </c>
      <c r="AG738" s="183">
        <v>44466</v>
      </c>
      <c r="AH738" s="183">
        <v>42685</v>
      </c>
      <c r="AI738" s="183">
        <v>44460</v>
      </c>
      <c r="AJ738" s="183" t="s">
        <v>883</v>
      </c>
      <c r="AK738" s="174"/>
    </row>
    <row r="739" spans="1:37" x14ac:dyDescent="0.3">
      <c r="A739" s="173">
        <v>132394</v>
      </c>
      <c r="B739" s="174" t="s">
        <v>1820</v>
      </c>
      <c r="C739" s="175" t="s">
        <v>281</v>
      </c>
      <c r="D739" s="176">
        <v>0.53</v>
      </c>
      <c r="E739" s="174"/>
      <c r="F739" s="174"/>
      <c r="G739" s="174" t="s">
        <v>883</v>
      </c>
      <c r="H739" s="177">
        <v>3860</v>
      </c>
      <c r="I739" s="24">
        <v>103003</v>
      </c>
      <c r="J739" s="178">
        <v>0.53</v>
      </c>
      <c r="K739" s="177">
        <v>6074</v>
      </c>
      <c r="L739" s="179">
        <v>5.8602942292802158</v>
      </c>
      <c r="M739" s="180">
        <v>4044.04</v>
      </c>
      <c r="N739" s="178">
        <v>2143.3411999999998</v>
      </c>
      <c r="O739" s="181" t="s">
        <v>882</v>
      </c>
      <c r="P739" s="180">
        <v>0</v>
      </c>
      <c r="Q739" s="182">
        <v>0</v>
      </c>
      <c r="R739" s="183" t="s">
        <v>883</v>
      </c>
      <c r="S739" s="174" t="s">
        <v>911</v>
      </c>
      <c r="T739" s="44">
        <v>1</v>
      </c>
      <c r="U739" s="184">
        <v>45</v>
      </c>
      <c r="V739" s="185">
        <v>14</v>
      </c>
      <c r="W739" s="186" t="s">
        <v>883</v>
      </c>
      <c r="X739" s="187" t="s">
        <v>883</v>
      </c>
      <c r="Y739" s="188">
        <v>0</v>
      </c>
      <c r="Z739" s="188" t="s">
        <v>883</v>
      </c>
      <c r="AA739" s="187" t="s">
        <v>883</v>
      </c>
      <c r="AB739" s="188">
        <v>0</v>
      </c>
      <c r="AC739" s="188"/>
      <c r="AD739" s="189" t="s">
        <v>883</v>
      </c>
      <c r="AE739" s="190" t="s">
        <v>883</v>
      </c>
      <c r="AF739" s="180">
        <v>2634</v>
      </c>
      <c r="AG739" s="183">
        <v>44967</v>
      </c>
      <c r="AH739" s="183">
        <v>42765</v>
      </c>
      <c r="AI739" s="183">
        <v>44959</v>
      </c>
      <c r="AJ739" s="183" t="s">
        <v>883</v>
      </c>
      <c r="AK739" s="174"/>
    </row>
    <row r="740" spans="1:37" x14ac:dyDescent="0.3">
      <c r="A740" s="173">
        <v>132395</v>
      </c>
      <c r="B740" s="174" t="s">
        <v>1821</v>
      </c>
      <c r="C740" s="175" t="s">
        <v>281</v>
      </c>
      <c r="D740" s="176">
        <v>0.56000000000000005</v>
      </c>
      <c r="E740" s="174"/>
      <c r="F740" s="174"/>
      <c r="G740" s="174" t="s">
        <v>883</v>
      </c>
      <c r="H740" s="177">
        <v>3687</v>
      </c>
      <c r="I740" s="24">
        <v>103003</v>
      </c>
      <c r="J740" s="178">
        <v>0.56000000000000005</v>
      </c>
      <c r="K740" s="177">
        <v>6128</v>
      </c>
      <c r="L740" s="179">
        <v>5.5318829707426858</v>
      </c>
      <c r="M740" s="180">
        <v>4311</v>
      </c>
      <c r="N740" s="178">
        <v>2414.16</v>
      </c>
      <c r="O740" s="181" t="s">
        <v>882</v>
      </c>
      <c r="P740" s="180">
        <v>0</v>
      </c>
      <c r="Q740" s="182">
        <v>0</v>
      </c>
      <c r="R740" s="183" t="s">
        <v>883</v>
      </c>
      <c r="S740" s="174" t="s">
        <v>911</v>
      </c>
      <c r="T740" s="44">
        <v>1</v>
      </c>
      <c r="U740" s="184">
        <v>45</v>
      </c>
      <c r="V740" s="185">
        <v>14</v>
      </c>
      <c r="W740" s="186" t="s">
        <v>883</v>
      </c>
      <c r="X740" s="187" t="s">
        <v>883</v>
      </c>
      <c r="Y740" s="188">
        <v>0</v>
      </c>
      <c r="Z740" s="188" t="s">
        <v>883</v>
      </c>
      <c r="AA740" s="187" t="s">
        <v>883</v>
      </c>
      <c r="AB740" s="188">
        <v>0</v>
      </c>
      <c r="AC740" s="188"/>
      <c r="AD740" s="189" t="s">
        <v>883</v>
      </c>
      <c r="AE740" s="190" t="s">
        <v>883</v>
      </c>
      <c r="AF740" s="180">
        <v>2666</v>
      </c>
      <c r="AG740" s="183">
        <v>44967</v>
      </c>
      <c r="AH740" s="183">
        <v>42765</v>
      </c>
      <c r="AI740" s="183">
        <v>44959</v>
      </c>
      <c r="AJ740" s="183" t="s">
        <v>883</v>
      </c>
      <c r="AK740" s="174"/>
    </row>
    <row r="741" spans="1:37" x14ac:dyDescent="0.3">
      <c r="A741" s="173">
        <v>132400</v>
      </c>
      <c r="B741" s="174" t="s">
        <v>1822</v>
      </c>
      <c r="C741" s="175" t="s">
        <v>275</v>
      </c>
      <c r="D741" s="176">
        <v>1.61</v>
      </c>
      <c r="E741" s="174"/>
      <c r="F741" s="174"/>
      <c r="G741" s="174" t="s">
        <v>883</v>
      </c>
      <c r="H741" s="177">
        <v>185</v>
      </c>
      <c r="I741" s="24">
        <v>103003</v>
      </c>
      <c r="J741" s="178">
        <v>1.61</v>
      </c>
      <c r="K741" s="177">
        <v>2836</v>
      </c>
      <c r="L741" s="179">
        <v>0.58683584456780336</v>
      </c>
      <c r="M741" s="180">
        <v>1898</v>
      </c>
      <c r="N741" s="178">
        <v>3055.78</v>
      </c>
      <c r="O741" s="181" t="s">
        <v>882</v>
      </c>
      <c r="P741" s="180">
        <v>0</v>
      </c>
      <c r="Q741" s="182">
        <v>0</v>
      </c>
      <c r="R741" s="183" t="s">
        <v>883</v>
      </c>
      <c r="S741" s="174" t="s">
        <v>1463</v>
      </c>
      <c r="T741" s="44">
        <v>1</v>
      </c>
      <c r="U741" s="184">
        <v>71</v>
      </c>
      <c r="V741" s="185">
        <v>33</v>
      </c>
      <c r="W741" s="186">
        <v>6219</v>
      </c>
      <c r="X741" s="187">
        <v>2023</v>
      </c>
      <c r="Y741" s="188">
        <v>1700</v>
      </c>
      <c r="Z741" s="188" t="s">
        <v>883</v>
      </c>
      <c r="AA741" s="187" t="s">
        <v>883</v>
      </c>
      <c r="AB741" s="188">
        <v>0</v>
      </c>
      <c r="AC741" s="188"/>
      <c r="AD741" s="189" t="s">
        <v>883</v>
      </c>
      <c r="AE741" s="190" t="s">
        <v>883</v>
      </c>
      <c r="AF741" s="180">
        <v>1262</v>
      </c>
      <c r="AG741" s="183">
        <v>45027</v>
      </c>
      <c r="AH741" s="183">
        <v>42765</v>
      </c>
      <c r="AI741" s="183">
        <v>44998</v>
      </c>
      <c r="AJ741" s="183" t="s">
        <v>883</v>
      </c>
      <c r="AK741" s="174"/>
    </row>
    <row r="742" spans="1:37" x14ac:dyDescent="0.3">
      <c r="A742" s="173">
        <v>132405</v>
      </c>
      <c r="B742" s="174" t="s">
        <v>1823</v>
      </c>
      <c r="C742" s="175" t="s">
        <v>268</v>
      </c>
      <c r="D742" s="176">
        <v>4.9000000000000004</v>
      </c>
      <c r="E742" s="174"/>
      <c r="F742" s="174"/>
      <c r="G742" s="174" t="s">
        <v>883</v>
      </c>
      <c r="H742" s="177">
        <v>2281</v>
      </c>
      <c r="I742" s="24">
        <v>103003</v>
      </c>
      <c r="J742" s="178">
        <v>4.9000000000000004</v>
      </c>
      <c r="K742" s="177">
        <v>126</v>
      </c>
      <c r="L742" s="179">
        <v>150.36255767963084</v>
      </c>
      <c r="M742" s="180">
        <v>0</v>
      </c>
      <c r="N742" s="178">
        <v>0</v>
      </c>
      <c r="O742" s="181" t="s">
        <v>882</v>
      </c>
      <c r="P742" s="180">
        <v>0</v>
      </c>
      <c r="Q742" s="182">
        <v>0</v>
      </c>
      <c r="R742" s="183" t="s">
        <v>883</v>
      </c>
      <c r="S742" s="174" t="s">
        <v>1402</v>
      </c>
      <c r="T742" s="44">
        <v>1</v>
      </c>
      <c r="U742" s="184">
        <v>57</v>
      </c>
      <c r="V742" s="185">
        <v>6</v>
      </c>
      <c r="W742" s="186" t="s">
        <v>883</v>
      </c>
      <c r="X742" s="187" t="s">
        <v>883</v>
      </c>
      <c r="Y742" s="188">
        <v>0</v>
      </c>
      <c r="Z742" s="188" t="s">
        <v>883</v>
      </c>
      <c r="AA742" s="187" t="s">
        <v>883</v>
      </c>
      <c r="AB742" s="188">
        <v>0</v>
      </c>
      <c r="AC742" s="188"/>
      <c r="AD742" s="189" t="s">
        <v>883</v>
      </c>
      <c r="AE742" s="190" t="s">
        <v>883</v>
      </c>
      <c r="AF742" s="180">
        <v>60</v>
      </c>
      <c r="AG742" s="183">
        <v>43628</v>
      </c>
      <c r="AH742" s="183">
        <v>42773</v>
      </c>
      <c r="AI742" s="183">
        <v>43607</v>
      </c>
      <c r="AJ742" s="183" t="s">
        <v>883</v>
      </c>
      <c r="AK742" s="174"/>
    </row>
    <row r="743" spans="1:37" x14ac:dyDescent="0.3">
      <c r="A743" s="173">
        <v>132407</v>
      </c>
      <c r="B743" s="174" t="s">
        <v>1824</v>
      </c>
      <c r="C743" s="175" t="s">
        <v>268</v>
      </c>
      <c r="D743" s="176">
        <v>9.4700000000000006</v>
      </c>
      <c r="E743" s="174"/>
      <c r="F743" s="174"/>
      <c r="G743" s="174" t="s">
        <v>883</v>
      </c>
      <c r="H743" s="177">
        <v>2290</v>
      </c>
      <c r="I743" s="24">
        <v>103003</v>
      </c>
      <c r="J743" s="178">
        <v>9.4700000000000006</v>
      </c>
      <c r="K743" s="177">
        <v>126</v>
      </c>
      <c r="L743" s="179">
        <v>158.80721220527045</v>
      </c>
      <c r="M743" s="180">
        <v>0</v>
      </c>
      <c r="N743" s="178">
        <v>0</v>
      </c>
      <c r="O743" s="181" t="s">
        <v>882</v>
      </c>
      <c r="P743" s="180">
        <v>0</v>
      </c>
      <c r="Q743" s="182">
        <v>0</v>
      </c>
      <c r="R743" s="183" t="s">
        <v>883</v>
      </c>
      <c r="S743" s="174" t="s">
        <v>1402</v>
      </c>
      <c r="T743" s="44">
        <v>1</v>
      </c>
      <c r="U743" s="184">
        <v>57</v>
      </c>
      <c r="V743" s="185">
        <v>6</v>
      </c>
      <c r="W743" s="186" t="s">
        <v>883</v>
      </c>
      <c r="X743" s="187" t="s">
        <v>883</v>
      </c>
      <c r="Y743" s="188">
        <v>0</v>
      </c>
      <c r="Z743" s="188" t="s">
        <v>883</v>
      </c>
      <c r="AA743" s="187" t="s">
        <v>883</v>
      </c>
      <c r="AB743" s="188">
        <v>0</v>
      </c>
      <c r="AC743" s="188"/>
      <c r="AD743" s="189" t="s">
        <v>883</v>
      </c>
      <c r="AE743" s="190" t="s">
        <v>883</v>
      </c>
      <c r="AF743" s="180">
        <v>58</v>
      </c>
      <c r="AG743" s="183">
        <v>43627</v>
      </c>
      <c r="AH743" s="183">
        <v>42773</v>
      </c>
      <c r="AI743" s="183">
        <v>43608</v>
      </c>
      <c r="AJ743" s="183" t="s">
        <v>883</v>
      </c>
      <c r="AK743" s="174"/>
    </row>
    <row r="744" spans="1:37" x14ac:dyDescent="0.3">
      <c r="A744" s="173">
        <v>132465</v>
      </c>
      <c r="B744" s="174" t="s">
        <v>1825</v>
      </c>
      <c r="C744" s="175" t="s">
        <v>31</v>
      </c>
      <c r="D744" s="176">
        <v>7.5</v>
      </c>
      <c r="E744" s="174"/>
      <c r="F744" s="174"/>
      <c r="G744" s="174" t="s">
        <v>883</v>
      </c>
      <c r="H744" s="177">
        <v>25</v>
      </c>
      <c r="I744" s="24">
        <v>103003</v>
      </c>
      <c r="J744" s="178">
        <v>7.6537100000000002</v>
      </c>
      <c r="K744" s="177">
        <v>98</v>
      </c>
      <c r="L744" s="179">
        <v>3.059975520195839</v>
      </c>
      <c r="M744" s="180">
        <v>23.04</v>
      </c>
      <c r="N744" s="178">
        <v>172.8</v>
      </c>
      <c r="O744" s="181" t="s">
        <v>882</v>
      </c>
      <c r="P744" s="180">
        <v>0</v>
      </c>
      <c r="Q744" s="182">
        <v>0</v>
      </c>
      <c r="R744" s="183" t="s">
        <v>883</v>
      </c>
      <c r="S744" s="174" t="s">
        <v>1003</v>
      </c>
      <c r="T744" s="44">
        <v>1</v>
      </c>
      <c r="U744" s="184">
        <v>51</v>
      </c>
      <c r="V744" s="185">
        <v>11</v>
      </c>
      <c r="W744" s="186">
        <v>2552</v>
      </c>
      <c r="X744" s="187">
        <v>2023</v>
      </c>
      <c r="Y744" s="188">
        <v>50</v>
      </c>
      <c r="Z744" s="188" t="s">
        <v>883</v>
      </c>
      <c r="AA744" s="187" t="s">
        <v>883</v>
      </c>
      <c r="AB744" s="188">
        <v>0</v>
      </c>
      <c r="AC744" s="188"/>
      <c r="AD744" s="189" t="s">
        <v>883</v>
      </c>
      <c r="AE744" s="190" t="s">
        <v>883</v>
      </c>
      <c r="AF744" s="180">
        <v>32</v>
      </c>
      <c r="AG744" s="183">
        <v>43768</v>
      </c>
      <c r="AH744" s="183">
        <v>42796</v>
      </c>
      <c r="AI744" s="183">
        <v>43747</v>
      </c>
      <c r="AJ744" s="183" t="s">
        <v>883</v>
      </c>
      <c r="AK744" s="174"/>
    </row>
    <row r="745" spans="1:37" x14ac:dyDescent="0.3">
      <c r="A745" s="173">
        <v>132623</v>
      </c>
      <c r="B745" s="174" t="s">
        <v>1826</v>
      </c>
      <c r="C745" s="175" t="s">
        <v>31</v>
      </c>
      <c r="D745" s="176">
        <v>179.54</v>
      </c>
      <c r="E745" s="174"/>
      <c r="F745" s="174"/>
      <c r="G745" s="174" t="s">
        <v>883</v>
      </c>
      <c r="H745" s="177">
        <v>67</v>
      </c>
      <c r="I745" s="24">
        <v>103003</v>
      </c>
      <c r="J745" s="178">
        <v>179.54</v>
      </c>
      <c r="K745" s="177">
        <v>13</v>
      </c>
      <c r="L745" s="179">
        <v>53.6</v>
      </c>
      <c r="M745" s="180">
        <v>0</v>
      </c>
      <c r="N745" s="178">
        <v>0</v>
      </c>
      <c r="O745" s="181" t="s">
        <v>882</v>
      </c>
      <c r="P745" s="180">
        <v>0</v>
      </c>
      <c r="Q745" s="182">
        <v>0</v>
      </c>
      <c r="R745" s="183" t="s">
        <v>883</v>
      </c>
      <c r="S745" s="174" t="s">
        <v>1024</v>
      </c>
      <c r="T745" s="44">
        <v>1</v>
      </c>
      <c r="U745" s="184">
        <v>51</v>
      </c>
      <c r="V745" s="185">
        <v>35</v>
      </c>
      <c r="W745" s="186" t="s">
        <v>883</v>
      </c>
      <c r="X745" s="187" t="s">
        <v>883</v>
      </c>
      <c r="Y745" s="188">
        <v>0</v>
      </c>
      <c r="Z745" s="188" t="s">
        <v>883</v>
      </c>
      <c r="AA745" s="187" t="s">
        <v>883</v>
      </c>
      <c r="AB745" s="188">
        <v>0</v>
      </c>
      <c r="AC745" s="188"/>
      <c r="AD745" s="189" t="s">
        <v>883</v>
      </c>
      <c r="AE745" s="190" t="s">
        <v>883</v>
      </c>
      <c r="AF745" s="180">
        <v>6</v>
      </c>
      <c r="AG745" s="183">
        <v>44362</v>
      </c>
      <c r="AH745" s="183">
        <v>42850</v>
      </c>
      <c r="AI745" s="183">
        <v>44257</v>
      </c>
      <c r="AJ745" s="183" t="s">
        <v>883</v>
      </c>
      <c r="AK745" s="174"/>
    </row>
    <row r="746" spans="1:37" x14ac:dyDescent="0.3">
      <c r="A746" s="173">
        <v>132624</v>
      </c>
      <c r="B746" s="174" t="s">
        <v>1827</v>
      </c>
      <c r="C746" s="175" t="s">
        <v>31</v>
      </c>
      <c r="D746" s="176">
        <v>153.97999999999999</v>
      </c>
      <c r="E746" s="174"/>
      <c r="F746" s="174"/>
      <c r="G746" s="174" t="s">
        <v>883</v>
      </c>
      <c r="H746" s="177">
        <v>92</v>
      </c>
      <c r="I746" s="24">
        <v>103003</v>
      </c>
      <c r="J746" s="178">
        <v>153.97999999999999</v>
      </c>
      <c r="K746" s="177">
        <v>12</v>
      </c>
      <c r="L746" s="179">
        <v>92</v>
      </c>
      <c r="M746" s="180">
        <v>0</v>
      </c>
      <c r="N746" s="178">
        <v>0</v>
      </c>
      <c r="O746" s="181" t="s">
        <v>882</v>
      </c>
      <c r="P746" s="180">
        <v>0</v>
      </c>
      <c r="Q746" s="182">
        <v>0</v>
      </c>
      <c r="R746" s="183" t="s">
        <v>883</v>
      </c>
      <c r="S746" s="174" t="s">
        <v>1436</v>
      </c>
      <c r="T746" s="44">
        <v>1</v>
      </c>
      <c r="U746" s="184">
        <v>51</v>
      </c>
      <c r="V746" s="185">
        <v>36</v>
      </c>
      <c r="W746" s="186" t="s">
        <v>883</v>
      </c>
      <c r="X746" s="187" t="s">
        <v>883</v>
      </c>
      <c r="Y746" s="188">
        <v>0</v>
      </c>
      <c r="Z746" s="188" t="s">
        <v>883</v>
      </c>
      <c r="AA746" s="187" t="s">
        <v>883</v>
      </c>
      <c r="AB746" s="188">
        <v>0</v>
      </c>
      <c r="AC746" s="188"/>
      <c r="AD746" s="189" t="s">
        <v>883</v>
      </c>
      <c r="AE746" s="190" t="s">
        <v>883</v>
      </c>
      <c r="AF746" s="180">
        <v>4</v>
      </c>
      <c r="AG746" s="183">
        <v>44547</v>
      </c>
      <c r="AH746" s="183">
        <v>42850</v>
      </c>
      <c r="AI746" s="183">
        <v>44508</v>
      </c>
      <c r="AJ746" s="183" t="s">
        <v>883</v>
      </c>
      <c r="AK746" s="174"/>
    </row>
    <row r="747" spans="1:37" x14ac:dyDescent="0.3">
      <c r="A747" s="173">
        <v>132646</v>
      </c>
      <c r="B747" s="174" t="s">
        <v>1828</v>
      </c>
      <c r="C747" s="175" t="s">
        <v>395</v>
      </c>
      <c r="D747" s="176">
        <v>22</v>
      </c>
      <c r="E747" s="174"/>
      <c r="F747" s="174"/>
      <c r="G747" s="174" t="s">
        <v>883</v>
      </c>
      <c r="H747" s="177">
        <v>7883</v>
      </c>
      <c r="I747" s="24">
        <v>103003</v>
      </c>
      <c r="J747" s="178">
        <v>22</v>
      </c>
      <c r="K747" s="177">
        <v>9438</v>
      </c>
      <c r="L747" s="179">
        <v>4.8013497134295262</v>
      </c>
      <c r="M747" s="180">
        <v>11818.96</v>
      </c>
      <c r="N747" s="178">
        <v>260017.12</v>
      </c>
      <c r="O747" s="181" t="s">
        <v>882</v>
      </c>
      <c r="P747" s="180">
        <v>0</v>
      </c>
      <c r="Q747" s="182">
        <v>0</v>
      </c>
      <c r="R747" s="183" t="s">
        <v>883</v>
      </c>
      <c r="S747" s="174" t="s">
        <v>903</v>
      </c>
      <c r="T747" s="44">
        <v>1</v>
      </c>
      <c r="U747" s="184">
        <v>45</v>
      </c>
      <c r="V747" s="185">
        <v>10</v>
      </c>
      <c r="W747" s="186" t="s">
        <v>883</v>
      </c>
      <c r="X747" s="187" t="s">
        <v>883</v>
      </c>
      <c r="Y747" s="188">
        <v>0</v>
      </c>
      <c r="Z747" s="188" t="s">
        <v>883</v>
      </c>
      <c r="AA747" s="187" t="s">
        <v>883</v>
      </c>
      <c r="AB747" s="188">
        <v>0</v>
      </c>
      <c r="AC747" s="188"/>
      <c r="AD747" s="189" t="s">
        <v>883</v>
      </c>
      <c r="AE747" s="190" t="s">
        <v>883</v>
      </c>
      <c r="AF747" s="180">
        <v>6568</v>
      </c>
      <c r="AG747" s="183">
        <v>45009</v>
      </c>
      <c r="AH747" s="183">
        <v>42860</v>
      </c>
      <c r="AI747" s="183">
        <v>45051</v>
      </c>
      <c r="AJ747" s="183" t="s">
        <v>883</v>
      </c>
      <c r="AK747" s="174"/>
    </row>
    <row r="748" spans="1:37" x14ac:dyDescent="0.3">
      <c r="A748" s="173">
        <v>132647</v>
      </c>
      <c r="B748" s="174" t="s">
        <v>1829</v>
      </c>
      <c r="C748" s="175" t="s">
        <v>31</v>
      </c>
      <c r="D748" s="176">
        <v>1.49</v>
      </c>
      <c r="E748" s="174"/>
      <c r="F748" s="174"/>
      <c r="G748" s="174" t="s">
        <v>883</v>
      </c>
      <c r="H748" s="177">
        <v>985</v>
      </c>
      <c r="I748" s="24">
        <v>103003</v>
      </c>
      <c r="J748" s="178">
        <v>1.49</v>
      </c>
      <c r="K748" s="177">
        <v>11272</v>
      </c>
      <c r="L748" s="179">
        <v>0.4796875456555405</v>
      </c>
      <c r="M748" s="180">
        <v>19856.04</v>
      </c>
      <c r="N748" s="178">
        <v>29585.499599999999</v>
      </c>
      <c r="O748" s="181" t="s">
        <v>882</v>
      </c>
      <c r="P748" s="180">
        <v>0</v>
      </c>
      <c r="Q748" s="182">
        <v>0</v>
      </c>
      <c r="R748" s="183" t="s">
        <v>883</v>
      </c>
      <c r="S748" s="174" t="s">
        <v>903</v>
      </c>
      <c r="T748" s="44">
        <v>1</v>
      </c>
      <c r="U748" s="184">
        <v>45</v>
      </c>
      <c r="V748" s="185">
        <v>10</v>
      </c>
      <c r="W748" s="186">
        <v>6979</v>
      </c>
      <c r="X748" s="187">
        <v>2023</v>
      </c>
      <c r="Y748" s="188">
        <v>3800</v>
      </c>
      <c r="Z748" s="188" t="s">
        <v>883</v>
      </c>
      <c r="AA748" s="187" t="s">
        <v>883</v>
      </c>
      <c r="AB748" s="188">
        <v>0</v>
      </c>
      <c r="AC748" s="188"/>
      <c r="AD748" s="189" t="s">
        <v>883</v>
      </c>
      <c r="AE748" s="190" t="s">
        <v>883</v>
      </c>
      <c r="AF748" s="180">
        <v>8214</v>
      </c>
      <c r="AG748" s="183">
        <v>44924</v>
      </c>
      <c r="AH748" s="183">
        <v>42860</v>
      </c>
      <c r="AI748" s="183">
        <v>44910</v>
      </c>
      <c r="AJ748" s="183" t="s">
        <v>883</v>
      </c>
      <c r="AK748" s="174"/>
    </row>
    <row r="749" spans="1:37" x14ac:dyDescent="0.3">
      <c r="A749" s="173">
        <v>132649</v>
      </c>
      <c r="B749" s="174" t="s">
        <v>1830</v>
      </c>
      <c r="C749" s="175" t="s">
        <v>31</v>
      </c>
      <c r="D749" s="176">
        <v>0.99</v>
      </c>
      <c r="E749" s="174"/>
      <c r="F749" s="174"/>
      <c r="G749" s="174" t="s">
        <v>883</v>
      </c>
      <c r="H749" s="177">
        <v>0</v>
      </c>
      <c r="I749" s="24">
        <v>103003</v>
      </c>
      <c r="J749" s="178">
        <v>0.99</v>
      </c>
      <c r="K749" s="177">
        <v>9007</v>
      </c>
      <c r="L749" s="179">
        <v>0</v>
      </c>
      <c r="M749" s="180">
        <v>4859.96</v>
      </c>
      <c r="N749" s="178">
        <v>4811.3603999999996</v>
      </c>
      <c r="O749" s="181" t="s">
        <v>882</v>
      </c>
      <c r="P749" s="180">
        <v>0</v>
      </c>
      <c r="Q749" s="182">
        <v>0</v>
      </c>
      <c r="R749" s="183" t="s">
        <v>883</v>
      </c>
      <c r="S749" s="174" t="s">
        <v>903</v>
      </c>
      <c r="T749" s="44">
        <v>1</v>
      </c>
      <c r="U749" s="184">
        <v>45</v>
      </c>
      <c r="V749" s="185">
        <v>10</v>
      </c>
      <c r="W749" s="186">
        <v>6979</v>
      </c>
      <c r="X749" s="187">
        <v>2023</v>
      </c>
      <c r="Y749" s="188">
        <v>4300</v>
      </c>
      <c r="Z749" s="188" t="s">
        <v>883</v>
      </c>
      <c r="AA749" s="187" t="s">
        <v>883</v>
      </c>
      <c r="AB749" s="188">
        <v>0</v>
      </c>
      <c r="AC749" s="188"/>
      <c r="AD749" s="189" t="s">
        <v>883</v>
      </c>
      <c r="AE749" s="190" t="s">
        <v>883</v>
      </c>
      <c r="AF749" s="180">
        <v>3054</v>
      </c>
      <c r="AG749" s="183">
        <v>44951</v>
      </c>
      <c r="AH749" s="183">
        <v>42860</v>
      </c>
      <c r="AI749" s="183">
        <v>44910</v>
      </c>
      <c r="AJ749" s="183" t="s">
        <v>883</v>
      </c>
      <c r="AK749" s="174"/>
    </row>
    <row r="750" spans="1:37" x14ac:dyDescent="0.3">
      <c r="A750" s="173">
        <v>132650</v>
      </c>
      <c r="B750" s="174" t="s">
        <v>1831</v>
      </c>
      <c r="C750" s="175" t="s">
        <v>31</v>
      </c>
      <c r="D750" s="176">
        <v>19</v>
      </c>
      <c r="E750" s="174"/>
      <c r="F750" s="174"/>
      <c r="G750" s="174" t="s">
        <v>883</v>
      </c>
      <c r="H750" s="177">
        <v>0</v>
      </c>
      <c r="I750" s="24">
        <v>103003</v>
      </c>
      <c r="J750" s="178">
        <v>19</v>
      </c>
      <c r="K750" s="177">
        <v>1228</v>
      </c>
      <c r="L750" s="179">
        <v>0</v>
      </c>
      <c r="M750" s="180">
        <v>511.04</v>
      </c>
      <c r="N750" s="178">
        <v>9709.76</v>
      </c>
      <c r="O750" s="181" t="s">
        <v>882</v>
      </c>
      <c r="P750" s="180">
        <v>0</v>
      </c>
      <c r="Q750" s="182">
        <v>0</v>
      </c>
      <c r="R750" s="183" t="s">
        <v>883</v>
      </c>
      <c r="S750" s="174" t="s">
        <v>911</v>
      </c>
      <c r="T750" s="44">
        <v>1</v>
      </c>
      <c r="U750" s="184">
        <v>45</v>
      </c>
      <c r="V750" s="185">
        <v>14</v>
      </c>
      <c r="W750" s="186">
        <v>6979</v>
      </c>
      <c r="X750" s="187">
        <v>2023</v>
      </c>
      <c r="Y750" s="188">
        <v>1000</v>
      </c>
      <c r="Z750" s="188" t="s">
        <v>883</v>
      </c>
      <c r="AA750" s="187" t="s">
        <v>883</v>
      </c>
      <c r="AB750" s="188">
        <v>0</v>
      </c>
      <c r="AC750" s="188"/>
      <c r="AD750" s="189" t="s">
        <v>883</v>
      </c>
      <c r="AE750" s="190" t="s">
        <v>883</v>
      </c>
      <c r="AF750" s="180">
        <v>504</v>
      </c>
      <c r="AG750" s="183">
        <v>44375</v>
      </c>
      <c r="AH750" s="183">
        <v>42860</v>
      </c>
      <c r="AI750" s="183">
        <v>45049</v>
      </c>
      <c r="AJ750" s="183" t="s">
        <v>883</v>
      </c>
      <c r="AK750" s="174"/>
    </row>
    <row r="751" spans="1:37" x14ac:dyDescent="0.3">
      <c r="A751" s="173">
        <v>132655</v>
      </c>
      <c r="B751" s="174" t="s">
        <v>1832</v>
      </c>
      <c r="C751" s="175" t="s">
        <v>31</v>
      </c>
      <c r="D751" s="176">
        <v>1.48</v>
      </c>
      <c r="E751" s="174"/>
      <c r="F751" s="174"/>
      <c r="G751" s="174" t="s">
        <v>883</v>
      </c>
      <c r="H751" s="177">
        <v>8241</v>
      </c>
      <c r="I751" s="24">
        <v>103003</v>
      </c>
      <c r="J751" s="178">
        <v>1.48</v>
      </c>
      <c r="K751" s="177">
        <v>28774</v>
      </c>
      <c r="L751" s="179">
        <v>2.8836564806164118</v>
      </c>
      <c r="M751" s="180">
        <v>23052.959999999999</v>
      </c>
      <c r="N751" s="178">
        <v>34118.380799999999</v>
      </c>
      <c r="O751" s="181" t="s">
        <v>882</v>
      </c>
      <c r="P751" s="180">
        <v>0</v>
      </c>
      <c r="Q751" s="182">
        <v>0</v>
      </c>
      <c r="R751" s="183" t="s">
        <v>883</v>
      </c>
      <c r="S751" s="174" t="s">
        <v>903</v>
      </c>
      <c r="T751" s="44">
        <v>1</v>
      </c>
      <c r="U751" s="184">
        <v>45</v>
      </c>
      <c r="V751" s="185">
        <v>10</v>
      </c>
      <c r="W751" s="186">
        <v>6209</v>
      </c>
      <c r="X751" s="187">
        <v>2023</v>
      </c>
      <c r="Y751" s="188">
        <v>3000</v>
      </c>
      <c r="Z751" s="188" t="s">
        <v>883</v>
      </c>
      <c r="AA751" s="187" t="s">
        <v>883</v>
      </c>
      <c r="AB751" s="188">
        <v>0</v>
      </c>
      <c r="AC751" s="188"/>
      <c r="AD751" s="189" t="s">
        <v>883</v>
      </c>
      <c r="AE751" s="190" t="s">
        <v>883</v>
      </c>
      <c r="AF751" s="180">
        <v>11432</v>
      </c>
      <c r="AG751" s="183">
        <v>44993</v>
      </c>
      <c r="AH751" s="183">
        <v>42860</v>
      </c>
      <c r="AI751" s="183">
        <v>44959</v>
      </c>
      <c r="AJ751" s="183" t="s">
        <v>883</v>
      </c>
      <c r="AK751" s="174"/>
    </row>
    <row r="752" spans="1:37" x14ac:dyDescent="0.3">
      <c r="A752" s="173">
        <v>132656</v>
      </c>
      <c r="B752" s="174" t="s">
        <v>1833</v>
      </c>
      <c r="C752" s="175" t="s">
        <v>31</v>
      </c>
      <c r="D752" s="176">
        <v>2.19</v>
      </c>
      <c r="E752" s="174"/>
      <c r="F752" s="174"/>
      <c r="G752" s="174" t="s">
        <v>883</v>
      </c>
      <c r="H752" s="177">
        <v>3287</v>
      </c>
      <c r="I752" s="24">
        <v>103003</v>
      </c>
      <c r="J752" s="178">
        <v>2.19</v>
      </c>
      <c r="K752" s="177">
        <v>28783</v>
      </c>
      <c r="L752" s="179">
        <v>0.58452909574931589</v>
      </c>
      <c r="M752" s="180">
        <v>56192.959999999999</v>
      </c>
      <c r="N752" s="178">
        <v>123062.5824</v>
      </c>
      <c r="O752" s="181" t="s">
        <v>882</v>
      </c>
      <c r="P752" s="180">
        <v>0</v>
      </c>
      <c r="Q752" s="182">
        <v>0</v>
      </c>
      <c r="R752" s="183" t="s">
        <v>883</v>
      </c>
      <c r="S752" s="174" t="s">
        <v>903</v>
      </c>
      <c r="T752" s="44">
        <v>1</v>
      </c>
      <c r="U752" s="184">
        <v>45</v>
      </c>
      <c r="V752" s="185">
        <v>10</v>
      </c>
      <c r="W752" s="186">
        <v>6211</v>
      </c>
      <c r="X752" s="187">
        <v>2023</v>
      </c>
      <c r="Y752" s="188">
        <v>8000</v>
      </c>
      <c r="Z752" s="188" t="s">
        <v>883</v>
      </c>
      <c r="AA752" s="187" t="s">
        <v>883</v>
      </c>
      <c r="AB752" s="188">
        <v>0</v>
      </c>
      <c r="AC752" s="188"/>
      <c r="AD752" s="189" t="s">
        <v>883</v>
      </c>
      <c r="AE752" s="190" t="s">
        <v>883</v>
      </c>
      <c r="AF752" s="180">
        <v>22494</v>
      </c>
      <c r="AG752" s="183">
        <v>44924</v>
      </c>
      <c r="AH752" s="183">
        <v>42860</v>
      </c>
      <c r="AI752" s="183">
        <v>44910</v>
      </c>
      <c r="AJ752" s="183" t="s">
        <v>883</v>
      </c>
      <c r="AK752" s="174"/>
    </row>
    <row r="753" spans="1:37" x14ac:dyDescent="0.3">
      <c r="A753" s="173">
        <v>132714</v>
      </c>
      <c r="B753" s="174" t="s">
        <v>452</v>
      </c>
      <c r="C753" s="175" t="s">
        <v>256</v>
      </c>
      <c r="D753" s="176">
        <v>20.3</v>
      </c>
      <c r="E753" s="174"/>
      <c r="F753" s="174"/>
      <c r="G753" s="174" t="s">
        <v>883</v>
      </c>
      <c r="H753" s="177">
        <v>153</v>
      </c>
      <c r="I753" s="24">
        <v>103003</v>
      </c>
      <c r="J753" s="178">
        <v>20.3</v>
      </c>
      <c r="K753" s="177"/>
      <c r="L753" s="179">
        <v>0</v>
      </c>
      <c r="M753" s="180">
        <v>0</v>
      </c>
      <c r="N753" s="178">
        <v>0</v>
      </c>
      <c r="O753" s="181" t="s">
        <v>882</v>
      </c>
      <c r="P753" s="180">
        <v>0</v>
      </c>
      <c r="Q753" s="182">
        <v>0</v>
      </c>
      <c r="R753" s="183" t="s">
        <v>883</v>
      </c>
      <c r="S753" s="174" t="s">
        <v>1273</v>
      </c>
      <c r="T753" s="44">
        <v>1</v>
      </c>
      <c r="U753" s="184">
        <v>51</v>
      </c>
      <c r="V753" s="185">
        <v>17</v>
      </c>
      <c r="W753" s="186" t="s">
        <v>883</v>
      </c>
      <c r="X753" s="187" t="s">
        <v>883</v>
      </c>
      <c r="Y753" s="188">
        <v>0</v>
      </c>
      <c r="Z753" s="188" t="s">
        <v>883</v>
      </c>
      <c r="AA753" s="187" t="s">
        <v>883</v>
      </c>
      <c r="AB753" s="188">
        <v>0</v>
      </c>
      <c r="AC753" s="188"/>
      <c r="AD753" s="189" t="s">
        <v>883</v>
      </c>
      <c r="AE753" s="190" t="s">
        <v>883</v>
      </c>
      <c r="AF753" s="180">
        <v>0</v>
      </c>
      <c r="AG753" s="183">
        <v>43754</v>
      </c>
      <c r="AH753" s="183">
        <v>42880</v>
      </c>
      <c r="AI753" s="183">
        <v>43731</v>
      </c>
      <c r="AJ753" s="183" t="s">
        <v>883</v>
      </c>
      <c r="AK753" s="174"/>
    </row>
    <row r="754" spans="1:37" x14ac:dyDescent="0.3">
      <c r="A754" s="173">
        <v>132715</v>
      </c>
      <c r="B754" s="174" t="s">
        <v>451</v>
      </c>
      <c r="C754" s="175" t="s">
        <v>256</v>
      </c>
      <c r="D754" s="176">
        <v>20.3</v>
      </c>
      <c r="E754" s="174"/>
      <c r="F754" s="174"/>
      <c r="G754" s="174" t="s">
        <v>883</v>
      </c>
      <c r="H754" s="177">
        <v>172</v>
      </c>
      <c r="I754" s="24">
        <v>103003</v>
      </c>
      <c r="J754" s="178">
        <v>20.3</v>
      </c>
      <c r="K754" s="177"/>
      <c r="L754" s="179">
        <v>0</v>
      </c>
      <c r="M754" s="180">
        <v>0</v>
      </c>
      <c r="N754" s="178">
        <v>0</v>
      </c>
      <c r="O754" s="181" t="s">
        <v>882</v>
      </c>
      <c r="P754" s="180">
        <v>0</v>
      </c>
      <c r="Q754" s="182">
        <v>0</v>
      </c>
      <c r="R754" s="183" t="s">
        <v>883</v>
      </c>
      <c r="S754" s="174" t="s">
        <v>1273</v>
      </c>
      <c r="T754" s="44">
        <v>1</v>
      </c>
      <c r="U754" s="184">
        <v>51</v>
      </c>
      <c r="V754" s="185">
        <v>17</v>
      </c>
      <c r="W754" s="186" t="s">
        <v>883</v>
      </c>
      <c r="X754" s="187" t="s">
        <v>883</v>
      </c>
      <c r="Y754" s="188">
        <v>0</v>
      </c>
      <c r="Z754" s="188" t="s">
        <v>883</v>
      </c>
      <c r="AA754" s="187" t="s">
        <v>883</v>
      </c>
      <c r="AB754" s="188">
        <v>0</v>
      </c>
      <c r="AC754" s="188"/>
      <c r="AD754" s="189" t="s">
        <v>883</v>
      </c>
      <c r="AE754" s="190" t="s">
        <v>883</v>
      </c>
      <c r="AF754" s="180">
        <v>0</v>
      </c>
      <c r="AG754" s="183">
        <v>43754</v>
      </c>
      <c r="AH754" s="183">
        <v>42880</v>
      </c>
      <c r="AI754" s="183">
        <v>43731</v>
      </c>
      <c r="AJ754" s="183" t="s">
        <v>883</v>
      </c>
      <c r="AK754" s="174"/>
    </row>
    <row r="755" spans="1:37" x14ac:dyDescent="0.3">
      <c r="A755" s="173">
        <v>132751</v>
      </c>
      <c r="B755" s="174" t="s">
        <v>1834</v>
      </c>
      <c r="C755" s="175" t="s">
        <v>281</v>
      </c>
      <c r="D755" s="176">
        <v>217.5</v>
      </c>
      <c r="E755" s="174"/>
      <c r="F755" s="174"/>
      <c r="G755" s="174" t="s">
        <v>883</v>
      </c>
      <c r="H755" s="177">
        <v>3</v>
      </c>
      <c r="I755" s="24">
        <v>103003</v>
      </c>
      <c r="J755" s="178">
        <v>217.5</v>
      </c>
      <c r="K755" s="177">
        <v>2</v>
      </c>
      <c r="L755" s="179">
        <v>17.647058823529413</v>
      </c>
      <c r="M755" s="180">
        <v>0</v>
      </c>
      <c r="N755" s="178">
        <v>0</v>
      </c>
      <c r="O755" s="181" t="s">
        <v>882</v>
      </c>
      <c r="P755" s="180">
        <v>0</v>
      </c>
      <c r="Q755" s="182">
        <v>0</v>
      </c>
      <c r="R755" s="183" t="s">
        <v>883</v>
      </c>
      <c r="S755" s="174" t="s">
        <v>1070</v>
      </c>
      <c r="T755" s="44">
        <v>1</v>
      </c>
      <c r="U755" s="184">
        <v>55</v>
      </c>
      <c r="V755" s="185">
        <v>40</v>
      </c>
      <c r="W755" s="186" t="s">
        <v>883</v>
      </c>
      <c r="X755" s="187" t="s">
        <v>883</v>
      </c>
      <c r="Y755" s="188">
        <v>0</v>
      </c>
      <c r="Z755" s="188" t="s">
        <v>883</v>
      </c>
      <c r="AA755" s="187" t="s">
        <v>883</v>
      </c>
      <c r="AB755" s="188">
        <v>0</v>
      </c>
      <c r="AC755" s="188"/>
      <c r="AD755" s="189" t="s">
        <v>883</v>
      </c>
      <c r="AE755" s="190" t="s">
        <v>883</v>
      </c>
      <c r="AF755" s="180">
        <v>0</v>
      </c>
      <c r="AG755" s="183">
        <v>43763</v>
      </c>
      <c r="AH755" s="183">
        <v>42892</v>
      </c>
      <c r="AI755" s="183">
        <v>43747</v>
      </c>
      <c r="AJ755" s="183" t="s">
        <v>883</v>
      </c>
      <c r="AK755" s="174"/>
    </row>
    <row r="756" spans="1:37" x14ac:dyDescent="0.3">
      <c r="A756" s="173">
        <v>132799</v>
      </c>
      <c r="B756" s="174" t="s">
        <v>1835</v>
      </c>
      <c r="C756" s="175" t="s">
        <v>31</v>
      </c>
      <c r="D756" s="176">
        <v>78.819999999999993</v>
      </c>
      <c r="E756" s="174"/>
      <c r="F756" s="174"/>
      <c r="G756" s="174" t="s">
        <v>883</v>
      </c>
      <c r="H756" s="177">
        <v>6</v>
      </c>
      <c r="I756" s="24">
        <v>103003</v>
      </c>
      <c r="J756" s="178">
        <v>78.819999999999993</v>
      </c>
      <c r="K756" s="177"/>
      <c r="L756" s="179">
        <v>0</v>
      </c>
      <c r="M756" s="180">
        <v>0</v>
      </c>
      <c r="N756" s="178">
        <v>0</v>
      </c>
      <c r="O756" s="181" t="s">
        <v>882</v>
      </c>
      <c r="P756" s="180">
        <v>0</v>
      </c>
      <c r="Q756" s="182">
        <v>0</v>
      </c>
      <c r="R756" s="183" t="s">
        <v>883</v>
      </c>
      <c r="S756" s="174" t="s">
        <v>1481</v>
      </c>
      <c r="T756" s="44">
        <v>1</v>
      </c>
      <c r="U756" s="184">
        <v>54</v>
      </c>
      <c r="V756" s="185">
        <v>4</v>
      </c>
      <c r="W756" s="186">
        <v>2813</v>
      </c>
      <c r="X756" s="187">
        <v>2023</v>
      </c>
      <c r="Y756" s="188">
        <v>4</v>
      </c>
      <c r="Z756" s="188" t="s">
        <v>883</v>
      </c>
      <c r="AA756" s="187" t="s">
        <v>883</v>
      </c>
      <c r="AB756" s="188">
        <v>0</v>
      </c>
      <c r="AC756" s="188"/>
      <c r="AD756" s="189" t="s">
        <v>883</v>
      </c>
      <c r="AE756" s="190" t="s">
        <v>883</v>
      </c>
      <c r="AF756" s="180">
        <v>0</v>
      </c>
      <c r="AG756" s="183">
        <v>43819</v>
      </c>
      <c r="AH756" s="183">
        <v>42905</v>
      </c>
      <c r="AI756" s="183">
        <v>43780</v>
      </c>
      <c r="AJ756" s="183" t="s">
        <v>883</v>
      </c>
      <c r="AK756" s="174"/>
    </row>
    <row r="757" spans="1:37" x14ac:dyDescent="0.3">
      <c r="A757" s="173">
        <v>133021</v>
      </c>
      <c r="B757" s="174" t="s">
        <v>1836</v>
      </c>
      <c r="C757" s="175" t="s">
        <v>31</v>
      </c>
      <c r="D757" s="176">
        <v>2.2999999999999998</v>
      </c>
      <c r="E757" s="174" t="s">
        <v>1837</v>
      </c>
      <c r="F757" s="174" t="s">
        <v>1838</v>
      </c>
      <c r="G757" s="174" t="s">
        <v>890</v>
      </c>
      <c r="H757" s="177">
        <v>185</v>
      </c>
      <c r="I757" s="24">
        <v>103003</v>
      </c>
      <c r="J757" s="178">
        <v>2.2999999999999998</v>
      </c>
      <c r="K757" s="177">
        <v>418</v>
      </c>
      <c r="L757" s="179">
        <v>4.1184327693677654</v>
      </c>
      <c r="M757" s="180">
        <v>354.04</v>
      </c>
      <c r="N757" s="178">
        <v>814.29200000000003</v>
      </c>
      <c r="O757" s="181" t="s">
        <v>891</v>
      </c>
      <c r="P757" s="180">
        <v>17600</v>
      </c>
      <c r="Q757" s="182">
        <v>40480</v>
      </c>
      <c r="R757" s="183">
        <v>45377</v>
      </c>
      <c r="S757" s="174" t="s">
        <v>954</v>
      </c>
      <c r="T757" s="44">
        <v>1</v>
      </c>
      <c r="U757" s="184">
        <v>72</v>
      </c>
      <c r="V757" s="185">
        <v>7</v>
      </c>
      <c r="W757" s="186" t="s">
        <v>883</v>
      </c>
      <c r="X757" s="187" t="s">
        <v>883</v>
      </c>
      <c r="Y757" s="188">
        <v>0</v>
      </c>
      <c r="Z757" s="188" t="s">
        <v>883</v>
      </c>
      <c r="AA757" s="187" t="s">
        <v>883</v>
      </c>
      <c r="AB757" s="188">
        <v>0</v>
      </c>
      <c r="AC757" s="188"/>
      <c r="AD757" s="189" t="s">
        <v>883</v>
      </c>
      <c r="AE757" s="190" t="s">
        <v>883</v>
      </c>
      <c r="AF757" s="180">
        <v>180</v>
      </c>
      <c r="AG757" s="183">
        <v>45125</v>
      </c>
      <c r="AH757" s="183">
        <v>42926</v>
      </c>
      <c r="AI757" s="183">
        <v>45076</v>
      </c>
      <c r="AJ757" s="183" t="s">
        <v>883</v>
      </c>
      <c r="AK757" s="174"/>
    </row>
    <row r="758" spans="1:37" x14ac:dyDescent="0.3">
      <c r="A758" s="173">
        <v>133042</v>
      </c>
      <c r="B758" s="174" t="s">
        <v>795</v>
      </c>
      <c r="C758" s="175" t="s">
        <v>31</v>
      </c>
      <c r="D758" s="176">
        <v>55.26</v>
      </c>
      <c r="E758" s="174"/>
      <c r="F758" s="174"/>
      <c r="G758" s="174" t="s">
        <v>883</v>
      </c>
      <c r="H758" s="177">
        <v>50</v>
      </c>
      <c r="I758" s="24">
        <v>103003</v>
      </c>
      <c r="J758" s="178">
        <v>55.26</v>
      </c>
      <c r="K758" s="177"/>
      <c r="L758" s="179">
        <v>0</v>
      </c>
      <c r="M758" s="180">
        <v>0</v>
      </c>
      <c r="N758" s="178">
        <v>0</v>
      </c>
      <c r="O758" s="181" t="s">
        <v>882</v>
      </c>
      <c r="P758" s="180">
        <v>0</v>
      </c>
      <c r="Q758" s="182">
        <v>0</v>
      </c>
      <c r="R758" s="183" t="s">
        <v>883</v>
      </c>
      <c r="S758" s="174" t="s">
        <v>1273</v>
      </c>
      <c r="T758" s="44">
        <v>1</v>
      </c>
      <c r="U758" s="184">
        <v>51</v>
      </c>
      <c r="V758" s="185">
        <v>17</v>
      </c>
      <c r="W758" s="186" t="s">
        <v>883</v>
      </c>
      <c r="X758" s="187" t="s">
        <v>883</v>
      </c>
      <c r="Y758" s="188">
        <v>0</v>
      </c>
      <c r="Z758" s="188" t="s">
        <v>883</v>
      </c>
      <c r="AA758" s="187" t="s">
        <v>883</v>
      </c>
      <c r="AB758" s="188">
        <v>0</v>
      </c>
      <c r="AC758" s="188"/>
      <c r="AD758" s="189" t="s">
        <v>883</v>
      </c>
      <c r="AE758" s="190" t="s">
        <v>883</v>
      </c>
      <c r="AF758" s="180">
        <v>0</v>
      </c>
      <c r="AG758" s="183">
        <v>43026</v>
      </c>
      <c r="AH758" s="183">
        <v>42930</v>
      </c>
      <c r="AI758" s="183">
        <v>42996</v>
      </c>
      <c r="AJ758" s="183" t="s">
        <v>883</v>
      </c>
      <c r="AK758" s="174"/>
    </row>
    <row r="759" spans="1:37" x14ac:dyDescent="0.3">
      <c r="A759" s="173">
        <v>133043</v>
      </c>
      <c r="B759" s="174" t="s">
        <v>456</v>
      </c>
      <c r="C759" s="175" t="s">
        <v>31</v>
      </c>
      <c r="D759" s="176">
        <v>42</v>
      </c>
      <c r="E759" s="174"/>
      <c r="F759" s="174"/>
      <c r="G759" s="174" t="s">
        <v>883</v>
      </c>
      <c r="H759" s="177">
        <v>25</v>
      </c>
      <c r="I759" s="24">
        <v>103003</v>
      </c>
      <c r="J759" s="178">
        <v>42</v>
      </c>
      <c r="K759" s="177"/>
      <c r="L759" s="179">
        <v>0</v>
      </c>
      <c r="M759" s="180">
        <v>0</v>
      </c>
      <c r="N759" s="178">
        <v>0</v>
      </c>
      <c r="O759" s="181" t="s">
        <v>882</v>
      </c>
      <c r="P759" s="180">
        <v>0</v>
      </c>
      <c r="Q759" s="182">
        <v>0</v>
      </c>
      <c r="R759" s="183" t="s">
        <v>883</v>
      </c>
      <c r="S759" s="174" t="s">
        <v>1273</v>
      </c>
      <c r="T759" s="44">
        <v>1</v>
      </c>
      <c r="U759" s="184">
        <v>51</v>
      </c>
      <c r="V759" s="185">
        <v>17</v>
      </c>
      <c r="W759" s="186" t="s">
        <v>883</v>
      </c>
      <c r="X759" s="187" t="s">
        <v>883</v>
      </c>
      <c r="Y759" s="188">
        <v>0</v>
      </c>
      <c r="Z759" s="188" t="s">
        <v>883</v>
      </c>
      <c r="AA759" s="187" t="s">
        <v>883</v>
      </c>
      <c r="AB759" s="188">
        <v>0</v>
      </c>
      <c r="AC759" s="188"/>
      <c r="AD759" s="189" t="s">
        <v>883</v>
      </c>
      <c r="AE759" s="190" t="s">
        <v>883</v>
      </c>
      <c r="AF759" s="180">
        <v>0</v>
      </c>
      <c r="AG759" s="183">
        <v>43026</v>
      </c>
      <c r="AH759" s="183">
        <v>42930</v>
      </c>
      <c r="AI759" s="183">
        <v>42996</v>
      </c>
      <c r="AJ759" s="183" t="s">
        <v>883</v>
      </c>
      <c r="AK759" s="174"/>
    </row>
    <row r="760" spans="1:37" x14ac:dyDescent="0.3">
      <c r="A760" s="173">
        <v>133191</v>
      </c>
      <c r="B760" s="174" t="s">
        <v>1839</v>
      </c>
      <c r="C760" s="175" t="s">
        <v>31</v>
      </c>
      <c r="D760" s="176">
        <v>7.0000000000000007E-2</v>
      </c>
      <c r="E760" s="174"/>
      <c r="F760" s="174"/>
      <c r="G760" s="174" t="s">
        <v>883</v>
      </c>
      <c r="H760" s="177">
        <v>185715</v>
      </c>
      <c r="I760" s="24">
        <v>103003</v>
      </c>
      <c r="J760" s="178">
        <v>7.0000000000000007E-2</v>
      </c>
      <c r="K760" s="177">
        <v>333877</v>
      </c>
      <c r="L760" s="179">
        <v>6.4189615394585626</v>
      </c>
      <c r="M760" s="180">
        <v>161472</v>
      </c>
      <c r="N760" s="178">
        <v>11303.04</v>
      </c>
      <c r="O760" s="181" t="s">
        <v>882</v>
      </c>
      <c r="P760" s="180">
        <v>0</v>
      </c>
      <c r="Q760" s="182">
        <v>0</v>
      </c>
      <c r="R760" s="183" t="s">
        <v>883</v>
      </c>
      <c r="S760" s="174" t="s">
        <v>892</v>
      </c>
      <c r="T760" s="44">
        <v>1</v>
      </c>
      <c r="U760" s="184">
        <v>72</v>
      </c>
      <c r="V760" s="185">
        <v>6</v>
      </c>
      <c r="W760" s="186" t="s">
        <v>883</v>
      </c>
      <c r="X760" s="187" t="s">
        <v>883</v>
      </c>
      <c r="Y760" s="188">
        <v>0</v>
      </c>
      <c r="Z760" s="188" t="s">
        <v>883</v>
      </c>
      <c r="AA760" s="187" t="s">
        <v>883</v>
      </c>
      <c r="AB760" s="188">
        <v>0</v>
      </c>
      <c r="AC760" s="188"/>
      <c r="AD760" s="189" t="s">
        <v>883</v>
      </c>
      <c r="AE760" s="190" t="s">
        <v>883</v>
      </c>
      <c r="AF760" s="180">
        <v>115730</v>
      </c>
      <c r="AG760" s="183">
        <v>43040</v>
      </c>
      <c r="AH760" s="183">
        <v>42968</v>
      </c>
      <c r="AI760" s="183">
        <v>43031</v>
      </c>
      <c r="AJ760" s="183" t="s">
        <v>883</v>
      </c>
      <c r="AK760" s="174"/>
    </row>
    <row r="761" spans="1:37" x14ac:dyDescent="0.3">
      <c r="A761" s="173">
        <v>133301</v>
      </c>
      <c r="B761" s="174" t="s">
        <v>1840</v>
      </c>
      <c r="C761" s="175" t="s">
        <v>256</v>
      </c>
      <c r="D761" s="176">
        <v>5.31</v>
      </c>
      <c r="E761" s="174"/>
      <c r="F761" s="174"/>
      <c r="G761" s="174" t="s">
        <v>883</v>
      </c>
      <c r="H761" s="177">
        <v>0</v>
      </c>
      <c r="I761" s="24">
        <v>103003</v>
      </c>
      <c r="J761" s="178">
        <v>5.31</v>
      </c>
      <c r="K761" s="177">
        <v>3092</v>
      </c>
      <c r="L761" s="179">
        <v>0</v>
      </c>
      <c r="M761" s="180">
        <v>0</v>
      </c>
      <c r="N761" s="178">
        <v>0</v>
      </c>
      <c r="O761" s="181" t="s">
        <v>882</v>
      </c>
      <c r="P761" s="180">
        <v>0</v>
      </c>
      <c r="Q761" s="182">
        <v>0</v>
      </c>
      <c r="R761" s="183" t="s">
        <v>883</v>
      </c>
      <c r="S761" s="174" t="s">
        <v>1073</v>
      </c>
      <c r="T761" s="44">
        <v>1</v>
      </c>
      <c r="U761" s="184">
        <v>55</v>
      </c>
      <c r="V761" s="185">
        <v>27</v>
      </c>
      <c r="W761" s="186">
        <v>2235</v>
      </c>
      <c r="X761" s="187">
        <v>2023</v>
      </c>
      <c r="Y761" s="188">
        <v>7000</v>
      </c>
      <c r="Z761" s="188" t="s">
        <v>883</v>
      </c>
      <c r="AA761" s="187" t="s">
        <v>883</v>
      </c>
      <c r="AB761" s="188">
        <v>0</v>
      </c>
      <c r="AC761" s="188"/>
      <c r="AD761" s="189" t="s">
        <v>883</v>
      </c>
      <c r="AE761" s="190" t="s">
        <v>883</v>
      </c>
      <c r="AF761" s="180">
        <v>1030</v>
      </c>
      <c r="AG761" s="183">
        <v>44629</v>
      </c>
      <c r="AH761" s="183">
        <v>42978</v>
      </c>
      <c r="AI761" s="183">
        <v>44917</v>
      </c>
      <c r="AJ761" s="183" t="s">
        <v>883</v>
      </c>
      <c r="AK761" s="174"/>
    </row>
    <row r="762" spans="1:37" x14ac:dyDescent="0.3">
      <c r="A762" s="173">
        <v>133366</v>
      </c>
      <c r="B762" s="174" t="s">
        <v>1841</v>
      </c>
      <c r="C762" s="175" t="s">
        <v>256</v>
      </c>
      <c r="D762" s="176">
        <v>0</v>
      </c>
      <c r="E762" s="174"/>
      <c r="F762" s="174"/>
      <c r="G762" s="174" t="s">
        <v>883</v>
      </c>
      <c r="H762" s="177">
        <v>28282</v>
      </c>
      <c r="I762" s="24">
        <v>103003</v>
      </c>
      <c r="J762" s="178">
        <v>0</v>
      </c>
      <c r="K762" s="177">
        <v>3010</v>
      </c>
      <c r="L762" s="179">
        <v>103.47199356089708</v>
      </c>
      <c r="M762" s="180">
        <v>0</v>
      </c>
      <c r="N762" s="178">
        <v>0</v>
      </c>
      <c r="O762" s="181" t="s">
        <v>882</v>
      </c>
      <c r="P762" s="180">
        <v>0</v>
      </c>
      <c r="Q762" s="182">
        <v>0</v>
      </c>
      <c r="R762" s="183" t="s">
        <v>883</v>
      </c>
      <c r="S762" s="174" t="s">
        <v>1016</v>
      </c>
      <c r="T762" s="44">
        <v>1</v>
      </c>
      <c r="U762" s="184">
        <v>67</v>
      </c>
      <c r="V762" s="185">
        <v>9</v>
      </c>
      <c r="W762" s="186" t="s">
        <v>883</v>
      </c>
      <c r="X762" s="187" t="s">
        <v>883</v>
      </c>
      <c r="Y762" s="188">
        <v>0</v>
      </c>
      <c r="Z762" s="188" t="s">
        <v>883</v>
      </c>
      <c r="AA762" s="187" t="s">
        <v>883</v>
      </c>
      <c r="AB762" s="188">
        <v>0</v>
      </c>
      <c r="AC762" s="188"/>
      <c r="AD762" s="189" t="s">
        <v>883</v>
      </c>
      <c r="AE762" s="190" t="s">
        <v>883</v>
      </c>
      <c r="AF762" s="180">
        <v>1094</v>
      </c>
      <c r="AG762" s="183" t="s">
        <v>883</v>
      </c>
      <c r="AH762" s="183">
        <v>42982</v>
      </c>
      <c r="AI762" s="183" t="s">
        <v>883</v>
      </c>
      <c r="AJ762" s="183" t="s">
        <v>883</v>
      </c>
      <c r="AK762" s="174"/>
    </row>
    <row r="763" spans="1:37" x14ac:dyDescent="0.3">
      <c r="A763" s="173">
        <v>133371</v>
      </c>
      <c r="B763" s="174" t="s">
        <v>1842</v>
      </c>
      <c r="C763" s="175" t="s">
        <v>400</v>
      </c>
      <c r="D763" s="176">
        <v>20.74</v>
      </c>
      <c r="E763" s="174"/>
      <c r="F763" s="174"/>
      <c r="G763" s="174" t="s">
        <v>883</v>
      </c>
      <c r="H763" s="177">
        <v>220</v>
      </c>
      <c r="I763" s="24">
        <v>103003</v>
      </c>
      <c r="J763" s="178">
        <v>20.74</v>
      </c>
      <c r="K763" s="177">
        <v>460</v>
      </c>
      <c r="L763" s="179">
        <v>5.2795776337892963</v>
      </c>
      <c r="M763" s="180">
        <v>80.040000000000006</v>
      </c>
      <c r="N763" s="178">
        <v>1660.0296000000001</v>
      </c>
      <c r="O763" s="181" t="s">
        <v>882</v>
      </c>
      <c r="P763" s="180">
        <v>0</v>
      </c>
      <c r="Q763" s="182">
        <v>0</v>
      </c>
      <c r="R763" s="183" t="s">
        <v>883</v>
      </c>
      <c r="S763" s="174" t="s">
        <v>1843</v>
      </c>
      <c r="T763" s="44">
        <v>1</v>
      </c>
      <c r="U763" s="184">
        <v>70</v>
      </c>
      <c r="V763" s="185">
        <v>33</v>
      </c>
      <c r="W763" s="186">
        <v>2701</v>
      </c>
      <c r="X763" s="187">
        <v>2023</v>
      </c>
      <c r="Y763" s="188">
        <v>200</v>
      </c>
      <c r="Z763" s="188" t="s">
        <v>883</v>
      </c>
      <c r="AA763" s="187" t="s">
        <v>883</v>
      </c>
      <c r="AB763" s="188">
        <v>0</v>
      </c>
      <c r="AC763" s="188"/>
      <c r="AD763" s="189" t="s">
        <v>883</v>
      </c>
      <c r="AE763" s="190" t="s">
        <v>883</v>
      </c>
      <c r="AF763" s="180">
        <v>166</v>
      </c>
      <c r="AG763" s="183">
        <v>44937</v>
      </c>
      <c r="AH763" s="183">
        <v>42983</v>
      </c>
      <c r="AI763" s="183">
        <v>44917</v>
      </c>
      <c r="AJ763" s="183" t="s">
        <v>883</v>
      </c>
      <c r="AK763" s="174"/>
    </row>
    <row r="764" spans="1:37" x14ac:dyDescent="0.3">
      <c r="A764" s="173">
        <v>133433</v>
      </c>
      <c r="B764" s="174" t="s">
        <v>1844</v>
      </c>
      <c r="C764" s="175" t="s">
        <v>281</v>
      </c>
      <c r="D764" s="176">
        <v>2072.5</v>
      </c>
      <c r="E764" s="174"/>
      <c r="F764" s="174"/>
      <c r="G764" s="174" t="s">
        <v>883</v>
      </c>
      <c r="H764" s="177">
        <v>153</v>
      </c>
      <c r="I764" s="24">
        <v>103003</v>
      </c>
      <c r="J764" s="178">
        <v>1956.61826</v>
      </c>
      <c r="K764" s="177">
        <v>12</v>
      </c>
      <c r="L764" s="179">
        <v>153</v>
      </c>
      <c r="M764" s="180">
        <v>0</v>
      </c>
      <c r="N764" s="178">
        <v>0</v>
      </c>
      <c r="O764" s="181" t="s">
        <v>882</v>
      </c>
      <c r="P764" s="180">
        <v>0</v>
      </c>
      <c r="Q764" s="182">
        <v>0</v>
      </c>
      <c r="R764" s="183" t="s">
        <v>883</v>
      </c>
      <c r="S764" s="174" t="s">
        <v>1323</v>
      </c>
      <c r="T764" s="44">
        <v>1</v>
      </c>
      <c r="U764" s="184">
        <v>51</v>
      </c>
      <c r="V764" s="185">
        <v>30</v>
      </c>
      <c r="W764" s="186" t="s">
        <v>883</v>
      </c>
      <c r="X764" s="187" t="s">
        <v>883</v>
      </c>
      <c r="Y764" s="188">
        <v>0</v>
      </c>
      <c r="Z764" s="188" t="s">
        <v>883</v>
      </c>
      <c r="AA764" s="187" t="s">
        <v>883</v>
      </c>
      <c r="AB764" s="188">
        <v>0</v>
      </c>
      <c r="AC764" s="188"/>
      <c r="AD764" s="189" t="s">
        <v>883</v>
      </c>
      <c r="AE764" s="190" t="s">
        <v>883</v>
      </c>
      <c r="AF764" s="180">
        <v>4</v>
      </c>
      <c r="AG764" s="183">
        <v>44579</v>
      </c>
      <c r="AH764" s="183">
        <v>42996</v>
      </c>
      <c r="AI764" s="183">
        <v>44544</v>
      </c>
      <c r="AJ764" s="183" t="s">
        <v>883</v>
      </c>
      <c r="AK764" s="174"/>
    </row>
    <row r="765" spans="1:37" x14ac:dyDescent="0.3">
      <c r="A765" s="173">
        <v>133450</v>
      </c>
      <c r="B765" s="174" t="s">
        <v>1845</v>
      </c>
      <c r="C765" s="175" t="s">
        <v>31</v>
      </c>
      <c r="D765" s="176">
        <v>4.38</v>
      </c>
      <c r="E765" s="174"/>
      <c r="F765" s="174"/>
      <c r="G765" s="174" t="s">
        <v>883</v>
      </c>
      <c r="H765" s="177">
        <v>3179</v>
      </c>
      <c r="I765" s="24">
        <v>103003</v>
      </c>
      <c r="J765" s="178">
        <v>4.38</v>
      </c>
      <c r="K765" s="177">
        <v>434</v>
      </c>
      <c r="L765" s="179">
        <v>56.017621145374449</v>
      </c>
      <c r="M765" s="180">
        <v>0</v>
      </c>
      <c r="N765" s="178">
        <v>0</v>
      </c>
      <c r="O765" s="181" t="s">
        <v>882</v>
      </c>
      <c r="P765" s="180">
        <v>0</v>
      </c>
      <c r="Q765" s="182">
        <v>0</v>
      </c>
      <c r="R765" s="183" t="s">
        <v>883</v>
      </c>
      <c r="S765" s="174" t="s">
        <v>935</v>
      </c>
      <c r="T765" s="44">
        <v>1</v>
      </c>
      <c r="U765" s="184">
        <v>45</v>
      </c>
      <c r="V765" s="185">
        <v>11</v>
      </c>
      <c r="W765" s="186" t="s">
        <v>883</v>
      </c>
      <c r="X765" s="187" t="s">
        <v>883</v>
      </c>
      <c r="Y765" s="188">
        <v>0</v>
      </c>
      <c r="Z765" s="188" t="s">
        <v>883</v>
      </c>
      <c r="AA765" s="187" t="s">
        <v>883</v>
      </c>
      <c r="AB765" s="188">
        <v>0</v>
      </c>
      <c r="AC765" s="188"/>
      <c r="AD765" s="189" t="s">
        <v>883</v>
      </c>
      <c r="AE765" s="190" t="s">
        <v>883</v>
      </c>
      <c r="AF765" s="180">
        <v>228</v>
      </c>
      <c r="AG765" s="183">
        <v>43626</v>
      </c>
      <c r="AH765" s="183">
        <v>42998</v>
      </c>
      <c r="AI765" s="183">
        <v>43607</v>
      </c>
      <c r="AJ765" s="183" t="s">
        <v>883</v>
      </c>
      <c r="AK765" s="174"/>
    </row>
    <row r="766" spans="1:37" x14ac:dyDescent="0.3">
      <c r="A766" s="173">
        <v>133451</v>
      </c>
      <c r="B766" s="174" t="s">
        <v>1846</v>
      </c>
      <c r="C766" s="175" t="s">
        <v>31</v>
      </c>
      <c r="D766" s="176">
        <v>6.5</v>
      </c>
      <c r="E766" s="174"/>
      <c r="F766" s="174"/>
      <c r="G766" s="174" t="s">
        <v>883</v>
      </c>
      <c r="H766" s="177">
        <v>2339</v>
      </c>
      <c r="I766" s="24">
        <v>103003</v>
      </c>
      <c r="J766" s="178">
        <v>6.5</v>
      </c>
      <c r="K766" s="177">
        <v>825</v>
      </c>
      <c r="L766" s="179">
        <v>24.512680779710752</v>
      </c>
      <c r="M766" s="180">
        <v>0</v>
      </c>
      <c r="N766" s="178">
        <v>0</v>
      </c>
      <c r="O766" s="181" t="s">
        <v>882</v>
      </c>
      <c r="P766" s="180">
        <v>0</v>
      </c>
      <c r="Q766" s="182">
        <v>0</v>
      </c>
      <c r="R766" s="183" t="s">
        <v>883</v>
      </c>
      <c r="S766" s="174" t="s">
        <v>935</v>
      </c>
      <c r="T766" s="44">
        <v>1</v>
      </c>
      <c r="U766" s="184">
        <v>45</v>
      </c>
      <c r="V766" s="185">
        <v>11</v>
      </c>
      <c r="W766" s="186" t="s">
        <v>883</v>
      </c>
      <c r="X766" s="187" t="s">
        <v>883</v>
      </c>
      <c r="Y766" s="188">
        <v>0</v>
      </c>
      <c r="Z766" s="188" t="s">
        <v>883</v>
      </c>
      <c r="AA766" s="187" t="s">
        <v>883</v>
      </c>
      <c r="AB766" s="188">
        <v>0</v>
      </c>
      <c r="AC766" s="188"/>
      <c r="AD766" s="189" t="s">
        <v>883</v>
      </c>
      <c r="AE766" s="190" t="s">
        <v>883</v>
      </c>
      <c r="AF766" s="180">
        <v>382</v>
      </c>
      <c r="AG766" s="183">
        <v>43622</v>
      </c>
      <c r="AH766" s="183">
        <v>42998</v>
      </c>
      <c r="AI766" s="183">
        <v>43607</v>
      </c>
      <c r="AJ766" s="183" t="s">
        <v>883</v>
      </c>
      <c r="AK766" s="174"/>
    </row>
    <row r="767" spans="1:37" x14ac:dyDescent="0.3">
      <c r="A767" s="173">
        <v>133788</v>
      </c>
      <c r="B767" s="174" t="s">
        <v>1847</v>
      </c>
      <c r="C767" s="175" t="s">
        <v>31</v>
      </c>
      <c r="D767" s="176">
        <v>1.3</v>
      </c>
      <c r="E767" s="174"/>
      <c r="F767" s="174"/>
      <c r="G767" s="174" t="s">
        <v>883</v>
      </c>
      <c r="H767" s="177">
        <v>636</v>
      </c>
      <c r="I767" s="24">
        <v>103003</v>
      </c>
      <c r="J767" s="178">
        <v>1.3</v>
      </c>
      <c r="K767" s="177">
        <v>1441</v>
      </c>
      <c r="L767" s="179">
        <v>0.74940789706246247</v>
      </c>
      <c r="M767" s="180">
        <v>9548.0400000000009</v>
      </c>
      <c r="N767" s="178">
        <v>12412.451999999999</v>
      </c>
      <c r="O767" s="181" t="s">
        <v>882</v>
      </c>
      <c r="P767" s="180">
        <v>0</v>
      </c>
      <c r="Q767" s="182">
        <v>0</v>
      </c>
      <c r="R767" s="183" t="s">
        <v>883</v>
      </c>
      <c r="S767" s="174" t="s">
        <v>1287</v>
      </c>
      <c r="T767" s="44">
        <v>1</v>
      </c>
      <c r="U767" s="184">
        <v>45</v>
      </c>
      <c r="V767" s="185">
        <v>16</v>
      </c>
      <c r="W767" s="186" t="s">
        <v>883</v>
      </c>
      <c r="X767" s="187" t="s">
        <v>883</v>
      </c>
      <c r="Y767" s="188">
        <v>0</v>
      </c>
      <c r="Z767" s="188" t="s">
        <v>883</v>
      </c>
      <c r="AA767" s="187" t="s">
        <v>883</v>
      </c>
      <c r="AB767" s="188">
        <v>0</v>
      </c>
      <c r="AC767" s="188"/>
      <c r="AD767" s="189" t="s">
        <v>883</v>
      </c>
      <c r="AE767" s="190" t="s">
        <v>883</v>
      </c>
      <c r="AF767" s="180">
        <v>3394</v>
      </c>
      <c r="AG767" s="183" t="s">
        <v>883</v>
      </c>
      <c r="AH767" s="183">
        <v>43038</v>
      </c>
      <c r="AI767" s="183">
        <v>44896</v>
      </c>
      <c r="AJ767" s="183" t="s">
        <v>883</v>
      </c>
      <c r="AK767" s="174"/>
    </row>
    <row r="768" spans="1:37" x14ac:dyDescent="0.3">
      <c r="A768" s="173">
        <v>133790</v>
      </c>
      <c r="B768" s="174" t="s">
        <v>1848</v>
      </c>
      <c r="C768" s="175" t="s">
        <v>31</v>
      </c>
      <c r="D768" s="176">
        <v>1.27</v>
      </c>
      <c r="E768" s="174"/>
      <c r="F768" s="174"/>
      <c r="G768" s="174" t="s">
        <v>883</v>
      </c>
      <c r="H768" s="177">
        <v>1754</v>
      </c>
      <c r="I768" s="24">
        <v>103003</v>
      </c>
      <c r="J768" s="178">
        <v>1.27</v>
      </c>
      <c r="K768" s="177">
        <v>848</v>
      </c>
      <c r="L768" s="179">
        <v>2.3329742095952546</v>
      </c>
      <c r="M768" s="180">
        <v>7267.96</v>
      </c>
      <c r="N768" s="178">
        <v>9230.3091999999997</v>
      </c>
      <c r="O768" s="181" t="s">
        <v>882</v>
      </c>
      <c r="P768" s="180">
        <v>0</v>
      </c>
      <c r="Q768" s="182">
        <v>0</v>
      </c>
      <c r="R768" s="183" t="s">
        <v>883</v>
      </c>
      <c r="S768" s="174" t="s">
        <v>1287</v>
      </c>
      <c r="T768" s="44">
        <v>1</v>
      </c>
      <c r="U768" s="184">
        <v>45</v>
      </c>
      <c r="V768" s="185">
        <v>16</v>
      </c>
      <c r="W768" s="186" t="s">
        <v>883</v>
      </c>
      <c r="X768" s="187" t="s">
        <v>883</v>
      </c>
      <c r="Y768" s="188">
        <v>0</v>
      </c>
      <c r="Z768" s="188" t="s">
        <v>883</v>
      </c>
      <c r="AA768" s="187" t="s">
        <v>883</v>
      </c>
      <c r="AB768" s="188">
        <v>0</v>
      </c>
      <c r="AC768" s="188"/>
      <c r="AD768" s="189" t="s">
        <v>883</v>
      </c>
      <c r="AE768" s="190" t="s">
        <v>883</v>
      </c>
      <c r="AF768" s="180">
        <v>3008</v>
      </c>
      <c r="AG768" s="183" t="s">
        <v>883</v>
      </c>
      <c r="AH768" s="183">
        <v>43038</v>
      </c>
      <c r="AI768" s="183">
        <v>44896</v>
      </c>
      <c r="AJ768" s="183" t="s">
        <v>883</v>
      </c>
      <c r="AK768" s="174"/>
    </row>
    <row r="769" spans="1:37" x14ac:dyDescent="0.3">
      <c r="A769" s="173">
        <v>133791</v>
      </c>
      <c r="B769" s="174" t="s">
        <v>1849</v>
      </c>
      <c r="C769" s="175" t="s">
        <v>31</v>
      </c>
      <c r="D769" s="176">
        <v>1.95</v>
      </c>
      <c r="E769" s="174"/>
      <c r="F769" s="174"/>
      <c r="G769" s="174" t="s">
        <v>883</v>
      </c>
      <c r="H769" s="177">
        <v>1640</v>
      </c>
      <c r="I769" s="24">
        <v>103003</v>
      </c>
      <c r="J769" s="178">
        <v>1.95</v>
      </c>
      <c r="K769" s="177">
        <v>550</v>
      </c>
      <c r="L769" s="179">
        <v>1.8506607084419471</v>
      </c>
      <c r="M769" s="180">
        <v>8994.0400000000009</v>
      </c>
      <c r="N769" s="178">
        <v>17538.378000000001</v>
      </c>
      <c r="O769" s="181" t="s">
        <v>882</v>
      </c>
      <c r="P769" s="180">
        <v>0</v>
      </c>
      <c r="Q769" s="182">
        <v>0</v>
      </c>
      <c r="R769" s="183" t="s">
        <v>883</v>
      </c>
      <c r="S769" s="174" t="s">
        <v>1287</v>
      </c>
      <c r="T769" s="44">
        <v>1</v>
      </c>
      <c r="U769" s="184">
        <v>45</v>
      </c>
      <c r="V769" s="185">
        <v>16</v>
      </c>
      <c r="W769" s="186" t="s">
        <v>883</v>
      </c>
      <c r="X769" s="187" t="s">
        <v>883</v>
      </c>
      <c r="Y769" s="188">
        <v>0</v>
      </c>
      <c r="Z769" s="188" t="s">
        <v>883</v>
      </c>
      <c r="AA769" s="187" t="s">
        <v>883</v>
      </c>
      <c r="AB769" s="188">
        <v>0</v>
      </c>
      <c r="AC769" s="188"/>
      <c r="AD769" s="189" t="s">
        <v>883</v>
      </c>
      <c r="AE769" s="190" t="s">
        <v>883</v>
      </c>
      <c r="AF769" s="180">
        <v>3544</v>
      </c>
      <c r="AG769" s="183" t="s">
        <v>883</v>
      </c>
      <c r="AH769" s="183">
        <v>43038</v>
      </c>
      <c r="AI769" s="183">
        <v>44938</v>
      </c>
      <c r="AJ769" s="183" t="s">
        <v>883</v>
      </c>
      <c r="AK769" s="174"/>
    </row>
    <row r="770" spans="1:37" x14ac:dyDescent="0.3">
      <c r="A770" s="173">
        <v>133819</v>
      </c>
      <c r="B770" s="174" t="s">
        <v>1850</v>
      </c>
      <c r="C770" s="175" t="s">
        <v>256</v>
      </c>
      <c r="D770" s="176">
        <v>0.81</v>
      </c>
      <c r="E770" s="174"/>
      <c r="F770" s="174"/>
      <c r="G770" s="174" t="s">
        <v>883</v>
      </c>
      <c r="H770" s="177">
        <v>128</v>
      </c>
      <c r="I770" s="24">
        <v>103003</v>
      </c>
      <c r="J770" s="178">
        <v>0.81</v>
      </c>
      <c r="K770" s="177">
        <v>314</v>
      </c>
      <c r="L770" s="179">
        <v>3.4991798797156921</v>
      </c>
      <c r="M770" s="180">
        <v>0</v>
      </c>
      <c r="N770" s="178">
        <v>0</v>
      </c>
      <c r="O770" s="181" t="s">
        <v>882</v>
      </c>
      <c r="P770" s="180">
        <v>0</v>
      </c>
      <c r="Q770" s="182">
        <v>0</v>
      </c>
      <c r="R770" s="183" t="s">
        <v>883</v>
      </c>
      <c r="S770" s="174" t="s">
        <v>1001</v>
      </c>
      <c r="T770" s="44">
        <v>1</v>
      </c>
      <c r="U770" s="184">
        <v>61</v>
      </c>
      <c r="V770" s="185">
        <v>11</v>
      </c>
      <c r="W770" s="186">
        <v>2453</v>
      </c>
      <c r="X770" s="187">
        <v>2023</v>
      </c>
      <c r="Y770" s="188">
        <v>400</v>
      </c>
      <c r="Z770" s="188" t="s">
        <v>883</v>
      </c>
      <c r="AA770" s="187" t="s">
        <v>883</v>
      </c>
      <c r="AB770" s="188">
        <v>0</v>
      </c>
      <c r="AC770" s="188"/>
      <c r="AD770" s="189" t="s">
        <v>883</v>
      </c>
      <c r="AE770" s="190" t="s">
        <v>883</v>
      </c>
      <c r="AF770" s="180">
        <v>146</v>
      </c>
      <c r="AG770" s="183">
        <v>43427</v>
      </c>
      <c r="AH770" s="183">
        <v>43052</v>
      </c>
      <c r="AI770" s="183">
        <v>43672</v>
      </c>
      <c r="AJ770" s="183" t="s">
        <v>883</v>
      </c>
      <c r="AK770" s="174"/>
    </row>
    <row r="771" spans="1:37" x14ac:dyDescent="0.3">
      <c r="A771" s="173">
        <v>133843</v>
      </c>
      <c r="B771" s="174" t="s">
        <v>1851</v>
      </c>
      <c r="C771" s="175" t="s">
        <v>569</v>
      </c>
      <c r="D771" s="176">
        <v>0.69</v>
      </c>
      <c r="E771" s="174"/>
      <c r="F771" s="174"/>
      <c r="G771" s="174" t="s">
        <v>883</v>
      </c>
      <c r="H771" s="177">
        <v>3547</v>
      </c>
      <c r="I771" s="24">
        <v>103003</v>
      </c>
      <c r="J771" s="178">
        <v>0.69</v>
      </c>
      <c r="K771" s="177">
        <v>10640</v>
      </c>
      <c r="L771" s="179">
        <v>2.3809363987246184</v>
      </c>
      <c r="M771" s="180">
        <v>12130</v>
      </c>
      <c r="N771" s="178">
        <v>8369.7000000000007</v>
      </c>
      <c r="O771" s="181" t="s">
        <v>882</v>
      </c>
      <c r="P771" s="180">
        <v>0</v>
      </c>
      <c r="Q771" s="182">
        <v>0</v>
      </c>
      <c r="R771" s="183" t="s">
        <v>883</v>
      </c>
      <c r="S771" s="174" t="s">
        <v>941</v>
      </c>
      <c r="T771" s="44">
        <v>1</v>
      </c>
      <c r="U771" s="184">
        <v>57</v>
      </c>
      <c r="V771" s="185">
        <v>16</v>
      </c>
      <c r="W771" s="186">
        <v>6985</v>
      </c>
      <c r="X771" s="187">
        <v>2023</v>
      </c>
      <c r="Y771" s="188">
        <v>2200</v>
      </c>
      <c r="Z771" s="188" t="s">
        <v>883</v>
      </c>
      <c r="AA771" s="187" t="s">
        <v>883</v>
      </c>
      <c r="AB771" s="188">
        <v>0</v>
      </c>
      <c r="AC771" s="188"/>
      <c r="AD771" s="189" t="s">
        <v>883</v>
      </c>
      <c r="AE771" s="190" t="s">
        <v>883</v>
      </c>
      <c r="AF771" s="180">
        <v>5960</v>
      </c>
      <c r="AG771" s="183">
        <v>44973</v>
      </c>
      <c r="AH771" s="183">
        <v>43074</v>
      </c>
      <c r="AI771" s="183">
        <v>44959</v>
      </c>
      <c r="AJ771" s="183" t="s">
        <v>883</v>
      </c>
      <c r="AK771" s="174"/>
    </row>
    <row r="772" spans="1:37" x14ac:dyDescent="0.3">
      <c r="A772" s="173">
        <v>133844</v>
      </c>
      <c r="B772" s="174" t="s">
        <v>1852</v>
      </c>
      <c r="C772" s="175" t="s">
        <v>569</v>
      </c>
      <c r="D772" s="176">
        <v>0.69</v>
      </c>
      <c r="E772" s="174"/>
      <c r="F772" s="174"/>
      <c r="G772" s="174" t="s">
        <v>883</v>
      </c>
      <c r="H772" s="177">
        <v>2047</v>
      </c>
      <c r="I772" s="24">
        <v>103003</v>
      </c>
      <c r="J772" s="178">
        <v>0.69</v>
      </c>
      <c r="K772" s="177">
        <v>11357</v>
      </c>
      <c r="L772" s="179">
        <v>1.2996825396825398</v>
      </c>
      <c r="M772" s="180">
        <v>12553</v>
      </c>
      <c r="N772" s="178">
        <v>8661.57</v>
      </c>
      <c r="O772" s="181" t="s">
        <v>882</v>
      </c>
      <c r="P772" s="180">
        <v>0</v>
      </c>
      <c r="Q772" s="182">
        <v>0</v>
      </c>
      <c r="R772" s="183" t="s">
        <v>883</v>
      </c>
      <c r="S772" s="174" t="s">
        <v>941</v>
      </c>
      <c r="T772" s="44">
        <v>1</v>
      </c>
      <c r="U772" s="184">
        <v>57</v>
      </c>
      <c r="V772" s="185">
        <v>16</v>
      </c>
      <c r="W772" s="186">
        <v>6985</v>
      </c>
      <c r="X772" s="187">
        <v>2023</v>
      </c>
      <c r="Y772" s="188">
        <v>4300</v>
      </c>
      <c r="Z772" s="188" t="s">
        <v>883</v>
      </c>
      <c r="AA772" s="187" t="s">
        <v>883</v>
      </c>
      <c r="AB772" s="188">
        <v>0</v>
      </c>
      <c r="AC772" s="188"/>
      <c r="AD772" s="189" t="s">
        <v>883</v>
      </c>
      <c r="AE772" s="190" t="s">
        <v>883</v>
      </c>
      <c r="AF772" s="180">
        <v>6300</v>
      </c>
      <c r="AG772" s="183">
        <v>44973</v>
      </c>
      <c r="AH772" s="183">
        <v>43074</v>
      </c>
      <c r="AI772" s="183">
        <v>44959</v>
      </c>
      <c r="AJ772" s="183" t="s">
        <v>883</v>
      </c>
      <c r="AK772" s="174"/>
    </row>
    <row r="773" spans="1:37" x14ac:dyDescent="0.3">
      <c r="A773" s="173">
        <v>133845</v>
      </c>
      <c r="B773" s="174" t="s">
        <v>1853</v>
      </c>
      <c r="C773" s="175" t="s">
        <v>569</v>
      </c>
      <c r="D773" s="176">
        <v>0.69</v>
      </c>
      <c r="E773" s="174"/>
      <c r="F773" s="174"/>
      <c r="G773" s="174" t="s">
        <v>883</v>
      </c>
      <c r="H773" s="177">
        <v>5647</v>
      </c>
      <c r="I773" s="24">
        <v>103003</v>
      </c>
      <c r="J773" s="178">
        <v>0.69</v>
      </c>
      <c r="K773" s="177">
        <v>10165</v>
      </c>
      <c r="L773" s="179">
        <v>4.0016440258792345</v>
      </c>
      <c r="M773" s="180">
        <v>10287.040000000001</v>
      </c>
      <c r="N773" s="178">
        <v>7098.0576000000001</v>
      </c>
      <c r="O773" s="181" t="s">
        <v>882</v>
      </c>
      <c r="P773" s="180">
        <v>0</v>
      </c>
      <c r="Q773" s="182">
        <v>0</v>
      </c>
      <c r="R773" s="183" t="s">
        <v>883</v>
      </c>
      <c r="S773" s="174" t="s">
        <v>941</v>
      </c>
      <c r="T773" s="44">
        <v>1</v>
      </c>
      <c r="U773" s="184">
        <v>57</v>
      </c>
      <c r="V773" s="185">
        <v>16</v>
      </c>
      <c r="W773" s="186">
        <v>6216</v>
      </c>
      <c r="X773" s="187">
        <v>2023</v>
      </c>
      <c r="Y773" s="188">
        <v>1000</v>
      </c>
      <c r="Z773" s="188" t="s">
        <v>883</v>
      </c>
      <c r="AA773" s="187" t="s">
        <v>883</v>
      </c>
      <c r="AB773" s="188">
        <v>0</v>
      </c>
      <c r="AC773" s="188"/>
      <c r="AD773" s="189" t="s">
        <v>883</v>
      </c>
      <c r="AE773" s="190" t="s">
        <v>883</v>
      </c>
      <c r="AF773" s="180">
        <v>5644</v>
      </c>
      <c r="AG773" s="183">
        <v>44973</v>
      </c>
      <c r="AH773" s="183">
        <v>43074</v>
      </c>
      <c r="AI773" s="183">
        <v>44959</v>
      </c>
      <c r="AJ773" s="183" t="s">
        <v>883</v>
      </c>
      <c r="AK773" s="174"/>
    </row>
    <row r="774" spans="1:37" x14ac:dyDescent="0.3">
      <c r="A774" s="173">
        <v>133846</v>
      </c>
      <c r="B774" s="174" t="s">
        <v>1854</v>
      </c>
      <c r="C774" s="175" t="s">
        <v>569</v>
      </c>
      <c r="D774" s="176">
        <v>0.53</v>
      </c>
      <c r="E774" s="174"/>
      <c r="F774" s="174"/>
      <c r="G774" s="174" t="s">
        <v>883</v>
      </c>
      <c r="H774" s="177">
        <v>293</v>
      </c>
      <c r="I774" s="24">
        <v>103003</v>
      </c>
      <c r="J774" s="178">
        <v>0.53</v>
      </c>
      <c r="K774" s="177">
        <v>8799</v>
      </c>
      <c r="L774" s="179">
        <v>0.23206450284338417</v>
      </c>
      <c r="M774" s="180">
        <v>10357.959999999999</v>
      </c>
      <c r="N774" s="178">
        <v>5489.7187999999996</v>
      </c>
      <c r="O774" s="181" t="s">
        <v>882</v>
      </c>
      <c r="P774" s="180">
        <v>0</v>
      </c>
      <c r="Q774" s="182">
        <v>0</v>
      </c>
      <c r="R774" s="183" t="s">
        <v>883</v>
      </c>
      <c r="S774" s="174" t="s">
        <v>941</v>
      </c>
      <c r="T774" s="44">
        <v>1</v>
      </c>
      <c r="U774" s="184">
        <v>57</v>
      </c>
      <c r="V774" s="185">
        <v>16</v>
      </c>
      <c r="W774" s="186">
        <v>6984</v>
      </c>
      <c r="X774" s="187">
        <v>2023</v>
      </c>
      <c r="Y774" s="188">
        <v>4500</v>
      </c>
      <c r="Z774" s="188" t="s">
        <v>883</v>
      </c>
      <c r="AA774" s="187" t="s">
        <v>883</v>
      </c>
      <c r="AB774" s="188">
        <v>0</v>
      </c>
      <c r="AC774" s="188"/>
      <c r="AD774" s="189" t="s">
        <v>883</v>
      </c>
      <c r="AE774" s="190" t="s">
        <v>883</v>
      </c>
      <c r="AF774" s="180">
        <v>5050</v>
      </c>
      <c r="AG774" s="183">
        <v>44441</v>
      </c>
      <c r="AH774" s="183">
        <v>43074</v>
      </c>
      <c r="AI774" s="183">
        <v>44412</v>
      </c>
      <c r="AJ774" s="183" t="s">
        <v>883</v>
      </c>
      <c r="AK774" s="174"/>
    </row>
    <row r="775" spans="1:37" x14ac:dyDescent="0.3">
      <c r="A775" s="173">
        <v>133847</v>
      </c>
      <c r="B775" s="174" t="s">
        <v>1855</v>
      </c>
      <c r="C775" s="175" t="s">
        <v>569</v>
      </c>
      <c r="D775" s="176">
        <v>0.69</v>
      </c>
      <c r="E775" s="174"/>
      <c r="F775" s="174"/>
      <c r="G775" s="174" t="s">
        <v>883</v>
      </c>
      <c r="H775" s="177">
        <v>0</v>
      </c>
      <c r="I775" s="24">
        <v>103003</v>
      </c>
      <c r="J775" s="178">
        <v>0.69</v>
      </c>
      <c r="K775" s="177">
        <v>12335</v>
      </c>
      <c r="L775" s="179">
        <v>0</v>
      </c>
      <c r="M775" s="180">
        <v>11493.04</v>
      </c>
      <c r="N775" s="178">
        <v>7930.1976000000004</v>
      </c>
      <c r="O775" s="181" t="s">
        <v>882</v>
      </c>
      <c r="P775" s="180">
        <v>0</v>
      </c>
      <c r="Q775" s="182">
        <v>0</v>
      </c>
      <c r="R775" s="183" t="s">
        <v>883</v>
      </c>
      <c r="S775" s="174" t="s">
        <v>941</v>
      </c>
      <c r="T775" s="44">
        <v>1</v>
      </c>
      <c r="U775" s="184">
        <v>57</v>
      </c>
      <c r="V775" s="185">
        <v>16</v>
      </c>
      <c r="W775" s="186">
        <v>6984</v>
      </c>
      <c r="X775" s="187">
        <v>2023</v>
      </c>
      <c r="Y775" s="188">
        <v>6500</v>
      </c>
      <c r="Z775" s="188" t="s">
        <v>883</v>
      </c>
      <c r="AA775" s="187" t="s">
        <v>883</v>
      </c>
      <c r="AB775" s="188">
        <v>0</v>
      </c>
      <c r="AC775" s="188"/>
      <c r="AD775" s="189" t="s">
        <v>883</v>
      </c>
      <c r="AE775" s="190" t="s">
        <v>883</v>
      </c>
      <c r="AF775" s="180">
        <v>5998</v>
      </c>
      <c r="AG775" s="183">
        <v>44970</v>
      </c>
      <c r="AH775" s="183">
        <v>43074</v>
      </c>
      <c r="AI775" s="183">
        <v>44910</v>
      </c>
      <c r="AJ775" s="183" t="s">
        <v>883</v>
      </c>
      <c r="AK775" s="174"/>
    </row>
    <row r="776" spans="1:37" x14ac:dyDescent="0.3">
      <c r="A776" s="173">
        <v>133848</v>
      </c>
      <c r="B776" s="174" t="s">
        <v>1856</v>
      </c>
      <c r="C776" s="175" t="s">
        <v>569</v>
      </c>
      <c r="D776" s="176">
        <v>0.53</v>
      </c>
      <c r="E776" s="174"/>
      <c r="F776" s="174"/>
      <c r="G776" s="174" t="s">
        <v>883</v>
      </c>
      <c r="H776" s="177">
        <v>0</v>
      </c>
      <c r="I776" s="24">
        <v>103003</v>
      </c>
      <c r="J776" s="178">
        <v>0.53</v>
      </c>
      <c r="K776" s="177">
        <v>9195</v>
      </c>
      <c r="L776" s="179">
        <v>0</v>
      </c>
      <c r="M776" s="180">
        <v>8761</v>
      </c>
      <c r="N776" s="178">
        <v>4643.33</v>
      </c>
      <c r="O776" s="181" t="s">
        <v>882</v>
      </c>
      <c r="P776" s="180">
        <v>0</v>
      </c>
      <c r="Q776" s="182">
        <v>0</v>
      </c>
      <c r="R776" s="183" t="s">
        <v>883</v>
      </c>
      <c r="S776" s="174" t="s">
        <v>941</v>
      </c>
      <c r="T776" s="44">
        <v>1</v>
      </c>
      <c r="U776" s="184">
        <v>57</v>
      </c>
      <c r="V776" s="185">
        <v>16</v>
      </c>
      <c r="W776" s="186">
        <v>6984</v>
      </c>
      <c r="X776" s="187">
        <v>2023</v>
      </c>
      <c r="Y776" s="188">
        <v>6200</v>
      </c>
      <c r="Z776" s="188" t="s">
        <v>883</v>
      </c>
      <c r="AA776" s="187" t="s">
        <v>883</v>
      </c>
      <c r="AB776" s="188">
        <v>0</v>
      </c>
      <c r="AC776" s="188"/>
      <c r="AD776" s="189" t="s">
        <v>883</v>
      </c>
      <c r="AE776" s="190" t="s">
        <v>883</v>
      </c>
      <c r="AF776" s="180">
        <v>4988</v>
      </c>
      <c r="AG776" s="183">
        <v>44441</v>
      </c>
      <c r="AH776" s="183">
        <v>43074</v>
      </c>
      <c r="AI776" s="183">
        <v>44412</v>
      </c>
      <c r="AJ776" s="183" t="s">
        <v>883</v>
      </c>
      <c r="AK776" s="174"/>
    </row>
    <row r="777" spans="1:37" x14ac:dyDescent="0.3">
      <c r="A777" s="173">
        <v>133849</v>
      </c>
      <c r="B777" s="174" t="s">
        <v>1857</v>
      </c>
      <c r="C777" s="175" t="s">
        <v>569</v>
      </c>
      <c r="D777" s="176">
        <v>0.69</v>
      </c>
      <c r="E777" s="174"/>
      <c r="F777" s="174"/>
      <c r="G777" s="174" t="s">
        <v>883</v>
      </c>
      <c r="H777" s="177">
        <v>5240</v>
      </c>
      <c r="I777" s="24">
        <v>103003</v>
      </c>
      <c r="J777" s="178">
        <v>0.69</v>
      </c>
      <c r="K777" s="177">
        <v>10565</v>
      </c>
      <c r="L777" s="179">
        <v>3.5571727265321642</v>
      </c>
      <c r="M777" s="180">
        <v>9936.9599999999991</v>
      </c>
      <c r="N777" s="178">
        <v>6856.5024000000003</v>
      </c>
      <c r="O777" s="181" t="s">
        <v>882</v>
      </c>
      <c r="P777" s="180">
        <v>0</v>
      </c>
      <c r="Q777" s="182">
        <v>0</v>
      </c>
      <c r="R777" s="183" t="s">
        <v>883</v>
      </c>
      <c r="S777" s="174" t="s">
        <v>941</v>
      </c>
      <c r="T777" s="44">
        <v>1</v>
      </c>
      <c r="U777" s="184">
        <v>57</v>
      </c>
      <c r="V777" s="185">
        <v>16</v>
      </c>
      <c r="W777" s="186">
        <v>6217</v>
      </c>
      <c r="X777" s="187">
        <v>2023</v>
      </c>
      <c r="Y777" s="188">
        <v>2500</v>
      </c>
      <c r="Z777" s="188" t="s">
        <v>883</v>
      </c>
      <c r="AA777" s="187" t="s">
        <v>883</v>
      </c>
      <c r="AB777" s="188">
        <v>0</v>
      </c>
      <c r="AC777" s="188"/>
      <c r="AD777" s="189" t="s">
        <v>883</v>
      </c>
      <c r="AE777" s="190" t="s">
        <v>883</v>
      </c>
      <c r="AF777" s="180">
        <v>5892</v>
      </c>
      <c r="AG777" s="183">
        <v>44973</v>
      </c>
      <c r="AH777" s="183">
        <v>43074</v>
      </c>
      <c r="AI777" s="183">
        <v>44959</v>
      </c>
      <c r="AJ777" s="183" t="s">
        <v>883</v>
      </c>
      <c r="AK777" s="174"/>
    </row>
    <row r="778" spans="1:37" x14ac:dyDescent="0.3">
      <c r="A778" s="173">
        <v>133850</v>
      </c>
      <c r="B778" s="174" t="s">
        <v>1858</v>
      </c>
      <c r="C778" s="175" t="s">
        <v>569</v>
      </c>
      <c r="D778" s="176">
        <v>0.69</v>
      </c>
      <c r="E778" s="174"/>
      <c r="F778" s="174"/>
      <c r="G778" s="174" t="s">
        <v>883</v>
      </c>
      <c r="H778" s="177">
        <v>99</v>
      </c>
      <c r="I778" s="24">
        <v>103003</v>
      </c>
      <c r="J778" s="178">
        <v>0.69</v>
      </c>
      <c r="K778" s="177">
        <v>10601</v>
      </c>
      <c r="L778" s="179">
        <v>6.7179219228185413E-2</v>
      </c>
      <c r="M778" s="180">
        <v>11885.04</v>
      </c>
      <c r="N778" s="178">
        <v>8200.6776000000009</v>
      </c>
      <c r="O778" s="181" t="s">
        <v>882</v>
      </c>
      <c r="P778" s="180">
        <v>0</v>
      </c>
      <c r="Q778" s="182">
        <v>0</v>
      </c>
      <c r="R778" s="183" t="s">
        <v>883</v>
      </c>
      <c r="S778" s="174" t="s">
        <v>941</v>
      </c>
      <c r="T778" s="44">
        <v>1</v>
      </c>
      <c r="U778" s="184">
        <v>57</v>
      </c>
      <c r="V778" s="185">
        <v>16</v>
      </c>
      <c r="W778" s="186">
        <v>6985</v>
      </c>
      <c r="X778" s="187">
        <v>2023</v>
      </c>
      <c r="Y778" s="188">
        <v>5700</v>
      </c>
      <c r="Z778" s="188" t="s">
        <v>883</v>
      </c>
      <c r="AA778" s="187" t="s">
        <v>883</v>
      </c>
      <c r="AB778" s="188">
        <v>0</v>
      </c>
      <c r="AC778" s="188"/>
      <c r="AD778" s="189" t="s">
        <v>883</v>
      </c>
      <c r="AE778" s="190" t="s">
        <v>883</v>
      </c>
      <c r="AF778" s="180">
        <v>5894</v>
      </c>
      <c r="AG778" s="183">
        <v>44928</v>
      </c>
      <c r="AH778" s="183">
        <v>43074</v>
      </c>
      <c r="AI778" s="183">
        <v>44910</v>
      </c>
      <c r="AJ778" s="183" t="s">
        <v>883</v>
      </c>
      <c r="AK778" s="174"/>
    </row>
    <row r="779" spans="1:37" x14ac:dyDescent="0.3">
      <c r="A779" s="173">
        <v>134246</v>
      </c>
      <c r="B779" s="174" t="s">
        <v>1859</v>
      </c>
      <c r="C779" s="175" t="s">
        <v>1860</v>
      </c>
      <c r="D779" s="176">
        <v>122.53</v>
      </c>
      <c r="E779" s="174" t="s">
        <v>1861</v>
      </c>
      <c r="F779" s="174" t="s">
        <v>1862</v>
      </c>
      <c r="G779" s="174" t="s">
        <v>1863</v>
      </c>
      <c r="H779" s="177">
        <v>53.91</v>
      </c>
      <c r="I779" s="24">
        <v>103003</v>
      </c>
      <c r="J779" s="178">
        <v>123.33355</v>
      </c>
      <c r="K779" s="177">
        <v>717.94</v>
      </c>
      <c r="L779" s="179">
        <v>0.56891093288307304</v>
      </c>
      <c r="M779" s="180">
        <v>1033.360004073</v>
      </c>
      <c r="N779" s="178">
        <v>126617.60129906469</v>
      </c>
      <c r="O779" s="181" t="s">
        <v>1864</v>
      </c>
      <c r="P779" s="180">
        <v>0</v>
      </c>
      <c r="Q779" s="182">
        <v>0</v>
      </c>
      <c r="R779" s="183">
        <v>45181</v>
      </c>
      <c r="S779" s="174" t="s">
        <v>1865</v>
      </c>
      <c r="T779" s="44">
        <v>1</v>
      </c>
      <c r="U779" s="184">
        <v>51</v>
      </c>
      <c r="V779" s="185">
        <v>2</v>
      </c>
      <c r="W779" s="186" t="s">
        <v>883</v>
      </c>
      <c r="X779" s="187" t="s">
        <v>883</v>
      </c>
      <c r="Y779" s="188">
        <v>0</v>
      </c>
      <c r="Z779" s="188">
        <v>4690</v>
      </c>
      <c r="AA779" s="187">
        <v>2023</v>
      </c>
      <c r="AB779" s="188">
        <v>49.849995927000002</v>
      </c>
      <c r="AC779" s="188">
        <v>400</v>
      </c>
      <c r="AD779" s="189" t="s">
        <v>2048</v>
      </c>
      <c r="AE779" s="190">
        <v>45054</v>
      </c>
      <c r="AF779" s="180">
        <v>380</v>
      </c>
      <c r="AG779" s="183">
        <v>45140</v>
      </c>
      <c r="AH779" s="183">
        <v>43138</v>
      </c>
      <c r="AI779" s="183">
        <v>45075</v>
      </c>
      <c r="AJ779" s="183" t="s">
        <v>883</v>
      </c>
      <c r="AK779" s="174"/>
    </row>
    <row r="780" spans="1:37" x14ac:dyDescent="0.3">
      <c r="A780" s="173">
        <v>134247</v>
      </c>
      <c r="B780" s="174" t="s">
        <v>1866</v>
      </c>
      <c r="C780" s="175" t="s">
        <v>1860</v>
      </c>
      <c r="D780" s="176">
        <v>109.73</v>
      </c>
      <c r="E780" s="174"/>
      <c r="F780" s="174" t="s">
        <v>1862</v>
      </c>
      <c r="G780" s="174" t="s">
        <v>1867</v>
      </c>
      <c r="H780" s="177">
        <v>117.39</v>
      </c>
      <c r="I780" s="24">
        <v>103003</v>
      </c>
      <c r="J780" s="178">
        <v>133.28201999999999</v>
      </c>
      <c r="K780" s="177">
        <v>310.95999999999998</v>
      </c>
      <c r="L780" s="179">
        <v>3.1856173677069202</v>
      </c>
      <c r="M780" s="180">
        <v>263.13004829900001</v>
      </c>
      <c r="N780" s="178">
        <v>28873.260199849268</v>
      </c>
      <c r="O780" s="181" t="s">
        <v>1868</v>
      </c>
      <c r="P780" s="180">
        <v>0</v>
      </c>
      <c r="Q780" s="182">
        <v>0</v>
      </c>
      <c r="R780" s="183">
        <v>45173</v>
      </c>
      <c r="S780" s="174" t="s">
        <v>1865</v>
      </c>
      <c r="T780" s="44">
        <v>1</v>
      </c>
      <c r="U780" s="184">
        <v>51</v>
      </c>
      <c r="V780" s="185">
        <v>2</v>
      </c>
      <c r="W780" s="186" t="s">
        <v>883</v>
      </c>
      <c r="X780" s="187" t="s">
        <v>883</v>
      </c>
      <c r="Y780" s="188">
        <v>0</v>
      </c>
      <c r="Z780" s="188">
        <v>4827</v>
      </c>
      <c r="AA780" s="187">
        <v>2023</v>
      </c>
      <c r="AB780" s="188">
        <v>61.679951701</v>
      </c>
      <c r="AC780" s="188">
        <v>200</v>
      </c>
      <c r="AD780" s="189" t="s">
        <v>2048</v>
      </c>
      <c r="AE780" s="190">
        <v>45072</v>
      </c>
      <c r="AF780" s="180">
        <v>148</v>
      </c>
      <c r="AG780" s="183">
        <v>45098</v>
      </c>
      <c r="AH780" s="183">
        <v>43138</v>
      </c>
      <c r="AI780" s="183">
        <v>45072</v>
      </c>
      <c r="AJ780" s="183" t="s">
        <v>883</v>
      </c>
      <c r="AK780" s="174"/>
    </row>
    <row r="781" spans="1:37" x14ac:dyDescent="0.3">
      <c r="A781" s="173">
        <v>134373</v>
      </c>
      <c r="B781" s="174" t="s">
        <v>1869</v>
      </c>
      <c r="C781" s="175" t="s">
        <v>31</v>
      </c>
      <c r="D781" s="176">
        <v>18.88</v>
      </c>
      <c r="E781" s="174"/>
      <c r="F781" s="174"/>
      <c r="G781" s="174" t="s">
        <v>883</v>
      </c>
      <c r="H781" s="177">
        <v>898</v>
      </c>
      <c r="I781" s="24">
        <v>103003</v>
      </c>
      <c r="J781" s="178">
        <v>18.88</v>
      </c>
      <c r="K781" s="177">
        <v>4371</v>
      </c>
      <c r="L781" s="179">
        <v>1.7411536597188562</v>
      </c>
      <c r="M781" s="180">
        <v>2291</v>
      </c>
      <c r="N781" s="178">
        <v>43254.080000000002</v>
      </c>
      <c r="O781" s="181" t="s">
        <v>882</v>
      </c>
      <c r="P781" s="180">
        <v>0</v>
      </c>
      <c r="Q781" s="182">
        <v>0</v>
      </c>
      <c r="R781" s="183" t="s">
        <v>883</v>
      </c>
      <c r="S781" s="174" t="s">
        <v>1870</v>
      </c>
      <c r="T781" s="44">
        <v>1</v>
      </c>
      <c r="U781" s="184">
        <v>55</v>
      </c>
      <c r="V781" s="185">
        <v>66</v>
      </c>
      <c r="W781" s="186">
        <v>2376</v>
      </c>
      <c r="X781" s="187">
        <v>2023</v>
      </c>
      <c r="Y781" s="188">
        <v>3000</v>
      </c>
      <c r="Z781" s="188" t="s">
        <v>883</v>
      </c>
      <c r="AA781" s="187" t="s">
        <v>883</v>
      </c>
      <c r="AB781" s="188">
        <v>0</v>
      </c>
      <c r="AC781" s="188"/>
      <c r="AD781" s="189" t="s">
        <v>883</v>
      </c>
      <c r="AE781" s="190" t="s">
        <v>883</v>
      </c>
      <c r="AF781" s="180">
        <v>2064</v>
      </c>
      <c r="AG781" s="183">
        <v>44522</v>
      </c>
      <c r="AH781" s="183">
        <v>43154</v>
      </c>
      <c r="AI781" s="183">
        <v>44917</v>
      </c>
      <c r="AJ781" s="183" t="s">
        <v>883</v>
      </c>
      <c r="AK781" s="174"/>
    </row>
    <row r="782" spans="1:37" x14ac:dyDescent="0.3">
      <c r="A782" s="173">
        <v>134544</v>
      </c>
      <c r="B782" s="174" t="s">
        <v>1871</v>
      </c>
      <c r="C782" s="175" t="s">
        <v>629</v>
      </c>
      <c r="D782" s="176">
        <v>21.66</v>
      </c>
      <c r="E782" s="174"/>
      <c r="F782" s="174"/>
      <c r="G782" s="174" t="s">
        <v>883</v>
      </c>
      <c r="H782" s="177">
        <v>847.3</v>
      </c>
      <c r="I782" s="24">
        <v>103003</v>
      </c>
      <c r="J782" s="178">
        <v>21.66</v>
      </c>
      <c r="K782" s="177">
        <v>1179</v>
      </c>
      <c r="L782" s="179">
        <v>8.1604545892323976</v>
      </c>
      <c r="M782" s="180">
        <v>0</v>
      </c>
      <c r="N782" s="178">
        <v>0</v>
      </c>
      <c r="O782" s="181" t="s">
        <v>882</v>
      </c>
      <c r="P782" s="180">
        <v>0</v>
      </c>
      <c r="Q782" s="182">
        <v>0</v>
      </c>
      <c r="R782" s="183" t="s">
        <v>883</v>
      </c>
      <c r="S782" s="174" t="s">
        <v>1723</v>
      </c>
      <c r="T782" s="44">
        <v>1</v>
      </c>
      <c r="U782" s="184">
        <v>51</v>
      </c>
      <c r="V782" s="185">
        <v>21</v>
      </c>
      <c r="W782" s="186">
        <v>2668</v>
      </c>
      <c r="X782" s="187">
        <v>2023</v>
      </c>
      <c r="Y782" s="188">
        <v>2000</v>
      </c>
      <c r="Z782" s="188" t="s">
        <v>883</v>
      </c>
      <c r="AA782" s="187" t="s">
        <v>883</v>
      </c>
      <c r="AB782" s="188">
        <v>0</v>
      </c>
      <c r="AC782" s="188"/>
      <c r="AD782" s="189" t="s">
        <v>883</v>
      </c>
      <c r="AE782" s="190" t="s">
        <v>883</v>
      </c>
      <c r="AF782" s="180">
        <v>416</v>
      </c>
      <c r="AG782" s="183">
        <v>44365</v>
      </c>
      <c r="AH782" s="183">
        <v>43172</v>
      </c>
      <c r="AI782" s="183">
        <v>44357</v>
      </c>
      <c r="AJ782" s="183" t="s">
        <v>883</v>
      </c>
      <c r="AK782" s="174"/>
    </row>
    <row r="783" spans="1:37" x14ac:dyDescent="0.3">
      <c r="A783" s="173">
        <v>134545</v>
      </c>
      <c r="B783" s="174" t="s">
        <v>1872</v>
      </c>
      <c r="C783" s="175" t="s">
        <v>629</v>
      </c>
      <c r="D783" s="176">
        <v>32</v>
      </c>
      <c r="E783" s="174"/>
      <c r="F783" s="174"/>
      <c r="G783" s="174" t="s">
        <v>883</v>
      </c>
      <c r="H783" s="177">
        <v>894.81</v>
      </c>
      <c r="I783" s="24">
        <v>103003</v>
      </c>
      <c r="J783" s="178">
        <v>32</v>
      </c>
      <c r="K783" s="177">
        <v>43</v>
      </c>
      <c r="L783" s="179">
        <v>249.94692737430165</v>
      </c>
      <c r="M783" s="180">
        <v>0</v>
      </c>
      <c r="N783" s="178">
        <v>0</v>
      </c>
      <c r="O783" s="181" t="s">
        <v>882</v>
      </c>
      <c r="P783" s="180">
        <v>0</v>
      </c>
      <c r="Q783" s="182">
        <v>0</v>
      </c>
      <c r="R783" s="183" t="s">
        <v>883</v>
      </c>
      <c r="S783" s="174" t="s">
        <v>1305</v>
      </c>
      <c r="T783" s="44">
        <v>1</v>
      </c>
      <c r="U783" s="184">
        <v>51</v>
      </c>
      <c r="V783" s="185">
        <v>19</v>
      </c>
      <c r="W783" s="186" t="s">
        <v>883</v>
      </c>
      <c r="X783" s="187" t="s">
        <v>883</v>
      </c>
      <c r="Y783" s="188">
        <v>0</v>
      </c>
      <c r="Z783" s="188" t="s">
        <v>883</v>
      </c>
      <c r="AA783" s="187" t="s">
        <v>883</v>
      </c>
      <c r="AB783" s="188">
        <v>0</v>
      </c>
      <c r="AC783" s="188"/>
      <c r="AD783" s="189" t="s">
        <v>883</v>
      </c>
      <c r="AE783" s="190" t="s">
        <v>883</v>
      </c>
      <c r="AF783" s="180">
        <v>14</v>
      </c>
      <c r="AG783" s="183">
        <v>43731</v>
      </c>
      <c r="AH783" s="183">
        <v>43172</v>
      </c>
      <c r="AI783" s="183">
        <v>43720</v>
      </c>
      <c r="AJ783" s="183" t="s">
        <v>883</v>
      </c>
      <c r="AK783" s="174"/>
    </row>
    <row r="784" spans="1:37" x14ac:dyDescent="0.3">
      <c r="A784" s="173">
        <v>134546</v>
      </c>
      <c r="B784" s="174" t="s">
        <v>1873</v>
      </c>
      <c r="C784" s="175" t="s">
        <v>629</v>
      </c>
      <c r="D784" s="176">
        <v>41.78</v>
      </c>
      <c r="E784" s="174"/>
      <c r="F784" s="174"/>
      <c r="G784" s="174" t="s">
        <v>883</v>
      </c>
      <c r="H784" s="177">
        <v>977.5</v>
      </c>
      <c r="I784" s="24">
        <v>103003</v>
      </c>
      <c r="J784" s="178">
        <v>41.78</v>
      </c>
      <c r="K784" s="177">
        <v>435</v>
      </c>
      <c r="L784" s="179">
        <v>26.598639455782312</v>
      </c>
      <c r="M784" s="180">
        <v>0</v>
      </c>
      <c r="N784" s="178">
        <v>0</v>
      </c>
      <c r="O784" s="181" t="s">
        <v>882</v>
      </c>
      <c r="P784" s="180">
        <v>0</v>
      </c>
      <c r="Q784" s="182">
        <v>0</v>
      </c>
      <c r="R784" s="183" t="s">
        <v>883</v>
      </c>
      <c r="S784" s="174" t="s">
        <v>1305</v>
      </c>
      <c r="T784" s="44">
        <v>1</v>
      </c>
      <c r="U784" s="184">
        <v>51</v>
      </c>
      <c r="V784" s="185">
        <v>19</v>
      </c>
      <c r="W784" s="186">
        <v>2994</v>
      </c>
      <c r="X784" s="187">
        <v>2023</v>
      </c>
      <c r="Y784" s="188">
        <v>500</v>
      </c>
      <c r="Z784" s="188" t="s">
        <v>883</v>
      </c>
      <c r="AA784" s="187" t="s">
        <v>883</v>
      </c>
      <c r="AB784" s="188">
        <v>0</v>
      </c>
      <c r="AC784" s="188"/>
      <c r="AD784" s="189" t="s">
        <v>883</v>
      </c>
      <c r="AE784" s="190" t="s">
        <v>883</v>
      </c>
      <c r="AF784" s="180">
        <v>148</v>
      </c>
      <c r="AG784" s="183">
        <v>44722</v>
      </c>
      <c r="AH784" s="183">
        <v>43172</v>
      </c>
      <c r="AI784" s="183">
        <v>44713</v>
      </c>
      <c r="AJ784" s="183" t="s">
        <v>883</v>
      </c>
      <c r="AK784" s="174"/>
    </row>
    <row r="785" spans="1:37" x14ac:dyDescent="0.3">
      <c r="A785" s="173">
        <v>134547</v>
      </c>
      <c r="B785" s="174" t="s">
        <v>1874</v>
      </c>
      <c r="C785" s="175" t="s">
        <v>629</v>
      </c>
      <c r="D785" s="176">
        <v>42.44</v>
      </c>
      <c r="E785" s="174"/>
      <c r="F785" s="174"/>
      <c r="G785" s="174" t="s">
        <v>883</v>
      </c>
      <c r="H785" s="177">
        <v>1160.44</v>
      </c>
      <c r="I785" s="24">
        <v>103003</v>
      </c>
      <c r="J785" s="178">
        <v>42.44</v>
      </c>
      <c r="K785" s="177">
        <v>433</v>
      </c>
      <c r="L785" s="179">
        <v>29.693961105424769</v>
      </c>
      <c r="M785" s="180">
        <v>0</v>
      </c>
      <c r="N785" s="178">
        <v>0</v>
      </c>
      <c r="O785" s="181" t="s">
        <v>882</v>
      </c>
      <c r="P785" s="180">
        <v>0</v>
      </c>
      <c r="Q785" s="182">
        <v>0</v>
      </c>
      <c r="R785" s="183" t="s">
        <v>883</v>
      </c>
      <c r="S785" s="174" t="s">
        <v>1305</v>
      </c>
      <c r="T785" s="44">
        <v>1</v>
      </c>
      <c r="U785" s="184">
        <v>51</v>
      </c>
      <c r="V785" s="185">
        <v>19</v>
      </c>
      <c r="W785" s="186">
        <v>2994</v>
      </c>
      <c r="X785" s="187">
        <v>2023</v>
      </c>
      <c r="Y785" s="188">
        <v>400</v>
      </c>
      <c r="Z785" s="188" t="s">
        <v>883</v>
      </c>
      <c r="AA785" s="187" t="s">
        <v>883</v>
      </c>
      <c r="AB785" s="188">
        <v>0</v>
      </c>
      <c r="AC785" s="188"/>
      <c r="AD785" s="189" t="s">
        <v>883</v>
      </c>
      <c r="AE785" s="190" t="s">
        <v>883</v>
      </c>
      <c r="AF785" s="180">
        <v>156</v>
      </c>
      <c r="AG785" s="183">
        <v>44740</v>
      </c>
      <c r="AH785" s="183">
        <v>43172</v>
      </c>
      <c r="AI785" s="183">
        <v>44713</v>
      </c>
      <c r="AJ785" s="183" t="s">
        <v>883</v>
      </c>
      <c r="AK785" s="174"/>
    </row>
    <row r="786" spans="1:37" x14ac:dyDescent="0.3">
      <c r="A786" s="173">
        <v>134548</v>
      </c>
      <c r="B786" s="174" t="s">
        <v>1875</v>
      </c>
      <c r="C786" s="175" t="s">
        <v>629</v>
      </c>
      <c r="D786" s="176">
        <v>39.21</v>
      </c>
      <c r="E786" s="174"/>
      <c r="F786" s="174"/>
      <c r="G786" s="174" t="s">
        <v>883</v>
      </c>
      <c r="H786" s="177">
        <v>2397.1799999999998</v>
      </c>
      <c r="I786" s="24">
        <v>103003</v>
      </c>
      <c r="J786" s="178">
        <v>39.21</v>
      </c>
      <c r="K786" s="177">
        <v>1097.5</v>
      </c>
      <c r="L786" s="179">
        <v>25.356251322191664</v>
      </c>
      <c r="M786" s="180">
        <v>0</v>
      </c>
      <c r="N786" s="178">
        <v>0</v>
      </c>
      <c r="O786" s="181" t="s">
        <v>882</v>
      </c>
      <c r="P786" s="180">
        <v>0</v>
      </c>
      <c r="Q786" s="182">
        <v>0</v>
      </c>
      <c r="R786" s="183" t="s">
        <v>883</v>
      </c>
      <c r="S786" s="174" t="s">
        <v>1305</v>
      </c>
      <c r="T786" s="44">
        <v>1</v>
      </c>
      <c r="U786" s="184">
        <v>51</v>
      </c>
      <c r="V786" s="185">
        <v>19</v>
      </c>
      <c r="W786" s="186">
        <v>2656</v>
      </c>
      <c r="X786" s="187">
        <v>2023</v>
      </c>
      <c r="Y786" s="188">
        <v>1000</v>
      </c>
      <c r="Z786" s="188" t="s">
        <v>883</v>
      </c>
      <c r="AA786" s="187" t="s">
        <v>883</v>
      </c>
      <c r="AB786" s="188">
        <v>0</v>
      </c>
      <c r="AC786" s="188"/>
      <c r="AD786" s="189" t="s">
        <v>883</v>
      </c>
      <c r="AE786" s="190" t="s">
        <v>883</v>
      </c>
      <c r="AF786" s="180">
        <v>378</v>
      </c>
      <c r="AG786" s="183">
        <v>44733</v>
      </c>
      <c r="AH786" s="183">
        <v>43172</v>
      </c>
      <c r="AI786" s="183">
        <v>44713</v>
      </c>
      <c r="AJ786" s="183" t="s">
        <v>883</v>
      </c>
      <c r="AK786" s="174"/>
    </row>
    <row r="787" spans="1:37" x14ac:dyDescent="0.3">
      <c r="A787" s="173">
        <v>134549</v>
      </c>
      <c r="B787" s="174" t="s">
        <v>1876</v>
      </c>
      <c r="C787" s="175" t="s">
        <v>629</v>
      </c>
      <c r="D787" s="176">
        <v>35.35</v>
      </c>
      <c r="E787" s="174"/>
      <c r="F787" s="174"/>
      <c r="G787" s="174" t="s">
        <v>883</v>
      </c>
      <c r="H787" s="177">
        <v>451.15</v>
      </c>
      <c r="I787" s="24">
        <v>103003</v>
      </c>
      <c r="J787" s="178">
        <v>35.35</v>
      </c>
      <c r="K787" s="177">
        <v>59</v>
      </c>
      <c r="L787" s="179">
        <v>91.697154471544707</v>
      </c>
      <c r="M787" s="180">
        <v>0</v>
      </c>
      <c r="N787" s="178">
        <v>0</v>
      </c>
      <c r="O787" s="181" t="s">
        <v>882</v>
      </c>
      <c r="P787" s="180">
        <v>0</v>
      </c>
      <c r="Q787" s="182">
        <v>0</v>
      </c>
      <c r="R787" s="183" t="s">
        <v>883</v>
      </c>
      <c r="S787" s="174" t="s">
        <v>1305</v>
      </c>
      <c r="T787" s="44">
        <v>1</v>
      </c>
      <c r="U787" s="184">
        <v>51</v>
      </c>
      <c r="V787" s="185">
        <v>19</v>
      </c>
      <c r="W787" s="186">
        <v>2656</v>
      </c>
      <c r="X787" s="187">
        <v>2023</v>
      </c>
      <c r="Y787" s="188">
        <v>1000</v>
      </c>
      <c r="Z787" s="188" t="s">
        <v>883</v>
      </c>
      <c r="AA787" s="187" t="s">
        <v>883</v>
      </c>
      <c r="AB787" s="188">
        <v>0</v>
      </c>
      <c r="AC787" s="188"/>
      <c r="AD787" s="189" t="s">
        <v>883</v>
      </c>
      <c r="AE787" s="190" t="s">
        <v>883</v>
      </c>
      <c r="AF787" s="180">
        <v>20</v>
      </c>
      <c r="AG787" s="183">
        <v>44526</v>
      </c>
      <c r="AH787" s="183">
        <v>43172</v>
      </c>
      <c r="AI787" s="183">
        <v>44474</v>
      </c>
      <c r="AJ787" s="183" t="s">
        <v>883</v>
      </c>
      <c r="AK787" s="174"/>
    </row>
    <row r="788" spans="1:37" x14ac:dyDescent="0.3">
      <c r="A788" s="173">
        <v>134556</v>
      </c>
      <c r="B788" s="174" t="s">
        <v>1877</v>
      </c>
      <c r="C788" s="175" t="s">
        <v>281</v>
      </c>
      <c r="D788" s="176">
        <v>165</v>
      </c>
      <c r="E788" s="174"/>
      <c r="F788" s="174"/>
      <c r="G788" s="174" t="s">
        <v>883</v>
      </c>
      <c r="H788" s="177">
        <v>0</v>
      </c>
      <c r="I788" s="24">
        <v>103003</v>
      </c>
      <c r="J788" s="178">
        <v>165</v>
      </c>
      <c r="K788" s="177">
        <v>183</v>
      </c>
      <c r="L788" s="179">
        <v>0</v>
      </c>
      <c r="M788" s="180">
        <v>0</v>
      </c>
      <c r="N788" s="178">
        <v>0</v>
      </c>
      <c r="O788" s="181" t="s">
        <v>882</v>
      </c>
      <c r="P788" s="180">
        <v>0</v>
      </c>
      <c r="Q788" s="182">
        <v>0</v>
      </c>
      <c r="R788" s="183" t="s">
        <v>883</v>
      </c>
      <c r="S788" s="174" t="s">
        <v>1422</v>
      </c>
      <c r="T788" s="44">
        <v>1</v>
      </c>
      <c r="U788" s="184">
        <v>74</v>
      </c>
      <c r="V788" s="185">
        <v>2</v>
      </c>
      <c r="W788" s="186">
        <v>2217</v>
      </c>
      <c r="X788" s="187">
        <v>2023</v>
      </c>
      <c r="Y788" s="188">
        <v>600</v>
      </c>
      <c r="Z788" s="188" t="s">
        <v>883</v>
      </c>
      <c r="AA788" s="187" t="s">
        <v>883</v>
      </c>
      <c r="AB788" s="188">
        <v>0</v>
      </c>
      <c r="AC788" s="188"/>
      <c r="AD788" s="189" t="s">
        <v>883</v>
      </c>
      <c r="AE788" s="190" t="s">
        <v>883</v>
      </c>
      <c r="AF788" s="180">
        <v>62</v>
      </c>
      <c r="AG788" s="183">
        <v>44854</v>
      </c>
      <c r="AH788" s="183">
        <v>43174</v>
      </c>
      <c r="AI788" s="183">
        <v>44852</v>
      </c>
      <c r="AJ788" s="183" t="s">
        <v>883</v>
      </c>
      <c r="AK788" s="174"/>
    </row>
    <row r="789" spans="1:37" x14ac:dyDescent="0.3">
      <c r="A789" s="173">
        <v>134558</v>
      </c>
      <c r="B789" s="174" t="s">
        <v>1878</v>
      </c>
      <c r="C789" s="175" t="s">
        <v>256</v>
      </c>
      <c r="D789" s="176">
        <v>0.25</v>
      </c>
      <c r="E789" s="174"/>
      <c r="F789" s="174"/>
      <c r="G789" s="174" t="s">
        <v>883</v>
      </c>
      <c r="H789" s="177">
        <v>17660</v>
      </c>
      <c r="I789" s="24">
        <v>103003</v>
      </c>
      <c r="J789" s="178">
        <v>0.25</v>
      </c>
      <c r="K789" s="177">
        <v>200</v>
      </c>
      <c r="L789" s="179">
        <v>1059.3881223755247</v>
      </c>
      <c r="M789" s="180">
        <v>0</v>
      </c>
      <c r="N789" s="178">
        <v>0</v>
      </c>
      <c r="O789" s="181" t="s">
        <v>882</v>
      </c>
      <c r="P789" s="180">
        <v>0</v>
      </c>
      <c r="Q789" s="182">
        <v>0</v>
      </c>
      <c r="R789" s="183" t="s">
        <v>883</v>
      </c>
      <c r="S789" s="174" t="s">
        <v>1879</v>
      </c>
      <c r="T789" s="44">
        <v>1</v>
      </c>
      <c r="U789" s="184">
        <v>70</v>
      </c>
      <c r="V789" s="185">
        <v>16</v>
      </c>
      <c r="W789" s="186" t="s">
        <v>883</v>
      </c>
      <c r="X789" s="187" t="s">
        <v>883</v>
      </c>
      <c r="Y789" s="188">
        <v>0</v>
      </c>
      <c r="Z789" s="188" t="s">
        <v>883</v>
      </c>
      <c r="AA789" s="187" t="s">
        <v>883</v>
      </c>
      <c r="AB789" s="188">
        <v>0</v>
      </c>
      <c r="AC789" s="188"/>
      <c r="AD789" s="189" t="s">
        <v>883</v>
      </c>
      <c r="AE789" s="190" t="s">
        <v>883</v>
      </c>
      <c r="AF789" s="180">
        <v>66</v>
      </c>
      <c r="AG789" s="183">
        <v>43689</v>
      </c>
      <c r="AH789" s="183">
        <v>43174</v>
      </c>
      <c r="AI789" s="183">
        <v>43683</v>
      </c>
      <c r="AJ789" s="183" t="s">
        <v>883</v>
      </c>
      <c r="AK789" s="174"/>
    </row>
    <row r="790" spans="1:37" x14ac:dyDescent="0.3">
      <c r="A790" s="173">
        <v>134559</v>
      </c>
      <c r="B790" s="174" t="s">
        <v>1880</v>
      </c>
      <c r="C790" s="175" t="s">
        <v>256</v>
      </c>
      <c r="D790" s="176">
        <v>0.6</v>
      </c>
      <c r="E790" s="174"/>
      <c r="F790" s="174"/>
      <c r="G790" s="174" t="s">
        <v>883</v>
      </c>
      <c r="H790" s="177">
        <v>15800</v>
      </c>
      <c r="I790" s="24">
        <v>103003</v>
      </c>
      <c r="J790" s="178">
        <v>0.20522000000000001</v>
      </c>
      <c r="K790" s="177">
        <v>1900</v>
      </c>
      <c r="L790" s="179">
        <v>99.791574559464408</v>
      </c>
      <c r="M790" s="180">
        <v>0</v>
      </c>
      <c r="N790" s="178">
        <v>0</v>
      </c>
      <c r="O790" s="181" t="s">
        <v>882</v>
      </c>
      <c r="P790" s="180">
        <v>0</v>
      </c>
      <c r="Q790" s="182">
        <v>0</v>
      </c>
      <c r="R790" s="183" t="s">
        <v>883</v>
      </c>
      <c r="S790" s="174" t="s">
        <v>1879</v>
      </c>
      <c r="T790" s="44">
        <v>1</v>
      </c>
      <c r="U790" s="184">
        <v>70</v>
      </c>
      <c r="V790" s="185">
        <v>16</v>
      </c>
      <c r="W790" s="186" t="s">
        <v>883</v>
      </c>
      <c r="X790" s="187" t="s">
        <v>883</v>
      </c>
      <c r="Y790" s="188">
        <v>0</v>
      </c>
      <c r="Z790" s="188" t="s">
        <v>883</v>
      </c>
      <c r="AA790" s="187" t="s">
        <v>883</v>
      </c>
      <c r="AB790" s="188">
        <v>0</v>
      </c>
      <c r="AC790" s="188"/>
      <c r="AD790" s="189" t="s">
        <v>883</v>
      </c>
      <c r="AE790" s="190" t="s">
        <v>883</v>
      </c>
      <c r="AF790" s="180">
        <v>634</v>
      </c>
      <c r="AG790" s="183">
        <v>43641</v>
      </c>
      <c r="AH790" s="183">
        <v>43174</v>
      </c>
      <c r="AI790" s="183">
        <v>43619</v>
      </c>
      <c r="AJ790" s="183" t="s">
        <v>883</v>
      </c>
      <c r="AK790" s="174"/>
    </row>
    <row r="791" spans="1:37" x14ac:dyDescent="0.3">
      <c r="A791" s="173">
        <v>134560</v>
      </c>
      <c r="B791" s="174" t="s">
        <v>1881</v>
      </c>
      <c r="C791" s="175" t="s">
        <v>256</v>
      </c>
      <c r="D791" s="176">
        <v>7.08</v>
      </c>
      <c r="E791" s="174"/>
      <c r="F791" s="174"/>
      <c r="G791" s="174" t="s">
        <v>883</v>
      </c>
      <c r="H791" s="177">
        <v>0</v>
      </c>
      <c r="I791" s="24">
        <v>103003</v>
      </c>
      <c r="J791" s="178">
        <v>7.08</v>
      </c>
      <c r="K791" s="177">
        <v>470</v>
      </c>
      <c r="L791" s="179">
        <v>0</v>
      </c>
      <c r="M791" s="180">
        <v>372.04</v>
      </c>
      <c r="N791" s="178">
        <v>2634.0432000000001</v>
      </c>
      <c r="O791" s="181" t="s">
        <v>882</v>
      </c>
      <c r="P791" s="180">
        <v>0</v>
      </c>
      <c r="Q791" s="182">
        <v>0</v>
      </c>
      <c r="R791" s="183" t="s">
        <v>883</v>
      </c>
      <c r="S791" s="174" t="s">
        <v>1301</v>
      </c>
      <c r="T791" s="44">
        <v>1</v>
      </c>
      <c r="U791" s="184">
        <v>70</v>
      </c>
      <c r="V791" s="185">
        <v>30</v>
      </c>
      <c r="W791" s="186">
        <v>2699</v>
      </c>
      <c r="X791" s="187">
        <v>2023</v>
      </c>
      <c r="Y791" s="188">
        <v>200</v>
      </c>
      <c r="Z791" s="188" t="s">
        <v>883</v>
      </c>
      <c r="AA791" s="187" t="s">
        <v>883</v>
      </c>
      <c r="AB791" s="188">
        <v>0</v>
      </c>
      <c r="AC791" s="188"/>
      <c r="AD791" s="189" t="s">
        <v>883</v>
      </c>
      <c r="AE791" s="190" t="s">
        <v>883</v>
      </c>
      <c r="AF791" s="180">
        <v>190</v>
      </c>
      <c r="AG791" s="183">
        <v>44944</v>
      </c>
      <c r="AH791" s="183">
        <v>43174</v>
      </c>
      <c r="AI791" s="183">
        <v>44915</v>
      </c>
      <c r="AJ791" s="183" t="s">
        <v>883</v>
      </c>
      <c r="AK791" s="174"/>
    </row>
    <row r="792" spans="1:37" x14ac:dyDescent="0.3">
      <c r="A792" s="173">
        <v>134561</v>
      </c>
      <c r="B792" s="174" t="s">
        <v>1882</v>
      </c>
      <c r="C792" s="175" t="s">
        <v>413</v>
      </c>
      <c r="D792" s="176">
        <v>35</v>
      </c>
      <c r="E792" s="174"/>
      <c r="F792" s="174"/>
      <c r="G792" s="174" t="s">
        <v>883</v>
      </c>
      <c r="H792" s="177">
        <v>390</v>
      </c>
      <c r="I792" s="24">
        <v>103003</v>
      </c>
      <c r="J792" s="178">
        <v>35</v>
      </c>
      <c r="K792" s="177">
        <v>47</v>
      </c>
      <c r="L792" s="179">
        <v>99.489795918367335</v>
      </c>
      <c r="M792" s="180">
        <v>0</v>
      </c>
      <c r="N792" s="178">
        <v>0</v>
      </c>
      <c r="O792" s="181" t="s">
        <v>882</v>
      </c>
      <c r="P792" s="180">
        <v>0</v>
      </c>
      <c r="Q792" s="182">
        <v>0</v>
      </c>
      <c r="R792" s="183" t="s">
        <v>883</v>
      </c>
      <c r="S792" s="174" t="s">
        <v>1516</v>
      </c>
      <c r="T792" s="44">
        <v>1</v>
      </c>
      <c r="U792" s="184">
        <v>67</v>
      </c>
      <c r="V792" s="185">
        <v>3</v>
      </c>
      <c r="W792" s="186" t="s">
        <v>883</v>
      </c>
      <c r="X792" s="187" t="s">
        <v>883</v>
      </c>
      <c r="Y792" s="188">
        <v>0</v>
      </c>
      <c r="Z792" s="188" t="s">
        <v>883</v>
      </c>
      <c r="AA792" s="187" t="s">
        <v>883</v>
      </c>
      <c r="AB792" s="188">
        <v>0</v>
      </c>
      <c r="AC792" s="188"/>
      <c r="AD792" s="189" t="s">
        <v>883</v>
      </c>
      <c r="AE792" s="190" t="s">
        <v>883</v>
      </c>
      <c r="AF792" s="180">
        <v>16</v>
      </c>
      <c r="AG792" s="183">
        <v>43853</v>
      </c>
      <c r="AH792" s="183">
        <v>43174</v>
      </c>
      <c r="AI792" s="183">
        <v>44335</v>
      </c>
      <c r="AJ792" s="183" t="s">
        <v>883</v>
      </c>
      <c r="AK792" s="174"/>
    </row>
    <row r="793" spans="1:37" x14ac:dyDescent="0.3">
      <c r="A793" s="173">
        <v>134562</v>
      </c>
      <c r="B793" s="174" t="s">
        <v>1883</v>
      </c>
      <c r="C793" s="175" t="s">
        <v>413</v>
      </c>
      <c r="D793" s="176">
        <v>48.7</v>
      </c>
      <c r="E793" s="174"/>
      <c r="F793" s="174"/>
      <c r="G793" s="174" t="s">
        <v>883</v>
      </c>
      <c r="H793" s="177">
        <v>396</v>
      </c>
      <c r="I793" s="24">
        <v>103003</v>
      </c>
      <c r="J793" s="178">
        <v>48.7</v>
      </c>
      <c r="K793" s="177">
        <v>58</v>
      </c>
      <c r="L793" s="179">
        <v>81.987577639751549</v>
      </c>
      <c r="M793" s="180">
        <v>0</v>
      </c>
      <c r="N793" s="178">
        <v>0</v>
      </c>
      <c r="O793" s="181" t="s">
        <v>882</v>
      </c>
      <c r="P793" s="180">
        <v>0</v>
      </c>
      <c r="Q793" s="182">
        <v>0</v>
      </c>
      <c r="R793" s="183" t="s">
        <v>883</v>
      </c>
      <c r="S793" s="174" t="s">
        <v>1516</v>
      </c>
      <c r="T793" s="44">
        <v>1</v>
      </c>
      <c r="U793" s="184">
        <v>67</v>
      </c>
      <c r="V793" s="185">
        <v>3</v>
      </c>
      <c r="W793" s="186" t="s">
        <v>883</v>
      </c>
      <c r="X793" s="187" t="s">
        <v>883</v>
      </c>
      <c r="Y793" s="188">
        <v>0</v>
      </c>
      <c r="Z793" s="188" t="s">
        <v>883</v>
      </c>
      <c r="AA793" s="187" t="s">
        <v>883</v>
      </c>
      <c r="AB793" s="188">
        <v>0</v>
      </c>
      <c r="AC793" s="188"/>
      <c r="AD793" s="189" t="s">
        <v>883</v>
      </c>
      <c r="AE793" s="190" t="s">
        <v>883</v>
      </c>
      <c r="AF793" s="180">
        <v>20</v>
      </c>
      <c r="AG793" s="183">
        <v>43853</v>
      </c>
      <c r="AH793" s="183">
        <v>43174</v>
      </c>
      <c r="AI793" s="183">
        <v>44335</v>
      </c>
      <c r="AJ793" s="183" t="s">
        <v>883</v>
      </c>
      <c r="AK793" s="174"/>
    </row>
    <row r="794" spans="1:37" x14ac:dyDescent="0.3">
      <c r="A794" s="173">
        <v>134563</v>
      </c>
      <c r="B794" s="174" t="s">
        <v>1884</v>
      </c>
      <c r="C794" s="175" t="s">
        <v>413</v>
      </c>
      <c r="D794" s="176">
        <v>26.1</v>
      </c>
      <c r="E794" s="174"/>
      <c r="F794" s="174"/>
      <c r="G794" s="174" t="s">
        <v>883</v>
      </c>
      <c r="H794" s="177">
        <v>64</v>
      </c>
      <c r="I794" s="24">
        <v>103003</v>
      </c>
      <c r="J794" s="178">
        <v>26.1</v>
      </c>
      <c r="K794" s="177">
        <v>130</v>
      </c>
      <c r="L794" s="179">
        <v>5.2588331963845523</v>
      </c>
      <c r="M794" s="180">
        <v>0</v>
      </c>
      <c r="N794" s="178">
        <v>0</v>
      </c>
      <c r="O794" s="181" t="s">
        <v>882</v>
      </c>
      <c r="P794" s="180">
        <v>0</v>
      </c>
      <c r="Q794" s="182">
        <v>0</v>
      </c>
      <c r="R794" s="183" t="s">
        <v>883</v>
      </c>
      <c r="S794" s="174" t="s">
        <v>1516</v>
      </c>
      <c r="T794" s="44">
        <v>1</v>
      </c>
      <c r="U794" s="184">
        <v>67</v>
      </c>
      <c r="V794" s="185">
        <v>3</v>
      </c>
      <c r="W794" s="186">
        <v>2495</v>
      </c>
      <c r="X794" s="187">
        <v>2023</v>
      </c>
      <c r="Y794" s="188">
        <v>300</v>
      </c>
      <c r="Z794" s="188" t="s">
        <v>883</v>
      </c>
      <c r="AA794" s="187" t="s">
        <v>883</v>
      </c>
      <c r="AB794" s="188">
        <v>0</v>
      </c>
      <c r="AC794" s="188"/>
      <c r="AD794" s="189" t="s">
        <v>883</v>
      </c>
      <c r="AE794" s="190" t="s">
        <v>883</v>
      </c>
      <c r="AF794" s="180">
        <v>48</v>
      </c>
      <c r="AG794" s="183">
        <v>43853</v>
      </c>
      <c r="AH794" s="183">
        <v>43174</v>
      </c>
      <c r="AI794" s="183">
        <v>44291</v>
      </c>
      <c r="AJ794" s="183" t="s">
        <v>883</v>
      </c>
      <c r="AK794" s="174"/>
    </row>
    <row r="795" spans="1:37" x14ac:dyDescent="0.3">
      <c r="A795" s="173">
        <v>134564</v>
      </c>
      <c r="B795" s="174" t="s">
        <v>1885</v>
      </c>
      <c r="C795" s="175" t="s">
        <v>413</v>
      </c>
      <c r="D795" s="176">
        <v>54.6</v>
      </c>
      <c r="E795" s="174"/>
      <c r="F795" s="174"/>
      <c r="G795" s="174" t="s">
        <v>883</v>
      </c>
      <c r="H795" s="177">
        <v>208</v>
      </c>
      <c r="I795" s="24">
        <v>103003</v>
      </c>
      <c r="J795" s="178">
        <v>54.6</v>
      </c>
      <c r="K795" s="177">
        <v>46</v>
      </c>
      <c r="L795" s="179">
        <v>50.980392156862749</v>
      </c>
      <c r="M795" s="180">
        <v>0</v>
      </c>
      <c r="N795" s="178">
        <v>0</v>
      </c>
      <c r="O795" s="181" t="s">
        <v>882</v>
      </c>
      <c r="P795" s="180">
        <v>0</v>
      </c>
      <c r="Q795" s="182">
        <v>0</v>
      </c>
      <c r="R795" s="183" t="s">
        <v>883</v>
      </c>
      <c r="S795" s="174" t="s">
        <v>1516</v>
      </c>
      <c r="T795" s="44">
        <v>1</v>
      </c>
      <c r="U795" s="184">
        <v>67</v>
      </c>
      <c r="V795" s="185">
        <v>3</v>
      </c>
      <c r="W795" s="186">
        <v>2962</v>
      </c>
      <c r="X795" s="187">
        <v>2023</v>
      </c>
      <c r="Y795" s="188">
        <v>50</v>
      </c>
      <c r="Z795" s="188" t="s">
        <v>883</v>
      </c>
      <c r="AA795" s="187" t="s">
        <v>883</v>
      </c>
      <c r="AB795" s="188">
        <v>0</v>
      </c>
      <c r="AC795" s="188"/>
      <c r="AD795" s="189" t="s">
        <v>883</v>
      </c>
      <c r="AE795" s="190" t="s">
        <v>883</v>
      </c>
      <c r="AF795" s="180">
        <v>16</v>
      </c>
      <c r="AG795" s="183">
        <v>43853</v>
      </c>
      <c r="AH795" s="183">
        <v>43174</v>
      </c>
      <c r="AI795" s="183">
        <v>44335</v>
      </c>
      <c r="AJ795" s="183" t="s">
        <v>883</v>
      </c>
      <c r="AK795" s="174"/>
    </row>
    <row r="796" spans="1:37" x14ac:dyDescent="0.3">
      <c r="A796" s="173">
        <v>134565</v>
      </c>
      <c r="B796" s="174" t="s">
        <v>1886</v>
      </c>
      <c r="C796" s="175" t="s">
        <v>413</v>
      </c>
      <c r="D796" s="176">
        <v>107</v>
      </c>
      <c r="E796" s="174"/>
      <c r="F796" s="174"/>
      <c r="G796" s="174" t="s">
        <v>883</v>
      </c>
      <c r="H796" s="177">
        <v>229</v>
      </c>
      <c r="I796" s="24">
        <v>103003</v>
      </c>
      <c r="J796" s="178">
        <v>107</v>
      </c>
      <c r="K796" s="177">
        <v>44</v>
      </c>
      <c r="L796" s="179">
        <v>61.066666666666663</v>
      </c>
      <c r="M796" s="180">
        <v>0</v>
      </c>
      <c r="N796" s="178">
        <v>0</v>
      </c>
      <c r="O796" s="181" t="s">
        <v>882</v>
      </c>
      <c r="P796" s="180">
        <v>0</v>
      </c>
      <c r="Q796" s="182">
        <v>0</v>
      </c>
      <c r="R796" s="183" t="s">
        <v>883</v>
      </c>
      <c r="S796" s="174" t="s">
        <v>1516</v>
      </c>
      <c r="T796" s="44">
        <v>1</v>
      </c>
      <c r="U796" s="184">
        <v>67</v>
      </c>
      <c r="V796" s="185">
        <v>3</v>
      </c>
      <c r="W796" s="186" t="s">
        <v>883</v>
      </c>
      <c r="X796" s="187" t="s">
        <v>883</v>
      </c>
      <c r="Y796" s="188">
        <v>0</v>
      </c>
      <c r="Z796" s="188" t="s">
        <v>883</v>
      </c>
      <c r="AA796" s="187" t="s">
        <v>883</v>
      </c>
      <c r="AB796" s="188">
        <v>0</v>
      </c>
      <c r="AC796" s="188"/>
      <c r="AD796" s="189" t="s">
        <v>883</v>
      </c>
      <c r="AE796" s="190" t="s">
        <v>883</v>
      </c>
      <c r="AF796" s="180">
        <v>16</v>
      </c>
      <c r="AG796" s="183">
        <v>43998</v>
      </c>
      <c r="AH796" s="183">
        <v>43174</v>
      </c>
      <c r="AI796" s="183">
        <v>44335</v>
      </c>
      <c r="AJ796" s="183" t="s">
        <v>883</v>
      </c>
      <c r="AK796" s="174"/>
    </row>
    <row r="797" spans="1:37" x14ac:dyDescent="0.3">
      <c r="A797" s="173">
        <v>134566</v>
      </c>
      <c r="B797" s="174" t="s">
        <v>1887</v>
      </c>
      <c r="C797" s="175" t="s">
        <v>256</v>
      </c>
      <c r="D797" s="176">
        <v>0.23</v>
      </c>
      <c r="E797" s="174"/>
      <c r="F797" s="174"/>
      <c r="G797" s="174" t="s">
        <v>883</v>
      </c>
      <c r="H797" s="177">
        <v>19783</v>
      </c>
      <c r="I797" s="24">
        <v>103003</v>
      </c>
      <c r="J797" s="178">
        <v>0.23</v>
      </c>
      <c r="K797" s="177">
        <v>1562</v>
      </c>
      <c r="L797" s="179">
        <v>143.01308465264222</v>
      </c>
      <c r="M797" s="180">
        <v>0</v>
      </c>
      <c r="N797" s="178">
        <v>0</v>
      </c>
      <c r="O797" s="181" t="s">
        <v>882</v>
      </c>
      <c r="P797" s="180">
        <v>0</v>
      </c>
      <c r="Q797" s="182">
        <v>0</v>
      </c>
      <c r="R797" s="183" t="s">
        <v>883</v>
      </c>
      <c r="S797" s="174" t="s">
        <v>1440</v>
      </c>
      <c r="T797" s="44">
        <v>1</v>
      </c>
      <c r="U797" s="184">
        <v>67</v>
      </c>
      <c r="V797" s="185">
        <v>18</v>
      </c>
      <c r="W797" s="186" t="s">
        <v>883</v>
      </c>
      <c r="X797" s="187" t="s">
        <v>883</v>
      </c>
      <c r="Y797" s="188">
        <v>0</v>
      </c>
      <c r="Z797" s="188" t="s">
        <v>883</v>
      </c>
      <c r="AA797" s="187" t="s">
        <v>883</v>
      </c>
      <c r="AB797" s="188">
        <v>0</v>
      </c>
      <c r="AC797" s="188"/>
      <c r="AD797" s="189" t="s">
        <v>883</v>
      </c>
      <c r="AE797" s="190" t="s">
        <v>883</v>
      </c>
      <c r="AF797" s="180">
        <v>554</v>
      </c>
      <c r="AG797" s="183">
        <v>43857</v>
      </c>
      <c r="AH797" s="183">
        <v>43174</v>
      </c>
      <c r="AI797" s="183">
        <v>43826</v>
      </c>
      <c r="AJ797" s="183" t="s">
        <v>883</v>
      </c>
      <c r="AK797" s="174"/>
    </row>
    <row r="798" spans="1:37" x14ac:dyDescent="0.3">
      <c r="A798" s="173">
        <v>134567</v>
      </c>
      <c r="B798" s="174" t="s">
        <v>1888</v>
      </c>
      <c r="C798" s="175" t="s">
        <v>256</v>
      </c>
      <c r="D798" s="176">
        <v>0.06</v>
      </c>
      <c r="E798" s="174"/>
      <c r="F798" s="174"/>
      <c r="G798" s="174" t="s">
        <v>883</v>
      </c>
      <c r="H798" s="177">
        <v>14107</v>
      </c>
      <c r="I798" s="24">
        <v>103003</v>
      </c>
      <c r="J798" s="178">
        <v>0.06</v>
      </c>
      <c r="K798" s="177">
        <v>6120</v>
      </c>
      <c r="L798" s="179">
        <v>23.570593149540517</v>
      </c>
      <c r="M798" s="180">
        <v>0</v>
      </c>
      <c r="N798" s="178">
        <v>0</v>
      </c>
      <c r="O798" s="181" t="s">
        <v>882</v>
      </c>
      <c r="P798" s="180">
        <v>0</v>
      </c>
      <c r="Q798" s="182">
        <v>0</v>
      </c>
      <c r="R798" s="183" t="s">
        <v>883</v>
      </c>
      <c r="S798" s="174" t="s">
        <v>1016</v>
      </c>
      <c r="T798" s="44">
        <v>1</v>
      </c>
      <c r="U798" s="184">
        <v>67</v>
      </c>
      <c r="V798" s="185">
        <v>9</v>
      </c>
      <c r="W798" s="186" t="s">
        <v>883</v>
      </c>
      <c r="X798" s="187" t="s">
        <v>883</v>
      </c>
      <c r="Y798" s="188">
        <v>0</v>
      </c>
      <c r="Z798" s="188" t="s">
        <v>883</v>
      </c>
      <c r="AA798" s="187" t="s">
        <v>883</v>
      </c>
      <c r="AB798" s="188">
        <v>0</v>
      </c>
      <c r="AC798" s="188"/>
      <c r="AD798" s="189" t="s">
        <v>883</v>
      </c>
      <c r="AE798" s="190" t="s">
        <v>883</v>
      </c>
      <c r="AF798" s="180">
        <v>2394</v>
      </c>
      <c r="AG798" s="183">
        <v>43847</v>
      </c>
      <c r="AH798" s="183">
        <v>43174</v>
      </c>
      <c r="AI798" s="183">
        <v>43826</v>
      </c>
      <c r="AJ798" s="183" t="s">
        <v>883</v>
      </c>
      <c r="AK798" s="174"/>
    </row>
    <row r="799" spans="1:37" x14ac:dyDescent="0.3">
      <c r="A799" s="173">
        <v>134568</v>
      </c>
      <c r="B799" s="174" t="s">
        <v>1889</v>
      </c>
      <c r="C799" s="175" t="s">
        <v>256</v>
      </c>
      <c r="D799" s="176">
        <v>0.08</v>
      </c>
      <c r="E799" s="174"/>
      <c r="F799" s="174"/>
      <c r="G799" s="174" t="s">
        <v>883</v>
      </c>
      <c r="H799" s="177">
        <v>7206</v>
      </c>
      <c r="I799" s="24">
        <v>103003</v>
      </c>
      <c r="J799" s="178">
        <v>0.08</v>
      </c>
      <c r="K799" s="177">
        <v>5960</v>
      </c>
      <c r="L799" s="179">
        <v>13.813330266260278</v>
      </c>
      <c r="M799" s="180">
        <v>0</v>
      </c>
      <c r="N799" s="178">
        <v>0</v>
      </c>
      <c r="O799" s="181" t="s">
        <v>882</v>
      </c>
      <c r="P799" s="180">
        <v>0</v>
      </c>
      <c r="Q799" s="182">
        <v>0</v>
      </c>
      <c r="R799" s="183" t="s">
        <v>883</v>
      </c>
      <c r="S799" s="174" t="s">
        <v>1016</v>
      </c>
      <c r="T799" s="44">
        <v>1</v>
      </c>
      <c r="U799" s="184">
        <v>67</v>
      </c>
      <c r="V799" s="185">
        <v>9</v>
      </c>
      <c r="W799" s="186" t="s">
        <v>883</v>
      </c>
      <c r="X799" s="187" t="s">
        <v>883</v>
      </c>
      <c r="Y799" s="188">
        <v>0</v>
      </c>
      <c r="Z799" s="188" t="s">
        <v>883</v>
      </c>
      <c r="AA799" s="187" t="s">
        <v>883</v>
      </c>
      <c r="AB799" s="188">
        <v>0</v>
      </c>
      <c r="AC799" s="188"/>
      <c r="AD799" s="189" t="s">
        <v>883</v>
      </c>
      <c r="AE799" s="190" t="s">
        <v>883</v>
      </c>
      <c r="AF799" s="180">
        <v>2086</v>
      </c>
      <c r="AG799" s="183">
        <v>43837</v>
      </c>
      <c r="AH799" s="183">
        <v>43174</v>
      </c>
      <c r="AI799" s="183">
        <v>43797</v>
      </c>
      <c r="AJ799" s="183" t="s">
        <v>883</v>
      </c>
      <c r="AK799" s="174"/>
    </row>
    <row r="800" spans="1:37" x14ac:dyDescent="0.3">
      <c r="A800" s="173">
        <v>134569</v>
      </c>
      <c r="B800" s="174" t="s">
        <v>1890</v>
      </c>
      <c r="C800" s="175" t="s">
        <v>301</v>
      </c>
      <c r="D800" s="176">
        <v>15.4</v>
      </c>
      <c r="E800" s="174"/>
      <c r="F800" s="174"/>
      <c r="G800" s="174" t="s">
        <v>883</v>
      </c>
      <c r="H800" s="177">
        <v>0</v>
      </c>
      <c r="I800" s="24">
        <v>103003</v>
      </c>
      <c r="J800" s="178">
        <v>15.4</v>
      </c>
      <c r="K800" s="177">
        <v>353</v>
      </c>
      <c r="L800" s="179">
        <v>0</v>
      </c>
      <c r="M800" s="180">
        <v>283.04000000000002</v>
      </c>
      <c r="N800" s="178">
        <v>4358.8159999999998</v>
      </c>
      <c r="O800" s="181" t="s">
        <v>882</v>
      </c>
      <c r="P800" s="180">
        <v>0</v>
      </c>
      <c r="Q800" s="182">
        <v>0</v>
      </c>
      <c r="R800" s="183" t="s">
        <v>883</v>
      </c>
      <c r="S800" s="174" t="s">
        <v>1073</v>
      </c>
      <c r="T800" s="44">
        <v>1</v>
      </c>
      <c r="U800" s="184">
        <v>78</v>
      </c>
      <c r="V800" s="185">
        <v>2</v>
      </c>
      <c r="W800" s="186">
        <v>2511</v>
      </c>
      <c r="X800" s="187">
        <v>2023</v>
      </c>
      <c r="Y800" s="188">
        <v>100</v>
      </c>
      <c r="Z800" s="188" t="s">
        <v>883</v>
      </c>
      <c r="AA800" s="187" t="s">
        <v>883</v>
      </c>
      <c r="AB800" s="188">
        <v>0</v>
      </c>
      <c r="AC800" s="188"/>
      <c r="AD800" s="189" t="s">
        <v>883</v>
      </c>
      <c r="AE800" s="190" t="s">
        <v>883</v>
      </c>
      <c r="AF800" s="180">
        <v>128</v>
      </c>
      <c r="AG800" s="183">
        <v>43845</v>
      </c>
      <c r="AH800" s="183">
        <v>43174</v>
      </c>
      <c r="AI800" s="183">
        <v>43826</v>
      </c>
      <c r="AJ800" s="183" t="s">
        <v>883</v>
      </c>
      <c r="AK800" s="174"/>
    </row>
    <row r="801" spans="1:37" x14ac:dyDescent="0.3">
      <c r="A801" s="173">
        <v>134570</v>
      </c>
      <c r="B801" s="174" t="s">
        <v>1891</v>
      </c>
      <c r="C801" s="175" t="s">
        <v>256</v>
      </c>
      <c r="D801" s="176">
        <v>3.04</v>
      </c>
      <c r="E801" s="174"/>
      <c r="F801" s="174"/>
      <c r="G801" s="174" t="s">
        <v>883</v>
      </c>
      <c r="H801" s="177">
        <v>0</v>
      </c>
      <c r="I801" s="24">
        <v>103003</v>
      </c>
      <c r="J801" s="178">
        <v>3.04</v>
      </c>
      <c r="K801" s="177">
        <v>171</v>
      </c>
      <c r="L801" s="179">
        <v>0</v>
      </c>
      <c r="M801" s="180">
        <v>0</v>
      </c>
      <c r="N801" s="178">
        <v>0</v>
      </c>
      <c r="O801" s="181" t="s">
        <v>882</v>
      </c>
      <c r="P801" s="180">
        <v>0</v>
      </c>
      <c r="Q801" s="182">
        <v>0</v>
      </c>
      <c r="R801" s="183" t="s">
        <v>883</v>
      </c>
      <c r="S801" s="174" t="s">
        <v>1892</v>
      </c>
      <c r="T801" s="44">
        <v>1</v>
      </c>
      <c r="U801" s="184">
        <v>70</v>
      </c>
      <c r="V801" s="185">
        <v>25</v>
      </c>
      <c r="W801" s="186">
        <v>2518</v>
      </c>
      <c r="X801" s="187">
        <v>2023</v>
      </c>
      <c r="Y801" s="188">
        <v>300</v>
      </c>
      <c r="Z801" s="188" t="s">
        <v>883</v>
      </c>
      <c r="AA801" s="187" t="s">
        <v>883</v>
      </c>
      <c r="AB801" s="188">
        <v>0</v>
      </c>
      <c r="AC801" s="188"/>
      <c r="AD801" s="189" t="s">
        <v>883</v>
      </c>
      <c r="AE801" s="190" t="s">
        <v>883</v>
      </c>
      <c r="AF801" s="180">
        <v>60</v>
      </c>
      <c r="AG801" s="183">
        <v>44550</v>
      </c>
      <c r="AH801" s="183">
        <v>43174</v>
      </c>
      <c r="AI801" s="183">
        <v>44536</v>
      </c>
      <c r="AJ801" s="183" t="s">
        <v>883</v>
      </c>
      <c r="AK801" s="174"/>
    </row>
    <row r="802" spans="1:37" x14ac:dyDescent="0.3">
      <c r="A802" s="173">
        <v>134581</v>
      </c>
      <c r="B802" s="174" t="s">
        <v>1893</v>
      </c>
      <c r="C802" s="175" t="s">
        <v>256</v>
      </c>
      <c r="D802" s="176">
        <v>55</v>
      </c>
      <c r="E802" s="174"/>
      <c r="F802" s="174"/>
      <c r="G802" s="174" t="s">
        <v>883</v>
      </c>
      <c r="H802" s="177">
        <v>0</v>
      </c>
      <c r="I802" s="24">
        <v>103003</v>
      </c>
      <c r="J802" s="178">
        <v>55</v>
      </c>
      <c r="K802" s="177">
        <v>60</v>
      </c>
      <c r="L802" s="179">
        <v>0</v>
      </c>
      <c r="M802" s="180">
        <v>46</v>
      </c>
      <c r="N802" s="178">
        <v>2530</v>
      </c>
      <c r="O802" s="181" t="s">
        <v>882</v>
      </c>
      <c r="P802" s="180">
        <v>0</v>
      </c>
      <c r="Q802" s="182">
        <v>0</v>
      </c>
      <c r="R802" s="183" t="s">
        <v>883</v>
      </c>
      <c r="S802" s="174" t="s">
        <v>1013</v>
      </c>
      <c r="T802" s="44">
        <v>1</v>
      </c>
      <c r="U802" s="184">
        <v>61</v>
      </c>
      <c r="V802" s="185">
        <v>14</v>
      </c>
      <c r="W802" s="186">
        <v>2605</v>
      </c>
      <c r="X802" s="187">
        <v>2023</v>
      </c>
      <c r="Y802" s="188">
        <v>20</v>
      </c>
      <c r="Z802" s="188" t="s">
        <v>883</v>
      </c>
      <c r="AA802" s="187" t="s">
        <v>883</v>
      </c>
      <c r="AB802" s="188">
        <v>0</v>
      </c>
      <c r="AC802" s="188"/>
      <c r="AD802" s="189" t="s">
        <v>883</v>
      </c>
      <c r="AE802" s="190" t="s">
        <v>883</v>
      </c>
      <c r="AF802" s="180">
        <v>22</v>
      </c>
      <c r="AG802" s="183">
        <v>44651</v>
      </c>
      <c r="AH802" s="183">
        <v>43174</v>
      </c>
      <c r="AI802" s="183">
        <v>44607</v>
      </c>
      <c r="AJ802" s="183" t="s">
        <v>883</v>
      </c>
      <c r="AK802" s="174"/>
    </row>
    <row r="803" spans="1:37" x14ac:dyDescent="0.3">
      <c r="A803" s="173">
        <v>134582</v>
      </c>
      <c r="B803" s="174" t="s">
        <v>1894</v>
      </c>
      <c r="C803" s="175" t="s">
        <v>256</v>
      </c>
      <c r="D803" s="176">
        <v>42.85</v>
      </c>
      <c r="E803" s="174"/>
      <c r="F803" s="174"/>
      <c r="G803" s="174" t="s">
        <v>883</v>
      </c>
      <c r="H803" s="177">
        <v>47</v>
      </c>
      <c r="I803" s="24">
        <v>103003</v>
      </c>
      <c r="J803" s="178">
        <v>37.955910000000003</v>
      </c>
      <c r="K803" s="177">
        <v>65</v>
      </c>
      <c r="L803" s="179">
        <v>6.2005277044854878</v>
      </c>
      <c r="M803" s="180">
        <v>13.96</v>
      </c>
      <c r="N803" s="178">
        <v>598.18600000000004</v>
      </c>
      <c r="O803" s="181" t="s">
        <v>882</v>
      </c>
      <c r="P803" s="180">
        <v>0</v>
      </c>
      <c r="Q803" s="182">
        <v>0</v>
      </c>
      <c r="R803" s="183" t="s">
        <v>883</v>
      </c>
      <c r="S803" s="174" t="s">
        <v>1013</v>
      </c>
      <c r="T803" s="44">
        <v>1</v>
      </c>
      <c r="U803" s="184">
        <v>61</v>
      </c>
      <c r="V803" s="185">
        <v>14</v>
      </c>
      <c r="W803" s="186">
        <v>2960</v>
      </c>
      <c r="X803" s="187">
        <v>2023</v>
      </c>
      <c r="Y803" s="188">
        <v>30</v>
      </c>
      <c r="Z803" s="188" t="s">
        <v>883</v>
      </c>
      <c r="AA803" s="187" t="s">
        <v>883</v>
      </c>
      <c r="AB803" s="188">
        <v>0</v>
      </c>
      <c r="AC803" s="188"/>
      <c r="AD803" s="189" t="s">
        <v>883</v>
      </c>
      <c r="AE803" s="190" t="s">
        <v>883</v>
      </c>
      <c r="AF803" s="180">
        <v>30</v>
      </c>
      <c r="AG803" s="183">
        <v>44651</v>
      </c>
      <c r="AH803" s="183">
        <v>43174</v>
      </c>
      <c r="AI803" s="183">
        <v>44607</v>
      </c>
      <c r="AJ803" s="183" t="s">
        <v>883</v>
      </c>
      <c r="AK803" s="174"/>
    </row>
    <row r="804" spans="1:37" x14ac:dyDescent="0.3">
      <c r="A804" s="173">
        <v>135013</v>
      </c>
      <c r="B804" s="174" t="s">
        <v>1895</v>
      </c>
      <c r="C804" s="175" t="s">
        <v>301</v>
      </c>
      <c r="D804" s="176">
        <v>51.52</v>
      </c>
      <c r="E804" s="174"/>
      <c r="F804" s="174"/>
      <c r="G804" s="174" t="s">
        <v>883</v>
      </c>
      <c r="H804" s="177">
        <v>1</v>
      </c>
      <c r="I804" s="24">
        <v>103003</v>
      </c>
      <c r="J804" s="178">
        <v>51.52</v>
      </c>
      <c r="K804" s="177"/>
      <c r="L804" s="179">
        <v>0</v>
      </c>
      <c r="M804" s="180">
        <v>0</v>
      </c>
      <c r="N804" s="178">
        <v>0</v>
      </c>
      <c r="O804" s="181" t="s">
        <v>882</v>
      </c>
      <c r="P804" s="180">
        <v>0</v>
      </c>
      <c r="Q804" s="182">
        <v>0</v>
      </c>
      <c r="R804" s="183" t="s">
        <v>883</v>
      </c>
      <c r="S804" s="174" t="s">
        <v>1481</v>
      </c>
      <c r="T804" s="44">
        <v>1</v>
      </c>
      <c r="U804" s="184">
        <v>54</v>
      </c>
      <c r="V804" s="185">
        <v>4</v>
      </c>
      <c r="W804" s="186" t="s">
        <v>883</v>
      </c>
      <c r="X804" s="187" t="s">
        <v>883</v>
      </c>
      <c r="Y804" s="188">
        <v>0</v>
      </c>
      <c r="Z804" s="188" t="s">
        <v>883</v>
      </c>
      <c r="AA804" s="187" t="s">
        <v>883</v>
      </c>
      <c r="AB804" s="188">
        <v>0</v>
      </c>
      <c r="AC804" s="188"/>
      <c r="AD804" s="189" t="s">
        <v>883</v>
      </c>
      <c r="AE804" s="190" t="s">
        <v>883</v>
      </c>
      <c r="AF804" s="180">
        <v>0</v>
      </c>
      <c r="AG804" s="183">
        <v>43818</v>
      </c>
      <c r="AH804" s="183">
        <v>43235</v>
      </c>
      <c r="AI804" s="183">
        <v>43780</v>
      </c>
      <c r="AJ804" s="183" t="s">
        <v>883</v>
      </c>
      <c r="AK804" s="174"/>
    </row>
    <row r="805" spans="1:37" x14ac:dyDescent="0.3">
      <c r="A805" s="173">
        <v>135014</v>
      </c>
      <c r="B805" s="174" t="s">
        <v>1896</v>
      </c>
      <c r="C805" s="175" t="s">
        <v>301</v>
      </c>
      <c r="D805" s="176">
        <v>51.52</v>
      </c>
      <c r="E805" s="174"/>
      <c r="F805" s="174"/>
      <c r="G805" s="174" t="s">
        <v>883</v>
      </c>
      <c r="H805" s="177">
        <v>0</v>
      </c>
      <c r="I805" s="24">
        <v>103003</v>
      </c>
      <c r="J805" s="178">
        <v>51.52</v>
      </c>
      <c r="K805" s="177">
        <v>4</v>
      </c>
      <c r="L805" s="179">
        <v>0</v>
      </c>
      <c r="M805" s="180">
        <v>3.96</v>
      </c>
      <c r="N805" s="178">
        <v>204.01920000000001</v>
      </c>
      <c r="O805" s="181" t="s">
        <v>882</v>
      </c>
      <c r="P805" s="180">
        <v>0</v>
      </c>
      <c r="Q805" s="182">
        <v>0</v>
      </c>
      <c r="R805" s="183" t="s">
        <v>883</v>
      </c>
      <c r="S805" s="174" t="s">
        <v>1481</v>
      </c>
      <c r="T805" s="44">
        <v>1</v>
      </c>
      <c r="U805" s="184">
        <v>54</v>
      </c>
      <c r="V805" s="185">
        <v>4</v>
      </c>
      <c r="W805" s="186" t="s">
        <v>883</v>
      </c>
      <c r="X805" s="187" t="s">
        <v>883</v>
      </c>
      <c r="Y805" s="188">
        <v>0</v>
      </c>
      <c r="Z805" s="188" t="s">
        <v>883</v>
      </c>
      <c r="AA805" s="187" t="s">
        <v>883</v>
      </c>
      <c r="AB805" s="188">
        <v>0</v>
      </c>
      <c r="AC805" s="188"/>
      <c r="AD805" s="189" t="s">
        <v>883</v>
      </c>
      <c r="AE805" s="190" t="s">
        <v>883</v>
      </c>
      <c r="AF805" s="180">
        <v>2</v>
      </c>
      <c r="AG805" s="183">
        <v>43819</v>
      </c>
      <c r="AH805" s="183">
        <v>43235</v>
      </c>
      <c r="AI805" s="183">
        <v>43780</v>
      </c>
      <c r="AJ805" s="183" t="s">
        <v>883</v>
      </c>
      <c r="AK805" s="174"/>
    </row>
    <row r="806" spans="1:37" x14ac:dyDescent="0.3">
      <c r="A806" s="173">
        <v>135088</v>
      </c>
      <c r="B806" s="174" t="s">
        <v>1897</v>
      </c>
      <c r="C806" s="175" t="s">
        <v>31</v>
      </c>
      <c r="D806" s="176">
        <v>10.83</v>
      </c>
      <c r="E806" s="174"/>
      <c r="F806" s="174"/>
      <c r="G806" s="174" t="s">
        <v>883</v>
      </c>
      <c r="H806" s="177">
        <v>404</v>
      </c>
      <c r="I806" s="24">
        <v>103003</v>
      </c>
      <c r="J806" s="178">
        <v>10.83</v>
      </c>
      <c r="K806" s="177">
        <v>305</v>
      </c>
      <c r="L806" s="179">
        <v>15.793588741204065</v>
      </c>
      <c r="M806" s="180">
        <v>0</v>
      </c>
      <c r="N806" s="178">
        <v>0</v>
      </c>
      <c r="O806" s="181" t="s">
        <v>882</v>
      </c>
      <c r="P806" s="180">
        <v>0</v>
      </c>
      <c r="Q806" s="182">
        <v>0</v>
      </c>
      <c r="R806" s="183" t="s">
        <v>883</v>
      </c>
      <c r="S806" s="174" t="s">
        <v>1870</v>
      </c>
      <c r="T806" s="44">
        <v>1</v>
      </c>
      <c r="U806" s="184">
        <v>55</v>
      </c>
      <c r="V806" s="185">
        <v>66</v>
      </c>
      <c r="W806" s="186">
        <v>2664</v>
      </c>
      <c r="X806" s="187">
        <v>2023</v>
      </c>
      <c r="Y806" s="188">
        <v>300</v>
      </c>
      <c r="Z806" s="188" t="s">
        <v>883</v>
      </c>
      <c r="AA806" s="187" t="s">
        <v>883</v>
      </c>
      <c r="AB806" s="188">
        <v>0</v>
      </c>
      <c r="AC806" s="188"/>
      <c r="AD806" s="189" t="s">
        <v>883</v>
      </c>
      <c r="AE806" s="190" t="s">
        <v>883</v>
      </c>
      <c r="AF806" s="180">
        <v>102</v>
      </c>
      <c r="AG806" s="183">
        <v>44742</v>
      </c>
      <c r="AH806" s="183">
        <v>43238</v>
      </c>
      <c r="AI806" s="183">
        <v>44722</v>
      </c>
      <c r="AJ806" s="183" t="s">
        <v>883</v>
      </c>
      <c r="AK806" s="174"/>
    </row>
    <row r="807" spans="1:37" x14ac:dyDescent="0.3">
      <c r="A807" s="173">
        <v>135297</v>
      </c>
      <c r="B807" s="174" t="s">
        <v>1898</v>
      </c>
      <c r="C807" s="175" t="s">
        <v>413</v>
      </c>
      <c r="D807" s="176">
        <v>9.1199999999999992</v>
      </c>
      <c r="E807" s="174"/>
      <c r="F807" s="174"/>
      <c r="G807" s="174" t="s">
        <v>883</v>
      </c>
      <c r="H807" s="177">
        <v>1867</v>
      </c>
      <c r="I807" s="24">
        <v>103003</v>
      </c>
      <c r="J807" s="178">
        <v>9.1199999999999992</v>
      </c>
      <c r="K807" s="177">
        <v>13620</v>
      </c>
      <c r="L807" s="179">
        <v>1.5973238195460417</v>
      </c>
      <c r="M807" s="180">
        <v>12158.96</v>
      </c>
      <c r="N807" s="178">
        <v>110889.71520000001</v>
      </c>
      <c r="O807" s="181" t="s">
        <v>882</v>
      </c>
      <c r="P807" s="180">
        <v>0</v>
      </c>
      <c r="Q807" s="182">
        <v>0</v>
      </c>
      <c r="R807" s="183" t="s">
        <v>883</v>
      </c>
      <c r="S807" s="174" t="s">
        <v>931</v>
      </c>
      <c r="T807" s="44">
        <v>1</v>
      </c>
      <c r="U807" s="184">
        <v>45</v>
      </c>
      <c r="V807" s="185">
        <v>9</v>
      </c>
      <c r="W807" s="186" t="s">
        <v>883</v>
      </c>
      <c r="X807" s="187" t="s">
        <v>883</v>
      </c>
      <c r="Y807" s="188">
        <v>0</v>
      </c>
      <c r="Z807" s="188" t="s">
        <v>883</v>
      </c>
      <c r="AA807" s="187" t="s">
        <v>883</v>
      </c>
      <c r="AB807" s="188">
        <v>0</v>
      </c>
      <c r="AC807" s="188"/>
      <c r="AD807" s="189" t="s">
        <v>883</v>
      </c>
      <c r="AE807" s="190" t="s">
        <v>883</v>
      </c>
      <c r="AF807" s="180">
        <v>4676</v>
      </c>
      <c r="AG807" s="183">
        <v>44991</v>
      </c>
      <c r="AH807" s="183">
        <v>43277</v>
      </c>
      <c r="AI807" s="183">
        <v>44959</v>
      </c>
      <c r="AJ807" s="183" t="s">
        <v>883</v>
      </c>
      <c r="AK807" s="174"/>
    </row>
    <row r="808" spans="1:37" x14ac:dyDescent="0.3">
      <c r="A808" s="173">
        <v>135299</v>
      </c>
      <c r="B808" s="174" t="s">
        <v>1899</v>
      </c>
      <c r="C808" s="175" t="s">
        <v>256</v>
      </c>
      <c r="D808" s="176">
        <v>1.75</v>
      </c>
      <c r="E808" s="174"/>
      <c r="F808" s="174"/>
      <c r="G808" s="174" t="s">
        <v>883</v>
      </c>
      <c r="H808" s="177">
        <v>25</v>
      </c>
      <c r="I808" s="24">
        <v>103003</v>
      </c>
      <c r="J808" s="178">
        <v>1.75</v>
      </c>
      <c r="K808" s="177">
        <v>65</v>
      </c>
      <c r="L808" s="179">
        <v>4.2229729729729737</v>
      </c>
      <c r="M808" s="180">
        <v>26.04</v>
      </c>
      <c r="N808" s="178">
        <v>45.57</v>
      </c>
      <c r="O808" s="181" t="s">
        <v>882</v>
      </c>
      <c r="P808" s="180">
        <v>0</v>
      </c>
      <c r="Q808" s="182">
        <v>0</v>
      </c>
      <c r="R808" s="183" t="s">
        <v>883</v>
      </c>
      <c r="S808" s="174" t="s">
        <v>964</v>
      </c>
      <c r="T808" s="44">
        <v>1</v>
      </c>
      <c r="U808" s="184">
        <v>61</v>
      </c>
      <c r="V808" s="185">
        <v>8</v>
      </c>
      <c r="W808" s="186">
        <v>2454</v>
      </c>
      <c r="X808" s="187">
        <v>2023</v>
      </c>
      <c r="Y808" s="188">
        <v>20</v>
      </c>
      <c r="Z808" s="188" t="s">
        <v>883</v>
      </c>
      <c r="AA808" s="187" t="s">
        <v>883</v>
      </c>
      <c r="AB808" s="188">
        <v>0</v>
      </c>
      <c r="AC808" s="188"/>
      <c r="AD808" s="189" t="s">
        <v>883</v>
      </c>
      <c r="AE808" s="190" t="s">
        <v>883</v>
      </c>
      <c r="AF808" s="180">
        <v>24</v>
      </c>
      <c r="AG808" s="183">
        <v>43460</v>
      </c>
      <c r="AH808" s="183">
        <v>43277</v>
      </c>
      <c r="AI808" s="183">
        <v>43417</v>
      </c>
      <c r="AJ808" s="183" t="s">
        <v>883</v>
      </c>
      <c r="AK808" s="174"/>
    </row>
    <row r="809" spans="1:37" x14ac:dyDescent="0.3">
      <c r="A809" s="173">
        <v>135300</v>
      </c>
      <c r="B809" s="174" t="s">
        <v>1900</v>
      </c>
      <c r="C809" s="175" t="s">
        <v>256</v>
      </c>
      <c r="D809" s="176">
        <v>5.15</v>
      </c>
      <c r="E809" s="174"/>
      <c r="F809" s="174"/>
      <c r="G809" s="174" t="s">
        <v>883</v>
      </c>
      <c r="H809" s="177">
        <v>283</v>
      </c>
      <c r="I809" s="24">
        <v>103003</v>
      </c>
      <c r="J809" s="178">
        <v>5.15</v>
      </c>
      <c r="K809" s="177">
        <v>123</v>
      </c>
      <c r="L809" s="179">
        <v>22.785829307568438</v>
      </c>
      <c r="M809" s="180">
        <v>0</v>
      </c>
      <c r="N809" s="178">
        <v>0</v>
      </c>
      <c r="O809" s="181" t="s">
        <v>882</v>
      </c>
      <c r="P809" s="180">
        <v>0</v>
      </c>
      <c r="Q809" s="182">
        <v>0</v>
      </c>
      <c r="R809" s="183" t="s">
        <v>883</v>
      </c>
      <c r="S809" s="174" t="s">
        <v>964</v>
      </c>
      <c r="T809" s="44">
        <v>1</v>
      </c>
      <c r="U809" s="184">
        <v>61</v>
      </c>
      <c r="V809" s="185">
        <v>8</v>
      </c>
      <c r="W809" s="186">
        <v>2454</v>
      </c>
      <c r="X809" s="187">
        <v>2023</v>
      </c>
      <c r="Y809" s="188">
        <v>50</v>
      </c>
      <c r="Z809" s="188" t="s">
        <v>883</v>
      </c>
      <c r="AA809" s="187" t="s">
        <v>883</v>
      </c>
      <c r="AB809" s="188">
        <v>0</v>
      </c>
      <c r="AC809" s="188"/>
      <c r="AD809" s="189" t="s">
        <v>883</v>
      </c>
      <c r="AE809" s="190" t="s">
        <v>883</v>
      </c>
      <c r="AF809" s="180">
        <v>50</v>
      </c>
      <c r="AG809" s="183">
        <v>44915</v>
      </c>
      <c r="AH809" s="183">
        <v>43277</v>
      </c>
      <c r="AI809" s="183">
        <v>44860</v>
      </c>
      <c r="AJ809" s="183" t="s">
        <v>883</v>
      </c>
      <c r="AK809" s="174"/>
    </row>
    <row r="810" spans="1:37" x14ac:dyDescent="0.3">
      <c r="A810" s="173">
        <v>135301</v>
      </c>
      <c r="B810" s="174" t="s">
        <v>1901</v>
      </c>
      <c r="C810" s="175" t="s">
        <v>256</v>
      </c>
      <c r="D810" s="176">
        <v>5.25</v>
      </c>
      <c r="E810" s="174"/>
      <c r="F810" s="174"/>
      <c r="G810" s="174" t="s">
        <v>883</v>
      </c>
      <c r="H810" s="177">
        <v>265</v>
      </c>
      <c r="I810" s="24">
        <v>103003</v>
      </c>
      <c r="J810" s="178">
        <v>5.25</v>
      </c>
      <c r="K810" s="177">
        <v>149</v>
      </c>
      <c r="L810" s="179">
        <v>17.377049180327869</v>
      </c>
      <c r="M810" s="180">
        <v>0</v>
      </c>
      <c r="N810" s="178">
        <v>0</v>
      </c>
      <c r="O810" s="181" t="s">
        <v>882</v>
      </c>
      <c r="P810" s="180">
        <v>0</v>
      </c>
      <c r="Q810" s="182">
        <v>0</v>
      </c>
      <c r="R810" s="183" t="s">
        <v>883</v>
      </c>
      <c r="S810" s="174" t="s">
        <v>964</v>
      </c>
      <c r="T810" s="44">
        <v>1</v>
      </c>
      <c r="U810" s="184">
        <v>61</v>
      </c>
      <c r="V810" s="185">
        <v>8</v>
      </c>
      <c r="W810" s="186">
        <v>2702</v>
      </c>
      <c r="X810" s="187">
        <v>2023</v>
      </c>
      <c r="Y810" s="188">
        <v>100</v>
      </c>
      <c r="Z810" s="188" t="s">
        <v>883</v>
      </c>
      <c r="AA810" s="187" t="s">
        <v>883</v>
      </c>
      <c r="AB810" s="188">
        <v>0</v>
      </c>
      <c r="AC810" s="188"/>
      <c r="AD810" s="189" t="s">
        <v>883</v>
      </c>
      <c r="AE810" s="190" t="s">
        <v>883</v>
      </c>
      <c r="AF810" s="180">
        <v>62</v>
      </c>
      <c r="AG810" s="183">
        <v>44804</v>
      </c>
      <c r="AH810" s="183">
        <v>43277</v>
      </c>
      <c r="AI810" s="183">
        <v>45082</v>
      </c>
      <c r="AJ810" s="183" t="s">
        <v>883</v>
      </c>
      <c r="AK810" s="174"/>
    </row>
    <row r="811" spans="1:37" x14ac:dyDescent="0.3">
      <c r="A811" s="173">
        <v>135302</v>
      </c>
      <c r="B811" s="174" t="s">
        <v>1902</v>
      </c>
      <c r="C811" s="175" t="s">
        <v>256</v>
      </c>
      <c r="D811" s="176">
        <v>3.58</v>
      </c>
      <c r="E811" s="174"/>
      <c r="F811" s="174"/>
      <c r="G811" s="174" t="s">
        <v>883</v>
      </c>
      <c r="H811" s="177">
        <v>613</v>
      </c>
      <c r="I811" s="24">
        <v>103003</v>
      </c>
      <c r="J811" s="178">
        <v>3.58</v>
      </c>
      <c r="K811" s="177">
        <v>203</v>
      </c>
      <c r="L811" s="179">
        <v>32.399577167019025</v>
      </c>
      <c r="M811" s="180">
        <v>0</v>
      </c>
      <c r="N811" s="178">
        <v>0</v>
      </c>
      <c r="O811" s="181" t="s">
        <v>882</v>
      </c>
      <c r="P811" s="180">
        <v>0</v>
      </c>
      <c r="Q811" s="182">
        <v>0</v>
      </c>
      <c r="R811" s="183" t="s">
        <v>883</v>
      </c>
      <c r="S811" s="174" t="s">
        <v>964</v>
      </c>
      <c r="T811" s="44">
        <v>1</v>
      </c>
      <c r="U811" s="184">
        <v>61</v>
      </c>
      <c r="V811" s="185">
        <v>8</v>
      </c>
      <c r="W811" s="186" t="s">
        <v>883</v>
      </c>
      <c r="X811" s="187" t="s">
        <v>883</v>
      </c>
      <c r="Y811" s="188">
        <v>0</v>
      </c>
      <c r="Z811" s="188" t="s">
        <v>883</v>
      </c>
      <c r="AA811" s="187" t="s">
        <v>883</v>
      </c>
      <c r="AB811" s="188">
        <v>0</v>
      </c>
      <c r="AC811" s="188"/>
      <c r="AD811" s="189" t="s">
        <v>883</v>
      </c>
      <c r="AE811" s="190" t="s">
        <v>883</v>
      </c>
      <c r="AF811" s="180">
        <v>76</v>
      </c>
      <c r="AG811" s="183">
        <v>44188</v>
      </c>
      <c r="AH811" s="183">
        <v>43277</v>
      </c>
      <c r="AI811" s="183">
        <v>44133</v>
      </c>
      <c r="AJ811" s="183" t="s">
        <v>883</v>
      </c>
      <c r="AK811" s="174"/>
    </row>
    <row r="812" spans="1:37" x14ac:dyDescent="0.3">
      <c r="A812" s="173">
        <v>135303</v>
      </c>
      <c r="B812" s="174" t="s">
        <v>1903</v>
      </c>
      <c r="C812" s="175" t="s">
        <v>256</v>
      </c>
      <c r="D812" s="176">
        <v>56</v>
      </c>
      <c r="E812" s="174"/>
      <c r="F812" s="174"/>
      <c r="G812" s="174" t="s">
        <v>883</v>
      </c>
      <c r="H812" s="177">
        <v>106</v>
      </c>
      <c r="I812" s="24">
        <v>103003</v>
      </c>
      <c r="J812" s="178">
        <v>56</v>
      </c>
      <c r="K812" s="177">
        <v>37</v>
      </c>
      <c r="L812" s="179">
        <v>24.480369515011549</v>
      </c>
      <c r="M812" s="180">
        <v>0</v>
      </c>
      <c r="N812" s="178">
        <v>0</v>
      </c>
      <c r="O812" s="181" t="s">
        <v>882</v>
      </c>
      <c r="P812" s="180">
        <v>0</v>
      </c>
      <c r="Q812" s="182">
        <v>0</v>
      </c>
      <c r="R812" s="183" t="s">
        <v>883</v>
      </c>
      <c r="S812" s="174" t="s">
        <v>1904</v>
      </c>
      <c r="T812" s="44">
        <v>1</v>
      </c>
      <c r="U812" s="184">
        <v>49</v>
      </c>
      <c r="V812" s="185">
        <v>7</v>
      </c>
      <c r="W812" s="186" t="s">
        <v>883</v>
      </c>
      <c r="X812" s="187" t="s">
        <v>883</v>
      </c>
      <c r="Y812" s="188">
        <v>0</v>
      </c>
      <c r="Z812" s="188" t="s">
        <v>883</v>
      </c>
      <c r="AA812" s="187" t="s">
        <v>883</v>
      </c>
      <c r="AB812" s="188">
        <v>0</v>
      </c>
      <c r="AC812" s="188"/>
      <c r="AD812" s="189" t="s">
        <v>883</v>
      </c>
      <c r="AE812" s="190" t="s">
        <v>883</v>
      </c>
      <c r="AF812" s="180">
        <v>18</v>
      </c>
      <c r="AG812" s="183">
        <v>43866</v>
      </c>
      <c r="AH812" s="183">
        <v>43277</v>
      </c>
      <c r="AI812" s="183">
        <v>43826</v>
      </c>
      <c r="AJ812" s="183" t="s">
        <v>883</v>
      </c>
      <c r="AK812" s="174"/>
    </row>
    <row r="813" spans="1:37" x14ac:dyDescent="0.3">
      <c r="A813" s="173">
        <v>135304</v>
      </c>
      <c r="B813" s="174" t="s">
        <v>1905</v>
      </c>
      <c r="C813" s="175" t="s">
        <v>256</v>
      </c>
      <c r="D813" s="176">
        <v>4.75</v>
      </c>
      <c r="E813" s="174"/>
      <c r="F813" s="174"/>
      <c r="G813" s="174" t="s">
        <v>883</v>
      </c>
      <c r="H813" s="177">
        <v>772</v>
      </c>
      <c r="I813" s="24">
        <v>103003</v>
      </c>
      <c r="J813" s="178">
        <v>4.75</v>
      </c>
      <c r="K813" s="177">
        <v>164</v>
      </c>
      <c r="L813" s="179">
        <v>50.358773646444881</v>
      </c>
      <c r="M813" s="180">
        <v>0</v>
      </c>
      <c r="N813" s="178">
        <v>0</v>
      </c>
      <c r="O813" s="181" t="s">
        <v>882</v>
      </c>
      <c r="P813" s="180">
        <v>0</v>
      </c>
      <c r="Q813" s="182">
        <v>0</v>
      </c>
      <c r="R813" s="183" t="s">
        <v>883</v>
      </c>
      <c r="S813" s="174" t="s">
        <v>964</v>
      </c>
      <c r="T813" s="44">
        <v>1</v>
      </c>
      <c r="U813" s="184">
        <v>61</v>
      </c>
      <c r="V813" s="185">
        <v>8</v>
      </c>
      <c r="W813" s="186" t="s">
        <v>883</v>
      </c>
      <c r="X813" s="187" t="s">
        <v>883</v>
      </c>
      <c r="Y813" s="188">
        <v>0</v>
      </c>
      <c r="Z813" s="188" t="s">
        <v>883</v>
      </c>
      <c r="AA813" s="187" t="s">
        <v>883</v>
      </c>
      <c r="AB813" s="188">
        <v>0</v>
      </c>
      <c r="AC813" s="188"/>
      <c r="AD813" s="189" t="s">
        <v>883</v>
      </c>
      <c r="AE813" s="190" t="s">
        <v>883</v>
      </c>
      <c r="AF813" s="180">
        <v>62</v>
      </c>
      <c r="AG813" s="183">
        <v>43796</v>
      </c>
      <c r="AH813" s="183">
        <v>43277</v>
      </c>
      <c r="AI813" s="183">
        <v>43788</v>
      </c>
      <c r="AJ813" s="183" t="s">
        <v>883</v>
      </c>
      <c r="AK813" s="174"/>
    </row>
    <row r="814" spans="1:37" x14ac:dyDescent="0.3">
      <c r="A814" s="173">
        <v>135414</v>
      </c>
      <c r="B814" s="174" t="s">
        <v>1906</v>
      </c>
      <c r="C814" s="175" t="s">
        <v>256</v>
      </c>
      <c r="D814" s="176">
        <v>43.67</v>
      </c>
      <c r="E814" s="174"/>
      <c r="F814" s="174"/>
      <c r="G814" s="174" t="s">
        <v>883</v>
      </c>
      <c r="H814" s="177">
        <v>322</v>
      </c>
      <c r="I814" s="24">
        <v>103003</v>
      </c>
      <c r="J814" s="178">
        <v>43.67</v>
      </c>
      <c r="K814" s="177">
        <v>215</v>
      </c>
      <c r="L814" s="179">
        <v>17.721518987341771</v>
      </c>
      <c r="M814" s="180">
        <v>0</v>
      </c>
      <c r="N814" s="178">
        <v>0</v>
      </c>
      <c r="O814" s="181" t="s">
        <v>882</v>
      </c>
      <c r="P814" s="180">
        <v>0</v>
      </c>
      <c r="Q814" s="182">
        <v>0</v>
      </c>
      <c r="R814" s="183" t="s">
        <v>883</v>
      </c>
      <c r="S814" s="174" t="s">
        <v>1013</v>
      </c>
      <c r="T814" s="44">
        <v>1</v>
      </c>
      <c r="U814" s="184">
        <v>61</v>
      </c>
      <c r="V814" s="185">
        <v>14</v>
      </c>
      <c r="W814" s="186">
        <v>2232</v>
      </c>
      <c r="X814" s="187">
        <v>2023</v>
      </c>
      <c r="Y814" s="188">
        <v>200</v>
      </c>
      <c r="Z814" s="188" t="s">
        <v>883</v>
      </c>
      <c r="AA814" s="187" t="s">
        <v>883</v>
      </c>
      <c r="AB814" s="188">
        <v>0</v>
      </c>
      <c r="AC814" s="188"/>
      <c r="AD814" s="189" t="s">
        <v>883</v>
      </c>
      <c r="AE814" s="190" t="s">
        <v>883</v>
      </c>
      <c r="AF814" s="180">
        <v>72</v>
      </c>
      <c r="AG814" s="183">
        <v>45051</v>
      </c>
      <c r="AH814" s="183">
        <v>43294</v>
      </c>
      <c r="AI814" s="183">
        <v>44942</v>
      </c>
      <c r="AJ814" s="183" t="s">
        <v>883</v>
      </c>
      <c r="AK814" s="174"/>
    </row>
    <row r="815" spans="1:37" x14ac:dyDescent="0.3">
      <c r="A815" s="173">
        <v>135701</v>
      </c>
      <c r="B815" s="174" t="s">
        <v>1907</v>
      </c>
      <c r="C815" s="175" t="s">
        <v>31</v>
      </c>
      <c r="D815" s="176">
        <v>3.32</v>
      </c>
      <c r="E815" s="174"/>
      <c r="F815" s="174"/>
      <c r="G815" s="174" t="s">
        <v>883</v>
      </c>
      <c r="H815" s="177">
        <v>2049</v>
      </c>
      <c r="I815" s="24">
        <v>103003</v>
      </c>
      <c r="J815" s="178">
        <v>3.32</v>
      </c>
      <c r="K815" s="177">
        <v>128</v>
      </c>
      <c r="L815" s="179">
        <v>117.62342135476463</v>
      </c>
      <c r="M815" s="180">
        <v>0</v>
      </c>
      <c r="N815" s="178">
        <v>0</v>
      </c>
      <c r="O815" s="181" t="s">
        <v>882</v>
      </c>
      <c r="P815" s="180">
        <v>0</v>
      </c>
      <c r="Q815" s="182">
        <v>0</v>
      </c>
      <c r="R815" s="183" t="s">
        <v>883</v>
      </c>
      <c r="S815" s="174" t="s">
        <v>931</v>
      </c>
      <c r="T815" s="44">
        <v>1</v>
      </c>
      <c r="U815" s="184">
        <v>45</v>
      </c>
      <c r="V815" s="185">
        <v>9</v>
      </c>
      <c r="W815" s="186" t="s">
        <v>883</v>
      </c>
      <c r="X815" s="187" t="s">
        <v>883</v>
      </c>
      <c r="Y815" s="188">
        <v>0</v>
      </c>
      <c r="Z815" s="188" t="s">
        <v>883</v>
      </c>
      <c r="AA815" s="187" t="s">
        <v>883</v>
      </c>
      <c r="AB815" s="188">
        <v>0</v>
      </c>
      <c r="AC815" s="188"/>
      <c r="AD815" s="189" t="s">
        <v>883</v>
      </c>
      <c r="AE815" s="190" t="s">
        <v>883</v>
      </c>
      <c r="AF815" s="180">
        <v>70</v>
      </c>
      <c r="AG815" s="183" t="s">
        <v>883</v>
      </c>
      <c r="AH815" s="183">
        <v>43333</v>
      </c>
      <c r="AI815" s="183">
        <v>44525</v>
      </c>
      <c r="AJ815" s="183" t="s">
        <v>883</v>
      </c>
      <c r="AK815" s="174"/>
    </row>
    <row r="816" spans="1:37" x14ac:dyDescent="0.3">
      <c r="A816" s="173">
        <v>135703</v>
      </c>
      <c r="B816" s="174" t="s">
        <v>1908</v>
      </c>
      <c r="C816" s="175" t="s">
        <v>31</v>
      </c>
      <c r="D816" s="176">
        <v>1.49</v>
      </c>
      <c r="E816" s="174"/>
      <c r="F816" s="174"/>
      <c r="G816" s="174" t="s">
        <v>883</v>
      </c>
      <c r="H816" s="177">
        <v>7402</v>
      </c>
      <c r="I816" s="24">
        <v>103003</v>
      </c>
      <c r="J816" s="178">
        <v>1.49</v>
      </c>
      <c r="K816" s="177">
        <v>7557</v>
      </c>
      <c r="L816" s="179">
        <v>3.8360679526114492</v>
      </c>
      <c r="M816" s="180">
        <v>15752.96</v>
      </c>
      <c r="N816" s="178">
        <v>23471.910400000001</v>
      </c>
      <c r="O816" s="181" t="s">
        <v>882</v>
      </c>
      <c r="P816" s="180">
        <v>0</v>
      </c>
      <c r="Q816" s="182">
        <v>0</v>
      </c>
      <c r="R816" s="183" t="s">
        <v>883</v>
      </c>
      <c r="S816" s="174" t="s">
        <v>931</v>
      </c>
      <c r="T816" s="44">
        <v>1</v>
      </c>
      <c r="U816" s="184">
        <v>45</v>
      </c>
      <c r="V816" s="185">
        <v>9</v>
      </c>
      <c r="W816" s="186" t="s">
        <v>883</v>
      </c>
      <c r="X816" s="187" t="s">
        <v>883</v>
      </c>
      <c r="Y816" s="188">
        <v>0</v>
      </c>
      <c r="Z816" s="188" t="s">
        <v>883</v>
      </c>
      <c r="AA816" s="187" t="s">
        <v>883</v>
      </c>
      <c r="AB816" s="188">
        <v>0</v>
      </c>
      <c r="AC816" s="188"/>
      <c r="AD816" s="189" t="s">
        <v>883</v>
      </c>
      <c r="AE816" s="190" t="s">
        <v>883</v>
      </c>
      <c r="AF816" s="180">
        <v>7718</v>
      </c>
      <c r="AG816" s="183">
        <v>44151</v>
      </c>
      <c r="AH816" s="183">
        <v>43333</v>
      </c>
      <c r="AI816" s="183">
        <v>44999</v>
      </c>
      <c r="AJ816" s="183" t="s">
        <v>883</v>
      </c>
      <c r="AK816" s="174"/>
    </row>
    <row r="817" spans="1:37" x14ac:dyDescent="0.3">
      <c r="A817" s="173">
        <v>136082</v>
      </c>
      <c r="B817" s="174" t="s">
        <v>1909</v>
      </c>
      <c r="C817" s="175" t="s">
        <v>31</v>
      </c>
      <c r="D817" s="176">
        <v>3.5714299999999999</v>
      </c>
      <c r="E817" s="174"/>
      <c r="F817" s="174"/>
      <c r="G817" s="174" t="s">
        <v>883</v>
      </c>
      <c r="H817" s="177">
        <v>0</v>
      </c>
      <c r="I817" s="24">
        <v>103003</v>
      </c>
      <c r="J817" s="178">
        <v>3.5714299999999999</v>
      </c>
      <c r="K817" s="177">
        <v>365</v>
      </c>
      <c r="L817" s="179">
        <v>0</v>
      </c>
      <c r="M817" s="180">
        <v>0</v>
      </c>
      <c r="N817" s="178">
        <v>0</v>
      </c>
      <c r="O817" s="181" t="s">
        <v>882</v>
      </c>
      <c r="P817" s="180">
        <v>0</v>
      </c>
      <c r="Q817" s="182">
        <v>0</v>
      </c>
      <c r="R817" s="183" t="s">
        <v>883</v>
      </c>
      <c r="S817" s="174" t="s">
        <v>1677</v>
      </c>
      <c r="T817" s="44">
        <v>1</v>
      </c>
      <c r="U817" s="184">
        <v>55</v>
      </c>
      <c r="V817" s="185">
        <v>37</v>
      </c>
      <c r="W817" s="186">
        <v>2646</v>
      </c>
      <c r="X817" s="187">
        <v>2023</v>
      </c>
      <c r="Y817" s="188">
        <v>700</v>
      </c>
      <c r="Z817" s="188" t="s">
        <v>883</v>
      </c>
      <c r="AA817" s="187" t="s">
        <v>883</v>
      </c>
      <c r="AB817" s="188">
        <v>0</v>
      </c>
      <c r="AC817" s="188"/>
      <c r="AD817" s="189" t="s">
        <v>883</v>
      </c>
      <c r="AE817" s="190" t="s">
        <v>883</v>
      </c>
      <c r="AF817" s="180">
        <v>130</v>
      </c>
      <c r="AG817" s="183">
        <v>44568</v>
      </c>
      <c r="AH817" s="183">
        <v>43446</v>
      </c>
      <c r="AI817" s="183">
        <v>45077</v>
      </c>
      <c r="AJ817" s="183" t="s">
        <v>883</v>
      </c>
      <c r="AK817" s="174"/>
    </row>
    <row r="818" spans="1:37" x14ac:dyDescent="0.3">
      <c r="A818" s="173">
        <v>136083</v>
      </c>
      <c r="B818" s="174" t="s">
        <v>1910</v>
      </c>
      <c r="C818" s="175" t="s">
        <v>31</v>
      </c>
      <c r="D818" s="176">
        <v>5.83</v>
      </c>
      <c r="E818" s="174"/>
      <c r="F818" s="174"/>
      <c r="G818" s="174" t="s">
        <v>883</v>
      </c>
      <c r="H818" s="177">
        <v>436</v>
      </c>
      <c r="I818" s="24">
        <v>103003</v>
      </c>
      <c r="J818" s="178">
        <v>5.83</v>
      </c>
      <c r="K818" s="177">
        <v>174</v>
      </c>
      <c r="L818" s="179">
        <v>29.399865138233313</v>
      </c>
      <c r="M818" s="180">
        <v>0</v>
      </c>
      <c r="N818" s="178">
        <v>0</v>
      </c>
      <c r="O818" s="181" t="s">
        <v>882</v>
      </c>
      <c r="P818" s="180">
        <v>0</v>
      </c>
      <c r="Q818" s="182">
        <v>0</v>
      </c>
      <c r="R818" s="183" t="s">
        <v>883</v>
      </c>
      <c r="S818" s="174" t="s">
        <v>1677</v>
      </c>
      <c r="T818" s="44">
        <v>1</v>
      </c>
      <c r="U818" s="184">
        <v>55</v>
      </c>
      <c r="V818" s="185">
        <v>37</v>
      </c>
      <c r="W818" s="186" t="s">
        <v>883</v>
      </c>
      <c r="X818" s="187" t="s">
        <v>883</v>
      </c>
      <c r="Y818" s="188">
        <v>0</v>
      </c>
      <c r="Z818" s="188" t="s">
        <v>883</v>
      </c>
      <c r="AA818" s="187" t="s">
        <v>883</v>
      </c>
      <c r="AB818" s="188">
        <v>0</v>
      </c>
      <c r="AC818" s="188"/>
      <c r="AD818" s="189" t="s">
        <v>883</v>
      </c>
      <c r="AE818" s="190" t="s">
        <v>883</v>
      </c>
      <c r="AF818" s="180">
        <v>60</v>
      </c>
      <c r="AG818" s="183">
        <v>44448</v>
      </c>
      <c r="AH818" s="183">
        <v>43446</v>
      </c>
      <c r="AI818" s="183">
        <v>44725</v>
      </c>
      <c r="AJ818" s="183" t="s">
        <v>883</v>
      </c>
      <c r="AK818" s="174"/>
    </row>
    <row r="819" spans="1:37" x14ac:dyDescent="0.3">
      <c r="A819" s="173">
        <v>136273</v>
      </c>
      <c r="B819" s="174" t="s">
        <v>1911</v>
      </c>
      <c r="C819" s="175" t="s">
        <v>31</v>
      </c>
      <c r="D819" s="176">
        <v>5.37</v>
      </c>
      <c r="E819" s="174"/>
      <c r="F819" s="174"/>
      <c r="G819" s="174" t="s">
        <v>883</v>
      </c>
      <c r="H819" s="177">
        <v>1138</v>
      </c>
      <c r="I819" s="24">
        <v>103003</v>
      </c>
      <c r="J819" s="178">
        <v>5.37</v>
      </c>
      <c r="K819" s="177">
        <v>1030</v>
      </c>
      <c r="L819" s="179">
        <v>12.426293950644245</v>
      </c>
      <c r="M819" s="180">
        <v>0</v>
      </c>
      <c r="N819" s="178">
        <v>0</v>
      </c>
      <c r="O819" s="181" t="s">
        <v>882</v>
      </c>
      <c r="P819" s="180">
        <v>0</v>
      </c>
      <c r="Q819" s="182">
        <v>0</v>
      </c>
      <c r="R819" s="183" t="s">
        <v>883</v>
      </c>
      <c r="S819" s="174" t="s">
        <v>1003</v>
      </c>
      <c r="T819" s="44">
        <v>1</v>
      </c>
      <c r="U819" s="184">
        <v>51</v>
      </c>
      <c r="V819" s="185">
        <v>11</v>
      </c>
      <c r="W819" s="186">
        <v>2989</v>
      </c>
      <c r="X819" s="187">
        <v>2023</v>
      </c>
      <c r="Y819" s="188">
        <v>500</v>
      </c>
      <c r="Z819" s="188" t="s">
        <v>883</v>
      </c>
      <c r="AA819" s="187" t="s">
        <v>883</v>
      </c>
      <c r="AB819" s="188">
        <v>0</v>
      </c>
      <c r="AC819" s="188"/>
      <c r="AD819" s="189" t="s">
        <v>883</v>
      </c>
      <c r="AE819" s="190" t="s">
        <v>883</v>
      </c>
      <c r="AF819" s="180">
        <v>366</v>
      </c>
      <c r="AG819" s="183">
        <v>44602</v>
      </c>
      <c r="AH819" s="183">
        <v>43483</v>
      </c>
      <c r="AI819" s="183">
        <v>44592</v>
      </c>
      <c r="AJ819" s="183" t="s">
        <v>883</v>
      </c>
      <c r="AK819" s="174"/>
    </row>
    <row r="820" spans="1:37" x14ac:dyDescent="0.3">
      <c r="A820" s="173">
        <v>136408</v>
      </c>
      <c r="B820" s="174" t="s">
        <v>1912</v>
      </c>
      <c r="C820" s="175" t="s">
        <v>31</v>
      </c>
      <c r="D820" s="176">
        <v>1.47</v>
      </c>
      <c r="E820" s="174"/>
      <c r="F820" s="174"/>
      <c r="G820" s="174" t="s">
        <v>883</v>
      </c>
      <c r="H820" s="177">
        <v>0</v>
      </c>
      <c r="I820" s="24">
        <v>103003</v>
      </c>
      <c r="J820" s="178">
        <v>1.47</v>
      </c>
      <c r="K820" s="177">
        <v>25867</v>
      </c>
      <c r="L820" s="179">
        <v>0</v>
      </c>
      <c r="M820" s="180">
        <v>24998.04</v>
      </c>
      <c r="N820" s="178">
        <v>36747.118799999997</v>
      </c>
      <c r="O820" s="181" t="s">
        <v>882</v>
      </c>
      <c r="P820" s="180">
        <v>0</v>
      </c>
      <c r="Q820" s="182">
        <v>0</v>
      </c>
      <c r="R820" s="183" t="s">
        <v>883</v>
      </c>
      <c r="S820" s="174" t="s">
        <v>911</v>
      </c>
      <c r="T820" s="44">
        <v>1</v>
      </c>
      <c r="U820" s="184">
        <v>45</v>
      </c>
      <c r="V820" s="185">
        <v>14</v>
      </c>
      <c r="W820" s="186">
        <v>6982</v>
      </c>
      <c r="X820" s="187">
        <v>2023</v>
      </c>
      <c r="Y820" s="188">
        <v>11700</v>
      </c>
      <c r="Z820" s="188" t="s">
        <v>883</v>
      </c>
      <c r="AA820" s="187" t="s">
        <v>883</v>
      </c>
      <c r="AB820" s="188">
        <v>0</v>
      </c>
      <c r="AC820" s="188"/>
      <c r="AD820" s="189" t="s">
        <v>883</v>
      </c>
      <c r="AE820" s="190" t="s">
        <v>883</v>
      </c>
      <c r="AF820" s="180">
        <v>12232</v>
      </c>
      <c r="AG820" s="183">
        <v>44924</v>
      </c>
      <c r="AH820" s="183">
        <v>43500</v>
      </c>
      <c r="AI820" s="183">
        <v>44910</v>
      </c>
      <c r="AJ820" s="183" t="s">
        <v>883</v>
      </c>
      <c r="AK820" s="174"/>
    </row>
    <row r="821" spans="1:37" x14ac:dyDescent="0.3">
      <c r="A821" s="173">
        <v>136553</v>
      </c>
      <c r="B821" s="174" t="s">
        <v>1913</v>
      </c>
      <c r="C821" s="175" t="s">
        <v>256</v>
      </c>
      <c r="D821" s="176">
        <v>2.7</v>
      </c>
      <c r="E821" s="174"/>
      <c r="F821" s="174"/>
      <c r="G821" s="174" t="s">
        <v>883</v>
      </c>
      <c r="H821" s="177">
        <v>0</v>
      </c>
      <c r="I821" s="24">
        <v>103003</v>
      </c>
      <c r="J821" s="178">
        <v>2.7</v>
      </c>
      <c r="K821" s="177">
        <v>2469</v>
      </c>
      <c r="L821" s="179">
        <v>0</v>
      </c>
      <c r="M821" s="180">
        <v>841</v>
      </c>
      <c r="N821" s="178">
        <v>2270.6999999999998</v>
      </c>
      <c r="O821" s="181" t="s">
        <v>882</v>
      </c>
      <c r="P821" s="180">
        <v>0</v>
      </c>
      <c r="Q821" s="182">
        <v>0</v>
      </c>
      <c r="R821" s="183" t="s">
        <v>883</v>
      </c>
      <c r="S821" s="174" t="s">
        <v>1914</v>
      </c>
      <c r="T821" s="44">
        <v>1</v>
      </c>
      <c r="U821" s="184">
        <v>51</v>
      </c>
      <c r="V821" s="185">
        <v>10</v>
      </c>
      <c r="W821" s="186">
        <v>2669</v>
      </c>
      <c r="X821" s="187">
        <v>2023</v>
      </c>
      <c r="Y821" s="188">
        <v>2000</v>
      </c>
      <c r="Z821" s="188" t="s">
        <v>883</v>
      </c>
      <c r="AA821" s="187" t="s">
        <v>883</v>
      </c>
      <c r="AB821" s="188">
        <v>0</v>
      </c>
      <c r="AC821" s="188"/>
      <c r="AD821" s="189" t="s">
        <v>883</v>
      </c>
      <c r="AE821" s="190" t="s">
        <v>883</v>
      </c>
      <c r="AF821" s="180">
        <v>948</v>
      </c>
      <c r="AG821" s="183">
        <v>44516</v>
      </c>
      <c r="AH821" s="183">
        <v>43518</v>
      </c>
      <c r="AI821" s="183">
        <v>44984</v>
      </c>
      <c r="AJ821" s="183" t="s">
        <v>883</v>
      </c>
      <c r="AK821" s="174"/>
    </row>
    <row r="822" spans="1:37" x14ac:dyDescent="0.3">
      <c r="A822" s="173">
        <v>136554</v>
      </c>
      <c r="B822" s="174" t="s">
        <v>1915</v>
      </c>
      <c r="C822" s="175" t="s">
        <v>256</v>
      </c>
      <c r="D822" s="176">
        <v>7.45</v>
      </c>
      <c r="E822" s="174"/>
      <c r="F822" s="174"/>
      <c r="G822" s="174" t="s">
        <v>883</v>
      </c>
      <c r="H822" s="177">
        <v>0</v>
      </c>
      <c r="I822" s="24">
        <v>103003</v>
      </c>
      <c r="J822" s="178">
        <v>7.45</v>
      </c>
      <c r="K822" s="177">
        <v>678</v>
      </c>
      <c r="L822" s="179">
        <v>0</v>
      </c>
      <c r="M822" s="180">
        <v>0</v>
      </c>
      <c r="N822" s="178">
        <v>0</v>
      </c>
      <c r="O822" s="181" t="s">
        <v>882</v>
      </c>
      <c r="P822" s="180">
        <v>0</v>
      </c>
      <c r="Q822" s="182">
        <v>0</v>
      </c>
      <c r="R822" s="183" t="s">
        <v>883</v>
      </c>
      <c r="S822" s="174" t="s">
        <v>1090</v>
      </c>
      <c r="T822" s="44">
        <v>1</v>
      </c>
      <c r="U822" s="184">
        <v>51</v>
      </c>
      <c r="V822" s="185">
        <v>9</v>
      </c>
      <c r="W822" s="186">
        <v>2640</v>
      </c>
      <c r="X822" s="187">
        <v>2023</v>
      </c>
      <c r="Y822" s="188">
        <v>2000</v>
      </c>
      <c r="Z822" s="188" t="s">
        <v>883</v>
      </c>
      <c r="AA822" s="187" t="s">
        <v>883</v>
      </c>
      <c r="AB822" s="188">
        <v>0</v>
      </c>
      <c r="AC822" s="188"/>
      <c r="AD822" s="189" t="s">
        <v>883</v>
      </c>
      <c r="AE822" s="190" t="s">
        <v>883</v>
      </c>
      <c r="AF822" s="180">
        <v>248</v>
      </c>
      <c r="AG822" s="183">
        <v>44547</v>
      </c>
      <c r="AH822" s="183">
        <v>43518</v>
      </c>
      <c r="AI822" s="183">
        <v>44985</v>
      </c>
      <c r="AJ822" s="183" t="s">
        <v>883</v>
      </c>
      <c r="AK822" s="174"/>
    </row>
    <row r="823" spans="1:37" x14ac:dyDescent="0.3">
      <c r="A823" s="173">
        <v>136555</v>
      </c>
      <c r="B823" s="174" t="s">
        <v>1916</v>
      </c>
      <c r="C823" s="175" t="s">
        <v>256</v>
      </c>
      <c r="D823" s="176">
        <v>8.89</v>
      </c>
      <c r="E823" s="174"/>
      <c r="F823" s="174"/>
      <c r="G823" s="174" t="s">
        <v>883</v>
      </c>
      <c r="H823" s="177">
        <v>0</v>
      </c>
      <c r="I823" s="24">
        <v>103003</v>
      </c>
      <c r="J823" s="178">
        <v>8.89</v>
      </c>
      <c r="K823" s="177">
        <v>1044</v>
      </c>
      <c r="L823" s="179">
        <v>0</v>
      </c>
      <c r="M823" s="180">
        <v>1320.96</v>
      </c>
      <c r="N823" s="178">
        <v>11743.3344</v>
      </c>
      <c r="O823" s="181" t="s">
        <v>882</v>
      </c>
      <c r="P823" s="180">
        <v>0</v>
      </c>
      <c r="Q823" s="182">
        <v>0</v>
      </c>
      <c r="R823" s="183" t="s">
        <v>883</v>
      </c>
      <c r="S823" s="174" t="s">
        <v>1090</v>
      </c>
      <c r="T823" s="44">
        <v>1</v>
      </c>
      <c r="U823" s="184">
        <v>51</v>
      </c>
      <c r="V823" s="185">
        <v>9</v>
      </c>
      <c r="W823" s="186">
        <v>9002</v>
      </c>
      <c r="X823" s="187">
        <v>2023</v>
      </c>
      <c r="Y823" s="188">
        <v>750</v>
      </c>
      <c r="Z823" s="188" t="s">
        <v>883</v>
      </c>
      <c r="AA823" s="187" t="s">
        <v>883</v>
      </c>
      <c r="AB823" s="188">
        <v>0</v>
      </c>
      <c r="AC823" s="188"/>
      <c r="AD823" s="189" t="s">
        <v>883</v>
      </c>
      <c r="AE823" s="190" t="s">
        <v>883</v>
      </c>
      <c r="AF823" s="180">
        <v>690</v>
      </c>
      <c r="AG823" s="183">
        <v>44931</v>
      </c>
      <c r="AH823" s="183">
        <v>43518</v>
      </c>
      <c r="AI823" s="183">
        <v>44985</v>
      </c>
      <c r="AJ823" s="183" t="s">
        <v>883</v>
      </c>
      <c r="AK823" s="174"/>
    </row>
    <row r="824" spans="1:37" x14ac:dyDescent="0.3">
      <c r="A824" s="173">
        <v>136556</v>
      </c>
      <c r="B824" s="174" t="s">
        <v>1917</v>
      </c>
      <c r="C824" s="175" t="s">
        <v>256</v>
      </c>
      <c r="D824" s="176">
        <v>5.24</v>
      </c>
      <c r="E824" s="174"/>
      <c r="F824" s="174"/>
      <c r="G824" s="174" t="s">
        <v>883</v>
      </c>
      <c r="H824" s="177">
        <v>0</v>
      </c>
      <c r="I824" s="24">
        <v>103003</v>
      </c>
      <c r="J824" s="178">
        <v>5.24</v>
      </c>
      <c r="K824" s="177">
        <v>767</v>
      </c>
      <c r="L824" s="179">
        <v>0</v>
      </c>
      <c r="M824" s="180">
        <v>0</v>
      </c>
      <c r="N824" s="178">
        <v>0</v>
      </c>
      <c r="O824" s="181" t="s">
        <v>882</v>
      </c>
      <c r="P824" s="180">
        <v>0</v>
      </c>
      <c r="Q824" s="182">
        <v>0</v>
      </c>
      <c r="R824" s="183" t="s">
        <v>883</v>
      </c>
      <c r="S824" s="174" t="s">
        <v>1914</v>
      </c>
      <c r="T824" s="44">
        <v>1</v>
      </c>
      <c r="U824" s="184">
        <v>51</v>
      </c>
      <c r="V824" s="185">
        <v>10</v>
      </c>
      <c r="W824" s="186">
        <v>2673</v>
      </c>
      <c r="X824" s="187">
        <v>2023</v>
      </c>
      <c r="Y824" s="188">
        <v>2000</v>
      </c>
      <c r="Z824" s="188" t="s">
        <v>883</v>
      </c>
      <c r="AA824" s="187" t="s">
        <v>883</v>
      </c>
      <c r="AB824" s="188">
        <v>0</v>
      </c>
      <c r="AC824" s="188"/>
      <c r="AD824" s="189" t="s">
        <v>883</v>
      </c>
      <c r="AE824" s="190" t="s">
        <v>883</v>
      </c>
      <c r="AF824" s="180">
        <v>342</v>
      </c>
      <c r="AG824" s="183">
        <v>44946</v>
      </c>
      <c r="AH824" s="183">
        <v>43518</v>
      </c>
      <c r="AI824" s="183">
        <v>44922</v>
      </c>
      <c r="AJ824" s="183" t="s">
        <v>883</v>
      </c>
      <c r="AK824" s="174"/>
    </row>
    <row r="825" spans="1:37" x14ac:dyDescent="0.3">
      <c r="A825" s="173">
        <v>136564</v>
      </c>
      <c r="B825" s="174" t="s">
        <v>1918</v>
      </c>
      <c r="C825" s="175" t="s">
        <v>331</v>
      </c>
      <c r="D825" s="176">
        <v>2.7</v>
      </c>
      <c r="E825" s="174"/>
      <c r="F825" s="174"/>
      <c r="G825" s="174" t="s">
        <v>883</v>
      </c>
      <c r="H825" s="177">
        <v>17385</v>
      </c>
      <c r="I825" s="24">
        <v>103003</v>
      </c>
      <c r="J825" s="178">
        <v>2.7</v>
      </c>
      <c r="K825" s="177">
        <v>21350</v>
      </c>
      <c r="L825" s="179">
        <v>6.6407682434910154</v>
      </c>
      <c r="M825" s="180">
        <v>12810.04</v>
      </c>
      <c r="N825" s="178">
        <v>34587.108</v>
      </c>
      <c r="O825" s="181" t="s">
        <v>882</v>
      </c>
      <c r="P825" s="180">
        <v>0</v>
      </c>
      <c r="Q825" s="182">
        <v>0</v>
      </c>
      <c r="R825" s="183" t="s">
        <v>883</v>
      </c>
      <c r="S825" s="174" t="s">
        <v>1618</v>
      </c>
      <c r="T825" s="44">
        <v>1</v>
      </c>
      <c r="U825" s="184">
        <v>60</v>
      </c>
      <c r="V825" s="185">
        <v>21</v>
      </c>
      <c r="W825" s="186">
        <v>2773</v>
      </c>
      <c r="X825" s="187">
        <v>2023</v>
      </c>
      <c r="Y825" s="188">
        <v>1220</v>
      </c>
      <c r="Z825" s="188" t="s">
        <v>883</v>
      </c>
      <c r="AA825" s="187" t="s">
        <v>883</v>
      </c>
      <c r="AB825" s="188">
        <v>0</v>
      </c>
      <c r="AC825" s="188"/>
      <c r="AD825" s="189" t="s">
        <v>883</v>
      </c>
      <c r="AE825" s="190" t="s">
        <v>883</v>
      </c>
      <c r="AF825" s="180">
        <v>10472</v>
      </c>
      <c r="AG825" s="183">
        <v>44809</v>
      </c>
      <c r="AH825" s="183">
        <v>43521</v>
      </c>
      <c r="AI825" s="183">
        <v>44803</v>
      </c>
      <c r="AJ825" s="183" t="s">
        <v>883</v>
      </c>
      <c r="AK825" s="174"/>
    </row>
    <row r="826" spans="1:37" x14ac:dyDescent="0.3">
      <c r="A826" s="173">
        <v>136674</v>
      </c>
      <c r="B826" s="174" t="s">
        <v>1919</v>
      </c>
      <c r="C826" s="175" t="s">
        <v>256</v>
      </c>
      <c r="D826" s="176">
        <v>41</v>
      </c>
      <c r="E826" s="174"/>
      <c r="F826" s="174"/>
      <c r="G826" s="174" t="s">
        <v>883</v>
      </c>
      <c r="H826" s="177">
        <v>6</v>
      </c>
      <c r="I826" s="24">
        <v>103003</v>
      </c>
      <c r="J826" s="178">
        <v>41</v>
      </c>
      <c r="K826" s="177"/>
      <c r="L826" s="179">
        <v>0</v>
      </c>
      <c r="M826" s="180">
        <v>0</v>
      </c>
      <c r="N826" s="178">
        <v>0</v>
      </c>
      <c r="O826" s="181" t="s">
        <v>882</v>
      </c>
      <c r="P826" s="180">
        <v>0</v>
      </c>
      <c r="Q826" s="182">
        <v>0</v>
      </c>
      <c r="R826" s="183" t="s">
        <v>883</v>
      </c>
      <c r="S826" s="174" t="s">
        <v>1607</v>
      </c>
      <c r="T826" s="44">
        <v>1</v>
      </c>
      <c r="U826" s="184">
        <v>62</v>
      </c>
      <c r="V826" s="185">
        <v>1</v>
      </c>
      <c r="W826" s="186" t="s">
        <v>883</v>
      </c>
      <c r="X826" s="187" t="s">
        <v>883</v>
      </c>
      <c r="Y826" s="188">
        <v>0</v>
      </c>
      <c r="Z826" s="188" t="s">
        <v>883</v>
      </c>
      <c r="AA826" s="187" t="s">
        <v>883</v>
      </c>
      <c r="AB826" s="188">
        <v>0</v>
      </c>
      <c r="AC826" s="188"/>
      <c r="AD826" s="189" t="s">
        <v>883</v>
      </c>
      <c r="AE826" s="190" t="s">
        <v>883</v>
      </c>
      <c r="AF826" s="180">
        <v>0</v>
      </c>
      <c r="AG826" s="183">
        <v>44011</v>
      </c>
      <c r="AH826" s="183">
        <v>43549</v>
      </c>
      <c r="AI826" s="183">
        <v>43970</v>
      </c>
      <c r="AJ826" s="183" t="s">
        <v>883</v>
      </c>
      <c r="AK826" s="174"/>
    </row>
    <row r="827" spans="1:37" x14ac:dyDescent="0.3">
      <c r="A827" s="173">
        <v>136675</v>
      </c>
      <c r="B827" s="174" t="s">
        <v>1920</v>
      </c>
      <c r="C827" s="175" t="s">
        <v>256</v>
      </c>
      <c r="D827" s="176">
        <v>65.260000000000005</v>
      </c>
      <c r="E827" s="174"/>
      <c r="F827" s="174"/>
      <c r="G827" s="174" t="s">
        <v>883</v>
      </c>
      <c r="H827" s="177">
        <v>0</v>
      </c>
      <c r="I827" s="24">
        <v>103003</v>
      </c>
      <c r="J827" s="178">
        <v>65.260000000000005</v>
      </c>
      <c r="K827" s="177"/>
      <c r="L827" s="179">
        <v>0</v>
      </c>
      <c r="M827" s="180">
        <v>0</v>
      </c>
      <c r="N827" s="178">
        <v>0</v>
      </c>
      <c r="O827" s="181" t="s">
        <v>882</v>
      </c>
      <c r="P827" s="180">
        <v>0</v>
      </c>
      <c r="Q827" s="182">
        <v>0</v>
      </c>
      <c r="R827" s="183" t="s">
        <v>883</v>
      </c>
      <c r="S827" s="174" t="s">
        <v>1607</v>
      </c>
      <c r="T827" s="44">
        <v>1</v>
      </c>
      <c r="U827" s="184">
        <v>62</v>
      </c>
      <c r="V827" s="185">
        <v>1</v>
      </c>
      <c r="W827" s="186">
        <v>2830</v>
      </c>
      <c r="X827" s="187">
        <v>2023</v>
      </c>
      <c r="Y827" s="188">
        <v>2</v>
      </c>
      <c r="Z827" s="188" t="s">
        <v>883</v>
      </c>
      <c r="AA827" s="187" t="s">
        <v>883</v>
      </c>
      <c r="AB827" s="188">
        <v>0</v>
      </c>
      <c r="AC827" s="188"/>
      <c r="AD827" s="189" t="s">
        <v>883</v>
      </c>
      <c r="AE827" s="190" t="s">
        <v>883</v>
      </c>
      <c r="AF827" s="180">
        <v>0</v>
      </c>
      <c r="AG827" s="183">
        <v>44011</v>
      </c>
      <c r="AH827" s="183">
        <v>43549</v>
      </c>
      <c r="AI827" s="183">
        <v>45005</v>
      </c>
      <c r="AJ827" s="183" t="s">
        <v>883</v>
      </c>
      <c r="AK827" s="174"/>
    </row>
    <row r="828" spans="1:37" x14ac:dyDescent="0.3">
      <c r="A828" s="173">
        <v>136818</v>
      </c>
      <c r="B828" s="174" t="s">
        <v>1921</v>
      </c>
      <c r="C828" s="175" t="s">
        <v>31</v>
      </c>
      <c r="D828" s="176">
        <v>5.45</v>
      </c>
      <c r="E828" s="174"/>
      <c r="F828" s="174"/>
      <c r="G828" s="174" t="s">
        <v>883</v>
      </c>
      <c r="H828" s="177">
        <v>1161</v>
      </c>
      <c r="I828" s="24">
        <v>103003</v>
      </c>
      <c r="J828" s="178">
        <v>5.45</v>
      </c>
      <c r="K828" s="177">
        <v>21</v>
      </c>
      <c r="L828" s="179">
        <v>663.42857142857144</v>
      </c>
      <c r="M828" s="180">
        <v>0</v>
      </c>
      <c r="N828" s="178">
        <v>0</v>
      </c>
      <c r="O828" s="181" t="s">
        <v>882</v>
      </c>
      <c r="P828" s="180">
        <v>0</v>
      </c>
      <c r="Q828" s="182">
        <v>0</v>
      </c>
      <c r="R828" s="183" t="s">
        <v>883</v>
      </c>
      <c r="S828" s="174" t="s">
        <v>1481</v>
      </c>
      <c r="T828" s="44">
        <v>1</v>
      </c>
      <c r="U828" s="184">
        <v>54</v>
      </c>
      <c r="V828" s="185">
        <v>4</v>
      </c>
      <c r="W828" s="186" t="s">
        <v>883</v>
      </c>
      <c r="X828" s="187" t="s">
        <v>883</v>
      </c>
      <c r="Y828" s="188">
        <v>0</v>
      </c>
      <c r="Z828" s="188" t="s">
        <v>883</v>
      </c>
      <c r="AA828" s="187" t="s">
        <v>883</v>
      </c>
      <c r="AB828" s="188">
        <v>0</v>
      </c>
      <c r="AC828" s="188"/>
      <c r="AD828" s="189" t="s">
        <v>883</v>
      </c>
      <c r="AE828" s="190" t="s">
        <v>883</v>
      </c>
      <c r="AF828" s="180">
        <v>8</v>
      </c>
      <c r="AG828" s="183">
        <v>44517</v>
      </c>
      <c r="AH828" s="183">
        <v>43572</v>
      </c>
      <c r="AI828" s="183">
        <v>44803</v>
      </c>
      <c r="AJ828" s="183" t="s">
        <v>883</v>
      </c>
      <c r="AK828" s="174"/>
    </row>
    <row r="829" spans="1:37" x14ac:dyDescent="0.3">
      <c r="A829" s="173">
        <v>136819</v>
      </c>
      <c r="B829" s="174" t="s">
        <v>1922</v>
      </c>
      <c r="C829" s="175" t="s">
        <v>301</v>
      </c>
      <c r="D829" s="176">
        <v>16.25</v>
      </c>
      <c r="E829" s="174"/>
      <c r="F829" s="174"/>
      <c r="G829" s="174" t="s">
        <v>883</v>
      </c>
      <c r="H829" s="177">
        <v>241</v>
      </c>
      <c r="I829" s="24">
        <v>103003</v>
      </c>
      <c r="J829" s="178">
        <v>16.25</v>
      </c>
      <c r="K829" s="177">
        <v>17</v>
      </c>
      <c r="L829" s="179">
        <v>131.69398907103823</v>
      </c>
      <c r="M829" s="180">
        <v>0</v>
      </c>
      <c r="N829" s="178">
        <v>0</v>
      </c>
      <c r="O829" s="181" t="s">
        <v>882</v>
      </c>
      <c r="P829" s="180">
        <v>0</v>
      </c>
      <c r="Q829" s="182">
        <v>0</v>
      </c>
      <c r="R829" s="183" t="s">
        <v>883</v>
      </c>
      <c r="S829" s="174" t="s">
        <v>1481</v>
      </c>
      <c r="T829" s="44">
        <v>1</v>
      </c>
      <c r="U829" s="184">
        <v>54</v>
      </c>
      <c r="V829" s="185">
        <v>4</v>
      </c>
      <c r="W829" s="186" t="s">
        <v>883</v>
      </c>
      <c r="X829" s="187" t="s">
        <v>883</v>
      </c>
      <c r="Y829" s="188">
        <v>0</v>
      </c>
      <c r="Z829" s="188" t="s">
        <v>883</v>
      </c>
      <c r="AA829" s="187" t="s">
        <v>883</v>
      </c>
      <c r="AB829" s="188">
        <v>0</v>
      </c>
      <c r="AC829" s="188"/>
      <c r="AD829" s="189" t="s">
        <v>883</v>
      </c>
      <c r="AE829" s="190" t="s">
        <v>883</v>
      </c>
      <c r="AF829" s="180">
        <v>8</v>
      </c>
      <c r="AG829" s="183">
        <v>44431</v>
      </c>
      <c r="AH829" s="183">
        <v>43572</v>
      </c>
      <c r="AI829" s="183">
        <v>44791</v>
      </c>
      <c r="AJ829" s="183" t="s">
        <v>883</v>
      </c>
      <c r="AK829" s="174"/>
    </row>
    <row r="830" spans="1:37" x14ac:dyDescent="0.3">
      <c r="A830" s="173">
        <v>136820</v>
      </c>
      <c r="B830" s="174" t="s">
        <v>321</v>
      </c>
      <c r="C830" s="175" t="s">
        <v>301</v>
      </c>
      <c r="D830" s="176">
        <v>73.010000000000005</v>
      </c>
      <c r="E830" s="174"/>
      <c r="F830" s="174"/>
      <c r="G830" s="174" t="s">
        <v>883</v>
      </c>
      <c r="H830" s="177">
        <v>12</v>
      </c>
      <c r="I830" s="24">
        <v>103003</v>
      </c>
      <c r="J830" s="178">
        <v>73.010000000000005</v>
      </c>
      <c r="K830" s="177">
        <v>3</v>
      </c>
      <c r="L830" s="179">
        <v>48</v>
      </c>
      <c r="M830" s="180">
        <v>0</v>
      </c>
      <c r="N830" s="178">
        <v>0</v>
      </c>
      <c r="O830" s="181" t="s">
        <v>882</v>
      </c>
      <c r="P830" s="180">
        <v>0</v>
      </c>
      <c r="Q830" s="182">
        <v>0</v>
      </c>
      <c r="R830" s="183" t="s">
        <v>883</v>
      </c>
      <c r="S830" s="174" t="s">
        <v>1481</v>
      </c>
      <c r="T830" s="44">
        <v>1</v>
      </c>
      <c r="U830" s="184">
        <v>54</v>
      </c>
      <c r="V830" s="185">
        <v>4</v>
      </c>
      <c r="W830" s="186" t="s">
        <v>883</v>
      </c>
      <c r="X830" s="187" t="s">
        <v>883</v>
      </c>
      <c r="Y830" s="188">
        <v>0</v>
      </c>
      <c r="Z830" s="188" t="s">
        <v>883</v>
      </c>
      <c r="AA830" s="187" t="s">
        <v>883</v>
      </c>
      <c r="AB830" s="188">
        <v>0</v>
      </c>
      <c r="AC830" s="188"/>
      <c r="AD830" s="189" t="s">
        <v>883</v>
      </c>
      <c r="AE830" s="190" t="s">
        <v>883</v>
      </c>
      <c r="AF830" s="180">
        <v>2</v>
      </c>
      <c r="AG830" s="183">
        <v>43837</v>
      </c>
      <c r="AH830" s="183">
        <v>43572</v>
      </c>
      <c r="AI830" s="183">
        <v>44533</v>
      </c>
      <c r="AJ830" s="183" t="s">
        <v>883</v>
      </c>
      <c r="AK830" s="174"/>
    </row>
    <row r="831" spans="1:37" x14ac:dyDescent="0.3">
      <c r="A831" s="173">
        <v>136821</v>
      </c>
      <c r="B831" s="174" t="s">
        <v>322</v>
      </c>
      <c r="C831" s="175" t="s">
        <v>301</v>
      </c>
      <c r="D831" s="176">
        <v>73.010000000000005</v>
      </c>
      <c r="E831" s="174"/>
      <c r="F831" s="174"/>
      <c r="G831" s="174" t="s">
        <v>883</v>
      </c>
      <c r="H831" s="177">
        <v>5</v>
      </c>
      <c r="I831" s="24">
        <v>103003</v>
      </c>
      <c r="J831" s="178">
        <v>73.010000000000005</v>
      </c>
      <c r="K831" s="177">
        <v>1</v>
      </c>
      <c r="L831" s="179">
        <v>62.5</v>
      </c>
      <c r="M831" s="180">
        <v>0</v>
      </c>
      <c r="N831" s="178">
        <v>0</v>
      </c>
      <c r="O831" s="181" t="s">
        <v>882</v>
      </c>
      <c r="P831" s="180">
        <v>0</v>
      </c>
      <c r="Q831" s="182">
        <v>0</v>
      </c>
      <c r="R831" s="183" t="s">
        <v>883</v>
      </c>
      <c r="S831" s="174" t="s">
        <v>1481</v>
      </c>
      <c r="T831" s="44">
        <v>1</v>
      </c>
      <c r="U831" s="184">
        <v>54</v>
      </c>
      <c r="V831" s="185">
        <v>4</v>
      </c>
      <c r="W831" s="186" t="s">
        <v>883</v>
      </c>
      <c r="X831" s="187" t="s">
        <v>883</v>
      </c>
      <c r="Y831" s="188">
        <v>0</v>
      </c>
      <c r="Z831" s="188" t="s">
        <v>883</v>
      </c>
      <c r="AA831" s="187" t="s">
        <v>883</v>
      </c>
      <c r="AB831" s="188">
        <v>0</v>
      </c>
      <c r="AC831" s="188"/>
      <c r="AD831" s="189" t="s">
        <v>883</v>
      </c>
      <c r="AE831" s="190" t="s">
        <v>883</v>
      </c>
      <c r="AF831" s="180">
        <v>0</v>
      </c>
      <c r="AG831" s="183">
        <v>43837</v>
      </c>
      <c r="AH831" s="183">
        <v>43572</v>
      </c>
      <c r="AI831" s="183">
        <v>44533</v>
      </c>
      <c r="AJ831" s="183" t="s">
        <v>883</v>
      </c>
      <c r="AK831" s="174"/>
    </row>
    <row r="832" spans="1:37" x14ac:dyDescent="0.3">
      <c r="A832" s="173">
        <v>136822</v>
      </c>
      <c r="B832" s="174" t="s">
        <v>323</v>
      </c>
      <c r="C832" s="175" t="s">
        <v>301</v>
      </c>
      <c r="D832" s="176">
        <v>61.58</v>
      </c>
      <c r="E832" s="174"/>
      <c r="F832" s="174"/>
      <c r="G832" s="174" t="s">
        <v>883</v>
      </c>
      <c r="H832" s="177">
        <v>77</v>
      </c>
      <c r="I832" s="24">
        <v>103003</v>
      </c>
      <c r="J832" s="178">
        <v>61.58</v>
      </c>
      <c r="K832" s="177">
        <v>3</v>
      </c>
      <c r="L832" s="179">
        <v>308</v>
      </c>
      <c r="M832" s="180">
        <v>0</v>
      </c>
      <c r="N832" s="178">
        <v>0</v>
      </c>
      <c r="O832" s="181" t="s">
        <v>882</v>
      </c>
      <c r="P832" s="180">
        <v>0</v>
      </c>
      <c r="Q832" s="182">
        <v>0</v>
      </c>
      <c r="R832" s="183" t="s">
        <v>883</v>
      </c>
      <c r="S832" s="174" t="s">
        <v>1481</v>
      </c>
      <c r="T832" s="44">
        <v>1</v>
      </c>
      <c r="U832" s="184">
        <v>54</v>
      </c>
      <c r="V832" s="185">
        <v>4</v>
      </c>
      <c r="W832" s="186" t="s">
        <v>883</v>
      </c>
      <c r="X832" s="187" t="s">
        <v>883</v>
      </c>
      <c r="Y832" s="188">
        <v>0</v>
      </c>
      <c r="Z832" s="188" t="s">
        <v>883</v>
      </c>
      <c r="AA832" s="187" t="s">
        <v>883</v>
      </c>
      <c r="AB832" s="188">
        <v>0</v>
      </c>
      <c r="AC832" s="188"/>
      <c r="AD832" s="189" t="s">
        <v>883</v>
      </c>
      <c r="AE832" s="190" t="s">
        <v>883</v>
      </c>
      <c r="AF832" s="180">
        <v>0</v>
      </c>
      <c r="AG832" s="183">
        <v>43837</v>
      </c>
      <c r="AH832" s="183">
        <v>43572</v>
      </c>
      <c r="AI832" s="183">
        <v>44379</v>
      </c>
      <c r="AJ832" s="183" t="s">
        <v>883</v>
      </c>
      <c r="AK832" s="174"/>
    </row>
    <row r="833" spans="1:37" x14ac:dyDescent="0.3">
      <c r="A833" s="173">
        <v>136823</v>
      </c>
      <c r="B833" s="174" t="s">
        <v>1923</v>
      </c>
      <c r="C833" s="175" t="s">
        <v>301</v>
      </c>
      <c r="D833" s="176">
        <v>61.58</v>
      </c>
      <c r="E833" s="174"/>
      <c r="F833" s="174"/>
      <c r="G833" s="174" t="s">
        <v>883</v>
      </c>
      <c r="H833" s="177">
        <v>51</v>
      </c>
      <c r="I833" s="24">
        <v>103003</v>
      </c>
      <c r="J833" s="178">
        <v>61.58</v>
      </c>
      <c r="K833" s="177">
        <v>2</v>
      </c>
      <c r="L833" s="179">
        <v>300</v>
      </c>
      <c r="M833" s="180">
        <v>0</v>
      </c>
      <c r="N833" s="178">
        <v>0</v>
      </c>
      <c r="O833" s="181" t="s">
        <v>882</v>
      </c>
      <c r="P833" s="180">
        <v>0</v>
      </c>
      <c r="Q833" s="182">
        <v>0</v>
      </c>
      <c r="R833" s="183" t="s">
        <v>883</v>
      </c>
      <c r="S833" s="174" t="s">
        <v>1481</v>
      </c>
      <c r="T833" s="44">
        <v>1</v>
      </c>
      <c r="U833" s="184">
        <v>54</v>
      </c>
      <c r="V833" s="185">
        <v>4</v>
      </c>
      <c r="W833" s="186" t="s">
        <v>883</v>
      </c>
      <c r="X833" s="187" t="s">
        <v>883</v>
      </c>
      <c r="Y833" s="188">
        <v>0</v>
      </c>
      <c r="Z833" s="188" t="s">
        <v>883</v>
      </c>
      <c r="AA833" s="187" t="s">
        <v>883</v>
      </c>
      <c r="AB833" s="188">
        <v>0</v>
      </c>
      <c r="AC833" s="188"/>
      <c r="AD833" s="189" t="s">
        <v>883</v>
      </c>
      <c r="AE833" s="190" t="s">
        <v>883</v>
      </c>
      <c r="AF833" s="180">
        <v>0</v>
      </c>
      <c r="AG833" s="183">
        <v>43837</v>
      </c>
      <c r="AH833" s="183">
        <v>43572</v>
      </c>
      <c r="AI833" s="183">
        <v>44379</v>
      </c>
      <c r="AJ833" s="183" t="s">
        <v>883</v>
      </c>
      <c r="AK833" s="174"/>
    </row>
    <row r="834" spans="1:37" x14ac:dyDescent="0.3">
      <c r="A834" s="173">
        <v>136824</v>
      </c>
      <c r="B834" s="174" t="s">
        <v>1924</v>
      </c>
      <c r="C834" s="175" t="s">
        <v>301</v>
      </c>
      <c r="D834" s="176">
        <v>127.63</v>
      </c>
      <c r="E834" s="174"/>
      <c r="F834" s="174"/>
      <c r="G834" s="174" t="s">
        <v>883</v>
      </c>
      <c r="H834" s="177">
        <v>1</v>
      </c>
      <c r="I834" s="24">
        <v>103003</v>
      </c>
      <c r="J834" s="178">
        <v>127.63</v>
      </c>
      <c r="K834" s="177">
        <v>6</v>
      </c>
      <c r="L834" s="179">
        <v>2</v>
      </c>
      <c r="M834" s="180">
        <v>0</v>
      </c>
      <c r="N834" s="178">
        <v>0</v>
      </c>
      <c r="O834" s="181" t="s">
        <v>882</v>
      </c>
      <c r="P834" s="180">
        <v>0</v>
      </c>
      <c r="Q834" s="182">
        <v>0</v>
      </c>
      <c r="R834" s="183" t="s">
        <v>883</v>
      </c>
      <c r="S834" s="174" t="s">
        <v>1481</v>
      </c>
      <c r="T834" s="44">
        <v>1</v>
      </c>
      <c r="U834" s="184">
        <v>54</v>
      </c>
      <c r="V834" s="185">
        <v>4</v>
      </c>
      <c r="W834" s="186">
        <v>2825</v>
      </c>
      <c r="X834" s="187">
        <v>2023</v>
      </c>
      <c r="Y834" s="188">
        <v>10</v>
      </c>
      <c r="Z834" s="188" t="s">
        <v>883</v>
      </c>
      <c r="AA834" s="187" t="s">
        <v>883</v>
      </c>
      <c r="AB834" s="188">
        <v>0</v>
      </c>
      <c r="AC834" s="188"/>
      <c r="AD834" s="189" t="s">
        <v>883</v>
      </c>
      <c r="AE834" s="190" t="s">
        <v>883</v>
      </c>
      <c r="AF834" s="180">
        <v>2</v>
      </c>
      <c r="AG834" s="183">
        <v>43837</v>
      </c>
      <c r="AH834" s="183">
        <v>43572</v>
      </c>
      <c r="AI834" s="183">
        <v>44642</v>
      </c>
      <c r="AJ834" s="183" t="s">
        <v>883</v>
      </c>
      <c r="AK834" s="174"/>
    </row>
    <row r="835" spans="1:37" x14ac:dyDescent="0.3">
      <c r="A835" s="173">
        <v>136825</v>
      </c>
      <c r="B835" s="174" t="s">
        <v>1925</v>
      </c>
      <c r="C835" s="175" t="s">
        <v>301</v>
      </c>
      <c r="D835" s="176">
        <v>127.63</v>
      </c>
      <c r="E835" s="174"/>
      <c r="F835" s="174"/>
      <c r="G835" s="174" t="s">
        <v>883</v>
      </c>
      <c r="H835" s="177">
        <v>0</v>
      </c>
      <c r="I835" s="24">
        <v>103003</v>
      </c>
      <c r="J835" s="178">
        <v>127.63</v>
      </c>
      <c r="K835" s="177">
        <v>3</v>
      </c>
      <c r="L835" s="179">
        <v>0</v>
      </c>
      <c r="M835" s="180">
        <v>0</v>
      </c>
      <c r="N835" s="178">
        <v>0</v>
      </c>
      <c r="O835" s="181" t="s">
        <v>882</v>
      </c>
      <c r="P835" s="180">
        <v>0</v>
      </c>
      <c r="Q835" s="182">
        <v>0</v>
      </c>
      <c r="R835" s="183" t="s">
        <v>883</v>
      </c>
      <c r="S835" s="174" t="s">
        <v>1481</v>
      </c>
      <c r="T835" s="44">
        <v>1</v>
      </c>
      <c r="U835" s="184">
        <v>54</v>
      </c>
      <c r="V835" s="185">
        <v>4</v>
      </c>
      <c r="W835" s="186">
        <v>2825</v>
      </c>
      <c r="X835" s="187">
        <v>2023</v>
      </c>
      <c r="Y835" s="188">
        <v>3</v>
      </c>
      <c r="Z835" s="188" t="s">
        <v>883</v>
      </c>
      <c r="AA835" s="187" t="s">
        <v>883</v>
      </c>
      <c r="AB835" s="188">
        <v>0</v>
      </c>
      <c r="AC835" s="188"/>
      <c r="AD835" s="189" t="s">
        <v>883</v>
      </c>
      <c r="AE835" s="190" t="s">
        <v>883</v>
      </c>
      <c r="AF835" s="180">
        <v>2</v>
      </c>
      <c r="AG835" s="183">
        <v>43837</v>
      </c>
      <c r="AH835" s="183">
        <v>43572</v>
      </c>
      <c r="AI835" s="183">
        <v>44642</v>
      </c>
      <c r="AJ835" s="183" t="s">
        <v>883</v>
      </c>
      <c r="AK835" s="174"/>
    </row>
    <row r="836" spans="1:37" x14ac:dyDescent="0.3">
      <c r="A836" s="173">
        <v>136826</v>
      </c>
      <c r="B836" s="174" t="s">
        <v>1926</v>
      </c>
      <c r="C836" s="175" t="s">
        <v>301</v>
      </c>
      <c r="D836" s="176">
        <v>61.76</v>
      </c>
      <c r="E836" s="174"/>
      <c r="F836" s="174"/>
      <c r="G836" s="174" t="s">
        <v>883</v>
      </c>
      <c r="H836" s="177">
        <v>2</v>
      </c>
      <c r="I836" s="24">
        <v>103003</v>
      </c>
      <c r="J836" s="178">
        <v>61.76</v>
      </c>
      <c r="K836" s="177">
        <v>7</v>
      </c>
      <c r="L836" s="179">
        <v>3.4482758620689657</v>
      </c>
      <c r="M836" s="180">
        <v>0</v>
      </c>
      <c r="N836" s="178">
        <v>0</v>
      </c>
      <c r="O836" s="181" t="s">
        <v>882</v>
      </c>
      <c r="P836" s="180">
        <v>0</v>
      </c>
      <c r="Q836" s="182">
        <v>0</v>
      </c>
      <c r="R836" s="183" t="s">
        <v>883</v>
      </c>
      <c r="S836" s="174" t="s">
        <v>1481</v>
      </c>
      <c r="T836" s="44">
        <v>1</v>
      </c>
      <c r="U836" s="184">
        <v>54</v>
      </c>
      <c r="V836" s="185">
        <v>4</v>
      </c>
      <c r="W836" s="186">
        <v>2825</v>
      </c>
      <c r="X836" s="187">
        <v>2023</v>
      </c>
      <c r="Y836" s="188">
        <v>15</v>
      </c>
      <c r="Z836" s="188" t="s">
        <v>883</v>
      </c>
      <c r="AA836" s="187" t="s">
        <v>883</v>
      </c>
      <c r="AB836" s="188">
        <v>0</v>
      </c>
      <c r="AC836" s="188"/>
      <c r="AD836" s="189" t="s">
        <v>883</v>
      </c>
      <c r="AE836" s="190" t="s">
        <v>883</v>
      </c>
      <c r="AF836" s="180">
        <v>2</v>
      </c>
      <c r="AG836" s="183">
        <v>43837</v>
      </c>
      <c r="AH836" s="183">
        <v>43572</v>
      </c>
      <c r="AI836" s="183">
        <v>44379</v>
      </c>
      <c r="AJ836" s="183" t="s">
        <v>883</v>
      </c>
      <c r="AK836" s="174"/>
    </row>
    <row r="837" spans="1:37" x14ac:dyDescent="0.3">
      <c r="A837" s="173">
        <v>136829</v>
      </c>
      <c r="B837" s="174" t="s">
        <v>1927</v>
      </c>
      <c r="C837" s="175" t="s">
        <v>301</v>
      </c>
      <c r="D837" s="176">
        <v>73.010000000000005</v>
      </c>
      <c r="E837" s="174"/>
      <c r="F837" s="174"/>
      <c r="G837" s="174" t="s">
        <v>883</v>
      </c>
      <c r="H837" s="177">
        <v>5</v>
      </c>
      <c r="I837" s="24">
        <v>103003</v>
      </c>
      <c r="J837" s="178">
        <v>73.010000000000005</v>
      </c>
      <c r="K837" s="177">
        <v>1</v>
      </c>
      <c r="L837" s="179">
        <v>62.5</v>
      </c>
      <c r="M837" s="180">
        <v>0</v>
      </c>
      <c r="N837" s="178">
        <v>0</v>
      </c>
      <c r="O837" s="181" t="s">
        <v>882</v>
      </c>
      <c r="P837" s="180">
        <v>0</v>
      </c>
      <c r="Q837" s="182">
        <v>0</v>
      </c>
      <c r="R837" s="183" t="s">
        <v>883</v>
      </c>
      <c r="S837" s="174" t="s">
        <v>1481</v>
      </c>
      <c r="T837" s="44">
        <v>1</v>
      </c>
      <c r="U837" s="184">
        <v>54</v>
      </c>
      <c r="V837" s="185">
        <v>4</v>
      </c>
      <c r="W837" s="186" t="s">
        <v>883</v>
      </c>
      <c r="X837" s="187" t="s">
        <v>883</v>
      </c>
      <c r="Y837" s="188">
        <v>0</v>
      </c>
      <c r="Z837" s="188" t="s">
        <v>883</v>
      </c>
      <c r="AA837" s="187" t="s">
        <v>883</v>
      </c>
      <c r="AB837" s="188">
        <v>0</v>
      </c>
      <c r="AC837" s="188"/>
      <c r="AD837" s="189" t="s">
        <v>883</v>
      </c>
      <c r="AE837" s="190" t="s">
        <v>883</v>
      </c>
      <c r="AF837" s="180">
        <v>0</v>
      </c>
      <c r="AG837" s="183">
        <v>43837</v>
      </c>
      <c r="AH837" s="183">
        <v>43572</v>
      </c>
      <c r="AI837" s="183">
        <v>44533</v>
      </c>
      <c r="AJ837" s="183" t="s">
        <v>883</v>
      </c>
      <c r="AK837" s="174"/>
    </row>
    <row r="838" spans="1:37" x14ac:dyDescent="0.3">
      <c r="A838" s="173">
        <v>136837</v>
      </c>
      <c r="B838" s="174" t="s">
        <v>310</v>
      </c>
      <c r="C838" s="175" t="s">
        <v>301</v>
      </c>
      <c r="D838" s="176">
        <v>56.6</v>
      </c>
      <c r="E838" s="174"/>
      <c r="F838" s="174"/>
      <c r="G838" s="174" t="s">
        <v>883</v>
      </c>
      <c r="H838" s="177">
        <v>3</v>
      </c>
      <c r="I838" s="24">
        <v>103003</v>
      </c>
      <c r="J838" s="178">
        <v>56.6</v>
      </c>
      <c r="K838" s="177"/>
      <c r="L838" s="179">
        <v>0</v>
      </c>
      <c r="M838" s="180">
        <v>0</v>
      </c>
      <c r="N838" s="178">
        <v>0</v>
      </c>
      <c r="O838" s="181" t="s">
        <v>882</v>
      </c>
      <c r="P838" s="180">
        <v>0</v>
      </c>
      <c r="Q838" s="182">
        <v>0</v>
      </c>
      <c r="R838" s="183" t="s">
        <v>883</v>
      </c>
      <c r="S838" s="174" t="s">
        <v>1481</v>
      </c>
      <c r="T838" s="44">
        <v>1</v>
      </c>
      <c r="U838" s="184">
        <v>54</v>
      </c>
      <c r="V838" s="185">
        <v>4</v>
      </c>
      <c r="W838" s="186" t="s">
        <v>883</v>
      </c>
      <c r="X838" s="187" t="s">
        <v>883</v>
      </c>
      <c r="Y838" s="188">
        <v>0</v>
      </c>
      <c r="Z838" s="188" t="s">
        <v>883</v>
      </c>
      <c r="AA838" s="187" t="s">
        <v>883</v>
      </c>
      <c r="AB838" s="188">
        <v>0</v>
      </c>
      <c r="AC838" s="188"/>
      <c r="AD838" s="189" t="s">
        <v>883</v>
      </c>
      <c r="AE838" s="190" t="s">
        <v>883</v>
      </c>
      <c r="AF838" s="180">
        <v>0</v>
      </c>
      <c r="AG838" s="183">
        <v>43819</v>
      </c>
      <c r="AH838" s="183">
        <v>43572</v>
      </c>
      <c r="AI838" s="183">
        <v>44461</v>
      </c>
      <c r="AJ838" s="183" t="s">
        <v>883</v>
      </c>
      <c r="AK838" s="174"/>
    </row>
    <row r="839" spans="1:37" x14ac:dyDescent="0.3">
      <c r="A839" s="173">
        <v>136838</v>
      </c>
      <c r="B839" s="174" t="s">
        <v>311</v>
      </c>
      <c r="C839" s="175" t="s">
        <v>301</v>
      </c>
      <c r="D839" s="176">
        <v>21.3</v>
      </c>
      <c r="E839" s="174"/>
      <c r="F839" s="174"/>
      <c r="G839" s="174" t="s">
        <v>883</v>
      </c>
      <c r="H839" s="177">
        <v>4</v>
      </c>
      <c r="I839" s="24">
        <v>103003</v>
      </c>
      <c r="J839" s="178">
        <v>21.3</v>
      </c>
      <c r="K839" s="177"/>
      <c r="L839" s="179">
        <v>0</v>
      </c>
      <c r="M839" s="180">
        <v>0</v>
      </c>
      <c r="N839" s="178">
        <v>0</v>
      </c>
      <c r="O839" s="181" t="s">
        <v>882</v>
      </c>
      <c r="P839" s="180">
        <v>0</v>
      </c>
      <c r="Q839" s="182">
        <v>0</v>
      </c>
      <c r="R839" s="183" t="s">
        <v>883</v>
      </c>
      <c r="S839" s="174" t="s">
        <v>1481</v>
      </c>
      <c r="T839" s="44">
        <v>1</v>
      </c>
      <c r="U839" s="184">
        <v>54</v>
      </c>
      <c r="V839" s="185">
        <v>4</v>
      </c>
      <c r="W839" s="186" t="s">
        <v>883</v>
      </c>
      <c r="X839" s="187" t="s">
        <v>883</v>
      </c>
      <c r="Y839" s="188">
        <v>0</v>
      </c>
      <c r="Z839" s="188" t="s">
        <v>883</v>
      </c>
      <c r="AA839" s="187" t="s">
        <v>883</v>
      </c>
      <c r="AB839" s="188">
        <v>0</v>
      </c>
      <c r="AC839" s="188"/>
      <c r="AD839" s="189" t="s">
        <v>883</v>
      </c>
      <c r="AE839" s="190" t="s">
        <v>883</v>
      </c>
      <c r="AF839" s="180">
        <v>0</v>
      </c>
      <c r="AG839" s="183">
        <v>43819</v>
      </c>
      <c r="AH839" s="183">
        <v>43572</v>
      </c>
      <c r="AI839" s="183">
        <v>43780</v>
      </c>
      <c r="AJ839" s="183" t="s">
        <v>883</v>
      </c>
      <c r="AK839" s="174"/>
    </row>
    <row r="840" spans="1:37" x14ac:dyDescent="0.3">
      <c r="A840" s="173">
        <v>136839</v>
      </c>
      <c r="B840" s="174" t="s">
        <v>312</v>
      </c>
      <c r="C840" s="175" t="s">
        <v>301</v>
      </c>
      <c r="D840" s="176">
        <v>21.3</v>
      </c>
      <c r="E840" s="174"/>
      <c r="F840" s="174"/>
      <c r="G840" s="174" t="s">
        <v>883</v>
      </c>
      <c r="H840" s="177">
        <v>16</v>
      </c>
      <c r="I840" s="24">
        <v>103003</v>
      </c>
      <c r="J840" s="178">
        <v>21.3</v>
      </c>
      <c r="K840" s="177"/>
      <c r="L840" s="179">
        <v>0</v>
      </c>
      <c r="M840" s="180">
        <v>0</v>
      </c>
      <c r="N840" s="178">
        <v>0</v>
      </c>
      <c r="O840" s="181" t="s">
        <v>882</v>
      </c>
      <c r="P840" s="180">
        <v>0</v>
      </c>
      <c r="Q840" s="182">
        <v>0</v>
      </c>
      <c r="R840" s="183" t="s">
        <v>883</v>
      </c>
      <c r="S840" s="174" t="s">
        <v>1481</v>
      </c>
      <c r="T840" s="44">
        <v>1</v>
      </c>
      <c r="U840" s="184">
        <v>54</v>
      </c>
      <c r="V840" s="185">
        <v>4</v>
      </c>
      <c r="W840" s="186" t="s">
        <v>883</v>
      </c>
      <c r="X840" s="187" t="s">
        <v>883</v>
      </c>
      <c r="Y840" s="188">
        <v>0</v>
      </c>
      <c r="Z840" s="188" t="s">
        <v>883</v>
      </c>
      <c r="AA840" s="187" t="s">
        <v>883</v>
      </c>
      <c r="AB840" s="188">
        <v>0</v>
      </c>
      <c r="AC840" s="188"/>
      <c r="AD840" s="189" t="s">
        <v>883</v>
      </c>
      <c r="AE840" s="190" t="s">
        <v>883</v>
      </c>
      <c r="AF840" s="180">
        <v>0</v>
      </c>
      <c r="AG840" s="183">
        <v>43819</v>
      </c>
      <c r="AH840" s="183">
        <v>43572</v>
      </c>
      <c r="AI840" s="183">
        <v>43780</v>
      </c>
      <c r="AJ840" s="183" t="s">
        <v>883</v>
      </c>
      <c r="AK840" s="174"/>
    </row>
    <row r="841" spans="1:37" x14ac:dyDescent="0.3">
      <c r="A841" s="173">
        <v>136840</v>
      </c>
      <c r="B841" s="174" t="s">
        <v>313</v>
      </c>
      <c r="C841" s="175" t="s">
        <v>301</v>
      </c>
      <c r="D841" s="176">
        <v>21.3</v>
      </c>
      <c r="E841" s="174"/>
      <c r="F841" s="174"/>
      <c r="G841" s="174" t="s">
        <v>883</v>
      </c>
      <c r="H841" s="177">
        <v>1</v>
      </c>
      <c r="I841" s="24">
        <v>103003</v>
      </c>
      <c r="J841" s="178">
        <v>21.3</v>
      </c>
      <c r="K841" s="177"/>
      <c r="L841" s="179">
        <v>0</v>
      </c>
      <c r="M841" s="180">
        <v>0</v>
      </c>
      <c r="N841" s="178">
        <v>0</v>
      </c>
      <c r="O841" s="181" t="s">
        <v>882</v>
      </c>
      <c r="P841" s="180">
        <v>0</v>
      </c>
      <c r="Q841" s="182">
        <v>0</v>
      </c>
      <c r="R841" s="183" t="s">
        <v>883</v>
      </c>
      <c r="S841" s="174" t="s">
        <v>1481</v>
      </c>
      <c r="T841" s="44">
        <v>1</v>
      </c>
      <c r="U841" s="184">
        <v>54</v>
      </c>
      <c r="V841" s="185">
        <v>4</v>
      </c>
      <c r="W841" s="186" t="s">
        <v>883</v>
      </c>
      <c r="X841" s="187" t="s">
        <v>883</v>
      </c>
      <c r="Y841" s="188">
        <v>0</v>
      </c>
      <c r="Z841" s="188" t="s">
        <v>883</v>
      </c>
      <c r="AA841" s="187" t="s">
        <v>883</v>
      </c>
      <c r="AB841" s="188">
        <v>0</v>
      </c>
      <c r="AC841" s="188"/>
      <c r="AD841" s="189" t="s">
        <v>883</v>
      </c>
      <c r="AE841" s="190" t="s">
        <v>883</v>
      </c>
      <c r="AF841" s="180">
        <v>0</v>
      </c>
      <c r="AG841" s="183">
        <v>43819</v>
      </c>
      <c r="AH841" s="183">
        <v>43572</v>
      </c>
      <c r="AI841" s="183">
        <v>43780</v>
      </c>
      <c r="AJ841" s="183" t="s">
        <v>883</v>
      </c>
      <c r="AK841" s="174"/>
    </row>
    <row r="842" spans="1:37" x14ac:dyDescent="0.3">
      <c r="A842" s="173">
        <v>136841</v>
      </c>
      <c r="B842" s="174" t="s">
        <v>314</v>
      </c>
      <c r="C842" s="175" t="s">
        <v>301</v>
      </c>
      <c r="D842" s="176">
        <v>21.3</v>
      </c>
      <c r="E842" s="174"/>
      <c r="F842" s="174"/>
      <c r="G842" s="174" t="s">
        <v>883</v>
      </c>
      <c r="H842" s="177">
        <v>5</v>
      </c>
      <c r="I842" s="24">
        <v>103003</v>
      </c>
      <c r="J842" s="178">
        <v>21.3</v>
      </c>
      <c r="K842" s="177">
        <v>1</v>
      </c>
      <c r="L842" s="179">
        <v>62.5</v>
      </c>
      <c r="M842" s="180">
        <v>0</v>
      </c>
      <c r="N842" s="178">
        <v>0</v>
      </c>
      <c r="O842" s="181" t="s">
        <v>882</v>
      </c>
      <c r="P842" s="180">
        <v>0</v>
      </c>
      <c r="Q842" s="182">
        <v>0</v>
      </c>
      <c r="R842" s="183" t="s">
        <v>883</v>
      </c>
      <c r="S842" s="174" t="s">
        <v>1481</v>
      </c>
      <c r="T842" s="44">
        <v>1</v>
      </c>
      <c r="U842" s="184">
        <v>54</v>
      </c>
      <c r="V842" s="185">
        <v>4</v>
      </c>
      <c r="W842" s="186" t="s">
        <v>883</v>
      </c>
      <c r="X842" s="187" t="s">
        <v>883</v>
      </c>
      <c r="Y842" s="188">
        <v>0</v>
      </c>
      <c r="Z842" s="188" t="s">
        <v>883</v>
      </c>
      <c r="AA842" s="187" t="s">
        <v>883</v>
      </c>
      <c r="AB842" s="188">
        <v>0</v>
      </c>
      <c r="AC842" s="188"/>
      <c r="AD842" s="189" t="s">
        <v>883</v>
      </c>
      <c r="AE842" s="190" t="s">
        <v>883</v>
      </c>
      <c r="AF842" s="180">
        <v>0</v>
      </c>
      <c r="AG842" s="183">
        <v>43819</v>
      </c>
      <c r="AH842" s="183">
        <v>43572</v>
      </c>
      <c r="AI842" s="183">
        <v>43780</v>
      </c>
      <c r="AJ842" s="183" t="s">
        <v>883</v>
      </c>
      <c r="AK842" s="174"/>
    </row>
    <row r="843" spans="1:37" x14ac:dyDescent="0.3">
      <c r="A843" s="173">
        <v>136842</v>
      </c>
      <c r="B843" s="174" t="s">
        <v>315</v>
      </c>
      <c r="C843" s="175" t="s">
        <v>301</v>
      </c>
      <c r="D843" s="176">
        <v>21.3</v>
      </c>
      <c r="E843" s="174"/>
      <c r="F843" s="174"/>
      <c r="G843" s="174" t="s">
        <v>883</v>
      </c>
      <c r="H843" s="177">
        <v>5</v>
      </c>
      <c r="I843" s="24">
        <v>103003</v>
      </c>
      <c r="J843" s="178">
        <v>21.3</v>
      </c>
      <c r="K843" s="177">
        <v>1</v>
      </c>
      <c r="L843" s="179">
        <v>62.5</v>
      </c>
      <c r="M843" s="180">
        <v>0</v>
      </c>
      <c r="N843" s="178">
        <v>0</v>
      </c>
      <c r="O843" s="181" t="s">
        <v>882</v>
      </c>
      <c r="P843" s="180">
        <v>0</v>
      </c>
      <c r="Q843" s="182">
        <v>0</v>
      </c>
      <c r="R843" s="183" t="s">
        <v>883</v>
      </c>
      <c r="S843" s="174" t="s">
        <v>1481</v>
      </c>
      <c r="T843" s="44">
        <v>1</v>
      </c>
      <c r="U843" s="184">
        <v>54</v>
      </c>
      <c r="V843" s="185">
        <v>4</v>
      </c>
      <c r="W843" s="186" t="s">
        <v>883</v>
      </c>
      <c r="X843" s="187" t="s">
        <v>883</v>
      </c>
      <c r="Y843" s="188">
        <v>0</v>
      </c>
      <c r="Z843" s="188" t="s">
        <v>883</v>
      </c>
      <c r="AA843" s="187" t="s">
        <v>883</v>
      </c>
      <c r="AB843" s="188">
        <v>0</v>
      </c>
      <c r="AC843" s="188"/>
      <c r="AD843" s="189" t="s">
        <v>883</v>
      </c>
      <c r="AE843" s="190" t="s">
        <v>883</v>
      </c>
      <c r="AF843" s="180">
        <v>0</v>
      </c>
      <c r="AG843" s="183">
        <v>43819</v>
      </c>
      <c r="AH843" s="183">
        <v>43572</v>
      </c>
      <c r="AI843" s="183">
        <v>43780</v>
      </c>
      <c r="AJ843" s="183" t="s">
        <v>883</v>
      </c>
      <c r="AK843" s="174"/>
    </row>
    <row r="844" spans="1:37" x14ac:dyDescent="0.3">
      <c r="A844" s="173">
        <v>136843</v>
      </c>
      <c r="B844" s="174" t="s">
        <v>316</v>
      </c>
      <c r="C844" s="175" t="s">
        <v>301</v>
      </c>
      <c r="D844" s="176">
        <v>56.6</v>
      </c>
      <c r="E844" s="174"/>
      <c r="F844" s="174"/>
      <c r="G844" s="174" t="s">
        <v>883</v>
      </c>
      <c r="H844" s="177">
        <v>7</v>
      </c>
      <c r="I844" s="24">
        <v>103003</v>
      </c>
      <c r="J844" s="178">
        <v>56.6</v>
      </c>
      <c r="K844" s="177">
        <v>1</v>
      </c>
      <c r="L844" s="179">
        <v>87.5</v>
      </c>
      <c r="M844" s="180">
        <v>0</v>
      </c>
      <c r="N844" s="178">
        <v>0</v>
      </c>
      <c r="O844" s="181" t="s">
        <v>882</v>
      </c>
      <c r="P844" s="180">
        <v>0</v>
      </c>
      <c r="Q844" s="182">
        <v>0</v>
      </c>
      <c r="R844" s="183" t="s">
        <v>883</v>
      </c>
      <c r="S844" s="174" t="s">
        <v>1481</v>
      </c>
      <c r="T844" s="44">
        <v>1</v>
      </c>
      <c r="U844" s="184">
        <v>54</v>
      </c>
      <c r="V844" s="185">
        <v>4</v>
      </c>
      <c r="W844" s="186" t="s">
        <v>883</v>
      </c>
      <c r="X844" s="187" t="s">
        <v>883</v>
      </c>
      <c r="Y844" s="188">
        <v>0</v>
      </c>
      <c r="Z844" s="188" t="s">
        <v>883</v>
      </c>
      <c r="AA844" s="187" t="s">
        <v>883</v>
      </c>
      <c r="AB844" s="188">
        <v>0</v>
      </c>
      <c r="AC844" s="188"/>
      <c r="AD844" s="189" t="s">
        <v>883</v>
      </c>
      <c r="AE844" s="190" t="s">
        <v>883</v>
      </c>
      <c r="AF844" s="180">
        <v>0</v>
      </c>
      <c r="AG844" s="183">
        <v>43819</v>
      </c>
      <c r="AH844" s="183">
        <v>43572</v>
      </c>
      <c r="AI844" s="183">
        <v>44461</v>
      </c>
      <c r="AJ844" s="183" t="s">
        <v>883</v>
      </c>
      <c r="AK844" s="174"/>
    </row>
    <row r="845" spans="1:37" x14ac:dyDescent="0.3">
      <c r="A845" s="173">
        <v>136853</v>
      </c>
      <c r="B845" s="174" t="s">
        <v>1928</v>
      </c>
      <c r="C845" s="175" t="s">
        <v>301</v>
      </c>
      <c r="D845" s="176">
        <v>1.76</v>
      </c>
      <c r="E845" s="174"/>
      <c r="F845" s="174"/>
      <c r="G845" s="174" t="s">
        <v>883</v>
      </c>
      <c r="H845" s="177">
        <v>55</v>
      </c>
      <c r="I845" s="24">
        <v>103003</v>
      </c>
      <c r="J845" s="178">
        <v>1.76</v>
      </c>
      <c r="K845" s="177">
        <v>21</v>
      </c>
      <c r="L845" s="179">
        <v>31.428571428571427</v>
      </c>
      <c r="M845" s="180">
        <v>0</v>
      </c>
      <c r="N845" s="178">
        <v>0</v>
      </c>
      <c r="O845" s="181" t="s">
        <v>882</v>
      </c>
      <c r="P845" s="180">
        <v>0</v>
      </c>
      <c r="Q845" s="182">
        <v>0</v>
      </c>
      <c r="R845" s="183" t="s">
        <v>883</v>
      </c>
      <c r="S845" s="174" t="s">
        <v>1481</v>
      </c>
      <c r="T845" s="44">
        <v>1</v>
      </c>
      <c r="U845" s="184">
        <v>54</v>
      </c>
      <c r="V845" s="185">
        <v>4</v>
      </c>
      <c r="W845" s="186" t="s">
        <v>883</v>
      </c>
      <c r="X845" s="187" t="s">
        <v>883</v>
      </c>
      <c r="Y845" s="188">
        <v>0</v>
      </c>
      <c r="Z845" s="188" t="s">
        <v>883</v>
      </c>
      <c r="AA845" s="187" t="s">
        <v>883</v>
      </c>
      <c r="AB845" s="188">
        <v>0</v>
      </c>
      <c r="AC845" s="188"/>
      <c r="AD845" s="189" t="s">
        <v>883</v>
      </c>
      <c r="AE845" s="190" t="s">
        <v>883</v>
      </c>
      <c r="AF845" s="180">
        <v>8</v>
      </c>
      <c r="AG845" s="183">
        <v>43802</v>
      </c>
      <c r="AH845" s="183">
        <v>43578</v>
      </c>
      <c r="AI845" s="183">
        <v>43780</v>
      </c>
      <c r="AJ845" s="183" t="s">
        <v>883</v>
      </c>
      <c r="AK845" s="174"/>
    </row>
    <row r="846" spans="1:37" x14ac:dyDescent="0.3">
      <c r="A846" s="173">
        <v>136854</v>
      </c>
      <c r="B846" s="174" t="s">
        <v>1929</v>
      </c>
      <c r="C846" s="175" t="s">
        <v>31</v>
      </c>
      <c r="D846" s="176">
        <v>3</v>
      </c>
      <c r="E846" s="174"/>
      <c r="F846" s="174"/>
      <c r="G846" s="174" t="s">
        <v>883</v>
      </c>
      <c r="H846" s="177">
        <v>16</v>
      </c>
      <c r="I846" s="24">
        <v>103003</v>
      </c>
      <c r="J846" s="178">
        <v>3</v>
      </c>
      <c r="K846" s="177">
        <v>4</v>
      </c>
      <c r="L846" s="179">
        <v>48.484848484848492</v>
      </c>
      <c r="M846" s="180">
        <v>0</v>
      </c>
      <c r="N846" s="178">
        <v>0</v>
      </c>
      <c r="O846" s="181" t="s">
        <v>882</v>
      </c>
      <c r="P846" s="180">
        <v>0</v>
      </c>
      <c r="Q846" s="182">
        <v>0</v>
      </c>
      <c r="R846" s="183" t="s">
        <v>883</v>
      </c>
      <c r="S846" s="174" t="s">
        <v>1481</v>
      </c>
      <c r="T846" s="44">
        <v>1</v>
      </c>
      <c r="U846" s="184">
        <v>54</v>
      </c>
      <c r="V846" s="185">
        <v>4</v>
      </c>
      <c r="W846" s="186">
        <v>2825</v>
      </c>
      <c r="X846" s="187">
        <v>2023</v>
      </c>
      <c r="Y846" s="188">
        <v>50</v>
      </c>
      <c r="Z846" s="188" t="s">
        <v>883</v>
      </c>
      <c r="AA846" s="187" t="s">
        <v>883</v>
      </c>
      <c r="AB846" s="188">
        <v>0</v>
      </c>
      <c r="AC846" s="188"/>
      <c r="AD846" s="189" t="s">
        <v>883</v>
      </c>
      <c r="AE846" s="190" t="s">
        <v>883</v>
      </c>
      <c r="AF846" s="180">
        <v>2</v>
      </c>
      <c r="AG846" s="183">
        <v>43819</v>
      </c>
      <c r="AH846" s="183">
        <v>43578</v>
      </c>
      <c r="AI846" s="183">
        <v>44517</v>
      </c>
      <c r="AJ846" s="183" t="s">
        <v>883</v>
      </c>
      <c r="AK846" s="174"/>
    </row>
    <row r="847" spans="1:37" x14ac:dyDescent="0.3">
      <c r="A847" s="173">
        <v>136855</v>
      </c>
      <c r="B847" s="174" t="s">
        <v>1930</v>
      </c>
      <c r="C847" s="175" t="s">
        <v>301</v>
      </c>
      <c r="D847" s="176">
        <v>6.9</v>
      </c>
      <c r="E847" s="174"/>
      <c r="F847" s="174"/>
      <c r="G847" s="174" t="s">
        <v>883</v>
      </c>
      <c r="H847" s="177">
        <v>80</v>
      </c>
      <c r="I847" s="24">
        <v>103003</v>
      </c>
      <c r="J847" s="178">
        <v>6.9</v>
      </c>
      <c r="K847" s="177">
        <v>3</v>
      </c>
      <c r="L847" s="179">
        <v>320</v>
      </c>
      <c r="M847" s="180">
        <v>0</v>
      </c>
      <c r="N847" s="178">
        <v>0</v>
      </c>
      <c r="O847" s="181" t="s">
        <v>882</v>
      </c>
      <c r="P847" s="180">
        <v>0</v>
      </c>
      <c r="Q847" s="182">
        <v>0</v>
      </c>
      <c r="R847" s="183" t="s">
        <v>883</v>
      </c>
      <c r="S847" s="174" t="s">
        <v>1481</v>
      </c>
      <c r="T847" s="44">
        <v>1</v>
      </c>
      <c r="U847" s="184">
        <v>54</v>
      </c>
      <c r="V847" s="185">
        <v>4</v>
      </c>
      <c r="W847" s="186" t="s">
        <v>883</v>
      </c>
      <c r="X847" s="187" t="s">
        <v>883</v>
      </c>
      <c r="Y847" s="188">
        <v>0</v>
      </c>
      <c r="Z847" s="188" t="s">
        <v>883</v>
      </c>
      <c r="AA847" s="187" t="s">
        <v>883</v>
      </c>
      <c r="AB847" s="188">
        <v>0</v>
      </c>
      <c r="AC847" s="188"/>
      <c r="AD847" s="189" t="s">
        <v>883</v>
      </c>
      <c r="AE847" s="190" t="s">
        <v>883</v>
      </c>
      <c r="AF847" s="180">
        <v>0</v>
      </c>
      <c r="AG847" s="183">
        <v>43962</v>
      </c>
      <c r="AH847" s="183">
        <v>43578</v>
      </c>
      <c r="AI847" s="183">
        <v>43929</v>
      </c>
      <c r="AJ847" s="183" t="s">
        <v>883</v>
      </c>
      <c r="AK847" s="174"/>
    </row>
    <row r="848" spans="1:37" x14ac:dyDescent="0.3">
      <c r="A848" s="173">
        <v>136858</v>
      </c>
      <c r="B848" s="174" t="s">
        <v>1931</v>
      </c>
      <c r="C848" s="175" t="s">
        <v>301</v>
      </c>
      <c r="D848" s="176">
        <v>8.8000000000000007</v>
      </c>
      <c r="E848" s="174"/>
      <c r="F848" s="174"/>
      <c r="G848" s="174" t="s">
        <v>883</v>
      </c>
      <c r="H848" s="177">
        <v>28</v>
      </c>
      <c r="I848" s="24">
        <v>103003</v>
      </c>
      <c r="J848" s="178">
        <v>8.8000000000000007</v>
      </c>
      <c r="K848" s="177"/>
      <c r="L848" s="179">
        <v>0</v>
      </c>
      <c r="M848" s="180">
        <v>0</v>
      </c>
      <c r="N848" s="178">
        <v>0</v>
      </c>
      <c r="O848" s="181" t="s">
        <v>882</v>
      </c>
      <c r="P848" s="180">
        <v>0</v>
      </c>
      <c r="Q848" s="182">
        <v>0</v>
      </c>
      <c r="R848" s="183" t="s">
        <v>883</v>
      </c>
      <c r="S848" s="174" t="s">
        <v>1481</v>
      </c>
      <c r="T848" s="44">
        <v>1</v>
      </c>
      <c r="U848" s="184">
        <v>54</v>
      </c>
      <c r="V848" s="185">
        <v>4</v>
      </c>
      <c r="W848" s="186" t="s">
        <v>883</v>
      </c>
      <c r="X848" s="187" t="s">
        <v>883</v>
      </c>
      <c r="Y848" s="188">
        <v>0</v>
      </c>
      <c r="Z848" s="188" t="s">
        <v>883</v>
      </c>
      <c r="AA848" s="187" t="s">
        <v>883</v>
      </c>
      <c r="AB848" s="188">
        <v>0</v>
      </c>
      <c r="AC848" s="188"/>
      <c r="AD848" s="189" t="s">
        <v>883</v>
      </c>
      <c r="AE848" s="190" t="s">
        <v>883</v>
      </c>
      <c r="AF848" s="180">
        <v>0</v>
      </c>
      <c r="AG848" s="183">
        <v>43965</v>
      </c>
      <c r="AH848" s="183">
        <v>43578</v>
      </c>
      <c r="AI848" s="183">
        <v>43929</v>
      </c>
      <c r="AJ848" s="183" t="s">
        <v>883</v>
      </c>
      <c r="AK848" s="174"/>
    </row>
    <row r="849" spans="1:37" x14ac:dyDescent="0.3">
      <c r="A849" s="173">
        <v>136859</v>
      </c>
      <c r="B849" s="174" t="s">
        <v>1932</v>
      </c>
      <c r="C849" s="175" t="s">
        <v>256</v>
      </c>
      <c r="D849" s="176">
        <v>30.66</v>
      </c>
      <c r="E849" s="174"/>
      <c r="F849" s="174"/>
      <c r="G849" s="174" t="s">
        <v>883</v>
      </c>
      <c r="H849" s="177">
        <v>44</v>
      </c>
      <c r="I849" s="24">
        <v>103003</v>
      </c>
      <c r="J849" s="178">
        <v>41.119259999999997</v>
      </c>
      <c r="K849" s="177"/>
      <c r="L849" s="179">
        <v>0</v>
      </c>
      <c r="M849" s="180">
        <v>0</v>
      </c>
      <c r="N849" s="178">
        <v>0</v>
      </c>
      <c r="O849" s="181" t="s">
        <v>882</v>
      </c>
      <c r="P849" s="180">
        <v>0</v>
      </c>
      <c r="Q849" s="182">
        <v>0</v>
      </c>
      <c r="R849" s="183" t="s">
        <v>883</v>
      </c>
      <c r="S849" s="174" t="s">
        <v>1481</v>
      </c>
      <c r="T849" s="44">
        <v>1</v>
      </c>
      <c r="U849" s="184">
        <v>54</v>
      </c>
      <c r="V849" s="185">
        <v>4</v>
      </c>
      <c r="W849" s="186" t="s">
        <v>883</v>
      </c>
      <c r="X849" s="187" t="s">
        <v>883</v>
      </c>
      <c r="Y849" s="188">
        <v>0</v>
      </c>
      <c r="Z849" s="188" t="s">
        <v>883</v>
      </c>
      <c r="AA849" s="187" t="s">
        <v>883</v>
      </c>
      <c r="AB849" s="188">
        <v>0</v>
      </c>
      <c r="AC849" s="188"/>
      <c r="AD849" s="189" t="s">
        <v>883</v>
      </c>
      <c r="AE849" s="190" t="s">
        <v>883</v>
      </c>
      <c r="AF849" s="180">
        <v>0</v>
      </c>
      <c r="AG849" s="183">
        <v>43826</v>
      </c>
      <c r="AH849" s="183">
        <v>43578</v>
      </c>
      <c r="AI849" s="183">
        <v>43805</v>
      </c>
      <c r="AJ849" s="183" t="s">
        <v>883</v>
      </c>
      <c r="AK849" s="174"/>
    </row>
    <row r="850" spans="1:37" x14ac:dyDescent="0.3">
      <c r="A850" s="173">
        <v>136860</v>
      </c>
      <c r="B850" s="174" t="s">
        <v>1933</v>
      </c>
      <c r="C850" s="175" t="s">
        <v>256</v>
      </c>
      <c r="D850" s="176">
        <v>26.14</v>
      </c>
      <c r="E850" s="174"/>
      <c r="F850" s="174"/>
      <c r="G850" s="174" t="s">
        <v>883</v>
      </c>
      <c r="H850" s="177">
        <v>9</v>
      </c>
      <c r="I850" s="24">
        <v>103003</v>
      </c>
      <c r="J850" s="178">
        <v>26.14</v>
      </c>
      <c r="K850" s="177">
        <v>2</v>
      </c>
      <c r="L850" s="179">
        <v>52.941176470588239</v>
      </c>
      <c r="M850" s="180">
        <v>0</v>
      </c>
      <c r="N850" s="178">
        <v>0</v>
      </c>
      <c r="O850" s="181" t="s">
        <v>882</v>
      </c>
      <c r="P850" s="180">
        <v>0</v>
      </c>
      <c r="Q850" s="182">
        <v>0</v>
      </c>
      <c r="R850" s="183" t="s">
        <v>883</v>
      </c>
      <c r="S850" s="174" t="s">
        <v>1481</v>
      </c>
      <c r="T850" s="44">
        <v>1</v>
      </c>
      <c r="U850" s="184">
        <v>54</v>
      </c>
      <c r="V850" s="185">
        <v>4</v>
      </c>
      <c r="W850" s="186" t="s">
        <v>883</v>
      </c>
      <c r="X850" s="187" t="s">
        <v>883</v>
      </c>
      <c r="Y850" s="188">
        <v>0</v>
      </c>
      <c r="Z850" s="188" t="s">
        <v>883</v>
      </c>
      <c r="AA850" s="187" t="s">
        <v>883</v>
      </c>
      <c r="AB850" s="188">
        <v>0</v>
      </c>
      <c r="AC850" s="188"/>
      <c r="AD850" s="189" t="s">
        <v>883</v>
      </c>
      <c r="AE850" s="190" t="s">
        <v>883</v>
      </c>
      <c r="AF850" s="180">
        <v>0</v>
      </c>
      <c r="AG850" s="183">
        <v>43819</v>
      </c>
      <c r="AH850" s="183">
        <v>43578</v>
      </c>
      <c r="AI850" s="183">
        <v>43780</v>
      </c>
      <c r="AJ850" s="183" t="s">
        <v>883</v>
      </c>
      <c r="AK850" s="174"/>
    </row>
    <row r="851" spans="1:37" x14ac:dyDescent="0.3">
      <c r="A851" s="173">
        <v>136876</v>
      </c>
      <c r="B851" s="174" t="s">
        <v>1934</v>
      </c>
      <c r="C851" s="175" t="s">
        <v>31</v>
      </c>
      <c r="D851" s="176">
        <v>278.92</v>
      </c>
      <c r="E851" s="174"/>
      <c r="F851" s="174"/>
      <c r="G851" s="174" t="s">
        <v>883</v>
      </c>
      <c r="H851" s="177">
        <v>1</v>
      </c>
      <c r="I851" s="24">
        <v>103003</v>
      </c>
      <c r="J851" s="178">
        <v>278.92</v>
      </c>
      <c r="K851" s="177"/>
      <c r="L851" s="179">
        <v>0</v>
      </c>
      <c r="M851" s="180">
        <v>0</v>
      </c>
      <c r="N851" s="178">
        <v>0</v>
      </c>
      <c r="O851" s="181" t="s">
        <v>882</v>
      </c>
      <c r="P851" s="180">
        <v>0</v>
      </c>
      <c r="Q851" s="182">
        <v>0</v>
      </c>
      <c r="R851" s="183" t="s">
        <v>883</v>
      </c>
      <c r="S851" s="174" t="s">
        <v>1481</v>
      </c>
      <c r="T851" s="44">
        <v>1</v>
      </c>
      <c r="U851" s="184">
        <v>54</v>
      </c>
      <c r="V851" s="185">
        <v>4</v>
      </c>
      <c r="W851" s="186">
        <v>2919</v>
      </c>
      <c r="X851" s="187">
        <v>2023</v>
      </c>
      <c r="Y851" s="188">
        <v>5</v>
      </c>
      <c r="Z851" s="188" t="s">
        <v>883</v>
      </c>
      <c r="AA851" s="187" t="s">
        <v>883</v>
      </c>
      <c r="AB851" s="188">
        <v>0</v>
      </c>
      <c r="AC851" s="188"/>
      <c r="AD851" s="189" t="s">
        <v>883</v>
      </c>
      <c r="AE851" s="190" t="s">
        <v>883</v>
      </c>
      <c r="AF851" s="180">
        <v>0</v>
      </c>
      <c r="AG851" s="183">
        <v>43945</v>
      </c>
      <c r="AH851" s="183">
        <v>43580</v>
      </c>
      <c r="AI851" s="183">
        <v>44594</v>
      </c>
      <c r="AJ851" s="183" t="s">
        <v>883</v>
      </c>
      <c r="AK851" s="174"/>
    </row>
    <row r="852" spans="1:37" x14ac:dyDescent="0.3">
      <c r="A852" s="173">
        <v>136877</v>
      </c>
      <c r="B852" s="174" t="s">
        <v>1935</v>
      </c>
      <c r="C852" s="175" t="s">
        <v>31</v>
      </c>
      <c r="D852" s="176">
        <v>9.9</v>
      </c>
      <c r="E852" s="174"/>
      <c r="F852" s="174"/>
      <c r="G852" s="174" t="s">
        <v>883</v>
      </c>
      <c r="H852" s="177">
        <v>13</v>
      </c>
      <c r="I852" s="24">
        <v>103003</v>
      </c>
      <c r="J852" s="178">
        <v>9.9</v>
      </c>
      <c r="K852" s="177"/>
      <c r="L852" s="179">
        <v>0</v>
      </c>
      <c r="M852" s="180">
        <v>0</v>
      </c>
      <c r="N852" s="178">
        <v>0</v>
      </c>
      <c r="O852" s="181" t="s">
        <v>882</v>
      </c>
      <c r="P852" s="180">
        <v>0</v>
      </c>
      <c r="Q852" s="182">
        <v>0</v>
      </c>
      <c r="R852" s="183" t="s">
        <v>883</v>
      </c>
      <c r="S852" s="174" t="s">
        <v>1481</v>
      </c>
      <c r="T852" s="44">
        <v>1</v>
      </c>
      <c r="U852" s="184">
        <v>54</v>
      </c>
      <c r="V852" s="185">
        <v>4</v>
      </c>
      <c r="W852" s="186" t="s">
        <v>883</v>
      </c>
      <c r="X852" s="187" t="s">
        <v>883</v>
      </c>
      <c r="Y852" s="188">
        <v>0</v>
      </c>
      <c r="Z852" s="188" t="s">
        <v>883</v>
      </c>
      <c r="AA852" s="187" t="s">
        <v>883</v>
      </c>
      <c r="AB852" s="188">
        <v>0</v>
      </c>
      <c r="AC852" s="188"/>
      <c r="AD852" s="189" t="s">
        <v>883</v>
      </c>
      <c r="AE852" s="190" t="s">
        <v>883</v>
      </c>
      <c r="AF852" s="180">
        <v>0</v>
      </c>
      <c r="AG852" s="183">
        <v>43955</v>
      </c>
      <c r="AH852" s="183">
        <v>43580</v>
      </c>
      <c r="AI852" s="183">
        <v>43929</v>
      </c>
      <c r="AJ852" s="183" t="s">
        <v>883</v>
      </c>
      <c r="AK852" s="174"/>
    </row>
    <row r="853" spans="1:37" x14ac:dyDescent="0.3">
      <c r="A853" s="173">
        <v>136880</v>
      </c>
      <c r="B853" s="174" t="s">
        <v>1936</v>
      </c>
      <c r="C853" s="175" t="s">
        <v>256</v>
      </c>
      <c r="D853" s="176">
        <v>18.32</v>
      </c>
      <c r="E853" s="174"/>
      <c r="F853" s="174"/>
      <c r="G853" s="174" t="s">
        <v>883</v>
      </c>
      <c r="H853" s="177">
        <v>17</v>
      </c>
      <c r="I853" s="24">
        <v>103003</v>
      </c>
      <c r="J853" s="178">
        <v>18.32</v>
      </c>
      <c r="K853" s="177">
        <v>18</v>
      </c>
      <c r="L853" s="179">
        <v>11.333333333333332</v>
      </c>
      <c r="M853" s="180">
        <v>0</v>
      </c>
      <c r="N853" s="178">
        <v>0</v>
      </c>
      <c r="O853" s="181" t="s">
        <v>882</v>
      </c>
      <c r="P853" s="180">
        <v>0</v>
      </c>
      <c r="Q853" s="182">
        <v>0</v>
      </c>
      <c r="R853" s="183" t="s">
        <v>883</v>
      </c>
      <c r="S853" s="174" t="s">
        <v>1481</v>
      </c>
      <c r="T853" s="44">
        <v>1</v>
      </c>
      <c r="U853" s="184">
        <v>54</v>
      </c>
      <c r="V853" s="185">
        <v>4</v>
      </c>
      <c r="W853" s="186">
        <v>2813</v>
      </c>
      <c r="X853" s="187">
        <v>2023</v>
      </c>
      <c r="Y853" s="188">
        <v>30</v>
      </c>
      <c r="Z853" s="188" t="s">
        <v>883</v>
      </c>
      <c r="AA853" s="187" t="s">
        <v>883</v>
      </c>
      <c r="AB853" s="188">
        <v>0</v>
      </c>
      <c r="AC853" s="188"/>
      <c r="AD853" s="189" t="s">
        <v>883</v>
      </c>
      <c r="AE853" s="190" t="s">
        <v>883</v>
      </c>
      <c r="AF853" s="180">
        <v>6</v>
      </c>
      <c r="AG853" s="183">
        <v>43819</v>
      </c>
      <c r="AH853" s="183">
        <v>43580</v>
      </c>
      <c r="AI853" s="183">
        <v>45056</v>
      </c>
      <c r="AJ853" s="183" t="s">
        <v>883</v>
      </c>
      <c r="AK853" s="174"/>
    </row>
    <row r="854" spans="1:37" x14ac:dyDescent="0.3">
      <c r="A854" s="173">
        <v>136881</v>
      </c>
      <c r="B854" s="174" t="s">
        <v>1937</v>
      </c>
      <c r="C854" s="175" t="s">
        <v>413</v>
      </c>
      <c r="D854" s="176">
        <v>43.38</v>
      </c>
      <c r="E854" s="174"/>
      <c r="F854" s="174"/>
      <c r="G854" s="174" t="s">
        <v>883</v>
      </c>
      <c r="H854" s="177">
        <v>29</v>
      </c>
      <c r="I854" s="24">
        <v>103003</v>
      </c>
      <c r="J854" s="178">
        <v>43.38</v>
      </c>
      <c r="K854" s="177">
        <v>157</v>
      </c>
      <c r="L854" s="179">
        <v>1.3595874355368027</v>
      </c>
      <c r="M854" s="180">
        <v>26.96</v>
      </c>
      <c r="N854" s="178">
        <v>1169.5247999999999</v>
      </c>
      <c r="O854" s="181" t="s">
        <v>882</v>
      </c>
      <c r="P854" s="180">
        <v>0</v>
      </c>
      <c r="Q854" s="182">
        <v>0</v>
      </c>
      <c r="R854" s="183" t="s">
        <v>883</v>
      </c>
      <c r="S854" s="174" t="s">
        <v>1481</v>
      </c>
      <c r="T854" s="44">
        <v>1</v>
      </c>
      <c r="U854" s="184">
        <v>54</v>
      </c>
      <c r="V854" s="185">
        <v>4</v>
      </c>
      <c r="W854" s="186">
        <v>2813</v>
      </c>
      <c r="X854" s="187">
        <v>2023</v>
      </c>
      <c r="Y854" s="188">
        <v>200</v>
      </c>
      <c r="Z854" s="188" t="s">
        <v>883</v>
      </c>
      <c r="AA854" s="187" t="s">
        <v>883</v>
      </c>
      <c r="AB854" s="188">
        <v>0</v>
      </c>
      <c r="AC854" s="188"/>
      <c r="AD854" s="189" t="s">
        <v>883</v>
      </c>
      <c r="AE854" s="190" t="s">
        <v>883</v>
      </c>
      <c r="AF854" s="180">
        <v>86</v>
      </c>
      <c r="AG854" s="183">
        <v>44538</v>
      </c>
      <c r="AH854" s="183">
        <v>43580</v>
      </c>
      <c r="AI854" s="183">
        <v>44519</v>
      </c>
      <c r="AJ854" s="183" t="s">
        <v>883</v>
      </c>
      <c r="AK854" s="174"/>
    </row>
    <row r="855" spans="1:37" x14ac:dyDescent="0.3">
      <c r="A855" s="173">
        <v>136895</v>
      </c>
      <c r="B855" s="174" t="s">
        <v>1938</v>
      </c>
      <c r="C855" s="175" t="s">
        <v>31</v>
      </c>
      <c r="D855" s="176">
        <v>6</v>
      </c>
      <c r="E855" s="174"/>
      <c r="F855" s="174"/>
      <c r="G855" s="174" t="s">
        <v>883</v>
      </c>
      <c r="H855" s="177">
        <v>165</v>
      </c>
      <c r="I855" s="24">
        <v>103003</v>
      </c>
      <c r="J855" s="178">
        <v>6</v>
      </c>
      <c r="K855" s="177">
        <v>443</v>
      </c>
      <c r="L855" s="179">
        <v>3.7220843672456576</v>
      </c>
      <c r="M855" s="180">
        <v>66.959999999999994</v>
      </c>
      <c r="N855" s="178">
        <v>401.76</v>
      </c>
      <c r="O855" s="181" t="s">
        <v>882</v>
      </c>
      <c r="P855" s="180">
        <v>0</v>
      </c>
      <c r="Q855" s="182">
        <v>0</v>
      </c>
      <c r="R855" s="183" t="s">
        <v>883</v>
      </c>
      <c r="S855" s="174" t="s">
        <v>1870</v>
      </c>
      <c r="T855" s="44">
        <v>1</v>
      </c>
      <c r="U855" s="184">
        <v>55</v>
      </c>
      <c r="V855" s="185">
        <v>66</v>
      </c>
      <c r="W855" s="186">
        <v>2957</v>
      </c>
      <c r="X855" s="187">
        <v>2023</v>
      </c>
      <c r="Y855" s="188">
        <v>300</v>
      </c>
      <c r="Z855" s="188" t="s">
        <v>883</v>
      </c>
      <c r="AA855" s="187" t="s">
        <v>883</v>
      </c>
      <c r="AB855" s="188">
        <v>0</v>
      </c>
      <c r="AC855" s="188"/>
      <c r="AD855" s="189" t="s">
        <v>883</v>
      </c>
      <c r="AE855" s="190" t="s">
        <v>883</v>
      </c>
      <c r="AF855" s="180">
        <v>178</v>
      </c>
      <c r="AG855" s="183">
        <v>44883</v>
      </c>
      <c r="AH855" s="183">
        <v>43584</v>
      </c>
      <c r="AI855" s="183">
        <v>44994</v>
      </c>
      <c r="AJ855" s="183" t="s">
        <v>883</v>
      </c>
      <c r="AK855" s="174"/>
    </row>
    <row r="856" spans="1:37" x14ac:dyDescent="0.3">
      <c r="A856" s="173">
        <v>136896</v>
      </c>
      <c r="B856" s="174" t="s">
        <v>1939</v>
      </c>
      <c r="C856" s="175" t="s">
        <v>31</v>
      </c>
      <c r="D856" s="176">
        <v>12.6</v>
      </c>
      <c r="E856" s="174"/>
      <c r="F856" s="174"/>
      <c r="G856" s="174" t="s">
        <v>883</v>
      </c>
      <c r="H856" s="177">
        <v>197</v>
      </c>
      <c r="I856" s="24">
        <v>103003</v>
      </c>
      <c r="J856" s="178">
        <v>12.6</v>
      </c>
      <c r="K856" s="177">
        <v>911</v>
      </c>
      <c r="L856" s="179">
        <v>2.0645566967092854</v>
      </c>
      <c r="M856" s="180">
        <v>448.04</v>
      </c>
      <c r="N856" s="178">
        <v>5645.3040000000001</v>
      </c>
      <c r="O856" s="181" t="s">
        <v>882</v>
      </c>
      <c r="P856" s="180">
        <v>0</v>
      </c>
      <c r="Q856" s="182">
        <v>0</v>
      </c>
      <c r="R856" s="183" t="s">
        <v>883</v>
      </c>
      <c r="S856" s="174" t="s">
        <v>1870</v>
      </c>
      <c r="T856" s="44">
        <v>1</v>
      </c>
      <c r="U856" s="184">
        <v>55</v>
      </c>
      <c r="V856" s="185">
        <v>66</v>
      </c>
      <c r="W856" s="186">
        <v>2679</v>
      </c>
      <c r="X856" s="187">
        <v>2023</v>
      </c>
      <c r="Y856" s="188">
        <v>500</v>
      </c>
      <c r="Z856" s="188" t="s">
        <v>883</v>
      </c>
      <c r="AA856" s="187" t="s">
        <v>883</v>
      </c>
      <c r="AB856" s="188">
        <v>0</v>
      </c>
      <c r="AC856" s="188"/>
      <c r="AD856" s="189" t="s">
        <v>883</v>
      </c>
      <c r="AE856" s="190" t="s">
        <v>883</v>
      </c>
      <c r="AF856" s="180">
        <v>382</v>
      </c>
      <c r="AG856" s="183">
        <v>44635</v>
      </c>
      <c r="AH856" s="183">
        <v>43584</v>
      </c>
      <c r="AI856" s="183">
        <v>44616</v>
      </c>
      <c r="AJ856" s="183" t="s">
        <v>883</v>
      </c>
      <c r="AK856" s="174"/>
    </row>
    <row r="857" spans="1:37" x14ac:dyDescent="0.3">
      <c r="A857" s="173">
        <v>136898</v>
      </c>
      <c r="B857" s="174" t="s">
        <v>1940</v>
      </c>
      <c r="C857" s="175" t="s">
        <v>31</v>
      </c>
      <c r="D857" s="176">
        <v>19.920000000000002</v>
      </c>
      <c r="E857" s="174"/>
      <c r="F857" s="174"/>
      <c r="G857" s="174" t="s">
        <v>883</v>
      </c>
      <c r="H857" s="177">
        <v>0</v>
      </c>
      <c r="I857" s="24">
        <v>103003</v>
      </c>
      <c r="J857" s="178">
        <v>19.920000000000002</v>
      </c>
      <c r="K857" s="177">
        <v>147</v>
      </c>
      <c r="L857" s="179">
        <v>0</v>
      </c>
      <c r="M857" s="180">
        <v>0</v>
      </c>
      <c r="N857" s="178">
        <v>0</v>
      </c>
      <c r="O857" s="181" t="s">
        <v>882</v>
      </c>
      <c r="P857" s="180">
        <v>0</v>
      </c>
      <c r="Q857" s="182">
        <v>0</v>
      </c>
      <c r="R857" s="183" t="s">
        <v>883</v>
      </c>
      <c r="S857" s="174" t="s">
        <v>1083</v>
      </c>
      <c r="T857" s="44">
        <v>1</v>
      </c>
      <c r="U857" s="184">
        <v>55</v>
      </c>
      <c r="V857" s="185">
        <v>49</v>
      </c>
      <c r="W857" s="186">
        <v>2234</v>
      </c>
      <c r="X857" s="187">
        <v>2023</v>
      </c>
      <c r="Y857" s="188">
        <v>300</v>
      </c>
      <c r="Z857" s="188" t="s">
        <v>883</v>
      </c>
      <c r="AA857" s="187" t="s">
        <v>883</v>
      </c>
      <c r="AB857" s="188">
        <v>0</v>
      </c>
      <c r="AC857" s="188"/>
      <c r="AD857" s="189" t="s">
        <v>883</v>
      </c>
      <c r="AE857" s="190" t="s">
        <v>883</v>
      </c>
      <c r="AF857" s="180">
        <v>50</v>
      </c>
      <c r="AG857" s="183">
        <v>44957</v>
      </c>
      <c r="AH857" s="183">
        <v>43584</v>
      </c>
      <c r="AI857" s="183">
        <v>44917</v>
      </c>
      <c r="AJ857" s="183" t="s">
        <v>883</v>
      </c>
      <c r="AK857" s="174"/>
    </row>
    <row r="858" spans="1:37" x14ac:dyDescent="0.3">
      <c r="A858" s="173">
        <v>136941</v>
      </c>
      <c r="B858" s="174" t="s">
        <v>1941</v>
      </c>
      <c r="C858" s="175" t="s">
        <v>616</v>
      </c>
      <c r="D858" s="176">
        <v>67.5</v>
      </c>
      <c r="E858" s="174"/>
      <c r="F858" s="174"/>
      <c r="G858" s="174" t="s">
        <v>883</v>
      </c>
      <c r="H858" s="177">
        <v>435</v>
      </c>
      <c r="I858" s="24">
        <v>103003</v>
      </c>
      <c r="J858" s="178">
        <v>67.5</v>
      </c>
      <c r="K858" s="177">
        <v>806</v>
      </c>
      <c r="L858" s="179">
        <v>4.1895405952036988</v>
      </c>
      <c r="M858" s="180">
        <v>810.96</v>
      </c>
      <c r="N858" s="178">
        <v>54739.8</v>
      </c>
      <c r="O858" s="181" t="s">
        <v>882</v>
      </c>
      <c r="P858" s="180">
        <v>0</v>
      </c>
      <c r="Q858" s="182">
        <v>0</v>
      </c>
      <c r="R858" s="183" t="s">
        <v>883</v>
      </c>
      <c r="S858" s="174" t="s">
        <v>1135</v>
      </c>
      <c r="T858" s="44">
        <v>1</v>
      </c>
      <c r="U858" s="184">
        <v>57</v>
      </c>
      <c r="V858" s="185">
        <v>2</v>
      </c>
      <c r="W858" s="186" t="s">
        <v>883</v>
      </c>
      <c r="X858" s="187" t="s">
        <v>883</v>
      </c>
      <c r="Y858" s="188">
        <v>0</v>
      </c>
      <c r="Z858" s="188" t="s">
        <v>883</v>
      </c>
      <c r="AA858" s="187" t="s">
        <v>883</v>
      </c>
      <c r="AB858" s="188">
        <v>0</v>
      </c>
      <c r="AC858" s="188"/>
      <c r="AD858" s="189" t="s">
        <v>883</v>
      </c>
      <c r="AE858" s="190" t="s">
        <v>883</v>
      </c>
      <c r="AF858" s="180">
        <v>416</v>
      </c>
      <c r="AG858" s="183">
        <v>44623</v>
      </c>
      <c r="AH858" s="183">
        <v>43606</v>
      </c>
      <c r="AI858" s="183">
        <v>44551</v>
      </c>
      <c r="AJ858" s="183" t="s">
        <v>883</v>
      </c>
      <c r="AK858" s="174"/>
    </row>
    <row r="859" spans="1:37" x14ac:dyDescent="0.3">
      <c r="A859" s="173">
        <v>137019</v>
      </c>
      <c r="B859" s="174" t="s">
        <v>1942</v>
      </c>
      <c r="C859" s="175" t="s">
        <v>31</v>
      </c>
      <c r="D859" s="176">
        <v>3.99</v>
      </c>
      <c r="E859" s="174"/>
      <c r="F859" s="174"/>
      <c r="G859" s="174" t="s">
        <v>883</v>
      </c>
      <c r="H859" s="177">
        <v>492</v>
      </c>
      <c r="I859" s="24">
        <v>103003</v>
      </c>
      <c r="J859" s="178">
        <v>3.99</v>
      </c>
      <c r="K859" s="177">
        <v>13</v>
      </c>
      <c r="L859" s="179">
        <v>455.55555555555554</v>
      </c>
      <c r="M859" s="180">
        <v>0</v>
      </c>
      <c r="N859" s="178">
        <v>0</v>
      </c>
      <c r="O859" s="181" t="s">
        <v>882</v>
      </c>
      <c r="P859" s="180">
        <v>0</v>
      </c>
      <c r="Q859" s="182">
        <v>0</v>
      </c>
      <c r="R859" s="183" t="s">
        <v>883</v>
      </c>
      <c r="S859" s="174" t="s">
        <v>1481</v>
      </c>
      <c r="T859" s="44">
        <v>1</v>
      </c>
      <c r="U859" s="184">
        <v>54</v>
      </c>
      <c r="V859" s="185">
        <v>4</v>
      </c>
      <c r="W859" s="186" t="s">
        <v>883</v>
      </c>
      <c r="X859" s="187" t="s">
        <v>883</v>
      </c>
      <c r="Y859" s="188">
        <v>0</v>
      </c>
      <c r="Z859" s="188" t="s">
        <v>883</v>
      </c>
      <c r="AA859" s="187" t="s">
        <v>883</v>
      </c>
      <c r="AB859" s="188">
        <v>0</v>
      </c>
      <c r="AC859" s="188"/>
      <c r="AD859" s="189" t="s">
        <v>883</v>
      </c>
      <c r="AE859" s="190" t="s">
        <v>883</v>
      </c>
      <c r="AF859" s="180">
        <v>4</v>
      </c>
      <c r="AG859" s="183">
        <v>43802</v>
      </c>
      <c r="AH859" s="183">
        <v>43620</v>
      </c>
      <c r="AI859" s="183">
        <v>44741</v>
      </c>
      <c r="AJ859" s="183" t="s">
        <v>883</v>
      </c>
      <c r="AK859" s="174"/>
    </row>
    <row r="860" spans="1:37" x14ac:dyDescent="0.3">
      <c r="A860" s="173">
        <v>137053</v>
      </c>
      <c r="B860" s="174" t="s">
        <v>1943</v>
      </c>
      <c r="C860" s="175" t="s">
        <v>256</v>
      </c>
      <c r="D860" s="176">
        <v>41.65</v>
      </c>
      <c r="E860" s="174"/>
      <c r="F860" s="174"/>
      <c r="G860" s="174" t="s">
        <v>883</v>
      </c>
      <c r="H860" s="177">
        <v>16</v>
      </c>
      <c r="I860" s="24">
        <v>103003</v>
      </c>
      <c r="J860" s="178">
        <v>41.65</v>
      </c>
      <c r="K860" s="177">
        <v>1</v>
      </c>
      <c r="L860" s="179">
        <v>200</v>
      </c>
      <c r="M860" s="180">
        <v>0</v>
      </c>
      <c r="N860" s="178">
        <v>0</v>
      </c>
      <c r="O860" s="181" t="s">
        <v>882</v>
      </c>
      <c r="P860" s="180">
        <v>0</v>
      </c>
      <c r="Q860" s="182">
        <v>0</v>
      </c>
      <c r="R860" s="183" t="s">
        <v>883</v>
      </c>
      <c r="S860" s="174" t="s">
        <v>1481</v>
      </c>
      <c r="T860" s="44">
        <v>1</v>
      </c>
      <c r="U860" s="184">
        <v>54</v>
      </c>
      <c r="V860" s="185">
        <v>4</v>
      </c>
      <c r="W860" s="186" t="s">
        <v>883</v>
      </c>
      <c r="X860" s="187" t="s">
        <v>883</v>
      </c>
      <c r="Y860" s="188">
        <v>0</v>
      </c>
      <c r="Z860" s="188" t="s">
        <v>883</v>
      </c>
      <c r="AA860" s="187" t="s">
        <v>883</v>
      </c>
      <c r="AB860" s="188">
        <v>0</v>
      </c>
      <c r="AC860" s="188"/>
      <c r="AD860" s="189" t="s">
        <v>883</v>
      </c>
      <c r="AE860" s="190" t="s">
        <v>883</v>
      </c>
      <c r="AF860" s="180">
        <v>0</v>
      </c>
      <c r="AG860" s="183">
        <v>43819</v>
      </c>
      <c r="AH860" s="183">
        <v>43626</v>
      </c>
      <c r="AI860" s="183">
        <v>43780</v>
      </c>
      <c r="AJ860" s="183" t="s">
        <v>883</v>
      </c>
      <c r="AK860" s="174"/>
    </row>
    <row r="861" spans="1:37" x14ac:dyDescent="0.3">
      <c r="A861" s="173">
        <v>137798</v>
      </c>
      <c r="B861" s="174" t="s">
        <v>1944</v>
      </c>
      <c r="C861" s="175" t="s">
        <v>256</v>
      </c>
      <c r="D861" s="176">
        <v>18.149999999999999</v>
      </c>
      <c r="E861" s="174"/>
      <c r="F861" s="174"/>
      <c r="G861" s="174" t="s">
        <v>883</v>
      </c>
      <c r="H861" s="177">
        <v>18</v>
      </c>
      <c r="I861" s="24">
        <v>103003</v>
      </c>
      <c r="J861" s="178">
        <v>18.149999999999999</v>
      </c>
      <c r="K861" s="177">
        <v>1</v>
      </c>
      <c r="L861" s="179">
        <v>225</v>
      </c>
      <c r="M861" s="180">
        <v>0</v>
      </c>
      <c r="N861" s="178">
        <v>0</v>
      </c>
      <c r="O861" s="181" t="s">
        <v>882</v>
      </c>
      <c r="P861" s="180">
        <v>0</v>
      </c>
      <c r="Q861" s="182">
        <v>0</v>
      </c>
      <c r="R861" s="183" t="s">
        <v>883</v>
      </c>
      <c r="S861" s="174" t="s">
        <v>1481</v>
      </c>
      <c r="T861" s="44">
        <v>1</v>
      </c>
      <c r="U861" s="184">
        <v>54</v>
      </c>
      <c r="V861" s="185">
        <v>4</v>
      </c>
      <c r="W861" s="186" t="s">
        <v>883</v>
      </c>
      <c r="X861" s="187" t="s">
        <v>883</v>
      </c>
      <c r="Y861" s="188">
        <v>0</v>
      </c>
      <c r="Z861" s="188" t="s">
        <v>883</v>
      </c>
      <c r="AA861" s="187" t="s">
        <v>883</v>
      </c>
      <c r="AB861" s="188">
        <v>0</v>
      </c>
      <c r="AC861" s="188"/>
      <c r="AD861" s="189" t="s">
        <v>883</v>
      </c>
      <c r="AE861" s="190" t="s">
        <v>883</v>
      </c>
      <c r="AF861" s="180">
        <v>0</v>
      </c>
      <c r="AG861" s="183">
        <v>43949</v>
      </c>
      <c r="AH861" s="183">
        <v>43629</v>
      </c>
      <c r="AI861" s="183">
        <v>43929</v>
      </c>
      <c r="AJ861" s="183" t="s">
        <v>883</v>
      </c>
      <c r="AK861" s="174"/>
    </row>
    <row r="862" spans="1:37" x14ac:dyDescent="0.3">
      <c r="A862" s="173">
        <v>137799</v>
      </c>
      <c r="B862" s="174" t="s">
        <v>1945</v>
      </c>
      <c r="C862" s="175" t="s">
        <v>301</v>
      </c>
      <c r="D862" s="176">
        <v>15.9</v>
      </c>
      <c r="E862" s="174"/>
      <c r="F862" s="174"/>
      <c r="G862" s="174" t="s">
        <v>883</v>
      </c>
      <c r="H862" s="177">
        <v>77</v>
      </c>
      <c r="I862" s="24">
        <v>103003</v>
      </c>
      <c r="J862" s="178">
        <v>15.9</v>
      </c>
      <c r="K862" s="177"/>
      <c r="L862" s="179">
        <v>0</v>
      </c>
      <c r="M862" s="180">
        <v>0</v>
      </c>
      <c r="N862" s="178">
        <v>0</v>
      </c>
      <c r="O862" s="181" t="s">
        <v>882</v>
      </c>
      <c r="P862" s="180">
        <v>0</v>
      </c>
      <c r="Q862" s="182">
        <v>0</v>
      </c>
      <c r="R862" s="183" t="s">
        <v>883</v>
      </c>
      <c r="S862" s="174" t="s">
        <v>1481</v>
      </c>
      <c r="T862" s="44">
        <v>1</v>
      </c>
      <c r="U862" s="184">
        <v>54</v>
      </c>
      <c r="V862" s="185">
        <v>4</v>
      </c>
      <c r="W862" s="186" t="s">
        <v>883</v>
      </c>
      <c r="X862" s="187" t="s">
        <v>883</v>
      </c>
      <c r="Y862" s="188">
        <v>0</v>
      </c>
      <c r="Z862" s="188" t="s">
        <v>883</v>
      </c>
      <c r="AA862" s="187" t="s">
        <v>883</v>
      </c>
      <c r="AB862" s="188">
        <v>0</v>
      </c>
      <c r="AC862" s="188"/>
      <c r="AD862" s="189" t="s">
        <v>883</v>
      </c>
      <c r="AE862" s="190" t="s">
        <v>883</v>
      </c>
      <c r="AF862" s="180">
        <v>0</v>
      </c>
      <c r="AG862" s="183">
        <v>43819</v>
      </c>
      <c r="AH862" s="183">
        <v>43629</v>
      </c>
      <c r="AI862" s="183">
        <v>44138</v>
      </c>
      <c r="AJ862" s="183" t="s">
        <v>883</v>
      </c>
      <c r="AK862" s="174"/>
    </row>
    <row r="863" spans="1:37" x14ac:dyDescent="0.3">
      <c r="A863" s="173">
        <v>137800</v>
      </c>
      <c r="B863" s="174" t="s">
        <v>1946</v>
      </c>
      <c r="C863" s="175" t="s">
        <v>301</v>
      </c>
      <c r="D863" s="176">
        <v>12.05</v>
      </c>
      <c r="E863" s="174"/>
      <c r="F863" s="174"/>
      <c r="G863" s="174" t="s">
        <v>883</v>
      </c>
      <c r="H863" s="177">
        <v>59</v>
      </c>
      <c r="I863" s="24">
        <v>103003</v>
      </c>
      <c r="J863" s="178">
        <v>12.05</v>
      </c>
      <c r="K863" s="177"/>
      <c r="L863" s="179">
        <v>0</v>
      </c>
      <c r="M863" s="180">
        <v>0</v>
      </c>
      <c r="N863" s="178">
        <v>0</v>
      </c>
      <c r="O863" s="181" t="s">
        <v>882</v>
      </c>
      <c r="P863" s="180">
        <v>0</v>
      </c>
      <c r="Q863" s="182">
        <v>0</v>
      </c>
      <c r="R863" s="183" t="s">
        <v>883</v>
      </c>
      <c r="S863" s="174" t="s">
        <v>1481</v>
      </c>
      <c r="T863" s="44">
        <v>1</v>
      </c>
      <c r="U863" s="184">
        <v>54</v>
      </c>
      <c r="V863" s="185">
        <v>4</v>
      </c>
      <c r="W863" s="186" t="s">
        <v>883</v>
      </c>
      <c r="X863" s="187" t="s">
        <v>883</v>
      </c>
      <c r="Y863" s="188">
        <v>0</v>
      </c>
      <c r="Z863" s="188" t="s">
        <v>883</v>
      </c>
      <c r="AA863" s="187" t="s">
        <v>883</v>
      </c>
      <c r="AB863" s="188">
        <v>0</v>
      </c>
      <c r="AC863" s="188"/>
      <c r="AD863" s="189" t="s">
        <v>883</v>
      </c>
      <c r="AE863" s="190" t="s">
        <v>883</v>
      </c>
      <c r="AF863" s="180">
        <v>0</v>
      </c>
      <c r="AG863" s="183">
        <v>43819</v>
      </c>
      <c r="AH863" s="183">
        <v>43629</v>
      </c>
      <c r="AI863" s="183">
        <v>43780</v>
      </c>
      <c r="AJ863" s="183" t="s">
        <v>883</v>
      </c>
      <c r="AK863" s="174"/>
    </row>
    <row r="864" spans="1:37" x14ac:dyDescent="0.3">
      <c r="A864" s="173">
        <v>138054</v>
      </c>
      <c r="B864" s="174" t="s">
        <v>1947</v>
      </c>
      <c r="C864" s="175" t="s">
        <v>256</v>
      </c>
      <c r="D864" s="176">
        <v>11.54</v>
      </c>
      <c r="E864" s="174"/>
      <c r="F864" s="174"/>
      <c r="G864" s="174" t="s">
        <v>883</v>
      </c>
      <c r="H864" s="177">
        <v>119</v>
      </c>
      <c r="I864" s="24">
        <v>103003</v>
      </c>
      <c r="J864" s="178">
        <v>11.54</v>
      </c>
      <c r="K864" s="177">
        <v>156</v>
      </c>
      <c r="L864" s="179">
        <v>7.5555555555555562</v>
      </c>
      <c r="M864" s="180">
        <v>70</v>
      </c>
      <c r="N864" s="178">
        <v>807.8</v>
      </c>
      <c r="O864" s="181" t="s">
        <v>882</v>
      </c>
      <c r="P864" s="180">
        <v>0</v>
      </c>
      <c r="Q864" s="182">
        <v>0</v>
      </c>
      <c r="R864" s="183" t="s">
        <v>883</v>
      </c>
      <c r="S864" s="174" t="s">
        <v>1652</v>
      </c>
      <c r="T864" s="44">
        <v>1</v>
      </c>
      <c r="U864" s="184">
        <v>61</v>
      </c>
      <c r="V864" s="185">
        <v>10</v>
      </c>
      <c r="W864" s="186" t="s">
        <v>883</v>
      </c>
      <c r="X864" s="187" t="s">
        <v>883</v>
      </c>
      <c r="Y864" s="188">
        <v>0</v>
      </c>
      <c r="Z864" s="188" t="s">
        <v>883</v>
      </c>
      <c r="AA864" s="187" t="s">
        <v>883</v>
      </c>
      <c r="AB864" s="188">
        <v>0</v>
      </c>
      <c r="AC864" s="188"/>
      <c r="AD864" s="189" t="s">
        <v>883</v>
      </c>
      <c r="AE864" s="190" t="s">
        <v>883</v>
      </c>
      <c r="AF864" s="180">
        <v>64</v>
      </c>
      <c r="AG864" s="183">
        <v>44526</v>
      </c>
      <c r="AH864" s="183">
        <v>43656</v>
      </c>
      <c r="AI864" s="183">
        <v>44525</v>
      </c>
      <c r="AJ864" s="183" t="s">
        <v>883</v>
      </c>
      <c r="AK864" s="174"/>
    </row>
    <row r="865" spans="1:37" x14ac:dyDescent="0.3">
      <c r="A865" s="173">
        <v>138055</v>
      </c>
      <c r="B865" s="174" t="s">
        <v>1948</v>
      </c>
      <c r="C865" s="175" t="s">
        <v>256</v>
      </c>
      <c r="D865" s="176">
        <v>3.78</v>
      </c>
      <c r="E865" s="174"/>
      <c r="F865" s="174"/>
      <c r="G865" s="174" t="s">
        <v>883</v>
      </c>
      <c r="H865" s="177">
        <v>446</v>
      </c>
      <c r="I865" s="24">
        <v>103003</v>
      </c>
      <c r="J865" s="178">
        <v>3.78</v>
      </c>
      <c r="K865" s="177">
        <v>490</v>
      </c>
      <c r="L865" s="179">
        <v>8.5901386748844377</v>
      </c>
      <c r="M865" s="180">
        <v>77.040000000000006</v>
      </c>
      <c r="N865" s="178">
        <v>291.21120000000002</v>
      </c>
      <c r="O865" s="181" t="s">
        <v>882</v>
      </c>
      <c r="P865" s="180">
        <v>0</v>
      </c>
      <c r="Q865" s="182">
        <v>0</v>
      </c>
      <c r="R865" s="183" t="s">
        <v>883</v>
      </c>
      <c r="S865" s="174" t="s">
        <v>1001</v>
      </c>
      <c r="T865" s="44">
        <v>1</v>
      </c>
      <c r="U865" s="184">
        <v>61</v>
      </c>
      <c r="V865" s="185">
        <v>11</v>
      </c>
      <c r="W865" s="186">
        <v>2454</v>
      </c>
      <c r="X865" s="187">
        <v>2023</v>
      </c>
      <c r="Y865" s="188">
        <v>100</v>
      </c>
      <c r="Z865" s="188" t="s">
        <v>883</v>
      </c>
      <c r="AA865" s="187" t="s">
        <v>883</v>
      </c>
      <c r="AB865" s="188">
        <v>0</v>
      </c>
      <c r="AC865" s="188"/>
      <c r="AD865" s="189" t="s">
        <v>883</v>
      </c>
      <c r="AE865" s="190" t="s">
        <v>883</v>
      </c>
      <c r="AF865" s="180">
        <v>208</v>
      </c>
      <c r="AG865" s="183">
        <v>44792</v>
      </c>
      <c r="AH865" s="183">
        <v>43656</v>
      </c>
      <c r="AI865" s="183">
        <v>44813</v>
      </c>
      <c r="AJ865" s="183" t="s">
        <v>883</v>
      </c>
      <c r="AK865" s="174"/>
    </row>
    <row r="866" spans="1:37" x14ac:dyDescent="0.3">
      <c r="A866" s="173">
        <v>138352</v>
      </c>
      <c r="B866" s="174" t="s">
        <v>1949</v>
      </c>
      <c r="C866" s="175" t="s">
        <v>625</v>
      </c>
      <c r="D866" s="176">
        <v>8.1199999999999992</v>
      </c>
      <c r="E866" s="174"/>
      <c r="F866" s="174"/>
      <c r="G866" s="174" t="s">
        <v>883</v>
      </c>
      <c r="H866" s="177">
        <v>69</v>
      </c>
      <c r="I866" s="24">
        <v>103003</v>
      </c>
      <c r="J866" s="178">
        <v>8.1199999999999992</v>
      </c>
      <c r="K866" s="177">
        <v>83</v>
      </c>
      <c r="L866" s="179">
        <v>6.5714285714285721</v>
      </c>
      <c r="M866" s="180">
        <v>7</v>
      </c>
      <c r="N866" s="178">
        <v>56.84</v>
      </c>
      <c r="O866" s="181" t="s">
        <v>882</v>
      </c>
      <c r="P866" s="180">
        <v>0</v>
      </c>
      <c r="Q866" s="182">
        <v>0</v>
      </c>
      <c r="R866" s="183" t="s">
        <v>883</v>
      </c>
      <c r="S866" s="174" t="s">
        <v>1523</v>
      </c>
      <c r="T866" s="44">
        <v>1</v>
      </c>
      <c r="U866" s="184">
        <v>72</v>
      </c>
      <c r="V866" s="185">
        <v>9</v>
      </c>
      <c r="W866" s="186">
        <v>2499</v>
      </c>
      <c r="X866" s="187">
        <v>2023</v>
      </c>
      <c r="Y866" s="188">
        <v>50</v>
      </c>
      <c r="Z866" s="188" t="s">
        <v>883</v>
      </c>
      <c r="AA866" s="187" t="s">
        <v>883</v>
      </c>
      <c r="AB866" s="188">
        <v>0</v>
      </c>
      <c r="AC866" s="188"/>
      <c r="AD866" s="189" t="s">
        <v>883</v>
      </c>
      <c r="AE866" s="190" t="s">
        <v>883</v>
      </c>
      <c r="AF866" s="180">
        <v>42</v>
      </c>
      <c r="AG866" s="183">
        <v>44592</v>
      </c>
      <c r="AH866" s="183">
        <v>43696</v>
      </c>
      <c r="AI866" s="183">
        <v>44582</v>
      </c>
      <c r="AJ866" s="183" t="s">
        <v>883</v>
      </c>
      <c r="AK866" s="174"/>
    </row>
    <row r="867" spans="1:37" x14ac:dyDescent="0.3">
      <c r="A867" s="173">
        <v>138450</v>
      </c>
      <c r="B867" s="174" t="s">
        <v>1950</v>
      </c>
      <c r="C867" s="175" t="s">
        <v>31</v>
      </c>
      <c r="D867" s="176">
        <v>1.08</v>
      </c>
      <c r="E867" s="174"/>
      <c r="F867" s="174"/>
      <c r="G867" s="174" t="s">
        <v>883</v>
      </c>
      <c r="H867" s="177">
        <v>15586</v>
      </c>
      <c r="I867" s="24">
        <v>103003</v>
      </c>
      <c r="J867" s="178">
        <v>1.08</v>
      </c>
      <c r="K867" s="177">
        <v>5155</v>
      </c>
      <c r="L867" s="179">
        <v>6.4844939631716025</v>
      </c>
      <c r="M867" s="180">
        <v>8456.9599999999991</v>
      </c>
      <c r="N867" s="178">
        <v>9133.5167999999994</v>
      </c>
      <c r="O867" s="181" t="s">
        <v>882</v>
      </c>
      <c r="P867" s="180">
        <v>0</v>
      </c>
      <c r="Q867" s="182">
        <v>0</v>
      </c>
      <c r="R867" s="183" t="s">
        <v>883</v>
      </c>
      <c r="S867" s="174" t="s">
        <v>931</v>
      </c>
      <c r="T867" s="44">
        <v>1</v>
      </c>
      <c r="U867" s="184">
        <v>45</v>
      </c>
      <c r="V867" s="185">
        <v>9</v>
      </c>
      <c r="W867" s="186">
        <v>8971</v>
      </c>
      <c r="X867" s="187">
        <v>2023</v>
      </c>
      <c r="Y867" s="188">
        <v>4800</v>
      </c>
      <c r="Z867" s="188" t="s">
        <v>883</v>
      </c>
      <c r="AA867" s="187" t="s">
        <v>883</v>
      </c>
      <c r="AB867" s="188">
        <v>0</v>
      </c>
      <c r="AC867" s="188"/>
      <c r="AD867" s="189" t="s">
        <v>883</v>
      </c>
      <c r="AE867" s="190" t="s">
        <v>883</v>
      </c>
      <c r="AF867" s="180">
        <v>9614</v>
      </c>
      <c r="AG867" s="183">
        <v>44991</v>
      </c>
      <c r="AH867" s="183">
        <v>43720</v>
      </c>
      <c r="AI867" s="183">
        <v>44999</v>
      </c>
      <c r="AJ867" s="183" t="s">
        <v>883</v>
      </c>
      <c r="AK867" s="174"/>
    </row>
    <row r="868" spans="1:37" x14ac:dyDescent="0.3">
      <c r="A868" s="173">
        <v>138451</v>
      </c>
      <c r="B868" s="174" t="s">
        <v>1951</v>
      </c>
      <c r="C868" s="175" t="s">
        <v>31</v>
      </c>
      <c r="D868" s="176">
        <v>0.43</v>
      </c>
      <c r="E868" s="174"/>
      <c r="F868" s="174"/>
      <c r="G868" s="174" t="s">
        <v>883</v>
      </c>
      <c r="H868" s="177">
        <v>60557</v>
      </c>
      <c r="I868" s="24">
        <v>103003</v>
      </c>
      <c r="J868" s="178">
        <v>0.43</v>
      </c>
      <c r="K868" s="177">
        <v>35225</v>
      </c>
      <c r="L868" s="179">
        <v>15.861254295532644</v>
      </c>
      <c r="M868" s="180">
        <v>0</v>
      </c>
      <c r="N868" s="178">
        <v>0</v>
      </c>
      <c r="O868" s="181" t="s">
        <v>882</v>
      </c>
      <c r="P868" s="180">
        <v>0</v>
      </c>
      <c r="Q868" s="182">
        <v>0</v>
      </c>
      <c r="R868" s="183" t="s">
        <v>883</v>
      </c>
      <c r="S868" s="174" t="s">
        <v>931</v>
      </c>
      <c r="T868" s="44">
        <v>1</v>
      </c>
      <c r="U868" s="184">
        <v>45</v>
      </c>
      <c r="V868" s="185">
        <v>9</v>
      </c>
      <c r="W868" s="186">
        <v>6211</v>
      </c>
      <c r="X868" s="187">
        <v>2023</v>
      </c>
      <c r="Y868" s="188">
        <v>4000</v>
      </c>
      <c r="Z868" s="188" t="s">
        <v>883</v>
      </c>
      <c r="AA868" s="187" t="s">
        <v>883</v>
      </c>
      <c r="AB868" s="188">
        <v>0</v>
      </c>
      <c r="AC868" s="188"/>
      <c r="AD868" s="189" t="s">
        <v>883</v>
      </c>
      <c r="AE868" s="190" t="s">
        <v>883</v>
      </c>
      <c r="AF868" s="180">
        <v>15272</v>
      </c>
      <c r="AG868" s="183">
        <v>44949</v>
      </c>
      <c r="AH868" s="183">
        <v>43720</v>
      </c>
      <c r="AI868" s="183">
        <v>44910</v>
      </c>
      <c r="AJ868" s="183" t="s">
        <v>883</v>
      </c>
      <c r="AK868" s="174"/>
    </row>
    <row r="869" spans="1:37" x14ac:dyDescent="0.3">
      <c r="A869" s="173">
        <v>138453</v>
      </c>
      <c r="B869" s="174" t="s">
        <v>1952</v>
      </c>
      <c r="C869" s="175" t="s">
        <v>31</v>
      </c>
      <c r="D869" s="176">
        <v>3.5</v>
      </c>
      <c r="E869" s="174"/>
      <c r="F869" s="174"/>
      <c r="G869" s="174" t="s">
        <v>883</v>
      </c>
      <c r="H869" s="177">
        <v>34340</v>
      </c>
      <c r="I869" s="24">
        <v>103003</v>
      </c>
      <c r="J869" s="178">
        <v>3.5</v>
      </c>
      <c r="K869" s="177">
        <v>5446</v>
      </c>
      <c r="L869" s="179">
        <v>6.7386185243328107</v>
      </c>
      <c r="M869" s="180">
        <v>26812</v>
      </c>
      <c r="N869" s="178">
        <v>93842</v>
      </c>
      <c r="O869" s="181" t="s">
        <v>882</v>
      </c>
      <c r="P869" s="180">
        <v>0</v>
      </c>
      <c r="Q869" s="182">
        <v>0</v>
      </c>
      <c r="R869" s="183" t="s">
        <v>883</v>
      </c>
      <c r="S869" s="174" t="s">
        <v>935</v>
      </c>
      <c r="T869" s="44">
        <v>1</v>
      </c>
      <c r="U869" s="184">
        <v>45</v>
      </c>
      <c r="V869" s="185">
        <v>11</v>
      </c>
      <c r="W869" s="186" t="s">
        <v>883</v>
      </c>
      <c r="X869" s="187" t="s">
        <v>883</v>
      </c>
      <c r="Y869" s="188">
        <v>0</v>
      </c>
      <c r="Z869" s="188" t="s">
        <v>883</v>
      </c>
      <c r="AA869" s="187" t="s">
        <v>883</v>
      </c>
      <c r="AB869" s="188">
        <v>0</v>
      </c>
      <c r="AC869" s="188"/>
      <c r="AD869" s="189" t="s">
        <v>883</v>
      </c>
      <c r="AE869" s="190" t="s">
        <v>883</v>
      </c>
      <c r="AF869" s="180">
        <v>20384</v>
      </c>
      <c r="AG869" s="183">
        <v>44173</v>
      </c>
      <c r="AH869" s="183">
        <v>43720</v>
      </c>
      <c r="AI869" s="183">
        <v>44133</v>
      </c>
      <c r="AJ869" s="183" t="s">
        <v>883</v>
      </c>
      <c r="AK869" s="174"/>
    </row>
    <row r="870" spans="1:37" x14ac:dyDescent="0.3">
      <c r="A870" s="173">
        <v>138454</v>
      </c>
      <c r="B870" s="174" t="s">
        <v>1953</v>
      </c>
      <c r="C870" s="175" t="s">
        <v>31</v>
      </c>
      <c r="D870" s="176">
        <v>3.37</v>
      </c>
      <c r="E870" s="174"/>
      <c r="F870" s="174"/>
      <c r="G870" s="174" t="s">
        <v>883</v>
      </c>
      <c r="H870" s="177">
        <v>11455</v>
      </c>
      <c r="I870" s="24">
        <v>103003</v>
      </c>
      <c r="J870" s="178">
        <v>3.37</v>
      </c>
      <c r="K870" s="177">
        <v>11132</v>
      </c>
      <c r="L870" s="179">
        <v>2.9941841468993009</v>
      </c>
      <c r="M870" s="180">
        <v>34454</v>
      </c>
      <c r="N870" s="178">
        <v>116109.98</v>
      </c>
      <c r="O870" s="181" t="s">
        <v>882</v>
      </c>
      <c r="P870" s="180">
        <v>0</v>
      </c>
      <c r="Q870" s="182">
        <v>0</v>
      </c>
      <c r="R870" s="183" t="s">
        <v>883</v>
      </c>
      <c r="S870" s="174" t="s">
        <v>935</v>
      </c>
      <c r="T870" s="44">
        <v>1</v>
      </c>
      <c r="U870" s="184">
        <v>45</v>
      </c>
      <c r="V870" s="185">
        <v>11</v>
      </c>
      <c r="W870" s="186" t="s">
        <v>883</v>
      </c>
      <c r="X870" s="187" t="s">
        <v>883</v>
      </c>
      <c r="Y870" s="188">
        <v>0</v>
      </c>
      <c r="Z870" s="188" t="s">
        <v>883</v>
      </c>
      <c r="AA870" s="187" t="s">
        <v>883</v>
      </c>
      <c r="AB870" s="188">
        <v>0</v>
      </c>
      <c r="AC870" s="188"/>
      <c r="AD870" s="189" t="s">
        <v>883</v>
      </c>
      <c r="AE870" s="190" t="s">
        <v>883</v>
      </c>
      <c r="AF870" s="180">
        <v>15304</v>
      </c>
      <c r="AG870" s="183">
        <v>44214</v>
      </c>
      <c r="AH870" s="183">
        <v>43720</v>
      </c>
      <c r="AI870" s="183">
        <v>44110</v>
      </c>
      <c r="AJ870" s="183" t="s">
        <v>883</v>
      </c>
      <c r="AK870" s="174"/>
    </row>
    <row r="871" spans="1:37" x14ac:dyDescent="0.3">
      <c r="A871" s="173">
        <v>138456</v>
      </c>
      <c r="B871" s="174" t="s">
        <v>1954</v>
      </c>
      <c r="C871" s="175" t="s">
        <v>31</v>
      </c>
      <c r="D871" s="176">
        <v>5.92</v>
      </c>
      <c r="E871" s="174"/>
      <c r="F871" s="174"/>
      <c r="G871" s="174" t="s">
        <v>883</v>
      </c>
      <c r="H871" s="177">
        <v>6657</v>
      </c>
      <c r="I871" s="24">
        <v>103003</v>
      </c>
      <c r="J871" s="178">
        <v>5.92</v>
      </c>
      <c r="K871" s="177">
        <v>37992</v>
      </c>
      <c r="L871" s="179">
        <v>1.1552277657266812</v>
      </c>
      <c r="M871" s="180">
        <v>48993</v>
      </c>
      <c r="N871" s="178">
        <v>290038.56</v>
      </c>
      <c r="O871" s="181" t="s">
        <v>882</v>
      </c>
      <c r="P871" s="180">
        <v>0</v>
      </c>
      <c r="Q871" s="182">
        <v>0</v>
      </c>
      <c r="R871" s="183" t="s">
        <v>883</v>
      </c>
      <c r="S871" s="174" t="s">
        <v>935</v>
      </c>
      <c r="T871" s="44">
        <v>1</v>
      </c>
      <c r="U871" s="184">
        <v>45</v>
      </c>
      <c r="V871" s="185">
        <v>11</v>
      </c>
      <c r="W871" s="186">
        <v>6982</v>
      </c>
      <c r="X871" s="187">
        <v>2023</v>
      </c>
      <c r="Y871" s="188">
        <v>13500</v>
      </c>
      <c r="Z871" s="188" t="s">
        <v>883</v>
      </c>
      <c r="AA871" s="187" t="s">
        <v>883</v>
      </c>
      <c r="AB871" s="188">
        <v>0</v>
      </c>
      <c r="AC871" s="188"/>
      <c r="AD871" s="189" t="s">
        <v>883</v>
      </c>
      <c r="AE871" s="190" t="s">
        <v>883</v>
      </c>
      <c r="AF871" s="180">
        <v>23050</v>
      </c>
      <c r="AG871" s="183">
        <v>44942</v>
      </c>
      <c r="AH871" s="183">
        <v>43720</v>
      </c>
      <c r="AI871" s="183">
        <v>44910</v>
      </c>
      <c r="AJ871" s="183" t="s">
        <v>883</v>
      </c>
      <c r="AK871" s="174"/>
    </row>
    <row r="872" spans="1:37" x14ac:dyDescent="0.3">
      <c r="A872" s="173">
        <v>138457</v>
      </c>
      <c r="B872" s="174" t="s">
        <v>1955</v>
      </c>
      <c r="C872" s="175" t="s">
        <v>31</v>
      </c>
      <c r="D872" s="176">
        <v>0</v>
      </c>
      <c r="E872" s="174"/>
      <c r="F872" s="174"/>
      <c r="G872" s="174" t="s">
        <v>883</v>
      </c>
      <c r="H872" s="177">
        <v>1577</v>
      </c>
      <c r="I872" s="24">
        <v>103003</v>
      </c>
      <c r="J872" s="178">
        <v>0</v>
      </c>
      <c r="K872" s="177">
        <v>192</v>
      </c>
      <c r="L872" s="179">
        <v>6.8342361863488623</v>
      </c>
      <c r="M872" s="180">
        <v>1192</v>
      </c>
      <c r="N872" s="178">
        <v>0</v>
      </c>
      <c r="O872" s="181" t="s">
        <v>882</v>
      </c>
      <c r="P872" s="180">
        <v>0</v>
      </c>
      <c r="Q872" s="182">
        <v>0</v>
      </c>
      <c r="R872" s="183" t="s">
        <v>883</v>
      </c>
      <c r="S872" s="174" t="s">
        <v>935</v>
      </c>
      <c r="T872" s="44">
        <v>1</v>
      </c>
      <c r="U872" s="184">
        <v>45</v>
      </c>
      <c r="V872" s="185">
        <v>11</v>
      </c>
      <c r="W872" s="186" t="s">
        <v>883</v>
      </c>
      <c r="X872" s="187" t="s">
        <v>883</v>
      </c>
      <c r="Y872" s="188">
        <v>0</v>
      </c>
      <c r="Z872" s="188" t="s">
        <v>883</v>
      </c>
      <c r="AA872" s="187" t="s">
        <v>883</v>
      </c>
      <c r="AB872" s="188">
        <v>0</v>
      </c>
      <c r="AC872" s="188"/>
      <c r="AD872" s="189" t="s">
        <v>883</v>
      </c>
      <c r="AE872" s="190" t="s">
        <v>883</v>
      </c>
      <c r="AF872" s="180">
        <v>924</v>
      </c>
      <c r="AG872" s="183" t="s">
        <v>883</v>
      </c>
      <c r="AH872" s="183">
        <v>43720</v>
      </c>
      <c r="AI872" s="183" t="s">
        <v>883</v>
      </c>
      <c r="AJ872" s="183" t="s">
        <v>883</v>
      </c>
      <c r="AK872" s="174"/>
    </row>
    <row r="873" spans="1:37" x14ac:dyDescent="0.3">
      <c r="A873" s="173">
        <v>138458</v>
      </c>
      <c r="B873" s="174" t="s">
        <v>1956</v>
      </c>
      <c r="C873" s="175" t="s">
        <v>31</v>
      </c>
      <c r="D873" s="176">
        <v>0</v>
      </c>
      <c r="E873" s="174"/>
      <c r="F873" s="174"/>
      <c r="G873" s="174" t="s">
        <v>883</v>
      </c>
      <c r="H873" s="177">
        <v>9067</v>
      </c>
      <c r="I873" s="24">
        <v>103003</v>
      </c>
      <c r="J873" s="178">
        <v>0</v>
      </c>
      <c r="K873" s="177">
        <v>4615</v>
      </c>
      <c r="L873" s="179">
        <v>1.4692728015193453</v>
      </c>
      <c r="M873" s="180">
        <v>64985.96</v>
      </c>
      <c r="N873" s="178">
        <v>0</v>
      </c>
      <c r="O873" s="181" t="s">
        <v>882</v>
      </c>
      <c r="P873" s="180">
        <v>0</v>
      </c>
      <c r="Q873" s="182">
        <v>0</v>
      </c>
      <c r="R873" s="183" t="s">
        <v>883</v>
      </c>
      <c r="S873" s="174" t="s">
        <v>935</v>
      </c>
      <c r="T873" s="44">
        <v>1</v>
      </c>
      <c r="U873" s="184">
        <v>45</v>
      </c>
      <c r="V873" s="185">
        <v>11</v>
      </c>
      <c r="W873" s="186" t="s">
        <v>883</v>
      </c>
      <c r="X873" s="187" t="s">
        <v>883</v>
      </c>
      <c r="Y873" s="188">
        <v>0</v>
      </c>
      <c r="Z873" s="188" t="s">
        <v>883</v>
      </c>
      <c r="AA873" s="187" t="s">
        <v>883</v>
      </c>
      <c r="AB873" s="188">
        <v>0</v>
      </c>
      <c r="AC873" s="188"/>
      <c r="AD873" s="189" t="s">
        <v>883</v>
      </c>
      <c r="AE873" s="190" t="s">
        <v>883</v>
      </c>
      <c r="AF873" s="180">
        <v>24684</v>
      </c>
      <c r="AG873" s="183" t="s">
        <v>883</v>
      </c>
      <c r="AH873" s="183">
        <v>43720</v>
      </c>
      <c r="AI873" s="183" t="s">
        <v>883</v>
      </c>
      <c r="AJ873" s="183" t="s">
        <v>883</v>
      </c>
      <c r="AK873" s="174"/>
    </row>
    <row r="874" spans="1:37" x14ac:dyDescent="0.3">
      <c r="A874" s="173">
        <v>138459</v>
      </c>
      <c r="B874" s="174" t="s">
        <v>1957</v>
      </c>
      <c r="C874" s="175" t="s">
        <v>31</v>
      </c>
      <c r="D874" s="176">
        <v>0.51</v>
      </c>
      <c r="E874" s="174"/>
      <c r="F874" s="174"/>
      <c r="G874" s="174" t="s">
        <v>883</v>
      </c>
      <c r="H874" s="177">
        <v>44198</v>
      </c>
      <c r="I874" s="24">
        <v>103003</v>
      </c>
      <c r="J874" s="178">
        <v>0.51</v>
      </c>
      <c r="K874" s="177">
        <v>22535</v>
      </c>
      <c r="L874" s="179">
        <v>16.571681389384647</v>
      </c>
      <c r="M874" s="180">
        <v>0</v>
      </c>
      <c r="N874" s="178">
        <v>0</v>
      </c>
      <c r="O874" s="181" t="s">
        <v>882</v>
      </c>
      <c r="P874" s="180">
        <v>0</v>
      </c>
      <c r="Q874" s="182">
        <v>0</v>
      </c>
      <c r="R874" s="183" t="s">
        <v>883</v>
      </c>
      <c r="S874" s="174" t="s">
        <v>903</v>
      </c>
      <c r="T874" s="44">
        <v>1</v>
      </c>
      <c r="U874" s="184">
        <v>45</v>
      </c>
      <c r="V874" s="185">
        <v>10</v>
      </c>
      <c r="W874" s="186" t="s">
        <v>883</v>
      </c>
      <c r="X874" s="187" t="s">
        <v>883</v>
      </c>
      <c r="Y874" s="188">
        <v>0</v>
      </c>
      <c r="Z874" s="188" t="s">
        <v>883</v>
      </c>
      <c r="AA874" s="187" t="s">
        <v>883</v>
      </c>
      <c r="AB874" s="188">
        <v>0</v>
      </c>
      <c r="AC874" s="188"/>
      <c r="AD874" s="189" t="s">
        <v>883</v>
      </c>
      <c r="AE874" s="190" t="s">
        <v>883</v>
      </c>
      <c r="AF874" s="180">
        <v>10668</v>
      </c>
      <c r="AG874" s="183">
        <v>45009</v>
      </c>
      <c r="AH874" s="183">
        <v>43720</v>
      </c>
      <c r="AI874" s="183">
        <v>45107</v>
      </c>
      <c r="AJ874" s="183" t="s">
        <v>883</v>
      </c>
      <c r="AK874" s="174"/>
    </row>
    <row r="875" spans="1:37" x14ac:dyDescent="0.3">
      <c r="A875" s="173">
        <v>138460</v>
      </c>
      <c r="B875" s="174" t="s">
        <v>1958</v>
      </c>
      <c r="C875" s="175" t="s">
        <v>31</v>
      </c>
      <c r="D875" s="176">
        <v>0.63</v>
      </c>
      <c r="E875" s="174"/>
      <c r="F875" s="174"/>
      <c r="G875" s="174" t="s">
        <v>883</v>
      </c>
      <c r="H875" s="177">
        <v>3434</v>
      </c>
      <c r="I875" s="24">
        <v>103003</v>
      </c>
      <c r="J875" s="178">
        <v>0.63</v>
      </c>
      <c r="K875" s="177">
        <v>8208</v>
      </c>
      <c r="L875" s="179">
        <v>1.2890390390390392</v>
      </c>
      <c r="M875" s="180">
        <v>27034</v>
      </c>
      <c r="N875" s="178">
        <v>17031.419999999998</v>
      </c>
      <c r="O875" s="181" t="s">
        <v>882</v>
      </c>
      <c r="P875" s="180">
        <v>0</v>
      </c>
      <c r="Q875" s="182">
        <v>0</v>
      </c>
      <c r="R875" s="183" t="s">
        <v>883</v>
      </c>
      <c r="S875" s="174" t="s">
        <v>903</v>
      </c>
      <c r="T875" s="44">
        <v>1</v>
      </c>
      <c r="U875" s="184">
        <v>45</v>
      </c>
      <c r="V875" s="185">
        <v>10</v>
      </c>
      <c r="W875" s="186">
        <v>6211</v>
      </c>
      <c r="X875" s="187">
        <v>2023</v>
      </c>
      <c r="Y875" s="188">
        <v>1500</v>
      </c>
      <c r="Z875" s="188" t="s">
        <v>883</v>
      </c>
      <c r="AA875" s="187" t="s">
        <v>883</v>
      </c>
      <c r="AB875" s="188">
        <v>0</v>
      </c>
      <c r="AC875" s="188"/>
      <c r="AD875" s="189" t="s">
        <v>883</v>
      </c>
      <c r="AE875" s="190" t="s">
        <v>883</v>
      </c>
      <c r="AF875" s="180">
        <v>10656</v>
      </c>
      <c r="AG875" s="183">
        <v>44151</v>
      </c>
      <c r="AH875" s="183">
        <v>43720</v>
      </c>
      <c r="AI875" s="183">
        <v>45050</v>
      </c>
      <c r="AJ875" s="183" t="s">
        <v>883</v>
      </c>
      <c r="AK875" s="174"/>
    </row>
    <row r="876" spans="1:37" x14ac:dyDescent="0.3">
      <c r="A876" s="173">
        <v>138461</v>
      </c>
      <c r="B876" s="174" t="s">
        <v>1959</v>
      </c>
      <c r="C876" s="175" t="s">
        <v>1960</v>
      </c>
      <c r="D876" s="176">
        <v>8.5299999999999994</v>
      </c>
      <c r="E876" s="174"/>
      <c r="F876" s="174"/>
      <c r="G876" s="174" t="s">
        <v>883</v>
      </c>
      <c r="H876" s="177">
        <v>7627</v>
      </c>
      <c r="I876" s="24">
        <v>103003</v>
      </c>
      <c r="J876" s="178">
        <v>8.5299999999999994</v>
      </c>
      <c r="K876" s="177">
        <v>10477</v>
      </c>
      <c r="L876" s="179">
        <v>4.3214423316637589</v>
      </c>
      <c r="M876" s="180">
        <v>13552.04</v>
      </c>
      <c r="N876" s="178">
        <v>115598.90119999999</v>
      </c>
      <c r="O876" s="181" t="s">
        <v>882</v>
      </c>
      <c r="P876" s="180">
        <v>0</v>
      </c>
      <c r="Q876" s="182">
        <v>0</v>
      </c>
      <c r="R876" s="183" t="s">
        <v>883</v>
      </c>
      <c r="S876" s="174" t="s">
        <v>931</v>
      </c>
      <c r="T876" s="44">
        <v>1</v>
      </c>
      <c r="U876" s="184">
        <v>45</v>
      </c>
      <c r="V876" s="185">
        <v>9</v>
      </c>
      <c r="W876" s="186" t="s">
        <v>883</v>
      </c>
      <c r="X876" s="187" t="s">
        <v>883</v>
      </c>
      <c r="Y876" s="188">
        <v>0</v>
      </c>
      <c r="Z876" s="188" t="s">
        <v>883</v>
      </c>
      <c r="AA876" s="187" t="s">
        <v>883</v>
      </c>
      <c r="AB876" s="188">
        <v>0</v>
      </c>
      <c r="AC876" s="188"/>
      <c r="AD876" s="189" t="s">
        <v>883</v>
      </c>
      <c r="AE876" s="190" t="s">
        <v>883</v>
      </c>
      <c r="AF876" s="180">
        <v>7060</v>
      </c>
      <c r="AG876" s="183">
        <v>45090</v>
      </c>
      <c r="AH876" s="183">
        <v>43720</v>
      </c>
      <c r="AI876" s="183">
        <v>45079</v>
      </c>
      <c r="AJ876" s="183" t="s">
        <v>883</v>
      </c>
      <c r="AK876" s="174"/>
    </row>
    <row r="877" spans="1:37" x14ac:dyDescent="0.3">
      <c r="A877" s="173">
        <v>138462</v>
      </c>
      <c r="B877" s="174" t="s">
        <v>1961</v>
      </c>
      <c r="C877" s="175" t="s">
        <v>1960</v>
      </c>
      <c r="D877" s="176">
        <v>2.95</v>
      </c>
      <c r="E877" s="174"/>
      <c r="F877" s="174"/>
      <c r="G877" s="174" t="s">
        <v>883</v>
      </c>
      <c r="H877" s="177">
        <v>8597</v>
      </c>
      <c r="I877" s="24">
        <v>103003</v>
      </c>
      <c r="J877" s="178">
        <v>2.95</v>
      </c>
      <c r="K877" s="177">
        <v>8607</v>
      </c>
      <c r="L877" s="179">
        <v>10.089428222702093</v>
      </c>
      <c r="M877" s="180">
        <v>1627.96</v>
      </c>
      <c r="N877" s="178">
        <v>4802.482</v>
      </c>
      <c r="O877" s="181" t="s">
        <v>882</v>
      </c>
      <c r="P877" s="180">
        <v>0</v>
      </c>
      <c r="Q877" s="182">
        <v>0</v>
      </c>
      <c r="R877" s="183" t="s">
        <v>883</v>
      </c>
      <c r="S877" s="174" t="s">
        <v>1287</v>
      </c>
      <c r="T877" s="44">
        <v>1</v>
      </c>
      <c r="U877" s="184">
        <v>45</v>
      </c>
      <c r="V877" s="185">
        <v>16</v>
      </c>
      <c r="W877" s="186" t="s">
        <v>883</v>
      </c>
      <c r="X877" s="187" t="s">
        <v>883</v>
      </c>
      <c r="Y877" s="188">
        <v>0</v>
      </c>
      <c r="Z877" s="188" t="s">
        <v>883</v>
      </c>
      <c r="AA877" s="187" t="s">
        <v>883</v>
      </c>
      <c r="AB877" s="188">
        <v>0</v>
      </c>
      <c r="AC877" s="188"/>
      <c r="AD877" s="189" t="s">
        <v>883</v>
      </c>
      <c r="AE877" s="190" t="s">
        <v>883</v>
      </c>
      <c r="AF877" s="180">
        <v>3408</v>
      </c>
      <c r="AG877" s="183">
        <v>44991</v>
      </c>
      <c r="AH877" s="183">
        <v>43720</v>
      </c>
      <c r="AI877" s="183">
        <v>44910</v>
      </c>
      <c r="AJ877" s="183" t="s">
        <v>883</v>
      </c>
      <c r="AK877" s="174"/>
    </row>
    <row r="878" spans="1:37" x14ac:dyDescent="0.3">
      <c r="A878" s="173">
        <v>138463</v>
      </c>
      <c r="B878" s="174" t="s">
        <v>1962</v>
      </c>
      <c r="C878" s="175" t="s">
        <v>1960</v>
      </c>
      <c r="D878" s="176">
        <v>7.29</v>
      </c>
      <c r="E878" s="174"/>
      <c r="F878" s="174"/>
      <c r="G878" s="174" t="s">
        <v>883</v>
      </c>
      <c r="H878" s="177">
        <v>23964</v>
      </c>
      <c r="I878" s="24">
        <v>103003</v>
      </c>
      <c r="J878" s="178">
        <v>7.3499400000000001</v>
      </c>
      <c r="K878" s="177">
        <v>23752</v>
      </c>
      <c r="L878" s="179">
        <v>8.3658579158666431</v>
      </c>
      <c r="M878" s="180">
        <v>10410</v>
      </c>
      <c r="N878" s="178">
        <v>75888.899999999994</v>
      </c>
      <c r="O878" s="181" t="s">
        <v>882</v>
      </c>
      <c r="P878" s="180">
        <v>0</v>
      </c>
      <c r="Q878" s="182">
        <v>0</v>
      </c>
      <c r="R878" s="183" t="s">
        <v>883</v>
      </c>
      <c r="S878" s="174" t="s">
        <v>931</v>
      </c>
      <c r="T878" s="44">
        <v>1</v>
      </c>
      <c r="U878" s="184">
        <v>45</v>
      </c>
      <c r="V878" s="185">
        <v>9</v>
      </c>
      <c r="W878" s="186" t="s">
        <v>883</v>
      </c>
      <c r="X878" s="187" t="s">
        <v>883</v>
      </c>
      <c r="Y878" s="188">
        <v>0</v>
      </c>
      <c r="Z878" s="188" t="s">
        <v>883</v>
      </c>
      <c r="AA878" s="187" t="s">
        <v>883</v>
      </c>
      <c r="AB878" s="188">
        <v>0</v>
      </c>
      <c r="AC878" s="188"/>
      <c r="AD878" s="189" t="s">
        <v>883</v>
      </c>
      <c r="AE878" s="190" t="s">
        <v>883</v>
      </c>
      <c r="AF878" s="180">
        <v>11458</v>
      </c>
      <c r="AG878" s="183">
        <v>45051</v>
      </c>
      <c r="AH878" s="183">
        <v>43720</v>
      </c>
      <c r="AI878" s="183">
        <v>44959</v>
      </c>
      <c r="AJ878" s="183" t="s">
        <v>883</v>
      </c>
      <c r="AK878" s="174"/>
    </row>
    <row r="879" spans="1:37" x14ac:dyDescent="0.3">
      <c r="A879" s="173">
        <v>138464</v>
      </c>
      <c r="B879" s="174" t="s">
        <v>1963</v>
      </c>
      <c r="C879" s="175" t="s">
        <v>31</v>
      </c>
      <c r="D879" s="176">
        <v>0.23</v>
      </c>
      <c r="E879" s="174"/>
      <c r="F879" s="174"/>
      <c r="G879" s="174" t="s">
        <v>883</v>
      </c>
      <c r="H879" s="177">
        <v>74640</v>
      </c>
      <c r="I879" s="24">
        <v>103003</v>
      </c>
      <c r="J879" s="178">
        <v>0.23</v>
      </c>
      <c r="K879" s="177">
        <v>44195</v>
      </c>
      <c r="L879" s="179">
        <v>4.7841799015730615</v>
      </c>
      <c r="M879" s="180">
        <v>112577.04</v>
      </c>
      <c r="N879" s="178">
        <v>25892.7192</v>
      </c>
      <c r="O879" s="181" t="s">
        <v>882</v>
      </c>
      <c r="P879" s="180">
        <v>0</v>
      </c>
      <c r="Q879" s="182">
        <v>0</v>
      </c>
      <c r="R879" s="183" t="s">
        <v>883</v>
      </c>
      <c r="S879" s="174" t="s">
        <v>931</v>
      </c>
      <c r="T879" s="44">
        <v>1</v>
      </c>
      <c r="U879" s="184">
        <v>45</v>
      </c>
      <c r="V879" s="185">
        <v>9</v>
      </c>
      <c r="W879" s="186" t="s">
        <v>883</v>
      </c>
      <c r="X879" s="187" t="s">
        <v>883</v>
      </c>
      <c r="Y879" s="188">
        <v>0</v>
      </c>
      <c r="Z879" s="188" t="s">
        <v>883</v>
      </c>
      <c r="AA879" s="187" t="s">
        <v>883</v>
      </c>
      <c r="AB879" s="188">
        <v>0</v>
      </c>
      <c r="AC879" s="188"/>
      <c r="AD879" s="189" t="s">
        <v>883</v>
      </c>
      <c r="AE879" s="190" t="s">
        <v>883</v>
      </c>
      <c r="AF879" s="180">
        <v>62406</v>
      </c>
      <c r="AG879" s="183">
        <v>44151</v>
      </c>
      <c r="AH879" s="183">
        <v>43720</v>
      </c>
      <c r="AI879" s="183">
        <v>44110</v>
      </c>
      <c r="AJ879" s="183" t="s">
        <v>883</v>
      </c>
      <c r="AK879" s="174"/>
    </row>
    <row r="880" spans="1:37" x14ac:dyDescent="0.3">
      <c r="A880" s="173">
        <v>138465</v>
      </c>
      <c r="B880" s="174" t="s">
        <v>1964</v>
      </c>
      <c r="C880" s="175" t="s">
        <v>31</v>
      </c>
      <c r="D880" s="176">
        <v>2.94</v>
      </c>
      <c r="E880" s="174"/>
      <c r="F880" s="174"/>
      <c r="G880" s="174" t="s">
        <v>883</v>
      </c>
      <c r="H880" s="177">
        <v>5067</v>
      </c>
      <c r="I880" s="24">
        <v>103003</v>
      </c>
      <c r="J880" s="178">
        <v>2.94</v>
      </c>
      <c r="K880" s="177">
        <v>3032</v>
      </c>
      <c r="L880" s="179">
        <v>1.9966505762979017</v>
      </c>
      <c r="M880" s="180">
        <v>25386</v>
      </c>
      <c r="N880" s="178">
        <v>74634.84</v>
      </c>
      <c r="O880" s="181" t="s">
        <v>882</v>
      </c>
      <c r="P880" s="180">
        <v>0</v>
      </c>
      <c r="Q880" s="182">
        <v>0</v>
      </c>
      <c r="R880" s="183" t="s">
        <v>883</v>
      </c>
      <c r="S880" s="174" t="s">
        <v>931</v>
      </c>
      <c r="T880" s="44">
        <v>1</v>
      </c>
      <c r="U880" s="184">
        <v>45</v>
      </c>
      <c r="V880" s="185">
        <v>9</v>
      </c>
      <c r="W880" s="186" t="s">
        <v>883</v>
      </c>
      <c r="X880" s="187" t="s">
        <v>883</v>
      </c>
      <c r="Y880" s="188">
        <v>0</v>
      </c>
      <c r="Z880" s="188" t="s">
        <v>883</v>
      </c>
      <c r="AA880" s="187" t="s">
        <v>883</v>
      </c>
      <c r="AB880" s="188">
        <v>0</v>
      </c>
      <c r="AC880" s="188"/>
      <c r="AD880" s="189" t="s">
        <v>883</v>
      </c>
      <c r="AE880" s="190" t="s">
        <v>883</v>
      </c>
      <c r="AF880" s="180">
        <v>10152</v>
      </c>
      <c r="AG880" s="183" t="s">
        <v>883</v>
      </c>
      <c r="AH880" s="183">
        <v>43720</v>
      </c>
      <c r="AI880" s="183">
        <v>45125</v>
      </c>
      <c r="AJ880" s="183" t="s">
        <v>883</v>
      </c>
      <c r="AK880" s="174"/>
    </row>
    <row r="881" spans="1:37" x14ac:dyDescent="0.3">
      <c r="A881" s="173">
        <v>138471</v>
      </c>
      <c r="B881" s="174" t="s">
        <v>1965</v>
      </c>
      <c r="C881" s="175" t="s">
        <v>31</v>
      </c>
      <c r="D881" s="176">
        <v>3.84</v>
      </c>
      <c r="E881" s="174"/>
      <c r="F881" s="174"/>
      <c r="G881" s="174" t="s">
        <v>883</v>
      </c>
      <c r="H881" s="177">
        <v>5900</v>
      </c>
      <c r="I881" s="24">
        <v>103003</v>
      </c>
      <c r="J881" s="178">
        <v>3.84</v>
      </c>
      <c r="K881" s="177">
        <v>8268</v>
      </c>
      <c r="L881" s="179">
        <v>2.8860311202203168</v>
      </c>
      <c r="M881" s="180">
        <v>15531.96</v>
      </c>
      <c r="N881" s="178">
        <v>59642.7264</v>
      </c>
      <c r="O881" s="181" t="s">
        <v>882</v>
      </c>
      <c r="P881" s="180">
        <v>0</v>
      </c>
      <c r="Q881" s="182">
        <v>0</v>
      </c>
      <c r="R881" s="183" t="s">
        <v>883</v>
      </c>
      <c r="S881" s="174" t="s">
        <v>925</v>
      </c>
      <c r="T881" s="44">
        <v>1</v>
      </c>
      <c r="U881" s="184">
        <v>45</v>
      </c>
      <c r="V881" s="185">
        <v>12</v>
      </c>
      <c r="W881" s="186">
        <v>8971</v>
      </c>
      <c r="X881" s="187">
        <v>2023</v>
      </c>
      <c r="Y881" s="188">
        <v>3100</v>
      </c>
      <c r="Z881" s="188" t="s">
        <v>883</v>
      </c>
      <c r="AA881" s="187" t="s">
        <v>883</v>
      </c>
      <c r="AB881" s="188">
        <v>0</v>
      </c>
      <c r="AC881" s="188"/>
      <c r="AD881" s="189" t="s">
        <v>883</v>
      </c>
      <c r="AE881" s="190" t="s">
        <v>883</v>
      </c>
      <c r="AF881" s="180">
        <v>8178</v>
      </c>
      <c r="AG881" s="183">
        <v>44985</v>
      </c>
      <c r="AH881" s="183">
        <v>43720</v>
      </c>
      <c r="AI881" s="183">
        <v>44959</v>
      </c>
      <c r="AJ881" s="183" t="s">
        <v>883</v>
      </c>
      <c r="AK881" s="174"/>
    </row>
    <row r="882" spans="1:37" x14ac:dyDescent="0.3">
      <c r="A882" s="173">
        <v>138475</v>
      </c>
      <c r="B882" s="174" t="s">
        <v>1966</v>
      </c>
      <c r="C882" s="175" t="s">
        <v>256</v>
      </c>
      <c r="D882" s="176">
        <v>13.05</v>
      </c>
      <c r="E882" s="174"/>
      <c r="F882" s="174"/>
      <c r="G882" s="174" t="s">
        <v>883</v>
      </c>
      <c r="H882" s="177">
        <v>155</v>
      </c>
      <c r="I882" s="24">
        <v>103003</v>
      </c>
      <c r="J882" s="178">
        <v>13.05</v>
      </c>
      <c r="K882" s="177">
        <v>21</v>
      </c>
      <c r="L882" s="179">
        <v>88.571428571428569</v>
      </c>
      <c r="M882" s="180">
        <v>0</v>
      </c>
      <c r="N882" s="178">
        <v>0</v>
      </c>
      <c r="O882" s="181" t="s">
        <v>882</v>
      </c>
      <c r="P882" s="180">
        <v>0</v>
      </c>
      <c r="Q882" s="182">
        <v>0</v>
      </c>
      <c r="R882" s="183" t="s">
        <v>883</v>
      </c>
      <c r="S882" s="174" t="s">
        <v>1275</v>
      </c>
      <c r="T882" s="44">
        <v>1</v>
      </c>
      <c r="U882" s="184">
        <v>83</v>
      </c>
      <c r="V882" s="185">
        <v>4</v>
      </c>
      <c r="W882" s="186" t="s">
        <v>883</v>
      </c>
      <c r="X882" s="187" t="s">
        <v>883</v>
      </c>
      <c r="Y882" s="188">
        <v>0</v>
      </c>
      <c r="Z882" s="188" t="s">
        <v>883</v>
      </c>
      <c r="AA882" s="187" t="s">
        <v>883</v>
      </c>
      <c r="AB882" s="188">
        <v>0</v>
      </c>
      <c r="AC882" s="188"/>
      <c r="AD882" s="189" t="s">
        <v>883</v>
      </c>
      <c r="AE882" s="190" t="s">
        <v>883</v>
      </c>
      <c r="AF882" s="180">
        <v>8</v>
      </c>
      <c r="AG882" s="183">
        <v>43878</v>
      </c>
      <c r="AH882" s="183">
        <v>43721</v>
      </c>
      <c r="AI882" s="183">
        <v>43826</v>
      </c>
      <c r="AJ882" s="183" t="s">
        <v>883</v>
      </c>
      <c r="AK882" s="174"/>
    </row>
    <row r="883" spans="1:37" x14ac:dyDescent="0.3">
      <c r="A883" s="173">
        <v>138528</v>
      </c>
      <c r="B883" s="174" t="s">
        <v>1967</v>
      </c>
      <c r="C883" s="175" t="s">
        <v>31</v>
      </c>
      <c r="D883" s="176">
        <v>184</v>
      </c>
      <c r="E883" s="174"/>
      <c r="F883" s="174"/>
      <c r="G883" s="174" t="s">
        <v>883</v>
      </c>
      <c r="H883" s="177">
        <v>29</v>
      </c>
      <c r="I883" s="24">
        <v>103003</v>
      </c>
      <c r="J883" s="178">
        <v>184</v>
      </c>
      <c r="K883" s="177"/>
      <c r="L883" s="179">
        <v>0</v>
      </c>
      <c r="M883" s="180">
        <v>0</v>
      </c>
      <c r="N883" s="178">
        <v>0</v>
      </c>
      <c r="O883" s="181" t="s">
        <v>882</v>
      </c>
      <c r="P883" s="180">
        <v>0</v>
      </c>
      <c r="Q883" s="182">
        <v>0</v>
      </c>
      <c r="R883" s="183" t="s">
        <v>883</v>
      </c>
      <c r="S883" s="174" t="s">
        <v>1968</v>
      </c>
      <c r="T883" s="44">
        <v>1</v>
      </c>
      <c r="U883" s="184">
        <v>78</v>
      </c>
      <c r="V883" s="185">
        <v>4</v>
      </c>
      <c r="W883" s="186" t="s">
        <v>883</v>
      </c>
      <c r="X883" s="187" t="s">
        <v>883</v>
      </c>
      <c r="Y883" s="188">
        <v>0</v>
      </c>
      <c r="Z883" s="188" t="s">
        <v>883</v>
      </c>
      <c r="AA883" s="187" t="s">
        <v>883</v>
      </c>
      <c r="AB883" s="188">
        <v>0</v>
      </c>
      <c r="AC883" s="188"/>
      <c r="AD883" s="189" t="s">
        <v>883</v>
      </c>
      <c r="AE883" s="190" t="s">
        <v>883</v>
      </c>
      <c r="AF883" s="180">
        <v>0</v>
      </c>
      <c r="AG883" s="183">
        <v>43847</v>
      </c>
      <c r="AH883" s="183">
        <v>43727</v>
      </c>
      <c r="AI883" s="183">
        <v>43809</v>
      </c>
      <c r="AJ883" s="183" t="s">
        <v>883</v>
      </c>
      <c r="AK883" s="174"/>
    </row>
    <row r="884" spans="1:37" x14ac:dyDescent="0.3">
      <c r="A884" s="173">
        <v>138551</v>
      </c>
      <c r="B884" s="174" t="s">
        <v>1969</v>
      </c>
      <c r="C884" s="175" t="s">
        <v>31</v>
      </c>
      <c r="D884" s="176">
        <v>299.89</v>
      </c>
      <c r="E884" s="174"/>
      <c r="F884" s="174"/>
      <c r="G884" s="174" t="s">
        <v>883</v>
      </c>
      <c r="H884" s="177">
        <v>0</v>
      </c>
      <c r="I884" s="24">
        <v>103003</v>
      </c>
      <c r="J884" s="178">
        <v>299.89</v>
      </c>
      <c r="K884" s="177">
        <v>360</v>
      </c>
      <c r="L884" s="179">
        <v>0</v>
      </c>
      <c r="M884" s="180">
        <v>0</v>
      </c>
      <c r="N884" s="178">
        <v>0</v>
      </c>
      <c r="O884" s="181" t="s">
        <v>882</v>
      </c>
      <c r="P884" s="180">
        <v>0</v>
      </c>
      <c r="Q884" s="182">
        <v>0</v>
      </c>
      <c r="R884" s="183" t="s">
        <v>883</v>
      </c>
      <c r="S884" s="174" t="s">
        <v>1870</v>
      </c>
      <c r="T884" s="44">
        <v>1</v>
      </c>
      <c r="U884" s="184">
        <v>55</v>
      </c>
      <c r="V884" s="185">
        <v>66</v>
      </c>
      <c r="W884" s="186">
        <v>2376</v>
      </c>
      <c r="X884" s="187">
        <v>2023</v>
      </c>
      <c r="Y884" s="188">
        <v>500</v>
      </c>
      <c r="Z884" s="188" t="s">
        <v>883</v>
      </c>
      <c r="AA884" s="187" t="s">
        <v>883</v>
      </c>
      <c r="AB884" s="188">
        <v>0</v>
      </c>
      <c r="AC884" s="188"/>
      <c r="AD884" s="189" t="s">
        <v>883</v>
      </c>
      <c r="AE884" s="190" t="s">
        <v>883</v>
      </c>
      <c r="AF884" s="180">
        <v>134</v>
      </c>
      <c r="AG884" s="183">
        <v>44495</v>
      </c>
      <c r="AH884" s="183">
        <v>43734</v>
      </c>
      <c r="AI884" s="183">
        <v>44431</v>
      </c>
      <c r="AJ884" s="183" t="s">
        <v>883</v>
      </c>
      <c r="AK884" s="174"/>
    </row>
    <row r="885" spans="1:37" x14ac:dyDescent="0.3">
      <c r="A885" s="173">
        <v>138552</v>
      </c>
      <c r="B885" s="174" t="s">
        <v>1970</v>
      </c>
      <c r="C885" s="175" t="s">
        <v>31</v>
      </c>
      <c r="D885" s="176">
        <v>438.58</v>
      </c>
      <c r="E885" s="174"/>
      <c r="F885" s="174"/>
      <c r="G885" s="174" t="s">
        <v>883</v>
      </c>
      <c r="H885" s="177">
        <v>529</v>
      </c>
      <c r="I885" s="24">
        <v>103003</v>
      </c>
      <c r="J885" s="178">
        <v>438.58</v>
      </c>
      <c r="K885" s="177">
        <v>80</v>
      </c>
      <c r="L885" s="179">
        <v>77.452415812591511</v>
      </c>
      <c r="M885" s="180">
        <v>0</v>
      </c>
      <c r="N885" s="178">
        <v>0</v>
      </c>
      <c r="O885" s="181" t="s">
        <v>882</v>
      </c>
      <c r="P885" s="180">
        <v>0</v>
      </c>
      <c r="Q885" s="182">
        <v>0</v>
      </c>
      <c r="R885" s="183" t="s">
        <v>883</v>
      </c>
      <c r="S885" s="174" t="s">
        <v>1083</v>
      </c>
      <c r="T885" s="44">
        <v>1</v>
      </c>
      <c r="U885" s="184">
        <v>55</v>
      </c>
      <c r="V885" s="185">
        <v>49</v>
      </c>
      <c r="W885" s="186" t="s">
        <v>883</v>
      </c>
      <c r="X885" s="187" t="s">
        <v>883</v>
      </c>
      <c r="Y885" s="188">
        <v>0</v>
      </c>
      <c r="Z885" s="188" t="s">
        <v>883</v>
      </c>
      <c r="AA885" s="187" t="s">
        <v>883</v>
      </c>
      <c r="AB885" s="188">
        <v>0</v>
      </c>
      <c r="AC885" s="188"/>
      <c r="AD885" s="189" t="s">
        <v>883</v>
      </c>
      <c r="AE885" s="190" t="s">
        <v>883</v>
      </c>
      <c r="AF885" s="180">
        <v>28</v>
      </c>
      <c r="AG885" s="183">
        <v>44532</v>
      </c>
      <c r="AH885" s="183">
        <v>43734</v>
      </c>
      <c r="AI885" s="183">
        <v>44470</v>
      </c>
      <c r="AJ885" s="183" t="s">
        <v>883</v>
      </c>
      <c r="AK885" s="174"/>
    </row>
    <row r="886" spans="1:37" x14ac:dyDescent="0.3">
      <c r="A886" s="173">
        <v>138553</v>
      </c>
      <c r="B886" s="174" t="s">
        <v>1971</v>
      </c>
      <c r="C886" s="175" t="s">
        <v>31</v>
      </c>
      <c r="D886" s="176">
        <v>566.33000000000004</v>
      </c>
      <c r="E886" s="174"/>
      <c r="F886" s="174"/>
      <c r="G886" s="174" t="s">
        <v>883</v>
      </c>
      <c r="H886" s="177">
        <v>660</v>
      </c>
      <c r="I886" s="24">
        <v>103003</v>
      </c>
      <c r="J886" s="178">
        <v>566.33000000000004</v>
      </c>
      <c r="K886" s="177">
        <v>20</v>
      </c>
      <c r="L886" s="179">
        <v>395.20958083832335</v>
      </c>
      <c r="M886" s="180">
        <v>0</v>
      </c>
      <c r="N886" s="178">
        <v>0</v>
      </c>
      <c r="O886" s="181" t="s">
        <v>882</v>
      </c>
      <c r="P886" s="180">
        <v>0</v>
      </c>
      <c r="Q886" s="182">
        <v>0</v>
      </c>
      <c r="R886" s="183" t="s">
        <v>883</v>
      </c>
      <c r="S886" s="174" t="s">
        <v>1083</v>
      </c>
      <c r="T886" s="44">
        <v>1</v>
      </c>
      <c r="U886" s="184">
        <v>55</v>
      </c>
      <c r="V886" s="185">
        <v>49</v>
      </c>
      <c r="W886" s="186" t="s">
        <v>883</v>
      </c>
      <c r="X886" s="187" t="s">
        <v>883</v>
      </c>
      <c r="Y886" s="188">
        <v>0</v>
      </c>
      <c r="Z886" s="188" t="s">
        <v>883</v>
      </c>
      <c r="AA886" s="187" t="s">
        <v>883</v>
      </c>
      <c r="AB886" s="188">
        <v>0</v>
      </c>
      <c r="AC886" s="188"/>
      <c r="AD886" s="189" t="s">
        <v>883</v>
      </c>
      <c r="AE886" s="190" t="s">
        <v>883</v>
      </c>
      <c r="AF886" s="180">
        <v>6</v>
      </c>
      <c r="AG886" s="183">
        <v>44537</v>
      </c>
      <c r="AH886" s="183">
        <v>43734</v>
      </c>
      <c r="AI886" s="183">
        <v>44470</v>
      </c>
      <c r="AJ886" s="183" t="s">
        <v>883</v>
      </c>
      <c r="AK886" s="174"/>
    </row>
    <row r="887" spans="1:37" x14ac:dyDescent="0.3">
      <c r="A887" s="173">
        <v>138554</v>
      </c>
      <c r="B887" s="174" t="s">
        <v>1972</v>
      </c>
      <c r="C887" s="175" t="s">
        <v>31</v>
      </c>
      <c r="D887" s="176">
        <v>377.85</v>
      </c>
      <c r="E887" s="174"/>
      <c r="F887" s="174"/>
      <c r="G887" s="174" t="s">
        <v>883</v>
      </c>
      <c r="H887" s="177">
        <v>378</v>
      </c>
      <c r="I887" s="24">
        <v>103003</v>
      </c>
      <c r="J887" s="178">
        <v>377.85</v>
      </c>
      <c r="K887" s="177">
        <v>208</v>
      </c>
      <c r="L887" s="179">
        <v>21.811886901327178</v>
      </c>
      <c r="M887" s="180">
        <v>0</v>
      </c>
      <c r="N887" s="178">
        <v>0</v>
      </c>
      <c r="O887" s="181" t="s">
        <v>882</v>
      </c>
      <c r="P887" s="180">
        <v>0</v>
      </c>
      <c r="Q887" s="182">
        <v>0</v>
      </c>
      <c r="R887" s="183" t="s">
        <v>883</v>
      </c>
      <c r="S887" s="174" t="s">
        <v>1083</v>
      </c>
      <c r="T887" s="44">
        <v>1</v>
      </c>
      <c r="U887" s="184">
        <v>55</v>
      </c>
      <c r="V887" s="185">
        <v>49</v>
      </c>
      <c r="W887" s="186" t="s">
        <v>883</v>
      </c>
      <c r="X887" s="187" t="s">
        <v>883</v>
      </c>
      <c r="Y887" s="188">
        <v>0</v>
      </c>
      <c r="Z887" s="188" t="s">
        <v>883</v>
      </c>
      <c r="AA887" s="187" t="s">
        <v>883</v>
      </c>
      <c r="AB887" s="188">
        <v>0</v>
      </c>
      <c r="AC887" s="188"/>
      <c r="AD887" s="189" t="s">
        <v>883</v>
      </c>
      <c r="AE887" s="190" t="s">
        <v>883</v>
      </c>
      <c r="AF887" s="180">
        <v>0</v>
      </c>
      <c r="AG887" s="183">
        <v>44525</v>
      </c>
      <c r="AH887" s="183">
        <v>43734</v>
      </c>
      <c r="AI887" s="183">
        <v>44431</v>
      </c>
      <c r="AJ887" s="183" t="s">
        <v>883</v>
      </c>
      <c r="AK887" s="174"/>
    </row>
    <row r="888" spans="1:37" x14ac:dyDescent="0.3">
      <c r="A888" s="173">
        <v>139141</v>
      </c>
      <c r="B888" s="174" t="s">
        <v>1973</v>
      </c>
      <c r="C888" s="175" t="s">
        <v>31</v>
      </c>
      <c r="D888" s="176">
        <v>5.65</v>
      </c>
      <c r="E888" s="174"/>
      <c r="F888" s="174"/>
      <c r="G888" s="174" t="s">
        <v>883</v>
      </c>
      <c r="H888" s="177">
        <v>2134</v>
      </c>
      <c r="I888" s="24">
        <v>103003</v>
      </c>
      <c r="J888" s="178">
        <v>3.7949999999999999</v>
      </c>
      <c r="K888" s="177">
        <v>3282</v>
      </c>
      <c r="L888" s="179">
        <v>6.7638668779714743</v>
      </c>
      <c r="M888" s="180">
        <v>1652</v>
      </c>
      <c r="N888" s="178">
        <v>9333.7999999999993</v>
      </c>
      <c r="O888" s="181" t="s">
        <v>882</v>
      </c>
      <c r="P888" s="180">
        <v>0</v>
      </c>
      <c r="Q888" s="182">
        <v>0</v>
      </c>
      <c r="R888" s="183" t="s">
        <v>883</v>
      </c>
      <c r="S888" s="174" t="s">
        <v>931</v>
      </c>
      <c r="T888" s="44">
        <v>1</v>
      </c>
      <c r="U888" s="184">
        <v>45</v>
      </c>
      <c r="V888" s="185">
        <v>9</v>
      </c>
      <c r="W888" s="186" t="s">
        <v>883</v>
      </c>
      <c r="X888" s="187" t="s">
        <v>883</v>
      </c>
      <c r="Y888" s="188">
        <v>0</v>
      </c>
      <c r="Z888" s="188" t="s">
        <v>883</v>
      </c>
      <c r="AA888" s="187" t="s">
        <v>883</v>
      </c>
      <c r="AB888" s="188">
        <v>0</v>
      </c>
      <c r="AC888" s="188"/>
      <c r="AD888" s="189" t="s">
        <v>883</v>
      </c>
      <c r="AE888" s="190" t="s">
        <v>883</v>
      </c>
      <c r="AF888" s="180">
        <v>1262</v>
      </c>
      <c r="AG888" s="183">
        <v>45057</v>
      </c>
      <c r="AH888" s="183">
        <v>43881</v>
      </c>
      <c r="AI888" s="183">
        <v>45044</v>
      </c>
      <c r="AJ888" s="183" t="s">
        <v>883</v>
      </c>
      <c r="AK888" s="174"/>
    </row>
    <row r="889" spans="1:37" x14ac:dyDescent="0.3">
      <c r="A889" s="173">
        <v>139142</v>
      </c>
      <c r="B889" s="174" t="s">
        <v>1974</v>
      </c>
      <c r="C889" s="175" t="s">
        <v>31</v>
      </c>
      <c r="D889" s="176">
        <v>6.85</v>
      </c>
      <c r="E889" s="174"/>
      <c r="F889" s="174"/>
      <c r="G889" s="174" t="s">
        <v>883</v>
      </c>
      <c r="H889" s="177">
        <v>2153</v>
      </c>
      <c r="I889" s="24">
        <v>103003</v>
      </c>
      <c r="J889" s="178">
        <v>4.625</v>
      </c>
      <c r="K889" s="177">
        <v>3483</v>
      </c>
      <c r="L889" s="179">
        <v>6.2076521638843243</v>
      </c>
      <c r="M889" s="180">
        <v>2008.96</v>
      </c>
      <c r="N889" s="178">
        <v>13761.376</v>
      </c>
      <c r="O889" s="181" t="s">
        <v>882</v>
      </c>
      <c r="P889" s="180">
        <v>0</v>
      </c>
      <c r="Q889" s="182">
        <v>0</v>
      </c>
      <c r="R889" s="183" t="s">
        <v>883</v>
      </c>
      <c r="S889" s="174" t="s">
        <v>931</v>
      </c>
      <c r="T889" s="44">
        <v>1</v>
      </c>
      <c r="U889" s="184">
        <v>45</v>
      </c>
      <c r="V889" s="185">
        <v>9</v>
      </c>
      <c r="W889" s="186" t="s">
        <v>883</v>
      </c>
      <c r="X889" s="187" t="s">
        <v>883</v>
      </c>
      <c r="Y889" s="188">
        <v>0</v>
      </c>
      <c r="Z889" s="188" t="s">
        <v>883</v>
      </c>
      <c r="AA889" s="187" t="s">
        <v>883</v>
      </c>
      <c r="AB889" s="188">
        <v>0</v>
      </c>
      <c r="AC889" s="188"/>
      <c r="AD889" s="189" t="s">
        <v>883</v>
      </c>
      <c r="AE889" s="190" t="s">
        <v>883</v>
      </c>
      <c r="AF889" s="180">
        <v>1388</v>
      </c>
      <c r="AG889" s="183">
        <v>45057</v>
      </c>
      <c r="AH889" s="183">
        <v>43881</v>
      </c>
      <c r="AI889" s="183">
        <v>45044</v>
      </c>
      <c r="AJ889" s="183" t="s">
        <v>883</v>
      </c>
      <c r="AK889" s="174"/>
    </row>
    <row r="890" spans="1:37" x14ac:dyDescent="0.3">
      <c r="A890" s="173">
        <v>139143</v>
      </c>
      <c r="B890" s="174" t="s">
        <v>1975</v>
      </c>
      <c r="C890" s="175" t="s">
        <v>31</v>
      </c>
      <c r="D890" s="176">
        <v>10.4</v>
      </c>
      <c r="E890" s="174"/>
      <c r="F890" s="174"/>
      <c r="G890" s="174" t="s">
        <v>883</v>
      </c>
      <c r="H890" s="177">
        <v>676</v>
      </c>
      <c r="I890" s="24">
        <v>103003</v>
      </c>
      <c r="J890" s="178">
        <v>10.4</v>
      </c>
      <c r="K890" s="177">
        <v>4832</v>
      </c>
      <c r="L890" s="179">
        <v>1.4717087932423314</v>
      </c>
      <c r="M890" s="180">
        <v>3735.96</v>
      </c>
      <c r="N890" s="178">
        <v>38853.983999999997</v>
      </c>
      <c r="O890" s="181" t="s">
        <v>882</v>
      </c>
      <c r="P890" s="180">
        <v>0</v>
      </c>
      <c r="Q890" s="182">
        <v>0</v>
      </c>
      <c r="R890" s="183" t="s">
        <v>883</v>
      </c>
      <c r="S890" s="174" t="s">
        <v>931</v>
      </c>
      <c r="T890" s="44">
        <v>1</v>
      </c>
      <c r="U890" s="184">
        <v>45</v>
      </c>
      <c r="V890" s="185">
        <v>9</v>
      </c>
      <c r="W890" s="186">
        <v>6978</v>
      </c>
      <c r="X890" s="187">
        <v>2023</v>
      </c>
      <c r="Y890" s="188">
        <v>1100</v>
      </c>
      <c r="Z890" s="188" t="s">
        <v>883</v>
      </c>
      <c r="AA890" s="187" t="s">
        <v>883</v>
      </c>
      <c r="AB890" s="188">
        <v>0</v>
      </c>
      <c r="AC890" s="188"/>
      <c r="AD890" s="189" t="s">
        <v>883</v>
      </c>
      <c r="AE890" s="190" t="s">
        <v>883</v>
      </c>
      <c r="AF890" s="180">
        <v>1838</v>
      </c>
      <c r="AG890" s="183">
        <v>44974</v>
      </c>
      <c r="AH890" s="183">
        <v>43881</v>
      </c>
      <c r="AI890" s="183">
        <v>45044</v>
      </c>
      <c r="AJ890" s="183" t="s">
        <v>883</v>
      </c>
      <c r="AK890" s="174"/>
    </row>
    <row r="891" spans="1:37" x14ac:dyDescent="0.3">
      <c r="A891" s="173">
        <v>139144</v>
      </c>
      <c r="B891" s="174" t="s">
        <v>1976</v>
      </c>
      <c r="C891" s="175" t="s">
        <v>31</v>
      </c>
      <c r="D891" s="176">
        <v>14.1</v>
      </c>
      <c r="E891" s="174"/>
      <c r="F891" s="174"/>
      <c r="G891" s="174" t="s">
        <v>883</v>
      </c>
      <c r="H891" s="177">
        <v>557</v>
      </c>
      <c r="I891" s="24">
        <v>103003</v>
      </c>
      <c r="J891" s="178">
        <v>14.1</v>
      </c>
      <c r="K891" s="177">
        <v>4829</v>
      </c>
      <c r="L891" s="179">
        <v>1.3841260374732869</v>
      </c>
      <c r="M891" s="180">
        <v>3072.04</v>
      </c>
      <c r="N891" s="178">
        <v>43315.764000000003</v>
      </c>
      <c r="O891" s="181" t="s">
        <v>882</v>
      </c>
      <c r="P891" s="180">
        <v>0</v>
      </c>
      <c r="Q891" s="182">
        <v>0</v>
      </c>
      <c r="R891" s="183" t="s">
        <v>883</v>
      </c>
      <c r="S891" s="174" t="s">
        <v>931</v>
      </c>
      <c r="T891" s="44">
        <v>1</v>
      </c>
      <c r="U891" s="184">
        <v>45</v>
      </c>
      <c r="V891" s="185">
        <v>9</v>
      </c>
      <c r="W891" s="186">
        <v>6982</v>
      </c>
      <c r="X891" s="187">
        <v>2023</v>
      </c>
      <c r="Y891" s="188">
        <v>1200</v>
      </c>
      <c r="Z891" s="188" t="s">
        <v>883</v>
      </c>
      <c r="AA891" s="187" t="s">
        <v>883</v>
      </c>
      <c r="AB891" s="188">
        <v>0</v>
      </c>
      <c r="AC891" s="188"/>
      <c r="AD891" s="189" t="s">
        <v>883</v>
      </c>
      <c r="AE891" s="190" t="s">
        <v>883</v>
      </c>
      <c r="AF891" s="180">
        <v>1610</v>
      </c>
      <c r="AG891" s="183">
        <v>44337</v>
      </c>
      <c r="AH891" s="183">
        <v>43881</v>
      </c>
      <c r="AI891" s="183">
        <v>45044</v>
      </c>
      <c r="AJ891" s="183" t="s">
        <v>883</v>
      </c>
      <c r="AK891" s="174"/>
    </row>
    <row r="892" spans="1:37" x14ac:dyDescent="0.3">
      <c r="A892" s="173">
        <v>139545</v>
      </c>
      <c r="B892" s="174" t="s">
        <v>1977</v>
      </c>
      <c r="C892" s="175" t="s">
        <v>31</v>
      </c>
      <c r="D892" s="176">
        <v>4.28</v>
      </c>
      <c r="E892" s="174"/>
      <c r="F892" s="174"/>
      <c r="G892" s="174" t="s">
        <v>883</v>
      </c>
      <c r="H892" s="177">
        <v>373</v>
      </c>
      <c r="I892" s="24">
        <v>103003</v>
      </c>
      <c r="J892" s="178">
        <v>4.28</v>
      </c>
      <c r="K892" s="177">
        <v>77</v>
      </c>
      <c r="L892" s="179">
        <v>58.099688473520246</v>
      </c>
      <c r="M892" s="180">
        <v>0</v>
      </c>
      <c r="N892" s="178">
        <v>0</v>
      </c>
      <c r="O892" s="181" t="s">
        <v>882</v>
      </c>
      <c r="P892" s="180">
        <v>0</v>
      </c>
      <c r="Q892" s="182">
        <v>0</v>
      </c>
      <c r="R892" s="183" t="s">
        <v>883</v>
      </c>
      <c r="S892" s="174" t="s">
        <v>1275</v>
      </c>
      <c r="T892" s="44">
        <v>1</v>
      </c>
      <c r="U892" s="184">
        <v>83</v>
      </c>
      <c r="V892" s="185">
        <v>4</v>
      </c>
      <c r="W892" s="186" t="s">
        <v>883</v>
      </c>
      <c r="X892" s="187" t="s">
        <v>883</v>
      </c>
      <c r="Y892" s="188">
        <v>0</v>
      </c>
      <c r="Z892" s="188" t="s">
        <v>883</v>
      </c>
      <c r="AA892" s="187" t="s">
        <v>883</v>
      </c>
      <c r="AB892" s="188">
        <v>0</v>
      </c>
      <c r="AC892" s="188"/>
      <c r="AD892" s="189" t="s">
        <v>883</v>
      </c>
      <c r="AE892" s="190" t="s">
        <v>883</v>
      </c>
      <c r="AF892" s="180">
        <v>26</v>
      </c>
      <c r="AG892" s="183">
        <v>44166</v>
      </c>
      <c r="AH892" s="183">
        <v>43983</v>
      </c>
      <c r="AI892" s="183">
        <v>44125</v>
      </c>
      <c r="AJ892" s="183" t="s">
        <v>883</v>
      </c>
      <c r="AK892" s="174"/>
    </row>
    <row r="893" spans="1:37" x14ac:dyDescent="0.3">
      <c r="A893" s="173">
        <v>139767</v>
      </c>
      <c r="B893" s="174" t="s">
        <v>1978</v>
      </c>
      <c r="C893" s="175" t="s">
        <v>31</v>
      </c>
      <c r="D893" s="176">
        <v>0</v>
      </c>
      <c r="E893" s="174"/>
      <c r="F893" s="174"/>
      <c r="G893" s="174" t="s">
        <v>883</v>
      </c>
      <c r="H893" s="177">
        <v>2325</v>
      </c>
      <c r="I893" s="24">
        <v>103003</v>
      </c>
      <c r="J893" s="178">
        <v>0</v>
      </c>
      <c r="K893" s="177">
        <v>1475</v>
      </c>
      <c r="L893" s="179">
        <v>11.33703920421299</v>
      </c>
      <c r="M893" s="180">
        <v>135.96</v>
      </c>
      <c r="N893" s="178">
        <v>0</v>
      </c>
      <c r="O893" s="181" t="s">
        <v>882</v>
      </c>
      <c r="P893" s="180">
        <v>0</v>
      </c>
      <c r="Q893" s="182">
        <v>0</v>
      </c>
      <c r="R893" s="183" t="s">
        <v>883</v>
      </c>
      <c r="S893" s="174" t="s">
        <v>935</v>
      </c>
      <c r="T893" s="44">
        <v>1</v>
      </c>
      <c r="U893" s="184">
        <v>45</v>
      </c>
      <c r="V893" s="185">
        <v>11</v>
      </c>
      <c r="W893" s="186" t="s">
        <v>883</v>
      </c>
      <c r="X893" s="187" t="s">
        <v>883</v>
      </c>
      <c r="Y893" s="188">
        <v>0</v>
      </c>
      <c r="Z893" s="188" t="s">
        <v>883</v>
      </c>
      <c r="AA893" s="187" t="s">
        <v>883</v>
      </c>
      <c r="AB893" s="188">
        <v>0</v>
      </c>
      <c r="AC893" s="188"/>
      <c r="AD893" s="189" t="s">
        <v>883</v>
      </c>
      <c r="AE893" s="190" t="s">
        <v>883</v>
      </c>
      <c r="AF893" s="180">
        <v>820</v>
      </c>
      <c r="AG893" s="183" t="s">
        <v>883</v>
      </c>
      <c r="AH893" s="183">
        <v>44020</v>
      </c>
      <c r="AI893" s="183" t="s">
        <v>883</v>
      </c>
      <c r="AJ893" s="183" t="s">
        <v>883</v>
      </c>
      <c r="AK893" s="174"/>
    </row>
    <row r="894" spans="1:37" x14ac:dyDescent="0.3">
      <c r="A894" s="173">
        <v>139957</v>
      </c>
      <c r="B894" s="174" t="s">
        <v>1979</v>
      </c>
      <c r="C894" s="175" t="s">
        <v>629</v>
      </c>
      <c r="D894" s="176">
        <v>57.9</v>
      </c>
      <c r="E894" s="174"/>
      <c r="F894" s="174"/>
      <c r="G894" s="174" t="s">
        <v>883</v>
      </c>
      <c r="H894" s="177">
        <v>988</v>
      </c>
      <c r="I894" s="24">
        <v>103003</v>
      </c>
      <c r="J894" s="178">
        <v>57.899990000000003</v>
      </c>
      <c r="K894" s="177">
        <v>2144.58</v>
      </c>
      <c r="L894" s="179">
        <v>2.0721476510067114</v>
      </c>
      <c r="M894" s="180">
        <v>4733.6000000000004</v>
      </c>
      <c r="N894" s="178">
        <v>274075.44</v>
      </c>
      <c r="O894" s="181" t="s">
        <v>882</v>
      </c>
      <c r="P894" s="180">
        <v>0</v>
      </c>
      <c r="Q894" s="182">
        <v>0</v>
      </c>
      <c r="R894" s="183" t="s">
        <v>883</v>
      </c>
      <c r="S894" s="174" t="s">
        <v>1723</v>
      </c>
      <c r="T894" s="44">
        <v>1</v>
      </c>
      <c r="U894" s="184">
        <v>51</v>
      </c>
      <c r="V894" s="185">
        <v>21</v>
      </c>
      <c r="W894" s="186" t="s">
        <v>883</v>
      </c>
      <c r="X894" s="187" t="s">
        <v>883</v>
      </c>
      <c r="Y894" s="188">
        <v>0</v>
      </c>
      <c r="Z894" s="188" t="s">
        <v>883</v>
      </c>
      <c r="AA894" s="187" t="s">
        <v>883</v>
      </c>
      <c r="AB894" s="188">
        <v>0</v>
      </c>
      <c r="AC894" s="188"/>
      <c r="AD894" s="189" t="s">
        <v>883</v>
      </c>
      <c r="AE894" s="190" t="s">
        <v>883</v>
      </c>
      <c r="AF894" s="180">
        <v>1908</v>
      </c>
      <c r="AG894" s="183">
        <v>44922</v>
      </c>
      <c r="AH894" s="183">
        <v>44075</v>
      </c>
      <c r="AI894" s="183">
        <v>44887</v>
      </c>
      <c r="AJ894" s="183" t="s">
        <v>883</v>
      </c>
      <c r="AK894" s="174"/>
    </row>
    <row r="895" spans="1:37" x14ac:dyDescent="0.3">
      <c r="A895" s="173">
        <v>139958</v>
      </c>
      <c r="B895" s="174" t="s">
        <v>1980</v>
      </c>
      <c r="C895" s="175" t="s">
        <v>629</v>
      </c>
      <c r="D895" s="176">
        <v>61.9</v>
      </c>
      <c r="E895" s="174"/>
      <c r="F895" s="174"/>
      <c r="G895" s="174" t="s">
        <v>883</v>
      </c>
      <c r="H895" s="177">
        <v>0</v>
      </c>
      <c r="I895" s="24">
        <v>103003</v>
      </c>
      <c r="J895" s="178">
        <v>60.593989999999998</v>
      </c>
      <c r="K895" s="177">
        <v>4554.55</v>
      </c>
      <c r="L895" s="179">
        <v>0</v>
      </c>
      <c r="M895" s="180">
        <v>4554.6000000000004</v>
      </c>
      <c r="N895" s="178">
        <v>281929.74</v>
      </c>
      <c r="O895" s="181" t="s">
        <v>882</v>
      </c>
      <c r="P895" s="180">
        <v>0</v>
      </c>
      <c r="Q895" s="182">
        <v>0</v>
      </c>
      <c r="R895" s="183" t="s">
        <v>883</v>
      </c>
      <c r="S895" s="174" t="s">
        <v>1723</v>
      </c>
      <c r="T895" s="44">
        <v>1</v>
      </c>
      <c r="U895" s="184">
        <v>51</v>
      </c>
      <c r="V895" s="185">
        <v>21</v>
      </c>
      <c r="W895" s="186" t="s">
        <v>883</v>
      </c>
      <c r="X895" s="187" t="s">
        <v>883</v>
      </c>
      <c r="Y895" s="188">
        <v>0</v>
      </c>
      <c r="Z895" s="188" t="s">
        <v>883</v>
      </c>
      <c r="AA895" s="187" t="s">
        <v>883</v>
      </c>
      <c r="AB895" s="188">
        <v>0</v>
      </c>
      <c r="AC895" s="188"/>
      <c r="AD895" s="189" t="s">
        <v>883</v>
      </c>
      <c r="AE895" s="190" t="s">
        <v>883</v>
      </c>
      <c r="AF895" s="180">
        <v>1518</v>
      </c>
      <c r="AG895" s="183">
        <v>44550</v>
      </c>
      <c r="AH895" s="183">
        <v>44075</v>
      </c>
      <c r="AI895" s="183">
        <v>44448</v>
      </c>
      <c r="AJ895" s="183" t="s">
        <v>883</v>
      </c>
      <c r="AK895" s="174"/>
    </row>
    <row r="896" spans="1:37" x14ac:dyDescent="0.3">
      <c r="A896" s="173">
        <v>140028</v>
      </c>
      <c r="B896" s="174" t="s">
        <v>1981</v>
      </c>
      <c r="C896" s="175" t="s">
        <v>281</v>
      </c>
      <c r="D896" s="176">
        <v>104.15</v>
      </c>
      <c r="E896" s="174"/>
      <c r="F896" s="174"/>
      <c r="G896" s="174" t="s">
        <v>883</v>
      </c>
      <c r="H896" s="177">
        <v>849</v>
      </c>
      <c r="I896" s="24">
        <v>103003</v>
      </c>
      <c r="J896" s="178">
        <v>104.15</v>
      </c>
      <c r="K896" s="177">
        <v>51</v>
      </c>
      <c r="L896" s="179">
        <v>159.28705440900561</v>
      </c>
      <c r="M896" s="180">
        <v>0</v>
      </c>
      <c r="N896" s="178">
        <v>0</v>
      </c>
      <c r="O896" s="181" t="s">
        <v>882</v>
      </c>
      <c r="P896" s="180">
        <v>0</v>
      </c>
      <c r="Q896" s="182">
        <v>0</v>
      </c>
      <c r="R896" s="183" t="s">
        <v>883</v>
      </c>
      <c r="S896" s="174" t="s">
        <v>1666</v>
      </c>
      <c r="T896" s="44">
        <v>1</v>
      </c>
      <c r="U896" s="184">
        <v>55</v>
      </c>
      <c r="V896" s="185">
        <v>19</v>
      </c>
      <c r="W896" s="186" t="s">
        <v>883</v>
      </c>
      <c r="X896" s="187" t="s">
        <v>883</v>
      </c>
      <c r="Y896" s="188">
        <v>0</v>
      </c>
      <c r="Z896" s="188" t="s">
        <v>883</v>
      </c>
      <c r="AA896" s="187" t="s">
        <v>883</v>
      </c>
      <c r="AB896" s="188">
        <v>0</v>
      </c>
      <c r="AC896" s="188"/>
      <c r="AD896" s="189" t="s">
        <v>883</v>
      </c>
      <c r="AE896" s="190" t="s">
        <v>883</v>
      </c>
      <c r="AF896" s="180">
        <v>22</v>
      </c>
      <c r="AG896" s="183" t="s">
        <v>883</v>
      </c>
      <c r="AH896" s="183">
        <v>44096</v>
      </c>
      <c r="AI896" s="183">
        <v>44700</v>
      </c>
      <c r="AJ896" s="183" t="s">
        <v>883</v>
      </c>
      <c r="AK896" s="174"/>
    </row>
    <row r="897" spans="1:37" x14ac:dyDescent="0.3">
      <c r="A897" s="173">
        <v>140030</v>
      </c>
      <c r="B897" s="174" t="s">
        <v>1982</v>
      </c>
      <c r="C897" s="175" t="s">
        <v>281</v>
      </c>
      <c r="D897" s="176">
        <v>172.21</v>
      </c>
      <c r="E897" s="174"/>
      <c r="F897" s="174"/>
      <c r="G897" s="174" t="s">
        <v>883</v>
      </c>
      <c r="H897" s="177">
        <v>82</v>
      </c>
      <c r="I897" s="24">
        <v>103003</v>
      </c>
      <c r="J897" s="178">
        <v>172.21</v>
      </c>
      <c r="K897" s="177">
        <v>69</v>
      </c>
      <c r="L897" s="179">
        <v>10.817941952506596</v>
      </c>
      <c r="M897" s="180">
        <v>8.9600000000000009</v>
      </c>
      <c r="N897" s="178">
        <v>1543.0016000000001</v>
      </c>
      <c r="O897" s="181" t="s">
        <v>882</v>
      </c>
      <c r="P897" s="180">
        <v>0</v>
      </c>
      <c r="Q897" s="182">
        <v>0</v>
      </c>
      <c r="R897" s="183" t="s">
        <v>883</v>
      </c>
      <c r="S897" s="174" t="s">
        <v>1666</v>
      </c>
      <c r="T897" s="44">
        <v>1</v>
      </c>
      <c r="U897" s="184">
        <v>55</v>
      </c>
      <c r="V897" s="185">
        <v>19</v>
      </c>
      <c r="W897" s="186" t="s">
        <v>883</v>
      </c>
      <c r="X897" s="187" t="s">
        <v>883</v>
      </c>
      <c r="Y897" s="188">
        <v>0</v>
      </c>
      <c r="Z897" s="188" t="s">
        <v>883</v>
      </c>
      <c r="AA897" s="187" t="s">
        <v>883</v>
      </c>
      <c r="AB897" s="188">
        <v>0</v>
      </c>
      <c r="AC897" s="188"/>
      <c r="AD897" s="189" t="s">
        <v>883</v>
      </c>
      <c r="AE897" s="190" t="s">
        <v>883</v>
      </c>
      <c r="AF897" s="180">
        <v>30</v>
      </c>
      <c r="AG897" s="183">
        <v>45030</v>
      </c>
      <c r="AH897" s="183">
        <v>44096</v>
      </c>
      <c r="AI897" s="183">
        <v>44995</v>
      </c>
      <c r="AJ897" s="183" t="s">
        <v>883</v>
      </c>
      <c r="AK897" s="174"/>
    </row>
    <row r="898" spans="1:37" x14ac:dyDescent="0.3">
      <c r="A898" s="173">
        <v>140032</v>
      </c>
      <c r="B898" s="174" t="s">
        <v>1983</v>
      </c>
      <c r="C898" s="175" t="s">
        <v>281</v>
      </c>
      <c r="D898" s="176">
        <v>170.8</v>
      </c>
      <c r="E898" s="174"/>
      <c r="F898" s="174"/>
      <c r="G898" s="174" t="s">
        <v>883</v>
      </c>
      <c r="H898" s="177">
        <v>95</v>
      </c>
      <c r="I898" s="24">
        <v>103003</v>
      </c>
      <c r="J898" s="178">
        <v>170.8</v>
      </c>
      <c r="K898" s="177">
        <v>401</v>
      </c>
      <c r="L898" s="179">
        <v>2.2442712024568863</v>
      </c>
      <c r="M898" s="180">
        <v>12.96</v>
      </c>
      <c r="N898" s="178">
        <v>2213.5680000000002</v>
      </c>
      <c r="O898" s="181" t="s">
        <v>882</v>
      </c>
      <c r="P898" s="180">
        <v>0</v>
      </c>
      <c r="Q898" s="182">
        <v>0</v>
      </c>
      <c r="R898" s="183" t="s">
        <v>883</v>
      </c>
      <c r="S898" s="174" t="s">
        <v>1666</v>
      </c>
      <c r="T898" s="44">
        <v>1</v>
      </c>
      <c r="U898" s="184">
        <v>55</v>
      </c>
      <c r="V898" s="185">
        <v>19</v>
      </c>
      <c r="W898" s="186">
        <v>2375</v>
      </c>
      <c r="X898" s="187">
        <v>2023</v>
      </c>
      <c r="Y898" s="188">
        <v>400</v>
      </c>
      <c r="Z898" s="188" t="s">
        <v>883</v>
      </c>
      <c r="AA898" s="187" t="s">
        <v>883</v>
      </c>
      <c r="AB898" s="188">
        <v>0</v>
      </c>
      <c r="AC898" s="188"/>
      <c r="AD898" s="189" t="s">
        <v>883</v>
      </c>
      <c r="AE898" s="190" t="s">
        <v>883</v>
      </c>
      <c r="AF898" s="180">
        <v>170</v>
      </c>
      <c r="AG898" s="183">
        <v>44928</v>
      </c>
      <c r="AH898" s="183">
        <v>44096</v>
      </c>
      <c r="AI898" s="183">
        <v>45072</v>
      </c>
      <c r="AJ898" s="183" t="s">
        <v>883</v>
      </c>
      <c r="AK898" s="174"/>
    </row>
    <row r="899" spans="1:37" x14ac:dyDescent="0.3">
      <c r="A899" s="173">
        <v>140033</v>
      </c>
      <c r="B899" s="174" t="s">
        <v>1984</v>
      </c>
      <c r="C899" s="175" t="s">
        <v>281</v>
      </c>
      <c r="D899" s="176">
        <v>264.43</v>
      </c>
      <c r="E899" s="174"/>
      <c r="F899" s="174"/>
      <c r="G899" s="174" t="s">
        <v>883</v>
      </c>
      <c r="H899" s="177">
        <v>314</v>
      </c>
      <c r="I899" s="24">
        <v>103003</v>
      </c>
      <c r="J899" s="178">
        <v>264.43</v>
      </c>
      <c r="K899" s="177">
        <v>156</v>
      </c>
      <c r="L899" s="179">
        <v>16.244180031039832</v>
      </c>
      <c r="M899" s="180">
        <v>0</v>
      </c>
      <c r="N899" s="178">
        <v>0</v>
      </c>
      <c r="O899" s="181" t="s">
        <v>882</v>
      </c>
      <c r="P899" s="180">
        <v>0</v>
      </c>
      <c r="Q899" s="182">
        <v>0</v>
      </c>
      <c r="R899" s="183" t="s">
        <v>883</v>
      </c>
      <c r="S899" s="174" t="s">
        <v>1666</v>
      </c>
      <c r="T899" s="44">
        <v>1</v>
      </c>
      <c r="U899" s="184">
        <v>55</v>
      </c>
      <c r="V899" s="185">
        <v>19</v>
      </c>
      <c r="W899" s="186" t="s">
        <v>883</v>
      </c>
      <c r="X899" s="187" t="s">
        <v>883</v>
      </c>
      <c r="Y899" s="188">
        <v>0</v>
      </c>
      <c r="Z899" s="188" t="s">
        <v>883</v>
      </c>
      <c r="AA899" s="187" t="s">
        <v>883</v>
      </c>
      <c r="AB899" s="188">
        <v>0</v>
      </c>
      <c r="AC899" s="188"/>
      <c r="AD899" s="189" t="s">
        <v>883</v>
      </c>
      <c r="AE899" s="190" t="s">
        <v>883</v>
      </c>
      <c r="AF899" s="180">
        <v>78</v>
      </c>
      <c r="AG899" s="183">
        <v>44670</v>
      </c>
      <c r="AH899" s="183">
        <v>44096</v>
      </c>
      <c r="AI899" s="183">
        <v>45033</v>
      </c>
      <c r="AJ899" s="183" t="s">
        <v>883</v>
      </c>
      <c r="AK899" s="174"/>
    </row>
    <row r="900" spans="1:37" x14ac:dyDescent="0.3">
      <c r="A900" s="173">
        <v>140035</v>
      </c>
      <c r="B900" s="174" t="s">
        <v>1985</v>
      </c>
      <c r="C900" s="175" t="s">
        <v>281</v>
      </c>
      <c r="D900" s="176">
        <v>200</v>
      </c>
      <c r="E900" s="174"/>
      <c r="F900" s="174"/>
      <c r="G900" s="174" t="s">
        <v>883</v>
      </c>
      <c r="H900" s="177">
        <v>36</v>
      </c>
      <c r="I900" s="24">
        <v>103003</v>
      </c>
      <c r="J900" s="178">
        <v>200</v>
      </c>
      <c r="K900" s="177">
        <v>70</v>
      </c>
      <c r="L900" s="179">
        <v>4.455445544554455</v>
      </c>
      <c r="M900" s="180">
        <v>60.96</v>
      </c>
      <c r="N900" s="178">
        <v>12192</v>
      </c>
      <c r="O900" s="181" t="s">
        <v>882</v>
      </c>
      <c r="P900" s="180">
        <v>0</v>
      </c>
      <c r="Q900" s="182">
        <v>0</v>
      </c>
      <c r="R900" s="183" t="s">
        <v>883</v>
      </c>
      <c r="S900" s="174" t="s">
        <v>1666</v>
      </c>
      <c r="T900" s="44">
        <v>1</v>
      </c>
      <c r="U900" s="184">
        <v>55</v>
      </c>
      <c r="V900" s="185">
        <v>19</v>
      </c>
      <c r="W900" s="186" t="s">
        <v>883</v>
      </c>
      <c r="X900" s="187" t="s">
        <v>883</v>
      </c>
      <c r="Y900" s="188">
        <v>0</v>
      </c>
      <c r="Z900" s="188" t="s">
        <v>883</v>
      </c>
      <c r="AA900" s="187" t="s">
        <v>883</v>
      </c>
      <c r="AB900" s="188">
        <v>0</v>
      </c>
      <c r="AC900" s="188"/>
      <c r="AD900" s="189" t="s">
        <v>883</v>
      </c>
      <c r="AE900" s="190" t="s">
        <v>883</v>
      </c>
      <c r="AF900" s="180">
        <v>32</v>
      </c>
      <c r="AG900" s="183">
        <v>44490</v>
      </c>
      <c r="AH900" s="183">
        <v>44096</v>
      </c>
      <c r="AI900" s="183">
        <v>44470</v>
      </c>
      <c r="AJ900" s="183" t="s">
        <v>883</v>
      </c>
      <c r="AK900" s="174"/>
    </row>
    <row r="901" spans="1:37" x14ac:dyDescent="0.3">
      <c r="A901" s="173">
        <v>140036</v>
      </c>
      <c r="B901" s="174" t="s">
        <v>1986</v>
      </c>
      <c r="C901" s="175" t="s">
        <v>281</v>
      </c>
      <c r="D901" s="176">
        <v>324.66000000000003</v>
      </c>
      <c r="E901" s="174"/>
      <c r="F901" s="174"/>
      <c r="G901" s="174" t="s">
        <v>883</v>
      </c>
      <c r="H901" s="177">
        <v>0</v>
      </c>
      <c r="I901" s="24">
        <v>103003</v>
      </c>
      <c r="J901" s="178">
        <v>324.66000000000003</v>
      </c>
      <c r="K901" s="177">
        <v>81</v>
      </c>
      <c r="L901" s="179">
        <v>0</v>
      </c>
      <c r="M901" s="180">
        <v>82.04</v>
      </c>
      <c r="N901" s="178">
        <v>26635.106400000001</v>
      </c>
      <c r="O901" s="181" t="s">
        <v>882</v>
      </c>
      <c r="P901" s="180">
        <v>0</v>
      </c>
      <c r="Q901" s="182">
        <v>0</v>
      </c>
      <c r="R901" s="183" t="s">
        <v>883</v>
      </c>
      <c r="S901" s="174" t="s">
        <v>1666</v>
      </c>
      <c r="T901" s="44">
        <v>1</v>
      </c>
      <c r="U901" s="184">
        <v>55</v>
      </c>
      <c r="V901" s="185">
        <v>19</v>
      </c>
      <c r="W901" s="186">
        <v>1376</v>
      </c>
      <c r="X901" s="187">
        <v>2023</v>
      </c>
      <c r="Y901" s="188">
        <v>19</v>
      </c>
      <c r="Z901" s="188" t="s">
        <v>883</v>
      </c>
      <c r="AA901" s="187" t="s">
        <v>883</v>
      </c>
      <c r="AB901" s="188">
        <v>0</v>
      </c>
      <c r="AC901" s="188"/>
      <c r="AD901" s="189" t="s">
        <v>883</v>
      </c>
      <c r="AE901" s="190" t="s">
        <v>883</v>
      </c>
      <c r="AF901" s="180">
        <v>34</v>
      </c>
      <c r="AG901" s="183">
        <v>44874</v>
      </c>
      <c r="AH901" s="183">
        <v>44096</v>
      </c>
      <c r="AI901" s="183">
        <v>44845</v>
      </c>
      <c r="AJ901" s="183" t="s">
        <v>883</v>
      </c>
      <c r="AK901" s="174"/>
    </row>
    <row r="902" spans="1:37" x14ac:dyDescent="0.3">
      <c r="A902" s="173">
        <v>140036</v>
      </c>
      <c r="B902" s="174" t="s">
        <v>1986</v>
      </c>
      <c r="C902" s="175" t="s">
        <v>281</v>
      </c>
      <c r="D902" s="176">
        <v>324.66000000000003</v>
      </c>
      <c r="E902" s="174"/>
      <c r="F902" s="174"/>
      <c r="G902" s="174" t="s">
        <v>883</v>
      </c>
      <c r="H902" s="177">
        <v>0</v>
      </c>
      <c r="I902" s="24">
        <v>103003</v>
      </c>
      <c r="J902" s="178">
        <v>324.66000000000003</v>
      </c>
      <c r="K902" s="177">
        <v>81</v>
      </c>
      <c r="L902" s="179">
        <v>0</v>
      </c>
      <c r="M902" s="180">
        <v>0</v>
      </c>
      <c r="N902" s="178">
        <v>0</v>
      </c>
      <c r="O902" s="181" t="s">
        <v>882</v>
      </c>
      <c r="P902" s="180">
        <v>0</v>
      </c>
      <c r="Q902" s="182">
        <v>0</v>
      </c>
      <c r="R902" s="183" t="s">
        <v>883</v>
      </c>
      <c r="S902" s="174" t="s">
        <v>1666</v>
      </c>
      <c r="T902" s="44">
        <v>1</v>
      </c>
      <c r="U902" s="184">
        <v>55</v>
      </c>
      <c r="V902" s="185">
        <v>19</v>
      </c>
      <c r="W902" s="186">
        <v>2375</v>
      </c>
      <c r="X902" s="187">
        <v>2023</v>
      </c>
      <c r="Y902" s="188">
        <v>150</v>
      </c>
      <c r="Z902" s="188" t="s">
        <v>883</v>
      </c>
      <c r="AA902" s="187" t="s">
        <v>883</v>
      </c>
      <c r="AB902" s="188">
        <v>0</v>
      </c>
      <c r="AC902" s="188"/>
      <c r="AD902" s="189" t="s">
        <v>883</v>
      </c>
      <c r="AE902" s="190" t="s">
        <v>883</v>
      </c>
      <c r="AF902" s="180">
        <v>34</v>
      </c>
      <c r="AG902" s="183">
        <v>44874</v>
      </c>
      <c r="AH902" s="183">
        <v>44096</v>
      </c>
      <c r="AI902" s="183">
        <v>44845</v>
      </c>
      <c r="AJ902" s="183" t="s">
        <v>883</v>
      </c>
      <c r="AK902" s="174"/>
    </row>
    <row r="903" spans="1:37" x14ac:dyDescent="0.3">
      <c r="A903" s="173">
        <v>140038</v>
      </c>
      <c r="B903" s="174" t="s">
        <v>1987</v>
      </c>
      <c r="C903" s="175" t="s">
        <v>281</v>
      </c>
      <c r="D903" s="176">
        <v>394.93</v>
      </c>
      <c r="E903" s="174"/>
      <c r="F903" s="174"/>
      <c r="G903" s="174" t="s">
        <v>883</v>
      </c>
      <c r="H903" s="177">
        <v>2</v>
      </c>
      <c r="I903" s="24">
        <v>103003</v>
      </c>
      <c r="J903" s="178">
        <v>394.93</v>
      </c>
      <c r="K903" s="177">
        <v>30</v>
      </c>
      <c r="L903" s="179">
        <v>0.58479532163742687</v>
      </c>
      <c r="M903" s="180">
        <v>10.039999999999999</v>
      </c>
      <c r="N903" s="178">
        <v>3965.0972000000002</v>
      </c>
      <c r="O903" s="181" t="s">
        <v>882</v>
      </c>
      <c r="P903" s="180">
        <v>0</v>
      </c>
      <c r="Q903" s="182">
        <v>0</v>
      </c>
      <c r="R903" s="183" t="s">
        <v>883</v>
      </c>
      <c r="S903" s="174" t="s">
        <v>1666</v>
      </c>
      <c r="T903" s="44">
        <v>1</v>
      </c>
      <c r="U903" s="184">
        <v>55</v>
      </c>
      <c r="V903" s="185">
        <v>19</v>
      </c>
      <c r="W903" s="186">
        <v>1376</v>
      </c>
      <c r="X903" s="187">
        <v>2023</v>
      </c>
      <c r="Y903" s="188">
        <v>29</v>
      </c>
      <c r="Z903" s="188" t="s">
        <v>883</v>
      </c>
      <c r="AA903" s="187" t="s">
        <v>883</v>
      </c>
      <c r="AB903" s="188">
        <v>0</v>
      </c>
      <c r="AC903" s="188"/>
      <c r="AD903" s="189" t="s">
        <v>883</v>
      </c>
      <c r="AE903" s="190" t="s">
        <v>883</v>
      </c>
      <c r="AF903" s="180">
        <v>14</v>
      </c>
      <c r="AG903" s="183">
        <v>44313</v>
      </c>
      <c r="AH903" s="183">
        <v>44096</v>
      </c>
      <c r="AI903" s="183">
        <v>44727</v>
      </c>
      <c r="AJ903" s="183" t="s">
        <v>883</v>
      </c>
      <c r="AK903" s="174"/>
    </row>
    <row r="904" spans="1:37" x14ac:dyDescent="0.3">
      <c r="A904" s="173">
        <v>140038</v>
      </c>
      <c r="B904" s="174" t="s">
        <v>1987</v>
      </c>
      <c r="C904" s="175" t="s">
        <v>281</v>
      </c>
      <c r="D904" s="176">
        <v>394.93</v>
      </c>
      <c r="E904" s="174"/>
      <c r="F904" s="174"/>
      <c r="G904" s="174" t="s">
        <v>883</v>
      </c>
      <c r="H904" s="177">
        <v>2</v>
      </c>
      <c r="I904" s="24">
        <v>103003</v>
      </c>
      <c r="J904" s="178">
        <v>394.93</v>
      </c>
      <c r="K904" s="177">
        <v>30</v>
      </c>
      <c r="L904" s="179">
        <v>0.58479532163742687</v>
      </c>
      <c r="M904" s="180">
        <v>0</v>
      </c>
      <c r="N904" s="178">
        <v>0</v>
      </c>
      <c r="O904" s="181" t="s">
        <v>882</v>
      </c>
      <c r="P904" s="180">
        <v>0</v>
      </c>
      <c r="Q904" s="182">
        <v>0</v>
      </c>
      <c r="R904" s="183" t="s">
        <v>883</v>
      </c>
      <c r="S904" s="174" t="s">
        <v>1666</v>
      </c>
      <c r="T904" s="44">
        <v>1</v>
      </c>
      <c r="U904" s="184">
        <v>55</v>
      </c>
      <c r="V904" s="185">
        <v>19</v>
      </c>
      <c r="W904" s="186">
        <v>2383</v>
      </c>
      <c r="X904" s="187">
        <v>2023</v>
      </c>
      <c r="Y904" s="188">
        <v>50</v>
      </c>
      <c r="Z904" s="188" t="s">
        <v>883</v>
      </c>
      <c r="AA904" s="187" t="s">
        <v>883</v>
      </c>
      <c r="AB904" s="188">
        <v>0</v>
      </c>
      <c r="AC904" s="188"/>
      <c r="AD904" s="189" t="s">
        <v>883</v>
      </c>
      <c r="AE904" s="190" t="s">
        <v>883</v>
      </c>
      <c r="AF904" s="180">
        <v>14</v>
      </c>
      <c r="AG904" s="183">
        <v>44313</v>
      </c>
      <c r="AH904" s="183">
        <v>44096</v>
      </c>
      <c r="AI904" s="183">
        <v>44727</v>
      </c>
      <c r="AJ904" s="183" t="s">
        <v>883</v>
      </c>
      <c r="AK904" s="174"/>
    </row>
    <row r="905" spans="1:37" x14ac:dyDescent="0.3">
      <c r="A905" s="173">
        <v>140042</v>
      </c>
      <c r="B905" s="174" t="s">
        <v>1988</v>
      </c>
      <c r="C905" s="175" t="s">
        <v>331</v>
      </c>
      <c r="D905" s="176">
        <v>9.0500000000000007</v>
      </c>
      <c r="E905" s="174"/>
      <c r="F905" s="174"/>
      <c r="G905" s="174" t="s">
        <v>883</v>
      </c>
      <c r="H905" s="177">
        <v>0</v>
      </c>
      <c r="I905" s="24">
        <v>103003</v>
      </c>
      <c r="J905" s="178">
        <v>9.0500000000000007</v>
      </c>
      <c r="K905" s="177">
        <v>4080</v>
      </c>
      <c r="L905" s="179">
        <v>0</v>
      </c>
      <c r="M905" s="180">
        <v>1200</v>
      </c>
      <c r="N905" s="178">
        <v>10860</v>
      </c>
      <c r="O905" s="181" t="s">
        <v>882</v>
      </c>
      <c r="P905" s="180">
        <v>0</v>
      </c>
      <c r="Q905" s="182">
        <v>0</v>
      </c>
      <c r="R905" s="183" t="s">
        <v>883</v>
      </c>
      <c r="S905" s="174" t="s">
        <v>1666</v>
      </c>
      <c r="T905" s="44">
        <v>1</v>
      </c>
      <c r="U905" s="184">
        <v>55</v>
      </c>
      <c r="V905" s="185">
        <v>19</v>
      </c>
      <c r="W905" s="186">
        <v>2375</v>
      </c>
      <c r="X905" s="187">
        <v>2023</v>
      </c>
      <c r="Y905" s="188">
        <v>3000</v>
      </c>
      <c r="Z905" s="188" t="s">
        <v>883</v>
      </c>
      <c r="AA905" s="187" t="s">
        <v>883</v>
      </c>
      <c r="AB905" s="188">
        <v>0</v>
      </c>
      <c r="AC905" s="188"/>
      <c r="AD905" s="189" t="s">
        <v>883</v>
      </c>
      <c r="AE905" s="190" t="s">
        <v>883</v>
      </c>
      <c r="AF905" s="180">
        <v>1400</v>
      </c>
      <c r="AG905" s="183">
        <v>44237</v>
      </c>
      <c r="AH905" s="183">
        <v>44096</v>
      </c>
      <c r="AI905" s="183">
        <v>44623</v>
      </c>
      <c r="AJ905" s="183" t="s">
        <v>883</v>
      </c>
      <c r="AK905" s="174"/>
    </row>
    <row r="906" spans="1:37" x14ac:dyDescent="0.3">
      <c r="A906" s="173">
        <v>140043</v>
      </c>
      <c r="B906" s="174" t="s">
        <v>1989</v>
      </c>
      <c r="C906" s="175" t="s">
        <v>331</v>
      </c>
      <c r="D906" s="176">
        <v>11.37</v>
      </c>
      <c r="E906" s="174"/>
      <c r="F906" s="174"/>
      <c r="G906" s="174" t="s">
        <v>883</v>
      </c>
      <c r="H906" s="177">
        <v>0</v>
      </c>
      <c r="I906" s="24">
        <v>103003</v>
      </c>
      <c r="J906" s="178">
        <v>11.37</v>
      </c>
      <c r="K906" s="177">
        <v>846.7</v>
      </c>
      <c r="L906" s="179">
        <v>0</v>
      </c>
      <c r="M906" s="180">
        <v>46.72</v>
      </c>
      <c r="N906" s="178">
        <v>531.20640000000003</v>
      </c>
      <c r="O906" s="181" t="s">
        <v>882</v>
      </c>
      <c r="P906" s="180">
        <v>0</v>
      </c>
      <c r="Q906" s="182">
        <v>0</v>
      </c>
      <c r="R906" s="183" t="s">
        <v>883</v>
      </c>
      <c r="S906" s="174" t="s">
        <v>1666</v>
      </c>
      <c r="T906" s="44">
        <v>1</v>
      </c>
      <c r="U906" s="184">
        <v>55</v>
      </c>
      <c r="V906" s="185">
        <v>19</v>
      </c>
      <c r="W906" s="186">
        <v>1929</v>
      </c>
      <c r="X906" s="187">
        <v>2023</v>
      </c>
      <c r="Y906" s="188">
        <v>800</v>
      </c>
      <c r="Z906" s="188" t="s">
        <v>883</v>
      </c>
      <c r="AA906" s="187" t="s">
        <v>883</v>
      </c>
      <c r="AB906" s="188">
        <v>0</v>
      </c>
      <c r="AC906" s="188"/>
      <c r="AD906" s="189" t="s">
        <v>883</v>
      </c>
      <c r="AE906" s="190" t="s">
        <v>883</v>
      </c>
      <c r="AF906" s="180">
        <v>282</v>
      </c>
      <c r="AG906" s="183">
        <v>44928</v>
      </c>
      <c r="AH906" s="183">
        <v>44096</v>
      </c>
      <c r="AI906" s="183">
        <v>44915</v>
      </c>
      <c r="AJ906" s="183" t="s">
        <v>883</v>
      </c>
      <c r="AK906" s="174"/>
    </row>
    <row r="907" spans="1:37" x14ac:dyDescent="0.3">
      <c r="A907" s="173">
        <v>140043</v>
      </c>
      <c r="B907" s="174" t="s">
        <v>1989</v>
      </c>
      <c r="C907" s="175" t="s">
        <v>331</v>
      </c>
      <c r="D907" s="176">
        <v>11.37</v>
      </c>
      <c r="E907" s="174"/>
      <c r="F907" s="174"/>
      <c r="G907" s="174" t="s">
        <v>883</v>
      </c>
      <c r="H907" s="177">
        <v>0</v>
      </c>
      <c r="I907" s="24">
        <v>103003</v>
      </c>
      <c r="J907" s="178">
        <v>11.37</v>
      </c>
      <c r="K907" s="177">
        <v>846.7</v>
      </c>
      <c r="L907" s="179">
        <v>0</v>
      </c>
      <c r="M907" s="180">
        <v>0</v>
      </c>
      <c r="N907" s="178">
        <v>0</v>
      </c>
      <c r="O907" s="181" t="s">
        <v>882</v>
      </c>
      <c r="P907" s="180">
        <v>0</v>
      </c>
      <c r="Q907" s="182">
        <v>0</v>
      </c>
      <c r="R907" s="183" t="s">
        <v>883</v>
      </c>
      <c r="S907" s="174" t="s">
        <v>1666</v>
      </c>
      <c r="T907" s="44">
        <v>1</v>
      </c>
      <c r="U907" s="184">
        <v>55</v>
      </c>
      <c r="V907" s="185">
        <v>19</v>
      </c>
      <c r="W907" s="186">
        <v>2697</v>
      </c>
      <c r="X907" s="187">
        <v>2023</v>
      </c>
      <c r="Y907" s="188">
        <v>1000</v>
      </c>
      <c r="Z907" s="188" t="s">
        <v>883</v>
      </c>
      <c r="AA907" s="187" t="s">
        <v>883</v>
      </c>
      <c r="AB907" s="188">
        <v>0</v>
      </c>
      <c r="AC907" s="188"/>
      <c r="AD907" s="189" t="s">
        <v>883</v>
      </c>
      <c r="AE907" s="190" t="s">
        <v>883</v>
      </c>
      <c r="AF907" s="180">
        <v>282</v>
      </c>
      <c r="AG907" s="183">
        <v>44928</v>
      </c>
      <c r="AH907" s="183">
        <v>44096</v>
      </c>
      <c r="AI907" s="183">
        <v>44915</v>
      </c>
      <c r="AJ907" s="183" t="s">
        <v>883</v>
      </c>
      <c r="AK907" s="174"/>
    </row>
    <row r="908" spans="1:37" x14ac:dyDescent="0.3">
      <c r="A908" s="173">
        <v>140047</v>
      </c>
      <c r="B908" s="174" t="s">
        <v>1990</v>
      </c>
      <c r="C908" s="175" t="s">
        <v>331</v>
      </c>
      <c r="D908" s="176">
        <v>70</v>
      </c>
      <c r="E908" s="174"/>
      <c r="F908" s="174"/>
      <c r="G908" s="174" t="s">
        <v>883</v>
      </c>
      <c r="H908" s="177">
        <v>39</v>
      </c>
      <c r="I908" s="24">
        <v>103003</v>
      </c>
      <c r="J908" s="178">
        <v>70</v>
      </c>
      <c r="K908" s="177">
        <v>145</v>
      </c>
      <c r="L908" s="179">
        <v>3.2284768211920531</v>
      </c>
      <c r="M908" s="180">
        <v>5.96</v>
      </c>
      <c r="N908" s="178">
        <v>417.2</v>
      </c>
      <c r="O908" s="181" t="s">
        <v>882</v>
      </c>
      <c r="P908" s="180">
        <v>0</v>
      </c>
      <c r="Q908" s="182">
        <v>0</v>
      </c>
      <c r="R908" s="183" t="s">
        <v>883</v>
      </c>
      <c r="S908" s="174" t="s">
        <v>1666</v>
      </c>
      <c r="T908" s="44">
        <v>1</v>
      </c>
      <c r="U908" s="184">
        <v>55</v>
      </c>
      <c r="V908" s="185">
        <v>19</v>
      </c>
      <c r="W908" s="186">
        <v>2693</v>
      </c>
      <c r="X908" s="187">
        <v>2023</v>
      </c>
      <c r="Y908" s="188">
        <v>100</v>
      </c>
      <c r="Z908" s="188" t="s">
        <v>883</v>
      </c>
      <c r="AA908" s="187" t="s">
        <v>883</v>
      </c>
      <c r="AB908" s="188">
        <v>0</v>
      </c>
      <c r="AC908" s="188"/>
      <c r="AD908" s="189" t="s">
        <v>883</v>
      </c>
      <c r="AE908" s="190" t="s">
        <v>883</v>
      </c>
      <c r="AF908" s="180">
        <v>48</v>
      </c>
      <c r="AG908" s="183">
        <v>44875</v>
      </c>
      <c r="AH908" s="183">
        <v>44096</v>
      </c>
      <c r="AI908" s="183">
        <v>44845</v>
      </c>
      <c r="AJ908" s="183" t="s">
        <v>883</v>
      </c>
      <c r="AK908" s="174"/>
    </row>
    <row r="909" spans="1:37" x14ac:dyDescent="0.3">
      <c r="A909" s="173">
        <v>140048</v>
      </c>
      <c r="B909" s="174" t="s">
        <v>1991</v>
      </c>
      <c r="C909" s="175" t="s">
        <v>331</v>
      </c>
      <c r="D909" s="176">
        <v>5.98</v>
      </c>
      <c r="E909" s="174"/>
      <c r="F909" s="174"/>
      <c r="G909" s="174" t="s">
        <v>883</v>
      </c>
      <c r="H909" s="177">
        <v>0</v>
      </c>
      <c r="I909" s="24">
        <v>103003</v>
      </c>
      <c r="J909" s="178">
        <v>5.98</v>
      </c>
      <c r="K909" s="177">
        <v>2640</v>
      </c>
      <c r="L909" s="179">
        <v>0</v>
      </c>
      <c r="M909" s="180">
        <v>739.96</v>
      </c>
      <c r="N909" s="178">
        <v>4424.9607999999998</v>
      </c>
      <c r="O909" s="181" t="s">
        <v>882</v>
      </c>
      <c r="P909" s="180">
        <v>0</v>
      </c>
      <c r="Q909" s="182">
        <v>0</v>
      </c>
      <c r="R909" s="183" t="s">
        <v>883</v>
      </c>
      <c r="S909" s="174" t="s">
        <v>1666</v>
      </c>
      <c r="T909" s="44">
        <v>1</v>
      </c>
      <c r="U909" s="184">
        <v>55</v>
      </c>
      <c r="V909" s="185">
        <v>19</v>
      </c>
      <c r="W909" s="186">
        <v>2694</v>
      </c>
      <c r="X909" s="187">
        <v>2023</v>
      </c>
      <c r="Y909" s="188">
        <v>2000</v>
      </c>
      <c r="Z909" s="188" t="s">
        <v>883</v>
      </c>
      <c r="AA909" s="187" t="s">
        <v>883</v>
      </c>
      <c r="AB909" s="188">
        <v>0</v>
      </c>
      <c r="AC909" s="188"/>
      <c r="AD909" s="189" t="s">
        <v>883</v>
      </c>
      <c r="AE909" s="190" t="s">
        <v>883</v>
      </c>
      <c r="AF909" s="180">
        <v>914</v>
      </c>
      <c r="AG909" s="183">
        <v>44887</v>
      </c>
      <c r="AH909" s="183">
        <v>44096</v>
      </c>
      <c r="AI909" s="183">
        <v>44845</v>
      </c>
      <c r="AJ909" s="183" t="s">
        <v>883</v>
      </c>
      <c r="AK909" s="174"/>
    </row>
    <row r="910" spans="1:37" x14ac:dyDescent="0.3">
      <c r="A910" s="173">
        <v>140049</v>
      </c>
      <c r="B910" s="174" t="s">
        <v>1992</v>
      </c>
      <c r="C910" s="175" t="s">
        <v>331</v>
      </c>
      <c r="D910" s="176">
        <v>0</v>
      </c>
      <c r="E910" s="174"/>
      <c r="F910" s="174"/>
      <c r="G910" s="174" t="s">
        <v>883</v>
      </c>
      <c r="H910" s="177">
        <v>496</v>
      </c>
      <c r="I910" s="24">
        <v>103003</v>
      </c>
      <c r="J910" s="178">
        <v>0</v>
      </c>
      <c r="K910" s="177">
        <v>504</v>
      </c>
      <c r="L910" s="179">
        <v>11.809523809523808</v>
      </c>
      <c r="M910" s="180">
        <v>8</v>
      </c>
      <c r="N910" s="178">
        <v>0</v>
      </c>
      <c r="O910" s="181" t="s">
        <v>882</v>
      </c>
      <c r="P910" s="180">
        <v>0</v>
      </c>
      <c r="Q910" s="182">
        <v>0</v>
      </c>
      <c r="R910" s="183" t="s">
        <v>883</v>
      </c>
      <c r="S910" s="174" t="s">
        <v>1666</v>
      </c>
      <c r="T910" s="44">
        <v>1</v>
      </c>
      <c r="U910" s="184">
        <v>55</v>
      </c>
      <c r="V910" s="185">
        <v>19</v>
      </c>
      <c r="W910" s="186" t="s">
        <v>883</v>
      </c>
      <c r="X910" s="187" t="s">
        <v>883</v>
      </c>
      <c r="Y910" s="188">
        <v>0</v>
      </c>
      <c r="Z910" s="188" t="s">
        <v>883</v>
      </c>
      <c r="AA910" s="187" t="s">
        <v>883</v>
      </c>
      <c r="AB910" s="188">
        <v>0</v>
      </c>
      <c r="AC910" s="188"/>
      <c r="AD910" s="189" t="s">
        <v>883</v>
      </c>
      <c r="AE910" s="190" t="s">
        <v>883</v>
      </c>
      <c r="AF910" s="180">
        <v>168</v>
      </c>
      <c r="AG910" s="183" t="s">
        <v>883</v>
      </c>
      <c r="AH910" s="183">
        <v>44096</v>
      </c>
      <c r="AI910" s="183" t="s">
        <v>883</v>
      </c>
      <c r="AJ910" s="183" t="s">
        <v>883</v>
      </c>
      <c r="AK910" s="174"/>
    </row>
    <row r="911" spans="1:37" x14ac:dyDescent="0.3">
      <c r="A911" s="173">
        <v>140050</v>
      </c>
      <c r="B911" s="174" t="s">
        <v>1993</v>
      </c>
      <c r="C911" s="175" t="s">
        <v>331</v>
      </c>
      <c r="D911" s="176">
        <v>6</v>
      </c>
      <c r="E911" s="174"/>
      <c r="F911" s="174"/>
      <c r="G911" s="174" t="s">
        <v>883</v>
      </c>
      <c r="H911" s="177">
        <v>1001</v>
      </c>
      <c r="I911" s="24">
        <v>103003</v>
      </c>
      <c r="J911" s="178">
        <v>6</v>
      </c>
      <c r="K911" s="177">
        <v>894</v>
      </c>
      <c r="L911" s="179">
        <v>10.979488866951847</v>
      </c>
      <c r="M911" s="180">
        <v>0</v>
      </c>
      <c r="N911" s="178">
        <v>0</v>
      </c>
      <c r="O911" s="181" t="s">
        <v>882</v>
      </c>
      <c r="P911" s="180">
        <v>0</v>
      </c>
      <c r="Q911" s="182">
        <v>0</v>
      </c>
      <c r="R911" s="183" t="s">
        <v>883</v>
      </c>
      <c r="S911" s="174" t="s">
        <v>1666</v>
      </c>
      <c r="T911" s="44">
        <v>1</v>
      </c>
      <c r="U911" s="184">
        <v>55</v>
      </c>
      <c r="V911" s="185">
        <v>19</v>
      </c>
      <c r="W911" s="186">
        <v>2957</v>
      </c>
      <c r="X911" s="187">
        <v>2023</v>
      </c>
      <c r="Y911" s="188">
        <v>500</v>
      </c>
      <c r="Z911" s="188" t="s">
        <v>883</v>
      </c>
      <c r="AA911" s="187" t="s">
        <v>883</v>
      </c>
      <c r="AB911" s="188">
        <v>0</v>
      </c>
      <c r="AC911" s="188"/>
      <c r="AD911" s="189" t="s">
        <v>883</v>
      </c>
      <c r="AE911" s="190" t="s">
        <v>883</v>
      </c>
      <c r="AF911" s="180">
        <v>364</v>
      </c>
      <c r="AG911" s="183">
        <v>44887</v>
      </c>
      <c r="AH911" s="183">
        <v>44096</v>
      </c>
      <c r="AI911" s="183">
        <v>44845</v>
      </c>
      <c r="AJ911" s="183" t="s">
        <v>883</v>
      </c>
      <c r="AK911" s="174"/>
    </row>
    <row r="912" spans="1:37" x14ac:dyDescent="0.3">
      <c r="A912" s="173">
        <v>140051</v>
      </c>
      <c r="B912" s="174" t="s">
        <v>1994</v>
      </c>
      <c r="C912" s="175" t="s">
        <v>331</v>
      </c>
      <c r="D912" s="176">
        <v>9.82</v>
      </c>
      <c r="E912" s="174"/>
      <c r="F912" s="174"/>
      <c r="G912" s="174" t="s">
        <v>883</v>
      </c>
      <c r="H912" s="177">
        <v>1538</v>
      </c>
      <c r="I912" s="24">
        <v>103003</v>
      </c>
      <c r="J912" s="178">
        <v>9.82</v>
      </c>
      <c r="K912" s="177">
        <v>336</v>
      </c>
      <c r="L912" s="179">
        <v>54.928571428571431</v>
      </c>
      <c r="M912" s="180">
        <v>0</v>
      </c>
      <c r="N912" s="178">
        <v>0</v>
      </c>
      <c r="O912" s="181" t="s">
        <v>882</v>
      </c>
      <c r="P912" s="180">
        <v>0</v>
      </c>
      <c r="Q912" s="182">
        <v>0</v>
      </c>
      <c r="R912" s="183" t="s">
        <v>883</v>
      </c>
      <c r="S912" s="174" t="s">
        <v>1666</v>
      </c>
      <c r="T912" s="44">
        <v>1</v>
      </c>
      <c r="U912" s="184">
        <v>55</v>
      </c>
      <c r="V912" s="185">
        <v>19</v>
      </c>
      <c r="W912" s="186" t="s">
        <v>883</v>
      </c>
      <c r="X912" s="187" t="s">
        <v>883</v>
      </c>
      <c r="Y912" s="188">
        <v>0</v>
      </c>
      <c r="Z912" s="188" t="s">
        <v>883</v>
      </c>
      <c r="AA912" s="187" t="s">
        <v>883</v>
      </c>
      <c r="AB912" s="188">
        <v>0</v>
      </c>
      <c r="AC912" s="188"/>
      <c r="AD912" s="189" t="s">
        <v>883</v>
      </c>
      <c r="AE912" s="190" t="s">
        <v>883</v>
      </c>
      <c r="AF912" s="180">
        <v>112</v>
      </c>
      <c r="AG912" s="183">
        <v>44454</v>
      </c>
      <c r="AH912" s="183">
        <v>44096</v>
      </c>
      <c r="AI912" s="183">
        <v>44412</v>
      </c>
      <c r="AJ912" s="183" t="s">
        <v>883</v>
      </c>
      <c r="AK912" s="174"/>
    </row>
    <row r="913" spans="1:37" x14ac:dyDescent="0.3">
      <c r="A913" s="173">
        <v>140052</v>
      </c>
      <c r="B913" s="174" t="s">
        <v>1995</v>
      </c>
      <c r="C913" s="175" t="s">
        <v>331</v>
      </c>
      <c r="D913" s="176">
        <v>13.2</v>
      </c>
      <c r="E913" s="174"/>
      <c r="F913" s="174"/>
      <c r="G913" s="174" t="s">
        <v>883</v>
      </c>
      <c r="H913" s="177">
        <v>0</v>
      </c>
      <c r="I913" s="24">
        <v>103003</v>
      </c>
      <c r="J913" s="178">
        <v>13.2</v>
      </c>
      <c r="K913" s="177">
        <v>2079</v>
      </c>
      <c r="L913" s="179">
        <v>0</v>
      </c>
      <c r="M913" s="180">
        <v>1079</v>
      </c>
      <c r="N913" s="178">
        <v>14242.8</v>
      </c>
      <c r="O913" s="181" t="s">
        <v>882</v>
      </c>
      <c r="P913" s="180">
        <v>0</v>
      </c>
      <c r="Q913" s="182">
        <v>0</v>
      </c>
      <c r="R913" s="183" t="s">
        <v>883</v>
      </c>
      <c r="S913" s="174" t="s">
        <v>1666</v>
      </c>
      <c r="T913" s="44">
        <v>1</v>
      </c>
      <c r="U913" s="184">
        <v>55</v>
      </c>
      <c r="V913" s="185">
        <v>19</v>
      </c>
      <c r="W913" s="186">
        <v>2694</v>
      </c>
      <c r="X913" s="187">
        <v>2023</v>
      </c>
      <c r="Y913" s="188">
        <v>1000</v>
      </c>
      <c r="Z913" s="188" t="s">
        <v>883</v>
      </c>
      <c r="AA913" s="187" t="s">
        <v>883</v>
      </c>
      <c r="AB913" s="188">
        <v>0</v>
      </c>
      <c r="AC913" s="188"/>
      <c r="AD913" s="189" t="s">
        <v>883</v>
      </c>
      <c r="AE913" s="190" t="s">
        <v>883</v>
      </c>
      <c r="AF913" s="180">
        <v>694</v>
      </c>
      <c r="AG913" s="183" t="s">
        <v>883</v>
      </c>
      <c r="AH913" s="183">
        <v>44096</v>
      </c>
      <c r="AI913" s="183">
        <v>44845</v>
      </c>
      <c r="AJ913" s="183" t="s">
        <v>883</v>
      </c>
      <c r="AK913" s="174"/>
    </row>
    <row r="914" spans="1:37" x14ac:dyDescent="0.3">
      <c r="A914" s="173">
        <v>140053</v>
      </c>
      <c r="B914" s="174" t="s">
        <v>1996</v>
      </c>
      <c r="C914" s="175" t="s">
        <v>331</v>
      </c>
      <c r="D914" s="176">
        <v>17.87</v>
      </c>
      <c r="E914" s="174"/>
      <c r="F914" s="174"/>
      <c r="G914" s="174" t="s">
        <v>883</v>
      </c>
      <c r="H914" s="177">
        <v>0</v>
      </c>
      <c r="I914" s="24">
        <v>103003</v>
      </c>
      <c r="J914" s="178">
        <v>17.87</v>
      </c>
      <c r="K914" s="177">
        <v>827</v>
      </c>
      <c r="L914" s="179">
        <v>0</v>
      </c>
      <c r="M914" s="180">
        <v>327.04000000000002</v>
      </c>
      <c r="N914" s="178">
        <v>5844.2048000000004</v>
      </c>
      <c r="O914" s="181" t="s">
        <v>882</v>
      </c>
      <c r="P914" s="180">
        <v>0</v>
      </c>
      <c r="Q914" s="182">
        <v>0</v>
      </c>
      <c r="R914" s="183" t="s">
        <v>883</v>
      </c>
      <c r="S914" s="174" t="s">
        <v>1666</v>
      </c>
      <c r="T914" s="44">
        <v>1</v>
      </c>
      <c r="U914" s="184">
        <v>55</v>
      </c>
      <c r="V914" s="185">
        <v>19</v>
      </c>
      <c r="W914" s="186">
        <v>1929</v>
      </c>
      <c r="X914" s="187">
        <v>2023</v>
      </c>
      <c r="Y914" s="188">
        <v>500</v>
      </c>
      <c r="Z914" s="188" t="s">
        <v>883</v>
      </c>
      <c r="AA914" s="187" t="s">
        <v>883</v>
      </c>
      <c r="AB914" s="188">
        <v>0</v>
      </c>
      <c r="AC914" s="188"/>
      <c r="AD914" s="189" t="s">
        <v>883</v>
      </c>
      <c r="AE914" s="190" t="s">
        <v>883</v>
      </c>
      <c r="AF914" s="180">
        <v>276</v>
      </c>
      <c r="AG914" s="183">
        <v>45030</v>
      </c>
      <c r="AH914" s="183">
        <v>44096</v>
      </c>
      <c r="AI914" s="183">
        <v>44995</v>
      </c>
      <c r="AJ914" s="183" t="s">
        <v>883</v>
      </c>
      <c r="AK914" s="174"/>
    </row>
    <row r="915" spans="1:37" x14ac:dyDescent="0.3">
      <c r="A915" s="173">
        <v>140053</v>
      </c>
      <c r="B915" s="174" t="s">
        <v>1996</v>
      </c>
      <c r="C915" s="175" t="s">
        <v>331</v>
      </c>
      <c r="D915" s="176">
        <v>17.87</v>
      </c>
      <c r="E915" s="174"/>
      <c r="F915" s="174"/>
      <c r="G915" s="174" t="s">
        <v>883</v>
      </c>
      <c r="H915" s="177">
        <v>0</v>
      </c>
      <c r="I915" s="24">
        <v>103003</v>
      </c>
      <c r="J915" s="178">
        <v>17.87</v>
      </c>
      <c r="K915" s="177">
        <v>827</v>
      </c>
      <c r="L915" s="179">
        <v>0</v>
      </c>
      <c r="M915" s="180">
        <v>127.04</v>
      </c>
      <c r="N915" s="178">
        <v>2270.2048</v>
      </c>
      <c r="O915" s="181" t="s">
        <v>882</v>
      </c>
      <c r="P915" s="180">
        <v>0</v>
      </c>
      <c r="Q915" s="182">
        <v>0</v>
      </c>
      <c r="R915" s="183" t="s">
        <v>883</v>
      </c>
      <c r="S915" s="174" t="s">
        <v>1666</v>
      </c>
      <c r="T915" s="44">
        <v>1</v>
      </c>
      <c r="U915" s="184">
        <v>55</v>
      </c>
      <c r="V915" s="185">
        <v>19</v>
      </c>
      <c r="W915" s="186">
        <v>2697</v>
      </c>
      <c r="X915" s="187">
        <v>2023</v>
      </c>
      <c r="Y915" s="188">
        <v>700</v>
      </c>
      <c r="Z915" s="188" t="s">
        <v>883</v>
      </c>
      <c r="AA915" s="187" t="s">
        <v>883</v>
      </c>
      <c r="AB915" s="188">
        <v>0</v>
      </c>
      <c r="AC915" s="188"/>
      <c r="AD915" s="189" t="s">
        <v>883</v>
      </c>
      <c r="AE915" s="190" t="s">
        <v>883</v>
      </c>
      <c r="AF915" s="180">
        <v>276</v>
      </c>
      <c r="AG915" s="183">
        <v>45030</v>
      </c>
      <c r="AH915" s="183">
        <v>44096</v>
      </c>
      <c r="AI915" s="183">
        <v>44995</v>
      </c>
      <c r="AJ915" s="183" t="s">
        <v>883</v>
      </c>
      <c r="AK915" s="174"/>
    </row>
    <row r="916" spans="1:37" x14ac:dyDescent="0.3">
      <c r="A916" s="173">
        <v>140054</v>
      </c>
      <c r="B916" s="174" t="s">
        <v>1997</v>
      </c>
      <c r="C916" s="175" t="s">
        <v>331</v>
      </c>
      <c r="D916" s="176">
        <v>19.7</v>
      </c>
      <c r="E916" s="174"/>
      <c r="F916" s="174"/>
      <c r="G916" s="174" t="s">
        <v>883</v>
      </c>
      <c r="H916" s="177">
        <v>947</v>
      </c>
      <c r="I916" s="24">
        <v>103003</v>
      </c>
      <c r="J916" s="178">
        <v>19.7</v>
      </c>
      <c r="K916" s="177">
        <v>400</v>
      </c>
      <c r="L916" s="179">
        <v>28.412841284128415</v>
      </c>
      <c r="M916" s="180">
        <v>0</v>
      </c>
      <c r="N916" s="178">
        <v>0</v>
      </c>
      <c r="O916" s="181" t="s">
        <v>882</v>
      </c>
      <c r="P916" s="180">
        <v>0</v>
      </c>
      <c r="Q916" s="182">
        <v>0</v>
      </c>
      <c r="R916" s="183" t="s">
        <v>883</v>
      </c>
      <c r="S916" s="174" t="s">
        <v>1666</v>
      </c>
      <c r="T916" s="44">
        <v>1</v>
      </c>
      <c r="U916" s="184">
        <v>55</v>
      </c>
      <c r="V916" s="185">
        <v>19</v>
      </c>
      <c r="W916" s="186" t="s">
        <v>883</v>
      </c>
      <c r="X916" s="187" t="s">
        <v>883</v>
      </c>
      <c r="Y916" s="188">
        <v>0</v>
      </c>
      <c r="Z916" s="188" t="s">
        <v>883</v>
      </c>
      <c r="AA916" s="187" t="s">
        <v>883</v>
      </c>
      <c r="AB916" s="188">
        <v>0</v>
      </c>
      <c r="AC916" s="188"/>
      <c r="AD916" s="189" t="s">
        <v>883</v>
      </c>
      <c r="AE916" s="190" t="s">
        <v>883</v>
      </c>
      <c r="AF916" s="180">
        <v>134</v>
      </c>
      <c r="AG916" s="183">
        <v>44875</v>
      </c>
      <c r="AH916" s="183">
        <v>44096</v>
      </c>
      <c r="AI916" s="183">
        <v>44845</v>
      </c>
      <c r="AJ916" s="183" t="s">
        <v>883</v>
      </c>
      <c r="AK916" s="174"/>
    </row>
    <row r="917" spans="1:37" x14ac:dyDescent="0.3">
      <c r="A917" s="173">
        <v>140055</v>
      </c>
      <c r="B917" s="174" t="s">
        <v>1998</v>
      </c>
      <c r="C917" s="175" t="s">
        <v>331</v>
      </c>
      <c r="D917" s="176">
        <v>19.8</v>
      </c>
      <c r="E917" s="174"/>
      <c r="F917" s="174"/>
      <c r="G917" s="174" t="s">
        <v>883</v>
      </c>
      <c r="H917" s="177">
        <v>5880</v>
      </c>
      <c r="I917" s="24">
        <v>103003</v>
      </c>
      <c r="J917" s="178">
        <v>19.8</v>
      </c>
      <c r="K917" s="177">
        <v>169</v>
      </c>
      <c r="L917" s="179">
        <v>417.61363636363632</v>
      </c>
      <c r="M917" s="180">
        <v>0</v>
      </c>
      <c r="N917" s="178">
        <v>0</v>
      </c>
      <c r="O917" s="181" t="s">
        <v>882</v>
      </c>
      <c r="P917" s="180">
        <v>0</v>
      </c>
      <c r="Q917" s="182">
        <v>0</v>
      </c>
      <c r="R917" s="183" t="s">
        <v>883</v>
      </c>
      <c r="S917" s="174" t="s">
        <v>1666</v>
      </c>
      <c r="T917" s="44">
        <v>1</v>
      </c>
      <c r="U917" s="184">
        <v>55</v>
      </c>
      <c r="V917" s="185">
        <v>19</v>
      </c>
      <c r="W917" s="186" t="s">
        <v>883</v>
      </c>
      <c r="X917" s="187" t="s">
        <v>883</v>
      </c>
      <c r="Y917" s="188">
        <v>0</v>
      </c>
      <c r="Z917" s="188" t="s">
        <v>883</v>
      </c>
      <c r="AA917" s="187" t="s">
        <v>883</v>
      </c>
      <c r="AB917" s="188">
        <v>0</v>
      </c>
      <c r="AC917" s="188"/>
      <c r="AD917" s="189" t="s">
        <v>883</v>
      </c>
      <c r="AE917" s="190" t="s">
        <v>883</v>
      </c>
      <c r="AF917" s="180">
        <v>56</v>
      </c>
      <c r="AG917" s="183" t="s">
        <v>883</v>
      </c>
      <c r="AH917" s="183">
        <v>44096</v>
      </c>
      <c r="AI917" s="183">
        <v>44845</v>
      </c>
      <c r="AJ917" s="183" t="s">
        <v>883</v>
      </c>
      <c r="AK917" s="174"/>
    </row>
    <row r="918" spans="1:37" x14ac:dyDescent="0.3">
      <c r="A918" s="173">
        <v>140056</v>
      </c>
      <c r="B918" s="174" t="s">
        <v>1999</v>
      </c>
      <c r="C918" s="175" t="s">
        <v>331</v>
      </c>
      <c r="D918" s="176">
        <v>19.7</v>
      </c>
      <c r="E918" s="174"/>
      <c r="F918" s="174"/>
      <c r="G918" s="174" t="s">
        <v>883</v>
      </c>
      <c r="H918" s="177">
        <v>1675</v>
      </c>
      <c r="I918" s="24">
        <v>103003</v>
      </c>
      <c r="J918" s="178">
        <v>19.7</v>
      </c>
      <c r="K918" s="177">
        <v>35</v>
      </c>
      <c r="L918" s="179">
        <v>573.63013698630141</v>
      </c>
      <c r="M918" s="180">
        <v>0</v>
      </c>
      <c r="N918" s="178">
        <v>0</v>
      </c>
      <c r="O918" s="181" t="s">
        <v>882</v>
      </c>
      <c r="P918" s="180">
        <v>0</v>
      </c>
      <c r="Q918" s="182">
        <v>0</v>
      </c>
      <c r="R918" s="183" t="s">
        <v>883</v>
      </c>
      <c r="S918" s="174" t="s">
        <v>1666</v>
      </c>
      <c r="T918" s="44">
        <v>1</v>
      </c>
      <c r="U918" s="184">
        <v>55</v>
      </c>
      <c r="V918" s="185">
        <v>19</v>
      </c>
      <c r="W918" s="186" t="s">
        <v>883</v>
      </c>
      <c r="X918" s="187" t="s">
        <v>883</v>
      </c>
      <c r="Y918" s="188">
        <v>0</v>
      </c>
      <c r="Z918" s="188" t="s">
        <v>883</v>
      </c>
      <c r="AA918" s="187" t="s">
        <v>883</v>
      </c>
      <c r="AB918" s="188">
        <v>0</v>
      </c>
      <c r="AC918" s="188"/>
      <c r="AD918" s="189" t="s">
        <v>883</v>
      </c>
      <c r="AE918" s="190" t="s">
        <v>883</v>
      </c>
      <c r="AF918" s="180">
        <v>12</v>
      </c>
      <c r="AG918" s="183">
        <v>44876</v>
      </c>
      <c r="AH918" s="183">
        <v>44096</v>
      </c>
      <c r="AI918" s="183">
        <v>44845</v>
      </c>
      <c r="AJ918" s="183" t="s">
        <v>883</v>
      </c>
      <c r="AK918" s="174"/>
    </row>
    <row r="919" spans="1:37" x14ac:dyDescent="0.3">
      <c r="A919" s="173">
        <v>140057</v>
      </c>
      <c r="B919" s="174" t="s">
        <v>2000</v>
      </c>
      <c r="C919" s="175" t="s">
        <v>331</v>
      </c>
      <c r="D919" s="176">
        <v>24.4</v>
      </c>
      <c r="E919" s="174"/>
      <c r="F919" s="174"/>
      <c r="G919" s="174" t="s">
        <v>883</v>
      </c>
      <c r="H919" s="177">
        <v>974</v>
      </c>
      <c r="I919" s="24">
        <v>103003</v>
      </c>
      <c r="J919" s="178">
        <v>24.4</v>
      </c>
      <c r="K919" s="177">
        <v>1760</v>
      </c>
      <c r="L919" s="179">
        <v>6.6407581645871687</v>
      </c>
      <c r="M919" s="180">
        <v>786.04</v>
      </c>
      <c r="N919" s="178">
        <v>19179.376</v>
      </c>
      <c r="O919" s="181" t="s">
        <v>882</v>
      </c>
      <c r="P919" s="180">
        <v>0</v>
      </c>
      <c r="Q919" s="182">
        <v>0</v>
      </c>
      <c r="R919" s="183" t="s">
        <v>883</v>
      </c>
      <c r="S919" s="174" t="s">
        <v>1666</v>
      </c>
      <c r="T919" s="44">
        <v>1</v>
      </c>
      <c r="U919" s="184">
        <v>55</v>
      </c>
      <c r="V919" s="185">
        <v>19</v>
      </c>
      <c r="W919" s="186" t="s">
        <v>883</v>
      </c>
      <c r="X919" s="187" t="s">
        <v>883</v>
      </c>
      <c r="Y919" s="188">
        <v>0</v>
      </c>
      <c r="Z919" s="188" t="s">
        <v>883</v>
      </c>
      <c r="AA919" s="187" t="s">
        <v>883</v>
      </c>
      <c r="AB919" s="188">
        <v>0</v>
      </c>
      <c r="AC919" s="188"/>
      <c r="AD919" s="189" t="s">
        <v>883</v>
      </c>
      <c r="AE919" s="190" t="s">
        <v>883</v>
      </c>
      <c r="AF919" s="180">
        <v>586</v>
      </c>
      <c r="AG919" s="183">
        <v>44876</v>
      </c>
      <c r="AH919" s="183">
        <v>44096</v>
      </c>
      <c r="AI919" s="183">
        <v>44845</v>
      </c>
      <c r="AJ919" s="183" t="s">
        <v>883</v>
      </c>
      <c r="AK919" s="174"/>
    </row>
    <row r="920" spans="1:37" x14ac:dyDescent="0.3">
      <c r="A920" s="173">
        <v>140058</v>
      </c>
      <c r="B920" s="174" t="s">
        <v>2001</v>
      </c>
      <c r="C920" s="175" t="s">
        <v>331</v>
      </c>
      <c r="D920" s="176">
        <v>0</v>
      </c>
      <c r="E920" s="174"/>
      <c r="F920" s="174"/>
      <c r="G920" s="174" t="s">
        <v>883</v>
      </c>
      <c r="H920" s="177">
        <v>272</v>
      </c>
      <c r="I920" s="24">
        <v>103003</v>
      </c>
      <c r="J920" s="178">
        <v>0</v>
      </c>
      <c r="K920" s="177">
        <v>118</v>
      </c>
      <c r="L920" s="179">
        <v>27.670396744659204</v>
      </c>
      <c r="M920" s="180">
        <v>0</v>
      </c>
      <c r="N920" s="178">
        <v>0</v>
      </c>
      <c r="O920" s="181" t="s">
        <v>882</v>
      </c>
      <c r="P920" s="180">
        <v>0</v>
      </c>
      <c r="Q920" s="182">
        <v>0</v>
      </c>
      <c r="R920" s="183" t="s">
        <v>883</v>
      </c>
      <c r="S920" s="174" t="s">
        <v>1666</v>
      </c>
      <c r="T920" s="44">
        <v>1</v>
      </c>
      <c r="U920" s="184">
        <v>55</v>
      </c>
      <c r="V920" s="185">
        <v>19</v>
      </c>
      <c r="W920" s="186" t="s">
        <v>883</v>
      </c>
      <c r="X920" s="187" t="s">
        <v>883</v>
      </c>
      <c r="Y920" s="188">
        <v>0</v>
      </c>
      <c r="Z920" s="188" t="s">
        <v>883</v>
      </c>
      <c r="AA920" s="187" t="s">
        <v>883</v>
      </c>
      <c r="AB920" s="188">
        <v>0</v>
      </c>
      <c r="AC920" s="188"/>
      <c r="AD920" s="189" t="s">
        <v>883</v>
      </c>
      <c r="AE920" s="190" t="s">
        <v>883</v>
      </c>
      <c r="AF920" s="180">
        <v>40</v>
      </c>
      <c r="AG920" s="183" t="s">
        <v>883</v>
      </c>
      <c r="AH920" s="183">
        <v>44096</v>
      </c>
      <c r="AI920" s="183" t="s">
        <v>883</v>
      </c>
      <c r="AJ920" s="183" t="s">
        <v>883</v>
      </c>
      <c r="AK920" s="174"/>
    </row>
    <row r="921" spans="1:37" x14ac:dyDescent="0.3">
      <c r="A921" s="173">
        <v>140059</v>
      </c>
      <c r="B921" s="174" t="s">
        <v>2002</v>
      </c>
      <c r="C921" s="175" t="s">
        <v>331</v>
      </c>
      <c r="D921" s="176">
        <v>36.909999999999997</v>
      </c>
      <c r="E921" s="174"/>
      <c r="F921" s="174"/>
      <c r="G921" s="174" t="s">
        <v>883</v>
      </c>
      <c r="H921" s="177">
        <v>569</v>
      </c>
      <c r="I921" s="24">
        <v>103003</v>
      </c>
      <c r="J921" s="178">
        <v>36.909999999999997</v>
      </c>
      <c r="K921" s="177">
        <v>435</v>
      </c>
      <c r="L921" s="179">
        <v>15.696551724137931</v>
      </c>
      <c r="M921" s="180">
        <v>0</v>
      </c>
      <c r="N921" s="178">
        <v>0</v>
      </c>
      <c r="O921" s="181" t="s">
        <v>882</v>
      </c>
      <c r="P921" s="180">
        <v>0</v>
      </c>
      <c r="Q921" s="182">
        <v>0</v>
      </c>
      <c r="R921" s="183" t="s">
        <v>883</v>
      </c>
      <c r="S921" s="174" t="s">
        <v>1666</v>
      </c>
      <c r="T921" s="44">
        <v>1</v>
      </c>
      <c r="U921" s="184">
        <v>55</v>
      </c>
      <c r="V921" s="185">
        <v>19</v>
      </c>
      <c r="W921" s="186">
        <v>1929</v>
      </c>
      <c r="X921" s="187">
        <v>2023</v>
      </c>
      <c r="Y921" s="188">
        <v>500</v>
      </c>
      <c r="Z921" s="188" t="s">
        <v>883</v>
      </c>
      <c r="AA921" s="187" t="s">
        <v>883</v>
      </c>
      <c r="AB921" s="188">
        <v>0</v>
      </c>
      <c r="AC921" s="188"/>
      <c r="AD921" s="189" t="s">
        <v>883</v>
      </c>
      <c r="AE921" s="190" t="s">
        <v>883</v>
      </c>
      <c r="AF921" s="180">
        <v>146</v>
      </c>
      <c r="AG921" s="183">
        <v>44876</v>
      </c>
      <c r="AH921" s="183">
        <v>44096</v>
      </c>
      <c r="AI921" s="183">
        <v>44845</v>
      </c>
      <c r="AJ921" s="183" t="s">
        <v>883</v>
      </c>
      <c r="AK921" s="174"/>
    </row>
    <row r="922" spans="1:37" x14ac:dyDescent="0.3">
      <c r="A922" s="173">
        <v>140059</v>
      </c>
      <c r="B922" s="174" t="s">
        <v>2002</v>
      </c>
      <c r="C922" s="175" t="s">
        <v>331</v>
      </c>
      <c r="D922" s="176">
        <v>36.909999999999997</v>
      </c>
      <c r="E922" s="174"/>
      <c r="F922" s="174"/>
      <c r="G922" s="174" t="s">
        <v>883</v>
      </c>
      <c r="H922" s="177">
        <v>569</v>
      </c>
      <c r="I922" s="24">
        <v>103003</v>
      </c>
      <c r="J922" s="178">
        <v>36.909999999999997</v>
      </c>
      <c r="K922" s="177">
        <v>435</v>
      </c>
      <c r="L922" s="179">
        <v>15.696551724137931</v>
      </c>
      <c r="M922" s="180">
        <v>0</v>
      </c>
      <c r="N922" s="178">
        <v>0</v>
      </c>
      <c r="O922" s="181" t="s">
        <v>882</v>
      </c>
      <c r="P922" s="180">
        <v>0</v>
      </c>
      <c r="Q922" s="182">
        <v>0</v>
      </c>
      <c r="R922" s="183" t="s">
        <v>883</v>
      </c>
      <c r="S922" s="174" t="s">
        <v>1666</v>
      </c>
      <c r="T922" s="44">
        <v>1</v>
      </c>
      <c r="U922" s="184">
        <v>55</v>
      </c>
      <c r="V922" s="185">
        <v>19</v>
      </c>
      <c r="W922" s="186">
        <v>2957</v>
      </c>
      <c r="X922" s="187">
        <v>2023</v>
      </c>
      <c r="Y922" s="188">
        <v>1000</v>
      </c>
      <c r="Z922" s="188" t="s">
        <v>883</v>
      </c>
      <c r="AA922" s="187" t="s">
        <v>883</v>
      </c>
      <c r="AB922" s="188">
        <v>0</v>
      </c>
      <c r="AC922" s="188"/>
      <c r="AD922" s="189" t="s">
        <v>883</v>
      </c>
      <c r="AE922" s="190" t="s">
        <v>883</v>
      </c>
      <c r="AF922" s="180">
        <v>146</v>
      </c>
      <c r="AG922" s="183">
        <v>44876</v>
      </c>
      <c r="AH922" s="183">
        <v>44096</v>
      </c>
      <c r="AI922" s="183">
        <v>44845</v>
      </c>
      <c r="AJ922" s="183" t="s">
        <v>883</v>
      </c>
      <c r="AK922" s="174"/>
    </row>
    <row r="923" spans="1:37" x14ac:dyDescent="0.3">
      <c r="A923" s="173">
        <v>140060</v>
      </c>
      <c r="B923" s="174" t="s">
        <v>2003</v>
      </c>
      <c r="C923" s="175" t="s">
        <v>331</v>
      </c>
      <c r="D923" s="176">
        <v>61.23</v>
      </c>
      <c r="E923" s="174"/>
      <c r="F923" s="174"/>
      <c r="G923" s="174" t="s">
        <v>883</v>
      </c>
      <c r="H923" s="177">
        <v>557</v>
      </c>
      <c r="I923" s="24">
        <v>103003</v>
      </c>
      <c r="J923" s="178">
        <v>61.23</v>
      </c>
      <c r="K923" s="177">
        <v>502</v>
      </c>
      <c r="L923" s="179">
        <v>13.315802055940711</v>
      </c>
      <c r="M923" s="180">
        <v>0</v>
      </c>
      <c r="N923" s="178">
        <v>0</v>
      </c>
      <c r="O923" s="181" t="s">
        <v>882</v>
      </c>
      <c r="P923" s="180">
        <v>0</v>
      </c>
      <c r="Q923" s="182">
        <v>0</v>
      </c>
      <c r="R923" s="183" t="s">
        <v>883</v>
      </c>
      <c r="S923" s="174" t="s">
        <v>1666</v>
      </c>
      <c r="T923" s="44">
        <v>1</v>
      </c>
      <c r="U923" s="184">
        <v>55</v>
      </c>
      <c r="V923" s="185">
        <v>19</v>
      </c>
      <c r="W923" s="186" t="s">
        <v>883</v>
      </c>
      <c r="X923" s="187" t="s">
        <v>883</v>
      </c>
      <c r="Y923" s="188">
        <v>0</v>
      </c>
      <c r="Z923" s="188" t="s">
        <v>883</v>
      </c>
      <c r="AA923" s="187" t="s">
        <v>883</v>
      </c>
      <c r="AB923" s="188">
        <v>0</v>
      </c>
      <c r="AC923" s="188"/>
      <c r="AD923" s="189" t="s">
        <v>883</v>
      </c>
      <c r="AE923" s="190" t="s">
        <v>883</v>
      </c>
      <c r="AF923" s="180">
        <v>168</v>
      </c>
      <c r="AG923" s="183" t="s">
        <v>883</v>
      </c>
      <c r="AH923" s="183">
        <v>44096</v>
      </c>
      <c r="AI923" s="183">
        <v>44923</v>
      </c>
      <c r="AJ923" s="183" t="s">
        <v>883</v>
      </c>
      <c r="AK923" s="174"/>
    </row>
    <row r="924" spans="1:37" x14ac:dyDescent="0.3">
      <c r="A924" s="173">
        <v>140061</v>
      </c>
      <c r="B924" s="174" t="s">
        <v>2004</v>
      </c>
      <c r="C924" s="175" t="s">
        <v>331</v>
      </c>
      <c r="D924" s="176">
        <v>81.72</v>
      </c>
      <c r="E924" s="174"/>
      <c r="F924" s="174"/>
      <c r="G924" s="174" t="s">
        <v>883</v>
      </c>
      <c r="H924" s="177">
        <v>176</v>
      </c>
      <c r="I924" s="24">
        <v>103003</v>
      </c>
      <c r="J924" s="178">
        <v>81.72</v>
      </c>
      <c r="K924" s="177">
        <v>300</v>
      </c>
      <c r="L924" s="179">
        <v>7.04</v>
      </c>
      <c r="M924" s="180">
        <v>24</v>
      </c>
      <c r="N924" s="178">
        <v>1961.28</v>
      </c>
      <c r="O924" s="181" t="s">
        <v>882</v>
      </c>
      <c r="P924" s="180">
        <v>0</v>
      </c>
      <c r="Q924" s="182">
        <v>0</v>
      </c>
      <c r="R924" s="183" t="s">
        <v>883</v>
      </c>
      <c r="S924" s="174" t="s">
        <v>1666</v>
      </c>
      <c r="T924" s="44">
        <v>1</v>
      </c>
      <c r="U924" s="184">
        <v>55</v>
      </c>
      <c r="V924" s="185">
        <v>19</v>
      </c>
      <c r="W924" s="186">
        <v>2696</v>
      </c>
      <c r="X924" s="187">
        <v>2023</v>
      </c>
      <c r="Y924" s="188">
        <v>100</v>
      </c>
      <c r="Z924" s="188" t="s">
        <v>883</v>
      </c>
      <c r="AA924" s="187" t="s">
        <v>883</v>
      </c>
      <c r="AB924" s="188">
        <v>0</v>
      </c>
      <c r="AC924" s="188"/>
      <c r="AD924" s="189" t="s">
        <v>883</v>
      </c>
      <c r="AE924" s="190" t="s">
        <v>883</v>
      </c>
      <c r="AF924" s="180">
        <v>100</v>
      </c>
      <c r="AG924" s="183" t="s">
        <v>883</v>
      </c>
      <c r="AH924" s="183">
        <v>44096</v>
      </c>
      <c r="AI924" s="183">
        <v>44740</v>
      </c>
      <c r="AJ924" s="183" t="s">
        <v>883</v>
      </c>
      <c r="AK924" s="174"/>
    </row>
    <row r="925" spans="1:37" x14ac:dyDescent="0.3">
      <c r="A925" s="173">
        <v>140063</v>
      </c>
      <c r="B925" s="174" t="s">
        <v>2005</v>
      </c>
      <c r="C925" s="175" t="s">
        <v>331</v>
      </c>
      <c r="D925" s="176">
        <v>6.11</v>
      </c>
      <c r="E925" s="174"/>
      <c r="F925" s="174"/>
      <c r="G925" s="174" t="s">
        <v>883</v>
      </c>
      <c r="H925" s="177">
        <v>0</v>
      </c>
      <c r="I925" s="24">
        <v>103003</v>
      </c>
      <c r="J925" s="178">
        <v>6.11</v>
      </c>
      <c r="K925" s="177">
        <v>5416</v>
      </c>
      <c r="L925" s="179">
        <v>0</v>
      </c>
      <c r="M925" s="180">
        <v>3764.96</v>
      </c>
      <c r="N925" s="178">
        <v>23003.905599999998</v>
      </c>
      <c r="O925" s="181" t="s">
        <v>882</v>
      </c>
      <c r="P925" s="180">
        <v>0</v>
      </c>
      <c r="Q925" s="182">
        <v>0</v>
      </c>
      <c r="R925" s="183" t="s">
        <v>883</v>
      </c>
      <c r="S925" s="174" t="s">
        <v>1666</v>
      </c>
      <c r="T925" s="44">
        <v>1</v>
      </c>
      <c r="U925" s="184">
        <v>55</v>
      </c>
      <c r="V925" s="185">
        <v>19</v>
      </c>
      <c r="W925" s="186">
        <v>2375</v>
      </c>
      <c r="X925" s="187">
        <v>2023</v>
      </c>
      <c r="Y925" s="188">
        <v>4000</v>
      </c>
      <c r="Z925" s="188" t="s">
        <v>883</v>
      </c>
      <c r="AA925" s="187" t="s">
        <v>883</v>
      </c>
      <c r="AB925" s="188">
        <v>0</v>
      </c>
      <c r="AC925" s="188"/>
      <c r="AD925" s="189" t="s">
        <v>883</v>
      </c>
      <c r="AE925" s="190" t="s">
        <v>883</v>
      </c>
      <c r="AF925" s="180">
        <v>2588</v>
      </c>
      <c r="AG925" s="183">
        <v>44893</v>
      </c>
      <c r="AH925" s="183">
        <v>44096</v>
      </c>
      <c r="AI925" s="183">
        <v>44845</v>
      </c>
      <c r="AJ925" s="183" t="s">
        <v>883</v>
      </c>
      <c r="AK925" s="174"/>
    </row>
    <row r="926" spans="1:37" x14ac:dyDescent="0.3">
      <c r="A926" s="173">
        <v>140125</v>
      </c>
      <c r="B926" s="174" t="s">
        <v>2006</v>
      </c>
      <c r="C926" s="175" t="s">
        <v>331</v>
      </c>
      <c r="D926" s="176">
        <v>87.79</v>
      </c>
      <c r="E926" s="174"/>
      <c r="F926" s="174"/>
      <c r="G926" s="174" t="s">
        <v>883</v>
      </c>
      <c r="H926" s="177">
        <v>550</v>
      </c>
      <c r="I926" s="24">
        <v>103003</v>
      </c>
      <c r="J926" s="178">
        <v>87.79</v>
      </c>
      <c r="K926" s="177"/>
      <c r="L926" s="179">
        <v>0</v>
      </c>
      <c r="M926" s="180">
        <v>0</v>
      </c>
      <c r="N926" s="178">
        <v>0</v>
      </c>
      <c r="O926" s="181" t="s">
        <v>882</v>
      </c>
      <c r="P926" s="180">
        <v>0</v>
      </c>
      <c r="Q926" s="182">
        <v>0</v>
      </c>
      <c r="R926" s="183" t="s">
        <v>883</v>
      </c>
      <c r="S926" s="174" t="s">
        <v>1666</v>
      </c>
      <c r="T926" s="44">
        <v>1</v>
      </c>
      <c r="U926" s="184">
        <v>55</v>
      </c>
      <c r="V926" s="185">
        <v>19</v>
      </c>
      <c r="W926" s="186" t="s">
        <v>883</v>
      </c>
      <c r="X926" s="187" t="s">
        <v>883</v>
      </c>
      <c r="Y926" s="188">
        <v>0</v>
      </c>
      <c r="Z926" s="188" t="s">
        <v>883</v>
      </c>
      <c r="AA926" s="187" t="s">
        <v>883</v>
      </c>
      <c r="AB926" s="188">
        <v>0</v>
      </c>
      <c r="AC926" s="188"/>
      <c r="AD926" s="189" t="s">
        <v>883</v>
      </c>
      <c r="AE926" s="190" t="s">
        <v>883</v>
      </c>
      <c r="AF926" s="180">
        <v>0</v>
      </c>
      <c r="AG926" s="183">
        <v>44211</v>
      </c>
      <c r="AH926" s="183">
        <v>44109</v>
      </c>
      <c r="AI926" s="183">
        <v>44167</v>
      </c>
      <c r="AJ926" s="183" t="s">
        <v>883</v>
      </c>
      <c r="AK926" s="174"/>
    </row>
    <row r="927" spans="1:37" x14ac:dyDescent="0.3">
      <c r="A927" s="173">
        <v>140126</v>
      </c>
      <c r="B927" s="174" t="s">
        <v>2007</v>
      </c>
      <c r="C927" s="175" t="s">
        <v>331</v>
      </c>
      <c r="D927" s="176">
        <v>34.54</v>
      </c>
      <c r="E927" s="174"/>
      <c r="F927" s="174"/>
      <c r="G927" s="174" t="s">
        <v>883</v>
      </c>
      <c r="H927" s="177">
        <v>891</v>
      </c>
      <c r="I927" s="24">
        <v>103003</v>
      </c>
      <c r="J927" s="178">
        <v>34.54</v>
      </c>
      <c r="K927" s="177">
        <v>491</v>
      </c>
      <c r="L927" s="179">
        <v>21.55819017662715</v>
      </c>
      <c r="M927" s="180">
        <v>0</v>
      </c>
      <c r="N927" s="178">
        <v>0</v>
      </c>
      <c r="O927" s="181" t="s">
        <v>882</v>
      </c>
      <c r="P927" s="180">
        <v>0</v>
      </c>
      <c r="Q927" s="182">
        <v>0</v>
      </c>
      <c r="R927" s="183" t="s">
        <v>883</v>
      </c>
      <c r="S927" s="174" t="s">
        <v>1666</v>
      </c>
      <c r="T927" s="44">
        <v>1</v>
      </c>
      <c r="U927" s="184">
        <v>55</v>
      </c>
      <c r="V927" s="185">
        <v>19</v>
      </c>
      <c r="W927" s="186" t="s">
        <v>883</v>
      </c>
      <c r="X927" s="187" t="s">
        <v>883</v>
      </c>
      <c r="Y927" s="188">
        <v>0</v>
      </c>
      <c r="Z927" s="188" t="s">
        <v>883</v>
      </c>
      <c r="AA927" s="187" t="s">
        <v>883</v>
      </c>
      <c r="AB927" s="188">
        <v>0</v>
      </c>
      <c r="AC927" s="188"/>
      <c r="AD927" s="189" t="s">
        <v>883</v>
      </c>
      <c r="AE927" s="190" t="s">
        <v>883</v>
      </c>
      <c r="AF927" s="180">
        <v>166</v>
      </c>
      <c r="AG927" s="183">
        <v>44876</v>
      </c>
      <c r="AH927" s="183">
        <v>44109</v>
      </c>
      <c r="AI927" s="183">
        <v>44923</v>
      </c>
      <c r="AJ927" s="183" t="s">
        <v>883</v>
      </c>
      <c r="AK927" s="174"/>
    </row>
    <row r="928" spans="1:37" x14ac:dyDescent="0.3">
      <c r="A928" s="173">
        <v>140241</v>
      </c>
      <c r="B928" s="174" t="s">
        <v>2008</v>
      </c>
      <c r="C928" s="175" t="s">
        <v>331</v>
      </c>
      <c r="D928" s="176">
        <v>3.32</v>
      </c>
      <c r="E928" s="174"/>
      <c r="F928" s="174"/>
      <c r="G928" s="174" t="s">
        <v>883</v>
      </c>
      <c r="H928" s="177">
        <v>6</v>
      </c>
      <c r="I928" s="24">
        <v>103003</v>
      </c>
      <c r="J928" s="178">
        <v>3.32</v>
      </c>
      <c r="K928" s="177">
        <v>1632</v>
      </c>
      <c r="L928" s="179">
        <v>4.0404040404040407E-2</v>
      </c>
      <c r="M928" s="180">
        <v>1276</v>
      </c>
      <c r="N928" s="178">
        <v>4236.32</v>
      </c>
      <c r="O928" s="181" t="s">
        <v>882</v>
      </c>
      <c r="P928" s="180">
        <v>0</v>
      </c>
      <c r="Q928" s="182">
        <v>0</v>
      </c>
      <c r="R928" s="183" t="s">
        <v>883</v>
      </c>
      <c r="S928" s="174" t="s">
        <v>1666</v>
      </c>
      <c r="T928" s="44">
        <v>1</v>
      </c>
      <c r="U928" s="184">
        <v>55</v>
      </c>
      <c r="V928" s="185">
        <v>19</v>
      </c>
      <c r="W928" s="186">
        <v>2448</v>
      </c>
      <c r="X928" s="187">
        <v>2023</v>
      </c>
      <c r="Y928" s="188">
        <v>500</v>
      </c>
      <c r="Z928" s="188" t="s">
        <v>883</v>
      </c>
      <c r="AA928" s="187" t="s">
        <v>883</v>
      </c>
      <c r="AB928" s="188">
        <v>0</v>
      </c>
      <c r="AC928" s="188"/>
      <c r="AD928" s="189" t="s">
        <v>883</v>
      </c>
      <c r="AE928" s="190" t="s">
        <v>883</v>
      </c>
      <c r="AF928" s="180">
        <v>594</v>
      </c>
      <c r="AG928" s="183" t="s">
        <v>883</v>
      </c>
      <c r="AH928" s="183">
        <v>44132</v>
      </c>
      <c r="AI928" s="183">
        <v>44623</v>
      </c>
      <c r="AJ928" s="183" t="s">
        <v>883</v>
      </c>
      <c r="AK928" s="174"/>
    </row>
    <row r="929" spans="1:37" x14ac:dyDescent="0.3">
      <c r="A929" s="173">
        <v>140242</v>
      </c>
      <c r="B929" s="174" t="s">
        <v>2009</v>
      </c>
      <c r="C929" s="175" t="s">
        <v>331</v>
      </c>
      <c r="D929" s="176">
        <v>15.5</v>
      </c>
      <c r="E929" s="174"/>
      <c r="F929" s="174"/>
      <c r="G929" s="174" t="s">
        <v>883</v>
      </c>
      <c r="H929" s="177">
        <v>933</v>
      </c>
      <c r="I929" s="24">
        <v>103003</v>
      </c>
      <c r="J929" s="178">
        <v>15.5</v>
      </c>
      <c r="K929" s="177">
        <v>985</v>
      </c>
      <c r="L929" s="179">
        <v>11.366959064327485</v>
      </c>
      <c r="M929" s="180">
        <v>51.96</v>
      </c>
      <c r="N929" s="178">
        <v>805.38</v>
      </c>
      <c r="O929" s="181" t="s">
        <v>882</v>
      </c>
      <c r="P929" s="180">
        <v>0</v>
      </c>
      <c r="Q929" s="182">
        <v>0</v>
      </c>
      <c r="R929" s="183" t="s">
        <v>883</v>
      </c>
      <c r="S929" s="174" t="s">
        <v>1666</v>
      </c>
      <c r="T929" s="44">
        <v>1</v>
      </c>
      <c r="U929" s="184">
        <v>55</v>
      </c>
      <c r="V929" s="185">
        <v>19</v>
      </c>
      <c r="W929" s="186" t="s">
        <v>883</v>
      </c>
      <c r="X929" s="187" t="s">
        <v>883</v>
      </c>
      <c r="Y929" s="188">
        <v>0</v>
      </c>
      <c r="Z929" s="188" t="s">
        <v>883</v>
      </c>
      <c r="AA929" s="187" t="s">
        <v>883</v>
      </c>
      <c r="AB929" s="188">
        <v>0</v>
      </c>
      <c r="AC929" s="188"/>
      <c r="AD929" s="189" t="s">
        <v>883</v>
      </c>
      <c r="AE929" s="190" t="s">
        <v>883</v>
      </c>
      <c r="AF929" s="180">
        <v>328</v>
      </c>
      <c r="AG929" s="183">
        <v>44876</v>
      </c>
      <c r="AH929" s="183">
        <v>44132</v>
      </c>
      <c r="AI929" s="183">
        <v>44845</v>
      </c>
      <c r="AJ929" s="183" t="s">
        <v>883</v>
      </c>
      <c r="AK929" s="174"/>
    </row>
    <row r="930" spans="1:37" x14ac:dyDescent="0.3">
      <c r="A930" s="173">
        <v>140283</v>
      </c>
      <c r="B930" s="174" t="s">
        <v>2010</v>
      </c>
      <c r="C930" s="175" t="s">
        <v>31</v>
      </c>
      <c r="D930" s="176">
        <v>152</v>
      </c>
      <c r="E930" s="174"/>
      <c r="F930" s="174"/>
      <c r="G930" s="174" t="s">
        <v>883</v>
      </c>
      <c r="H930" s="177">
        <v>0</v>
      </c>
      <c r="I930" s="24">
        <v>103003</v>
      </c>
      <c r="J930" s="178">
        <v>152</v>
      </c>
      <c r="K930" s="177">
        <v>50</v>
      </c>
      <c r="L930" s="179">
        <v>0</v>
      </c>
      <c r="M930" s="180">
        <v>46.04</v>
      </c>
      <c r="N930" s="178">
        <v>6998.08</v>
      </c>
      <c r="O930" s="181" t="s">
        <v>882</v>
      </c>
      <c r="P930" s="180">
        <v>0</v>
      </c>
      <c r="Q930" s="182">
        <v>0</v>
      </c>
      <c r="R930" s="183" t="s">
        <v>883</v>
      </c>
      <c r="S930" s="174" t="s">
        <v>1436</v>
      </c>
      <c r="T930" s="44">
        <v>1</v>
      </c>
      <c r="U930" s="184">
        <v>51</v>
      </c>
      <c r="V930" s="185">
        <v>36</v>
      </c>
      <c r="W930" s="186">
        <v>2428</v>
      </c>
      <c r="X930" s="187">
        <v>2023</v>
      </c>
      <c r="Y930" s="188">
        <v>10</v>
      </c>
      <c r="Z930" s="188" t="s">
        <v>883</v>
      </c>
      <c r="AA930" s="187" t="s">
        <v>883</v>
      </c>
      <c r="AB930" s="188">
        <v>0</v>
      </c>
      <c r="AC930" s="188"/>
      <c r="AD930" s="189" t="s">
        <v>883</v>
      </c>
      <c r="AE930" s="190" t="s">
        <v>883</v>
      </c>
      <c r="AF930" s="180">
        <v>18</v>
      </c>
      <c r="AG930" s="183">
        <v>44509</v>
      </c>
      <c r="AH930" s="183">
        <v>44155</v>
      </c>
      <c r="AI930" s="183">
        <v>44508</v>
      </c>
      <c r="AJ930" s="183" t="s">
        <v>883</v>
      </c>
      <c r="AK930" s="174"/>
    </row>
    <row r="931" spans="1:37" x14ac:dyDescent="0.3">
      <c r="A931" s="173">
        <v>140326</v>
      </c>
      <c r="B931" s="174" t="s">
        <v>2011</v>
      </c>
      <c r="C931" s="175" t="s">
        <v>270</v>
      </c>
      <c r="D931" s="176">
        <v>38.85</v>
      </c>
      <c r="E931" s="174"/>
      <c r="F931" s="174"/>
      <c r="G931" s="174" t="s">
        <v>883</v>
      </c>
      <c r="H931" s="177">
        <v>0</v>
      </c>
      <c r="I931" s="24">
        <v>103003</v>
      </c>
      <c r="J931" s="178">
        <v>38.85</v>
      </c>
      <c r="K931" s="177">
        <v>274</v>
      </c>
      <c r="L931" s="179">
        <v>0</v>
      </c>
      <c r="M931" s="180">
        <v>0</v>
      </c>
      <c r="N931" s="178">
        <v>0</v>
      </c>
      <c r="O931" s="181" t="s">
        <v>882</v>
      </c>
      <c r="P931" s="180">
        <v>0</v>
      </c>
      <c r="Q931" s="182">
        <v>0</v>
      </c>
      <c r="R931" s="183" t="s">
        <v>883</v>
      </c>
      <c r="S931" s="174" t="s">
        <v>1110</v>
      </c>
      <c r="T931" s="44">
        <v>1</v>
      </c>
      <c r="U931" s="184">
        <v>51</v>
      </c>
      <c r="V931" s="185">
        <v>33</v>
      </c>
      <c r="W931" s="186">
        <v>2223</v>
      </c>
      <c r="X931" s="187">
        <v>2023</v>
      </c>
      <c r="Y931" s="188">
        <v>1200</v>
      </c>
      <c r="Z931" s="188" t="s">
        <v>883</v>
      </c>
      <c r="AA931" s="187" t="s">
        <v>883</v>
      </c>
      <c r="AB931" s="188">
        <v>0</v>
      </c>
      <c r="AC931" s="188"/>
      <c r="AD931" s="189" t="s">
        <v>883</v>
      </c>
      <c r="AE931" s="190" t="s">
        <v>883</v>
      </c>
      <c r="AF931" s="180">
        <v>92</v>
      </c>
      <c r="AG931" s="183">
        <v>44547</v>
      </c>
      <c r="AH931" s="183">
        <v>44180</v>
      </c>
      <c r="AI931" s="183">
        <v>44911</v>
      </c>
      <c r="AJ931" s="183" t="s">
        <v>883</v>
      </c>
      <c r="AK931" s="174"/>
    </row>
    <row r="932" spans="1:37" x14ac:dyDescent="0.3">
      <c r="A932" s="173">
        <v>140666</v>
      </c>
      <c r="B932" s="174" t="s">
        <v>2012</v>
      </c>
      <c r="C932" s="175" t="s">
        <v>256</v>
      </c>
      <c r="D932" s="176">
        <v>66.680000000000007</v>
      </c>
      <c r="E932" s="174"/>
      <c r="F932" s="174"/>
      <c r="G932" s="174" t="s">
        <v>883</v>
      </c>
      <c r="H932" s="177">
        <v>18</v>
      </c>
      <c r="I932" s="24">
        <v>103003</v>
      </c>
      <c r="J932" s="178">
        <v>66.680000000000007</v>
      </c>
      <c r="K932" s="177">
        <v>132</v>
      </c>
      <c r="L932" s="179">
        <v>1.5424164524421593</v>
      </c>
      <c r="M932" s="180">
        <v>92.04</v>
      </c>
      <c r="N932" s="178">
        <v>6137.2272000000003</v>
      </c>
      <c r="O932" s="181" t="s">
        <v>882</v>
      </c>
      <c r="P932" s="180">
        <v>0</v>
      </c>
      <c r="Q932" s="182">
        <v>0</v>
      </c>
      <c r="R932" s="183" t="s">
        <v>883</v>
      </c>
      <c r="S932" s="174" t="s">
        <v>1083</v>
      </c>
      <c r="T932" s="44">
        <v>1</v>
      </c>
      <c r="U932" s="184">
        <v>55</v>
      </c>
      <c r="V932" s="185">
        <v>49</v>
      </c>
      <c r="W932" s="186">
        <v>2448</v>
      </c>
      <c r="X932" s="187">
        <v>2023</v>
      </c>
      <c r="Y932" s="188">
        <v>30</v>
      </c>
      <c r="Z932" s="188" t="s">
        <v>883</v>
      </c>
      <c r="AA932" s="187" t="s">
        <v>883</v>
      </c>
      <c r="AB932" s="188">
        <v>0</v>
      </c>
      <c r="AC932" s="188"/>
      <c r="AD932" s="189" t="s">
        <v>883</v>
      </c>
      <c r="AE932" s="190" t="s">
        <v>883</v>
      </c>
      <c r="AF932" s="180">
        <v>46</v>
      </c>
      <c r="AG932" s="183">
        <v>44410</v>
      </c>
      <c r="AH932" s="183">
        <v>44243</v>
      </c>
      <c r="AI932" s="183">
        <v>44393</v>
      </c>
      <c r="AJ932" s="183" t="s">
        <v>883</v>
      </c>
      <c r="AK932" s="174"/>
    </row>
    <row r="933" spans="1:37" x14ac:dyDescent="0.3">
      <c r="A933" s="173">
        <v>140933</v>
      </c>
      <c r="B933" s="174" t="s">
        <v>2013</v>
      </c>
      <c r="C933" s="175" t="s">
        <v>256</v>
      </c>
      <c r="D933" s="176">
        <v>1.65</v>
      </c>
      <c r="E933" s="174"/>
      <c r="F933" s="174"/>
      <c r="G933" s="174" t="s">
        <v>883</v>
      </c>
      <c r="H933" s="177">
        <v>924</v>
      </c>
      <c r="I933" s="24">
        <v>103003</v>
      </c>
      <c r="J933" s="178">
        <v>1.65</v>
      </c>
      <c r="K933" s="177">
        <v>66</v>
      </c>
      <c r="L933" s="179">
        <v>168</v>
      </c>
      <c r="M933" s="180">
        <v>0</v>
      </c>
      <c r="N933" s="178">
        <v>0</v>
      </c>
      <c r="O933" s="181" t="s">
        <v>882</v>
      </c>
      <c r="P933" s="180">
        <v>0</v>
      </c>
      <c r="Q933" s="182">
        <v>0</v>
      </c>
      <c r="R933" s="183" t="s">
        <v>883</v>
      </c>
      <c r="S933" s="174" t="s">
        <v>1287</v>
      </c>
      <c r="T933" s="44">
        <v>1</v>
      </c>
      <c r="U933" s="184">
        <v>45</v>
      </c>
      <c r="V933" s="185">
        <v>16</v>
      </c>
      <c r="W933" s="186" t="s">
        <v>883</v>
      </c>
      <c r="X933" s="187" t="s">
        <v>883</v>
      </c>
      <c r="Y933" s="188">
        <v>0</v>
      </c>
      <c r="Z933" s="188" t="s">
        <v>883</v>
      </c>
      <c r="AA933" s="187" t="s">
        <v>883</v>
      </c>
      <c r="AB933" s="188">
        <v>0</v>
      </c>
      <c r="AC933" s="188"/>
      <c r="AD933" s="189" t="s">
        <v>883</v>
      </c>
      <c r="AE933" s="190" t="s">
        <v>883</v>
      </c>
      <c r="AF933" s="180">
        <v>22</v>
      </c>
      <c r="AG933" s="183">
        <v>45014</v>
      </c>
      <c r="AH933" s="183">
        <v>44294</v>
      </c>
      <c r="AI933" s="183">
        <v>44998</v>
      </c>
      <c r="AJ933" s="183" t="s">
        <v>883</v>
      </c>
      <c r="AK933" s="174"/>
    </row>
    <row r="934" spans="1:37" x14ac:dyDescent="0.3">
      <c r="A934" s="173">
        <v>141253</v>
      </c>
      <c r="B934" s="174" t="s">
        <v>2014</v>
      </c>
      <c r="C934" s="175" t="s">
        <v>596</v>
      </c>
      <c r="D934" s="176">
        <v>109.97</v>
      </c>
      <c r="E934" s="174"/>
      <c r="F934" s="174"/>
      <c r="G934" s="174" t="s">
        <v>883</v>
      </c>
      <c r="H934" s="177">
        <v>0</v>
      </c>
      <c r="I934" s="24">
        <v>103003</v>
      </c>
      <c r="J934" s="178">
        <v>109.97</v>
      </c>
      <c r="K934" s="177">
        <v>193</v>
      </c>
      <c r="L934" s="179">
        <v>0</v>
      </c>
      <c r="M934" s="180">
        <v>40.96</v>
      </c>
      <c r="N934" s="178">
        <v>4504.3711999999996</v>
      </c>
      <c r="O934" s="181" t="s">
        <v>882</v>
      </c>
      <c r="P934" s="180">
        <v>0</v>
      </c>
      <c r="Q934" s="182">
        <v>0</v>
      </c>
      <c r="R934" s="183" t="s">
        <v>883</v>
      </c>
      <c r="S934" s="174" t="s">
        <v>1509</v>
      </c>
      <c r="T934" s="44">
        <v>1</v>
      </c>
      <c r="U934" s="184">
        <v>76</v>
      </c>
      <c r="V934" s="185">
        <v>13</v>
      </c>
      <c r="W934" s="186">
        <v>2503</v>
      </c>
      <c r="X934" s="187">
        <v>2023</v>
      </c>
      <c r="Y934" s="188">
        <v>200</v>
      </c>
      <c r="Z934" s="188" t="s">
        <v>883</v>
      </c>
      <c r="AA934" s="187" t="s">
        <v>883</v>
      </c>
      <c r="AB934" s="188">
        <v>0</v>
      </c>
      <c r="AC934" s="188"/>
      <c r="AD934" s="189" t="s">
        <v>883</v>
      </c>
      <c r="AE934" s="190" t="s">
        <v>883</v>
      </c>
      <c r="AF934" s="180">
        <v>80</v>
      </c>
      <c r="AG934" s="183">
        <v>44613</v>
      </c>
      <c r="AH934" s="183">
        <v>44355</v>
      </c>
      <c r="AI934" s="183">
        <v>44586</v>
      </c>
      <c r="AJ934" s="183" t="s">
        <v>883</v>
      </c>
      <c r="AK934" s="174"/>
    </row>
    <row r="935" spans="1:37" x14ac:dyDescent="0.3">
      <c r="A935" s="173">
        <v>141265</v>
      </c>
      <c r="B935" s="174" t="s">
        <v>2015</v>
      </c>
      <c r="C935" s="175" t="s">
        <v>596</v>
      </c>
      <c r="D935" s="176">
        <v>75.5</v>
      </c>
      <c r="E935" s="174"/>
      <c r="F935" s="174"/>
      <c r="G935" s="174" t="s">
        <v>883</v>
      </c>
      <c r="H935" s="177">
        <v>82</v>
      </c>
      <c r="I935" s="24">
        <v>103003</v>
      </c>
      <c r="J935" s="178">
        <v>71.779300000000006</v>
      </c>
      <c r="K935" s="177">
        <v>81</v>
      </c>
      <c r="L935" s="179">
        <v>9.2865232163080407</v>
      </c>
      <c r="M935" s="180">
        <v>3.96</v>
      </c>
      <c r="N935" s="178">
        <v>298.98</v>
      </c>
      <c r="O935" s="181" t="s">
        <v>882</v>
      </c>
      <c r="P935" s="180">
        <v>0</v>
      </c>
      <c r="Q935" s="182">
        <v>0</v>
      </c>
      <c r="R935" s="183" t="s">
        <v>883</v>
      </c>
      <c r="S935" s="174" t="s">
        <v>2016</v>
      </c>
      <c r="T935" s="44">
        <v>1</v>
      </c>
      <c r="U935" s="184">
        <v>76</v>
      </c>
      <c r="V935" s="185">
        <v>3</v>
      </c>
      <c r="W935" s="186">
        <v>2973</v>
      </c>
      <c r="X935" s="187">
        <v>2023</v>
      </c>
      <c r="Y935" s="188">
        <v>20</v>
      </c>
      <c r="Z935" s="188" t="s">
        <v>883</v>
      </c>
      <c r="AA935" s="187" t="s">
        <v>883</v>
      </c>
      <c r="AB935" s="188">
        <v>0</v>
      </c>
      <c r="AC935" s="188"/>
      <c r="AD935" s="189" t="s">
        <v>883</v>
      </c>
      <c r="AE935" s="190" t="s">
        <v>883</v>
      </c>
      <c r="AF935" s="180">
        <v>36</v>
      </c>
      <c r="AG935" s="183">
        <v>44784</v>
      </c>
      <c r="AH935" s="183">
        <v>44355</v>
      </c>
      <c r="AI935" s="183">
        <v>44586</v>
      </c>
      <c r="AJ935" s="183" t="s">
        <v>883</v>
      </c>
      <c r="AK935" s="174"/>
    </row>
    <row r="936" spans="1:37" x14ac:dyDescent="0.3">
      <c r="A936" s="173">
        <v>141266</v>
      </c>
      <c r="B936" s="174" t="s">
        <v>2017</v>
      </c>
      <c r="C936" s="175" t="s">
        <v>596</v>
      </c>
      <c r="D936" s="176">
        <v>84.66</v>
      </c>
      <c r="E936" s="174"/>
      <c r="F936" s="174"/>
      <c r="G936" s="174" t="s">
        <v>883</v>
      </c>
      <c r="H936" s="177">
        <v>137</v>
      </c>
      <c r="I936" s="24">
        <v>103003</v>
      </c>
      <c r="J936" s="178">
        <v>77.599999999999994</v>
      </c>
      <c r="K936" s="177">
        <v>52</v>
      </c>
      <c r="L936" s="179">
        <v>29.336188436830838</v>
      </c>
      <c r="M936" s="180">
        <v>0</v>
      </c>
      <c r="N936" s="178">
        <v>0</v>
      </c>
      <c r="O936" s="181" t="s">
        <v>882</v>
      </c>
      <c r="P936" s="180">
        <v>0</v>
      </c>
      <c r="Q936" s="182">
        <v>0</v>
      </c>
      <c r="R936" s="183" t="s">
        <v>883</v>
      </c>
      <c r="S936" s="174" t="s">
        <v>2016</v>
      </c>
      <c r="T936" s="44">
        <v>1</v>
      </c>
      <c r="U936" s="184">
        <v>76</v>
      </c>
      <c r="V936" s="185">
        <v>3</v>
      </c>
      <c r="W936" s="186">
        <v>2973</v>
      </c>
      <c r="X936" s="187">
        <v>2023</v>
      </c>
      <c r="Y936" s="188">
        <v>50</v>
      </c>
      <c r="Z936" s="188" t="s">
        <v>883</v>
      </c>
      <c r="AA936" s="187" t="s">
        <v>883</v>
      </c>
      <c r="AB936" s="188">
        <v>0</v>
      </c>
      <c r="AC936" s="188"/>
      <c r="AD936" s="189" t="s">
        <v>883</v>
      </c>
      <c r="AE936" s="190" t="s">
        <v>883</v>
      </c>
      <c r="AF936" s="180">
        <v>18</v>
      </c>
      <c r="AG936" s="183">
        <v>44635</v>
      </c>
      <c r="AH936" s="183">
        <v>44355</v>
      </c>
      <c r="AI936" s="183">
        <v>44586</v>
      </c>
      <c r="AJ936" s="183" t="s">
        <v>883</v>
      </c>
      <c r="AK936" s="174"/>
    </row>
    <row r="937" spans="1:37" x14ac:dyDescent="0.3">
      <c r="A937" s="173">
        <v>141268</v>
      </c>
      <c r="B937" s="174" t="s">
        <v>2018</v>
      </c>
      <c r="C937" s="175" t="s">
        <v>596</v>
      </c>
      <c r="D937" s="176">
        <v>116.83</v>
      </c>
      <c r="E937" s="174"/>
      <c r="F937" s="174"/>
      <c r="G937" s="174" t="s">
        <v>883</v>
      </c>
      <c r="H937" s="177">
        <v>530</v>
      </c>
      <c r="I937" s="24">
        <v>103003</v>
      </c>
      <c r="J937" s="178">
        <v>116.83</v>
      </c>
      <c r="K937" s="177">
        <v>583</v>
      </c>
      <c r="L937" s="179">
        <v>7.3950048834937911</v>
      </c>
      <c r="M937" s="180">
        <v>0</v>
      </c>
      <c r="N937" s="178">
        <v>0</v>
      </c>
      <c r="O937" s="181" t="s">
        <v>882</v>
      </c>
      <c r="P937" s="180">
        <v>0</v>
      </c>
      <c r="Q937" s="182">
        <v>0</v>
      </c>
      <c r="R937" s="183" t="s">
        <v>883</v>
      </c>
      <c r="S937" s="174" t="s">
        <v>2016</v>
      </c>
      <c r="T937" s="44">
        <v>1</v>
      </c>
      <c r="U937" s="184">
        <v>76</v>
      </c>
      <c r="V937" s="185">
        <v>3</v>
      </c>
      <c r="W937" s="186">
        <v>2782</v>
      </c>
      <c r="X937" s="187">
        <v>2023</v>
      </c>
      <c r="Y937" s="188">
        <v>500</v>
      </c>
      <c r="Z937" s="188" t="s">
        <v>883</v>
      </c>
      <c r="AA937" s="187" t="s">
        <v>883</v>
      </c>
      <c r="AB937" s="188">
        <v>0</v>
      </c>
      <c r="AC937" s="188"/>
      <c r="AD937" s="189" t="s">
        <v>883</v>
      </c>
      <c r="AE937" s="190" t="s">
        <v>883</v>
      </c>
      <c r="AF937" s="180">
        <v>286</v>
      </c>
      <c r="AG937" s="183">
        <v>44628</v>
      </c>
      <c r="AH937" s="183">
        <v>44355</v>
      </c>
      <c r="AI937" s="183">
        <v>44915</v>
      </c>
      <c r="AJ937" s="183" t="s">
        <v>883</v>
      </c>
      <c r="AK937" s="174"/>
    </row>
    <row r="938" spans="1:37" x14ac:dyDescent="0.3">
      <c r="A938" s="173">
        <v>141270</v>
      </c>
      <c r="B938" s="174" t="s">
        <v>2019</v>
      </c>
      <c r="C938" s="175" t="s">
        <v>596</v>
      </c>
      <c r="D938" s="176">
        <v>88.73</v>
      </c>
      <c r="E938" s="174"/>
      <c r="F938" s="174"/>
      <c r="G938" s="174" t="s">
        <v>883</v>
      </c>
      <c r="H938" s="177">
        <v>0</v>
      </c>
      <c r="I938" s="24">
        <v>103003</v>
      </c>
      <c r="J938" s="178">
        <v>88.73</v>
      </c>
      <c r="K938" s="177">
        <v>40</v>
      </c>
      <c r="L938" s="179">
        <v>0</v>
      </c>
      <c r="M938" s="180">
        <v>2</v>
      </c>
      <c r="N938" s="178">
        <v>177.46</v>
      </c>
      <c r="O938" s="181" t="s">
        <v>882</v>
      </c>
      <c r="P938" s="180">
        <v>0</v>
      </c>
      <c r="Q938" s="182">
        <v>0</v>
      </c>
      <c r="R938" s="183" t="s">
        <v>883</v>
      </c>
      <c r="S938" s="174" t="s">
        <v>1068</v>
      </c>
      <c r="T938" s="44">
        <v>1</v>
      </c>
      <c r="U938" s="184">
        <v>76</v>
      </c>
      <c r="V938" s="185">
        <v>5</v>
      </c>
      <c r="W938" s="186">
        <v>1930</v>
      </c>
      <c r="X938" s="187">
        <v>2023</v>
      </c>
      <c r="Y938" s="188">
        <v>40</v>
      </c>
      <c r="Z938" s="188" t="s">
        <v>883</v>
      </c>
      <c r="AA938" s="187" t="s">
        <v>883</v>
      </c>
      <c r="AB938" s="188">
        <v>0</v>
      </c>
      <c r="AC938" s="188"/>
      <c r="AD938" s="189" t="s">
        <v>883</v>
      </c>
      <c r="AE938" s="190" t="s">
        <v>883</v>
      </c>
      <c r="AF938" s="180">
        <v>14</v>
      </c>
      <c r="AG938" s="183">
        <v>44889</v>
      </c>
      <c r="AH938" s="183">
        <v>44355</v>
      </c>
      <c r="AI938" s="183">
        <v>45117</v>
      </c>
      <c r="AJ938" s="183" t="s">
        <v>883</v>
      </c>
      <c r="AK938" s="174"/>
    </row>
    <row r="939" spans="1:37" x14ac:dyDescent="0.3">
      <c r="A939" s="173">
        <v>141270</v>
      </c>
      <c r="B939" s="174" t="s">
        <v>2019</v>
      </c>
      <c r="C939" s="175" t="s">
        <v>596</v>
      </c>
      <c r="D939" s="176">
        <v>88.73</v>
      </c>
      <c r="E939" s="174"/>
      <c r="F939" s="174"/>
      <c r="G939" s="174" t="s">
        <v>883</v>
      </c>
      <c r="H939" s="177">
        <v>0</v>
      </c>
      <c r="I939" s="24">
        <v>103003</v>
      </c>
      <c r="J939" s="178">
        <v>88.73</v>
      </c>
      <c r="K939" s="177">
        <v>40</v>
      </c>
      <c r="L939" s="179">
        <v>0</v>
      </c>
      <c r="M939" s="180">
        <v>32</v>
      </c>
      <c r="N939" s="178">
        <v>2839.36</v>
      </c>
      <c r="O939" s="181" t="s">
        <v>882</v>
      </c>
      <c r="P939" s="180">
        <v>0</v>
      </c>
      <c r="Q939" s="182">
        <v>0</v>
      </c>
      <c r="R939" s="183" t="s">
        <v>883</v>
      </c>
      <c r="S939" s="174" t="s">
        <v>1068</v>
      </c>
      <c r="T939" s="44">
        <v>1</v>
      </c>
      <c r="U939" s="184">
        <v>76</v>
      </c>
      <c r="V939" s="185">
        <v>5</v>
      </c>
      <c r="W939" s="186">
        <v>2785</v>
      </c>
      <c r="X939" s="187">
        <v>2023</v>
      </c>
      <c r="Y939" s="188">
        <v>10</v>
      </c>
      <c r="Z939" s="188" t="s">
        <v>883</v>
      </c>
      <c r="AA939" s="187" t="s">
        <v>883</v>
      </c>
      <c r="AB939" s="188">
        <v>0</v>
      </c>
      <c r="AC939" s="188"/>
      <c r="AD939" s="189" t="s">
        <v>883</v>
      </c>
      <c r="AE939" s="190" t="s">
        <v>883</v>
      </c>
      <c r="AF939" s="180">
        <v>14</v>
      </c>
      <c r="AG939" s="183">
        <v>44889</v>
      </c>
      <c r="AH939" s="183">
        <v>44355</v>
      </c>
      <c r="AI939" s="183">
        <v>45117</v>
      </c>
      <c r="AJ939" s="183" t="s">
        <v>883</v>
      </c>
      <c r="AK939" s="174"/>
    </row>
    <row r="940" spans="1:37" x14ac:dyDescent="0.3">
      <c r="A940" s="173">
        <v>141418</v>
      </c>
      <c r="B940" s="174" t="s">
        <v>2020</v>
      </c>
      <c r="C940" s="175" t="s">
        <v>256</v>
      </c>
      <c r="D940" s="176">
        <v>31.07</v>
      </c>
      <c r="E940" s="174"/>
      <c r="F940" s="174"/>
      <c r="G940" s="174" t="s">
        <v>883</v>
      </c>
      <c r="H940" s="177">
        <v>960</v>
      </c>
      <c r="I940" s="24">
        <v>103003</v>
      </c>
      <c r="J940" s="178">
        <v>31.07</v>
      </c>
      <c r="K940" s="177">
        <v>416</v>
      </c>
      <c r="L940" s="179">
        <v>10.909090909090908</v>
      </c>
      <c r="M940" s="180">
        <v>0</v>
      </c>
      <c r="N940" s="178">
        <v>0</v>
      </c>
      <c r="O940" s="181" t="s">
        <v>882</v>
      </c>
      <c r="P940" s="180">
        <v>0</v>
      </c>
      <c r="Q940" s="182">
        <v>0</v>
      </c>
      <c r="R940" s="183" t="s">
        <v>883</v>
      </c>
      <c r="S940" s="174" t="s">
        <v>962</v>
      </c>
      <c r="T940" s="44">
        <v>1</v>
      </c>
      <c r="U940" s="184">
        <v>76</v>
      </c>
      <c r="V940" s="185">
        <v>11</v>
      </c>
      <c r="W940" s="186">
        <v>2786</v>
      </c>
      <c r="X940" s="187">
        <v>2023</v>
      </c>
      <c r="Y940" s="188">
        <v>100</v>
      </c>
      <c r="Z940" s="188" t="s">
        <v>883</v>
      </c>
      <c r="AA940" s="187" t="s">
        <v>883</v>
      </c>
      <c r="AB940" s="188">
        <v>0</v>
      </c>
      <c r="AC940" s="188"/>
      <c r="AD940" s="189" t="s">
        <v>883</v>
      </c>
      <c r="AE940" s="190" t="s">
        <v>883</v>
      </c>
      <c r="AF940" s="180">
        <v>352</v>
      </c>
      <c r="AG940" s="183">
        <v>44924</v>
      </c>
      <c r="AH940" s="183">
        <v>44362</v>
      </c>
      <c r="AI940" s="183">
        <v>45119</v>
      </c>
      <c r="AJ940" s="183" t="s">
        <v>883</v>
      </c>
      <c r="AK940" s="174"/>
    </row>
    <row r="941" spans="1:37" x14ac:dyDescent="0.3">
      <c r="A941" s="173">
        <v>141429</v>
      </c>
      <c r="B941" s="174" t="s">
        <v>2021</v>
      </c>
      <c r="C941" s="175" t="s">
        <v>31</v>
      </c>
      <c r="D941" s="176">
        <v>22.6</v>
      </c>
      <c r="E941" s="174"/>
      <c r="F941" s="174"/>
      <c r="G941" s="174" t="s">
        <v>883</v>
      </c>
      <c r="H941" s="177">
        <v>767</v>
      </c>
      <c r="I941" s="24">
        <v>103003</v>
      </c>
      <c r="J941" s="178">
        <v>22.6</v>
      </c>
      <c r="K941" s="177">
        <v>235</v>
      </c>
      <c r="L941" s="179">
        <v>17.632183908045977</v>
      </c>
      <c r="M941" s="180">
        <v>0</v>
      </c>
      <c r="N941" s="178">
        <v>0</v>
      </c>
      <c r="O941" s="181" t="s">
        <v>882</v>
      </c>
      <c r="P941" s="180">
        <v>0</v>
      </c>
      <c r="Q941" s="182">
        <v>0</v>
      </c>
      <c r="R941" s="183" t="s">
        <v>883</v>
      </c>
      <c r="S941" s="174" t="s">
        <v>1013</v>
      </c>
      <c r="T941" s="44">
        <v>1</v>
      </c>
      <c r="U941" s="184">
        <v>61</v>
      </c>
      <c r="V941" s="185">
        <v>14</v>
      </c>
      <c r="W941" s="186" t="s">
        <v>883</v>
      </c>
      <c r="X941" s="187" t="s">
        <v>883</v>
      </c>
      <c r="Y941" s="188">
        <v>0</v>
      </c>
      <c r="Z941" s="188" t="s">
        <v>883</v>
      </c>
      <c r="AA941" s="187" t="s">
        <v>883</v>
      </c>
      <c r="AB941" s="188">
        <v>0</v>
      </c>
      <c r="AC941" s="188"/>
      <c r="AD941" s="189" t="s">
        <v>883</v>
      </c>
      <c r="AE941" s="190" t="s">
        <v>883</v>
      </c>
      <c r="AF941" s="180">
        <v>174</v>
      </c>
      <c r="AG941" s="183">
        <v>44609</v>
      </c>
      <c r="AH941" s="183">
        <v>44362</v>
      </c>
      <c r="AI941" s="183">
        <v>44607</v>
      </c>
      <c r="AJ941" s="183" t="s">
        <v>883</v>
      </c>
      <c r="AK941" s="174"/>
    </row>
    <row r="942" spans="1:37" x14ac:dyDescent="0.3">
      <c r="A942" s="173">
        <v>141430</v>
      </c>
      <c r="B942" s="174" t="s">
        <v>2022</v>
      </c>
      <c r="C942" s="175" t="s">
        <v>395</v>
      </c>
      <c r="D942" s="176">
        <v>293.3</v>
      </c>
      <c r="E942" s="174"/>
      <c r="F942" s="174"/>
      <c r="G942" s="174" t="s">
        <v>883</v>
      </c>
      <c r="H942" s="177">
        <v>90</v>
      </c>
      <c r="I942" s="24">
        <v>103003</v>
      </c>
      <c r="J942" s="178">
        <v>293.3</v>
      </c>
      <c r="K942" s="177">
        <v>98</v>
      </c>
      <c r="L942" s="179">
        <v>10.48951048951049</v>
      </c>
      <c r="M942" s="180">
        <v>0</v>
      </c>
      <c r="N942" s="178">
        <v>0</v>
      </c>
      <c r="O942" s="181" t="s">
        <v>882</v>
      </c>
      <c r="P942" s="180">
        <v>0</v>
      </c>
      <c r="Q942" s="182">
        <v>0</v>
      </c>
      <c r="R942" s="183" t="s">
        <v>883</v>
      </c>
      <c r="S942" s="174" t="s">
        <v>1297</v>
      </c>
      <c r="T942" s="44">
        <v>1</v>
      </c>
      <c r="U942" s="184">
        <v>61</v>
      </c>
      <c r="V942" s="185">
        <v>16</v>
      </c>
      <c r="W942" s="186">
        <v>2477</v>
      </c>
      <c r="X942" s="187">
        <v>2023</v>
      </c>
      <c r="Y942" s="188">
        <v>20</v>
      </c>
      <c r="Z942" s="188" t="s">
        <v>883</v>
      </c>
      <c r="AA942" s="187" t="s">
        <v>883</v>
      </c>
      <c r="AB942" s="188">
        <v>0</v>
      </c>
      <c r="AC942" s="188"/>
      <c r="AD942" s="189" t="s">
        <v>883</v>
      </c>
      <c r="AE942" s="190" t="s">
        <v>883</v>
      </c>
      <c r="AF942" s="180">
        <v>34</v>
      </c>
      <c r="AG942" s="183">
        <v>44641</v>
      </c>
      <c r="AH942" s="183">
        <v>44362</v>
      </c>
      <c r="AI942" s="183">
        <v>44615</v>
      </c>
      <c r="AJ942" s="183" t="s">
        <v>883</v>
      </c>
      <c r="AK942" s="174"/>
    </row>
    <row r="943" spans="1:37" x14ac:dyDescent="0.3">
      <c r="A943" s="173">
        <v>141608</v>
      </c>
      <c r="B943" s="174" t="s">
        <v>2023</v>
      </c>
      <c r="C943" s="175" t="s">
        <v>273</v>
      </c>
      <c r="D943" s="176">
        <v>303</v>
      </c>
      <c r="E943" s="174"/>
      <c r="F943" s="174"/>
      <c r="G943" s="174" t="s">
        <v>883</v>
      </c>
      <c r="H943" s="177">
        <v>80</v>
      </c>
      <c r="I943" s="24">
        <v>103003</v>
      </c>
      <c r="J943" s="178">
        <v>303</v>
      </c>
      <c r="K943" s="177">
        <v>8</v>
      </c>
      <c r="L943" s="179">
        <v>119.40298507462686</v>
      </c>
      <c r="M943" s="180">
        <v>0</v>
      </c>
      <c r="N943" s="178">
        <v>0</v>
      </c>
      <c r="O943" s="181" t="s">
        <v>882</v>
      </c>
      <c r="P943" s="180">
        <v>0</v>
      </c>
      <c r="Q943" s="182">
        <v>0</v>
      </c>
      <c r="R943" s="183" t="s">
        <v>883</v>
      </c>
      <c r="S943" s="174" t="s">
        <v>1386</v>
      </c>
      <c r="T943" s="44">
        <v>1</v>
      </c>
      <c r="U943" s="184">
        <v>76</v>
      </c>
      <c r="V943" s="185">
        <v>9</v>
      </c>
      <c r="W943" s="186" t="s">
        <v>883</v>
      </c>
      <c r="X943" s="187" t="s">
        <v>883</v>
      </c>
      <c r="Y943" s="188">
        <v>0</v>
      </c>
      <c r="Z943" s="188" t="s">
        <v>883</v>
      </c>
      <c r="AA943" s="187" t="s">
        <v>883</v>
      </c>
      <c r="AB943" s="188">
        <v>0</v>
      </c>
      <c r="AC943" s="188"/>
      <c r="AD943" s="189" t="s">
        <v>883</v>
      </c>
      <c r="AE943" s="190" t="s">
        <v>883</v>
      </c>
      <c r="AF943" s="180">
        <v>2</v>
      </c>
      <c r="AG943" s="183">
        <v>44799</v>
      </c>
      <c r="AH943" s="183">
        <v>44371</v>
      </c>
      <c r="AI943" s="183">
        <v>44915</v>
      </c>
      <c r="AJ943" s="183" t="s">
        <v>883</v>
      </c>
      <c r="AK943" s="174"/>
    </row>
    <row r="944" spans="1:37" x14ac:dyDescent="0.3">
      <c r="A944" s="173">
        <v>141615</v>
      </c>
      <c r="B944" s="174" t="s">
        <v>2024</v>
      </c>
      <c r="C944" s="175" t="s">
        <v>273</v>
      </c>
      <c r="D944" s="176">
        <v>248.96</v>
      </c>
      <c r="E944" s="174"/>
      <c r="F944" s="174"/>
      <c r="G944" s="174" t="s">
        <v>883</v>
      </c>
      <c r="H944" s="177">
        <v>95</v>
      </c>
      <c r="I944" s="24">
        <v>103003</v>
      </c>
      <c r="J944" s="178">
        <v>248.96</v>
      </c>
      <c r="K944" s="177">
        <v>25</v>
      </c>
      <c r="L944" s="179">
        <v>33.56890459363958</v>
      </c>
      <c r="M944" s="180">
        <v>0</v>
      </c>
      <c r="N944" s="178">
        <v>0</v>
      </c>
      <c r="O944" s="181" t="s">
        <v>882</v>
      </c>
      <c r="P944" s="180">
        <v>0</v>
      </c>
      <c r="Q944" s="182">
        <v>0</v>
      </c>
      <c r="R944" s="183" t="s">
        <v>883</v>
      </c>
      <c r="S944" s="174" t="s">
        <v>972</v>
      </c>
      <c r="T944" s="44">
        <v>1</v>
      </c>
      <c r="U944" s="184">
        <v>76</v>
      </c>
      <c r="V944" s="185">
        <v>10</v>
      </c>
      <c r="W944" s="186">
        <v>2973</v>
      </c>
      <c r="X944" s="187">
        <v>2023</v>
      </c>
      <c r="Y944" s="188">
        <v>50</v>
      </c>
      <c r="Z944" s="188" t="s">
        <v>883</v>
      </c>
      <c r="AA944" s="187" t="s">
        <v>883</v>
      </c>
      <c r="AB944" s="188">
        <v>0</v>
      </c>
      <c r="AC944" s="188"/>
      <c r="AD944" s="189" t="s">
        <v>883</v>
      </c>
      <c r="AE944" s="190" t="s">
        <v>883</v>
      </c>
      <c r="AF944" s="180">
        <v>12</v>
      </c>
      <c r="AG944" s="183">
        <v>44838</v>
      </c>
      <c r="AH944" s="183">
        <v>44371</v>
      </c>
      <c r="AI944" s="183">
        <v>44915</v>
      </c>
      <c r="AJ944" s="183" t="s">
        <v>883</v>
      </c>
      <c r="AK944" s="174"/>
    </row>
    <row r="945" spans="1:37" x14ac:dyDescent="0.3">
      <c r="A945" s="173">
        <v>141679</v>
      </c>
      <c r="B945" s="174" t="s">
        <v>2025</v>
      </c>
      <c r="C945" s="175" t="s">
        <v>596</v>
      </c>
      <c r="D945" s="176">
        <v>85</v>
      </c>
      <c r="E945" s="174"/>
      <c r="F945" s="174"/>
      <c r="G945" s="174" t="s">
        <v>883</v>
      </c>
      <c r="H945" s="177">
        <v>153</v>
      </c>
      <c r="I945" s="24">
        <v>103003</v>
      </c>
      <c r="J945" s="178">
        <v>80.930229999999995</v>
      </c>
      <c r="K945" s="177">
        <v>64</v>
      </c>
      <c r="L945" s="179">
        <v>22.401171303074669</v>
      </c>
      <c r="M945" s="180">
        <v>0</v>
      </c>
      <c r="N945" s="178">
        <v>0</v>
      </c>
      <c r="O945" s="181" t="s">
        <v>882</v>
      </c>
      <c r="P945" s="180">
        <v>0</v>
      </c>
      <c r="Q945" s="182">
        <v>0</v>
      </c>
      <c r="R945" s="183" t="s">
        <v>883</v>
      </c>
      <c r="S945" s="174" t="s">
        <v>2016</v>
      </c>
      <c r="T945" s="44">
        <v>1</v>
      </c>
      <c r="U945" s="184">
        <v>76</v>
      </c>
      <c r="V945" s="185">
        <v>3</v>
      </c>
      <c r="W945" s="186">
        <v>2973</v>
      </c>
      <c r="X945" s="187">
        <v>2023</v>
      </c>
      <c r="Y945" s="188">
        <v>50</v>
      </c>
      <c r="Z945" s="188" t="s">
        <v>883</v>
      </c>
      <c r="AA945" s="187" t="s">
        <v>883</v>
      </c>
      <c r="AB945" s="188">
        <v>0</v>
      </c>
      <c r="AC945" s="188"/>
      <c r="AD945" s="189" t="s">
        <v>883</v>
      </c>
      <c r="AE945" s="190" t="s">
        <v>883</v>
      </c>
      <c r="AF945" s="180">
        <v>28</v>
      </c>
      <c r="AG945" s="183">
        <v>44652</v>
      </c>
      <c r="AH945" s="183">
        <v>44375</v>
      </c>
      <c r="AI945" s="183">
        <v>44586</v>
      </c>
      <c r="AJ945" s="183" t="s">
        <v>883</v>
      </c>
      <c r="AK945" s="174"/>
    </row>
    <row r="946" spans="1:37" x14ac:dyDescent="0.3">
      <c r="A946" s="173">
        <v>141680</v>
      </c>
      <c r="B946" s="174" t="s">
        <v>2026</v>
      </c>
      <c r="C946" s="175" t="s">
        <v>596</v>
      </c>
      <c r="D946" s="176">
        <v>68.59</v>
      </c>
      <c r="E946" s="174"/>
      <c r="F946" s="174"/>
      <c r="G946" s="174" t="s">
        <v>883</v>
      </c>
      <c r="H946" s="177">
        <v>649</v>
      </c>
      <c r="I946" s="24">
        <v>103003</v>
      </c>
      <c r="J946" s="178">
        <v>68.59</v>
      </c>
      <c r="K946" s="177">
        <v>527</v>
      </c>
      <c r="L946" s="179">
        <v>4.6165884194053213</v>
      </c>
      <c r="M946" s="180">
        <v>837.96</v>
      </c>
      <c r="N946" s="178">
        <v>57475.676399999997</v>
      </c>
      <c r="O946" s="181" t="s">
        <v>882</v>
      </c>
      <c r="P946" s="180">
        <v>0</v>
      </c>
      <c r="Q946" s="182">
        <v>0</v>
      </c>
      <c r="R946" s="183" t="s">
        <v>883</v>
      </c>
      <c r="S946" s="174" t="s">
        <v>2016</v>
      </c>
      <c r="T946" s="44">
        <v>1</v>
      </c>
      <c r="U946" s="184">
        <v>76</v>
      </c>
      <c r="V946" s="185">
        <v>3</v>
      </c>
      <c r="W946" s="186">
        <v>2783</v>
      </c>
      <c r="X946" s="187">
        <v>2023</v>
      </c>
      <c r="Y946" s="188">
        <v>200</v>
      </c>
      <c r="Z946" s="188" t="s">
        <v>883</v>
      </c>
      <c r="AA946" s="187" t="s">
        <v>883</v>
      </c>
      <c r="AB946" s="188">
        <v>0</v>
      </c>
      <c r="AC946" s="188"/>
      <c r="AD946" s="189" t="s">
        <v>883</v>
      </c>
      <c r="AE946" s="190" t="s">
        <v>883</v>
      </c>
      <c r="AF946" s="180">
        <v>562</v>
      </c>
      <c r="AG946" s="183">
        <v>44784</v>
      </c>
      <c r="AH946" s="183">
        <v>44375</v>
      </c>
      <c r="AI946" s="183">
        <v>44755</v>
      </c>
      <c r="AJ946" s="183" t="s">
        <v>883</v>
      </c>
      <c r="AK946" s="174"/>
    </row>
    <row r="947" spans="1:37" x14ac:dyDescent="0.3">
      <c r="A947" s="173">
        <v>141681</v>
      </c>
      <c r="B947" s="174" t="s">
        <v>2027</v>
      </c>
      <c r="C947" s="175" t="s">
        <v>596</v>
      </c>
      <c r="D947" s="176">
        <v>75</v>
      </c>
      <c r="E947" s="174"/>
      <c r="F947" s="174"/>
      <c r="G947" s="174" t="s">
        <v>883</v>
      </c>
      <c r="H947" s="177">
        <v>119</v>
      </c>
      <c r="I947" s="24">
        <v>103003</v>
      </c>
      <c r="J947" s="178">
        <v>88.772729999999996</v>
      </c>
      <c r="K947" s="177">
        <v>27</v>
      </c>
      <c r="L947" s="179">
        <v>49.173553719008261</v>
      </c>
      <c r="M947" s="180">
        <v>0</v>
      </c>
      <c r="N947" s="178">
        <v>0</v>
      </c>
      <c r="O947" s="181" t="s">
        <v>882</v>
      </c>
      <c r="P947" s="180">
        <v>0</v>
      </c>
      <c r="Q947" s="182">
        <v>0</v>
      </c>
      <c r="R947" s="183" t="s">
        <v>883</v>
      </c>
      <c r="S947" s="174" t="s">
        <v>2016</v>
      </c>
      <c r="T947" s="44">
        <v>1</v>
      </c>
      <c r="U947" s="184">
        <v>76</v>
      </c>
      <c r="V947" s="185">
        <v>3</v>
      </c>
      <c r="W947" s="186" t="s">
        <v>883</v>
      </c>
      <c r="X947" s="187" t="s">
        <v>883</v>
      </c>
      <c r="Y947" s="188">
        <v>0</v>
      </c>
      <c r="Z947" s="188" t="s">
        <v>883</v>
      </c>
      <c r="AA947" s="187" t="s">
        <v>883</v>
      </c>
      <c r="AB947" s="188">
        <v>0</v>
      </c>
      <c r="AC947" s="188"/>
      <c r="AD947" s="189" t="s">
        <v>883</v>
      </c>
      <c r="AE947" s="190" t="s">
        <v>883</v>
      </c>
      <c r="AF947" s="180">
        <v>10</v>
      </c>
      <c r="AG947" s="183">
        <v>44676</v>
      </c>
      <c r="AH947" s="183">
        <v>44375</v>
      </c>
      <c r="AI947" s="183">
        <v>44586</v>
      </c>
      <c r="AJ947" s="183" t="s">
        <v>883</v>
      </c>
      <c r="AK947" s="174"/>
    </row>
    <row r="948" spans="1:37" x14ac:dyDescent="0.3">
      <c r="A948" s="173">
        <v>141786</v>
      </c>
      <c r="B948" s="174" t="s">
        <v>2028</v>
      </c>
      <c r="C948" s="175" t="s">
        <v>273</v>
      </c>
      <c r="D948" s="176">
        <v>535</v>
      </c>
      <c r="E948" s="174"/>
      <c r="F948" s="174"/>
      <c r="G948" s="174" t="s">
        <v>883</v>
      </c>
      <c r="H948" s="177">
        <v>245</v>
      </c>
      <c r="I948" s="24">
        <v>103003</v>
      </c>
      <c r="J948" s="178">
        <v>515.79926</v>
      </c>
      <c r="K948" s="177">
        <v>30</v>
      </c>
      <c r="L948" s="179">
        <v>71.637426900584785</v>
      </c>
      <c r="M948" s="180">
        <v>0</v>
      </c>
      <c r="N948" s="178">
        <v>0</v>
      </c>
      <c r="O948" s="181" t="s">
        <v>882</v>
      </c>
      <c r="P948" s="180">
        <v>0</v>
      </c>
      <c r="Q948" s="182">
        <v>0</v>
      </c>
      <c r="R948" s="183" t="s">
        <v>883</v>
      </c>
      <c r="S948" s="174" t="s">
        <v>972</v>
      </c>
      <c r="T948" s="44">
        <v>1</v>
      </c>
      <c r="U948" s="184">
        <v>76</v>
      </c>
      <c r="V948" s="185">
        <v>10</v>
      </c>
      <c r="W948" s="186" t="s">
        <v>883</v>
      </c>
      <c r="X948" s="187" t="s">
        <v>883</v>
      </c>
      <c r="Y948" s="188">
        <v>0</v>
      </c>
      <c r="Z948" s="188" t="s">
        <v>883</v>
      </c>
      <c r="AA948" s="187" t="s">
        <v>883</v>
      </c>
      <c r="AB948" s="188">
        <v>0</v>
      </c>
      <c r="AC948" s="188"/>
      <c r="AD948" s="189" t="s">
        <v>883</v>
      </c>
      <c r="AE948" s="190" t="s">
        <v>883</v>
      </c>
      <c r="AF948" s="180">
        <v>14</v>
      </c>
      <c r="AG948" s="183">
        <v>44613</v>
      </c>
      <c r="AH948" s="183">
        <v>44375</v>
      </c>
      <c r="AI948" s="183">
        <v>44586</v>
      </c>
      <c r="AJ948" s="183" t="s">
        <v>883</v>
      </c>
      <c r="AK948" s="174"/>
    </row>
    <row r="949" spans="1:37" x14ac:dyDescent="0.3">
      <c r="A949" s="173">
        <v>141787</v>
      </c>
      <c r="B949" s="174" t="s">
        <v>2029</v>
      </c>
      <c r="C949" s="175" t="s">
        <v>273</v>
      </c>
      <c r="D949" s="176">
        <v>517</v>
      </c>
      <c r="E949" s="174"/>
      <c r="F949" s="174"/>
      <c r="G949" s="174" t="s">
        <v>883</v>
      </c>
      <c r="H949" s="177">
        <v>333</v>
      </c>
      <c r="I949" s="24">
        <v>103003</v>
      </c>
      <c r="J949" s="178">
        <v>493.56495999999999</v>
      </c>
      <c r="K949" s="177">
        <v>257</v>
      </c>
      <c r="L949" s="179">
        <v>10.714285714285715</v>
      </c>
      <c r="M949" s="180">
        <v>0</v>
      </c>
      <c r="N949" s="178">
        <v>0</v>
      </c>
      <c r="O949" s="181" t="s">
        <v>882</v>
      </c>
      <c r="P949" s="180">
        <v>0</v>
      </c>
      <c r="Q949" s="182">
        <v>0</v>
      </c>
      <c r="R949" s="183" t="s">
        <v>883</v>
      </c>
      <c r="S949" s="174" t="s">
        <v>972</v>
      </c>
      <c r="T949" s="44">
        <v>1</v>
      </c>
      <c r="U949" s="184">
        <v>76</v>
      </c>
      <c r="V949" s="185">
        <v>10</v>
      </c>
      <c r="W949" s="186">
        <v>2782</v>
      </c>
      <c r="X949" s="187">
        <v>2023</v>
      </c>
      <c r="Y949" s="188">
        <v>50</v>
      </c>
      <c r="Z949" s="188" t="s">
        <v>883</v>
      </c>
      <c r="AA949" s="187" t="s">
        <v>883</v>
      </c>
      <c r="AB949" s="188">
        <v>0</v>
      </c>
      <c r="AC949" s="188"/>
      <c r="AD949" s="189" t="s">
        <v>883</v>
      </c>
      <c r="AE949" s="190" t="s">
        <v>883</v>
      </c>
      <c r="AF949" s="180">
        <v>124</v>
      </c>
      <c r="AG949" s="183">
        <v>44616</v>
      </c>
      <c r="AH949" s="183">
        <v>44375</v>
      </c>
      <c r="AI949" s="183">
        <v>44586</v>
      </c>
      <c r="AJ949" s="183" t="s">
        <v>883</v>
      </c>
      <c r="AK949" s="174"/>
    </row>
    <row r="950" spans="1:37" x14ac:dyDescent="0.3">
      <c r="A950" s="173">
        <v>142982</v>
      </c>
      <c r="B950" s="174" t="s">
        <v>2030</v>
      </c>
      <c r="C950" s="175" t="s">
        <v>256</v>
      </c>
      <c r="D950" s="176">
        <v>233</v>
      </c>
      <c r="E950" s="174"/>
      <c r="F950" s="174"/>
      <c r="G950" s="174" t="s">
        <v>883</v>
      </c>
      <c r="H950" s="177">
        <v>0</v>
      </c>
      <c r="I950" s="24">
        <v>103003</v>
      </c>
      <c r="J950" s="178">
        <v>233</v>
      </c>
      <c r="K950" s="177">
        <v>63</v>
      </c>
      <c r="L950" s="179">
        <v>0</v>
      </c>
      <c r="M950" s="180">
        <v>0</v>
      </c>
      <c r="N950" s="178">
        <v>0</v>
      </c>
      <c r="O950" s="181" t="s">
        <v>882</v>
      </c>
      <c r="P950" s="180">
        <v>0</v>
      </c>
      <c r="Q950" s="182">
        <v>0</v>
      </c>
      <c r="R950" s="183" t="s">
        <v>883</v>
      </c>
      <c r="S950" s="174" t="s">
        <v>2031</v>
      </c>
      <c r="T950" s="44">
        <v>1</v>
      </c>
      <c r="U950" s="184">
        <v>55</v>
      </c>
      <c r="V950" s="185">
        <v>6</v>
      </c>
      <c r="W950" s="186">
        <v>2956</v>
      </c>
      <c r="X950" s="187">
        <v>2023</v>
      </c>
      <c r="Y950" s="188">
        <v>100</v>
      </c>
      <c r="Z950" s="188" t="s">
        <v>883</v>
      </c>
      <c r="AA950" s="187" t="s">
        <v>883</v>
      </c>
      <c r="AB950" s="188">
        <v>0</v>
      </c>
      <c r="AC950" s="188"/>
      <c r="AD950" s="189" t="s">
        <v>883</v>
      </c>
      <c r="AE950" s="190" t="s">
        <v>883</v>
      </c>
      <c r="AF950" s="180">
        <v>26</v>
      </c>
      <c r="AG950" s="183">
        <v>44909</v>
      </c>
      <c r="AH950" s="183">
        <v>44428</v>
      </c>
      <c r="AI950" s="183">
        <v>44845</v>
      </c>
      <c r="AJ950" s="183" t="s">
        <v>883</v>
      </c>
      <c r="AK950" s="174"/>
    </row>
    <row r="951" spans="1:37" x14ac:dyDescent="0.3">
      <c r="A951" s="173">
        <v>143099</v>
      </c>
      <c r="B951" s="174" t="s">
        <v>2032</v>
      </c>
      <c r="C951" s="175" t="s">
        <v>413</v>
      </c>
      <c r="D951" s="176">
        <v>37.5</v>
      </c>
      <c r="E951" s="174"/>
      <c r="F951" s="174"/>
      <c r="G951" s="174" t="s">
        <v>883</v>
      </c>
      <c r="H951" s="177">
        <v>1776</v>
      </c>
      <c r="I951" s="24">
        <v>103003</v>
      </c>
      <c r="J951" s="178">
        <v>37.5</v>
      </c>
      <c r="K951" s="177">
        <v>699</v>
      </c>
      <c r="L951" s="179">
        <v>20.049672612327839</v>
      </c>
      <c r="M951" s="180">
        <v>0</v>
      </c>
      <c r="N951" s="178">
        <v>0</v>
      </c>
      <c r="O951" s="181" t="s">
        <v>882</v>
      </c>
      <c r="P951" s="180">
        <v>0</v>
      </c>
      <c r="Q951" s="182">
        <v>0</v>
      </c>
      <c r="R951" s="183" t="s">
        <v>883</v>
      </c>
      <c r="S951" s="174" t="s">
        <v>1481</v>
      </c>
      <c r="T951" s="44">
        <v>1</v>
      </c>
      <c r="U951" s="184">
        <v>54</v>
      </c>
      <c r="V951" s="185">
        <v>4</v>
      </c>
      <c r="W951" s="186" t="s">
        <v>883</v>
      </c>
      <c r="X951" s="187" t="s">
        <v>883</v>
      </c>
      <c r="Y951" s="188">
        <v>0</v>
      </c>
      <c r="Z951" s="188" t="s">
        <v>883</v>
      </c>
      <c r="AA951" s="187" t="s">
        <v>883</v>
      </c>
      <c r="AB951" s="188">
        <v>0</v>
      </c>
      <c r="AC951" s="188"/>
      <c r="AD951" s="189" t="s">
        <v>883</v>
      </c>
      <c r="AE951" s="190" t="s">
        <v>883</v>
      </c>
      <c r="AF951" s="180">
        <v>354</v>
      </c>
      <c r="AG951" s="183">
        <v>44540</v>
      </c>
      <c r="AH951" s="183">
        <v>44438</v>
      </c>
      <c r="AI951" s="183">
        <v>44519</v>
      </c>
      <c r="AJ951" s="183" t="s">
        <v>883</v>
      </c>
      <c r="AK951" s="174"/>
    </row>
    <row r="952" spans="1:37" x14ac:dyDescent="0.3">
      <c r="A952" s="173">
        <v>144153</v>
      </c>
      <c r="B952" s="174" t="s">
        <v>2033</v>
      </c>
      <c r="C952" s="175" t="s">
        <v>31</v>
      </c>
      <c r="D952" s="176">
        <v>45.6</v>
      </c>
      <c r="E952" s="174"/>
      <c r="F952" s="174"/>
      <c r="G952" s="174" t="s">
        <v>883</v>
      </c>
      <c r="H952" s="177">
        <v>479</v>
      </c>
      <c r="I952" s="24">
        <v>103003</v>
      </c>
      <c r="J952" s="178">
        <v>45.6</v>
      </c>
      <c r="K952" s="177">
        <v>523</v>
      </c>
      <c r="L952" s="179">
        <v>8.9953051643192481</v>
      </c>
      <c r="M952" s="180">
        <v>160</v>
      </c>
      <c r="N952" s="178">
        <v>7296</v>
      </c>
      <c r="O952" s="181" t="s">
        <v>882</v>
      </c>
      <c r="P952" s="180">
        <v>0</v>
      </c>
      <c r="Q952" s="182">
        <v>0</v>
      </c>
      <c r="R952" s="183" t="s">
        <v>883</v>
      </c>
      <c r="S952" s="174" t="s">
        <v>1436</v>
      </c>
      <c r="T952" s="44">
        <v>1</v>
      </c>
      <c r="U952" s="184">
        <v>51</v>
      </c>
      <c r="V952" s="185">
        <v>36</v>
      </c>
      <c r="W952" s="186" t="s">
        <v>883</v>
      </c>
      <c r="X952" s="187" t="s">
        <v>883</v>
      </c>
      <c r="Y952" s="188">
        <v>0</v>
      </c>
      <c r="Z952" s="188" t="s">
        <v>883</v>
      </c>
      <c r="AA952" s="187" t="s">
        <v>883</v>
      </c>
      <c r="AB952" s="188">
        <v>0</v>
      </c>
      <c r="AC952" s="188"/>
      <c r="AD952" s="189" t="s">
        <v>883</v>
      </c>
      <c r="AE952" s="190" t="s">
        <v>883</v>
      </c>
      <c r="AF952" s="180">
        <v>214</v>
      </c>
      <c r="AG952" s="183">
        <v>44844</v>
      </c>
      <c r="AH952" s="183">
        <v>44700</v>
      </c>
      <c r="AI952" s="183">
        <v>44873</v>
      </c>
      <c r="AJ952" s="183" t="s">
        <v>883</v>
      </c>
      <c r="AK952" s="174"/>
    </row>
  </sheetData>
  <sortState xmlns:xlrd2="http://schemas.microsoft.com/office/spreadsheetml/2017/richdata2" ref="A3:AK952">
    <sortCondition ref="A2:A952"/>
    <sortCondition ref="AA2:AA952"/>
    <sortCondition ref="Z2:Z952"/>
    <sortCondition ref="X2:X952"/>
    <sortCondition ref="W2:W952"/>
  </sortState>
  <conditionalFormatting sqref="W3:W952">
    <cfRule type="notContainsBlanks" dxfId="158" priority="289">
      <formula>LEN(TRIM(W3))&gt;0</formula>
    </cfRule>
  </conditionalFormatting>
  <conditionalFormatting sqref="X3:X952">
    <cfRule type="notContainsBlanks" dxfId="157" priority="288">
      <formula>LEN(TRIM(X3))&gt;0</formula>
    </cfRule>
  </conditionalFormatting>
  <conditionalFormatting sqref="Y3:Y952">
    <cfRule type="cellIs" dxfId="156" priority="285" operator="greaterThan">
      <formula>0</formula>
    </cfRule>
  </conditionalFormatting>
  <conditionalFormatting sqref="Z3:Z952">
    <cfRule type="notContainsBlanks" dxfId="155" priority="284">
      <formula>LEN(TRIM(Z3))&gt;0</formula>
    </cfRule>
  </conditionalFormatting>
  <conditionalFormatting sqref="AA3:AA952">
    <cfRule type="notContainsBlanks" dxfId="154" priority="282">
      <formula>LEN(TRIM(AA3))&gt;0</formula>
    </cfRule>
  </conditionalFormatting>
  <conditionalFormatting sqref="AB3:AB952">
    <cfRule type="cellIs" dxfId="153" priority="281" operator="greaterThan">
      <formula>0</formula>
    </cfRule>
  </conditionalFormatting>
  <conditionalFormatting sqref="AC3:AC952">
    <cfRule type="cellIs" dxfId="152" priority="280" operator="greaterThan">
      <formula>0</formula>
    </cfRule>
  </conditionalFormatting>
  <conditionalFormatting sqref="O3:O952">
    <cfRule type="cellIs" dxfId="151" priority="1" operator="lessThan">
      <formula>0</formula>
    </cfRule>
    <cfRule type="cellIs" dxfId="150" priority="2" operator="lessThan">
      <formula>0</formula>
    </cfRule>
    <cfRule type="cellIs" dxfId="149" priority="3" operator="lessThan">
      <formula>0</formula>
    </cfRule>
    <cfRule type="cellIs" dxfId="148" priority="4" operator="lessThan">
      <formula>0</formula>
    </cfRule>
    <cfRule type="cellIs" dxfId="147" priority="105"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1440180</xdr:colOff>
                <xdr:row>0</xdr:row>
                <xdr:rowOff>45720</xdr:rowOff>
              </from>
              <to>
                <xdr:col>1</xdr:col>
                <xdr:colOff>3032760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0</xdr:col>
                <xdr:colOff>647700</xdr:colOff>
                <xdr:row>0</xdr:row>
                <xdr:rowOff>45720</xdr:rowOff>
              </from>
              <to>
                <xdr:col>1</xdr:col>
                <xdr:colOff>1318260</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80" t="s">
        <v>125</v>
      </c>
      <c r="B1" s="381"/>
      <c r="C1" s="381"/>
      <c r="D1" s="381"/>
      <c r="E1" s="381"/>
      <c r="F1" s="381"/>
      <c r="G1" s="381"/>
      <c r="H1" s="381"/>
      <c r="I1" s="381"/>
      <c r="J1" s="381"/>
      <c r="K1" s="381"/>
      <c r="L1" s="381"/>
      <c r="M1" s="381"/>
      <c r="N1" s="382"/>
      <c r="O1" s="389"/>
      <c r="P1" s="379"/>
      <c r="Q1" s="379"/>
      <c r="R1" s="379"/>
      <c r="S1" s="379"/>
      <c r="T1" s="379"/>
      <c r="U1" s="379"/>
      <c r="V1" s="379"/>
      <c r="W1" s="379"/>
    </row>
    <row r="2" spans="1:23" ht="36" customHeight="1" x14ac:dyDescent="0.3">
      <c r="A2" s="386" t="s">
        <v>126</v>
      </c>
      <c r="B2" s="387"/>
      <c r="C2" s="387"/>
      <c r="D2" s="387"/>
      <c r="E2" s="387"/>
      <c r="F2" s="387"/>
      <c r="G2" s="387"/>
      <c r="H2" s="387"/>
      <c r="I2" s="387"/>
      <c r="J2" s="387"/>
      <c r="K2" s="387"/>
      <c r="L2" s="387"/>
      <c r="M2" s="387"/>
      <c r="N2" s="388"/>
      <c r="O2" s="389"/>
      <c r="P2" s="379"/>
      <c r="Q2" s="379"/>
      <c r="R2" s="379"/>
      <c r="S2" s="379"/>
      <c r="T2" s="379"/>
      <c r="U2" s="379"/>
      <c r="V2" s="379"/>
      <c r="W2" s="379"/>
    </row>
    <row r="3" spans="1:23" ht="36" customHeight="1" x14ac:dyDescent="0.3">
      <c r="A3" s="386"/>
      <c r="B3" s="387"/>
      <c r="C3" s="387"/>
      <c r="D3" s="387"/>
      <c r="E3" s="387"/>
      <c r="F3" s="387"/>
      <c r="G3" s="387"/>
      <c r="H3" s="387"/>
      <c r="I3" s="387"/>
      <c r="J3" s="387"/>
      <c r="K3" s="387"/>
      <c r="L3" s="387"/>
      <c r="M3" s="387"/>
      <c r="N3" s="388"/>
      <c r="O3" s="389"/>
      <c r="P3" s="379"/>
      <c r="Q3" s="379"/>
      <c r="R3" s="379"/>
      <c r="S3" s="379"/>
      <c r="T3" s="379"/>
      <c r="U3" s="379"/>
      <c r="V3" s="379"/>
      <c r="W3" s="379"/>
    </row>
    <row r="4" spans="1:23" ht="37.200000000000003" thickBot="1" x14ac:dyDescent="0.35">
      <c r="A4" s="383" t="s">
        <v>127</v>
      </c>
      <c r="B4" s="384"/>
      <c r="C4" s="384"/>
      <c r="D4" s="384"/>
      <c r="E4" s="384"/>
      <c r="F4" s="384"/>
      <c r="G4" s="384"/>
      <c r="H4" s="384"/>
      <c r="I4" s="384"/>
      <c r="J4" s="384"/>
      <c r="K4" s="384"/>
      <c r="L4" s="384"/>
      <c r="M4" s="384"/>
      <c r="N4" s="385"/>
      <c r="O4" s="389"/>
      <c r="P4" s="379"/>
      <c r="Q4" s="379"/>
      <c r="R4" s="379"/>
      <c r="S4" s="379"/>
      <c r="T4" s="379"/>
      <c r="U4" s="379"/>
      <c r="V4" s="379"/>
      <c r="W4" s="379"/>
    </row>
    <row r="5" spans="1:23" ht="66" thickBot="1" x14ac:dyDescent="0.35">
      <c r="A5" s="223" t="s">
        <v>0</v>
      </c>
      <c r="B5" s="222" t="s">
        <v>1</v>
      </c>
      <c r="C5" s="224" t="s">
        <v>2</v>
      </c>
      <c r="D5" s="224" t="s">
        <v>20</v>
      </c>
      <c r="E5" s="225" t="s">
        <v>98</v>
      </c>
      <c r="F5" s="226" t="s">
        <v>114</v>
      </c>
      <c r="G5" s="227" t="s">
        <v>99</v>
      </c>
      <c r="H5" s="221" t="s">
        <v>87</v>
      </c>
      <c r="I5" s="225" t="s">
        <v>100</v>
      </c>
      <c r="J5" s="225" t="s">
        <v>101</v>
      </c>
      <c r="K5" s="225" t="s">
        <v>128</v>
      </c>
      <c r="L5" s="225" t="s">
        <v>117</v>
      </c>
      <c r="M5" s="225" t="s">
        <v>102</v>
      </c>
      <c r="N5" s="228" t="s">
        <v>103</v>
      </c>
    </row>
    <row r="6" spans="1:23" ht="60" customHeight="1" thickBot="1" x14ac:dyDescent="0.35">
      <c r="A6" s="219"/>
      <c r="B6" s="211"/>
      <c r="C6" s="212"/>
      <c r="D6" s="212"/>
      <c r="E6" s="213"/>
      <c r="F6" s="218"/>
      <c r="G6" s="213"/>
      <c r="H6" s="213"/>
      <c r="I6" s="214"/>
      <c r="J6" s="215"/>
      <c r="K6" s="216"/>
      <c r="L6" s="230"/>
      <c r="M6" s="217"/>
      <c r="N6" s="220"/>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83820</xdr:rowOff>
              </from>
              <to>
                <xdr:col>18</xdr:col>
                <xdr:colOff>60960</xdr:colOff>
                <xdr:row>1</xdr:row>
                <xdr:rowOff>121920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297180</xdr:rowOff>
              </from>
              <to>
                <xdr:col>18</xdr:col>
                <xdr:colOff>60960</xdr:colOff>
                <xdr:row>3</xdr:row>
                <xdr:rowOff>327660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198120</xdr:colOff>
                <xdr:row>0</xdr:row>
                <xdr:rowOff>83820</xdr:rowOff>
              </from>
              <to>
                <xdr:col>22</xdr:col>
                <xdr:colOff>68580</xdr:colOff>
                <xdr:row>1</xdr:row>
                <xdr:rowOff>121920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198120</xdr:colOff>
                <xdr:row>2</xdr:row>
                <xdr:rowOff>297180</xdr:rowOff>
              </from>
              <to>
                <xdr:col>22</xdr:col>
                <xdr:colOff>68580</xdr:colOff>
                <xdr:row>3</xdr:row>
                <xdr:rowOff>327660</xdr:rowOff>
              </to>
            </anchor>
          </controlPr>
        </control>
      </mc:Choice>
      <mc:Fallback>
        <control shapeId="1403908" r:id="rId10" name="btnConferirCompra_Expor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16"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90">
        <v>0</v>
      </c>
      <c r="H1" s="379"/>
      <c r="I1" s="379"/>
      <c r="J1" s="379"/>
      <c r="K1" s="379"/>
      <c r="L1" s="379"/>
      <c r="M1" s="85" t="s">
        <v>65</v>
      </c>
      <c r="N1" s="84" t="s">
        <v>53</v>
      </c>
      <c r="O1" s="231" t="s">
        <v>118</v>
      </c>
      <c r="P1" s="113" t="s">
        <v>91</v>
      </c>
    </row>
    <row r="2" spans="1:16" x14ac:dyDescent="0.3">
      <c r="A2" s="390"/>
      <c r="H2" s="379"/>
      <c r="I2" s="379"/>
      <c r="J2" s="379"/>
      <c r="K2" s="379"/>
      <c r="L2" s="379"/>
      <c r="M2" s="114"/>
      <c r="N2" s="271" t="str">
        <f>IF(ISBLANK(tabCodigosParaFiltrar[Código do Item]),"",VLOOKUP(tabCodigosParaFiltrar[Código do Item],Itens!$A$4:$B$945,2,FALSE))</f>
        <v/>
      </c>
      <c r="O2" s="232"/>
      <c r="P2" s="229" t="str">
        <f>IF(ISBLANK(tabCodigosParaFiltrar[Código do Item]),"","*")</f>
        <v/>
      </c>
    </row>
    <row r="3" spans="1:16" x14ac:dyDescent="0.3">
      <c r="A3" s="390"/>
      <c r="H3" s="379"/>
      <c r="I3" s="379"/>
      <c r="J3" s="379"/>
      <c r="K3" s="379"/>
      <c r="L3" s="379"/>
    </row>
    <row r="4" spans="1:16" x14ac:dyDescent="0.3">
      <c r="A4" s="390"/>
      <c r="H4" s="379"/>
      <c r="I4" s="379"/>
      <c r="J4" s="379"/>
      <c r="K4" s="379"/>
      <c r="L4" s="379"/>
    </row>
    <row r="5" spans="1:16" x14ac:dyDescent="0.3">
      <c r="A5" s="390"/>
      <c r="H5" s="379"/>
      <c r="I5" s="379"/>
      <c r="J5" s="379"/>
      <c r="K5" s="379"/>
      <c r="L5" s="379"/>
    </row>
    <row r="6" spans="1:16" x14ac:dyDescent="0.3">
      <c r="A6" s="390"/>
      <c r="H6" s="379"/>
      <c r="I6" s="379"/>
      <c r="J6" s="379"/>
      <c r="K6" s="379"/>
      <c r="L6" s="379"/>
    </row>
    <row r="7" spans="1:16" x14ac:dyDescent="0.3">
      <c r="A7" s="390"/>
      <c r="H7" s="379"/>
      <c r="I7" s="379"/>
      <c r="J7" s="379"/>
      <c r="K7" s="379"/>
      <c r="L7" s="379"/>
    </row>
    <row r="8" spans="1:16" x14ac:dyDescent="0.3">
      <c r="A8" s="390"/>
      <c r="H8" s="379"/>
      <c r="I8" s="379"/>
      <c r="J8" s="379"/>
      <c r="K8" s="379"/>
      <c r="L8" s="379"/>
    </row>
    <row r="9" spans="1:16" x14ac:dyDescent="0.3">
      <c r="A9" s="390"/>
      <c r="H9" s="379"/>
      <c r="I9" s="379"/>
      <c r="J9" s="379"/>
      <c r="K9" s="379"/>
      <c r="L9" s="379"/>
    </row>
    <row r="10" spans="1:16" x14ac:dyDescent="0.3">
      <c r="A10" s="390"/>
      <c r="H10" s="379"/>
      <c r="I10" s="379"/>
      <c r="J10" s="379"/>
      <c r="K10" s="379"/>
      <c r="L10" s="379"/>
    </row>
    <row r="11" spans="1:16" x14ac:dyDescent="0.3">
      <c r="A11" s="390"/>
      <c r="H11" s="379"/>
      <c r="I11" s="379"/>
      <c r="J11" s="379"/>
      <c r="K11" s="379"/>
      <c r="L11" s="379"/>
    </row>
    <row r="12" spans="1:16" x14ac:dyDescent="0.3">
      <c r="A12" s="390"/>
      <c r="H12" s="379"/>
      <c r="I12" s="379"/>
      <c r="J12" s="379"/>
      <c r="K12" s="379"/>
      <c r="L12" s="379"/>
    </row>
    <row r="13" spans="1:16" x14ac:dyDescent="0.3">
      <c r="A13" s="390"/>
      <c r="H13" s="379"/>
      <c r="I13" s="379"/>
      <c r="J13" s="379"/>
      <c r="K13" s="379"/>
      <c r="L13" s="379"/>
    </row>
    <row r="14" spans="1:16" x14ac:dyDescent="0.3">
      <c r="A14" s="390"/>
      <c r="H14" s="379"/>
      <c r="I14" s="379"/>
      <c r="J14" s="379"/>
      <c r="K14" s="379"/>
      <c r="L14" s="379"/>
    </row>
    <row r="15" spans="1:16" x14ac:dyDescent="0.3">
      <c r="A15" s="390"/>
      <c r="H15" s="379"/>
      <c r="I15" s="379"/>
      <c r="J15" s="379"/>
      <c r="K15" s="379"/>
      <c r="L15" s="379"/>
    </row>
    <row r="16" spans="1:16" x14ac:dyDescent="0.3">
      <c r="A16" s="390"/>
      <c r="H16" s="379"/>
      <c r="I16" s="379"/>
      <c r="J16" s="379"/>
      <c r="K16" s="379"/>
      <c r="L16" s="379"/>
    </row>
    <row r="17" spans="1:12" x14ac:dyDescent="0.3">
      <c r="A17" s="390"/>
      <c r="H17" s="379"/>
      <c r="I17" s="379"/>
      <c r="J17" s="379"/>
      <c r="K17" s="379"/>
      <c r="L17" s="379"/>
    </row>
    <row r="18" spans="1:12" x14ac:dyDescent="0.3">
      <c r="A18" s="390"/>
      <c r="H18" s="379"/>
      <c r="I18" s="379"/>
      <c r="J18" s="379"/>
      <c r="K18" s="379"/>
      <c r="L18" s="379"/>
    </row>
    <row r="19" spans="1:12" x14ac:dyDescent="0.3">
      <c r="A19" s="390"/>
      <c r="H19" s="379"/>
      <c r="I19" s="379"/>
      <c r="J19" s="379"/>
      <c r="K19" s="379"/>
      <c r="L19" s="379"/>
    </row>
    <row r="20" spans="1:12" x14ac:dyDescent="0.3">
      <c r="A20" s="390"/>
      <c r="H20" s="379"/>
      <c r="I20" s="379"/>
      <c r="J20" s="379"/>
      <c r="K20" s="379"/>
      <c r="L20" s="379"/>
    </row>
    <row r="21" spans="1:12" x14ac:dyDescent="0.3">
      <c r="A21" s="390"/>
      <c r="H21" s="379"/>
      <c r="I21" s="379"/>
      <c r="J21" s="379"/>
      <c r="K21" s="379"/>
      <c r="L21" s="379"/>
    </row>
    <row r="22" spans="1:12" x14ac:dyDescent="0.3">
      <c r="A22" s="390"/>
      <c r="H22" s="379"/>
      <c r="I22" s="379"/>
      <c r="J22" s="379"/>
      <c r="K22" s="379"/>
      <c r="L22" s="379"/>
    </row>
    <row r="23" spans="1:12" x14ac:dyDescent="0.3">
      <c r="A23" s="390"/>
      <c r="H23" s="379"/>
      <c r="I23" s="379"/>
      <c r="J23" s="379"/>
      <c r="K23" s="379"/>
      <c r="L23" s="379"/>
    </row>
    <row r="24" spans="1:12" x14ac:dyDescent="0.3">
      <c r="A24" s="390"/>
      <c r="H24" s="379"/>
      <c r="I24" s="379"/>
      <c r="J24" s="379"/>
      <c r="K24" s="379"/>
      <c r="L24" s="379"/>
    </row>
    <row r="25" spans="1:12" x14ac:dyDescent="0.3">
      <c r="A25" s="390"/>
      <c r="H25" s="379"/>
      <c r="I25" s="379"/>
      <c r="J25" s="379"/>
      <c r="K25" s="379"/>
      <c r="L25" s="379"/>
    </row>
    <row r="26" spans="1:12" x14ac:dyDescent="0.3">
      <c r="A26" s="390"/>
      <c r="H26" s="379"/>
      <c r="I26" s="379"/>
      <c r="J26" s="379"/>
      <c r="K26" s="379"/>
      <c r="L26" s="379"/>
    </row>
    <row r="27" spans="1:12" x14ac:dyDescent="0.3">
      <c r="A27" s="390"/>
      <c r="H27" s="379"/>
      <c r="I27" s="379"/>
      <c r="J27" s="379"/>
      <c r="K27" s="379"/>
      <c r="L27" s="379"/>
    </row>
    <row r="28" spans="1:12" x14ac:dyDescent="0.3">
      <c r="A28" s="390"/>
      <c r="H28" s="379"/>
      <c r="I28" s="379"/>
      <c r="J28" s="379"/>
      <c r="K28" s="379"/>
      <c r="L28" s="379"/>
    </row>
    <row r="29" spans="1:12" x14ac:dyDescent="0.3">
      <c r="A29" s="390"/>
      <c r="H29" s="379"/>
      <c r="I29" s="379"/>
      <c r="J29" s="379"/>
      <c r="K29" s="379"/>
      <c r="L29" s="379"/>
    </row>
    <row r="30" spans="1:12" x14ac:dyDescent="0.3">
      <c r="A30" s="390"/>
      <c r="H30" s="379"/>
      <c r="I30" s="379"/>
      <c r="J30" s="379"/>
      <c r="K30" s="379"/>
      <c r="L30" s="379"/>
    </row>
    <row r="31" spans="1:12" x14ac:dyDescent="0.3">
      <c r="A31" s="390"/>
      <c r="H31" s="379"/>
      <c r="I31" s="379"/>
      <c r="J31" s="379"/>
      <c r="K31" s="379"/>
      <c r="L31" s="379"/>
    </row>
    <row r="32" spans="1:12" x14ac:dyDescent="0.3">
      <c r="A32" s="390"/>
      <c r="H32" s="379"/>
      <c r="I32" s="379"/>
      <c r="J32" s="379"/>
      <c r="K32" s="379"/>
      <c r="L32" s="379"/>
    </row>
    <row r="33" spans="1:12" x14ac:dyDescent="0.3">
      <c r="A33" s="390"/>
      <c r="H33" s="379"/>
      <c r="I33" s="379"/>
      <c r="J33" s="379"/>
      <c r="K33" s="379"/>
      <c r="L33" s="379"/>
    </row>
    <row r="34" spans="1:12" x14ac:dyDescent="0.3">
      <c r="A34" s="390"/>
      <c r="H34" s="379"/>
      <c r="I34" s="379"/>
      <c r="J34" s="379"/>
      <c r="K34" s="379"/>
      <c r="L34" s="379"/>
    </row>
    <row r="35" spans="1:12" x14ac:dyDescent="0.3">
      <c r="A35" s="390"/>
      <c r="H35" s="379"/>
      <c r="I35" s="379"/>
      <c r="J35" s="379"/>
      <c r="K35" s="379"/>
      <c r="L35" s="379"/>
    </row>
    <row r="36" spans="1:12" x14ac:dyDescent="0.3">
      <c r="A36" s="390"/>
      <c r="H36" s="379"/>
      <c r="I36" s="379"/>
      <c r="J36" s="379"/>
      <c r="K36" s="379"/>
      <c r="L36" s="379"/>
    </row>
    <row r="37" spans="1:12" x14ac:dyDescent="0.3">
      <c r="A37" s="390"/>
      <c r="H37" s="379"/>
      <c r="I37" s="379"/>
      <c r="J37" s="379"/>
      <c r="K37" s="379"/>
      <c r="L37" s="379"/>
    </row>
    <row r="38" spans="1:12" x14ac:dyDescent="0.3">
      <c r="A38" s="390"/>
      <c r="H38" s="379"/>
      <c r="I38" s="379"/>
      <c r="J38" s="379"/>
      <c r="K38" s="379"/>
      <c r="L38" s="379"/>
    </row>
    <row r="39" spans="1:12" x14ac:dyDescent="0.3">
      <c r="A39" s="390"/>
      <c r="H39" s="379"/>
      <c r="I39" s="379"/>
      <c r="J39" s="379"/>
      <c r="K39" s="379"/>
      <c r="L39" s="379"/>
    </row>
    <row r="40" spans="1:12" x14ac:dyDescent="0.3">
      <c r="H40" s="379"/>
      <c r="I40" s="379"/>
      <c r="J40" s="379"/>
      <c r="K40" s="379"/>
      <c r="L40" s="379"/>
    </row>
    <row r="41" spans="1:12" x14ac:dyDescent="0.3">
      <c r="H41" s="379"/>
      <c r="I41" s="379"/>
      <c r="J41" s="379"/>
      <c r="K41" s="379"/>
      <c r="L41" s="379"/>
    </row>
    <row r="42" spans="1:12" x14ac:dyDescent="0.3">
      <c r="H42" s="379"/>
      <c r="I42" s="379"/>
      <c r="J42" s="379"/>
      <c r="K42" s="379"/>
      <c r="L42" s="379"/>
    </row>
    <row r="43" spans="1:12" x14ac:dyDescent="0.3">
      <c r="H43" s="379"/>
      <c r="I43" s="379"/>
      <c r="J43" s="379"/>
      <c r="K43" s="379"/>
      <c r="L43" s="379"/>
    </row>
    <row r="44" spans="1:12" x14ac:dyDescent="0.3">
      <c r="H44" s="379"/>
      <c r="I44" s="379"/>
      <c r="J44" s="379"/>
      <c r="K44" s="379"/>
      <c r="L44" s="379"/>
    </row>
    <row r="45" spans="1:12" x14ac:dyDescent="0.3">
      <c r="H45" s="379"/>
      <c r="I45" s="379"/>
      <c r="J45" s="379"/>
      <c r="K45" s="379"/>
      <c r="L45" s="379"/>
    </row>
    <row r="46" spans="1:12" x14ac:dyDescent="0.3">
      <c r="H46" s="379"/>
      <c r="I46" s="379"/>
      <c r="J46" s="379"/>
      <c r="K46" s="379"/>
      <c r="L46" s="379"/>
    </row>
    <row r="47" spans="1:12" x14ac:dyDescent="0.3">
      <c r="H47" s="379"/>
      <c r="I47" s="379"/>
      <c r="J47" s="379"/>
      <c r="K47" s="379"/>
      <c r="L47" s="379"/>
    </row>
    <row r="48" spans="1:12" x14ac:dyDescent="0.3">
      <c r="H48" s="379"/>
      <c r="I48" s="379"/>
      <c r="J48" s="379"/>
      <c r="K48" s="379"/>
      <c r="L48" s="379"/>
    </row>
    <row r="49" spans="8:12" x14ac:dyDescent="0.3">
      <c r="H49" s="379"/>
      <c r="I49" s="379"/>
      <c r="J49" s="379"/>
      <c r="K49" s="379"/>
      <c r="L49" s="379"/>
    </row>
    <row r="50" spans="8:12" x14ac:dyDescent="0.3">
      <c r="H50" s="379"/>
      <c r="I50" s="379"/>
      <c r="J50" s="379"/>
      <c r="K50" s="379"/>
      <c r="L50" s="379"/>
    </row>
    <row r="51" spans="8:12" x14ac:dyDescent="0.3">
      <c r="H51" s="379"/>
      <c r="I51" s="379"/>
      <c r="J51" s="379"/>
      <c r="K51" s="379"/>
      <c r="L51" s="379"/>
    </row>
    <row r="52" spans="8:12" x14ac:dyDescent="0.3">
      <c r="H52" s="379"/>
      <c r="I52" s="379"/>
      <c r="J52" s="379"/>
      <c r="K52" s="379"/>
      <c r="L52" s="379"/>
    </row>
    <row r="53" spans="8:12" x14ac:dyDescent="0.3">
      <c r="H53" s="379"/>
      <c r="I53" s="379"/>
      <c r="J53" s="379"/>
      <c r="K53" s="379"/>
      <c r="L53" s="379"/>
    </row>
    <row r="54" spans="8:12" x14ac:dyDescent="0.3">
      <c r="H54" s="379"/>
      <c r="I54" s="379"/>
      <c r="J54" s="379"/>
      <c r="K54" s="379"/>
      <c r="L54" s="379"/>
    </row>
    <row r="55" spans="8:12" x14ac:dyDescent="0.3">
      <c r="H55" s="379"/>
      <c r="I55" s="379"/>
      <c r="J55" s="379"/>
      <c r="K55" s="379"/>
      <c r="L55" s="379"/>
    </row>
    <row r="56" spans="8:12" x14ac:dyDescent="0.3">
      <c r="H56" s="379"/>
      <c r="I56" s="379"/>
      <c r="J56" s="379"/>
      <c r="K56" s="379"/>
      <c r="L56" s="379"/>
    </row>
    <row r="57" spans="8:12" x14ac:dyDescent="0.3">
      <c r="H57" s="379"/>
      <c r="I57" s="379"/>
      <c r="J57" s="379"/>
      <c r="K57" s="379"/>
      <c r="L57" s="379"/>
    </row>
    <row r="58" spans="8:12" x14ac:dyDescent="0.3">
      <c r="H58" s="379"/>
      <c r="I58" s="379"/>
      <c r="J58" s="379"/>
      <c r="K58" s="379"/>
      <c r="L58" s="379"/>
    </row>
    <row r="59" spans="8:12" x14ac:dyDescent="0.3">
      <c r="H59" s="379"/>
      <c r="I59" s="379"/>
      <c r="J59" s="379"/>
      <c r="K59" s="379"/>
      <c r="L59" s="379"/>
    </row>
    <row r="60" spans="8:12" x14ac:dyDescent="0.3">
      <c r="H60" s="379"/>
      <c r="I60" s="379"/>
      <c r="J60" s="379"/>
      <c r="K60" s="379"/>
      <c r="L60" s="379"/>
    </row>
    <row r="61" spans="8:12" x14ac:dyDescent="0.3">
      <c r="H61" s="379"/>
      <c r="I61" s="379"/>
      <c r="J61" s="379"/>
      <c r="K61" s="379"/>
      <c r="L61" s="379"/>
    </row>
    <row r="62" spans="8:12" x14ac:dyDescent="0.3">
      <c r="H62" s="379"/>
      <c r="I62" s="379"/>
      <c r="J62" s="379"/>
      <c r="K62" s="379"/>
      <c r="L62" s="379"/>
    </row>
    <row r="63" spans="8:12" x14ac:dyDescent="0.3">
      <c r="H63" s="379"/>
      <c r="I63" s="379"/>
      <c r="J63" s="379"/>
      <c r="K63" s="379"/>
      <c r="L63" s="379"/>
    </row>
    <row r="64" spans="8:12" x14ac:dyDescent="0.3">
      <c r="H64" s="379"/>
      <c r="I64" s="379"/>
      <c r="J64" s="379"/>
      <c r="K64" s="379"/>
      <c r="L64" s="379"/>
    </row>
    <row r="65" spans="8:12" x14ac:dyDescent="0.3">
      <c r="H65" s="379"/>
      <c r="I65" s="379"/>
      <c r="J65" s="379"/>
      <c r="K65" s="379"/>
      <c r="L65" s="379"/>
    </row>
    <row r="66" spans="8:12" x14ac:dyDescent="0.3">
      <c r="H66" s="379"/>
      <c r="I66" s="379"/>
      <c r="J66" s="379"/>
      <c r="K66" s="379"/>
      <c r="L66" s="379"/>
    </row>
    <row r="67" spans="8:12" x14ac:dyDescent="0.3">
      <c r="H67" s="379"/>
      <c r="I67" s="379"/>
      <c r="J67" s="379"/>
      <c r="K67" s="379"/>
      <c r="L67" s="379"/>
    </row>
    <row r="68" spans="8:12" x14ac:dyDescent="0.3">
      <c r="H68" s="379"/>
      <c r="I68" s="379"/>
      <c r="J68" s="379"/>
      <c r="K68" s="379"/>
      <c r="L68" s="379"/>
    </row>
    <row r="69" spans="8:12" x14ac:dyDescent="0.3">
      <c r="H69" s="379"/>
      <c r="I69" s="379"/>
      <c r="J69" s="379"/>
      <c r="K69" s="379"/>
      <c r="L69" s="379"/>
    </row>
    <row r="70" spans="8:12" x14ac:dyDescent="0.3">
      <c r="H70" s="379"/>
      <c r="I70" s="379"/>
      <c r="J70" s="379"/>
      <c r="K70" s="379"/>
      <c r="L70" s="379"/>
    </row>
    <row r="71" spans="8:12" x14ac:dyDescent="0.3">
      <c r="H71" s="379"/>
      <c r="I71" s="379"/>
      <c r="J71" s="379"/>
      <c r="K71" s="379"/>
      <c r="L71" s="379"/>
    </row>
    <row r="72" spans="8:12" x14ac:dyDescent="0.3">
      <c r="H72" s="379"/>
      <c r="I72" s="379"/>
      <c r="J72" s="379"/>
      <c r="K72" s="379"/>
      <c r="L72" s="379"/>
    </row>
    <row r="73" spans="8:12" x14ac:dyDescent="0.3">
      <c r="H73" s="379"/>
      <c r="I73" s="379"/>
      <c r="J73" s="379"/>
      <c r="K73" s="379"/>
      <c r="L73" s="379"/>
    </row>
    <row r="74" spans="8:12" x14ac:dyDescent="0.3">
      <c r="H74" s="379"/>
      <c r="I74" s="379"/>
      <c r="J74" s="379"/>
      <c r="K74" s="379"/>
      <c r="L74" s="379"/>
    </row>
    <row r="75" spans="8:12" x14ac:dyDescent="0.3">
      <c r="H75" s="379"/>
      <c r="I75" s="379"/>
      <c r="J75" s="379"/>
      <c r="K75" s="379"/>
      <c r="L75" s="379"/>
    </row>
    <row r="76" spans="8:12" x14ac:dyDescent="0.3">
      <c r="H76" s="379"/>
      <c r="I76" s="379"/>
      <c r="J76" s="379"/>
      <c r="K76" s="379"/>
      <c r="L76" s="379"/>
    </row>
    <row r="77" spans="8:12" x14ac:dyDescent="0.3">
      <c r="H77" s="379"/>
      <c r="I77" s="379"/>
      <c r="J77" s="379"/>
      <c r="K77" s="379"/>
      <c r="L77" s="379"/>
    </row>
    <row r="78" spans="8:12" x14ac:dyDescent="0.3">
      <c r="H78" s="379"/>
      <c r="I78" s="379"/>
      <c r="J78" s="379"/>
      <c r="K78" s="379"/>
      <c r="L78" s="379"/>
    </row>
    <row r="79" spans="8:12" x14ac:dyDescent="0.3">
      <c r="H79" s="379"/>
      <c r="I79" s="379"/>
      <c r="J79" s="379"/>
      <c r="K79" s="379"/>
      <c r="L79" s="379"/>
    </row>
    <row r="80" spans="8:12" x14ac:dyDescent="0.3">
      <c r="H80" s="379"/>
      <c r="I80" s="379"/>
      <c r="J80" s="379"/>
      <c r="K80" s="379"/>
      <c r="L80" s="379"/>
    </row>
    <row r="81" spans="8:12" x14ac:dyDescent="0.3">
      <c r="H81" s="379"/>
      <c r="I81" s="379"/>
      <c r="J81" s="379"/>
      <c r="K81" s="379"/>
      <c r="L81" s="379"/>
    </row>
    <row r="82" spans="8:12" x14ac:dyDescent="0.3">
      <c r="H82" s="379"/>
      <c r="I82" s="379"/>
      <c r="J82" s="379"/>
      <c r="K82" s="379"/>
      <c r="L82" s="379"/>
    </row>
    <row r="83" spans="8:12" x14ac:dyDescent="0.3">
      <c r="H83" s="379"/>
      <c r="I83" s="379"/>
      <c r="J83" s="379"/>
      <c r="K83" s="379"/>
      <c r="L83" s="379"/>
    </row>
    <row r="84" spans="8:12" x14ac:dyDescent="0.3">
      <c r="H84" s="379"/>
      <c r="I84" s="379"/>
      <c r="J84" s="379"/>
      <c r="K84" s="379"/>
      <c r="L84" s="379"/>
    </row>
    <row r="85" spans="8:12" x14ac:dyDescent="0.3">
      <c r="H85" s="379"/>
      <c r="I85" s="379"/>
      <c r="J85" s="379"/>
      <c r="K85" s="379"/>
      <c r="L85" s="379"/>
    </row>
    <row r="86" spans="8:12" x14ac:dyDescent="0.3">
      <c r="H86" s="379"/>
      <c r="I86" s="379"/>
      <c r="J86" s="379"/>
      <c r="K86" s="379"/>
      <c r="L86" s="379"/>
    </row>
    <row r="87" spans="8:12" x14ac:dyDescent="0.3">
      <c r="H87" s="379"/>
      <c r="I87" s="379"/>
      <c r="J87" s="379"/>
      <c r="K87" s="379"/>
      <c r="L87" s="379"/>
    </row>
    <row r="88" spans="8:12" x14ac:dyDescent="0.3">
      <c r="H88" s="379"/>
      <c r="I88" s="379"/>
      <c r="J88" s="379"/>
      <c r="K88" s="379"/>
      <c r="L88" s="379"/>
    </row>
    <row r="89" spans="8:12" x14ac:dyDescent="0.3">
      <c r="H89" s="379"/>
      <c r="I89" s="379"/>
      <c r="J89" s="379"/>
      <c r="K89" s="379"/>
      <c r="L89" s="379"/>
    </row>
    <row r="90" spans="8:12" x14ac:dyDescent="0.3">
      <c r="H90" s="379"/>
      <c r="I90" s="379"/>
      <c r="J90" s="379"/>
      <c r="K90" s="379"/>
      <c r="L90" s="379"/>
    </row>
    <row r="91" spans="8:12" x14ac:dyDescent="0.3">
      <c r="H91" s="379"/>
      <c r="I91" s="379"/>
      <c r="J91" s="379"/>
      <c r="K91" s="379"/>
      <c r="L91" s="379"/>
    </row>
    <row r="92" spans="8:12" x14ac:dyDescent="0.3">
      <c r="H92" s="379"/>
      <c r="I92" s="379"/>
      <c r="J92" s="379"/>
      <c r="K92" s="379"/>
      <c r="L92" s="379"/>
    </row>
    <row r="93" spans="8:12" x14ac:dyDescent="0.3">
      <c r="H93" s="379"/>
      <c r="I93" s="379"/>
      <c r="J93" s="379"/>
      <c r="K93" s="379"/>
      <c r="L93" s="379"/>
    </row>
    <row r="94" spans="8:12" x14ac:dyDescent="0.3">
      <c r="H94" s="379"/>
      <c r="I94" s="379"/>
      <c r="J94" s="379"/>
      <c r="K94" s="379"/>
      <c r="L94" s="379"/>
    </row>
    <row r="95" spans="8:12" x14ac:dyDescent="0.3">
      <c r="H95" s="379"/>
      <c r="I95" s="379"/>
      <c r="J95" s="379"/>
      <c r="K95" s="379"/>
      <c r="L95" s="379"/>
    </row>
    <row r="96" spans="8:12" x14ac:dyDescent="0.3">
      <c r="H96" s="379"/>
      <c r="I96" s="379"/>
      <c r="J96" s="379"/>
      <c r="K96" s="379"/>
      <c r="L96" s="379"/>
    </row>
    <row r="97" spans="8:12" x14ac:dyDescent="0.3">
      <c r="H97" s="379"/>
      <c r="I97" s="379"/>
      <c r="J97" s="379"/>
      <c r="K97" s="379"/>
      <c r="L97" s="379"/>
    </row>
    <row r="98" spans="8:12" x14ac:dyDescent="0.3">
      <c r="H98" s="379"/>
      <c r="I98" s="379"/>
      <c r="J98" s="379"/>
      <c r="K98" s="379"/>
      <c r="L98" s="379"/>
    </row>
    <row r="99" spans="8:12" x14ac:dyDescent="0.3">
      <c r="H99" s="379"/>
      <c r="I99" s="379"/>
      <c r="J99" s="379"/>
      <c r="K99" s="379"/>
      <c r="L99" s="379"/>
    </row>
    <row r="100" spans="8:12" x14ac:dyDescent="0.3">
      <c r="H100" s="379"/>
      <c r="I100" s="379"/>
      <c r="J100" s="379"/>
      <c r="K100" s="379"/>
      <c r="L100" s="379"/>
    </row>
    <row r="101" spans="8:12" x14ac:dyDescent="0.3">
      <c r="H101" s="379"/>
      <c r="I101" s="379"/>
      <c r="J101" s="379"/>
      <c r="K101" s="379"/>
      <c r="L101" s="379"/>
    </row>
    <row r="102" spans="8:12" x14ac:dyDescent="0.3">
      <c r="H102" s="379"/>
      <c r="I102" s="379"/>
      <c r="J102" s="379"/>
      <c r="K102" s="379"/>
      <c r="L102" s="379"/>
    </row>
    <row r="103" spans="8:12" x14ac:dyDescent="0.3">
      <c r="H103" s="379"/>
      <c r="I103" s="379"/>
      <c r="J103" s="379"/>
      <c r="K103" s="379"/>
      <c r="L103" s="379"/>
    </row>
    <row r="104" spans="8:12" x14ac:dyDescent="0.3">
      <c r="H104" s="379"/>
      <c r="I104" s="379"/>
      <c r="J104" s="379"/>
      <c r="K104" s="379"/>
      <c r="L104" s="379"/>
    </row>
    <row r="105" spans="8:12" x14ac:dyDescent="0.3">
      <c r="H105" s="379"/>
      <c r="I105" s="379"/>
      <c r="J105" s="379"/>
      <c r="K105" s="379"/>
      <c r="L105" s="379"/>
    </row>
    <row r="106" spans="8:12" x14ac:dyDescent="0.3">
      <c r="H106" s="379"/>
      <c r="I106" s="379"/>
      <c r="J106" s="379"/>
      <c r="K106" s="379"/>
      <c r="L106" s="379"/>
    </row>
    <row r="107" spans="8:12" x14ac:dyDescent="0.3">
      <c r="H107" s="379"/>
      <c r="I107" s="379"/>
      <c r="J107" s="379"/>
      <c r="K107" s="379"/>
      <c r="L107" s="379"/>
    </row>
    <row r="108" spans="8:12" x14ac:dyDescent="0.3">
      <c r="H108" s="379"/>
      <c r="I108" s="379"/>
      <c r="J108" s="379"/>
      <c r="K108" s="379"/>
      <c r="L108" s="379"/>
    </row>
    <row r="109" spans="8:12" x14ac:dyDescent="0.3">
      <c r="H109" s="379"/>
      <c r="I109" s="379"/>
      <c r="J109" s="379"/>
      <c r="K109" s="379"/>
      <c r="L109" s="379"/>
    </row>
    <row r="110" spans="8:12" x14ac:dyDescent="0.3">
      <c r="H110" s="379"/>
      <c r="I110" s="379"/>
      <c r="J110" s="379"/>
      <c r="K110" s="379"/>
      <c r="L110" s="379"/>
    </row>
    <row r="111" spans="8:12" x14ac:dyDescent="0.3">
      <c r="H111" s="379"/>
      <c r="I111" s="379"/>
      <c r="J111" s="379"/>
      <c r="K111" s="379"/>
      <c r="L111" s="379"/>
    </row>
    <row r="112" spans="8:12" x14ac:dyDescent="0.3">
      <c r="H112" s="379"/>
      <c r="I112" s="379"/>
      <c r="J112" s="379"/>
      <c r="K112" s="379"/>
      <c r="L112" s="379"/>
    </row>
    <row r="113" spans="8:12" x14ac:dyDescent="0.3">
      <c r="H113" s="379"/>
      <c r="I113" s="379"/>
      <c r="J113" s="379"/>
      <c r="K113" s="379"/>
      <c r="L113" s="379"/>
    </row>
    <row r="114" spans="8:12" x14ac:dyDescent="0.3">
      <c r="H114" s="379"/>
      <c r="I114" s="379"/>
      <c r="J114" s="379"/>
      <c r="K114" s="379"/>
      <c r="L114" s="379"/>
    </row>
    <row r="115" spans="8:12" x14ac:dyDescent="0.3">
      <c r="H115" s="379"/>
      <c r="I115" s="379"/>
      <c r="J115" s="379"/>
      <c r="K115" s="379"/>
      <c r="L115" s="379"/>
    </row>
    <row r="116" spans="8:12" x14ac:dyDescent="0.3">
      <c r="H116" s="379"/>
      <c r="I116" s="379"/>
      <c r="J116" s="379"/>
      <c r="K116" s="379"/>
      <c r="L116" s="379"/>
    </row>
    <row r="117" spans="8:12" x14ac:dyDescent="0.3">
      <c r="H117" s="379"/>
      <c r="I117" s="379"/>
      <c r="J117" s="379"/>
      <c r="K117" s="379"/>
      <c r="L117" s="379"/>
    </row>
    <row r="118" spans="8:12" x14ac:dyDescent="0.3">
      <c r="H118" s="379"/>
      <c r="I118" s="379"/>
      <c r="J118" s="379"/>
      <c r="K118" s="379"/>
      <c r="L118" s="379"/>
    </row>
    <row r="119" spans="8:12" x14ac:dyDescent="0.3">
      <c r="H119" s="379"/>
      <c r="I119" s="379"/>
      <c r="J119" s="379"/>
      <c r="K119" s="379"/>
      <c r="L119" s="379"/>
    </row>
    <row r="120" spans="8:12" x14ac:dyDescent="0.3">
      <c r="H120" s="379"/>
      <c r="I120" s="379"/>
      <c r="J120" s="379"/>
      <c r="K120" s="379"/>
      <c r="L120" s="379"/>
    </row>
    <row r="121" spans="8:12" x14ac:dyDescent="0.3">
      <c r="H121" s="379"/>
      <c r="I121" s="379"/>
      <c r="J121" s="379"/>
      <c r="K121" s="379"/>
      <c r="L121" s="379"/>
    </row>
    <row r="122" spans="8:12" x14ac:dyDescent="0.3">
      <c r="H122" s="379"/>
      <c r="I122" s="379"/>
      <c r="J122" s="379"/>
      <c r="K122" s="379"/>
      <c r="L122" s="379"/>
    </row>
    <row r="123" spans="8:12" x14ac:dyDescent="0.3">
      <c r="H123" s="379"/>
      <c r="I123" s="379"/>
      <c r="J123" s="379"/>
      <c r="K123" s="379"/>
      <c r="L123" s="379"/>
    </row>
    <row r="124" spans="8:12" x14ac:dyDescent="0.3">
      <c r="H124" s="379"/>
      <c r="I124" s="379"/>
      <c r="J124" s="379"/>
      <c r="K124" s="379"/>
      <c r="L124" s="379"/>
    </row>
    <row r="125" spans="8:12" x14ac:dyDescent="0.3">
      <c r="H125" s="379"/>
      <c r="I125" s="379"/>
      <c r="J125" s="379"/>
      <c r="K125" s="379"/>
      <c r="L125" s="379"/>
    </row>
    <row r="126" spans="8:12" x14ac:dyDescent="0.3">
      <c r="H126" s="379"/>
      <c r="I126" s="379"/>
      <c r="J126" s="379"/>
      <c r="K126" s="379"/>
      <c r="L126" s="379"/>
    </row>
    <row r="127" spans="8:12" x14ac:dyDescent="0.3">
      <c r="H127" s="379"/>
      <c r="I127" s="379"/>
      <c r="J127" s="379"/>
      <c r="K127" s="379"/>
      <c r="L127" s="379"/>
    </row>
    <row r="128" spans="8:12" x14ac:dyDescent="0.3">
      <c r="H128" s="379"/>
      <c r="I128" s="379"/>
      <c r="J128" s="379"/>
      <c r="K128" s="379"/>
      <c r="L128" s="379"/>
    </row>
    <row r="129" spans="8:12" x14ac:dyDescent="0.3">
      <c r="H129" s="379"/>
      <c r="I129" s="379"/>
      <c r="J129" s="379"/>
      <c r="K129" s="379"/>
      <c r="L129" s="379"/>
    </row>
    <row r="130" spans="8:12" x14ac:dyDescent="0.3">
      <c r="H130" s="379"/>
      <c r="I130" s="379"/>
      <c r="J130" s="379"/>
      <c r="K130" s="379"/>
      <c r="L130" s="379"/>
    </row>
    <row r="131" spans="8:12" x14ac:dyDescent="0.3">
      <c r="H131" s="379"/>
      <c r="I131" s="379"/>
      <c r="J131" s="379"/>
      <c r="K131" s="379"/>
      <c r="L131" s="379"/>
    </row>
    <row r="132" spans="8:12" x14ac:dyDescent="0.3">
      <c r="H132" s="379"/>
      <c r="I132" s="379"/>
      <c r="J132" s="379"/>
      <c r="K132" s="379"/>
      <c r="L132" s="379"/>
    </row>
    <row r="133" spans="8:12" x14ac:dyDescent="0.3">
      <c r="H133" s="379"/>
      <c r="I133" s="379"/>
      <c r="J133" s="379"/>
      <c r="K133" s="379"/>
      <c r="L133" s="379"/>
    </row>
    <row r="134" spans="8:12" x14ac:dyDescent="0.3">
      <c r="H134" s="379"/>
      <c r="I134" s="379"/>
      <c r="J134" s="379"/>
      <c r="K134" s="379"/>
      <c r="L134" s="379"/>
    </row>
    <row r="135" spans="8:12" x14ac:dyDescent="0.3">
      <c r="H135" s="379"/>
      <c r="I135" s="379"/>
      <c r="J135" s="379"/>
      <c r="K135" s="379"/>
      <c r="L135" s="379"/>
    </row>
    <row r="136" spans="8:12" x14ac:dyDescent="0.3">
      <c r="H136" s="379"/>
      <c r="I136" s="379"/>
      <c r="J136" s="379"/>
      <c r="K136" s="379"/>
      <c r="L136" s="379"/>
    </row>
    <row r="137" spans="8:12" x14ac:dyDescent="0.3">
      <c r="H137" s="379"/>
      <c r="I137" s="379"/>
      <c r="J137" s="379"/>
      <c r="K137" s="379"/>
      <c r="L137" s="379"/>
    </row>
    <row r="138" spans="8:12" x14ac:dyDescent="0.3">
      <c r="H138" s="379"/>
      <c r="I138" s="379"/>
      <c r="J138" s="379"/>
      <c r="K138" s="379"/>
      <c r="L138" s="379"/>
    </row>
    <row r="139" spans="8:12" x14ac:dyDescent="0.3">
      <c r="H139" s="379"/>
      <c r="I139" s="379"/>
      <c r="J139" s="379"/>
      <c r="K139" s="379"/>
      <c r="L139" s="379"/>
    </row>
    <row r="140" spans="8:12" x14ac:dyDescent="0.3">
      <c r="H140" s="379"/>
      <c r="I140" s="379"/>
      <c r="J140" s="379"/>
      <c r="K140" s="379"/>
      <c r="L140" s="379"/>
    </row>
    <row r="141" spans="8:12" x14ac:dyDescent="0.3">
      <c r="H141" s="379"/>
      <c r="I141" s="379"/>
      <c r="J141" s="379"/>
      <c r="K141" s="379"/>
      <c r="L141" s="379"/>
    </row>
    <row r="142" spans="8:12" x14ac:dyDescent="0.3">
      <c r="H142" s="379"/>
      <c r="I142" s="379"/>
      <c r="J142" s="379"/>
      <c r="K142" s="379"/>
      <c r="L142" s="379"/>
    </row>
    <row r="143" spans="8:12" x14ac:dyDescent="0.3">
      <c r="H143" s="379"/>
      <c r="I143" s="379"/>
      <c r="J143" s="379"/>
      <c r="K143" s="379"/>
      <c r="L143" s="379"/>
    </row>
    <row r="144" spans="8:12" x14ac:dyDescent="0.3">
      <c r="H144" s="379"/>
      <c r="I144" s="379"/>
      <c r="J144" s="379"/>
      <c r="K144" s="379"/>
      <c r="L144" s="379"/>
    </row>
    <row r="145" spans="8:12" x14ac:dyDescent="0.3">
      <c r="H145" s="379"/>
      <c r="I145" s="379"/>
      <c r="J145" s="379"/>
      <c r="K145" s="379"/>
      <c r="L145" s="379"/>
    </row>
    <row r="146" spans="8:12" x14ac:dyDescent="0.3">
      <c r="H146" s="379"/>
      <c r="I146" s="379"/>
      <c r="J146" s="379"/>
      <c r="K146" s="379"/>
      <c r="L146" s="379"/>
    </row>
    <row r="147" spans="8:12" x14ac:dyDescent="0.3">
      <c r="H147" s="379"/>
      <c r="I147" s="379"/>
      <c r="J147" s="379"/>
      <c r="K147" s="379"/>
      <c r="L147" s="379"/>
    </row>
    <row r="148" spans="8:12" x14ac:dyDescent="0.3">
      <c r="H148" s="379"/>
      <c r="I148" s="379"/>
      <c r="J148" s="379"/>
      <c r="K148" s="379"/>
      <c r="L148" s="379"/>
    </row>
    <row r="149" spans="8:12" x14ac:dyDescent="0.3">
      <c r="H149" s="379"/>
      <c r="I149" s="379"/>
      <c r="J149" s="379"/>
      <c r="K149" s="379"/>
      <c r="L149" s="379"/>
    </row>
    <row r="150" spans="8:12" x14ac:dyDescent="0.3">
      <c r="H150" s="379"/>
      <c r="I150" s="379"/>
      <c r="J150" s="379"/>
      <c r="K150" s="379"/>
      <c r="L150" s="379"/>
    </row>
    <row r="151" spans="8:12" x14ac:dyDescent="0.3">
      <c r="H151" s="379"/>
      <c r="I151" s="379"/>
      <c r="J151" s="379"/>
      <c r="K151" s="379"/>
      <c r="L151" s="379"/>
    </row>
    <row r="152" spans="8:12" x14ac:dyDescent="0.3">
      <c r="H152" s="379"/>
      <c r="I152" s="379"/>
      <c r="J152" s="379"/>
      <c r="K152" s="379"/>
      <c r="L152" s="379"/>
    </row>
    <row r="153" spans="8:12" x14ac:dyDescent="0.3">
      <c r="H153" s="379"/>
      <c r="I153" s="379"/>
      <c r="J153" s="379"/>
      <c r="K153" s="379"/>
      <c r="L153" s="379"/>
    </row>
    <row r="154" spans="8:12" x14ac:dyDescent="0.3">
      <c r="H154" s="379"/>
      <c r="I154" s="379"/>
      <c r="J154" s="379"/>
      <c r="K154" s="379"/>
      <c r="L154" s="379"/>
    </row>
    <row r="155" spans="8:12" x14ac:dyDescent="0.3">
      <c r="H155" s="379"/>
      <c r="I155" s="379"/>
      <c r="J155" s="379"/>
      <c r="K155" s="379"/>
      <c r="L155" s="379"/>
    </row>
    <row r="156" spans="8:12" x14ac:dyDescent="0.3">
      <c r="H156" s="379"/>
      <c r="I156" s="379"/>
      <c r="J156" s="379"/>
      <c r="K156" s="379"/>
      <c r="L156" s="379"/>
    </row>
    <row r="157" spans="8:12" x14ac:dyDescent="0.3">
      <c r="H157" s="379"/>
      <c r="I157" s="379"/>
      <c r="J157" s="379"/>
      <c r="K157" s="379"/>
      <c r="L157" s="379"/>
    </row>
    <row r="158" spans="8:12" x14ac:dyDescent="0.3">
      <c r="H158" s="379"/>
      <c r="I158" s="379"/>
      <c r="J158" s="379"/>
      <c r="K158" s="379"/>
      <c r="L158" s="379"/>
    </row>
    <row r="159" spans="8:12" x14ac:dyDescent="0.3">
      <c r="H159" s="379"/>
      <c r="I159" s="379"/>
      <c r="J159" s="379"/>
      <c r="K159" s="379"/>
      <c r="L159" s="379"/>
    </row>
    <row r="160" spans="8:12" x14ac:dyDescent="0.3">
      <c r="H160" s="379"/>
      <c r="I160" s="379"/>
      <c r="J160" s="379"/>
      <c r="K160" s="379"/>
      <c r="L160" s="379"/>
    </row>
    <row r="161" spans="8:12" x14ac:dyDescent="0.3">
      <c r="H161" s="379"/>
      <c r="I161" s="379"/>
      <c r="J161" s="379"/>
      <c r="K161" s="379"/>
      <c r="L161" s="379"/>
    </row>
    <row r="162" spans="8:12" x14ac:dyDescent="0.3">
      <c r="H162" s="379"/>
      <c r="I162" s="379"/>
      <c r="J162" s="379"/>
      <c r="K162" s="379"/>
      <c r="L162" s="379"/>
    </row>
    <row r="163" spans="8:12" x14ac:dyDescent="0.3">
      <c r="H163" s="379"/>
      <c r="I163" s="379"/>
      <c r="J163" s="379"/>
      <c r="K163" s="379"/>
      <c r="L163" s="379"/>
    </row>
    <row r="164" spans="8:12" x14ac:dyDescent="0.3">
      <c r="H164" s="379"/>
      <c r="I164" s="379"/>
      <c r="J164" s="379"/>
      <c r="K164" s="379"/>
      <c r="L164" s="379"/>
    </row>
    <row r="165" spans="8:12" x14ac:dyDescent="0.3">
      <c r="H165" s="379"/>
      <c r="I165" s="379"/>
      <c r="J165" s="379"/>
      <c r="K165" s="379"/>
      <c r="L165" s="379"/>
    </row>
    <row r="166" spans="8:12" x14ac:dyDescent="0.3">
      <c r="H166" s="379"/>
      <c r="I166" s="379"/>
      <c r="J166" s="379"/>
      <c r="K166" s="379"/>
      <c r="L166" s="379"/>
    </row>
    <row r="167" spans="8:12" x14ac:dyDescent="0.3">
      <c r="H167" s="379"/>
      <c r="I167" s="379"/>
      <c r="J167" s="379"/>
      <c r="K167" s="379"/>
      <c r="L167" s="379"/>
    </row>
    <row r="168" spans="8:12" x14ac:dyDescent="0.3">
      <c r="H168" s="379"/>
      <c r="I168" s="379"/>
      <c r="J168" s="379"/>
      <c r="K168" s="379"/>
      <c r="L168" s="379"/>
    </row>
    <row r="169" spans="8:12" x14ac:dyDescent="0.3">
      <c r="H169" s="379"/>
      <c r="I169" s="379"/>
      <c r="J169" s="379"/>
      <c r="K169" s="379"/>
      <c r="L169" s="379"/>
    </row>
    <row r="170" spans="8:12" x14ac:dyDescent="0.3">
      <c r="H170" s="379"/>
      <c r="I170" s="379"/>
      <c r="J170" s="379"/>
      <c r="K170" s="379"/>
      <c r="L170" s="379"/>
    </row>
    <row r="171" spans="8:12" x14ac:dyDescent="0.3">
      <c r="H171" s="379"/>
      <c r="I171" s="379"/>
      <c r="J171" s="379"/>
      <c r="K171" s="379"/>
      <c r="L171" s="379"/>
    </row>
    <row r="172" spans="8:12" x14ac:dyDescent="0.3">
      <c r="H172" s="379"/>
      <c r="I172" s="379"/>
      <c r="J172" s="379"/>
      <c r="K172" s="379"/>
      <c r="L172" s="379"/>
    </row>
  </sheetData>
  <dataConsolidate/>
  <mergeCells count="2">
    <mergeCell ref="A1:A39"/>
    <mergeCell ref="H1:L172"/>
  </mergeCells>
  <conditionalFormatting sqref="M2">
    <cfRule type="duplicateValues" dxfId="86"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632460</xdr:colOff>
                <xdr:row>16</xdr:row>
                <xdr:rowOff>45720</xdr:rowOff>
              </from>
              <to>
                <xdr:col>0</xdr:col>
                <xdr:colOff>6271260</xdr:colOff>
                <xdr:row>18</xdr:row>
                <xdr:rowOff>0</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30480</xdr:rowOff>
              </from>
              <to>
                <xdr:col>11</xdr:col>
                <xdr:colOff>381000</xdr:colOff>
                <xdr:row>12</xdr:row>
                <xdr:rowOff>160020</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6987540</xdr:colOff>
                <xdr:row>14</xdr:row>
                <xdr:rowOff>53340</xdr:rowOff>
              </from>
              <to>
                <xdr:col>0</xdr:col>
                <xdr:colOff>12626340</xdr:colOff>
                <xdr:row>16</xdr:row>
                <xdr:rowOff>7620</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632460</xdr:colOff>
                <xdr:row>14</xdr:row>
                <xdr:rowOff>53340</xdr:rowOff>
              </from>
              <to>
                <xdr:col>0</xdr:col>
                <xdr:colOff>6271260</xdr:colOff>
                <xdr:row>16</xdr:row>
                <xdr:rowOff>7620</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632460</xdr:colOff>
                <xdr:row>10</xdr:row>
                <xdr:rowOff>76200</xdr:rowOff>
              </from>
              <to>
                <xdr:col>0</xdr:col>
                <xdr:colOff>6271260</xdr:colOff>
                <xdr:row>12</xdr:row>
                <xdr:rowOff>30480</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6987540</xdr:colOff>
                <xdr:row>22</xdr:row>
                <xdr:rowOff>15240</xdr:rowOff>
              </from>
              <to>
                <xdr:col>0</xdr:col>
                <xdr:colOff>12626340</xdr:colOff>
                <xdr:row>23</xdr:row>
                <xdr:rowOff>152400</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6987540</xdr:colOff>
                <xdr:row>18</xdr:row>
                <xdr:rowOff>38100</xdr:rowOff>
              </from>
              <to>
                <xdr:col>0</xdr:col>
                <xdr:colOff>12626340</xdr:colOff>
                <xdr:row>19</xdr:row>
                <xdr:rowOff>175260</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6987540</xdr:colOff>
                <xdr:row>10</xdr:row>
                <xdr:rowOff>76200</xdr:rowOff>
              </from>
              <to>
                <xdr:col>0</xdr:col>
                <xdr:colOff>12626340</xdr:colOff>
                <xdr:row>12</xdr:row>
                <xdr:rowOff>30480</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6987540</xdr:colOff>
                <xdr:row>8</xdr:row>
                <xdr:rowOff>83820</xdr:rowOff>
              </from>
              <to>
                <xdr:col>0</xdr:col>
                <xdr:colOff>12626340</xdr:colOff>
                <xdr:row>10</xdr:row>
                <xdr:rowOff>38100</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632460</xdr:colOff>
                <xdr:row>4</xdr:row>
                <xdr:rowOff>106680</xdr:rowOff>
              </from>
              <to>
                <xdr:col>0</xdr:col>
                <xdr:colOff>6271260</xdr:colOff>
                <xdr:row>6</xdr:row>
                <xdr:rowOff>60960</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632460</xdr:colOff>
                <xdr:row>6</xdr:row>
                <xdr:rowOff>99060</xdr:rowOff>
              </from>
              <to>
                <xdr:col>0</xdr:col>
                <xdr:colOff>6271260</xdr:colOff>
                <xdr:row>8</xdr:row>
                <xdr:rowOff>53340</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632460</xdr:colOff>
                <xdr:row>24</xdr:row>
                <xdr:rowOff>7620</xdr:rowOff>
              </from>
              <to>
                <xdr:col>0</xdr:col>
                <xdr:colOff>6271260</xdr:colOff>
                <xdr:row>25</xdr:row>
                <xdr:rowOff>144780</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6987540</xdr:colOff>
                <xdr:row>6</xdr:row>
                <xdr:rowOff>99060</xdr:rowOff>
              </from>
              <to>
                <xdr:col>0</xdr:col>
                <xdr:colOff>12626340</xdr:colOff>
                <xdr:row>8</xdr:row>
                <xdr:rowOff>53340</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6987540</xdr:colOff>
                <xdr:row>2</xdr:row>
                <xdr:rowOff>114300</xdr:rowOff>
              </from>
              <to>
                <xdr:col>0</xdr:col>
                <xdr:colOff>12626340</xdr:colOff>
                <xdr:row>4</xdr:row>
                <xdr:rowOff>68580</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6987540</xdr:colOff>
                <xdr:row>0</xdr:row>
                <xdr:rowOff>129540</xdr:rowOff>
              </from>
              <to>
                <xdr:col>0</xdr:col>
                <xdr:colOff>12626340</xdr:colOff>
                <xdr:row>2</xdr:row>
                <xdr:rowOff>83820</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632460</xdr:colOff>
                <xdr:row>27</xdr:row>
                <xdr:rowOff>167640</xdr:rowOff>
              </from>
              <to>
                <xdr:col>0</xdr:col>
                <xdr:colOff>12618720</xdr:colOff>
                <xdr:row>29</xdr:row>
                <xdr:rowOff>121920</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632460</xdr:colOff>
                <xdr:row>0</xdr:row>
                <xdr:rowOff>129540</xdr:rowOff>
              </from>
              <to>
                <xdr:col>0</xdr:col>
                <xdr:colOff>6271260</xdr:colOff>
                <xdr:row>2</xdr:row>
                <xdr:rowOff>83820</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632460</xdr:colOff>
                <xdr:row>2</xdr:row>
                <xdr:rowOff>114300</xdr:rowOff>
              </from>
              <to>
                <xdr:col>0</xdr:col>
                <xdr:colOff>6271260</xdr:colOff>
                <xdr:row>4</xdr:row>
                <xdr:rowOff>68580</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632460</xdr:colOff>
                <xdr:row>8</xdr:row>
                <xdr:rowOff>83820</xdr:rowOff>
              </from>
              <to>
                <xdr:col>0</xdr:col>
                <xdr:colOff>6271260</xdr:colOff>
                <xdr:row>10</xdr:row>
                <xdr:rowOff>38100</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464820</xdr:colOff>
                <xdr:row>0</xdr:row>
                <xdr:rowOff>99060</xdr:rowOff>
              </from>
              <to>
                <xdr:col>11</xdr:col>
                <xdr:colOff>411480</xdr:colOff>
                <xdr:row>3</xdr:row>
                <xdr:rowOff>45720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632460</xdr:colOff>
                <xdr:row>20</xdr:row>
                <xdr:rowOff>22860</xdr:rowOff>
              </from>
              <to>
                <xdr:col>0</xdr:col>
                <xdr:colOff>6271260</xdr:colOff>
                <xdr:row>21</xdr:row>
                <xdr:rowOff>160020</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6987540</xdr:colOff>
                <xdr:row>4</xdr:row>
                <xdr:rowOff>106680</xdr:rowOff>
              </from>
              <to>
                <xdr:col>0</xdr:col>
                <xdr:colOff>12626340</xdr:colOff>
                <xdr:row>6</xdr:row>
                <xdr:rowOff>60960</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6987540</xdr:colOff>
                <xdr:row>12</xdr:row>
                <xdr:rowOff>68580</xdr:rowOff>
              </from>
              <to>
                <xdr:col>0</xdr:col>
                <xdr:colOff>12626340</xdr:colOff>
                <xdr:row>14</xdr:row>
                <xdr:rowOff>22860</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6987540</xdr:colOff>
                <xdr:row>16</xdr:row>
                <xdr:rowOff>45720</xdr:rowOff>
              </from>
              <to>
                <xdr:col>0</xdr:col>
                <xdr:colOff>12626340</xdr:colOff>
                <xdr:row>18</xdr:row>
                <xdr:rowOff>0</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99060</xdr:rowOff>
              </from>
              <to>
                <xdr:col>9</xdr:col>
                <xdr:colOff>403860</xdr:colOff>
                <xdr:row>3</xdr:row>
                <xdr:rowOff>45720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6987540</xdr:colOff>
                <xdr:row>20</xdr:row>
                <xdr:rowOff>22860</xdr:rowOff>
              </from>
              <to>
                <xdr:col>0</xdr:col>
                <xdr:colOff>12626340</xdr:colOff>
                <xdr:row>21</xdr:row>
                <xdr:rowOff>160020</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480060</xdr:colOff>
                <xdr:row>3</xdr:row>
                <xdr:rowOff>76200</xdr:rowOff>
              </from>
              <to>
                <xdr:col>11</xdr:col>
                <xdr:colOff>403860</xdr:colOff>
                <xdr:row>6</xdr:row>
                <xdr:rowOff>22860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632460</xdr:colOff>
                <xdr:row>12</xdr:row>
                <xdr:rowOff>68580</xdr:rowOff>
              </from>
              <to>
                <xdr:col>0</xdr:col>
                <xdr:colOff>6271260</xdr:colOff>
                <xdr:row>14</xdr:row>
                <xdr:rowOff>22860</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632460</xdr:colOff>
                <xdr:row>22</xdr:row>
                <xdr:rowOff>15240</xdr:rowOff>
              </from>
              <to>
                <xdr:col>0</xdr:col>
                <xdr:colOff>6271260</xdr:colOff>
                <xdr:row>23</xdr:row>
                <xdr:rowOff>152400</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6987540</xdr:colOff>
                <xdr:row>24</xdr:row>
                <xdr:rowOff>7620</xdr:rowOff>
              </from>
              <to>
                <xdr:col>0</xdr:col>
                <xdr:colOff>12626340</xdr:colOff>
                <xdr:row>25</xdr:row>
                <xdr:rowOff>144780</xdr:rowOff>
              </to>
            </anchor>
          </controlPr>
        </control>
      </mc:Choice>
      <mc:Fallback>
        <control shapeId="291985" r:id="rId62" name="btn_Filtros_AtivosAbxPPAta"/>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9"/>
  <sheetViews>
    <sheetView zoomScaleNormal="100" workbookViewId="0">
      <pane ySplit="2" topLeftCell="A836" activePane="bottomLeft" state="frozen"/>
      <selection pane="bottomLeft" activeCell="A854" sqref="A854"/>
    </sheetView>
  </sheetViews>
  <sheetFormatPr defaultRowHeight="14.4" x14ac:dyDescent="0.3"/>
  <cols>
    <col min="1" max="1" width="50.6640625" style="4" customWidth="1"/>
    <col min="2" max="2" width="5.6640625" style="3" customWidth="1"/>
    <col min="3" max="4" width="8.88671875" style="2" bestFit="1" customWidth="1"/>
    <col min="5" max="5" width="11.6640625" style="2" customWidth="1"/>
    <col min="6" max="6" width="7.88671875" style="2" bestFit="1" customWidth="1"/>
    <col min="7" max="9" width="8" style="2" bestFit="1" customWidth="1"/>
    <col min="10" max="10" width="8.88671875" style="2" bestFit="1" customWidth="1"/>
    <col min="11" max="17" width="7.88671875" style="2" bestFit="1" customWidth="1"/>
    <col min="18" max="18" width="8.109375" style="2" bestFit="1" customWidth="1"/>
    <col min="19" max="19" width="5.6640625" style="2" customWidth="1"/>
    <col min="20" max="20" width="11.44140625" style="2" bestFit="1" customWidth="1"/>
    <col min="21" max="21" width="8.88671875" style="2" bestFit="1" customWidth="1"/>
    <col min="22" max="23" width="8.88671875" bestFit="1" customWidth="1"/>
    <col min="24" max="24" width="6.88671875" bestFit="1" customWidth="1"/>
    <col min="25" max="25" width="12" bestFit="1" customWidth="1"/>
    <col min="26" max="26" width="11.6640625" bestFit="1" customWidth="1"/>
    <col min="27" max="27" width="8.88671875" bestFit="1" customWidth="1"/>
    <col min="28" max="28" width="8.33203125" bestFit="1" customWidth="1"/>
    <col min="29" max="29" width="3.6640625" customWidth="1"/>
    <col min="30" max="30" width="8.33203125" bestFit="1" customWidth="1"/>
    <col min="31" max="31" width="3.6640625" customWidth="1"/>
    <col min="32" max="32" width="5.6640625" customWidth="1"/>
    <col min="33" max="33" width="11.44140625" bestFit="1" customWidth="1"/>
    <col min="34"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59"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6"/>
      <c r="E1" s="7">
        <v>869</v>
      </c>
      <c r="F1" s="12"/>
      <c r="BC1" s="42"/>
      <c r="BD1"/>
      <c r="BI1" s="59"/>
      <c r="BJ1"/>
    </row>
    <row r="2" spans="1:62" s="15" customFormat="1" ht="15.6" x14ac:dyDescent="0.3">
      <c r="A2" s="191" t="s">
        <v>2185</v>
      </c>
      <c r="B2" s="33" t="s">
        <v>31</v>
      </c>
      <c r="C2" s="79" t="s">
        <v>2186</v>
      </c>
      <c r="D2" s="81" t="s">
        <v>87</v>
      </c>
      <c r="E2" s="81" t="s">
        <v>2189</v>
      </c>
      <c r="F2" s="81" t="s">
        <v>2190</v>
      </c>
      <c r="G2" s="80" t="s">
        <v>2191</v>
      </c>
      <c r="H2" s="80" t="s">
        <v>2192</v>
      </c>
      <c r="I2" s="80" t="s">
        <v>2193</v>
      </c>
      <c r="J2" s="81" t="s">
        <v>2194</v>
      </c>
      <c r="K2" s="81" t="s">
        <v>2195</v>
      </c>
      <c r="L2" s="81" t="s">
        <v>2196</v>
      </c>
      <c r="M2" s="81" t="s">
        <v>2197</v>
      </c>
      <c r="N2" s="81" t="s">
        <v>2198</v>
      </c>
      <c r="O2" s="81" t="s">
        <v>2199</v>
      </c>
      <c r="P2" s="81" t="s">
        <v>2200</v>
      </c>
      <c r="Q2" s="81" t="s">
        <v>2201</v>
      </c>
      <c r="R2" s="192" t="s">
        <v>2202</v>
      </c>
      <c r="S2" s="81" t="s">
        <v>2203</v>
      </c>
      <c r="T2" s="192" t="s">
        <v>2204</v>
      </c>
      <c r="U2" s="192" t="s">
        <v>2205</v>
      </c>
      <c r="V2" s="192" t="s">
        <v>2206</v>
      </c>
      <c r="W2" s="192" t="s">
        <v>2207</v>
      </c>
      <c r="X2" s="192" t="s">
        <v>2208</v>
      </c>
      <c r="Y2" s="210" t="s">
        <v>2209</v>
      </c>
      <c r="Z2" s="210" t="s">
        <v>2210</v>
      </c>
      <c r="AA2" s="210" t="s">
        <v>108</v>
      </c>
      <c r="AB2" s="81" t="s">
        <v>52</v>
      </c>
      <c r="AC2" s="81" t="s">
        <v>56</v>
      </c>
      <c r="AD2" s="63"/>
      <c r="AE2" s="63"/>
      <c r="AF2" s="63"/>
      <c r="AG2" s="63"/>
      <c r="AH2" s="63"/>
      <c r="AI2" s="63"/>
      <c r="AJ2" s="63"/>
      <c r="AK2" s="63"/>
      <c r="AL2" s="81"/>
      <c r="AM2" s="63"/>
      <c r="AN2" s="63"/>
      <c r="AO2" s="63"/>
      <c r="AP2" s="63"/>
      <c r="AQ2" s="63"/>
      <c r="AR2" s="63"/>
      <c r="AS2" s="63"/>
      <c r="AT2" s="63"/>
      <c r="AU2" s="29"/>
      <c r="AV2" s="29"/>
      <c r="AW2" s="63"/>
      <c r="AX2" s="63"/>
      <c r="AY2" s="63"/>
      <c r="AZ2" s="63"/>
      <c r="BA2" s="33"/>
      <c r="BB2" s="14"/>
      <c r="BC2" s="43"/>
      <c r="BD2" s="14"/>
      <c r="BE2" s="14"/>
      <c r="BF2" s="14"/>
      <c r="BG2" s="14"/>
      <c r="BH2" s="14"/>
      <c r="BI2" s="60"/>
    </row>
    <row r="3" spans="1:62" x14ac:dyDescent="0.3">
      <c r="A3" s="4" t="s">
        <v>1544</v>
      </c>
      <c r="B3" s="3" t="s">
        <v>256</v>
      </c>
      <c r="C3" s="2">
        <v>95228</v>
      </c>
      <c r="D3" s="2">
        <v>1446</v>
      </c>
      <c r="F3" s="2">
        <v>702</v>
      </c>
      <c r="G3" s="2">
        <v>402</v>
      </c>
      <c r="H3" s="2">
        <v>0</v>
      </c>
      <c r="I3" s="2">
        <v>0</v>
      </c>
      <c r="J3" s="2">
        <v>0</v>
      </c>
      <c r="K3" s="2">
        <v>300</v>
      </c>
      <c r="L3" s="2">
        <v>202</v>
      </c>
      <c r="M3" s="2">
        <v>200</v>
      </c>
      <c r="N3" s="2">
        <v>500</v>
      </c>
      <c r="O3" s="2">
        <v>35</v>
      </c>
      <c r="P3" s="2">
        <v>1300</v>
      </c>
      <c r="Q3" s="2">
        <v>1800</v>
      </c>
      <c r="R3" s="274">
        <v>39007</v>
      </c>
      <c r="S3" s="253">
        <v>12</v>
      </c>
      <c r="T3" s="254">
        <f>SUM( tabConsumo[[#This Row],[QTD.PENDENTE]]:tabConsumo[[#This Row],[07_23]] ) / tabConsumo[[#This Row],[Div]]</f>
        <v>453.41666666666669</v>
      </c>
      <c r="U3" s="255">
        <f xml:space="preserve"> tabConsumo[[#This Row],[Média.A]] + (_xlfn.STDEV.S( tabConsumo[[#This Row],[QTD.PENDENTE]]:tabConsumo[[#This Row],[07_23]] ) * 1)</f>
        <v>1020.6585516333942</v>
      </c>
      <c r="V3" s="255">
        <f xml:space="preserve"> tabConsumo[[#This Row],[Média.A]] + (_xlfn.STDEV.S( tabConsumo[[#This Row],[QTD.PENDENTE]]:tabConsumo[[#This Row],[07_23]] ) * 2)</f>
        <v>1587.9004366001216</v>
      </c>
      <c r="W3" s="255">
        <f xml:space="preserve"> tabConsumo[[#This Row],[Média.A]] + (_xlfn.STDEV.S( tabConsumo[[#This Row],[QTD.PENDENTE]]:tabConsumo[[#This Row],[07_23]] ) * 3)</f>
        <v>2155.1423215668488</v>
      </c>
      <c r="X3" s="5">
        <f t="shared" ref="X3:X66" si="0" xml:space="preserve"> 2</f>
        <v>2</v>
      </c>
      <c r="Y3" s="256">
        <v>435.66666666666669</v>
      </c>
      <c r="Z3" s="257">
        <f>SUM( tabConsumo[[#This Row],[QTD.PENDENTE]]:tabConsumo[[#This Row],[07_23]] )</f>
        <v>5441</v>
      </c>
      <c r="AA3" s="257">
        <f>LARGE(tabConsumo[[#This Row],[08_22]:[07_23]],1)</f>
        <v>1800</v>
      </c>
      <c r="AB3" s="175" t="s">
        <v>2211</v>
      </c>
      <c r="AC3" s="259" t="s">
        <v>2064</v>
      </c>
      <c r="AD3" s="175"/>
      <c r="AE3" s="252"/>
      <c r="AF3" s="253"/>
      <c r="AG3" s="254"/>
      <c r="AH3" s="255"/>
      <c r="AI3" s="255"/>
      <c r="AJ3" s="255"/>
      <c r="AK3" s="5"/>
      <c r="AL3" s="256"/>
      <c r="AM3" s="257"/>
      <c r="AN3" s="257"/>
      <c r="AO3" s="175"/>
      <c r="AP3" s="3"/>
    </row>
    <row r="4" spans="1:62" x14ac:dyDescent="0.3">
      <c r="A4" s="4" t="s">
        <v>1545</v>
      </c>
      <c r="B4" s="3" t="s">
        <v>256</v>
      </c>
      <c r="C4" s="2">
        <v>95229</v>
      </c>
      <c r="D4" s="2">
        <v>0</v>
      </c>
      <c r="E4" s="2">
        <v>387</v>
      </c>
      <c r="F4" s="2">
        <v>850</v>
      </c>
      <c r="G4" s="2">
        <v>850</v>
      </c>
      <c r="H4" s="2">
        <v>500</v>
      </c>
      <c r="I4" s="2">
        <v>350</v>
      </c>
      <c r="J4" s="2">
        <v>900</v>
      </c>
      <c r="K4" s="2">
        <v>400</v>
      </c>
      <c r="L4" s="2">
        <v>870</v>
      </c>
      <c r="M4" s="2">
        <v>1332</v>
      </c>
      <c r="N4" s="2">
        <v>851</v>
      </c>
      <c r="O4" s="2">
        <v>1203</v>
      </c>
      <c r="P4" s="2">
        <v>3200</v>
      </c>
      <c r="Q4" s="2">
        <v>113</v>
      </c>
      <c r="R4" s="274">
        <v>39007</v>
      </c>
      <c r="S4" s="253">
        <v>12</v>
      </c>
      <c r="T4" s="254">
        <f>SUM( tabConsumo[[#This Row],[QTD.PENDENTE]]:tabConsumo[[#This Row],[07_23]] ) / tabConsumo[[#This Row],[Div]]</f>
        <v>983.83333333333337</v>
      </c>
      <c r="U4" s="255">
        <f xml:space="preserve"> tabConsumo[[#This Row],[Média.A]] + (_xlfn.STDEV.S( tabConsumo[[#This Row],[QTD.PENDENTE]]:tabConsumo[[#This Row],[07_23]] ) * 1)</f>
        <v>1756.8635015839916</v>
      </c>
      <c r="V4" s="255">
        <f xml:space="preserve"> tabConsumo[[#This Row],[Média.A]] + (_xlfn.STDEV.S( tabConsumo[[#This Row],[QTD.PENDENTE]]:tabConsumo[[#This Row],[07_23]] ) * 2)</f>
        <v>2529.8936698346497</v>
      </c>
      <c r="W4" s="255">
        <f xml:space="preserve"> tabConsumo[[#This Row],[Média.A]] + (_xlfn.STDEV.S( tabConsumo[[#This Row],[QTD.PENDENTE]]:tabConsumo[[#This Row],[07_23]] ) * 3)</f>
        <v>3302.923838085308</v>
      </c>
      <c r="X4" s="5">
        <f t="shared" si="0"/>
        <v>2</v>
      </c>
      <c r="Y4">
        <v>927.91666666666663</v>
      </c>
      <c r="Z4" s="257">
        <f>SUM( tabConsumo[[#This Row],[QTD.PENDENTE]]:tabConsumo[[#This Row],[07_23]] )</f>
        <v>11806</v>
      </c>
      <c r="AA4" s="257">
        <f>LARGE(tabConsumo[[#This Row],[08_22]:[07_23]],1)</f>
        <v>3200</v>
      </c>
      <c r="AB4" s="175" t="s">
        <v>2211</v>
      </c>
      <c r="AC4" s="3" t="s">
        <v>2064</v>
      </c>
    </row>
    <row r="5" spans="1:62" x14ac:dyDescent="0.3">
      <c r="A5" s="4" t="s">
        <v>1438</v>
      </c>
      <c r="B5" s="3" t="s">
        <v>256</v>
      </c>
      <c r="C5" s="2">
        <v>78399</v>
      </c>
      <c r="D5" s="2">
        <v>325</v>
      </c>
      <c r="F5" s="2">
        <v>0</v>
      </c>
      <c r="G5" s="2">
        <v>45</v>
      </c>
      <c r="H5" s="2">
        <v>0</v>
      </c>
      <c r="I5" s="2">
        <v>6</v>
      </c>
      <c r="J5" s="2">
        <v>0</v>
      </c>
      <c r="K5" s="2">
        <v>0</v>
      </c>
      <c r="L5" s="2">
        <v>0</v>
      </c>
      <c r="M5" s="2">
        <v>0</v>
      </c>
      <c r="N5" s="2">
        <v>0</v>
      </c>
      <c r="O5" s="2">
        <v>0</v>
      </c>
      <c r="P5" s="2">
        <v>0</v>
      </c>
      <c r="Q5" s="2">
        <v>10</v>
      </c>
      <c r="R5" s="274">
        <v>38096</v>
      </c>
      <c r="S5" s="253">
        <v>12</v>
      </c>
      <c r="T5" s="254">
        <f>SUM( tabConsumo[[#This Row],[QTD.PENDENTE]]:tabConsumo[[#This Row],[07_23]] ) / tabConsumo[[#This Row],[Div]]</f>
        <v>5.083333333333333</v>
      </c>
      <c r="U5" s="255">
        <f xml:space="preserve"> tabConsumo[[#This Row],[Média.A]] + (_xlfn.STDEV.S( tabConsumo[[#This Row],[QTD.PENDENTE]]:tabConsumo[[#This Row],[07_23]] ) * 1)</f>
        <v>18.055039139246119</v>
      </c>
      <c r="V5" s="255">
        <f xml:space="preserve"> tabConsumo[[#This Row],[Média.A]] + (_xlfn.STDEV.S( tabConsumo[[#This Row],[QTD.PENDENTE]]:tabConsumo[[#This Row],[07_23]] ) * 2)</f>
        <v>31.026744945158907</v>
      </c>
      <c r="W5" s="255">
        <f xml:space="preserve"> tabConsumo[[#This Row],[Média.A]] + (_xlfn.STDEV.S( tabConsumo[[#This Row],[QTD.PENDENTE]]:tabConsumo[[#This Row],[07_23]] ) * 3)</f>
        <v>43.998450751071694</v>
      </c>
      <c r="X5" s="5">
        <f t="shared" si="0"/>
        <v>2</v>
      </c>
      <c r="Y5">
        <v>3.9166666666666665</v>
      </c>
      <c r="Z5" s="257">
        <f>SUM( tabConsumo[[#This Row],[QTD.PENDENTE]]:tabConsumo[[#This Row],[07_23]] )</f>
        <v>61</v>
      </c>
      <c r="AA5" s="257">
        <f>LARGE(tabConsumo[[#This Row],[08_22]:[07_23]],1)</f>
        <v>45</v>
      </c>
      <c r="AB5" s="175" t="s">
        <v>2211</v>
      </c>
      <c r="AC5" s="3" t="s">
        <v>2064</v>
      </c>
    </row>
    <row r="6" spans="1:62" x14ac:dyDescent="0.3">
      <c r="A6" s="4" t="s">
        <v>1051</v>
      </c>
      <c r="B6" s="3" t="s">
        <v>256</v>
      </c>
      <c r="C6" s="2">
        <v>14013</v>
      </c>
      <c r="D6" s="2">
        <v>390</v>
      </c>
      <c r="F6" s="2">
        <v>26</v>
      </c>
      <c r="G6" s="2">
        <v>70</v>
      </c>
      <c r="H6" s="2">
        <v>30</v>
      </c>
      <c r="I6" s="2">
        <v>55</v>
      </c>
      <c r="J6" s="2">
        <v>70</v>
      </c>
      <c r="K6" s="2">
        <v>40</v>
      </c>
      <c r="L6" s="2">
        <v>50</v>
      </c>
      <c r="M6" s="2">
        <v>62</v>
      </c>
      <c r="N6" s="2">
        <v>90</v>
      </c>
      <c r="O6" s="2">
        <v>0</v>
      </c>
      <c r="P6" s="2">
        <v>100</v>
      </c>
      <c r="Q6" s="2">
        <v>0</v>
      </c>
      <c r="R6" s="274">
        <v>367</v>
      </c>
      <c r="S6" s="253">
        <f t="shared" ref="S6:S16" si="1" xml:space="preserve"> 12</f>
        <v>12</v>
      </c>
      <c r="T6" s="254">
        <f>SUM( tabConsumo[[#This Row],[QTD.PENDENTE]]:tabConsumo[[#This Row],[07_23]] ) / tabConsumo[[#This Row],[Div]]</f>
        <v>49.416666666666664</v>
      </c>
      <c r="U6" s="255">
        <f xml:space="preserve"> tabConsumo[[#This Row],[Média.A]] + (_xlfn.STDEV.S( tabConsumo[[#This Row],[QTD.PENDENTE]]:tabConsumo[[#This Row],[07_23]] ) * 1)</f>
        <v>81.241352149175455</v>
      </c>
      <c r="V6" s="255">
        <f xml:space="preserve"> tabConsumo[[#This Row],[Média.A]] + (_xlfn.STDEV.S( tabConsumo[[#This Row],[QTD.PENDENTE]]:tabConsumo[[#This Row],[07_23]] ) * 2)</f>
        <v>113.06603763168425</v>
      </c>
      <c r="W6" s="255">
        <f xml:space="preserve"> tabConsumo[[#This Row],[Média.A]] + (_xlfn.STDEV.S( tabConsumo[[#This Row],[QTD.PENDENTE]]:tabConsumo[[#This Row],[07_23]] ) * 3)</f>
        <v>144.89072311419304</v>
      </c>
      <c r="X6" s="5">
        <f t="shared" si="0"/>
        <v>2</v>
      </c>
      <c r="Y6">
        <v>49.416666666666664</v>
      </c>
      <c r="Z6" s="257">
        <f>SUM( tabConsumo[[#This Row],[QTD.PENDENTE]]:tabConsumo[[#This Row],[07_23]] )</f>
        <v>593</v>
      </c>
      <c r="AA6" s="257">
        <f>LARGE(tabConsumo[[#This Row],[08_22]:[07_23]],1)</f>
        <v>100</v>
      </c>
      <c r="AB6" s="175" t="s">
        <v>2212</v>
      </c>
      <c r="AC6" s="3" t="s">
        <v>2064</v>
      </c>
    </row>
    <row r="7" spans="1:62" x14ac:dyDescent="0.3">
      <c r="A7" s="4" t="s">
        <v>1049</v>
      </c>
      <c r="B7" s="3" t="s">
        <v>256</v>
      </c>
      <c r="C7" s="2">
        <v>14012</v>
      </c>
      <c r="D7" s="2">
        <v>3516</v>
      </c>
      <c r="F7" s="2">
        <v>316</v>
      </c>
      <c r="G7" s="2">
        <v>50</v>
      </c>
      <c r="H7" s="2">
        <v>50</v>
      </c>
      <c r="I7" s="2">
        <v>40</v>
      </c>
      <c r="J7" s="2">
        <v>180</v>
      </c>
      <c r="K7" s="2">
        <v>224</v>
      </c>
      <c r="L7" s="2">
        <v>60</v>
      </c>
      <c r="M7" s="2">
        <v>30</v>
      </c>
      <c r="N7" s="2">
        <v>102</v>
      </c>
      <c r="O7" s="2">
        <v>0</v>
      </c>
      <c r="P7" s="2">
        <v>100</v>
      </c>
      <c r="Q7" s="2">
        <v>40</v>
      </c>
      <c r="R7" s="274">
        <v>367</v>
      </c>
      <c r="S7" s="253">
        <f t="shared" si="1"/>
        <v>12</v>
      </c>
      <c r="T7" s="254">
        <f>SUM( tabConsumo[[#This Row],[QTD.PENDENTE]]:tabConsumo[[#This Row],[07_23]] ) / tabConsumo[[#This Row],[Div]]</f>
        <v>99.333333333333329</v>
      </c>
      <c r="U7" s="255">
        <f xml:space="preserve"> tabConsumo[[#This Row],[Média.A]] + (_xlfn.STDEV.S( tabConsumo[[#This Row],[QTD.PENDENTE]]:tabConsumo[[#This Row],[07_23]] ) * 1)</f>
        <v>193.30173550161862</v>
      </c>
      <c r="V7" s="255">
        <f xml:space="preserve"> tabConsumo[[#This Row],[Média.A]] + (_xlfn.STDEV.S( tabConsumo[[#This Row],[QTD.PENDENTE]]:tabConsumo[[#This Row],[07_23]] ) * 2)</f>
        <v>287.27013766990393</v>
      </c>
      <c r="W7" s="255">
        <f xml:space="preserve"> tabConsumo[[#This Row],[Média.A]] + (_xlfn.STDEV.S( tabConsumo[[#This Row],[QTD.PENDENTE]]:tabConsumo[[#This Row],[07_23]] ) * 3)</f>
        <v>381.23853983818924</v>
      </c>
      <c r="X7" s="5">
        <f t="shared" si="0"/>
        <v>2</v>
      </c>
      <c r="Y7">
        <v>96.916666666666671</v>
      </c>
      <c r="Z7" s="257">
        <f>SUM( tabConsumo[[#This Row],[QTD.PENDENTE]]:tabConsumo[[#This Row],[07_23]] )</f>
        <v>1192</v>
      </c>
      <c r="AA7" s="257">
        <f>LARGE(tabConsumo[[#This Row],[08_22]:[07_23]],1)</f>
        <v>316</v>
      </c>
      <c r="AB7" s="175" t="s">
        <v>2211</v>
      </c>
      <c r="AC7" s="3" t="s">
        <v>2064</v>
      </c>
    </row>
    <row r="8" spans="1:62" x14ac:dyDescent="0.3">
      <c r="A8" s="4" t="s">
        <v>918</v>
      </c>
      <c r="B8" s="3" t="s">
        <v>268</v>
      </c>
      <c r="C8" s="2">
        <v>10867</v>
      </c>
      <c r="D8" s="2">
        <v>22834</v>
      </c>
      <c r="E8" s="2">
        <v>164</v>
      </c>
      <c r="F8" s="2">
        <v>3381</v>
      </c>
      <c r="G8" s="2">
        <v>3783</v>
      </c>
      <c r="H8" s="2">
        <v>3367</v>
      </c>
      <c r="I8" s="2">
        <v>4128</v>
      </c>
      <c r="J8" s="2">
        <v>2246</v>
      </c>
      <c r="K8" s="2">
        <v>1272</v>
      </c>
      <c r="L8" s="2">
        <v>3033</v>
      </c>
      <c r="M8" s="2">
        <v>4414</v>
      </c>
      <c r="N8" s="2">
        <v>3250</v>
      </c>
      <c r="O8" s="2">
        <v>3240</v>
      </c>
      <c r="P8" s="2">
        <v>3854</v>
      </c>
      <c r="Q8" s="2">
        <v>3597</v>
      </c>
      <c r="R8" s="274">
        <v>367</v>
      </c>
      <c r="S8" s="253">
        <f t="shared" si="1"/>
        <v>12</v>
      </c>
      <c r="T8" s="254">
        <f>SUM( tabConsumo[[#This Row],[QTD.PENDENTE]]:tabConsumo[[#This Row],[07_23]] ) / tabConsumo[[#This Row],[Div]]</f>
        <v>3310.75</v>
      </c>
      <c r="U8" s="255">
        <f xml:space="preserve"> tabConsumo[[#This Row],[Média.A]] + (_xlfn.STDEV.S( tabConsumo[[#This Row],[QTD.PENDENTE]]:tabConsumo[[#This Row],[07_23]] ) * 1)</f>
        <v>4498.4701172511468</v>
      </c>
      <c r="V8" s="255">
        <f xml:space="preserve"> tabConsumo[[#This Row],[Média.A]] + (_xlfn.STDEV.S( tabConsumo[[#This Row],[QTD.PENDENTE]]:tabConsumo[[#This Row],[07_23]] ) * 2)</f>
        <v>5686.1902345022936</v>
      </c>
      <c r="W8" s="255">
        <f xml:space="preserve"> tabConsumo[[#This Row],[Média.A]] + (_xlfn.STDEV.S( tabConsumo[[#This Row],[QTD.PENDENTE]]:tabConsumo[[#This Row],[07_23]] ) * 3)</f>
        <v>6873.9103517534395</v>
      </c>
      <c r="X8" s="5">
        <f t="shared" si="0"/>
        <v>2</v>
      </c>
      <c r="Y8">
        <v>3310.75</v>
      </c>
      <c r="Z8" s="257">
        <f>SUM( tabConsumo[[#This Row],[QTD.PENDENTE]]:tabConsumo[[#This Row],[07_23]] )</f>
        <v>39729</v>
      </c>
      <c r="AA8" s="257">
        <f>LARGE(tabConsumo[[#This Row],[08_22]:[07_23]],1)</f>
        <v>4414</v>
      </c>
      <c r="AB8" s="175" t="s">
        <v>2211</v>
      </c>
      <c r="AC8" s="3" t="s">
        <v>2064</v>
      </c>
    </row>
    <row r="9" spans="1:62" x14ac:dyDescent="0.3">
      <c r="A9" s="4" t="s">
        <v>1230</v>
      </c>
      <c r="B9" s="3" t="s">
        <v>256</v>
      </c>
      <c r="C9" s="2">
        <v>28181</v>
      </c>
      <c r="D9" s="2">
        <v>12</v>
      </c>
      <c r="F9" s="2">
        <v>3</v>
      </c>
      <c r="G9" s="2">
        <v>0</v>
      </c>
      <c r="H9" s="2">
        <v>0</v>
      </c>
      <c r="I9" s="2">
        <v>0</v>
      </c>
      <c r="J9" s="2">
        <v>0</v>
      </c>
      <c r="K9" s="2">
        <v>0</v>
      </c>
      <c r="L9" s="2">
        <v>0</v>
      </c>
      <c r="M9" s="2">
        <v>0</v>
      </c>
      <c r="N9" s="2">
        <v>5</v>
      </c>
      <c r="O9" s="2">
        <v>0</v>
      </c>
      <c r="P9" s="2">
        <v>0</v>
      </c>
      <c r="Q9" s="2">
        <v>0</v>
      </c>
      <c r="R9" s="274">
        <v>367</v>
      </c>
      <c r="S9" s="253">
        <f t="shared" si="1"/>
        <v>12</v>
      </c>
      <c r="T9" s="254">
        <f>SUM( tabConsumo[[#This Row],[QTD.PENDENTE]]:tabConsumo[[#This Row],[07_23]] ) / tabConsumo[[#This Row],[Div]]</f>
        <v>0.66666666666666663</v>
      </c>
      <c r="U9" s="255">
        <f xml:space="preserve"> tabConsumo[[#This Row],[Média.A]] + (_xlfn.STDEV.S( tabConsumo[[#This Row],[QTD.PENDENTE]]:tabConsumo[[#This Row],[07_23]] ) * 1)</f>
        <v>2.2809964365899638</v>
      </c>
      <c r="V9" s="255">
        <f xml:space="preserve"> tabConsumo[[#This Row],[Média.A]] + (_xlfn.STDEV.S( tabConsumo[[#This Row],[QTD.PENDENTE]]:tabConsumo[[#This Row],[07_23]] ) * 2)</f>
        <v>3.895326206513261</v>
      </c>
      <c r="W9" s="255">
        <f xml:space="preserve"> tabConsumo[[#This Row],[Média.A]] + (_xlfn.STDEV.S( tabConsumo[[#This Row],[QTD.PENDENTE]]:tabConsumo[[#This Row],[07_23]] ) * 3)</f>
        <v>5.5096559764365587</v>
      </c>
      <c r="X9" s="5">
        <f t="shared" si="0"/>
        <v>2</v>
      </c>
      <c r="Y9">
        <v>0.5</v>
      </c>
      <c r="Z9" s="257">
        <f>SUM( tabConsumo[[#This Row],[QTD.PENDENTE]]:tabConsumo[[#This Row],[07_23]] )</f>
        <v>8</v>
      </c>
      <c r="AA9" s="257">
        <f>LARGE(tabConsumo[[#This Row],[08_22]:[07_23]],1)</f>
        <v>5</v>
      </c>
      <c r="AB9" s="175" t="s">
        <v>2213</v>
      </c>
      <c r="AC9" s="3" t="s">
        <v>2064</v>
      </c>
    </row>
    <row r="10" spans="1:62" x14ac:dyDescent="0.3">
      <c r="A10" s="4" t="s">
        <v>966</v>
      </c>
      <c r="B10" s="3" t="s">
        <v>256</v>
      </c>
      <c r="C10" s="2">
        <v>12824</v>
      </c>
      <c r="D10" s="2">
        <v>92</v>
      </c>
      <c r="F10" s="2">
        <v>2</v>
      </c>
      <c r="G10" s="2">
        <v>5</v>
      </c>
      <c r="H10" s="2">
        <v>4</v>
      </c>
      <c r="I10" s="2">
        <v>0</v>
      </c>
      <c r="J10" s="2">
        <v>4</v>
      </c>
      <c r="K10" s="2">
        <v>0</v>
      </c>
      <c r="L10" s="2">
        <v>2</v>
      </c>
      <c r="M10" s="2">
        <v>0</v>
      </c>
      <c r="N10" s="2">
        <v>5</v>
      </c>
      <c r="O10" s="2">
        <v>0</v>
      </c>
      <c r="P10" s="2">
        <v>0</v>
      </c>
      <c r="Q10" s="2">
        <v>0</v>
      </c>
      <c r="R10" s="274">
        <v>367</v>
      </c>
      <c r="S10" s="253">
        <f t="shared" si="1"/>
        <v>12</v>
      </c>
      <c r="T10" s="254">
        <f>SUM( tabConsumo[[#This Row],[QTD.PENDENTE]]:tabConsumo[[#This Row],[07_23]] ) / tabConsumo[[#This Row],[Div]]</f>
        <v>1.8333333333333333</v>
      </c>
      <c r="U10" s="255">
        <f xml:space="preserve"> tabConsumo[[#This Row],[Média.A]] + (_xlfn.STDEV.S( tabConsumo[[#This Row],[QTD.PENDENTE]]:tabConsumo[[#This Row],[07_23]] ) * 1)</f>
        <v>3.9582219222131156</v>
      </c>
      <c r="V10" s="255">
        <f xml:space="preserve"> tabConsumo[[#This Row],[Média.A]] + (_xlfn.STDEV.S( tabConsumo[[#This Row],[QTD.PENDENTE]]:tabConsumo[[#This Row],[07_23]] ) * 2)</f>
        <v>6.0831105110928982</v>
      </c>
      <c r="W10" s="255">
        <f xml:space="preserve"> tabConsumo[[#This Row],[Média.A]] + (_xlfn.STDEV.S( tabConsumo[[#This Row],[QTD.PENDENTE]]:tabConsumo[[#This Row],[07_23]] ) * 3)</f>
        <v>8.2079990999726817</v>
      </c>
      <c r="X10" s="5">
        <f t="shared" si="0"/>
        <v>2</v>
      </c>
      <c r="Y10">
        <v>1.8333333333333333</v>
      </c>
      <c r="Z10" s="257">
        <f>SUM( tabConsumo[[#This Row],[QTD.PENDENTE]]:tabConsumo[[#This Row],[07_23]] )</f>
        <v>22</v>
      </c>
      <c r="AA10" s="257">
        <f>LARGE(tabConsumo[[#This Row],[08_22]:[07_23]],1)</f>
        <v>5</v>
      </c>
      <c r="AB10" s="175" t="s">
        <v>2213</v>
      </c>
      <c r="AC10" s="3" t="s">
        <v>2064</v>
      </c>
    </row>
    <row r="11" spans="1:62" x14ac:dyDescent="0.3">
      <c r="A11" s="4" t="s">
        <v>965</v>
      </c>
      <c r="B11" s="3" t="s">
        <v>256</v>
      </c>
      <c r="C11" s="2">
        <v>12821</v>
      </c>
      <c r="D11" s="2">
        <v>137</v>
      </c>
      <c r="F11" s="2">
        <v>3</v>
      </c>
      <c r="G11" s="2">
        <v>2</v>
      </c>
      <c r="H11" s="2">
        <v>0</v>
      </c>
      <c r="I11" s="2">
        <v>0</v>
      </c>
      <c r="J11" s="2">
        <v>0</v>
      </c>
      <c r="K11" s="2">
        <v>0</v>
      </c>
      <c r="L11" s="2">
        <v>1</v>
      </c>
      <c r="M11" s="2">
        <v>0</v>
      </c>
      <c r="N11" s="2">
        <v>7</v>
      </c>
      <c r="O11" s="2">
        <v>0</v>
      </c>
      <c r="P11" s="2">
        <v>0</v>
      </c>
      <c r="Q11" s="2">
        <v>0</v>
      </c>
      <c r="R11" s="274">
        <v>367</v>
      </c>
      <c r="S11" s="253">
        <f t="shared" si="1"/>
        <v>12</v>
      </c>
      <c r="T11" s="254">
        <f>SUM( tabConsumo[[#This Row],[QTD.PENDENTE]]:tabConsumo[[#This Row],[07_23]] ) / tabConsumo[[#This Row],[Div]]</f>
        <v>1.0833333333333333</v>
      </c>
      <c r="U11" s="255">
        <f xml:space="preserve"> tabConsumo[[#This Row],[Média.A]] + (_xlfn.STDEV.S( tabConsumo[[#This Row],[QTD.PENDENTE]]:tabConsumo[[#This Row],[07_23]] ) * 1)</f>
        <v>3.1921172712866026</v>
      </c>
      <c r="V11" s="255">
        <f xml:space="preserve"> tabConsumo[[#This Row],[Média.A]] + (_xlfn.STDEV.S( tabConsumo[[#This Row],[QTD.PENDENTE]]:tabConsumo[[#This Row],[07_23]] ) * 2)</f>
        <v>5.3009012092398713</v>
      </c>
      <c r="W11" s="255">
        <f xml:space="preserve"> tabConsumo[[#This Row],[Média.A]] + (_xlfn.STDEV.S( tabConsumo[[#This Row],[QTD.PENDENTE]]:tabConsumo[[#This Row],[07_23]] ) * 3)</f>
        <v>7.40968514719314</v>
      </c>
      <c r="X11" s="5">
        <f t="shared" si="0"/>
        <v>2</v>
      </c>
      <c r="Y11">
        <v>0.91666666666666663</v>
      </c>
      <c r="Z11" s="257">
        <f>SUM( tabConsumo[[#This Row],[QTD.PENDENTE]]:tabConsumo[[#This Row],[07_23]] )</f>
        <v>13</v>
      </c>
      <c r="AA11" s="257">
        <f>LARGE(tabConsumo[[#This Row],[08_22]:[07_23]],1)</f>
        <v>7</v>
      </c>
      <c r="AB11" s="175" t="s">
        <v>2213</v>
      </c>
      <c r="AC11" s="3" t="s">
        <v>2064</v>
      </c>
    </row>
    <row r="12" spans="1:62" x14ac:dyDescent="0.3">
      <c r="A12" s="4" t="s">
        <v>963</v>
      </c>
      <c r="B12" s="3" t="s">
        <v>256</v>
      </c>
      <c r="C12" s="2">
        <v>12813</v>
      </c>
      <c r="D12" s="2">
        <v>61</v>
      </c>
      <c r="F12" s="2">
        <v>0</v>
      </c>
      <c r="G12" s="2">
        <v>10</v>
      </c>
      <c r="H12" s="2">
        <v>2</v>
      </c>
      <c r="I12" s="2">
        <v>4</v>
      </c>
      <c r="J12" s="2">
        <v>0</v>
      </c>
      <c r="K12" s="2">
        <v>0</v>
      </c>
      <c r="L12" s="2">
        <v>0</v>
      </c>
      <c r="M12" s="2">
        <v>6</v>
      </c>
      <c r="N12" s="2">
        <v>5</v>
      </c>
      <c r="O12" s="2">
        <v>0</v>
      </c>
      <c r="P12" s="2">
        <v>0</v>
      </c>
      <c r="Q12" s="2">
        <v>0</v>
      </c>
      <c r="R12" s="274">
        <v>367</v>
      </c>
      <c r="S12" s="253">
        <f t="shared" si="1"/>
        <v>12</v>
      </c>
      <c r="T12" s="254">
        <f>SUM( tabConsumo[[#This Row],[QTD.PENDENTE]]:tabConsumo[[#This Row],[07_23]] ) / tabConsumo[[#This Row],[Div]]</f>
        <v>2.25</v>
      </c>
      <c r="U12" s="255">
        <f xml:space="preserve"> tabConsumo[[#This Row],[Média.A]] + (_xlfn.STDEV.S( tabConsumo[[#This Row],[QTD.PENDENTE]]:tabConsumo[[#This Row],[07_23]] ) * 1)</f>
        <v>5.5563300170760606</v>
      </c>
      <c r="V12" s="255">
        <f xml:space="preserve"> tabConsumo[[#This Row],[Média.A]] + (_xlfn.STDEV.S( tabConsumo[[#This Row],[QTD.PENDENTE]]:tabConsumo[[#This Row],[07_23]] ) * 2)</f>
        <v>8.8626600341521211</v>
      </c>
      <c r="W12" s="255">
        <f xml:space="preserve"> tabConsumo[[#This Row],[Média.A]] + (_xlfn.STDEV.S( tabConsumo[[#This Row],[QTD.PENDENTE]]:tabConsumo[[#This Row],[07_23]] ) * 3)</f>
        <v>12.168990051228182</v>
      </c>
      <c r="X12" s="5">
        <f t="shared" si="0"/>
        <v>2</v>
      </c>
      <c r="Y12">
        <v>2.0833333333333335</v>
      </c>
      <c r="Z12" s="257">
        <f>SUM( tabConsumo[[#This Row],[QTD.PENDENTE]]:tabConsumo[[#This Row],[07_23]] )</f>
        <v>27</v>
      </c>
      <c r="AA12" s="257">
        <f>LARGE(tabConsumo[[#This Row],[08_22]:[07_23]],1)</f>
        <v>10</v>
      </c>
      <c r="AB12" s="175" t="s">
        <v>2213</v>
      </c>
      <c r="AC12" s="3" t="s">
        <v>2064</v>
      </c>
    </row>
    <row r="13" spans="1:62" x14ac:dyDescent="0.3">
      <c r="A13" s="4" t="s">
        <v>967</v>
      </c>
      <c r="B13" s="3" t="s">
        <v>256</v>
      </c>
      <c r="C13" s="2">
        <v>12830</v>
      </c>
      <c r="D13" s="2">
        <v>1482</v>
      </c>
      <c r="F13" s="2">
        <v>20</v>
      </c>
      <c r="G13" s="2">
        <v>30</v>
      </c>
      <c r="H13" s="2">
        <v>7</v>
      </c>
      <c r="I13" s="2">
        <v>27</v>
      </c>
      <c r="J13" s="2">
        <v>17</v>
      </c>
      <c r="K13" s="2">
        <v>12</v>
      </c>
      <c r="L13" s="2">
        <v>12</v>
      </c>
      <c r="M13" s="2">
        <v>27</v>
      </c>
      <c r="N13" s="2">
        <v>25</v>
      </c>
      <c r="O13" s="2">
        <v>80</v>
      </c>
      <c r="P13" s="2">
        <v>30</v>
      </c>
      <c r="Q13" s="2">
        <v>0</v>
      </c>
      <c r="R13" s="274">
        <v>367</v>
      </c>
      <c r="S13" s="253">
        <f t="shared" si="1"/>
        <v>12</v>
      </c>
      <c r="T13" s="254">
        <f>SUM( tabConsumo[[#This Row],[QTD.PENDENTE]]:tabConsumo[[#This Row],[07_23]] ) / tabConsumo[[#This Row],[Div]]</f>
        <v>23.916666666666668</v>
      </c>
      <c r="U13" s="255">
        <f xml:space="preserve"> tabConsumo[[#This Row],[Média.A]] + (_xlfn.STDEV.S( tabConsumo[[#This Row],[QTD.PENDENTE]]:tabConsumo[[#This Row],[07_23]] ) * 1)</f>
        <v>44.01849079616629</v>
      </c>
      <c r="V13" s="255">
        <f xml:space="preserve"> tabConsumo[[#This Row],[Média.A]] + (_xlfn.STDEV.S( tabConsumo[[#This Row],[QTD.PENDENTE]]:tabConsumo[[#This Row],[07_23]] ) * 2)</f>
        <v>64.120314925665923</v>
      </c>
      <c r="W13" s="255">
        <f xml:space="preserve"> tabConsumo[[#This Row],[Média.A]] + (_xlfn.STDEV.S( tabConsumo[[#This Row],[QTD.PENDENTE]]:tabConsumo[[#This Row],[07_23]] ) * 3)</f>
        <v>84.222139055165542</v>
      </c>
      <c r="X13" s="5">
        <f t="shared" si="0"/>
        <v>2</v>
      </c>
      <c r="Y13">
        <v>22.583333333333332</v>
      </c>
      <c r="Z13" s="257">
        <f>SUM( tabConsumo[[#This Row],[QTD.PENDENTE]]:tabConsumo[[#This Row],[07_23]] )</f>
        <v>287</v>
      </c>
      <c r="AA13" s="257">
        <f>LARGE(tabConsumo[[#This Row],[08_22]:[07_23]],1)</f>
        <v>80</v>
      </c>
      <c r="AB13" s="175" t="s">
        <v>2212</v>
      </c>
      <c r="AC13" s="3" t="s">
        <v>2064</v>
      </c>
    </row>
    <row r="14" spans="1:62" x14ac:dyDescent="0.3">
      <c r="A14" s="4" t="s">
        <v>968</v>
      </c>
      <c r="B14" s="3" t="s">
        <v>256</v>
      </c>
      <c r="C14" s="2">
        <v>12835</v>
      </c>
      <c r="D14" s="2">
        <v>209</v>
      </c>
      <c r="F14" s="2">
        <v>34</v>
      </c>
      <c r="G14" s="2">
        <v>25</v>
      </c>
      <c r="H14" s="2">
        <v>4</v>
      </c>
      <c r="I14" s="2">
        <v>2</v>
      </c>
      <c r="J14" s="2">
        <v>20</v>
      </c>
      <c r="K14" s="2">
        <v>18</v>
      </c>
      <c r="L14" s="2">
        <v>0</v>
      </c>
      <c r="M14" s="2">
        <v>10</v>
      </c>
      <c r="N14" s="2">
        <v>45</v>
      </c>
      <c r="O14" s="2">
        <v>100</v>
      </c>
      <c r="P14" s="2">
        <v>0</v>
      </c>
      <c r="Q14" s="2">
        <v>0</v>
      </c>
      <c r="R14" s="274">
        <v>367</v>
      </c>
      <c r="S14" s="253">
        <f t="shared" si="1"/>
        <v>12</v>
      </c>
      <c r="T14" s="254">
        <f>SUM( tabConsumo[[#This Row],[QTD.PENDENTE]]:tabConsumo[[#This Row],[07_23]] ) / tabConsumo[[#This Row],[Div]]</f>
        <v>21.5</v>
      </c>
      <c r="U14" s="255">
        <f xml:space="preserve"> tabConsumo[[#This Row],[Média.A]] + (_xlfn.STDEV.S( tabConsumo[[#This Row],[QTD.PENDENTE]]:tabConsumo[[#This Row],[07_23]] ) * 1)</f>
        <v>50.267089782344243</v>
      </c>
      <c r="V14" s="255">
        <f xml:space="preserve"> tabConsumo[[#This Row],[Média.A]] + (_xlfn.STDEV.S( tabConsumo[[#This Row],[QTD.PENDENTE]]:tabConsumo[[#This Row],[07_23]] ) * 2)</f>
        <v>79.034179564688486</v>
      </c>
      <c r="W14" s="255">
        <f xml:space="preserve"> tabConsumo[[#This Row],[Média.A]] + (_xlfn.STDEV.S( tabConsumo[[#This Row],[QTD.PENDENTE]]:tabConsumo[[#This Row],[07_23]] ) * 3)</f>
        <v>107.80126934703273</v>
      </c>
      <c r="X14" s="5">
        <f t="shared" si="0"/>
        <v>2</v>
      </c>
      <c r="Y14">
        <v>19.75</v>
      </c>
      <c r="Z14" s="257">
        <f>SUM( tabConsumo[[#This Row],[QTD.PENDENTE]]:tabConsumo[[#This Row],[07_23]] )</f>
        <v>258</v>
      </c>
      <c r="AA14" s="257">
        <f>LARGE(tabConsumo[[#This Row],[08_22]:[07_23]],1)</f>
        <v>100</v>
      </c>
      <c r="AB14" s="175" t="s">
        <v>2214</v>
      </c>
      <c r="AC14" s="3" t="s">
        <v>2064</v>
      </c>
    </row>
    <row r="15" spans="1:62" x14ac:dyDescent="0.3">
      <c r="A15" s="4" t="s">
        <v>1231</v>
      </c>
      <c r="B15" s="3" t="s">
        <v>256</v>
      </c>
      <c r="C15" s="2">
        <v>28184</v>
      </c>
      <c r="D15" s="2">
        <v>410</v>
      </c>
      <c r="F15" s="2">
        <v>2</v>
      </c>
      <c r="G15" s="2">
        <v>8</v>
      </c>
      <c r="H15" s="2">
        <v>10</v>
      </c>
      <c r="I15" s="2">
        <v>6</v>
      </c>
      <c r="J15" s="2">
        <v>19</v>
      </c>
      <c r="K15" s="2">
        <v>10</v>
      </c>
      <c r="L15" s="2">
        <v>10</v>
      </c>
      <c r="M15" s="2">
        <v>38</v>
      </c>
      <c r="N15" s="2">
        <v>24</v>
      </c>
      <c r="O15" s="2">
        <v>0</v>
      </c>
      <c r="P15" s="2">
        <v>0</v>
      </c>
      <c r="Q15" s="2">
        <v>0</v>
      </c>
      <c r="R15" s="274">
        <v>367</v>
      </c>
      <c r="S15" s="253">
        <f t="shared" si="1"/>
        <v>12</v>
      </c>
      <c r="T15" s="254">
        <f>SUM( tabConsumo[[#This Row],[QTD.PENDENTE]]:tabConsumo[[#This Row],[07_23]] ) / tabConsumo[[#This Row],[Div]]</f>
        <v>10.583333333333334</v>
      </c>
      <c r="U15" s="255">
        <f xml:space="preserve"> tabConsumo[[#This Row],[Média.A]] + (_xlfn.STDEV.S( tabConsumo[[#This Row],[QTD.PENDENTE]]:tabConsumo[[#This Row],[07_23]] ) * 1)</f>
        <v>22.028525522301777</v>
      </c>
      <c r="V15" s="255">
        <f xml:space="preserve"> tabConsumo[[#This Row],[Média.A]] + (_xlfn.STDEV.S( tabConsumo[[#This Row],[QTD.PENDENTE]]:tabConsumo[[#This Row],[07_23]] ) * 2)</f>
        <v>33.473717711270218</v>
      </c>
      <c r="W15" s="255">
        <f xml:space="preserve"> tabConsumo[[#This Row],[Média.A]] + (_xlfn.STDEV.S( tabConsumo[[#This Row],[QTD.PENDENTE]]:tabConsumo[[#This Row],[07_23]] ) * 3)</f>
        <v>44.918909900238667</v>
      </c>
      <c r="X15" s="5">
        <f t="shared" si="0"/>
        <v>2</v>
      </c>
      <c r="Y15">
        <v>10.166666666666666</v>
      </c>
      <c r="Z15" s="257">
        <f>SUM( tabConsumo[[#This Row],[QTD.PENDENTE]]:tabConsumo[[#This Row],[07_23]] )</f>
        <v>127</v>
      </c>
      <c r="AA15" s="257">
        <f>LARGE(tabConsumo[[#This Row],[08_22]:[07_23]],1)</f>
        <v>38</v>
      </c>
      <c r="AB15" s="175" t="s">
        <v>2213</v>
      </c>
      <c r="AC15" s="3" t="s">
        <v>2064</v>
      </c>
    </row>
    <row r="16" spans="1:62" x14ac:dyDescent="0.3">
      <c r="A16" s="4" t="s">
        <v>1109</v>
      </c>
      <c r="B16" s="3" t="s">
        <v>1067</v>
      </c>
      <c r="C16" s="2">
        <v>16053</v>
      </c>
      <c r="D16" s="2">
        <v>0</v>
      </c>
      <c r="E16" s="2">
        <v>16</v>
      </c>
      <c r="F16" s="2">
        <v>17</v>
      </c>
      <c r="G16" s="2">
        <v>19</v>
      </c>
      <c r="H16" s="2">
        <v>10</v>
      </c>
      <c r="I16" s="2">
        <v>21</v>
      </c>
      <c r="J16" s="2">
        <v>8</v>
      </c>
      <c r="K16" s="2">
        <v>20</v>
      </c>
      <c r="L16" s="2">
        <v>10</v>
      </c>
      <c r="M16" s="2">
        <v>4</v>
      </c>
      <c r="N16" s="2">
        <v>5</v>
      </c>
      <c r="O16" s="2">
        <v>22</v>
      </c>
      <c r="P16" s="2">
        <v>10</v>
      </c>
      <c r="Q16" s="2">
        <v>15</v>
      </c>
      <c r="R16" s="274">
        <v>367</v>
      </c>
      <c r="S16" s="253">
        <f t="shared" si="1"/>
        <v>12</v>
      </c>
      <c r="T16" s="254">
        <f>SUM( tabConsumo[[#This Row],[QTD.PENDENTE]]:tabConsumo[[#This Row],[07_23]] ) / tabConsumo[[#This Row],[Div]]</f>
        <v>14.75</v>
      </c>
      <c r="U16" s="255">
        <f xml:space="preserve"> tabConsumo[[#This Row],[Média.A]] + (_xlfn.STDEV.S( tabConsumo[[#This Row],[QTD.PENDENTE]]:tabConsumo[[#This Row],[07_23]] ) * 1)</f>
        <v>20.881047511620146</v>
      </c>
      <c r="V16" s="255">
        <f xml:space="preserve"> tabConsumo[[#This Row],[Média.A]] + (_xlfn.STDEV.S( tabConsumo[[#This Row],[QTD.PENDENTE]]:tabConsumo[[#This Row],[07_23]] ) * 2)</f>
        <v>27.012095023240292</v>
      </c>
      <c r="W16" s="255">
        <f xml:space="preserve"> tabConsumo[[#This Row],[Média.A]] + (_xlfn.STDEV.S( tabConsumo[[#This Row],[QTD.PENDENTE]]:tabConsumo[[#This Row],[07_23]] ) * 3)</f>
        <v>33.143142534860431</v>
      </c>
      <c r="X16" s="5">
        <f t="shared" si="0"/>
        <v>2</v>
      </c>
      <c r="Y16">
        <v>14.75</v>
      </c>
      <c r="Z16" s="257">
        <f>SUM( tabConsumo[[#This Row],[QTD.PENDENTE]]:tabConsumo[[#This Row],[07_23]] )</f>
        <v>177</v>
      </c>
      <c r="AA16" s="257">
        <f>LARGE(tabConsumo[[#This Row],[08_22]:[07_23]],1)</f>
        <v>22</v>
      </c>
      <c r="AB16" s="175" t="s">
        <v>2211</v>
      </c>
      <c r="AC16" s="3" t="s">
        <v>2064</v>
      </c>
    </row>
    <row r="17" spans="1:29" x14ac:dyDescent="0.3">
      <c r="A17" s="4" t="s">
        <v>2011</v>
      </c>
      <c r="B17" s="3" t="s">
        <v>270</v>
      </c>
      <c r="C17" s="2">
        <v>140326</v>
      </c>
      <c r="D17" s="2">
        <v>0</v>
      </c>
      <c r="E17" s="2">
        <v>20</v>
      </c>
      <c r="F17" s="2">
        <v>55</v>
      </c>
      <c r="G17" s="2">
        <v>123</v>
      </c>
      <c r="H17" s="2">
        <v>96</v>
      </c>
      <c r="I17" s="2">
        <v>0</v>
      </c>
      <c r="J17" s="2">
        <v>0</v>
      </c>
      <c r="K17" s="2">
        <v>0</v>
      </c>
      <c r="L17" s="2">
        <v>0</v>
      </c>
      <c r="M17" s="2">
        <v>0</v>
      </c>
      <c r="N17" s="2">
        <v>0</v>
      </c>
      <c r="O17" s="2">
        <v>0</v>
      </c>
      <c r="P17" s="2">
        <v>0</v>
      </c>
      <c r="Q17" s="2">
        <v>0</v>
      </c>
      <c r="R17" s="274">
        <v>44180</v>
      </c>
      <c r="S17" s="253">
        <v>12</v>
      </c>
      <c r="T17" s="254">
        <f>SUM( tabConsumo[[#This Row],[QTD.PENDENTE]]:tabConsumo[[#This Row],[07_23]] ) / tabConsumo[[#This Row],[Div]]</f>
        <v>24.5</v>
      </c>
      <c r="U17" s="255">
        <f xml:space="preserve"> tabConsumo[[#This Row],[Média.A]] + (_xlfn.STDEV.S( tabConsumo[[#This Row],[QTD.PENDENTE]]:tabConsumo[[#This Row],[07_23]] ) * 1)</f>
        <v>66.453423502614697</v>
      </c>
      <c r="V17" s="255">
        <f xml:space="preserve"> tabConsumo[[#This Row],[Média.A]] + (_xlfn.STDEV.S( tabConsumo[[#This Row],[QTD.PENDENTE]]:tabConsumo[[#This Row],[07_23]] ) * 2)</f>
        <v>108.40684700522939</v>
      </c>
      <c r="W17" s="255">
        <f xml:space="preserve"> tabConsumo[[#This Row],[Média.A]] + (_xlfn.STDEV.S( tabConsumo[[#This Row],[QTD.PENDENTE]]:tabConsumo[[#This Row],[07_23]] ) * 3)</f>
        <v>150.36027050784409</v>
      </c>
      <c r="X17" s="5">
        <f t="shared" si="0"/>
        <v>2</v>
      </c>
      <c r="Y17">
        <v>23.25</v>
      </c>
      <c r="Z17" s="257">
        <f>SUM( tabConsumo[[#This Row],[QTD.PENDENTE]]:tabConsumo[[#This Row],[07_23]] )</f>
        <v>294</v>
      </c>
      <c r="AA17" s="257">
        <f>LARGE(tabConsumo[[#This Row],[08_22]:[07_23]],1)</f>
        <v>123</v>
      </c>
      <c r="AB17" s="175" t="s">
        <v>2215</v>
      </c>
      <c r="AC17" s="3" t="s">
        <v>2064</v>
      </c>
    </row>
    <row r="18" spans="1:29" x14ac:dyDescent="0.3">
      <c r="A18" s="4" t="s">
        <v>1767</v>
      </c>
      <c r="B18" s="3" t="s">
        <v>1659</v>
      </c>
      <c r="C18" s="2">
        <v>126345</v>
      </c>
      <c r="D18" s="2">
        <v>334</v>
      </c>
      <c r="F18" s="2">
        <v>0</v>
      </c>
      <c r="G18" s="2">
        <v>1</v>
      </c>
      <c r="H18" s="2">
        <v>4</v>
      </c>
      <c r="I18" s="2">
        <v>8</v>
      </c>
      <c r="J18" s="2">
        <v>9</v>
      </c>
      <c r="K18" s="2">
        <v>5</v>
      </c>
      <c r="L18" s="2">
        <v>0</v>
      </c>
      <c r="M18" s="2">
        <v>10</v>
      </c>
      <c r="N18" s="2">
        <v>0</v>
      </c>
      <c r="O18" s="2">
        <v>2</v>
      </c>
      <c r="P18" s="2">
        <v>3</v>
      </c>
      <c r="Q18" s="2">
        <v>2</v>
      </c>
      <c r="R18" s="274">
        <v>41543</v>
      </c>
      <c r="S18" s="253">
        <v>12</v>
      </c>
      <c r="T18" s="254">
        <f>SUM( tabConsumo[[#This Row],[QTD.PENDENTE]]:tabConsumo[[#This Row],[07_23]] ) / tabConsumo[[#This Row],[Div]]</f>
        <v>3.6666666666666665</v>
      </c>
      <c r="U18" s="255">
        <f xml:space="preserve"> tabConsumo[[#This Row],[Média.A]] + (_xlfn.STDEV.S( tabConsumo[[#This Row],[QTD.PENDENTE]]:tabConsumo[[#This Row],[07_23]] ) * 1)</f>
        <v>7.268013216180746</v>
      </c>
      <c r="V18" s="255">
        <f xml:space="preserve"> tabConsumo[[#This Row],[Média.A]] + (_xlfn.STDEV.S( tabConsumo[[#This Row],[QTD.PENDENTE]]:tabConsumo[[#This Row],[07_23]] ) * 2)</f>
        <v>10.869359765694826</v>
      </c>
      <c r="W18" s="255">
        <f xml:space="preserve"> tabConsumo[[#This Row],[Média.A]] + (_xlfn.STDEV.S( tabConsumo[[#This Row],[QTD.PENDENTE]]:tabConsumo[[#This Row],[07_23]] ) * 3)</f>
        <v>14.470706315208906</v>
      </c>
      <c r="X18" s="5">
        <f t="shared" si="0"/>
        <v>2</v>
      </c>
      <c r="Y18">
        <v>3.6666666666666665</v>
      </c>
      <c r="Z18" s="257">
        <f>SUM( tabConsumo[[#This Row],[QTD.PENDENTE]]:tabConsumo[[#This Row],[07_23]] )</f>
        <v>44</v>
      </c>
      <c r="AA18" s="257">
        <f>LARGE(tabConsumo[[#This Row],[08_22]:[07_23]],1)</f>
        <v>10</v>
      </c>
      <c r="AB18" s="175" t="s">
        <v>2211</v>
      </c>
      <c r="AC18" s="3" t="s">
        <v>2064</v>
      </c>
    </row>
    <row r="19" spans="1:29" x14ac:dyDescent="0.3">
      <c r="A19" s="4" t="s">
        <v>955</v>
      </c>
      <c r="B19" s="3" t="s">
        <v>275</v>
      </c>
      <c r="C19" s="2">
        <v>12685</v>
      </c>
      <c r="D19" s="2">
        <v>188</v>
      </c>
      <c r="E19" s="2">
        <v>231</v>
      </c>
      <c r="F19" s="2">
        <v>51</v>
      </c>
      <c r="G19" s="2">
        <v>26</v>
      </c>
      <c r="H19" s="2">
        <v>0</v>
      </c>
      <c r="I19" s="2">
        <v>0</v>
      </c>
      <c r="J19" s="2">
        <v>21</v>
      </c>
      <c r="K19" s="2">
        <v>64</v>
      </c>
      <c r="L19" s="2">
        <v>52</v>
      </c>
      <c r="M19" s="2">
        <v>63</v>
      </c>
      <c r="N19" s="2">
        <v>0</v>
      </c>
      <c r="O19" s="2">
        <v>0</v>
      </c>
      <c r="P19" s="2">
        <v>0</v>
      </c>
      <c r="Q19" s="2">
        <v>48</v>
      </c>
      <c r="R19" s="274">
        <v>367</v>
      </c>
      <c r="S19" s="253">
        <f xml:space="preserve"> 12</f>
        <v>12</v>
      </c>
      <c r="T19" s="254">
        <f>SUM( tabConsumo[[#This Row],[QTD.PENDENTE]]:tabConsumo[[#This Row],[07_23]] ) / tabConsumo[[#This Row],[Div]]</f>
        <v>46.333333333333336</v>
      </c>
      <c r="U19" s="255">
        <f xml:space="preserve"> tabConsumo[[#This Row],[Média.A]] + (_xlfn.STDEV.S( tabConsumo[[#This Row],[QTD.PENDENTE]]:tabConsumo[[#This Row],[07_23]] ) * 1)</f>
        <v>108.49730179062357</v>
      </c>
      <c r="V19" s="255">
        <f xml:space="preserve"> tabConsumo[[#This Row],[Média.A]] + (_xlfn.STDEV.S( tabConsumo[[#This Row],[QTD.PENDENTE]]:tabConsumo[[#This Row],[07_23]] ) * 2)</f>
        <v>170.66127024791379</v>
      </c>
      <c r="W19" s="255">
        <f xml:space="preserve"> tabConsumo[[#This Row],[Média.A]] + (_xlfn.STDEV.S( tabConsumo[[#This Row],[QTD.PENDENTE]]:tabConsumo[[#This Row],[07_23]] ) * 3)</f>
        <v>232.82523870520401</v>
      </c>
      <c r="X19" s="5">
        <f t="shared" si="0"/>
        <v>2</v>
      </c>
      <c r="Y19">
        <v>46.333333333333336</v>
      </c>
      <c r="Z19" s="257">
        <f>SUM( tabConsumo[[#This Row],[QTD.PENDENTE]]:tabConsumo[[#This Row],[07_23]] )</f>
        <v>556</v>
      </c>
      <c r="AA19" s="257">
        <f>LARGE(tabConsumo[[#This Row],[08_22]:[07_23]],1)</f>
        <v>64</v>
      </c>
      <c r="AB19" s="175" t="s">
        <v>2211</v>
      </c>
      <c r="AC19" s="3" t="s">
        <v>2064</v>
      </c>
    </row>
    <row r="20" spans="1:29" x14ac:dyDescent="0.3">
      <c r="A20" s="4" t="s">
        <v>1512</v>
      </c>
      <c r="B20" s="3" t="s">
        <v>256</v>
      </c>
      <c r="C20" s="2">
        <v>88876</v>
      </c>
      <c r="D20" s="2">
        <v>692</v>
      </c>
      <c r="F20" s="2">
        <v>0</v>
      </c>
      <c r="G20" s="2">
        <v>100</v>
      </c>
      <c r="H20" s="2">
        <v>0</v>
      </c>
      <c r="I20" s="2">
        <v>0</v>
      </c>
      <c r="J20" s="2">
        <v>0</v>
      </c>
      <c r="K20" s="2">
        <v>0</v>
      </c>
      <c r="L20" s="2">
        <v>0</v>
      </c>
      <c r="M20" s="2">
        <v>0</v>
      </c>
      <c r="N20" s="2">
        <v>200</v>
      </c>
      <c r="O20" s="2">
        <v>0</v>
      </c>
      <c r="P20" s="2">
        <v>0</v>
      </c>
      <c r="Q20" s="2">
        <v>0</v>
      </c>
      <c r="R20" s="274">
        <v>38664</v>
      </c>
      <c r="S20" s="253">
        <v>12</v>
      </c>
      <c r="T20" s="254">
        <f>SUM( tabConsumo[[#This Row],[QTD.PENDENTE]]:tabConsumo[[#This Row],[07_23]] ) / tabConsumo[[#This Row],[Div]]</f>
        <v>25</v>
      </c>
      <c r="U20" s="255">
        <f xml:space="preserve"> tabConsumo[[#This Row],[Média.A]] + (_xlfn.STDEV.S( tabConsumo[[#This Row],[QTD.PENDENTE]]:tabConsumo[[#This Row],[07_23]] ) * 1)</f>
        <v>87.158156050806099</v>
      </c>
      <c r="V20" s="255">
        <f xml:space="preserve"> tabConsumo[[#This Row],[Média.A]] + (_xlfn.STDEV.S( tabConsumo[[#This Row],[QTD.PENDENTE]]:tabConsumo[[#This Row],[07_23]] ) * 2)</f>
        <v>149.3163121016122</v>
      </c>
      <c r="W20" s="255">
        <f xml:space="preserve"> tabConsumo[[#This Row],[Média.A]] + (_xlfn.STDEV.S( tabConsumo[[#This Row],[QTD.PENDENTE]]:tabConsumo[[#This Row],[07_23]] ) * 3)</f>
        <v>211.47446815241832</v>
      </c>
      <c r="X20" s="5">
        <f t="shared" si="0"/>
        <v>2</v>
      </c>
      <c r="Y20">
        <v>20.75</v>
      </c>
      <c r="Z20" s="257">
        <f>SUM( tabConsumo[[#This Row],[QTD.PENDENTE]]:tabConsumo[[#This Row],[07_23]] )</f>
        <v>300</v>
      </c>
      <c r="AA20" s="257">
        <f>LARGE(tabConsumo[[#This Row],[08_22]:[07_23]],1)</f>
        <v>200</v>
      </c>
      <c r="AB20" s="175" t="s">
        <v>2213</v>
      </c>
      <c r="AC20" s="3" t="s">
        <v>2064</v>
      </c>
    </row>
    <row r="21" spans="1:29" x14ac:dyDescent="0.3">
      <c r="A21" s="4" t="s">
        <v>1675</v>
      </c>
      <c r="B21" s="3" t="s">
        <v>275</v>
      </c>
      <c r="C21" s="2">
        <v>112109</v>
      </c>
      <c r="D21" s="2">
        <v>21519</v>
      </c>
      <c r="E21" s="2">
        <v>20</v>
      </c>
      <c r="F21" s="2">
        <v>1008</v>
      </c>
      <c r="G21" s="2">
        <v>1013</v>
      </c>
      <c r="H21" s="2">
        <v>1240</v>
      </c>
      <c r="I21" s="2">
        <v>1191</v>
      </c>
      <c r="J21" s="2">
        <v>814</v>
      </c>
      <c r="K21" s="2">
        <v>450</v>
      </c>
      <c r="L21" s="2">
        <v>873</v>
      </c>
      <c r="M21" s="2">
        <v>7812</v>
      </c>
      <c r="N21" s="2">
        <v>626</v>
      </c>
      <c r="O21" s="2">
        <v>590</v>
      </c>
      <c r="P21" s="2">
        <v>703</v>
      </c>
      <c r="Q21" s="2">
        <v>700</v>
      </c>
      <c r="R21" s="274">
        <v>40043</v>
      </c>
      <c r="S21" s="253">
        <v>12</v>
      </c>
      <c r="T21" s="254">
        <f>SUM( tabConsumo[[#This Row],[QTD.PENDENTE]]:tabConsumo[[#This Row],[07_23]] ) / tabConsumo[[#This Row],[Div]]</f>
        <v>1420</v>
      </c>
      <c r="U21" s="255">
        <f xml:space="preserve"> tabConsumo[[#This Row],[Média.A]] + (_xlfn.STDEV.S( tabConsumo[[#This Row],[QTD.PENDENTE]]:tabConsumo[[#This Row],[07_23]] ) * 1)</f>
        <v>3399.9402412634472</v>
      </c>
      <c r="V21" s="255">
        <f xml:space="preserve"> tabConsumo[[#This Row],[Média.A]] + (_xlfn.STDEV.S( tabConsumo[[#This Row],[QTD.PENDENTE]]:tabConsumo[[#This Row],[07_23]] ) * 2)</f>
        <v>5379.8804825268944</v>
      </c>
      <c r="W21" s="255">
        <f xml:space="preserve"> tabConsumo[[#This Row],[Média.A]] + (_xlfn.STDEV.S( tabConsumo[[#This Row],[QTD.PENDENTE]]:tabConsumo[[#This Row],[07_23]] ) * 3)</f>
        <v>7359.8207237903425</v>
      </c>
      <c r="X21" s="5">
        <f t="shared" si="0"/>
        <v>2</v>
      </c>
      <c r="Y21">
        <v>1217.25</v>
      </c>
      <c r="Z21" s="257">
        <f>SUM( tabConsumo[[#This Row],[QTD.PENDENTE]]:tabConsumo[[#This Row],[07_23]] )</f>
        <v>17040</v>
      </c>
      <c r="AA21" s="257">
        <f>LARGE(tabConsumo[[#This Row],[08_22]:[07_23]],1)</f>
        <v>7812</v>
      </c>
      <c r="AB21" s="175" t="s">
        <v>2211</v>
      </c>
      <c r="AC21" s="3" t="s">
        <v>2064</v>
      </c>
    </row>
    <row r="22" spans="1:29" x14ac:dyDescent="0.3">
      <c r="A22" s="4" t="s">
        <v>1947</v>
      </c>
      <c r="B22" s="3" t="s">
        <v>256</v>
      </c>
      <c r="C22" s="2">
        <v>138054</v>
      </c>
      <c r="D22" s="2">
        <v>119</v>
      </c>
      <c r="F22" s="2">
        <v>11</v>
      </c>
      <c r="G22" s="2">
        <v>8</v>
      </c>
      <c r="H22" s="2">
        <v>8</v>
      </c>
      <c r="I22" s="2">
        <v>1</v>
      </c>
      <c r="J22" s="2">
        <v>23</v>
      </c>
      <c r="K22" s="2">
        <v>30</v>
      </c>
      <c r="L22" s="2">
        <v>5</v>
      </c>
      <c r="M22" s="2">
        <v>12</v>
      </c>
      <c r="N22" s="2">
        <v>47</v>
      </c>
      <c r="O22" s="2">
        <v>0</v>
      </c>
      <c r="P22" s="2">
        <v>30</v>
      </c>
      <c r="Q22" s="2">
        <v>14</v>
      </c>
      <c r="R22" s="274">
        <v>43656</v>
      </c>
      <c r="S22" s="253">
        <v>12</v>
      </c>
      <c r="T22" s="254">
        <f>SUM( tabConsumo[[#This Row],[QTD.PENDENTE]]:tabConsumo[[#This Row],[07_23]] ) / tabConsumo[[#This Row],[Div]]</f>
        <v>15.75</v>
      </c>
      <c r="U22" s="255">
        <f xml:space="preserve"> tabConsumo[[#This Row],[Média.A]] + (_xlfn.STDEV.S( tabConsumo[[#This Row],[QTD.PENDENTE]]:tabConsumo[[#This Row],[07_23]] ) * 1)</f>
        <v>29.815593094175199</v>
      </c>
      <c r="V22" s="255">
        <f xml:space="preserve"> tabConsumo[[#This Row],[Média.A]] + (_xlfn.STDEV.S( tabConsumo[[#This Row],[QTD.PENDENTE]]:tabConsumo[[#This Row],[07_23]] ) * 2)</f>
        <v>43.881186188350398</v>
      </c>
      <c r="W22" s="255">
        <f xml:space="preserve"> tabConsumo[[#This Row],[Média.A]] + (_xlfn.STDEV.S( tabConsumo[[#This Row],[QTD.PENDENTE]]:tabConsumo[[#This Row],[07_23]] ) * 3)</f>
        <v>57.946779282525604</v>
      </c>
      <c r="X22" s="5">
        <f t="shared" si="0"/>
        <v>2</v>
      </c>
      <c r="Y22">
        <v>15.416666666666666</v>
      </c>
      <c r="Z22" s="257">
        <f>SUM( tabConsumo[[#This Row],[QTD.PENDENTE]]:tabConsumo[[#This Row],[07_23]] )</f>
        <v>189</v>
      </c>
      <c r="AA22" s="257">
        <f>LARGE(tabConsumo[[#This Row],[08_22]:[07_23]],1)</f>
        <v>47</v>
      </c>
      <c r="AB22" s="175" t="s">
        <v>2211</v>
      </c>
      <c r="AC22" s="3" t="s">
        <v>2064</v>
      </c>
    </row>
    <row r="23" spans="1:29" x14ac:dyDescent="0.3">
      <c r="A23" s="4" t="s">
        <v>1034</v>
      </c>
      <c r="B23" s="3" t="s">
        <v>256</v>
      </c>
      <c r="C23" s="2">
        <v>13539</v>
      </c>
      <c r="D23" s="2">
        <v>1025</v>
      </c>
      <c r="E23" s="2">
        <v>45</v>
      </c>
      <c r="F23" s="2">
        <v>332</v>
      </c>
      <c r="G23" s="2">
        <v>349</v>
      </c>
      <c r="H23" s="2">
        <v>371</v>
      </c>
      <c r="I23" s="2">
        <v>268</v>
      </c>
      <c r="J23" s="2">
        <v>0</v>
      </c>
      <c r="K23" s="2">
        <v>261</v>
      </c>
      <c r="L23" s="2">
        <v>376</v>
      </c>
      <c r="M23" s="2">
        <v>661</v>
      </c>
      <c r="N23" s="2">
        <v>444</v>
      </c>
      <c r="O23" s="2">
        <v>437</v>
      </c>
      <c r="P23" s="2">
        <v>462</v>
      </c>
      <c r="Q23" s="2">
        <v>399</v>
      </c>
      <c r="R23" s="274">
        <v>367</v>
      </c>
      <c r="S23" s="253">
        <f xml:space="preserve"> 12</f>
        <v>12</v>
      </c>
      <c r="T23" s="254">
        <f>SUM( tabConsumo[[#This Row],[QTD.PENDENTE]]:tabConsumo[[#This Row],[07_23]] ) / tabConsumo[[#This Row],[Div]]</f>
        <v>367.08333333333331</v>
      </c>
      <c r="U23" s="255">
        <f xml:space="preserve"> tabConsumo[[#This Row],[Média.A]] + (_xlfn.STDEV.S( tabConsumo[[#This Row],[QTD.PENDENTE]]:tabConsumo[[#This Row],[07_23]] ) * 1)</f>
        <v>539.82246524127038</v>
      </c>
      <c r="V23" s="255">
        <f xml:space="preserve"> tabConsumo[[#This Row],[Média.A]] + (_xlfn.STDEV.S( tabConsumo[[#This Row],[QTD.PENDENTE]]:tabConsumo[[#This Row],[07_23]] ) * 2)</f>
        <v>712.5615971492075</v>
      </c>
      <c r="W23" s="255">
        <f xml:space="preserve"> tabConsumo[[#This Row],[Média.A]] + (_xlfn.STDEV.S( tabConsumo[[#This Row],[QTD.PENDENTE]]:tabConsumo[[#This Row],[07_23]] ) * 3)</f>
        <v>885.30072905714451</v>
      </c>
      <c r="X23" s="5">
        <f t="shared" si="0"/>
        <v>2</v>
      </c>
      <c r="Y23">
        <v>367.08333333333331</v>
      </c>
      <c r="Z23" s="257">
        <f>SUM( tabConsumo[[#This Row],[QTD.PENDENTE]]:tabConsumo[[#This Row],[07_23]] )</f>
        <v>4405</v>
      </c>
      <c r="AA23" s="257">
        <f>LARGE(tabConsumo[[#This Row],[08_22]:[07_23]],1)</f>
        <v>661</v>
      </c>
      <c r="AB23" s="175" t="s">
        <v>2211</v>
      </c>
      <c r="AC23" s="3" t="s">
        <v>2064</v>
      </c>
    </row>
    <row r="24" spans="1:29" x14ac:dyDescent="0.3">
      <c r="A24" s="4" t="s">
        <v>1806</v>
      </c>
      <c r="B24" s="3" t="s">
        <v>31</v>
      </c>
      <c r="C24" s="2">
        <v>131917</v>
      </c>
      <c r="D24" s="2">
        <v>3876</v>
      </c>
      <c r="F24" s="2">
        <v>161</v>
      </c>
      <c r="G24" s="2">
        <v>149</v>
      </c>
      <c r="H24" s="2">
        <v>172</v>
      </c>
      <c r="I24" s="2">
        <v>166</v>
      </c>
      <c r="J24" s="2">
        <v>151</v>
      </c>
      <c r="K24" s="2">
        <v>81</v>
      </c>
      <c r="L24" s="2">
        <v>263</v>
      </c>
      <c r="M24" s="2">
        <v>7920</v>
      </c>
      <c r="N24" s="2">
        <v>95</v>
      </c>
      <c r="O24" s="2">
        <v>110</v>
      </c>
      <c r="P24" s="2">
        <v>138</v>
      </c>
      <c r="Q24" s="2">
        <v>126</v>
      </c>
      <c r="R24" s="274">
        <v>42590</v>
      </c>
      <c r="S24" s="253">
        <v>12</v>
      </c>
      <c r="T24" s="254">
        <f>SUM( tabConsumo[[#This Row],[QTD.PENDENTE]]:tabConsumo[[#This Row],[07_23]] ) / tabConsumo[[#This Row],[Div]]</f>
        <v>794.33333333333337</v>
      </c>
      <c r="U24" s="255">
        <f xml:space="preserve"> tabConsumo[[#This Row],[Média.A]] + (_xlfn.STDEV.S( tabConsumo[[#This Row],[QTD.PENDENTE]]:tabConsumo[[#This Row],[07_23]] ) * 1)</f>
        <v>3038.81449764942</v>
      </c>
      <c r="V24" s="255">
        <f xml:space="preserve"> tabConsumo[[#This Row],[Média.A]] + (_xlfn.STDEV.S( tabConsumo[[#This Row],[QTD.PENDENTE]]:tabConsumo[[#This Row],[07_23]] ) * 2)</f>
        <v>5283.295661965506</v>
      </c>
      <c r="W24" s="255">
        <f xml:space="preserve"> tabConsumo[[#This Row],[Média.A]] + (_xlfn.STDEV.S( tabConsumo[[#This Row],[QTD.PENDENTE]]:tabConsumo[[#This Row],[07_23]] ) * 3)</f>
        <v>7527.7768262815925</v>
      </c>
      <c r="X24" s="5">
        <f t="shared" si="0"/>
        <v>2</v>
      </c>
      <c r="Y24">
        <v>574.58333333333337</v>
      </c>
      <c r="Z24" s="257">
        <f>SUM( tabConsumo[[#This Row],[QTD.PENDENTE]]:tabConsumo[[#This Row],[07_23]] )</f>
        <v>9532</v>
      </c>
      <c r="AA24" s="257">
        <f>LARGE(tabConsumo[[#This Row],[08_22]:[07_23]],1)</f>
        <v>7920</v>
      </c>
      <c r="AB24" s="175" t="s">
        <v>2211</v>
      </c>
      <c r="AC24" s="3" t="s">
        <v>2064</v>
      </c>
    </row>
    <row r="25" spans="1:29" x14ac:dyDescent="0.3">
      <c r="A25" s="4" t="s">
        <v>1950</v>
      </c>
      <c r="B25" s="3" t="s">
        <v>31</v>
      </c>
      <c r="C25" s="2">
        <v>138450</v>
      </c>
      <c r="D25" s="2">
        <v>15586</v>
      </c>
      <c r="E25" s="2">
        <v>249</v>
      </c>
      <c r="F25" s="2">
        <v>754</v>
      </c>
      <c r="G25" s="2">
        <v>785</v>
      </c>
      <c r="H25" s="2">
        <v>745</v>
      </c>
      <c r="I25" s="2">
        <v>935</v>
      </c>
      <c r="J25" s="2">
        <v>657</v>
      </c>
      <c r="K25" s="2">
        <v>36</v>
      </c>
      <c r="L25" s="2">
        <v>30</v>
      </c>
      <c r="M25" s="2">
        <v>1005</v>
      </c>
      <c r="N25" s="2">
        <v>931</v>
      </c>
      <c r="O25" s="2">
        <v>739</v>
      </c>
      <c r="P25" s="2">
        <v>721</v>
      </c>
      <c r="Q25" s="2">
        <v>477</v>
      </c>
      <c r="R25" s="274">
        <v>43720</v>
      </c>
      <c r="S25" s="253">
        <v>12</v>
      </c>
      <c r="T25" s="254">
        <f>SUM( tabConsumo[[#This Row],[QTD.PENDENTE]]:tabConsumo[[#This Row],[07_23]] ) / tabConsumo[[#This Row],[Div]]</f>
        <v>672</v>
      </c>
      <c r="U25" s="255">
        <f xml:space="preserve"> tabConsumo[[#This Row],[Média.A]] + (_xlfn.STDEV.S( tabConsumo[[#This Row],[QTD.PENDENTE]]:tabConsumo[[#This Row],[07_23]] ) * 1)</f>
        <v>998.33734708513532</v>
      </c>
      <c r="V25" s="255">
        <f xml:space="preserve"> tabConsumo[[#This Row],[Média.A]] + (_xlfn.STDEV.S( tabConsumo[[#This Row],[QTD.PENDENTE]]:tabConsumo[[#This Row],[07_23]] ) * 2)</f>
        <v>1324.6746941702706</v>
      </c>
      <c r="W25" s="255">
        <f xml:space="preserve"> tabConsumo[[#This Row],[Média.A]] + (_xlfn.STDEV.S( tabConsumo[[#This Row],[QTD.PENDENTE]]:tabConsumo[[#This Row],[07_23]] ) * 3)</f>
        <v>1651.0120412554061</v>
      </c>
      <c r="X25" s="5">
        <f t="shared" si="0"/>
        <v>2</v>
      </c>
      <c r="Y25">
        <v>672</v>
      </c>
      <c r="Z25" s="257">
        <f>SUM( tabConsumo[[#This Row],[QTD.PENDENTE]]:tabConsumo[[#This Row],[07_23]] )</f>
        <v>8064</v>
      </c>
      <c r="AA25" s="257">
        <f>LARGE(tabConsumo[[#This Row],[08_22]:[07_23]],1)</f>
        <v>1005</v>
      </c>
      <c r="AB25" s="175" t="s">
        <v>2211</v>
      </c>
      <c r="AC25" s="3" t="s">
        <v>2064</v>
      </c>
    </row>
    <row r="26" spans="1:29" x14ac:dyDescent="0.3">
      <c r="A26" s="4" t="s">
        <v>1250</v>
      </c>
      <c r="B26" s="3" t="s">
        <v>400</v>
      </c>
      <c r="C26" s="2">
        <v>33609</v>
      </c>
      <c r="D26" s="2">
        <v>145</v>
      </c>
      <c r="F26" s="2">
        <v>0</v>
      </c>
      <c r="G26" s="2">
        <v>0</v>
      </c>
      <c r="H26" s="2">
        <v>2</v>
      </c>
      <c r="I26" s="2">
        <v>3</v>
      </c>
      <c r="J26" s="2">
        <v>0</v>
      </c>
      <c r="K26" s="2">
        <v>0</v>
      </c>
      <c r="L26" s="2">
        <v>0</v>
      </c>
      <c r="M26" s="2">
        <v>0</v>
      </c>
      <c r="N26" s="2">
        <v>0</v>
      </c>
      <c r="O26" s="2">
        <v>0</v>
      </c>
      <c r="P26" s="2">
        <v>0</v>
      </c>
      <c r="Q26" s="2">
        <v>0</v>
      </c>
      <c r="R26" s="274">
        <v>367</v>
      </c>
      <c r="S26" s="253">
        <f xml:space="preserve"> 12</f>
        <v>12</v>
      </c>
      <c r="T26" s="254">
        <f>SUM( tabConsumo[[#This Row],[QTD.PENDENTE]]:tabConsumo[[#This Row],[07_23]] ) / tabConsumo[[#This Row],[Div]]</f>
        <v>0.41666666666666669</v>
      </c>
      <c r="U26" s="255">
        <f xml:space="preserve"> tabConsumo[[#This Row],[Média.A]] + (_xlfn.STDEV.S( tabConsumo[[#This Row],[QTD.PENDENTE]]:tabConsumo[[#This Row],[07_23]] ) * 1)</f>
        <v>1.4128715865622885</v>
      </c>
      <c r="V26" s="255">
        <f xml:space="preserve"> tabConsumo[[#This Row],[Média.A]] + (_xlfn.STDEV.S( tabConsumo[[#This Row],[QTD.PENDENTE]]:tabConsumo[[#This Row],[07_23]] ) * 2)</f>
        <v>2.4090765064579105</v>
      </c>
      <c r="W26" s="255">
        <f xml:space="preserve"> tabConsumo[[#This Row],[Média.A]] + (_xlfn.STDEV.S( tabConsumo[[#This Row],[QTD.PENDENTE]]:tabConsumo[[#This Row],[07_23]] ) * 3)</f>
        <v>3.405281426353532</v>
      </c>
      <c r="X26" s="5">
        <f t="shared" si="0"/>
        <v>2</v>
      </c>
      <c r="Y26">
        <v>0.33333333333333331</v>
      </c>
      <c r="Z26" s="257">
        <f>SUM( tabConsumo[[#This Row],[QTD.PENDENTE]]:tabConsumo[[#This Row],[07_23]] )</f>
        <v>5</v>
      </c>
      <c r="AA26" s="257">
        <f>LARGE(tabConsumo[[#This Row],[08_22]:[07_23]],1)</f>
        <v>3</v>
      </c>
      <c r="AB26" s="175" t="s">
        <v>2216</v>
      </c>
      <c r="AC26" s="3" t="s">
        <v>2064</v>
      </c>
    </row>
    <row r="27" spans="1:29" x14ac:dyDescent="0.3">
      <c r="A27" s="4" t="s">
        <v>1252</v>
      </c>
      <c r="B27" s="3" t="s">
        <v>400</v>
      </c>
      <c r="C27" s="2">
        <v>33612</v>
      </c>
      <c r="D27" s="2">
        <v>330</v>
      </c>
      <c r="F27" s="2">
        <v>0</v>
      </c>
      <c r="G27" s="2">
        <v>10</v>
      </c>
      <c r="H27" s="2">
        <v>12</v>
      </c>
      <c r="I27" s="2">
        <v>0</v>
      </c>
      <c r="J27" s="2">
        <v>2</v>
      </c>
      <c r="K27" s="2">
        <v>1</v>
      </c>
      <c r="L27" s="2">
        <v>3</v>
      </c>
      <c r="M27" s="2">
        <v>9</v>
      </c>
      <c r="N27" s="2">
        <v>22</v>
      </c>
      <c r="O27" s="2">
        <v>0</v>
      </c>
      <c r="P27" s="2">
        <v>10</v>
      </c>
      <c r="Q27" s="2">
        <v>5</v>
      </c>
      <c r="R27" s="274">
        <v>367</v>
      </c>
      <c r="S27" s="253">
        <f xml:space="preserve"> 12</f>
        <v>12</v>
      </c>
      <c r="T27" s="254">
        <f>SUM( tabConsumo[[#This Row],[QTD.PENDENTE]]:tabConsumo[[#This Row],[07_23]] ) / tabConsumo[[#This Row],[Div]]</f>
        <v>6.166666666666667</v>
      </c>
      <c r="U27" s="255">
        <f xml:space="preserve"> tabConsumo[[#This Row],[Média.A]] + (_xlfn.STDEV.S( tabConsumo[[#This Row],[QTD.PENDENTE]]:tabConsumo[[#This Row],[07_23]] ) * 1)</f>
        <v>12.852245900881883</v>
      </c>
      <c r="V27" s="255">
        <f xml:space="preserve"> tabConsumo[[#This Row],[Média.A]] + (_xlfn.STDEV.S( tabConsumo[[#This Row],[QTD.PENDENTE]]:tabConsumo[[#This Row],[07_23]] ) * 2)</f>
        <v>19.537825135097098</v>
      </c>
      <c r="W27" s="255">
        <f xml:space="preserve"> tabConsumo[[#This Row],[Média.A]] + (_xlfn.STDEV.S( tabConsumo[[#This Row],[QTD.PENDENTE]]:tabConsumo[[#This Row],[07_23]] ) * 3)</f>
        <v>26.223404369312313</v>
      </c>
      <c r="X27" s="5">
        <f t="shared" si="0"/>
        <v>2</v>
      </c>
      <c r="Y27">
        <v>5.916666666666667</v>
      </c>
      <c r="Z27" s="257">
        <f>SUM( tabConsumo[[#This Row],[QTD.PENDENTE]]:tabConsumo[[#This Row],[07_23]] )</f>
        <v>74</v>
      </c>
      <c r="AA27" s="257">
        <f>LARGE(tabConsumo[[#This Row],[08_22]:[07_23]],1)</f>
        <v>22</v>
      </c>
      <c r="AB27" s="175" t="s">
        <v>2211</v>
      </c>
      <c r="AC27" s="3" t="s">
        <v>2064</v>
      </c>
    </row>
    <row r="28" spans="1:29" x14ac:dyDescent="0.3">
      <c r="A28" s="4" t="s">
        <v>1253</v>
      </c>
      <c r="B28" s="3" t="s">
        <v>400</v>
      </c>
      <c r="C28" s="2">
        <v>33623</v>
      </c>
      <c r="D28" s="2">
        <v>388</v>
      </c>
      <c r="F28" s="2">
        <v>32</v>
      </c>
      <c r="G28" s="2">
        <v>29</v>
      </c>
      <c r="H28" s="2">
        <v>15</v>
      </c>
      <c r="I28" s="2">
        <v>29</v>
      </c>
      <c r="J28" s="2">
        <v>4</v>
      </c>
      <c r="K28" s="2">
        <v>58</v>
      </c>
      <c r="L28" s="2">
        <v>22</v>
      </c>
      <c r="M28" s="2">
        <v>72</v>
      </c>
      <c r="N28" s="2">
        <v>7</v>
      </c>
      <c r="O28" s="2">
        <v>74</v>
      </c>
      <c r="P28" s="2">
        <v>20</v>
      </c>
      <c r="Q28" s="2">
        <v>11</v>
      </c>
      <c r="R28" s="274">
        <v>367</v>
      </c>
      <c r="S28" s="253">
        <f xml:space="preserve"> 12</f>
        <v>12</v>
      </c>
      <c r="T28" s="254">
        <f>SUM( tabConsumo[[#This Row],[QTD.PENDENTE]]:tabConsumo[[#This Row],[07_23]] ) / tabConsumo[[#This Row],[Div]]</f>
        <v>31.083333333333332</v>
      </c>
      <c r="U28" s="255">
        <f xml:space="preserve"> tabConsumo[[#This Row],[Média.A]] + (_xlfn.STDEV.S( tabConsumo[[#This Row],[QTD.PENDENTE]]:tabConsumo[[#This Row],[07_23]] ) * 1)</f>
        <v>55.262431494323287</v>
      </c>
      <c r="V28" s="255">
        <f xml:space="preserve"> tabConsumo[[#This Row],[Média.A]] + (_xlfn.STDEV.S( tabConsumo[[#This Row],[QTD.PENDENTE]]:tabConsumo[[#This Row],[07_23]] ) * 2)</f>
        <v>79.441529655313246</v>
      </c>
      <c r="W28" s="255">
        <f xml:space="preserve"> tabConsumo[[#This Row],[Média.A]] + (_xlfn.STDEV.S( tabConsumo[[#This Row],[QTD.PENDENTE]]:tabConsumo[[#This Row],[07_23]] ) * 3)</f>
        <v>103.6206278163032</v>
      </c>
      <c r="X28" s="5">
        <f t="shared" si="0"/>
        <v>2</v>
      </c>
      <c r="Y28">
        <v>31.083333333333332</v>
      </c>
      <c r="Z28" s="257">
        <f>SUM( tabConsumo[[#This Row],[QTD.PENDENTE]]:tabConsumo[[#This Row],[07_23]] )</f>
        <v>373</v>
      </c>
      <c r="AA28" s="257">
        <f>LARGE(tabConsumo[[#This Row],[08_22]:[07_23]],1)</f>
        <v>74</v>
      </c>
      <c r="AB28" s="175" t="s">
        <v>2211</v>
      </c>
      <c r="AC28" s="3" t="s">
        <v>2064</v>
      </c>
    </row>
    <row r="29" spans="1:29" x14ac:dyDescent="0.3">
      <c r="A29" s="4" t="s">
        <v>1597</v>
      </c>
      <c r="B29" s="3" t="s">
        <v>31</v>
      </c>
      <c r="C29" s="2">
        <v>104911</v>
      </c>
      <c r="D29" s="2">
        <v>95</v>
      </c>
      <c r="F29" s="2">
        <v>0</v>
      </c>
      <c r="G29" s="2">
        <v>0</v>
      </c>
      <c r="H29" s="2">
        <v>4</v>
      </c>
      <c r="I29" s="2">
        <v>0</v>
      </c>
      <c r="J29" s="2">
        <v>0</v>
      </c>
      <c r="K29" s="2">
        <v>8</v>
      </c>
      <c r="L29" s="2">
        <v>4</v>
      </c>
      <c r="M29" s="2">
        <v>10</v>
      </c>
      <c r="N29" s="2">
        <v>0</v>
      </c>
      <c r="O29" s="2">
        <v>0</v>
      </c>
      <c r="P29" s="2">
        <v>0</v>
      </c>
      <c r="Q29" s="2">
        <v>20</v>
      </c>
      <c r="R29" s="274">
        <v>39490</v>
      </c>
      <c r="S29" s="253">
        <v>12</v>
      </c>
      <c r="T29" s="254">
        <f>SUM( tabConsumo[[#This Row],[QTD.PENDENTE]]:tabConsumo[[#This Row],[07_23]] ) / tabConsumo[[#This Row],[Div]]</f>
        <v>3.8333333333333335</v>
      </c>
      <c r="U29" s="255">
        <f xml:space="preserve"> tabConsumo[[#This Row],[Média.A]] + (_xlfn.STDEV.S( tabConsumo[[#This Row],[QTD.PENDENTE]]:tabConsumo[[#This Row],[07_23]] ) * 1)</f>
        <v>10.010024611964244</v>
      </c>
      <c r="V29" s="255">
        <f xml:space="preserve"> tabConsumo[[#This Row],[Média.A]] + (_xlfn.STDEV.S( tabConsumo[[#This Row],[QTD.PENDENTE]]:tabConsumo[[#This Row],[07_23]] ) * 2)</f>
        <v>16.186715890595153</v>
      </c>
      <c r="W29" s="255">
        <f xml:space="preserve"> tabConsumo[[#This Row],[Média.A]] + (_xlfn.STDEV.S( tabConsumo[[#This Row],[QTD.PENDENTE]]:tabConsumo[[#This Row],[07_23]] ) * 3)</f>
        <v>22.363407169226061</v>
      </c>
      <c r="X29" s="5">
        <f t="shared" si="0"/>
        <v>2</v>
      </c>
      <c r="Y29">
        <v>3.5</v>
      </c>
      <c r="Z29" s="257">
        <f>SUM( tabConsumo[[#This Row],[QTD.PENDENTE]]:tabConsumo[[#This Row],[07_23]] )</f>
        <v>46</v>
      </c>
      <c r="AA29" s="257">
        <f>LARGE(tabConsumo[[#This Row],[08_22]:[07_23]],1)</f>
        <v>20</v>
      </c>
      <c r="AB29" s="175" t="s">
        <v>2211</v>
      </c>
      <c r="AC29" s="3" t="s">
        <v>2064</v>
      </c>
    </row>
    <row r="30" spans="1:29" x14ac:dyDescent="0.3">
      <c r="A30" s="4" t="s">
        <v>1859</v>
      </c>
      <c r="B30" s="3" t="s">
        <v>1860</v>
      </c>
      <c r="C30" s="2">
        <v>134246</v>
      </c>
      <c r="D30" s="2">
        <v>53.91</v>
      </c>
      <c r="E30" s="2">
        <v>23.21</v>
      </c>
      <c r="F30" s="2">
        <v>40.54</v>
      </c>
      <c r="G30" s="2">
        <v>0</v>
      </c>
      <c r="H30" s="2">
        <v>97</v>
      </c>
      <c r="I30" s="2">
        <v>94.25</v>
      </c>
      <c r="J30" s="2">
        <v>87</v>
      </c>
      <c r="K30" s="2">
        <v>82</v>
      </c>
      <c r="L30" s="2">
        <v>140</v>
      </c>
      <c r="M30" s="2">
        <v>113.58</v>
      </c>
      <c r="N30" s="2">
        <v>103.42</v>
      </c>
      <c r="O30" s="2">
        <v>165.94</v>
      </c>
      <c r="P30" s="2">
        <v>98</v>
      </c>
      <c r="Q30" s="2">
        <v>89.06</v>
      </c>
      <c r="R30" s="274">
        <v>43138</v>
      </c>
      <c r="S30" s="253">
        <v>12</v>
      </c>
      <c r="T30" s="254">
        <f>SUM( tabConsumo[[#This Row],[QTD.PENDENTE]]:tabConsumo[[#This Row],[07_23]] ) / tabConsumo[[#This Row],[Div]]</f>
        <v>94.5</v>
      </c>
      <c r="U30" s="255">
        <f xml:space="preserve"> tabConsumo[[#This Row],[Média.A]] + (_xlfn.STDEV.S( tabConsumo[[#This Row],[QTD.PENDENTE]]:tabConsumo[[#This Row],[07_23]] ) * 1)</f>
        <v>139.32879087177838</v>
      </c>
      <c r="V30" s="255">
        <f xml:space="preserve"> tabConsumo[[#This Row],[Média.A]] + (_xlfn.STDEV.S( tabConsumo[[#This Row],[QTD.PENDENTE]]:tabConsumo[[#This Row],[07_23]] ) * 2)</f>
        <v>184.15758174355676</v>
      </c>
      <c r="W30" s="255">
        <f xml:space="preserve"> tabConsumo[[#This Row],[Média.A]] + (_xlfn.STDEV.S( tabConsumo[[#This Row],[QTD.PENDENTE]]:tabConsumo[[#This Row],[07_23]] ) * 3)</f>
        <v>228.98637261533514</v>
      </c>
      <c r="X30" s="5">
        <f t="shared" si="0"/>
        <v>2</v>
      </c>
      <c r="Y30">
        <v>94.5</v>
      </c>
      <c r="Z30" s="257">
        <f>SUM( tabConsumo[[#This Row],[QTD.PENDENTE]]:tabConsumo[[#This Row],[07_23]] )</f>
        <v>1134</v>
      </c>
      <c r="AA30" s="257">
        <f>LARGE(tabConsumo[[#This Row],[08_22]:[07_23]],1)</f>
        <v>165.94</v>
      </c>
      <c r="AB30" s="175" t="s">
        <v>2211</v>
      </c>
      <c r="AC30" s="3" t="s">
        <v>2064</v>
      </c>
    </row>
    <row r="31" spans="1:29" x14ac:dyDescent="0.3">
      <c r="A31" s="4" t="s">
        <v>1510</v>
      </c>
      <c r="B31" s="3" t="s">
        <v>400</v>
      </c>
      <c r="C31" s="2">
        <v>88849</v>
      </c>
      <c r="D31" s="2">
        <v>563</v>
      </c>
      <c r="F31" s="2">
        <v>2</v>
      </c>
      <c r="G31" s="2">
        <v>6</v>
      </c>
      <c r="H31" s="2">
        <v>2</v>
      </c>
      <c r="I31" s="2">
        <v>102</v>
      </c>
      <c r="J31" s="2">
        <v>2</v>
      </c>
      <c r="K31" s="2">
        <v>331</v>
      </c>
      <c r="L31" s="2">
        <v>2</v>
      </c>
      <c r="M31" s="2">
        <v>1</v>
      </c>
      <c r="N31" s="2">
        <v>8</v>
      </c>
      <c r="O31" s="2">
        <v>1</v>
      </c>
      <c r="P31" s="2">
        <v>0</v>
      </c>
      <c r="Q31" s="2">
        <v>0</v>
      </c>
      <c r="R31" s="274">
        <v>38664</v>
      </c>
      <c r="S31" s="253">
        <v>12</v>
      </c>
      <c r="T31" s="254">
        <f>SUM( tabConsumo[[#This Row],[QTD.PENDENTE]]:tabConsumo[[#This Row],[07_23]] ) / tabConsumo[[#This Row],[Div]]</f>
        <v>38.083333333333336</v>
      </c>
      <c r="U31" s="255">
        <f xml:space="preserve"> tabConsumo[[#This Row],[Média.A]] + (_xlfn.STDEV.S( tabConsumo[[#This Row],[QTD.PENDENTE]]:tabConsumo[[#This Row],[07_23]] ) * 1)</f>
        <v>134.69827508509846</v>
      </c>
      <c r="V31" s="255">
        <f xml:space="preserve"> tabConsumo[[#This Row],[Média.A]] + (_xlfn.STDEV.S( tabConsumo[[#This Row],[QTD.PENDENTE]]:tabConsumo[[#This Row],[07_23]] ) * 2)</f>
        <v>231.3132168368636</v>
      </c>
      <c r="W31" s="255">
        <f xml:space="preserve"> tabConsumo[[#This Row],[Média.A]] + (_xlfn.STDEV.S( tabConsumo[[#This Row],[QTD.PENDENTE]]:tabConsumo[[#This Row],[07_23]] ) * 3)</f>
        <v>327.92815858862872</v>
      </c>
      <c r="X31" s="5">
        <f t="shared" si="0"/>
        <v>2</v>
      </c>
      <c r="Y31">
        <v>29.75</v>
      </c>
      <c r="Z31" s="257">
        <f>SUM( tabConsumo[[#This Row],[QTD.PENDENTE]]:tabConsumo[[#This Row],[07_23]] )</f>
        <v>457</v>
      </c>
      <c r="AA31" s="257">
        <f>LARGE(tabConsumo[[#This Row],[08_22]:[07_23]],1)</f>
        <v>331</v>
      </c>
      <c r="AB31" s="175" t="s">
        <v>2214</v>
      </c>
      <c r="AC31" s="3" t="s">
        <v>2064</v>
      </c>
    </row>
    <row r="32" spans="1:29" x14ac:dyDescent="0.3">
      <c r="A32" s="4" t="s">
        <v>1369</v>
      </c>
      <c r="B32" s="3" t="s">
        <v>256</v>
      </c>
      <c r="C32" s="2">
        <v>64466</v>
      </c>
      <c r="D32" s="2">
        <v>5067</v>
      </c>
      <c r="F32" s="2">
        <v>0</v>
      </c>
      <c r="G32" s="2">
        <v>0</v>
      </c>
      <c r="H32" s="2">
        <v>0</v>
      </c>
      <c r="I32" s="2">
        <v>0</v>
      </c>
      <c r="J32" s="2">
        <v>30</v>
      </c>
      <c r="K32" s="2">
        <v>115</v>
      </c>
      <c r="L32" s="2">
        <v>0</v>
      </c>
      <c r="M32" s="2">
        <v>50</v>
      </c>
      <c r="N32" s="2">
        <v>0</v>
      </c>
      <c r="O32" s="2">
        <v>0</v>
      </c>
      <c r="P32" s="2">
        <v>0</v>
      </c>
      <c r="Q32" s="2">
        <v>0</v>
      </c>
      <c r="R32" s="274">
        <v>367</v>
      </c>
      <c r="S32" s="253">
        <f xml:space="preserve"> 12</f>
        <v>12</v>
      </c>
      <c r="T32" s="254">
        <f>SUM( tabConsumo[[#This Row],[QTD.PENDENTE]]:tabConsumo[[#This Row],[07_23]] ) / tabConsumo[[#This Row],[Div]]</f>
        <v>16.25</v>
      </c>
      <c r="U32" s="255">
        <f xml:space="preserve"> tabConsumo[[#This Row],[Média.A]] + (_xlfn.STDEV.S( tabConsumo[[#This Row],[QTD.PENDENTE]]:tabConsumo[[#This Row],[07_23]] ) * 1)</f>
        <v>51.225640873977625</v>
      </c>
      <c r="V32" s="255">
        <f xml:space="preserve"> tabConsumo[[#This Row],[Média.A]] + (_xlfn.STDEV.S( tabConsumo[[#This Row],[QTD.PENDENTE]]:tabConsumo[[#This Row],[07_23]] ) * 2)</f>
        <v>86.20128174795525</v>
      </c>
      <c r="W32" s="255">
        <f xml:space="preserve"> tabConsumo[[#This Row],[Média.A]] + (_xlfn.STDEV.S( tabConsumo[[#This Row],[QTD.PENDENTE]]:tabConsumo[[#This Row],[07_23]] ) * 3)</f>
        <v>121.17692262193287</v>
      </c>
      <c r="X32" s="5">
        <f t="shared" si="0"/>
        <v>2</v>
      </c>
      <c r="Y32">
        <v>13.833333333333334</v>
      </c>
      <c r="Z32" s="257">
        <f>SUM( tabConsumo[[#This Row],[QTD.PENDENTE]]:tabConsumo[[#This Row],[07_23]] )</f>
        <v>195</v>
      </c>
      <c r="AA32" s="257">
        <f>LARGE(tabConsumo[[#This Row],[08_22]:[07_23]],1)</f>
        <v>115</v>
      </c>
      <c r="AB32" s="175" t="s">
        <v>2217</v>
      </c>
      <c r="AC32" s="3" t="s">
        <v>2064</v>
      </c>
    </row>
    <row r="33" spans="1:29" x14ac:dyDescent="0.3">
      <c r="A33" s="4" t="s">
        <v>1315</v>
      </c>
      <c r="B33" s="3" t="s">
        <v>256</v>
      </c>
      <c r="C33" s="2">
        <v>54032</v>
      </c>
      <c r="D33" s="2">
        <v>23466</v>
      </c>
      <c r="F33" s="2">
        <v>600</v>
      </c>
      <c r="G33" s="2">
        <v>490</v>
      </c>
      <c r="H33" s="2">
        <v>1724</v>
      </c>
      <c r="I33" s="2">
        <v>1900</v>
      </c>
      <c r="J33" s="2">
        <v>2010</v>
      </c>
      <c r="K33" s="2">
        <v>850</v>
      </c>
      <c r="L33" s="2">
        <v>1890</v>
      </c>
      <c r="M33" s="2">
        <v>650</v>
      </c>
      <c r="N33" s="2">
        <v>1800</v>
      </c>
      <c r="O33" s="2">
        <v>0</v>
      </c>
      <c r="P33" s="2">
        <v>0</v>
      </c>
      <c r="Q33" s="2">
        <v>0</v>
      </c>
      <c r="R33" s="274">
        <v>367</v>
      </c>
      <c r="S33" s="253">
        <f xml:space="preserve"> 12</f>
        <v>12</v>
      </c>
      <c r="T33" s="254">
        <f>SUM( tabConsumo[[#This Row],[QTD.PENDENTE]]:tabConsumo[[#This Row],[07_23]] ) / tabConsumo[[#This Row],[Div]]</f>
        <v>992.83333333333337</v>
      </c>
      <c r="U33" s="255">
        <f xml:space="preserve"> tabConsumo[[#This Row],[Média.A]] + (_xlfn.STDEV.S( tabConsumo[[#This Row],[QTD.PENDENTE]]:tabConsumo[[#This Row],[07_23]] ) * 1)</f>
        <v>1810.3050268475306</v>
      </c>
      <c r="V33" s="255">
        <f xml:space="preserve"> tabConsumo[[#This Row],[Média.A]] + (_xlfn.STDEV.S( tabConsumo[[#This Row],[QTD.PENDENTE]]:tabConsumo[[#This Row],[07_23]] ) * 2)</f>
        <v>2627.7767203617277</v>
      </c>
      <c r="W33" s="255">
        <f xml:space="preserve"> tabConsumo[[#This Row],[Média.A]] + (_xlfn.STDEV.S( tabConsumo[[#This Row],[QTD.PENDENTE]]:tabConsumo[[#This Row],[07_23]] ) * 3)</f>
        <v>3445.2484138759251</v>
      </c>
      <c r="X33" s="5">
        <f t="shared" si="0"/>
        <v>2</v>
      </c>
      <c r="Y33">
        <v>992.83333333333337</v>
      </c>
      <c r="Z33" s="257">
        <f>SUM( tabConsumo[[#This Row],[QTD.PENDENTE]]:tabConsumo[[#This Row],[07_23]] )</f>
        <v>11914</v>
      </c>
      <c r="AA33" s="257">
        <f>LARGE(tabConsumo[[#This Row],[08_22]:[07_23]],1)</f>
        <v>2010</v>
      </c>
      <c r="AB33" s="175" t="s">
        <v>2213</v>
      </c>
      <c r="AC33" s="3" t="s">
        <v>2064</v>
      </c>
    </row>
    <row r="34" spans="1:29" x14ac:dyDescent="0.3">
      <c r="A34" s="4" t="s">
        <v>1314</v>
      </c>
      <c r="B34" s="3" t="s">
        <v>31</v>
      </c>
      <c r="C34" s="2">
        <v>54029</v>
      </c>
      <c r="D34" s="2">
        <v>3115</v>
      </c>
      <c r="F34" s="2">
        <v>100</v>
      </c>
      <c r="G34" s="2">
        <v>100</v>
      </c>
      <c r="H34" s="2">
        <v>0</v>
      </c>
      <c r="I34" s="2">
        <v>0</v>
      </c>
      <c r="J34" s="2">
        <v>50</v>
      </c>
      <c r="K34" s="2">
        <v>100</v>
      </c>
      <c r="L34" s="2">
        <v>0</v>
      </c>
      <c r="M34" s="2">
        <v>200</v>
      </c>
      <c r="N34" s="2">
        <v>200</v>
      </c>
      <c r="O34" s="2">
        <v>0</v>
      </c>
      <c r="P34" s="2">
        <v>0</v>
      </c>
      <c r="Q34" s="2">
        <v>0</v>
      </c>
      <c r="R34" s="274">
        <v>367</v>
      </c>
      <c r="S34" s="253">
        <f xml:space="preserve"> 12</f>
        <v>12</v>
      </c>
      <c r="T34" s="254">
        <f>SUM( tabConsumo[[#This Row],[QTD.PENDENTE]]:tabConsumo[[#This Row],[07_23]] ) / tabConsumo[[#This Row],[Div]]</f>
        <v>62.5</v>
      </c>
      <c r="U34" s="255">
        <f xml:space="preserve"> tabConsumo[[#This Row],[Média.A]] + (_xlfn.STDEV.S( tabConsumo[[#This Row],[QTD.PENDENTE]]:tabConsumo[[#This Row],[07_23]] ) * 1)</f>
        <v>139.7392975816656</v>
      </c>
      <c r="V34" s="255">
        <f xml:space="preserve"> tabConsumo[[#This Row],[Média.A]] + (_xlfn.STDEV.S( tabConsumo[[#This Row],[QTD.PENDENTE]]:tabConsumo[[#This Row],[07_23]] ) * 2)</f>
        <v>216.97859516333116</v>
      </c>
      <c r="W34" s="255">
        <f xml:space="preserve"> tabConsumo[[#This Row],[Média.A]] + (_xlfn.STDEV.S( tabConsumo[[#This Row],[QTD.PENDENTE]]:tabConsumo[[#This Row],[07_23]] ) * 3)</f>
        <v>294.21789274499673</v>
      </c>
      <c r="X34" s="5">
        <f t="shared" si="0"/>
        <v>2</v>
      </c>
      <c r="Y34">
        <v>62.5</v>
      </c>
      <c r="Z34" s="257">
        <f>SUM( tabConsumo[[#This Row],[QTD.PENDENTE]]:tabConsumo[[#This Row],[07_23]] )</f>
        <v>750</v>
      </c>
      <c r="AA34" s="257">
        <f>LARGE(tabConsumo[[#This Row],[08_22]:[07_23]],1)</f>
        <v>200</v>
      </c>
      <c r="AB34" s="175" t="s">
        <v>2213</v>
      </c>
      <c r="AC34" s="3" t="s">
        <v>2064</v>
      </c>
    </row>
    <row r="35" spans="1:29" x14ac:dyDescent="0.3">
      <c r="A35" s="4" t="s">
        <v>2187</v>
      </c>
      <c r="B35" s="3" t="s">
        <v>256</v>
      </c>
      <c r="C35" s="2">
        <v>113611</v>
      </c>
      <c r="D35" s="2">
        <v>0</v>
      </c>
      <c r="F35" s="2">
        <v>83</v>
      </c>
      <c r="G35" s="2">
        <v>188</v>
      </c>
      <c r="H35" s="2">
        <v>35</v>
      </c>
      <c r="I35" s="2">
        <v>0</v>
      </c>
      <c r="J35" s="2">
        <v>0</v>
      </c>
      <c r="K35" s="2">
        <v>0</v>
      </c>
      <c r="L35" s="2">
        <v>0</v>
      </c>
      <c r="M35" s="2">
        <v>0</v>
      </c>
      <c r="N35" s="2">
        <v>0</v>
      </c>
      <c r="O35" s="2">
        <v>0</v>
      </c>
      <c r="P35" s="2">
        <v>0</v>
      </c>
      <c r="Q35" s="2">
        <v>0</v>
      </c>
      <c r="R35" s="274">
        <v>367</v>
      </c>
      <c r="S35" s="253">
        <f xml:space="preserve"> 12</f>
        <v>12</v>
      </c>
      <c r="T35" s="254">
        <f>SUM( tabConsumo[[#This Row],[QTD.PENDENTE]]:tabConsumo[[#This Row],[07_23]] ) / tabConsumo[[#This Row],[Div]]</f>
        <v>25.5</v>
      </c>
      <c r="U35" s="255">
        <f xml:space="preserve"> tabConsumo[[#This Row],[Média.A]] + (_xlfn.STDEV.S( tabConsumo[[#This Row],[QTD.PENDENTE]]:tabConsumo[[#This Row],[07_23]] ) * 1)</f>
        <v>82.432974947420732</v>
      </c>
      <c r="V35" s="255">
        <f xml:space="preserve"> tabConsumo[[#This Row],[Média.A]] + (_xlfn.STDEV.S( tabConsumo[[#This Row],[QTD.PENDENTE]]:tabConsumo[[#This Row],[07_23]] ) * 2)</f>
        <v>139.36594989484146</v>
      </c>
      <c r="W35" s="255">
        <f xml:space="preserve"> tabConsumo[[#This Row],[Média.A]] + (_xlfn.STDEV.S( tabConsumo[[#This Row],[QTD.PENDENTE]]:tabConsumo[[#This Row],[07_23]] ) * 3)</f>
        <v>196.29892484226218</v>
      </c>
      <c r="X35" s="5">
        <f t="shared" si="0"/>
        <v>2</v>
      </c>
      <c r="Y35">
        <v>21.416666666666668</v>
      </c>
      <c r="Z35" s="257">
        <f>SUM( tabConsumo[[#This Row],[QTD.PENDENTE]]:tabConsumo[[#This Row],[07_23]] )</f>
        <v>306</v>
      </c>
      <c r="AA35" s="257">
        <f>LARGE(tabConsumo[[#This Row],[08_22]:[07_23]],1)</f>
        <v>188</v>
      </c>
      <c r="AB35" s="175" t="s">
        <v>2215</v>
      </c>
      <c r="AC35" s="3" t="s">
        <v>2064</v>
      </c>
    </row>
    <row r="36" spans="1:29" x14ac:dyDescent="0.3">
      <c r="A36" s="4" t="s">
        <v>2033</v>
      </c>
      <c r="B36" s="3" t="s">
        <v>31</v>
      </c>
      <c r="C36" s="2">
        <v>144153</v>
      </c>
      <c r="D36" s="2">
        <v>479</v>
      </c>
      <c r="E36" s="2">
        <v>10</v>
      </c>
      <c r="F36" s="2">
        <v>0</v>
      </c>
      <c r="G36" s="2">
        <v>0</v>
      </c>
      <c r="H36" s="2">
        <v>5</v>
      </c>
      <c r="I36" s="2">
        <v>23</v>
      </c>
      <c r="J36" s="2">
        <v>44</v>
      </c>
      <c r="K36" s="2">
        <v>104</v>
      </c>
      <c r="L36" s="2">
        <v>49</v>
      </c>
      <c r="M36" s="2">
        <v>39</v>
      </c>
      <c r="N36" s="2">
        <v>73</v>
      </c>
      <c r="O36" s="2">
        <v>173</v>
      </c>
      <c r="P36" s="2">
        <v>80</v>
      </c>
      <c r="Q36" s="2">
        <v>40</v>
      </c>
      <c r="R36" s="274">
        <v>44700</v>
      </c>
      <c r="S36" s="253">
        <v>12</v>
      </c>
      <c r="T36" s="254">
        <f>SUM( tabConsumo[[#This Row],[QTD.PENDENTE]]:tabConsumo[[#This Row],[07_23]] ) / tabConsumo[[#This Row],[Div]]</f>
        <v>53.333333333333336</v>
      </c>
      <c r="U36" s="255">
        <f xml:space="preserve"> tabConsumo[[#This Row],[Média.A]] + (_xlfn.STDEV.S( tabConsumo[[#This Row],[QTD.PENDENTE]]:tabConsumo[[#This Row],[07_23]] ) * 1)</f>
        <v>102.55926458600044</v>
      </c>
      <c r="V36" s="255">
        <f xml:space="preserve"> tabConsumo[[#This Row],[Média.A]] + (_xlfn.STDEV.S( tabConsumo[[#This Row],[QTD.PENDENTE]]:tabConsumo[[#This Row],[07_23]] ) * 2)</f>
        <v>151.78519583866753</v>
      </c>
      <c r="W36" s="255">
        <f xml:space="preserve"> tabConsumo[[#This Row],[Média.A]] + (_xlfn.STDEV.S( tabConsumo[[#This Row],[QTD.PENDENTE]]:tabConsumo[[#This Row],[07_23]] ) * 3)</f>
        <v>201.01112709133466</v>
      </c>
      <c r="X36" s="5">
        <f t="shared" si="0"/>
        <v>2</v>
      </c>
      <c r="Y36">
        <v>51.5</v>
      </c>
      <c r="Z36" s="257">
        <f>SUM( tabConsumo[[#This Row],[QTD.PENDENTE]]:tabConsumo[[#This Row],[07_23]] )</f>
        <v>640</v>
      </c>
      <c r="AA36" s="257">
        <f>LARGE(tabConsumo[[#This Row],[08_22]:[07_23]],1)</f>
        <v>173</v>
      </c>
      <c r="AB36" s="175" t="s">
        <v>2211</v>
      </c>
      <c r="AC36" s="3" t="s">
        <v>2064</v>
      </c>
    </row>
    <row r="37" spans="1:29" x14ac:dyDescent="0.3">
      <c r="A37" s="4" t="s">
        <v>1944</v>
      </c>
      <c r="B37" s="3" t="s">
        <v>256</v>
      </c>
      <c r="C37" s="2">
        <v>137798</v>
      </c>
      <c r="D37" s="2">
        <v>18</v>
      </c>
      <c r="F37" s="2">
        <v>0</v>
      </c>
      <c r="G37" s="2">
        <v>0</v>
      </c>
      <c r="H37" s="2">
        <v>0</v>
      </c>
      <c r="I37" s="2">
        <v>0</v>
      </c>
      <c r="J37" s="2">
        <v>0</v>
      </c>
      <c r="K37" s="2">
        <v>0</v>
      </c>
      <c r="L37" s="2">
        <v>0</v>
      </c>
      <c r="M37" s="2">
        <v>0</v>
      </c>
      <c r="N37" s="2">
        <v>0</v>
      </c>
      <c r="O37" s="2">
        <v>0</v>
      </c>
      <c r="P37" s="2">
        <v>1</v>
      </c>
      <c r="Q37" s="2">
        <v>0</v>
      </c>
      <c r="R37" s="274">
        <v>43629</v>
      </c>
      <c r="S37" s="253">
        <v>12</v>
      </c>
      <c r="T37" s="254">
        <f>SUM( tabConsumo[[#This Row],[QTD.PENDENTE]]:tabConsumo[[#This Row],[07_23]] ) / tabConsumo[[#This Row],[Div]]</f>
        <v>8.3333333333333329E-2</v>
      </c>
      <c r="U37" s="255">
        <f xml:space="preserve"> tabConsumo[[#This Row],[Média.A]] + (_xlfn.STDEV.S( tabConsumo[[#This Row],[QTD.PENDENTE]]:tabConsumo[[#This Row],[07_23]] ) * 1)</f>
        <v>0.37200846792814618</v>
      </c>
      <c r="V37" s="255">
        <f xml:space="preserve"> tabConsumo[[#This Row],[Média.A]] + (_xlfn.STDEV.S( tabConsumo[[#This Row],[QTD.PENDENTE]]:tabConsumo[[#This Row],[07_23]] ) * 2)</f>
        <v>0.6606836025229591</v>
      </c>
      <c r="W37" s="255">
        <f xml:space="preserve"> tabConsumo[[#This Row],[Média.A]] + (_xlfn.STDEV.S( tabConsumo[[#This Row],[QTD.PENDENTE]]:tabConsumo[[#This Row],[07_23]] ) * 3)</f>
        <v>0.94935873711777197</v>
      </c>
      <c r="X37" s="5">
        <f t="shared" si="0"/>
        <v>2</v>
      </c>
      <c r="Y37">
        <v>0</v>
      </c>
      <c r="Z37" s="257">
        <f>SUM( tabConsumo[[#This Row],[QTD.PENDENTE]]:tabConsumo[[#This Row],[07_23]] )</f>
        <v>1</v>
      </c>
      <c r="AA37" s="257">
        <f>LARGE(tabConsumo[[#This Row],[08_22]:[07_23]],1)</f>
        <v>1</v>
      </c>
      <c r="AB37" s="175" t="s">
        <v>2212</v>
      </c>
      <c r="AC37" s="3" t="s">
        <v>2064</v>
      </c>
    </row>
    <row r="38" spans="1:29" x14ac:dyDescent="0.3">
      <c r="A38" s="4" t="s">
        <v>1362</v>
      </c>
      <c r="B38" s="3" t="s">
        <v>395</v>
      </c>
      <c r="C38" s="2">
        <v>63991</v>
      </c>
      <c r="D38" s="2">
        <v>4400</v>
      </c>
      <c r="E38" s="2">
        <v>210</v>
      </c>
      <c r="F38" s="2">
        <v>249</v>
      </c>
      <c r="G38" s="2">
        <v>218</v>
      </c>
      <c r="H38" s="2">
        <v>253</v>
      </c>
      <c r="I38" s="2">
        <v>307</v>
      </c>
      <c r="J38" s="2">
        <v>167</v>
      </c>
      <c r="K38" s="2">
        <v>101</v>
      </c>
      <c r="L38" s="2">
        <v>215</v>
      </c>
      <c r="M38" s="2">
        <v>1319</v>
      </c>
      <c r="N38" s="2">
        <v>5</v>
      </c>
      <c r="O38" s="2">
        <v>130</v>
      </c>
      <c r="P38" s="2">
        <v>271</v>
      </c>
      <c r="Q38" s="2">
        <v>274</v>
      </c>
      <c r="R38" s="274">
        <v>367</v>
      </c>
      <c r="S38" s="253">
        <f xml:space="preserve"> 12</f>
        <v>12</v>
      </c>
      <c r="T38" s="254">
        <f>SUM( tabConsumo[[#This Row],[QTD.PENDENTE]]:tabConsumo[[#This Row],[07_23]] ) / tabConsumo[[#This Row],[Div]]</f>
        <v>309.91666666666669</v>
      </c>
      <c r="U38" s="255">
        <f xml:space="preserve"> tabConsumo[[#This Row],[Média.A]] + (_xlfn.STDEV.S( tabConsumo[[#This Row],[QTD.PENDENTE]]:tabConsumo[[#This Row],[07_23]] ) * 1)</f>
        <v>631.04500589634335</v>
      </c>
      <c r="V38" s="255">
        <f xml:space="preserve"> tabConsumo[[#This Row],[Média.A]] + (_xlfn.STDEV.S( tabConsumo[[#This Row],[QTD.PENDENTE]]:tabConsumo[[#This Row],[07_23]] ) * 2)</f>
        <v>952.17334512601997</v>
      </c>
      <c r="W38" s="255">
        <f xml:space="preserve"> tabConsumo[[#This Row],[Média.A]] + (_xlfn.STDEV.S( tabConsumo[[#This Row],[QTD.PENDENTE]]:tabConsumo[[#This Row],[07_23]] ) * 3)</f>
        <v>1273.3016843556966</v>
      </c>
      <c r="X38" s="5">
        <f t="shared" si="0"/>
        <v>2</v>
      </c>
      <c r="Y38">
        <v>279.33333333333331</v>
      </c>
      <c r="Z38" s="257">
        <f>SUM( tabConsumo[[#This Row],[QTD.PENDENTE]]:tabConsumo[[#This Row],[07_23]] )</f>
        <v>3719</v>
      </c>
      <c r="AA38" s="257">
        <f>LARGE(tabConsumo[[#This Row],[08_22]:[07_23]],1)</f>
        <v>1319</v>
      </c>
      <c r="AB38" s="175" t="s">
        <v>2211</v>
      </c>
      <c r="AC38" s="3" t="s">
        <v>2064</v>
      </c>
    </row>
    <row r="39" spans="1:29" x14ac:dyDescent="0.3">
      <c r="A39" s="4" t="s">
        <v>1324</v>
      </c>
      <c r="B39" s="3" t="s">
        <v>281</v>
      </c>
      <c r="C39" s="2">
        <v>54682</v>
      </c>
      <c r="D39" s="2">
        <v>0</v>
      </c>
      <c r="E39" s="2">
        <v>120</v>
      </c>
      <c r="F39" s="2">
        <v>113</v>
      </c>
      <c r="G39" s="2">
        <v>100</v>
      </c>
      <c r="H39" s="2">
        <v>120</v>
      </c>
      <c r="I39" s="2">
        <v>143</v>
      </c>
      <c r="J39" s="2">
        <v>81</v>
      </c>
      <c r="K39" s="2">
        <v>78</v>
      </c>
      <c r="L39" s="2">
        <v>78</v>
      </c>
      <c r="M39" s="2">
        <v>3731</v>
      </c>
      <c r="N39" s="2">
        <v>84</v>
      </c>
      <c r="O39" s="2">
        <v>0</v>
      </c>
      <c r="P39" s="2">
        <v>0</v>
      </c>
      <c r="Q39" s="2">
        <v>0</v>
      </c>
      <c r="R39" s="274">
        <v>367</v>
      </c>
      <c r="S39" s="253">
        <f xml:space="preserve"> 12</f>
        <v>12</v>
      </c>
      <c r="T39" s="254">
        <f>SUM( tabConsumo[[#This Row],[QTD.PENDENTE]]:tabConsumo[[#This Row],[07_23]] ) / tabConsumo[[#This Row],[Div]]</f>
        <v>387.33333333333331</v>
      </c>
      <c r="U39" s="255">
        <f xml:space="preserve"> tabConsumo[[#This Row],[Média.A]] + (_xlfn.STDEV.S( tabConsumo[[#This Row],[QTD.PENDENTE]]:tabConsumo[[#This Row],[07_23]] ) * 1)</f>
        <v>1402.0716095557143</v>
      </c>
      <c r="V39" s="255">
        <f xml:space="preserve"> tabConsumo[[#This Row],[Média.A]] + (_xlfn.STDEV.S( tabConsumo[[#This Row],[QTD.PENDENTE]]:tabConsumo[[#This Row],[07_23]] ) * 2)</f>
        <v>2416.8098857780951</v>
      </c>
      <c r="W39" s="255">
        <f xml:space="preserve"> tabConsumo[[#This Row],[Média.A]] + (_xlfn.STDEV.S( tabConsumo[[#This Row],[QTD.PENDENTE]]:tabConsumo[[#This Row],[07_23]] ) * 3)</f>
        <v>3431.5481620004762</v>
      </c>
      <c r="X39" s="5">
        <f t="shared" si="0"/>
        <v>2</v>
      </c>
      <c r="Y39">
        <v>277.75</v>
      </c>
      <c r="Z39" s="257">
        <f>SUM( tabConsumo[[#This Row],[QTD.PENDENTE]]:tabConsumo[[#This Row],[07_23]] )</f>
        <v>4648</v>
      </c>
      <c r="AA39" s="257">
        <f>LARGE(tabConsumo[[#This Row],[08_22]:[07_23]],1)</f>
        <v>3731</v>
      </c>
      <c r="AB39" s="175" t="s">
        <v>2213</v>
      </c>
      <c r="AC39" s="3" t="s">
        <v>2064</v>
      </c>
    </row>
    <row r="40" spans="1:29" x14ac:dyDescent="0.3">
      <c r="A40" s="4" t="s">
        <v>1752</v>
      </c>
      <c r="B40" s="3" t="s">
        <v>294</v>
      </c>
      <c r="C40" s="2">
        <v>123618</v>
      </c>
      <c r="D40" s="2">
        <v>999</v>
      </c>
      <c r="F40" s="2">
        <v>1</v>
      </c>
      <c r="G40" s="2">
        <v>0</v>
      </c>
      <c r="H40" s="2">
        <v>0</v>
      </c>
      <c r="I40" s="2">
        <v>0</v>
      </c>
      <c r="J40" s="2">
        <v>0</v>
      </c>
      <c r="K40" s="2">
        <v>0</v>
      </c>
      <c r="L40" s="2">
        <v>0</v>
      </c>
      <c r="M40" s="2">
        <v>0</v>
      </c>
      <c r="N40" s="2">
        <v>0</v>
      </c>
      <c r="O40" s="2">
        <v>0</v>
      </c>
      <c r="P40" s="2">
        <v>0</v>
      </c>
      <c r="Q40" s="2">
        <v>0</v>
      </c>
      <c r="R40" s="274">
        <v>41142</v>
      </c>
      <c r="S40" s="253">
        <v>12</v>
      </c>
      <c r="T40" s="254">
        <f>SUM( tabConsumo[[#This Row],[QTD.PENDENTE]]:tabConsumo[[#This Row],[07_23]] ) / tabConsumo[[#This Row],[Div]]</f>
        <v>8.3333333333333329E-2</v>
      </c>
      <c r="U40" s="255">
        <f xml:space="preserve"> tabConsumo[[#This Row],[Média.A]] + (_xlfn.STDEV.S( tabConsumo[[#This Row],[QTD.PENDENTE]]:tabConsumo[[#This Row],[07_23]] ) * 1)</f>
        <v>0.37200846792814618</v>
      </c>
      <c r="V40" s="255">
        <f xml:space="preserve"> tabConsumo[[#This Row],[Média.A]] + (_xlfn.STDEV.S( tabConsumo[[#This Row],[QTD.PENDENTE]]:tabConsumo[[#This Row],[07_23]] ) * 2)</f>
        <v>0.6606836025229591</v>
      </c>
      <c r="W40" s="255">
        <f xml:space="preserve"> tabConsumo[[#This Row],[Média.A]] + (_xlfn.STDEV.S( tabConsumo[[#This Row],[QTD.PENDENTE]]:tabConsumo[[#This Row],[07_23]] ) * 3)</f>
        <v>0.94935873711777197</v>
      </c>
      <c r="X40" s="5">
        <f t="shared" si="0"/>
        <v>2</v>
      </c>
      <c r="Y40">
        <v>0</v>
      </c>
      <c r="Z40" s="257">
        <f>SUM( tabConsumo[[#This Row],[QTD.PENDENTE]]:tabConsumo[[#This Row],[07_23]] )</f>
        <v>1</v>
      </c>
      <c r="AA40" s="257">
        <f>LARGE(tabConsumo[[#This Row],[08_22]:[07_23]],1)</f>
        <v>1</v>
      </c>
      <c r="AB40" s="175" t="s">
        <v>2218</v>
      </c>
      <c r="AC40" s="3" t="s">
        <v>2064</v>
      </c>
    </row>
    <row r="41" spans="1:29" x14ac:dyDescent="0.3">
      <c r="A41" s="4" t="s">
        <v>1511</v>
      </c>
      <c r="B41" s="3" t="s">
        <v>294</v>
      </c>
      <c r="C41" s="2">
        <v>88856</v>
      </c>
      <c r="D41" s="2">
        <v>450</v>
      </c>
      <c r="F41" s="2">
        <v>15</v>
      </c>
      <c r="G41" s="2">
        <v>10</v>
      </c>
      <c r="H41" s="2">
        <v>20</v>
      </c>
      <c r="I41" s="2">
        <v>85</v>
      </c>
      <c r="J41" s="2">
        <v>5</v>
      </c>
      <c r="K41" s="2">
        <v>40</v>
      </c>
      <c r="L41" s="2">
        <v>10</v>
      </c>
      <c r="M41" s="2">
        <v>0</v>
      </c>
      <c r="N41" s="2">
        <v>20</v>
      </c>
      <c r="O41" s="2">
        <v>0</v>
      </c>
      <c r="P41" s="2">
        <v>50</v>
      </c>
      <c r="Q41" s="2">
        <v>0</v>
      </c>
      <c r="R41" s="274">
        <v>38664</v>
      </c>
      <c r="S41" s="253">
        <v>12</v>
      </c>
      <c r="T41" s="254">
        <f>SUM( tabConsumo[[#This Row],[QTD.PENDENTE]]:tabConsumo[[#This Row],[07_23]] ) / tabConsumo[[#This Row],[Div]]</f>
        <v>21.25</v>
      </c>
      <c r="U41" s="255">
        <f xml:space="preserve"> tabConsumo[[#This Row],[Média.A]] + (_xlfn.STDEV.S( tabConsumo[[#This Row],[QTD.PENDENTE]]:tabConsumo[[#This Row],[07_23]] ) * 1)</f>
        <v>46.756238096163493</v>
      </c>
      <c r="V41" s="255">
        <f xml:space="preserve"> tabConsumo[[#This Row],[Média.A]] + (_xlfn.STDEV.S( tabConsumo[[#This Row],[QTD.PENDENTE]]:tabConsumo[[#This Row],[07_23]] ) * 2)</f>
        <v>72.262476192326986</v>
      </c>
      <c r="W41" s="255">
        <f xml:space="preserve"> tabConsumo[[#This Row],[Média.A]] + (_xlfn.STDEV.S( tabConsumo[[#This Row],[QTD.PENDENTE]]:tabConsumo[[#This Row],[07_23]] ) * 3)</f>
        <v>97.768714288490486</v>
      </c>
      <c r="X41" s="5">
        <f t="shared" si="0"/>
        <v>2</v>
      </c>
      <c r="Y41">
        <v>20.166666666666668</v>
      </c>
      <c r="Z41" s="257">
        <f>SUM( tabConsumo[[#This Row],[QTD.PENDENTE]]:tabConsumo[[#This Row],[07_23]] )</f>
        <v>255</v>
      </c>
      <c r="AA41" s="257">
        <f>LARGE(tabConsumo[[#This Row],[08_22]:[07_23]],1)</f>
        <v>85</v>
      </c>
      <c r="AB41" s="175" t="s">
        <v>2212</v>
      </c>
      <c r="AC41" s="3" t="s">
        <v>2064</v>
      </c>
    </row>
    <row r="42" spans="1:29" x14ac:dyDescent="0.3">
      <c r="A42" s="4" t="s">
        <v>1341</v>
      </c>
      <c r="B42" s="3" t="s">
        <v>294</v>
      </c>
      <c r="C42" s="2">
        <v>59882</v>
      </c>
      <c r="D42" s="2">
        <v>1516</v>
      </c>
      <c r="F42" s="2">
        <v>83</v>
      </c>
      <c r="G42" s="2">
        <v>60</v>
      </c>
      <c r="H42" s="2">
        <v>12</v>
      </c>
      <c r="I42" s="2">
        <v>53</v>
      </c>
      <c r="J42" s="2">
        <v>15</v>
      </c>
      <c r="K42" s="2">
        <v>152</v>
      </c>
      <c r="L42" s="2">
        <v>31</v>
      </c>
      <c r="M42" s="2">
        <v>240</v>
      </c>
      <c r="N42" s="2">
        <v>75</v>
      </c>
      <c r="O42" s="2">
        <v>89</v>
      </c>
      <c r="P42" s="2">
        <v>60</v>
      </c>
      <c r="Q42" s="2">
        <v>15</v>
      </c>
      <c r="R42" s="274">
        <v>367</v>
      </c>
      <c r="S42" s="253">
        <f xml:space="preserve"> 12</f>
        <v>12</v>
      </c>
      <c r="T42" s="254">
        <f>SUM( tabConsumo[[#This Row],[QTD.PENDENTE]]:tabConsumo[[#This Row],[07_23]] ) / tabConsumo[[#This Row],[Div]]</f>
        <v>73.75</v>
      </c>
      <c r="U42" s="255">
        <f xml:space="preserve"> tabConsumo[[#This Row],[Média.A]] + (_xlfn.STDEV.S( tabConsumo[[#This Row],[QTD.PENDENTE]]:tabConsumo[[#This Row],[07_23]] ) * 1)</f>
        <v>139.41737809182382</v>
      </c>
      <c r="V42" s="255">
        <f xml:space="preserve"> tabConsumo[[#This Row],[Média.A]] + (_xlfn.STDEV.S( tabConsumo[[#This Row],[QTD.PENDENTE]]:tabConsumo[[#This Row],[07_23]] ) * 2)</f>
        <v>205.08475618364767</v>
      </c>
      <c r="W42" s="255">
        <f xml:space="preserve"> tabConsumo[[#This Row],[Média.A]] + (_xlfn.STDEV.S( tabConsumo[[#This Row],[QTD.PENDENTE]]:tabConsumo[[#This Row],[07_23]] ) * 3)</f>
        <v>270.75213427547152</v>
      </c>
      <c r="X42" s="5">
        <f t="shared" si="0"/>
        <v>2</v>
      </c>
      <c r="Y42">
        <v>70.833333333333329</v>
      </c>
      <c r="Z42" s="257">
        <f>SUM( tabConsumo[[#This Row],[QTD.PENDENTE]]:tabConsumo[[#This Row],[07_23]] )</f>
        <v>885</v>
      </c>
      <c r="AA42" s="257">
        <f>LARGE(tabConsumo[[#This Row],[08_22]:[07_23]],1)</f>
        <v>240</v>
      </c>
      <c r="AB42" s="175" t="s">
        <v>2211</v>
      </c>
      <c r="AC42" s="3" t="s">
        <v>2064</v>
      </c>
    </row>
    <row r="43" spans="1:29" x14ac:dyDescent="0.3">
      <c r="A43" s="4" t="s">
        <v>1343</v>
      </c>
      <c r="B43" s="3" t="s">
        <v>294</v>
      </c>
      <c r="C43" s="2">
        <v>59942</v>
      </c>
      <c r="D43" s="2">
        <v>534</v>
      </c>
      <c r="F43" s="2">
        <v>49</v>
      </c>
      <c r="G43" s="2">
        <v>5</v>
      </c>
      <c r="H43" s="2">
        <v>0</v>
      </c>
      <c r="I43" s="2">
        <v>0</v>
      </c>
      <c r="J43" s="2">
        <v>5</v>
      </c>
      <c r="K43" s="2">
        <v>6</v>
      </c>
      <c r="L43" s="2">
        <v>0</v>
      </c>
      <c r="M43" s="2">
        <v>39</v>
      </c>
      <c r="N43" s="2">
        <v>4</v>
      </c>
      <c r="O43" s="2">
        <v>20</v>
      </c>
      <c r="P43" s="2">
        <v>9</v>
      </c>
      <c r="Q43" s="2">
        <v>16</v>
      </c>
      <c r="R43" s="274">
        <v>367</v>
      </c>
      <c r="S43" s="253">
        <f xml:space="preserve"> 12</f>
        <v>12</v>
      </c>
      <c r="T43" s="254">
        <f>SUM( tabConsumo[[#This Row],[QTD.PENDENTE]]:tabConsumo[[#This Row],[07_23]] ) / tabConsumo[[#This Row],[Div]]</f>
        <v>12.75</v>
      </c>
      <c r="U43" s="255">
        <f xml:space="preserve"> tabConsumo[[#This Row],[Média.A]] + (_xlfn.STDEV.S( tabConsumo[[#This Row],[QTD.PENDENTE]]:tabConsumo[[#This Row],[07_23]] ) * 1)</f>
        <v>28.733656425463877</v>
      </c>
      <c r="V43" s="255">
        <f xml:space="preserve"> tabConsumo[[#This Row],[Média.A]] + (_xlfn.STDEV.S( tabConsumo[[#This Row],[QTD.PENDENTE]]:tabConsumo[[#This Row],[07_23]] ) * 2)</f>
        <v>44.717312850927755</v>
      </c>
      <c r="W43" s="255">
        <f xml:space="preserve"> tabConsumo[[#This Row],[Média.A]] + (_xlfn.STDEV.S( tabConsumo[[#This Row],[QTD.PENDENTE]]:tabConsumo[[#This Row],[07_23]] ) * 3)</f>
        <v>60.700969276391632</v>
      </c>
      <c r="X43" s="5">
        <f t="shared" si="0"/>
        <v>2</v>
      </c>
      <c r="Y43">
        <v>12.333333333333334</v>
      </c>
      <c r="Z43" s="257">
        <f>SUM( tabConsumo[[#This Row],[QTD.PENDENTE]]:tabConsumo[[#This Row],[07_23]] )</f>
        <v>153</v>
      </c>
      <c r="AA43" s="257">
        <f>LARGE(tabConsumo[[#This Row],[08_22]:[07_23]],1)</f>
        <v>49</v>
      </c>
      <c r="AB43" s="175" t="s">
        <v>2211</v>
      </c>
      <c r="AC43" s="3" t="s">
        <v>2064</v>
      </c>
    </row>
    <row r="44" spans="1:29" x14ac:dyDescent="0.3">
      <c r="A44" s="4" t="s">
        <v>1370</v>
      </c>
      <c r="B44" s="3" t="s">
        <v>294</v>
      </c>
      <c r="C44" s="2">
        <v>64604</v>
      </c>
      <c r="D44" s="2">
        <v>1371</v>
      </c>
      <c r="F44" s="2">
        <v>0</v>
      </c>
      <c r="G44" s="2">
        <v>0</v>
      </c>
      <c r="H44" s="2">
        <v>0</v>
      </c>
      <c r="I44" s="2">
        <v>0</v>
      </c>
      <c r="J44" s="2">
        <v>0</v>
      </c>
      <c r="K44" s="2">
        <v>1</v>
      </c>
      <c r="L44" s="2">
        <v>2</v>
      </c>
      <c r="M44" s="2">
        <v>30</v>
      </c>
      <c r="N44" s="2">
        <v>0</v>
      </c>
      <c r="O44" s="2">
        <v>0</v>
      </c>
      <c r="P44" s="2">
        <v>0</v>
      </c>
      <c r="Q44" s="2">
        <v>5</v>
      </c>
      <c r="R44" s="274">
        <v>367</v>
      </c>
      <c r="S44" s="253">
        <f xml:space="preserve"> 12</f>
        <v>12</v>
      </c>
      <c r="T44" s="254">
        <f>SUM( tabConsumo[[#This Row],[QTD.PENDENTE]]:tabConsumo[[#This Row],[07_23]] ) / tabConsumo[[#This Row],[Div]]</f>
        <v>3.1666666666666665</v>
      </c>
      <c r="U44" s="255">
        <f xml:space="preserve"> tabConsumo[[#This Row],[Média.A]] + (_xlfn.STDEV.S( tabConsumo[[#This Row],[QTD.PENDENTE]]:tabConsumo[[#This Row],[07_23]] ) * 1)</f>
        <v>11.746064116724602</v>
      </c>
      <c r="V44" s="255">
        <f xml:space="preserve"> tabConsumo[[#This Row],[Média.A]] + (_xlfn.STDEV.S( tabConsumo[[#This Row],[QTD.PENDENTE]]:tabConsumo[[#This Row],[07_23]] ) * 2)</f>
        <v>20.32546156678254</v>
      </c>
      <c r="W44" s="255">
        <f xml:space="preserve"> tabConsumo[[#This Row],[Média.A]] + (_xlfn.STDEV.S( tabConsumo[[#This Row],[QTD.PENDENTE]]:tabConsumo[[#This Row],[07_23]] ) * 3)</f>
        <v>28.904859016840476</v>
      </c>
      <c r="X44" s="5">
        <f t="shared" si="0"/>
        <v>2</v>
      </c>
      <c r="Y44">
        <v>2.3333333333333335</v>
      </c>
      <c r="Z44" s="257">
        <f>SUM( tabConsumo[[#This Row],[QTD.PENDENTE]]:tabConsumo[[#This Row],[07_23]] )</f>
        <v>38</v>
      </c>
      <c r="AA44" s="257">
        <f>LARGE(tabConsumo[[#This Row],[08_22]:[07_23]],1)</f>
        <v>30</v>
      </c>
      <c r="AB44" s="175" t="s">
        <v>2211</v>
      </c>
      <c r="AC44" s="3" t="s">
        <v>2064</v>
      </c>
    </row>
    <row r="45" spans="1:29" x14ac:dyDescent="0.3">
      <c r="A45" s="4" t="s">
        <v>1371</v>
      </c>
      <c r="B45" s="3" t="s">
        <v>294</v>
      </c>
      <c r="C45" s="2">
        <v>64605</v>
      </c>
      <c r="D45" s="2">
        <v>29</v>
      </c>
      <c r="F45" s="2">
        <v>30</v>
      </c>
      <c r="G45" s="2">
        <v>30</v>
      </c>
      <c r="H45" s="2">
        <v>10</v>
      </c>
      <c r="I45" s="2">
        <v>31</v>
      </c>
      <c r="J45" s="2">
        <v>6</v>
      </c>
      <c r="K45" s="2">
        <v>105</v>
      </c>
      <c r="L45" s="2">
        <v>13</v>
      </c>
      <c r="M45" s="2">
        <v>106</v>
      </c>
      <c r="N45" s="2">
        <v>60</v>
      </c>
      <c r="O45" s="2">
        <v>46</v>
      </c>
      <c r="P45" s="2">
        <v>50</v>
      </c>
      <c r="Q45" s="2">
        <v>5</v>
      </c>
      <c r="R45" s="274">
        <v>367</v>
      </c>
      <c r="S45" s="253">
        <f xml:space="preserve"> 12</f>
        <v>12</v>
      </c>
      <c r="T45" s="254">
        <f>SUM( tabConsumo[[#This Row],[QTD.PENDENTE]]:tabConsumo[[#This Row],[07_23]] ) / tabConsumo[[#This Row],[Div]]</f>
        <v>41</v>
      </c>
      <c r="U45" s="255">
        <f xml:space="preserve"> tabConsumo[[#This Row],[Média.A]] + (_xlfn.STDEV.S( tabConsumo[[#This Row],[QTD.PENDENTE]]:tabConsumo[[#This Row],[07_23]] ) * 1)</f>
        <v>75.897251780307599</v>
      </c>
      <c r="V45" s="255">
        <f xml:space="preserve"> tabConsumo[[#This Row],[Média.A]] + (_xlfn.STDEV.S( tabConsumo[[#This Row],[QTD.PENDENTE]]:tabConsumo[[#This Row],[07_23]] ) * 2)</f>
        <v>110.7945035606152</v>
      </c>
      <c r="W45" s="255">
        <f xml:space="preserve"> tabConsumo[[#This Row],[Média.A]] + (_xlfn.STDEV.S( tabConsumo[[#This Row],[QTD.PENDENTE]]:tabConsumo[[#This Row],[07_23]] ) * 3)</f>
        <v>145.69175534092278</v>
      </c>
      <c r="X45" s="5">
        <f t="shared" si="0"/>
        <v>2</v>
      </c>
      <c r="Y45">
        <v>41</v>
      </c>
      <c r="Z45" s="257">
        <f>SUM( tabConsumo[[#This Row],[QTD.PENDENTE]]:tabConsumo[[#This Row],[07_23]] )</f>
        <v>492</v>
      </c>
      <c r="AA45" s="257">
        <f>LARGE(tabConsumo[[#This Row],[08_22]:[07_23]],1)</f>
        <v>106</v>
      </c>
      <c r="AB45" s="175" t="s">
        <v>2211</v>
      </c>
      <c r="AC45" s="3" t="s">
        <v>2064</v>
      </c>
    </row>
    <row r="46" spans="1:29" x14ac:dyDescent="0.3">
      <c r="A46" s="4" t="s">
        <v>1452</v>
      </c>
      <c r="B46" s="3" t="s">
        <v>256</v>
      </c>
      <c r="C46" s="2">
        <v>80300</v>
      </c>
      <c r="D46" s="2">
        <v>54</v>
      </c>
      <c r="E46" s="2">
        <v>5</v>
      </c>
      <c r="F46" s="2">
        <v>21</v>
      </c>
      <c r="G46" s="2">
        <v>0</v>
      </c>
      <c r="H46" s="2">
        <v>11</v>
      </c>
      <c r="I46" s="2">
        <v>3</v>
      </c>
      <c r="J46" s="2">
        <v>14</v>
      </c>
      <c r="K46" s="2">
        <v>7</v>
      </c>
      <c r="L46" s="2">
        <v>1</v>
      </c>
      <c r="M46" s="2">
        <v>9</v>
      </c>
      <c r="N46" s="2">
        <v>1</v>
      </c>
      <c r="O46" s="2">
        <v>0</v>
      </c>
      <c r="P46" s="2">
        <v>4</v>
      </c>
      <c r="Q46" s="2">
        <v>0</v>
      </c>
      <c r="R46" s="274">
        <v>38166</v>
      </c>
      <c r="S46" s="253">
        <v>12</v>
      </c>
      <c r="T46" s="254">
        <f>SUM( tabConsumo[[#This Row],[QTD.PENDENTE]]:tabConsumo[[#This Row],[07_23]] ) / tabConsumo[[#This Row],[Div]]</f>
        <v>6.333333333333333</v>
      </c>
      <c r="U46" s="255">
        <f xml:space="preserve"> tabConsumo[[#This Row],[Média.A]] + (_xlfn.STDEV.S( tabConsumo[[#This Row],[QTD.PENDENTE]]:tabConsumo[[#This Row],[07_23]] ) * 1)</f>
        <v>12.760439393426967</v>
      </c>
      <c r="V46" s="255">
        <f xml:space="preserve"> tabConsumo[[#This Row],[Média.A]] + (_xlfn.STDEV.S( tabConsumo[[#This Row],[QTD.PENDENTE]]:tabConsumo[[#This Row],[07_23]] ) * 2)</f>
        <v>19.187545453520599</v>
      </c>
      <c r="W46" s="255">
        <f xml:space="preserve"> tabConsumo[[#This Row],[Média.A]] + (_xlfn.STDEV.S( tabConsumo[[#This Row],[QTD.PENDENTE]]:tabConsumo[[#This Row],[07_23]] ) * 3)</f>
        <v>25.614651513614231</v>
      </c>
      <c r="X46" s="5">
        <f t="shared" si="0"/>
        <v>2</v>
      </c>
      <c r="Y46">
        <v>6.166666666666667</v>
      </c>
      <c r="Z46" s="257">
        <f>SUM( tabConsumo[[#This Row],[QTD.PENDENTE]]:tabConsumo[[#This Row],[07_23]] )</f>
        <v>76</v>
      </c>
      <c r="AA46" s="257">
        <f>LARGE(tabConsumo[[#This Row],[08_22]:[07_23]],1)</f>
        <v>21</v>
      </c>
      <c r="AB46" s="175" t="s">
        <v>2212</v>
      </c>
      <c r="AC46" s="3" t="s">
        <v>2064</v>
      </c>
    </row>
    <row r="47" spans="1:29" x14ac:dyDescent="0.3">
      <c r="A47" s="4" t="s">
        <v>1255</v>
      </c>
      <c r="B47" s="3" t="s">
        <v>256</v>
      </c>
      <c r="C47" s="2">
        <v>34801</v>
      </c>
      <c r="D47" s="2">
        <v>2971</v>
      </c>
      <c r="F47" s="2">
        <v>380</v>
      </c>
      <c r="G47" s="2">
        <v>180</v>
      </c>
      <c r="H47" s="2">
        <v>20</v>
      </c>
      <c r="I47" s="2">
        <v>0</v>
      </c>
      <c r="J47" s="2">
        <v>180</v>
      </c>
      <c r="K47" s="2">
        <v>890</v>
      </c>
      <c r="L47" s="2">
        <v>10</v>
      </c>
      <c r="M47" s="2">
        <v>0</v>
      </c>
      <c r="N47" s="2">
        <v>432</v>
      </c>
      <c r="O47" s="2">
        <v>432</v>
      </c>
      <c r="P47" s="2">
        <v>80</v>
      </c>
      <c r="Q47" s="2">
        <v>276</v>
      </c>
      <c r="R47" s="274">
        <v>367</v>
      </c>
      <c r="S47" s="253">
        <f xml:space="preserve"> 12</f>
        <v>12</v>
      </c>
      <c r="T47" s="254">
        <f>SUM( tabConsumo[[#This Row],[QTD.PENDENTE]]:tabConsumo[[#This Row],[07_23]] ) / tabConsumo[[#This Row],[Div]]</f>
        <v>240</v>
      </c>
      <c r="U47" s="255">
        <f xml:space="preserve"> tabConsumo[[#This Row],[Média.A]] + (_xlfn.STDEV.S( tabConsumo[[#This Row],[QTD.PENDENTE]]:tabConsumo[[#This Row],[07_23]] ) * 1)</f>
        <v>503.96005207400054</v>
      </c>
      <c r="V47" s="255">
        <f xml:space="preserve"> tabConsumo[[#This Row],[Média.A]] + (_xlfn.STDEV.S( tabConsumo[[#This Row],[QTD.PENDENTE]]:tabConsumo[[#This Row],[07_23]] ) * 2)</f>
        <v>767.92010414800109</v>
      </c>
      <c r="W47" s="255">
        <f xml:space="preserve"> tabConsumo[[#This Row],[Média.A]] + (_xlfn.STDEV.S( tabConsumo[[#This Row],[QTD.PENDENTE]]:tabConsumo[[#This Row],[07_23]] ) * 3)</f>
        <v>1031.8801562220017</v>
      </c>
      <c r="X47" s="5">
        <f t="shared" si="0"/>
        <v>2</v>
      </c>
      <c r="Y47">
        <v>229.75</v>
      </c>
      <c r="Z47" s="257">
        <f>SUM( tabConsumo[[#This Row],[QTD.PENDENTE]]:tabConsumo[[#This Row],[07_23]] )</f>
        <v>2880</v>
      </c>
      <c r="AA47" s="257">
        <f>LARGE(tabConsumo[[#This Row],[08_22]:[07_23]],1)</f>
        <v>890</v>
      </c>
      <c r="AB47" s="175" t="s">
        <v>2211</v>
      </c>
      <c r="AC47" s="3" t="s">
        <v>2064</v>
      </c>
    </row>
    <row r="48" spans="1:29" x14ac:dyDescent="0.3">
      <c r="A48" s="4" t="s">
        <v>1194</v>
      </c>
      <c r="B48" s="3" t="s">
        <v>256</v>
      </c>
      <c r="C48" s="2">
        <v>24371</v>
      </c>
      <c r="D48" s="2">
        <v>20086</v>
      </c>
      <c r="F48" s="2">
        <v>4038</v>
      </c>
      <c r="G48" s="2">
        <v>1038</v>
      </c>
      <c r="H48" s="2">
        <v>2330</v>
      </c>
      <c r="I48" s="2">
        <v>1458</v>
      </c>
      <c r="J48" s="2">
        <v>1108</v>
      </c>
      <c r="K48" s="2">
        <v>876</v>
      </c>
      <c r="L48" s="2">
        <v>2394</v>
      </c>
      <c r="M48" s="2">
        <v>3722</v>
      </c>
      <c r="N48" s="2">
        <v>4608</v>
      </c>
      <c r="O48" s="2">
        <v>5184</v>
      </c>
      <c r="P48" s="2">
        <v>2334</v>
      </c>
      <c r="Q48" s="2">
        <v>1068</v>
      </c>
      <c r="R48" s="274">
        <v>367</v>
      </c>
      <c r="S48" s="253">
        <f xml:space="preserve"> 12</f>
        <v>12</v>
      </c>
      <c r="T48" s="254">
        <f>SUM( tabConsumo[[#This Row],[QTD.PENDENTE]]:tabConsumo[[#This Row],[07_23]] ) / tabConsumo[[#This Row],[Div]]</f>
        <v>2513.1666666666665</v>
      </c>
      <c r="U48" s="255">
        <f xml:space="preserve"> tabConsumo[[#This Row],[Média.A]] + (_xlfn.STDEV.S( tabConsumo[[#This Row],[QTD.PENDENTE]]:tabConsumo[[#This Row],[07_23]] ) * 1)</f>
        <v>4033.3559989738651</v>
      </c>
      <c r="V48" s="255">
        <f xml:space="preserve"> tabConsumo[[#This Row],[Média.A]] + (_xlfn.STDEV.S( tabConsumo[[#This Row],[QTD.PENDENTE]]:tabConsumo[[#This Row],[07_23]] ) * 2)</f>
        <v>5553.5453312810641</v>
      </c>
      <c r="W48" s="255">
        <f xml:space="preserve"> tabConsumo[[#This Row],[Média.A]] + (_xlfn.STDEV.S( tabConsumo[[#This Row],[QTD.PENDENTE]]:tabConsumo[[#This Row],[07_23]] ) * 3)</f>
        <v>7073.7346635882623</v>
      </c>
      <c r="X48" s="5">
        <f t="shared" si="0"/>
        <v>2</v>
      </c>
      <c r="Y48">
        <v>2513.1666666666665</v>
      </c>
      <c r="Z48" s="257">
        <f>SUM( tabConsumo[[#This Row],[QTD.PENDENTE]]:tabConsumo[[#This Row],[07_23]] )</f>
        <v>30158</v>
      </c>
      <c r="AA48" s="257">
        <f>LARGE(tabConsumo[[#This Row],[08_22]:[07_23]],1)</f>
        <v>5184</v>
      </c>
      <c r="AB48" s="175" t="s">
        <v>2211</v>
      </c>
      <c r="AC48" s="3" t="s">
        <v>2064</v>
      </c>
    </row>
    <row r="49" spans="1:29" x14ac:dyDescent="0.3">
      <c r="A49" s="4" t="s">
        <v>1247</v>
      </c>
      <c r="B49" s="3" t="s">
        <v>256</v>
      </c>
      <c r="C49" s="2">
        <v>32534</v>
      </c>
      <c r="D49" s="2">
        <v>4399</v>
      </c>
      <c r="F49" s="2">
        <v>150</v>
      </c>
      <c r="G49" s="2">
        <v>0</v>
      </c>
      <c r="H49" s="2">
        <v>0</v>
      </c>
      <c r="I49" s="2">
        <v>1540</v>
      </c>
      <c r="J49" s="2">
        <v>670</v>
      </c>
      <c r="K49" s="2">
        <v>25</v>
      </c>
      <c r="L49" s="2">
        <v>80</v>
      </c>
      <c r="M49" s="2">
        <v>364</v>
      </c>
      <c r="N49" s="2">
        <v>432</v>
      </c>
      <c r="O49" s="2">
        <v>0</v>
      </c>
      <c r="P49" s="2">
        <v>296</v>
      </c>
      <c r="Q49" s="2">
        <v>0</v>
      </c>
      <c r="R49" s="274">
        <v>367</v>
      </c>
      <c r="S49" s="253">
        <f xml:space="preserve"> 12</f>
        <v>12</v>
      </c>
      <c r="T49" s="254">
        <f>SUM( tabConsumo[[#This Row],[QTD.PENDENTE]]:tabConsumo[[#This Row],[07_23]] ) / tabConsumo[[#This Row],[Div]]</f>
        <v>296.41666666666669</v>
      </c>
      <c r="U49" s="255">
        <f xml:space="preserve"> tabConsumo[[#This Row],[Média.A]] + (_xlfn.STDEV.S( tabConsumo[[#This Row],[QTD.PENDENTE]]:tabConsumo[[#This Row],[07_23]] ) * 1)</f>
        <v>743.87483298622396</v>
      </c>
      <c r="V49" s="255">
        <f xml:space="preserve"> tabConsumo[[#This Row],[Média.A]] + (_xlfn.STDEV.S( tabConsumo[[#This Row],[QTD.PENDENTE]]:tabConsumo[[#This Row],[07_23]] ) * 2)</f>
        <v>1191.3329993057814</v>
      </c>
      <c r="W49" s="255">
        <f xml:space="preserve"> tabConsumo[[#This Row],[Média.A]] + (_xlfn.STDEV.S( tabConsumo[[#This Row],[QTD.PENDENTE]]:tabConsumo[[#This Row],[07_23]] ) * 3)</f>
        <v>1638.7911656253389</v>
      </c>
      <c r="X49" s="5">
        <f t="shared" si="0"/>
        <v>2</v>
      </c>
      <c r="Y49">
        <v>267.33333333333331</v>
      </c>
      <c r="Z49" s="257">
        <f>SUM( tabConsumo[[#This Row],[QTD.PENDENTE]]:tabConsumo[[#This Row],[07_23]] )</f>
        <v>3557</v>
      </c>
      <c r="AA49" s="257">
        <f>LARGE(tabConsumo[[#This Row],[08_22]:[07_23]],1)</f>
        <v>1540</v>
      </c>
      <c r="AB49" s="175" t="s">
        <v>2212</v>
      </c>
      <c r="AC49" s="3" t="s">
        <v>2064</v>
      </c>
    </row>
    <row r="50" spans="1:29" x14ac:dyDescent="0.3">
      <c r="A50" s="4" t="s">
        <v>1394</v>
      </c>
      <c r="B50" s="3" t="s">
        <v>1338</v>
      </c>
      <c r="C50" s="2">
        <v>69222</v>
      </c>
      <c r="D50" s="2">
        <v>0</v>
      </c>
      <c r="E50" s="2">
        <v>928</v>
      </c>
      <c r="F50" s="2">
        <v>800</v>
      </c>
      <c r="G50" s="2">
        <v>329</v>
      </c>
      <c r="H50" s="2">
        <v>317</v>
      </c>
      <c r="I50" s="2">
        <v>248</v>
      </c>
      <c r="J50" s="2">
        <v>0</v>
      </c>
      <c r="K50" s="2">
        <v>0</v>
      </c>
      <c r="L50" s="2">
        <v>0</v>
      </c>
      <c r="M50" s="2">
        <v>649</v>
      </c>
      <c r="N50" s="2">
        <v>519</v>
      </c>
      <c r="O50" s="2">
        <v>587</v>
      </c>
      <c r="P50" s="2">
        <v>730</v>
      </c>
      <c r="Q50" s="2">
        <v>518</v>
      </c>
      <c r="R50" s="274">
        <v>367</v>
      </c>
      <c r="S50" s="253">
        <f xml:space="preserve"> 12</f>
        <v>12</v>
      </c>
      <c r="T50" s="254">
        <f>SUM( tabConsumo[[#This Row],[QTD.PENDENTE]]:tabConsumo[[#This Row],[07_23]] ) / tabConsumo[[#This Row],[Div]]</f>
        <v>468.75</v>
      </c>
      <c r="U50" s="255">
        <f xml:space="preserve"> tabConsumo[[#This Row],[Média.A]] + (_xlfn.STDEV.S( tabConsumo[[#This Row],[QTD.PENDENTE]]:tabConsumo[[#This Row],[07_23]] ) * 1)</f>
        <v>781.51705512126875</v>
      </c>
      <c r="V50" s="255">
        <f xml:space="preserve"> tabConsumo[[#This Row],[Média.A]] + (_xlfn.STDEV.S( tabConsumo[[#This Row],[QTD.PENDENTE]]:tabConsumo[[#This Row],[07_23]] ) * 2)</f>
        <v>1094.2841102425375</v>
      </c>
      <c r="W50" s="255">
        <f xml:space="preserve"> tabConsumo[[#This Row],[Média.A]] + (_xlfn.STDEV.S( tabConsumo[[#This Row],[QTD.PENDENTE]]:tabConsumo[[#This Row],[07_23]] ) * 3)</f>
        <v>1407.0511653638064</v>
      </c>
      <c r="X50" s="5">
        <f t="shared" si="0"/>
        <v>2</v>
      </c>
      <c r="Y50">
        <v>468.75</v>
      </c>
      <c r="Z50" s="257">
        <f>SUM( tabConsumo[[#This Row],[QTD.PENDENTE]]:tabConsumo[[#This Row],[07_23]] )</f>
        <v>5625</v>
      </c>
      <c r="AA50" s="257">
        <f>LARGE(tabConsumo[[#This Row],[08_22]:[07_23]],1)</f>
        <v>800</v>
      </c>
      <c r="AB50" s="175" t="s">
        <v>2211</v>
      </c>
      <c r="AC50" s="3" t="s">
        <v>2064</v>
      </c>
    </row>
    <row r="51" spans="1:29" x14ac:dyDescent="0.3">
      <c r="A51" s="4" t="s">
        <v>1337</v>
      </c>
      <c r="B51" s="3" t="s">
        <v>1338</v>
      </c>
      <c r="C51" s="2">
        <v>59074</v>
      </c>
      <c r="D51" s="2">
        <v>0</v>
      </c>
      <c r="E51" s="2">
        <v>146</v>
      </c>
      <c r="F51" s="2">
        <v>148</v>
      </c>
      <c r="G51" s="2">
        <v>143</v>
      </c>
      <c r="H51" s="2">
        <v>110</v>
      </c>
      <c r="I51" s="2">
        <v>130</v>
      </c>
      <c r="J51" s="2">
        <v>421</v>
      </c>
      <c r="K51" s="2">
        <v>115</v>
      </c>
      <c r="L51" s="2">
        <v>117</v>
      </c>
      <c r="M51" s="2">
        <v>173</v>
      </c>
      <c r="N51" s="2">
        <v>343</v>
      </c>
      <c r="O51" s="2">
        <v>39</v>
      </c>
      <c r="P51" s="2">
        <v>0</v>
      </c>
      <c r="Q51" s="2">
        <v>0</v>
      </c>
      <c r="R51" s="274">
        <v>367</v>
      </c>
      <c r="S51" s="253">
        <f xml:space="preserve"> 12</f>
        <v>12</v>
      </c>
      <c r="T51" s="254">
        <f>SUM( tabConsumo[[#This Row],[QTD.PENDENTE]]:tabConsumo[[#This Row],[07_23]] ) / tabConsumo[[#This Row],[Div]]</f>
        <v>157.08333333333334</v>
      </c>
      <c r="U51" s="255">
        <f xml:space="preserve"> tabConsumo[[#This Row],[Média.A]] + (_xlfn.STDEV.S( tabConsumo[[#This Row],[QTD.PENDENTE]]:tabConsumo[[#This Row],[07_23]] ) * 1)</f>
        <v>277.01317393468935</v>
      </c>
      <c r="V51" s="255">
        <f xml:space="preserve"> tabConsumo[[#This Row],[Média.A]] + (_xlfn.STDEV.S( tabConsumo[[#This Row],[QTD.PENDENTE]]:tabConsumo[[#This Row],[07_23]] ) * 2)</f>
        <v>396.94301453604544</v>
      </c>
      <c r="W51" s="255">
        <f xml:space="preserve"> tabConsumo[[#This Row],[Média.A]] + (_xlfn.STDEV.S( tabConsumo[[#This Row],[QTD.PENDENTE]]:tabConsumo[[#This Row],[07_23]] ) * 3)</f>
        <v>516.87285513740142</v>
      </c>
      <c r="X51" s="5">
        <f t="shared" si="0"/>
        <v>2</v>
      </c>
      <c r="Y51">
        <v>155</v>
      </c>
      <c r="Z51" s="257">
        <f>SUM( tabConsumo[[#This Row],[QTD.PENDENTE]]:tabConsumo[[#This Row],[07_23]] )</f>
        <v>1885</v>
      </c>
      <c r="AA51" s="257">
        <f>LARGE(tabConsumo[[#This Row],[08_22]:[07_23]],1)</f>
        <v>421</v>
      </c>
      <c r="AB51" s="175" t="s">
        <v>2214</v>
      </c>
      <c r="AC51" s="3" t="s">
        <v>2064</v>
      </c>
    </row>
    <row r="52" spans="1:29" x14ac:dyDescent="0.3">
      <c r="A52" s="4" t="s">
        <v>1427</v>
      </c>
      <c r="B52" s="3" t="s">
        <v>616</v>
      </c>
      <c r="C52" s="2">
        <v>77819</v>
      </c>
      <c r="D52" s="2">
        <v>3686</v>
      </c>
      <c r="F52" s="2">
        <v>302</v>
      </c>
      <c r="G52" s="2">
        <v>265</v>
      </c>
      <c r="H52" s="2">
        <v>258</v>
      </c>
      <c r="I52" s="2">
        <v>261</v>
      </c>
      <c r="J52" s="2">
        <v>208</v>
      </c>
      <c r="K52" s="2">
        <v>61</v>
      </c>
      <c r="L52" s="2">
        <v>194</v>
      </c>
      <c r="M52" s="2">
        <v>380</v>
      </c>
      <c r="N52" s="2">
        <v>194</v>
      </c>
      <c r="O52" s="2">
        <v>286</v>
      </c>
      <c r="P52" s="2">
        <v>250</v>
      </c>
      <c r="Q52" s="2">
        <v>233</v>
      </c>
      <c r="R52" s="274">
        <v>38065</v>
      </c>
      <c r="S52" s="253">
        <v>12</v>
      </c>
      <c r="T52" s="254">
        <f>SUM( tabConsumo[[#This Row],[QTD.PENDENTE]]:tabConsumo[[#This Row],[07_23]] ) / tabConsumo[[#This Row],[Div]]</f>
        <v>241</v>
      </c>
      <c r="U52" s="255">
        <f xml:space="preserve"> tabConsumo[[#This Row],[Média.A]] + (_xlfn.STDEV.S( tabConsumo[[#This Row],[QTD.PENDENTE]]:tabConsumo[[#This Row],[07_23]] ) * 1)</f>
        <v>317.50549594042843</v>
      </c>
      <c r="V52" s="255">
        <f xml:space="preserve"> tabConsumo[[#This Row],[Média.A]] + (_xlfn.STDEV.S( tabConsumo[[#This Row],[QTD.PENDENTE]]:tabConsumo[[#This Row],[07_23]] ) * 2)</f>
        <v>394.01099188085686</v>
      </c>
      <c r="W52" s="255">
        <f xml:space="preserve"> tabConsumo[[#This Row],[Média.A]] + (_xlfn.STDEV.S( tabConsumo[[#This Row],[QTD.PENDENTE]]:tabConsumo[[#This Row],[07_23]] ) * 3)</f>
        <v>470.51648782128524</v>
      </c>
      <c r="X52" s="5">
        <f t="shared" si="0"/>
        <v>2</v>
      </c>
      <c r="Y52">
        <v>241</v>
      </c>
      <c r="Z52" s="257">
        <f>SUM( tabConsumo[[#This Row],[QTD.PENDENTE]]:tabConsumo[[#This Row],[07_23]] )</f>
        <v>2892</v>
      </c>
      <c r="AA52" s="257">
        <f>LARGE(tabConsumo[[#This Row],[08_22]:[07_23]],1)</f>
        <v>380</v>
      </c>
      <c r="AB52" s="175" t="s">
        <v>2211</v>
      </c>
      <c r="AC52" s="3" t="s">
        <v>2064</v>
      </c>
    </row>
    <row r="53" spans="1:29" x14ac:dyDescent="0.3">
      <c r="A53" s="4" t="s">
        <v>1951</v>
      </c>
      <c r="B53" s="3" t="s">
        <v>31</v>
      </c>
      <c r="C53" s="2">
        <v>138451</v>
      </c>
      <c r="D53" s="2">
        <v>60557</v>
      </c>
      <c r="E53" s="2">
        <v>410</v>
      </c>
      <c r="F53" s="2">
        <v>2180</v>
      </c>
      <c r="G53" s="2">
        <v>2769</v>
      </c>
      <c r="H53" s="2">
        <v>2397</v>
      </c>
      <c r="I53" s="2">
        <v>3300</v>
      </c>
      <c r="J53" s="2">
        <v>2043</v>
      </c>
      <c r="K53" s="2">
        <v>1044</v>
      </c>
      <c r="L53" s="2">
        <v>1461</v>
      </c>
      <c r="M53" s="2">
        <v>22155</v>
      </c>
      <c r="N53" s="2">
        <v>2348</v>
      </c>
      <c r="O53" s="2">
        <v>1907</v>
      </c>
      <c r="P53" s="2">
        <v>2256</v>
      </c>
      <c r="Q53" s="2">
        <v>1955</v>
      </c>
      <c r="R53" s="274">
        <v>43720</v>
      </c>
      <c r="S53" s="253">
        <v>12</v>
      </c>
      <c r="T53" s="254">
        <f>SUM( tabConsumo[[#This Row],[QTD.PENDENTE]]:tabConsumo[[#This Row],[07_23]] ) / tabConsumo[[#This Row],[Div]]</f>
        <v>3852.0833333333335</v>
      </c>
      <c r="U53" s="255">
        <f xml:space="preserve"> tabConsumo[[#This Row],[Média.A]] + (_xlfn.STDEV.S( tabConsumo[[#This Row],[QTD.PENDENTE]]:tabConsumo[[#This Row],[07_23]] ) * 1)</f>
        <v>9487.9926233805945</v>
      </c>
      <c r="V53" s="255">
        <f xml:space="preserve"> tabConsumo[[#This Row],[Média.A]] + (_xlfn.STDEV.S( tabConsumo[[#This Row],[QTD.PENDENTE]]:tabConsumo[[#This Row],[07_23]] ) * 2)</f>
        <v>15123.901913427857</v>
      </c>
      <c r="W53" s="255">
        <f xml:space="preserve"> tabConsumo[[#This Row],[Média.A]] + (_xlfn.STDEV.S( tabConsumo[[#This Row],[QTD.PENDENTE]]:tabConsumo[[#This Row],[07_23]] ) * 3)</f>
        <v>20759.811203475118</v>
      </c>
      <c r="X53" s="5">
        <f t="shared" si="0"/>
        <v>2</v>
      </c>
      <c r="Y53">
        <v>3266.0833333333335</v>
      </c>
      <c r="Z53" s="257">
        <f>SUM( tabConsumo[[#This Row],[QTD.PENDENTE]]:tabConsumo[[#This Row],[07_23]] )</f>
        <v>46225</v>
      </c>
      <c r="AA53" s="257">
        <f>LARGE(tabConsumo[[#This Row],[08_22]:[07_23]],1)</f>
        <v>22155</v>
      </c>
      <c r="AB53" s="175" t="s">
        <v>2211</v>
      </c>
      <c r="AC53" s="3" t="s">
        <v>2064</v>
      </c>
    </row>
    <row r="54" spans="1:29" x14ac:dyDescent="0.3">
      <c r="A54" s="4" t="s">
        <v>314</v>
      </c>
      <c r="B54" s="3" t="s">
        <v>301</v>
      </c>
      <c r="C54" s="2">
        <v>136841</v>
      </c>
      <c r="D54" s="2">
        <v>5</v>
      </c>
      <c r="F54" s="2">
        <v>0</v>
      </c>
      <c r="G54" s="2">
        <v>0</v>
      </c>
      <c r="H54" s="2">
        <v>0</v>
      </c>
      <c r="I54" s="2">
        <v>0</v>
      </c>
      <c r="J54" s="2">
        <v>0</v>
      </c>
      <c r="K54" s="2">
        <v>0</v>
      </c>
      <c r="L54" s="2">
        <v>0</v>
      </c>
      <c r="M54" s="2">
        <v>1</v>
      </c>
      <c r="N54" s="2">
        <v>0</v>
      </c>
      <c r="O54" s="2">
        <v>0</v>
      </c>
      <c r="P54" s="2">
        <v>0</v>
      </c>
      <c r="Q54" s="2">
        <v>0</v>
      </c>
      <c r="R54" s="274">
        <v>43572</v>
      </c>
      <c r="S54" s="253">
        <v>12</v>
      </c>
      <c r="T54" s="254">
        <f>SUM( tabConsumo[[#This Row],[QTD.PENDENTE]]:tabConsumo[[#This Row],[07_23]] ) / tabConsumo[[#This Row],[Div]]</f>
        <v>8.3333333333333329E-2</v>
      </c>
      <c r="U54" s="255">
        <f xml:space="preserve"> tabConsumo[[#This Row],[Média.A]] + (_xlfn.STDEV.S( tabConsumo[[#This Row],[QTD.PENDENTE]]:tabConsumo[[#This Row],[07_23]] ) * 1)</f>
        <v>0.37200846792814618</v>
      </c>
      <c r="V54" s="255">
        <f xml:space="preserve"> tabConsumo[[#This Row],[Média.A]] + (_xlfn.STDEV.S( tabConsumo[[#This Row],[QTD.PENDENTE]]:tabConsumo[[#This Row],[07_23]] ) * 2)</f>
        <v>0.6606836025229591</v>
      </c>
      <c r="W54" s="255">
        <f xml:space="preserve"> tabConsumo[[#This Row],[Média.A]] + (_xlfn.STDEV.S( tabConsumo[[#This Row],[QTD.PENDENTE]]:tabConsumo[[#This Row],[07_23]] ) * 3)</f>
        <v>0.94935873711777197</v>
      </c>
      <c r="X54" s="5">
        <f t="shared" si="0"/>
        <v>2</v>
      </c>
      <c r="Y54">
        <v>0</v>
      </c>
      <c r="Z54" s="257">
        <f>SUM( tabConsumo[[#This Row],[QTD.PENDENTE]]:tabConsumo[[#This Row],[07_23]] )</f>
        <v>1</v>
      </c>
      <c r="AA54" s="257">
        <f>LARGE(tabConsumo[[#This Row],[08_22]:[07_23]],1)</f>
        <v>1</v>
      </c>
      <c r="AB54" s="175" t="s">
        <v>2217</v>
      </c>
      <c r="AC54" s="3" t="s">
        <v>2064</v>
      </c>
    </row>
    <row r="55" spans="1:29" x14ac:dyDescent="0.3">
      <c r="A55" s="4" t="s">
        <v>315</v>
      </c>
      <c r="B55" s="3" t="s">
        <v>301</v>
      </c>
      <c r="C55" s="2">
        <v>136842</v>
      </c>
      <c r="D55" s="2">
        <v>5</v>
      </c>
      <c r="F55" s="2">
        <v>0</v>
      </c>
      <c r="G55" s="2">
        <v>0</v>
      </c>
      <c r="H55" s="2">
        <v>0</v>
      </c>
      <c r="I55" s="2">
        <v>0</v>
      </c>
      <c r="J55" s="2">
        <v>0</v>
      </c>
      <c r="K55" s="2">
        <v>0</v>
      </c>
      <c r="L55" s="2">
        <v>0</v>
      </c>
      <c r="M55" s="2">
        <v>1</v>
      </c>
      <c r="N55" s="2">
        <v>0</v>
      </c>
      <c r="O55" s="2">
        <v>0</v>
      </c>
      <c r="P55" s="2">
        <v>0</v>
      </c>
      <c r="Q55" s="2">
        <v>0</v>
      </c>
      <c r="R55" s="274">
        <v>43572</v>
      </c>
      <c r="S55" s="253">
        <v>12</v>
      </c>
      <c r="T55" s="254">
        <f>SUM( tabConsumo[[#This Row],[QTD.PENDENTE]]:tabConsumo[[#This Row],[07_23]] ) / tabConsumo[[#This Row],[Div]]</f>
        <v>8.3333333333333329E-2</v>
      </c>
      <c r="U55" s="255">
        <f xml:space="preserve"> tabConsumo[[#This Row],[Média.A]] + (_xlfn.STDEV.S( tabConsumo[[#This Row],[QTD.PENDENTE]]:tabConsumo[[#This Row],[07_23]] ) * 1)</f>
        <v>0.37200846792814618</v>
      </c>
      <c r="V55" s="255">
        <f xml:space="preserve"> tabConsumo[[#This Row],[Média.A]] + (_xlfn.STDEV.S( tabConsumo[[#This Row],[QTD.PENDENTE]]:tabConsumo[[#This Row],[07_23]] ) * 2)</f>
        <v>0.6606836025229591</v>
      </c>
      <c r="W55" s="255">
        <f xml:space="preserve"> tabConsumo[[#This Row],[Média.A]] + (_xlfn.STDEV.S( tabConsumo[[#This Row],[QTD.PENDENTE]]:tabConsumo[[#This Row],[07_23]] ) * 3)</f>
        <v>0.94935873711777197</v>
      </c>
      <c r="X55" s="5">
        <f t="shared" si="0"/>
        <v>2</v>
      </c>
      <c r="Y55">
        <v>0</v>
      </c>
      <c r="Z55" s="257">
        <f>SUM( tabConsumo[[#This Row],[QTD.PENDENTE]]:tabConsumo[[#This Row],[07_23]] )</f>
        <v>1</v>
      </c>
      <c r="AA55" s="257">
        <f>LARGE(tabConsumo[[#This Row],[08_22]:[07_23]],1)</f>
        <v>1</v>
      </c>
      <c r="AB55" s="175" t="s">
        <v>2217</v>
      </c>
      <c r="AC55" s="3" t="s">
        <v>2064</v>
      </c>
    </row>
    <row r="56" spans="1:29" x14ac:dyDescent="0.3">
      <c r="A56" s="4" t="s">
        <v>316</v>
      </c>
      <c r="B56" s="3" t="s">
        <v>301</v>
      </c>
      <c r="C56" s="2">
        <v>136843</v>
      </c>
      <c r="D56" s="2">
        <v>7</v>
      </c>
      <c r="F56" s="2">
        <v>0</v>
      </c>
      <c r="G56" s="2">
        <v>1</v>
      </c>
      <c r="H56" s="2">
        <v>0</v>
      </c>
      <c r="I56" s="2">
        <v>0</v>
      </c>
      <c r="J56" s="2">
        <v>0</v>
      </c>
      <c r="K56" s="2">
        <v>0</v>
      </c>
      <c r="L56" s="2">
        <v>0</v>
      </c>
      <c r="M56" s="2">
        <v>0</v>
      </c>
      <c r="N56" s="2">
        <v>0</v>
      </c>
      <c r="O56" s="2">
        <v>0</v>
      </c>
      <c r="P56" s="2">
        <v>0</v>
      </c>
      <c r="Q56" s="2">
        <v>0</v>
      </c>
      <c r="R56" s="274">
        <v>43572</v>
      </c>
      <c r="S56" s="253">
        <v>12</v>
      </c>
      <c r="T56" s="254">
        <f>SUM( tabConsumo[[#This Row],[QTD.PENDENTE]]:tabConsumo[[#This Row],[07_23]] ) / tabConsumo[[#This Row],[Div]]</f>
        <v>8.3333333333333329E-2</v>
      </c>
      <c r="U56" s="255">
        <f xml:space="preserve"> tabConsumo[[#This Row],[Média.A]] + (_xlfn.STDEV.S( tabConsumo[[#This Row],[QTD.PENDENTE]]:tabConsumo[[#This Row],[07_23]] ) * 1)</f>
        <v>0.37200846792814618</v>
      </c>
      <c r="V56" s="255">
        <f xml:space="preserve"> tabConsumo[[#This Row],[Média.A]] + (_xlfn.STDEV.S( tabConsumo[[#This Row],[QTD.PENDENTE]]:tabConsumo[[#This Row],[07_23]] ) * 2)</f>
        <v>0.6606836025229591</v>
      </c>
      <c r="W56" s="255">
        <f xml:space="preserve"> tabConsumo[[#This Row],[Média.A]] + (_xlfn.STDEV.S( tabConsumo[[#This Row],[QTD.PENDENTE]]:tabConsumo[[#This Row],[07_23]] ) * 3)</f>
        <v>0.94935873711777197</v>
      </c>
      <c r="X56" s="5">
        <f t="shared" si="0"/>
        <v>2</v>
      </c>
      <c r="Y56">
        <v>0</v>
      </c>
      <c r="Z56" s="257">
        <f>SUM( tabConsumo[[#This Row],[QTD.PENDENTE]]:tabConsumo[[#This Row],[07_23]] )</f>
        <v>1</v>
      </c>
      <c r="AA56" s="257">
        <f>LARGE(tabConsumo[[#This Row],[08_22]:[07_23]],1)</f>
        <v>1</v>
      </c>
      <c r="AB56" s="175" t="s">
        <v>2219</v>
      </c>
      <c r="AC56" s="3" t="s">
        <v>2064</v>
      </c>
    </row>
    <row r="57" spans="1:29" x14ac:dyDescent="0.3">
      <c r="A57" s="4" t="s">
        <v>321</v>
      </c>
      <c r="B57" s="3" t="s">
        <v>301</v>
      </c>
      <c r="C57" s="2">
        <v>136820</v>
      </c>
      <c r="D57" s="2">
        <v>12</v>
      </c>
      <c r="F57" s="2">
        <v>0</v>
      </c>
      <c r="G57" s="2">
        <v>0</v>
      </c>
      <c r="H57" s="2">
        <v>1</v>
      </c>
      <c r="I57" s="2">
        <v>0</v>
      </c>
      <c r="J57" s="2">
        <v>1</v>
      </c>
      <c r="K57" s="2">
        <v>0</v>
      </c>
      <c r="L57" s="2">
        <v>0</v>
      </c>
      <c r="M57" s="2">
        <v>1</v>
      </c>
      <c r="N57" s="2">
        <v>0</v>
      </c>
      <c r="O57" s="2">
        <v>0</v>
      </c>
      <c r="P57" s="2">
        <v>0</v>
      </c>
      <c r="Q57" s="2">
        <v>0</v>
      </c>
      <c r="R57" s="274">
        <v>43572</v>
      </c>
      <c r="S57" s="253">
        <v>12</v>
      </c>
      <c r="T57" s="254">
        <f>SUM( tabConsumo[[#This Row],[QTD.PENDENTE]]:tabConsumo[[#This Row],[07_23]] ) / tabConsumo[[#This Row],[Div]]</f>
        <v>0.25</v>
      </c>
      <c r="U57" s="255">
        <f xml:space="preserve"> tabConsumo[[#This Row],[Média.A]] + (_xlfn.STDEV.S( tabConsumo[[#This Row],[QTD.PENDENTE]]:tabConsumo[[#This Row],[07_23]] ) * 1)</f>
        <v>0.70226701686664539</v>
      </c>
      <c r="V57" s="255">
        <f xml:space="preserve"> tabConsumo[[#This Row],[Média.A]] + (_xlfn.STDEV.S( tabConsumo[[#This Row],[QTD.PENDENTE]]:tabConsumo[[#This Row],[07_23]] ) * 2)</f>
        <v>1.1545340337332908</v>
      </c>
      <c r="W57" s="255">
        <f xml:space="preserve"> tabConsumo[[#This Row],[Média.A]] + (_xlfn.STDEV.S( tabConsumo[[#This Row],[QTD.PENDENTE]]:tabConsumo[[#This Row],[07_23]] ) * 3)</f>
        <v>1.6068010505999364</v>
      </c>
      <c r="X57" s="5">
        <f t="shared" si="0"/>
        <v>2</v>
      </c>
      <c r="Y57">
        <v>0.25</v>
      </c>
      <c r="Z57" s="257">
        <f>SUM( tabConsumo[[#This Row],[QTD.PENDENTE]]:tabConsumo[[#This Row],[07_23]] )</f>
        <v>3</v>
      </c>
      <c r="AA57" s="257">
        <f>LARGE(tabConsumo[[#This Row],[08_22]:[07_23]],1)</f>
        <v>1</v>
      </c>
      <c r="AB57" s="175" t="s">
        <v>2217</v>
      </c>
      <c r="AC57" s="3" t="s">
        <v>2064</v>
      </c>
    </row>
    <row r="58" spans="1:29" x14ac:dyDescent="0.3">
      <c r="A58" s="4" t="s">
        <v>322</v>
      </c>
      <c r="B58" s="3" t="s">
        <v>301</v>
      </c>
      <c r="C58" s="2">
        <v>136821</v>
      </c>
      <c r="D58" s="2">
        <v>5</v>
      </c>
      <c r="F58" s="2">
        <v>0</v>
      </c>
      <c r="G58" s="2">
        <v>0</v>
      </c>
      <c r="H58" s="2">
        <v>0</v>
      </c>
      <c r="I58" s="2">
        <v>0</v>
      </c>
      <c r="J58" s="2">
        <v>0</v>
      </c>
      <c r="K58" s="2">
        <v>0</v>
      </c>
      <c r="L58" s="2">
        <v>0</v>
      </c>
      <c r="M58" s="2">
        <v>1</v>
      </c>
      <c r="N58" s="2">
        <v>0</v>
      </c>
      <c r="O58" s="2">
        <v>0</v>
      </c>
      <c r="P58" s="2">
        <v>0</v>
      </c>
      <c r="Q58" s="2">
        <v>0</v>
      </c>
      <c r="R58" s="274">
        <v>43572</v>
      </c>
      <c r="S58" s="253">
        <v>12</v>
      </c>
      <c r="T58" s="254">
        <f>SUM( tabConsumo[[#This Row],[QTD.PENDENTE]]:tabConsumo[[#This Row],[07_23]] ) / tabConsumo[[#This Row],[Div]]</f>
        <v>8.3333333333333329E-2</v>
      </c>
      <c r="U58" s="255">
        <f xml:space="preserve"> tabConsumo[[#This Row],[Média.A]] + (_xlfn.STDEV.S( tabConsumo[[#This Row],[QTD.PENDENTE]]:tabConsumo[[#This Row],[07_23]] ) * 1)</f>
        <v>0.37200846792814618</v>
      </c>
      <c r="V58" s="255">
        <f xml:space="preserve"> tabConsumo[[#This Row],[Média.A]] + (_xlfn.STDEV.S( tabConsumo[[#This Row],[QTD.PENDENTE]]:tabConsumo[[#This Row],[07_23]] ) * 2)</f>
        <v>0.6606836025229591</v>
      </c>
      <c r="W58" s="255">
        <f xml:space="preserve"> tabConsumo[[#This Row],[Média.A]] + (_xlfn.STDEV.S( tabConsumo[[#This Row],[QTD.PENDENTE]]:tabConsumo[[#This Row],[07_23]] ) * 3)</f>
        <v>0.94935873711777197</v>
      </c>
      <c r="X58" s="5">
        <f t="shared" si="0"/>
        <v>2</v>
      </c>
      <c r="Y58">
        <v>0</v>
      </c>
      <c r="Z58" s="257">
        <f>SUM( tabConsumo[[#This Row],[QTD.PENDENTE]]:tabConsumo[[#This Row],[07_23]] )</f>
        <v>1</v>
      </c>
      <c r="AA58" s="257">
        <f>LARGE(tabConsumo[[#This Row],[08_22]:[07_23]],1)</f>
        <v>1</v>
      </c>
      <c r="AB58" s="175" t="s">
        <v>2217</v>
      </c>
      <c r="AC58" s="3" t="s">
        <v>2064</v>
      </c>
    </row>
    <row r="59" spans="1:29" x14ac:dyDescent="0.3">
      <c r="A59" s="4" t="s">
        <v>323</v>
      </c>
      <c r="B59" s="3" t="s">
        <v>301</v>
      </c>
      <c r="C59" s="2">
        <v>136822</v>
      </c>
      <c r="D59" s="2">
        <v>77</v>
      </c>
      <c r="F59" s="2">
        <v>0</v>
      </c>
      <c r="G59" s="2">
        <v>0</v>
      </c>
      <c r="H59" s="2">
        <v>0</v>
      </c>
      <c r="I59" s="2">
        <v>0</v>
      </c>
      <c r="J59" s="2">
        <v>0</v>
      </c>
      <c r="K59" s="2">
        <v>1</v>
      </c>
      <c r="L59" s="2">
        <v>0</v>
      </c>
      <c r="M59" s="2">
        <v>0</v>
      </c>
      <c r="N59" s="2">
        <v>0</v>
      </c>
      <c r="O59" s="2">
        <v>0</v>
      </c>
      <c r="P59" s="2">
        <v>2</v>
      </c>
      <c r="Q59" s="2">
        <v>0</v>
      </c>
      <c r="R59" s="274">
        <v>43572</v>
      </c>
      <c r="S59" s="253">
        <v>12</v>
      </c>
      <c r="T59" s="254">
        <f>SUM( tabConsumo[[#This Row],[QTD.PENDENTE]]:tabConsumo[[#This Row],[07_23]] ) / tabConsumo[[#This Row],[Div]]</f>
        <v>0.25</v>
      </c>
      <c r="U59" s="255">
        <f xml:space="preserve"> tabConsumo[[#This Row],[Média.A]] + (_xlfn.STDEV.S( tabConsumo[[#This Row],[QTD.PENDENTE]]:tabConsumo[[#This Row],[07_23]] ) * 1)</f>
        <v>0.87158156050806102</v>
      </c>
      <c r="V59" s="255">
        <f xml:space="preserve"> tabConsumo[[#This Row],[Média.A]] + (_xlfn.STDEV.S( tabConsumo[[#This Row],[QTD.PENDENTE]]:tabConsumo[[#This Row],[07_23]] ) * 2)</f>
        <v>1.493163121016122</v>
      </c>
      <c r="W59" s="255">
        <f xml:space="preserve"> tabConsumo[[#This Row],[Média.A]] + (_xlfn.STDEV.S( tabConsumo[[#This Row],[QTD.PENDENTE]]:tabConsumo[[#This Row],[07_23]] ) * 3)</f>
        <v>2.1147446815241828</v>
      </c>
      <c r="X59" s="5">
        <f t="shared" si="0"/>
        <v>2</v>
      </c>
      <c r="Y59">
        <v>0.16666666666666666</v>
      </c>
      <c r="Z59" s="257">
        <f>SUM( tabConsumo[[#This Row],[QTD.PENDENTE]]:tabConsumo[[#This Row],[07_23]] )</f>
        <v>3</v>
      </c>
      <c r="AA59" s="257">
        <f>LARGE(tabConsumo[[#This Row],[08_22]:[07_23]],1)</f>
        <v>2</v>
      </c>
      <c r="AB59" s="175" t="s">
        <v>2212</v>
      </c>
      <c r="AC59" s="3" t="s">
        <v>2064</v>
      </c>
    </row>
    <row r="60" spans="1:29" x14ac:dyDescent="0.3">
      <c r="A60" s="4" t="s">
        <v>1923</v>
      </c>
      <c r="B60" s="3" t="s">
        <v>301</v>
      </c>
      <c r="C60" s="2">
        <v>136823</v>
      </c>
      <c r="D60" s="2">
        <v>51</v>
      </c>
      <c r="F60" s="2">
        <v>0</v>
      </c>
      <c r="G60" s="2">
        <v>0</v>
      </c>
      <c r="H60" s="2">
        <v>0</v>
      </c>
      <c r="I60" s="2">
        <v>1</v>
      </c>
      <c r="J60" s="2">
        <v>0</v>
      </c>
      <c r="K60" s="2">
        <v>1</v>
      </c>
      <c r="L60" s="2">
        <v>0</v>
      </c>
      <c r="M60" s="2">
        <v>0</v>
      </c>
      <c r="N60" s="2">
        <v>0</v>
      </c>
      <c r="O60" s="2">
        <v>0</v>
      </c>
      <c r="P60" s="2">
        <v>0</v>
      </c>
      <c r="Q60" s="2">
        <v>0</v>
      </c>
      <c r="R60" s="274">
        <v>43572</v>
      </c>
      <c r="S60" s="253">
        <v>12</v>
      </c>
      <c r="T60" s="254">
        <f>SUM( tabConsumo[[#This Row],[QTD.PENDENTE]]:tabConsumo[[#This Row],[07_23]] ) / tabConsumo[[#This Row],[Div]]</f>
        <v>0.16666666666666666</v>
      </c>
      <c r="U60" s="255">
        <f xml:space="preserve"> tabConsumo[[#This Row],[Média.A]] + (_xlfn.STDEV.S( tabConsumo[[#This Row],[QTD.PENDENTE]]:tabConsumo[[#This Row],[07_23]] ) * 1)</f>
        <v>0.55591613874742818</v>
      </c>
      <c r="V60" s="255">
        <f xml:space="preserve"> tabConsumo[[#This Row],[Média.A]] + (_xlfn.STDEV.S( tabConsumo[[#This Row],[QTD.PENDENTE]]:tabConsumo[[#This Row],[07_23]] ) * 2)</f>
        <v>0.94516561082818962</v>
      </c>
      <c r="W60" s="255">
        <f xml:space="preserve"> tabConsumo[[#This Row],[Média.A]] + (_xlfn.STDEV.S( tabConsumo[[#This Row],[QTD.PENDENTE]]:tabConsumo[[#This Row],[07_23]] ) * 3)</f>
        <v>1.3344150829089512</v>
      </c>
      <c r="X60" s="5">
        <f t="shared" si="0"/>
        <v>2</v>
      </c>
      <c r="Y60">
        <v>0</v>
      </c>
      <c r="Z60" s="257">
        <f>SUM( tabConsumo[[#This Row],[QTD.PENDENTE]]:tabConsumo[[#This Row],[07_23]] )</f>
        <v>2</v>
      </c>
      <c r="AA60" s="257">
        <f>LARGE(tabConsumo[[#This Row],[08_22]:[07_23]],1)</f>
        <v>1</v>
      </c>
      <c r="AB60" s="175" t="s">
        <v>2220</v>
      </c>
      <c r="AC60" s="3" t="s">
        <v>2064</v>
      </c>
    </row>
    <row r="61" spans="1:29" x14ac:dyDescent="0.3">
      <c r="A61" s="4" t="s">
        <v>1924</v>
      </c>
      <c r="B61" s="3" t="s">
        <v>301</v>
      </c>
      <c r="C61" s="2">
        <v>136824</v>
      </c>
      <c r="D61" s="2">
        <v>1</v>
      </c>
      <c r="F61" s="2">
        <v>0</v>
      </c>
      <c r="G61" s="2">
        <v>1</v>
      </c>
      <c r="H61" s="2">
        <v>1</v>
      </c>
      <c r="I61" s="2">
        <v>1</v>
      </c>
      <c r="J61" s="2">
        <v>0</v>
      </c>
      <c r="K61" s="2">
        <v>0</v>
      </c>
      <c r="L61" s="2">
        <v>1</v>
      </c>
      <c r="M61" s="2">
        <v>1</v>
      </c>
      <c r="N61" s="2">
        <v>0</v>
      </c>
      <c r="O61" s="2">
        <v>1</v>
      </c>
      <c r="P61" s="2">
        <v>0</v>
      </c>
      <c r="Q61" s="2">
        <v>0</v>
      </c>
      <c r="R61" s="274">
        <v>43572</v>
      </c>
      <c r="S61" s="253">
        <v>12</v>
      </c>
      <c r="T61" s="254">
        <f>SUM( tabConsumo[[#This Row],[QTD.PENDENTE]]:tabConsumo[[#This Row],[07_23]] ) / tabConsumo[[#This Row],[Div]]</f>
        <v>0.5</v>
      </c>
      <c r="U61" s="255">
        <f xml:space="preserve"> tabConsumo[[#This Row],[Média.A]] + (_xlfn.STDEV.S( tabConsumo[[#This Row],[QTD.PENDENTE]]:tabConsumo[[#This Row],[07_23]] ) * 1)</f>
        <v>1.0222329678670934</v>
      </c>
      <c r="V61" s="255">
        <f xml:space="preserve"> tabConsumo[[#This Row],[Média.A]] + (_xlfn.STDEV.S( tabConsumo[[#This Row],[QTD.PENDENTE]]:tabConsumo[[#This Row],[07_23]] ) * 2)</f>
        <v>1.544465935734187</v>
      </c>
      <c r="W61" s="255">
        <f xml:space="preserve"> tabConsumo[[#This Row],[Média.A]] + (_xlfn.STDEV.S( tabConsumo[[#This Row],[QTD.PENDENTE]]:tabConsumo[[#This Row],[07_23]] ) * 3)</f>
        <v>2.0666989036012806</v>
      </c>
      <c r="X61" s="5">
        <f t="shared" si="0"/>
        <v>2</v>
      </c>
      <c r="Y61">
        <v>0.5</v>
      </c>
      <c r="Z61" s="257">
        <f>SUM( tabConsumo[[#This Row],[QTD.PENDENTE]]:tabConsumo[[#This Row],[07_23]] )</f>
        <v>6</v>
      </c>
      <c r="AA61" s="257">
        <f>LARGE(tabConsumo[[#This Row],[08_22]:[07_23]],1)</f>
        <v>1</v>
      </c>
      <c r="AB61" s="175" t="s">
        <v>2214</v>
      </c>
      <c r="AC61" s="3" t="s">
        <v>2064</v>
      </c>
    </row>
    <row r="62" spans="1:29" x14ac:dyDescent="0.3">
      <c r="A62" s="4" t="s">
        <v>1925</v>
      </c>
      <c r="B62" s="3" t="s">
        <v>301</v>
      </c>
      <c r="C62" s="2">
        <v>136825</v>
      </c>
      <c r="D62" s="2">
        <v>0</v>
      </c>
      <c r="E62" s="2">
        <v>1</v>
      </c>
      <c r="F62" s="2">
        <v>0</v>
      </c>
      <c r="G62" s="2">
        <v>0</v>
      </c>
      <c r="H62" s="2">
        <v>1</v>
      </c>
      <c r="I62" s="2">
        <v>0</v>
      </c>
      <c r="J62" s="2">
        <v>1</v>
      </c>
      <c r="K62" s="2">
        <v>0</v>
      </c>
      <c r="L62" s="2">
        <v>0</v>
      </c>
      <c r="M62" s="2">
        <v>0</v>
      </c>
      <c r="N62" s="2">
        <v>1</v>
      </c>
      <c r="O62" s="2">
        <v>0</v>
      </c>
      <c r="P62" s="2">
        <v>0</v>
      </c>
      <c r="Q62" s="2">
        <v>0</v>
      </c>
      <c r="R62" s="274">
        <v>43572</v>
      </c>
      <c r="S62" s="253">
        <v>12</v>
      </c>
      <c r="T62" s="254">
        <f>SUM( tabConsumo[[#This Row],[QTD.PENDENTE]]:tabConsumo[[#This Row],[07_23]] ) / tabConsumo[[#This Row],[Div]]</f>
        <v>0.33333333333333331</v>
      </c>
      <c r="U62" s="255">
        <f xml:space="preserve"> tabConsumo[[#This Row],[Média.A]] + (_xlfn.STDEV.S( tabConsumo[[#This Row],[QTD.PENDENTE]]:tabConsumo[[#This Row],[07_23]] ) * 1)</f>
        <v>0.81371779474859474</v>
      </c>
      <c r="V62" s="255">
        <f xml:space="preserve"> tabConsumo[[#This Row],[Média.A]] + (_xlfn.STDEV.S( tabConsumo[[#This Row],[QTD.PENDENTE]]:tabConsumo[[#This Row],[07_23]] ) * 2)</f>
        <v>1.294102256163856</v>
      </c>
      <c r="W62" s="255">
        <f xml:space="preserve"> tabConsumo[[#This Row],[Média.A]] + (_xlfn.STDEV.S( tabConsumo[[#This Row],[QTD.PENDENTE]]:tabConsumo[[#This Row],[07_23]] ) * 3)</f>
        <v>1.7744867175791172</v>
      </c>
      <c r="X62" s="5">
        <f t="shared" si="0"/>
        <v>2</v>
      </c>
      <c r="Y62">
        <v>0.33333333333333331</v>
      </c>
      <c r="Z62" s="257">
        <f>SUM( tabConsumo[[#This Row],[QTD.PENDENTE]]:tabConsumo[[#This Row],[07_23]] )</f>
        <v>4</v>
      </c>
      <c r="AA62" s="257">
        <f>LARGE(tabConsumo[[#This Row],[08_22]:[07_23]],1)</f>
        <v>1</v>
      </c>
      <c r="AB62" s="175" t="s">
        <v>2213</v>
      </c>
      <c r="AC62" s="3" t="s">
        <v>2064</v>
      </c>
    </row>
    <row r="63" spans="1:29" x14ac:dyDescent="0.3">
      <c r="A63" s="4" t="s">
        <v>1926</v>
      </c>
      <c r="B63" s="3" t="s">
        <v>301</v>
      </c>
      <c r="C63" s="2">
        <v>136826</v>
      </c>
      <c r="D63" s="2">
        <v>2</v>
      </c>
      <c r="F63" s="2">
        <v>1</v>
      </c>
      <c r="G63" s="2">
        <v>0</v>
      </c>
      <c r="H63" s="2">
        <v>1</v>
      </c>
      <c r="I63" s="2">
        <v>1</v>
      </c>
      <c r="J63" s="2">
        <v>0</v>
      </c>
      <c r="K63" s="2">
        <v>2</v>
      </c>
      <c r="L63" s="2">
        <v>1</v>
      </c>
      <c r="M63" s="2">
        <v>0</v>
      </c>
      <c r="N63" s="2">
        <v>1</v>
      </c>
      <c r="O63" s="2">
        <v>0</v>
      </c>
      <c r="P63" s="2">
        <v>0</v>
      </c>
      <c r="Q63" s="2">
        <v>0</v>
      </c>
      <c r="R63" s="274">
        <v>43572</v>
      </c>
      <c r="S63" s="253">
        <v>12</v>
      </c>
      <c r="T63" s="254">
        <f>SUM( tabConsumo[[#This Row],[QTD.PENDENTE]]:tabConsumo[[#This Row],[07_23]] ) / tabConsumo[[#This Row],[Div]]</f>
        <v>0.58333333333333337</v>
      </c>
      <c r="U63" s="255">
        <f xml:space="preserve"> tabConsumo[[#This Row],[Média.A]] + (_xlfn.STDEV.S( tabConsumo[[#This Row],[QTD.PENDENTE]]:tabConsumo[[#This Row],[07_23]] ) * 1)</f>
        <v>1.2518912567548548</v>
      </c>
      <c r="V63" s="255">
        <f xml:space="preserve"> tabConsumo[[#This Row],[Média.A]] + (_xlfn.STDEV.S( tabConsumo[[#This Row],[QTD.PENDENTE]]:tabConsumo[[#This Row],[07_23]] ) * 2)</f>
        <v>1.9204491801763766</v>
      </c>
      <c r="W63" s="255">
        <f xml:space="preserve"> tabConsumo[[#This Row],[Média.A]] + (_xlfn.STDEV.S( tabConsumo[[#This Row],[QTD.PENDENTE]]:tabConsumo[[#This Row],[07_23]] ) * 3)</f>
        <v>2.5890071035978983</v>
      </c>
      <c r="X63" s="5">
        <f t="shared" si="0"/>
        <v>2</v>
      </c>
      <c r="Y63">
        <v>0.5</v>
      </c>
      <c r="Z63" s="257">
        <f>SUM( tabConsumo[[#This Row],[QTD.PENDENTE]]:tabConsumo[[#This Row],[07_23]] )</f>
        <v>7</v>
      </c>
      <c r="AA63" s="257">
        <f>LARGE(tabConsumo[[#This Row],[08_22]:[07_23]],1)</f>
        <v>2</v>
      </c>
      <c r="AB63" s="175" t="s">
        <v>2213</v>
      </c>
      <c r="AC63" s="3" t="s">
        <v>2064</v>
      </c>
    </row>
    <row r="64" spans="1:29" x14ac:dyDescent="0.3">
      <c r="A64" s="4" t="s">
        <v>1927</v>
      </c>
      <c r="B64" s="3" t="s">
        <v>301</v>
      </c>
      <c r="C64" s="2">
        <v>136829</v>
      </c>
      <c r="D64" s="2">
        <v>5</v>
      </c>
      <c r="F64" s="2">
        <v>0</v>
      </c>
      <c r="G64" s="2">
        <v>1</v>
      </c>
      <c r="H64" s="2">
        <v>0</v>
      </c>
      <c r="I64" s="2">
        <v>0</v>
      </c>
      <c r="J64" s="2">
        <v>0</v>
      </c>
      <c r="K64" s="2">
        <v>0</v>
      </c>
      <c r="L64" s="2">
        <v>0</v>
      </c>
      <c r="M64" s="2">
        <v>0</v>
      </c>
      <c r="N64" s="2">
        <v>0</v>
      </c>
      <c r="O64" s="2">
        <v>0</v>
      </c>
      <c r="P64" s="2">
        <v>0</v>
      </c>
      <c r="Q64" s="2">
        <v>0</v>
      </c>
      <c r="R64" s="274">
        <v>43572</v>
      </c>
      <c r="S64" s="253">
        <v>12</v>
      </c>
      <c r="T64" s="254">
        <f>SUM( tabConsumo[[#This Row],[QTD.PENDENTE]]:tabConsumo[[#This Row],[07_23]] ) / tabConsumo[[#This Row],[Div]]</f>
        <v>8.3333333333333329E-2</v>
      </c>
      <c r="U64" s="255">
        <f xml:space="preserve"> tabConsumo[[#This Row],[Média.A]] + (_xlfn.STDEV.S( tabConsumo[[#This Row],[QTD.PENDENTE]]:tabConsumo[[#This Row],[07_23]] ) * 1)</f>
        <v>0.37200846792814618</v>
      </c>
      <c r="V64" s="255">
        <f xml:space="preserve"> tabConsumo[[#This Row],[Média.A]] + (_xlfn.STDEV.S( tabConsumo[[#This Row],[QTD.PENDENTE]]:tabConsumo[[#This Row],[07_23]] ) * 2)</f>
        <v>0.6606836025229591</v>
      </c>
      <c r="W64" s="255">
        <f xml:space="preserve"> tabConsumo[[#This Row],[Média.A]] + (_xlfn.STDEV.S( tabConsumo[[#This Row],[QTD.PENDENTE]]:tabConsumo[[#This Row],[07_23]] ) * 3)</f>
        <v>0.94935873711777197</v>
      </c>
      <c r="X64" s="5">
        <f t="shared" si="0"/>
        <v>2</v>
      </c>
      <c r="Y64">
        <v>0</v>
      </c>
      <c r="Z64" s="257">
        <f>SUM( tabConsumo[[#This Row],[QTD.PENDENTE]]:tabConsumo[[#This Row],[07_23]] )</f>
        <v>1</v>
      </c>
      <c r="AA64" s="257">
        <f>LARGE(tabConsumo[[#This Row],[08_22]:[07_23]],1)</f>
        <v>1</v>
      </c>
      <c r="AB64" s="175" t="s">
        <v>2219</v>
      </c>
      <c r="AC64" s="3" t="s">
        <v>2064</v>
      </c>
    </row>
    <row r="65" spans="1:29" x14ac:dyDescent="0.3">
      <c r="A65" s="4" t="s">
        <v>1154</v>
      </c>
      <c r="B65" s="3" t="s">
        <v>256</v>
      </c>
      <c r="C65" s="2">
        <v>19998</v>
      </c>
      <c r="D65" s="2">
        <v>0</v>
      </c>
      <c r="E65" s="2">
        <v>49</v>
      </c>
      <c r="F65" s="2">
        <v>7</v>
      </c>
      <c r="G65" s="2">
        <v>3</v>
      </c>
      <c r="H65" s="2">
        <v>11</v>
      </c>
      <c r="I65" s="2">
        <v>3</v>
      </c>
      <c r="J65" s="2">
        <v>0</v>
      </c>
      <c r="K65" s="2">
        <v>0</v>
      </c>
      <c r="L65" s="2">
        <v>0</v>
      </c>
      <c r="M65" s="2">
        <v>0</v>
      </c>
      <c r="N65" s="2">
        <v>0</v>
      </c>
      <c r="O65" s="2">
        <v>0</v>
      </c>
      <c r="P65" s="2">
        <v>0</v>
      </c>
      <c r="Q65" s="2">
        <v>0</v>
      </c>
      <c r="R65" s="274">
        <v>367</v>
      </c>
      <c r="S65" s="253">
        <f t="shared" ref="S65:S79" si="2" xml:space="preserve"> 12</f>
        <v>12</v>
      </c>
      <c r="T65" s="254">
        <f>SUM( tabConsumo[[#This Row],[QTD.PENDENTE]]:tabConsumo[[#This Row],[07_23]] ) / tabConsumo[[#This Row],[Div]]</f>
        <v>6.083333333333333</v>
      </c>
      <c r="U65" s="255">
        <f xml:space="preserve"> tabConsumo[[#This Row],[Média.A]] + (_xlfn.STDEV.S( tabConsumo[[#This Row],[QTD.PENDENTE]]:tabConsumo[[#This Row],[07_23]] ) * 1)</f>
        <v>19.558857204031035</v>
      </c>
      <c r="V65" s="255">
        <f xml:space="preserve"> tabConsumo[[#This Row],[Média.A]] + (_xlfn.STDEV.S( tabConsumo[[#This Row],[QTD.PENDENTE]]:tabConsumo[[#This Row],[07_23]] ) * 2)</f>
        <v>33.034381074728735</v>
      </c>
      <c r="W65" s="255">
        <f xml:space="preserve"> tabConsumo[[#This Row],[Média.A]] + (_xlfn.STDEV.S( tabConsumo[[#This Row],[QTD.PENDENTE]]:tabConsumo[[#This Row],[07_23]] ) * 3)</f>
        <v>46.509904945426442</v>
      </c>
      <c r="X65" s="5">
        <f t="shared" si="0"/>
        <v>2</v>
      </c>
      <c r="Y65">
        <v>6.083333333333333</v>
      </c>
      <c r="Z65" s="257">
        <f>SUM( tabConsumo[[#This Row],[QTD.PENDENTE]]:tabConsumo[[#This Row],[07_23]] )</f>
        <v>73</v>
      </c>
      <c r="AA65" s="257">
        <f>LARGE(tabConsumo[[#This Row],[08_22]:[07_23]],1)</f>
        <v>11</v>
      </c>
      <c r="AB65" s="175" t="s">
        <v>2216</v>
      </c>
      <c r="AC65" s="3" t="s">
        <v>2064</v>
      </c>
    </row>
    <row r="66" spans="1:29" x14ac:dyDescent="0.3">
      <c r="A66" s="4" t="s">
        <v>1163</v>
      </c>
      <c r="B66" s="3" t="s">
        <v>256</v>
      </c>
      <c r="C66" s="2">
        <v>20144</v>
      </c>
      <c r="D66" s="2">
        <v>117</v>
      </c>
      <c r="F66" s="2">
        <v>34</v>
      </c>
      <c r="G66" s="2">
        <v>18</v>
      </c>
      <c r="H66" s="2">
        <v>27</v>
      </c>
      <c r="I66" s="2">
        <v>38</v>
      </c>
      <c r="J66" s="2">
        <v>12</v>
      </c>
      <c r="K66" s="2">
        <v>16</v>
      </c>
      <c r="L66" s="2">
        <v>18</v>
      </c>
      <c r="M66" s="2">
        <v>25</v>
      </c>
      <c r="N66" s="2">
        <v>49</v>
      </c>
      <c r="O66" s="2">
        <v>10</v>
      </c>
      <c r="P66" s="2">
        <v>50</v>
      </c>
      <c r="Q66" s="2">
        <v>0</v>
      </c>
      <c r="R66" s="274">
        <v>367</v>
      </c>
      <c r="S66" s="253">
        <f t="shared" si="2"/>
        <v>12</v>
      </c>
      <c r="T66" s="254">
        <f>SUM( tabConsumo[[#This Row],[QTD.PENDENTE]]:tabConsumo[[#This Row],[07_23]] ) / tabConsumo[[#This Row],[Div]]</f>
        <v>24.75</v>
      </c>
      <c r="U66" s="255">
        <f xml:space="preserve"> tabConsumo[[#This Row],[Média.A]] + (_xlfn.STDEV.S( tabConsumo[[#This Row],[QTD.PENDENTE]]:tabConsumo[[#This Row],[07_23]] ) * 1)</f>
        <v>40.277834245754825</v>
      </c>
      <c r="V66" s="255">
        <f xml:space="preserve"> tabConsumo[[#This Row],[Média.A]] + (_xlfn.STDEV.S( tabConsumo[[#This Row],[QTD.PENDENTE]]:tabConsumo[[#This Row],[07_23]] ) * 2)</f>
        <v>55.80566849150965</v>
      </c>
      <c r="W66" s="255">
        <f xml:space="preserve"> tabConsumo[[#This Row],[Média.A]] + (_xlfn.STDEV.S( tabConsumo[[#This Row],[QTD.PENDENTE]]:tabConsumo[[#This Row],[07_23]] ) * 3)</f>
        <v>71.333502737264482</v>
      </c>
      <c r="X66" s="5">
        <f t="shared" si="0"/>
        <v>2</v>
      </c>
      <c r="Y66">
        <v>24.75</v>
      </c>
      <c r="Z66" s="257">
        <f>SUM( tabConsumo[[#This Row],[QTD.PENDENTE]]:tabConsumo[[#This Row],[07_23]] )</f>
        <v>297</v>
      </c>
      <c r="AA66" s="257">
        <f>LARGE(tabConsumo[[#This Row],[08_22]:[07_23]],1)</f>
        <v>50</v>
      </c>
      <c r="AB66" s="175" t="s">
        <v>2212</v>
      </c>
      <c r="AC66" s="3" t="s">
        <v>2064</v>
      </c>
    </row>
    <row r="67" spans="1:29" x14ac:dyDescent="0.3">
      <c r="A67" s="4" t="s">
        <v>1155</v>
      </c>
      <c r="B67" s="3" t="s">
        <v>256</v>
      </c>
      <c r="C67" s="2">
        <v>20001</v>
      </c>
      <c r="D67" s="2">
        <v>0</v>
      </c>
      <c r="E67" s="2">
        <v>108</v>
      </c>
      <c r="F67" s="2">
        <v>29</v>
      </c>
      <c r="G67" s="2">
        <v>19</v>
      </c>
      <c r="H67" s="2">
        <v>0</v>
      </c>
      <c r="I67" s="2">
        <v>0</v>
      </c>
      <c r="J67" s="2">
        <v>0</v>
      </c>
      <c r="K67" s="2">
        <v>0</v>
      </c>
      <c r="L67" s="2">
        <v>0</v>
      </c>
      <c r="M67" s="2">
        <v>0</v>
      </c>
      <c r="N67" s="2">
        <v>0</v>
      </c>
      <c r="O67" s="2">
        <v>0</v>
      </c>
      <c r="P67" s="2">
        <v>0</v>
      </c>
      <c r="Q67" s="2">
        <v>0</v>
      </c>
      <c r="R67" s="274">
        <v>367</v>
      </c>
      <c r="S67" s="253">
        <f t="shared" si="2"/>
        <v>12</v>
      </c>
      <c r="T67" s="254">
        <f>SUM( tabConsumo[[#This Row],[QTD.PENDENTE]]:tabConsumo[[#This Row],[07_23]] ) / tabConsumo[[#This Row],[Div]]</f>
        <v>13</v>
      </c>
      <c r="U67" s="255">
        <f xml:space="preserve"> tabConsumo[[#This Row],[Média.A]] + (_xlfn.STDEV.S( tabConsumo[[#This Row],[QTD.PENDENTE]]:tabConsumo[[#This Row],[07_23]] ) * 1)</f>
        <v>43.268245186443608</v>
      </c>
      <c r="V67" s="255">
        <f xml:space="preserve"> tabConsumo[[#This Row],[Média.A]] + (_xlfn.STDEV.S( tabConsumo[[#This Row],[QTD.PENDENTE]]:tabConsumo[[#This Row],[07_23]] ) * 2)</f>
        <v>73.536490372887215</v>
      </c>
      <c r="W67" s="255">
        <f xml:space="preserve"> tabConsumo[[#This Row],[Média.A]] + (_xlfn.STDEV.S( tabConsumo[[#This Row],[QTD.PENDENTE]]:tabConsumo[[#This Row],[07_23]] ) * 3)</f>
        <v>103.80473555933082</v>
      </c>
      <c r="X67" s="5">
        <f t="shared" ref="X67:X130" si="3" xml:space="preserve"> 2</f>
        <v>2</v>
      </c>
      <c r="Y67">
        <v>13</v>
      </c>
      <c r="Z67" s="257">
        <f>SUM( tabConsumo[[#This Row],[QTD.PENDENTE]]:tabConsumo[[#This Row],[07_23]] )</f>
        <v>156</v>
      </c>
      <c r="AA67" s="257">
        <f>LARGE(tabConsumo[[#This Row],[08_22]:[07_23]],1)</f>
        <v>29</v>
      </c>
      <c r="AB67" s="175" t="s">
        <v>2219</v>
      </c>
      <c r="AC67" s="3" t="s">
        <v>2064</v>
      </c>
    </row>
    <row r="68" spans="1:29" x14ac:dyDescent="0.3">
      <c r="A68" s="4" t="s">
        <v>1156</v>
      </c>
      <c r="B68" s="3" t="s">
        <v>256</v>
      </c>
      <c r="C68" s="2">
        <v>20034</v>
      </c>
      <c r="D68" s="2">
        <v>342</v>
      </c>
      <c r="E68" s="2">
        <v>5</v>
      </c>
      <c r="F68" s="2">
        <v>40</v>
      </c>
      <c r="G68" s="2">
        <v>46</v>
      </c>
      <c r="H68" s="2">
        <v>60</v>
      </c>
      <c r="I68" s="2">
        <v>58</v>
      </c>
      <c r="J68" s="2">
        <v>46</v>
      </c>
      <c r="K68" s="2">
        <v>117</v>
      </c>
      <c r="L68" s="2">
        <v>108</v>
      </c>
      <c r="M68" s="2">
        <v>90</v>
      </c>
      <c r="N68" s="2">
        <v>65</v>
      </c>
      <c r="O68" s="2">
        <v>5</v>
      </c>
      <c r="P68" s="2">
        <v>0</v>
      </c>
      <c r="Q68" s="2">
        <v>0</v>
      </c>
      <c r="R68" s="274">
        <v>367</v>
      </c>
      <c r="S68" s="253">
        <f t="shared" si="2"/>
        <v>12</v>
      </c>
      <c r="T68" s="254">
        <f>SUM( tabConsumo[[#This Row],[QTD.PENDENTE]]:tabConsumo[[#This Row],[07_23]] ) / tabConsumo[[#This Row],[Div]]</f>
        <v>53.333333333333336</v>
      </c>
      <c r="U68" s="255">
        <f xml:space="preserve"> tabConsumo[[#This Row],[Média.A]] + (_xlfn.STDEV.S( tabConsumo[[#This Row],[QTD.PENDENTE]]:tabConsumo[[#This Row],[07_23]] ) * 1)</f>
        <v>93.141527310105346</v>
      </c>
      <c r="V68" s="255">
        <f xml:space="preserve"> tabConsumo[[#This Row],[Média.A]] + (_xlfn.STDEV.S( tabConsumo[[#This Row],[QTD.PENDENTE]]:tabConsumo[[#This Row],[07_23]] ) * 2)</f>
        <v>132.94972128687735</v>
      </c>
      <c r="W68" s="255">
        <f xml:space="preserve"> tabConsumo[[#This Row],[Média.A]] + (_xlfn.STDEV.S( tabConsumo[[#This Row],[QTD.PENDENTE]]:tabConsumo[[#This Row],[07_23]] ) * 3)</f>
        <v>172.75791526364938</v>
      </c>
      <c r="X68" s="5">
        <f t="shared" si="3"/>
        <v>2</v>
      </c>
      <c r="Y68">
        <v>53.333333333333336</v>
      </c>
      <c r="Z68" s="257">
        <f>SUM( tabConsumo[[#This Row],[QTD.PENDENTE]]:tabConsumo[[#This Row],[07_23]] )</f>
        <v>640</v>
      </c>
      <c r="AA68" s="257">
        <f>LARGE(tabConsumo[[#This Row],[08_22]:[07_23]],1)</f>
        <v>117</v>
      </c>
      <c r="AB68" s="175" t="s">
        <v>2214</v>
      </c>
      <c r="AC68" s="3" t="s">
        <v>2064</v>
      </c>
    </row>
    <row r="69" spans="1:29" x14ac:dyDescent="0.3">
      <c r="A69" s="4" t="s">
        <v>1157</v>
      </c>
      <c r="B69" s="3" t="s">
        <v>256</v>
      </c>
      <c r="C69" s="2">
        <v>20035</v>
      </c>
      <c r="D69" s="2">
        <v>899</v>
      </c>
      <c r="F69" s="2">
        <v>9</v>
      </c>
      <c r="G69" s="2">
        <v>4</v>
      </c>
      <c r="H69" s="2">
        <v>12</v>
      </c>
      <c r="I69" s="2">
        <v>4</v>
      </c>
      <c r="J69" s="2">
        <v>9</v>
      </c>
      <c r="K69" s="2">
        <v>7</v>
      </c>
      <c r="L69" s="2">
        <v>0</v>
      </c>
      <c r="M69" s="2">
        <v>20</v>
      </c>
      <c r="N69" s="2">
        <v>38</v>
      </c>
      <c r="O69" s="2">
        <v>10</v>
      </c>
      <c r="P69" s="2">
        <v>30</v>
      </c>
      <c r="Q69" s="2">
        <v>0</v>
      </c>
      <c r="R69" s="274">
        <v>367</v>
      </c>
      <c r="S69" s="253">
        <f t="shared" si="2"/>
        <v>12</v>
      </c>
      <c r="T69" s="254">
        <f>SUM( tabConsumo[[#This Row],[QTD.PENDENTE]]:tabConsumo[[#This Row],[07_23]] ) / tabConsumo[[#This Row],[Div]]</f>
        <v>11.916666666666666</v>
      </c>
      <c r="U69" s="255">
        <f xml:space="preserve"> tabConsumo[[#This Row],[Média.A]] + (_xlfn.STDEV.S( tabConsumo[[#This Row],[QTD.PENDENTE]]:tabConsumo[[#This Row],[07_23]] ) * 1)</f>
        <v>23.698457959191163</v>
      </c>
      <c r="V69" s="255">
        <f xml:space="preserve"> tabConsumo[[#This Row],[Média.A]] + (_xlfn.STDEV.S( tabConsumo[[#This Row],[QTD.PENDENTE]]:tabConsumo[[#This Row],[07_23]] ) * 2)</f>
        <v>35.480249251715662</v>
      </c>
      <c r="W69" s="255">
        <f xml:space="preserve"> tabConsumo[[#This Row],[Média.A]] + (_xlfn.STDEV.S( tabConsumo[[#This Row],[QTD.PENDENTE]]:tabConsumo[[#This Row],[07_23]] ) * 3)</f>
        <v>47.262040544240158</v>
      </c>
      <c r="X69" s="5">
        <f t="shared" si="3"/>
        <v>2</v>
      </c>
      <c r="Y69">
        <v>11.666666666666666</v>
      </c>
      <c r="Z69" s="257">
        <f>SUM( tabConsumo[[#This Row],[QTD.PENDENTE]]:tabConsumo[[#This Row],[07_23]] )</f>
        <v>143</v>
      </c>
      <c r="AA69" s="257">
        <f>LARGE(tabConsumo[[#This Row],[08_22]:[07_23]],1)</f>
        <v>38</v>
      </c>
      <c r="AB69" s="175" t="s">
        <v>2212</v>
      </c>
      <c r="AC69" s="3" t="s">
        <v>2064</v>
      </c>
    </row>
    <row r="70" spans="1:29" x14ac:dyDescent="0.3">
      <c r="A70" s="4" t="s">
        <v>1158</v>
      </c>
      <c r="B70" s="3" t="s">
        <v>256</v>
      </c>
      <c r="C70" s="2">
        <v>20037</v>
      </c>
      <c r="D70" s="2">
        <v>158</v>
      </c>
      <c r="F70" s="2">
        <v>5</v>
      </c>
      <c r="G70" s="2">
        <v>10</v>
      </c>
      <c r="H70" s="2">
        <v>12</v>
      </c>
      <c r="I70" s="2">
        <v>4</v>
      </c>
      <c r="J70" s="2">
        <v>9</v>
      </c>
      <c r="K70" s="2">
        <v>20</v>
      </c>
      <c r="L70" s="2">
        <v>4</v>
      </c>
      <c r="M70" s="2">
        <v>36</v>
      </c>
      <c r="N70" s="2">
        <v>23</v>
      </c>
      <c r="O70" s="2">
        <v>0</v>
      </c>
      <c r="P70" s="2">
        <v>0</v>
      </c>
      <c r="Q70" s="2">
        <v>0</v>
      </c>
      <c r="R70" s="274">
        <v>367</v>
      </c>
      <c r="S70" s="253">
        <f t="shared" si="2"/>
        <v>12</v>
      </c>
      <c r="T70" s="254">
        <f>SUM( tabConsumo[[#This Row],[QTD.PENDENTE]]:tabConsumo[[#This Row],[07_23]] ) / tabConsumo[[#This Row],[Div]]</f>
        <v>10.25</v>
      </c>
      <c r="U70" s="255">
        <f xml:space="preserve"> tabConsumo[[#This Row],[Média.A]] + (_xlfn.STDEV.S( tabConsumo[[#This Row],[QTD.PENDENTE]]:tabConsumo[[#This Row],[07_23]] ) * 1)</f>
        <v>21.312837051876144</v>
      </c>
      <c r="V70" s="255">
        <f xml:space="preserve"> tabConsumo[[#This Row],[Média.A]] + (_xlfn.STDEV.S( tabConsumo[[#This Row],[QTD.PENDENTE]]:tabConsumo[[#This Row],[07_23]] ) * 2)</f>
        <v>32.375674103752289</v>
      </c>
      <c r="W70" s="255">
        <f xml:space="preserve"> tabConsumo[[#This Row],[Média.A]] + (_xlfn.STDEV.S( tabConsumo[[#This Row],[QTD.PENDENTE]]:tabConsumo[[#This Row],[07_23]] ) * 3)</f>
        <v>43.438511155628433</v>
      </c>
      <c r="X70" s="5">
        <f t="shared" si="3"/>
        <v>2</v>
      </c>
      <c r="Y70">
        <v>9.9166666666666661</v>
      </c>
      <c r="Z70" s="257">
        <f>SUM( tabConsumo[[#This Row],[QTD.PENDENTE]]:tabConsumo[[#This Row],[07_23]] )</f>
        <v>123</v>
      </c>
      <c r="AA70" s="257">
        <f>LARGE(tabConsumo[[#This Row],[08_22]:[07_23]],1)</f>
        <v>36</v>
      </c>
      <c r="AB70" s="175" t="s">
        <v>2213</v>
      </c>
      <c r="AC70" s="3" t="s">
        <v>2064</v>
      </c>
    </row>
    <row r="71" spans="1:29" x14ac:dyDescent="0.3">
      <c r="A71" s="4" t="s">
        <v>1159</v>
      </c>
      <c r="B71" s="3" t="s">
        <v>256</v>
      </c>
      <c r="C71" s="2">
        <v>20104</v>
      </c>
      <c r="D71" s="2">
        <v>384</v>
      </c>
      <c r="F71" s="2">
        <v>15</v>
      </c>
      <c r="G71" s="2">
        <v>13</v>
      </c>
      <c r="H71" s="2">
        <v>15</v>
      </c>
      <c r="I71" s="2">
        <v>18</v>
      </c>
      <c r="J71" s="2">
        <v>1</v>
      </c>
      <c r="K71" s="2">
        <v>27</v>
      </c>
      <c r="L71" s="2">
        <v>0</v>
      </c>
      <c r="M71" s="2">
        <v>51</v>
      </c>
      <c r="N71" s="2">
        <v>20</v>
      </c>
      <c r="O71" s="2">
        <v>0</v>
      </c>
      <c r="P71" s="2">
        <v>0</v>
      </c>
      <c r="Q71" s="2">
        <v>0</v>
      </c>
      <c r="R71" s="274">
        <v>367</v>
      </c>
      <c r="S71" s="253">
        <f t="shared" si="2"/>
        <v>12</v>
      </c>
      <c r="T71" s="254">
        <f>SUM( tabConsumo[[#This Row],[QTD.PENDENTE]]:tabConsumo[[#This Row],[07_23]] ) / tabConsumo[[#This Row],[Div]]</f>
        <v>13.333333333333334</v>
      </c>
      <c r="U71" s="255">
        <f xml:space="preserve"> tabConsumo[[#This Row],[Média.A]] + (_xlfn.STDEV.S( tabConsumo[[#This Row],[QTD.PENDENTE]]:tabConsumo[[#This Row],[07_23]] ) * 1)</f>
        <v>28.531020557700632</v>
      </c>
      <c r="V71" s="255">
        <f xml:space="preserve"> tabConsumo[[#This Row],[Média.A]] + (_xlfn.STDEV.S( tabConsumo[[#This Row],[QTD.PENDENTE]]:tabConsumo[[#This Row],[07_23]] ) * 2)</f>
        <v>43.728707782067929</v>
      </c>
      <c r="W71" s="255">
        <f xml:space="preserve"> tabConsumo[[#This Row],[Média.A]] + (_xlfn.STDEV.S( tabConsumo[[#This Row],[QTD.PENDENTE]]:tabConsumo[[#This Row],[07_23]] ) * 3)</f>
        <v>58.926395006435229</v>
      </c>
      <c r="X71" s="5">
        <f t="shared" si="3"/>
        <v>2</v>
      </c>
      <c r="Y71">
        <v>12.666666666666666</v>
      </c>
      <c r="Z71" s="257">
        <f>SUM( tabConsumo[[#This Row],[QTD.PENDENTE]]:tabConsumo[[#This Row],[07_23]] )</f>
        <v>160</v>
      </c>
      <c r="AA71" s="257">
        <f>LARGE(tabConsumo[[#This Row],[08_22]:[07_23]],1)</f>
        <v>51</v>
      </c>
      <c r="AB71" s="175" t="s">
        <v>2213</v>
      </c>
      <c r="AC71" s="3" t="s">
        <v>2064</v>
      </c>
    </row>
    <row r="72" spans="1:29" x14ac:dyDescent="0.3">
      <c r="A72" s="4" t="s">
        <v>1160</v>
      </c>
      <c r="B72" s="3" t="s">
        <v>256</v>
      </c>
      <c r="C72" s="2">
        <v>20106</v>
      </c>
      <c r="D72" s="2">
        <v>569</v>
      </c>
      <c r="E72" s="2">
        <v>10</v>
      </c>
      <c r="F72" s="2">
        <v>25</v>
      </c>
      <c r="G72" s="2">
        <v>19</v>
      </c>
      <c r="H72" s="2">
        <v>42</v>
      </c>
      <c r="I72" s="2">
        <v>32</v>
      </c>
      <c r="J72" s="2">
        <v>17</v>
      </c>
      <c r="K72" s="2">
        <v>56</v>
      </c>
      <c r="L72" s="2">
        <v>47</v>
      </c>
      <c r="M72" s="2">
        <v>88</v>
      </c>
      <c r="N72" s="2">
        <v>52</v>
      </c>
      <c r="O72" s="2">
        <v>6</v>
      </c>
      <c r="P72" s="2">
        <v>0</v>
      </c>
      <c r="Q72" s="2">
        <v>0</v>
      </c>
      <c r="R72" s="274">
        <v>367</v>
      </c>
      <c r="S72" s="253">
        <f t="shared" si="2"/>
        <v>12</v>
      </c>
      <c r="T72" s="254">
        <f>SUM( tabConsumo[[#This Row],[QTD.PENDENTE]]:tabConsumo[[#This Row],[07_23]] ) / tabConsumo[[#This Row],[Div]]</f>
        <v>32.833333333333336</v>
      </c>
      <c r="U72" s="255">
        <f xml:space="preserve"> tabConsumo[[#This Row],[Média.A]] + (_xlfn.STDEV.S( tabConsumo[[#This Row],[QTD.PENDENTE]]:tabConsumo[[#This Row],[07_23]] ) * 1)</f>
        <v>58.735021230021381</v>
      </c>
      <c r="V72" s="255">
        <f xml:space="preserve"> tabConsumo[[#This Row],[Média.A]] + (_xlfn.STDEV.S( tabConsumo[[#This Row],[QTD.PENDENTE]]:tabConsumo[[#This Row],[07_23]] ) * 2)</f>
        <v>84.636709126709434</v>
      </c>
      <c r="W72" s="255">
        <f xml:space="preserve"> tabConsumo[[#This Row],[Média.A]] + (_xlfn.STDEV.S( tabConsumo[[#This Row],[QTD.PENDENTE]]:tabConsumo[[#This Row],[07_23]] ) * 3)</f>
        <v>110.53839702339747</v>
      </c>
      <c r="X72" s="5">
        <f t="shared" si="3"/>
        <v>2</v>
      </c>
      <c r="Y72">
        <v>32.5</v>
      </c>
      <c r="Z72" s="257">
        <f>SUM( tabConsumo[[#This Row],[QTD.PENDENTE]]:tabConsumo[[#This Row],[07_23]] )</f>
        <v>394</v>
      </c>
      <c r="AA72" s="257">
        <f>LARGE(tabConsumo[[#This Row],[08_22]:[07_23]],1)</f>
        <v>88</v>
      </c>
      <c r="AB72" s="175" t="s">
        <v>2214</v>
      </c>
      <c r="AC72" s="3" t="s">
        <v>2064</v>
      </c>
    </row>
    <row r="73" spans="1:29" x14ac:dyDescent="0.3">
      <c r="A73" s="4" t="s">
        <v>1150</v>
      </c>
      <c r="B73" s="3" t="s">
        <v>256</v>
      </c>
      <c r="C73" s="2">
        <v>19871</v>
      </c>
      <c r="D73" s="2">
        <v>96</v>
      </c>
      <c r="F73" s="2">
        <v>0</v>
      </c>
      <c r="G73" s="2">
        <v>2</v>
      </c>
      <c r="H73" s="2">
        <v>0</v>
      </c>
      <c r="I73" s="2">
        <v>6</v>
      </c>
      <c r="J73" s="2">
        <v>1</v>
      </c>
      <c r="K73" s="2">
        <v>7</v>
      </c>
      <c r="L73" s="2">
        <v>0</v>
      </c>
      <c r="M73" s="2">
        <v>2</v>
      </c>
      <c r="N73" s="2">
        <v>22</v>
      </c>
      <c r="O73" s="2">
        <v>0</v>
      </c>
      <c r="P73" s="2">
        <v>0</v>
      </c>
      <c r="Q73" s="2">
        <v>0</v>
      </c>
      <c r="R73" s="274">
        <v>367</v>
      </c>
      <c r="S73" s="253">
        <f t="shared" si="2"/>
        <v>12</v>
      </c>
      <c r="T73" s="254">
        <f>SUM( tabConsumo[[#This Row],[QTD.PENDENTE]]:tabConsumo[[#This Row],[07_23]] ) / tabConsumo[[#This Row],[Div]]</f>
        <v>3.3333333333333335</v>
      </c>
      <c r="U73" s="255">
        <f xml:space="preserve"> tabConsumo[[#This Row],[Média.A]] + (_xlfn.STDEV.S( tabConsumo[[#This Row],[QTD.PENDENTE]]:tabConsumo[[#This Row],[07_23]] ) * 1)</f>
        <v>9.6913395006976302</v>
      </c>
      <c r="V73" s="255">
        <f xml:space="preserve"> tabConsumo[[#This Row],[Média.A]] + (_xlfn.STDEV.S( tabConsumo[[#This Row],[QTD.PENDENTE]]:tabConsumo[[#This Row],[07_23]] ) * 2)</f>
        <v>16.049345668061925</v>
      </c>
      <c r="W73" s="255">
        <f xml:space="preserve"> tabConsumo[[#This Row],[Média.A]] + (_xlfn.STDEV.S( tabConsumo[[#This Row],[QTD.PENDENTE]]:tabConsumo[[#This Row],[07_23]] ) * 3)</f>
        <v>22.407351835426223</v>
      </c>
      <c r="X73" s="5">
        <f t="shared" si="3"/>
        <v>2</v>
      </c>
      <c r="Y73">
        <v>2.8333333333333335</v>
      </c>
      <c r="Z73" s="257">
        <f>SUM( tabConsumo[[#This Row],[QTD.PENDENTE]]:tabConsumo[[#This Row],[07_23]] )</f>
        <v>40</v>
      </c>
      <c r="AA73" s="257">
        <f>LARGE(tabConsumo[[#This Row],[08_22]:[07_23]],1)</f>
        <v>22</v>
      </c>
      <c r="AB73" s="175" t="s">
        <v>2213</v>
      </c>
      <c r="AC73" s="3" t="s">
        <v>2064</v>
      </c>
    </row>
    <row r="74" spans="1:29" x14ac:dyDescent="0.3">
      <c r="A74" s="4" t="s">
        <v>1152</v>
      </c>
      <c r="B74" s="3" t="s">
        <v>256</v>
      </c>
      <c r="C74" s="2">
        <v>19882</v>
      </c>
      <c r="D74" s="2">
        <v>224</v>
      </c>
      <c r="F74" s="2">
        <v>3</v>
      </c>
      <c r="G74" s="2">
        <v>0</v>
      </c>
      <c r="H74" s="2">
        <v>4</v>
      </c>
      <c r="I74" s="2">
        <v>4</v>
      </c>
      <c r="J74" s="2">
        <v>2</v>
      </c>
      <c r="K74" s="2">
        <v>2</v>
      </c>
      <c r="L74" s="2">
        <v>2</v>
      </c>
      <c r="M74" s="2">
        <v>0</v>
      </c>
      <c r="N74" s="2">
        <v>20</v>
      </c>
      <c r="O74" s="2">
        <v>0</v>
      </c>
      <c r="P74" s="2">
        <v>0</v>
      </c>
      <c r="Q74" s="2">
        <v>0</v>
      </c>
      <c r="R74" s="274">
        <v>367</v>
      </c>
      <c r="S74" s="253">
        <f t="shared" si="2"/>
        <v>12</v>
      </c>
      <c r="T74" s="254">
        <f>SUM( tabConsumo[[#This Row],[QTD.PENDENTE]]:tabConsumo[[#This Row],[07_23]] ) / tabConsumo[[#This Row],[Div]]</f>
        <v>3.0833333333333335</v>
      </c>
      <c r="U74" s="255">
        <f xml:space="preserve"> tabConsumo[[#This Row],[Média.A]] + (_xlfn.STDEV.S( tabConsumo[[#This Row],[QTD.PENDENTE]]:tabConsumo[[#This Row],[07_23]] ) * 1)</f>
        <v>8.6340635610246466</v>
      </c>
      <c r="V74" s="255">
        <f xml:space="preserve"> tabConsumo[[#This Row],[Média.A]] + (_xlfn.STDEV.S( tabConsumo[[#This Row],[QTD.PENDENTE]]:tabConsumo[[#This Row],[07_23]] ) * 2)</f>
        <v>14.184793788715961</v>
      </c>
      <c r="W74" s="255">
        <f xml:space="preserve"> tabConsumo[[#This Row],[Média.A]] + (_xlfn.STDEV.S( tabConsumo[[#This Row],[QTD.PENDENTE]]:tabConsumo[[#This Row],[07_23]] ) * 3)</f>
        <v>19.735524016407272</v>
      </c>
      <c r="X74" s="5">
        <f t="shared" si="3"/>
        <v>2</v>
      </c>
      <c r="Y74">
        <v>2.5833333333333335</v>
      </c>
      <c r="Z74" s="257">
        <f>SUM( tabConsumo[[#This Row],[QTD.PENDENTE]]:tabConsumo[[#This Row],[07_23]] )</f>
        <v>37</v>
      </c>
      <c r="AA74" s="257">
        <f>LARGE(tabConsumo[[#This Row],[08_22]:[07_23]],1)</f>
        <v>20</v>
      </c>
      <c r="AB74" s="175" t="s">
        <v>2213</v>
      </c>
      <c r="AC74" s="3" t="s">
        <v>2064</v>
      </c>
    </row>
    <row r="75" spans="1:29" x14ac:dyDescent="0.3">
      <c r="A75" s="4" t="s">
        <v>1153</v>
      </c>
      <c r="B75" s="3" t="s">
        <v>256</v>
      </c>
      <c r="C75" s="2">
        <v>19883</v>
      </c>
      <c r="D75" s="2">
        <v>547</v>
      </c>
      <c r="F75" s="2">
        <v>4</v>
      </c>
      <c r="G75" s="2">
        <v>4</v>
      </c>
      <c r="H75" s="2">
        <v>2</v>
      </c>
      <c r="I75" s="2">
        <v>4</v>
      </c>
      <c r="J75" s="2">
        <v>2</v>
      </c>
      <c r="K75" s="2">
        <v>6</v>
      </c>
      <c r="L75" s="2">
        <v>0</v>
      </c>
      <c r="M75" s="2">
        <v>2</v>
      </c>
      <c r="N75" s="2">
        <v>22</v>
      </c>
      <c r="O75" s="2">
        <v>0</v>
      </c>
      <c r="P75" s="2">
        <v>0</v>
      </c>
      <c r="Q75" s="2">
        <v>0</v>
      </c>
      <c r="R75" s="274">
        <v>367</v>
      </c>
      <c r="S75" s="253">
        <f t="shared" si="2"/>
        <v>12</v>
      </c>
      <c r="T75" s="254">
        <f>SUM( tabConsumo[[#This Row],[QTD.PENDENTE]]:tabConsumo[[#This Row],[07_23]] ) / tabConsumo[[#This Row],[Div]]</f>
        <v>3.8333333333333335</v>
      </c>
      <c r="U75" s="255">
        <f xml:space="preserve"> tabConsumo[[#This Row],[Média.A]] + (_xlfn.STDEV.S( tabConsumo[[#This Row],[QTD.PENDENTE]]:tabConsumo[[#This Row],[07_23]] ) * 1)</f>
        <v>9.8911357151356398</v>
      </c>
      <c r="V75" s="255">
        <f xml:space="preserve"> tabConsumo[[#This Row],[Média.A]] + (_xlfn.STDEV.S( tabConsumo[[#This Row],[QTD.PENDENTE]]:tabConsumo[[#This Row],[07_23]] ) * 2)</f>
        <v>15.948938096937946</v>
      </c>
      <c r="W75" s="255">
        <f xml:space="preserve"> tabConsumo[[#This Row],[Média.A]] + (_xlfn.STDEV.S( tabConsumo[[#This Row],[QTD.PENDENTE]]:tabConsumo[[#This Row],[07_23]] ) * 3)</f>
        <v>22.006740478740252</v>
      </c>
      <c r="X75" s="5">
        <f t="shared" si="3"/>
        <v>2</v>
      </c>
      <c r="Y75">
        <v>3.25</v>
      </c>
      <c r="Z75" s="257">
        <f>SUM( tabConsumo[[#This Row],[QTD.PENDENTE]]:tabConsumo[[#This Row],[07_23]] )</f>
        <v>46</v>
      </c>
      <c r="AA75" s="257">
        <f>LARGE(tabConsumo[[#This Row],[08_22]:[07_23]],1)</f>
        <v>22</v>
      </c>
      <c r="AB75" s="175" t="s">
        <v>2213</v>
      </c>
      <c r="AC75" s="3" t="s">
        <v>2064</v>
      </c>
    </row>
    <row r="76" spans="1:29" x14ac:dyDescent="0.3">
      <c r="A76" s="4" t="s">
        <v>870</v>
      </c>
      <c r="B76" s="3" t="s">
        <v>256</v>
      </c>
      <c r="C76" s="2">
        <v>12812</v>
      </c>
      <c r="D76" s="2">
        <v>63</v>
      </c>
      <c r="F76" s="2">
        <v>0</v>
      </c>
      <c r="G76" s="2">
        <v>10</v>
      </c>
      <c r="H76" s="2">
        <v>2</v>
      </c>
      <c r="I76" s="2">
        <v>3</v>
      </c>
      <c r="J76" s="2">
        <v>4</v>
      </c>
      <c r="K76" s="2">
        <v>1</v>
      </c>
      <c r="L76" s="2">
        <v>0</v>
      </c>
      <c r="M76" s="2">
        <v>2</v>
      </c>
      <c r="N76" s="2">
        <v>2</v>
      </c>
      <c r="O76" s="2">
        <v>0</v>
      </c>
      <c r="P76" s="2">
        <v>0</v>
      </c>
      <c r="Q76" s="2">
        <v>0</v>
      </c>
      <c r="R76" s="274">
        <v>367</v>
      </c>
      <c r="S76" s="253">
        <f t="shared" si="2"/>
        <v>12</v>
      </c>
      <c r="T76" s="254">
        <f>SUM( tabConsumo[[#This Row],[QTD.PENDENTE]]:tabConsumo[[#This Row],[07_23]] ) / tabConsumo[[#This Row],[Div]]</f>
        <v>2</v>
      </c>
      <c r="U76" s="255">
        <f xml:space="preserve"> tabConsumo[[#This Row],[Média.A]] + (_xlfn.STDEV.S( tabConsumo[[#This Row],[QTD.PENDENTE]]:tabConsumo[[#This Row],[07_23]] ) * 1)</f>
        <v>4.8603877677367766</v>
      </c>
      <c r="V76" s="255">
        <f xml:space="preserve"> tabConsumo[[#This Row],[Média.A]] + (_xlfn.STDEV.S( tabConsumo[[#This Row],[QTD.PENDENTE]]:tabConsumo[[#This Row],[07_23]] ) * 2)</f>
        <v>7.7207755354735541</v>
      </c>
      <c r="W76" s="255">
        <f xml:space="preserve"> tabConsumo[[#This Row],[Média.A]] + (_xlfn.STDEV.S( tabConsumo[[#This Row],[QTD.PENDENTE]]:tabConsumo[[#This Row],[07_23]] ) * 3)</f>
        <v>10.581163303210332</v>
      </c>
      <c r="X76" s="5">
        <f t="shared" si="3"/>
        <v>2</v>
      </c>
      <c r="Y76">
        <v>1.75</v>
      </c>
      <c r="Z76" s="257">
        <f>SUM( tabConsumo[[#This Row],[QTD.PENDENTE]]:tabConsumo[[#This Row],[07_23]] )</f>
        <v>24</v>
      </c>
      <c r="AA76" s="257">
        <f>LARGE(tabConsumo[[#This Row],[08_22]:[07_23]],1)</f>
        <v>10</v>
      </c>
      <c r="AB76" s="175" t="s">
        <v>2213</v>
      </c>
      <c r="AC76" s="3" t="s">
        <v>2064</v>
      </c>
    </row>
    <row r="77" spans="1:29" x14ac:dyDescent="0.3">
      <c r="A77" s="4" t="s">
        <v>1015</v>
      </c>
      <c r="B77" s="3" t="s">
        <v>256</v>
      </c>
      <c r="C77" s="2">
        <v>13178</v>
      </c>
      <c r="D77" s="2">
        <v>0</v>
      </c>
      <c r="E77" s="2">
        <v>647</v>
      </c>
      <c r="F77" s="2">
        <v>1270</v>
      </c>
      <c r="G77" s="2">
        <v>840</v>
      </c>
      <c r="H77" s="2">
        <v>1310</v>
      </c>
      <c r="I77" s="2">
        <v>600</v>
      </c>
      <c r="J77" s="2">
        <v>1450</v>
      </c>
      <c r="K77" s="2">
        <v>1500</v>
      </c>
      <c r="L77" s="2">
        <v>500</v>
      </c>
      <c r="M77" s="2">
        <v>1000</v>
      </c>
      <c r="N77" s="2">
        <v>2620</v>
      </c>
      <c r="O77" s="2">
        <v>6900</v>
      </c>
      <c r="P77" s="2">
        <v>1353</v>
      </c>
      <c r="Q77" s="2">
        <v>0</v>
      </c>
      <c r="R77" s="274">
        <v>367</v>
      </c>
      <c r="S77" s="253">
        <f t="shared" si="2"/>
        <v>12</v>
      </c>
      <c r="T77" s="254">
        <f>SUM( tabConsumo[[#This Row],[QTD.PENDENTE]]:tabConsumo[[#This Row],[07_23]] ) / tabConsumo[[#This Row],[Div]]</f>
        <v>1665.8333333333333</v>
      </c>
      <c r="U77" s="255">
        <f xml:space="preserve"> tabConsumo[[#This Row],[Média.A]] + (_xlfn.STDEV.S( tabConsumo[[#This Row],[QTD.PENDENTE]]:tabConsumo[[#This Row],[07_23]] ) * 1)</f>
        <v>3397.457060004122</v>
      </c>
      <c r="V77" s="255">
        <f xml:space="preserve"> tabConsumo[[#This Row],[Média.A]] + (_xlfn.STDEV.S( tabConsumo[[#This Row],[QTD.PENDENTE]]:tabConsumo[[#This Row],[07_23]] ) * 2)</f>
        <v>5129.080786674911</v>
      </c>
      <c r="W77" s="255">
        <f xml:space="preserve"> tabConsumo[[#This Row],[Média.A]] + (_xlfn.STDEV.S( tabConsumo[[#This Row],[QTD.PENDENTE]]:tabConsumo[[#This Row],[07_23]] ) * 3)</f>
        <v>6860.7045133456995</v>
      </c>
      <c r="X77" s="5">
        <f t="shared" si="3"/>
        <v>2</v>
      </c>
      <c r="Y77">
        <v>1518.25</v>
      </c>
      <c r="Z77" s="257">
        <f>SUM( tabConsumo[[#This Row],[QTD.PENDENTE]]:tabConsumo[[#This Row],[07_23]] )</f>
        <v>19990</v>
      </c>
      <c r="AA77" s="257">
        <f>LARGE(tabConsumo[[#This Row],[08_22]:[07_23]],1)</f>
        <v>6900</v>
      </c>
      <c r="AB77" s="175" t="s">
        <v>2212</v>
      </c>
      <c r="AC77" s="3" t="s">
        <v>2064</v>
      </c>
    </row>
    <row r="78" spans="1:29" x14ac:dyDescent="0.3">
      <c r="A78" s="4" t="s">
        <v>1236</v>
      </c>
      <c r="B78" s="3" t="s">
        <v>256</v>
      </c>
      <c r="C78" s="2">
        <v>29293</v>
      </c>
      <c r="D78" s="2">
        <v>0</v>
      </c>
      <c r="E78" s="2">
        <v>2055</v>
      </c>
      <c r="F78" s="2">
        <v>920</v>
      </c>
      <c r="G78" s="2">
        <v>650</v>
      </c>
      <c r="H78" s="2">
        <v>170</v>
      </c>
      <c r="I78" s="2">
        <v>500</v>
      </c>
      <c r="J78" s="2">
        <v>250</v>
      </c>
      <c r="K78" s="2">
        <v>750</v>
      </c>
      <c r="L78" s="2">
        <v>0</v>
      </c>
      <c r="M78" s="2">
        <v>1495</v>
      </c>
      <c r="N78" s="2">
        <v>0</v>
      </c>
      <c r="O78" s="2">
        <v>0</v>
      </c>
      <c r="P78" s="2">
        <v>0</v>
      </c>
      <c r="Q78" s="2">
        <v>0</v>
      </c>
      <c r="R78" s="274">
        <v>367</v>
      </c>
      <c r="S78" s="253">
        <f t="shared" si="2"/>
        <v>12</v>
      </c>
      <c r="T78" s="254">
        <f>SUM( tabConsumo[[#This Row],[QTD.PENDENTE]]:tabConsumo[[#This Row],[07_23]] ) / tabConsumo[[#This Row],[Div]]</f>
        <v>565.83333333333337</v>
      </c>
      <c r="U78" s="255">
        <f xml:space="preserve"> tabConsumo[[#This Row],[Média.A]] + (_xlfn.STDEV.S( tabConsumo[[#This Row],[QTD.PENDENTE]]:tabConsumo[[#This Row],[07_23]] ) * 1)</f>
        <v>1216.7545247504645</v>
      </c>
      <c r="V78" s="255">
        <f xml:space="preserve"> tabConsumo[[#This Row],[Média.A]] + (_xlfn.STDEV.S( tabConsumo[[#This Row],[QTD.PENDENTE]]:tabConsumo[[#This Row],[07_23]] ) * 2)</f>
        <v>1867.6757161675955</v>
      </c>
      <c r="W78" s="255">
        <f xml:space="preserve"> tabConsumo[[#This Row],[Média.A]] + (_xlfn.STDEV.S( tabConsumo[[#This Row],[QTD.PENDENTE]]:tabConsumo[[#This Row],[07_23]] ) * 3)</f>
        <v>2518.596907584727</v>
      </c>
      <c r="X78" s="5">
        <f t="shared" si="3"/>
        <v>2</v>
      </c>
      <c r="Y78">
        <v>565.83333333333337</v>
      </c>
      <c r="Z78" s="257">
        <f>SUM( tabConsumo[[#This Row],[QTD.PENDENTE]]:tabConsumo[[#This Row],[07_23]] )</f>
        <v>6790</v>
      </c>
      <c r="AA78" s="257">
        <f>LARGE(tabConsumo[[#This Row],[08_22]:[07_23]],1)</f>
        <v>1495</v>
      </c>
      <c r="AB78" s="175" t="s">
        <v>2217</v>
      </c>
      <c r="AC78" s="3" t="s">
        <v>2064</v>
      </c>
    </row>
    <row r="79" spans="1:29" x14ac:dyDescent="0.3">
      <c r="A79" s="4" t="s">
        <v>1017</v>
      </c>
      <c r="B79" s="3" t="s">
        <v>256</v>
      </c>
      <c r="C79" s="2">
        <v>13179</v>
      </c>
      <c r="D79" s="2">
        <v>2611</v>
      </c>
      <c r="F79" s="2">
        <v>1530</v>
      </c>
      <c r="G79" s="2">
        <v>1250</v>
      </c>
      <c r="H79" s="2">
        <v>2465</v>
      </c>
      <c r="I79" s="2">
        <v>2311</v>
      </c>
      <c r="J79" s="2">
        <v>1450</v>
      </c>
      <c r="K79" s="2">
        <v>3020</v>
      </c>
      <c r="L79" s="2">
        <v>1090</v>
      </c>
      <c r="M79" s="2">
        <v>3100</v>
      </c>
      <c r="N79" s="2">
        <v>3800</v>
      </c>
      <c r="O79" s="2">
        <v>2000</v>
      </c>
      <c r="P79" s="2">
        <v>1000</v>
      </c>
      <c r="Q79" s="2">
        <v>50</v>
      </c>
      <c r="R79" s="274">
        <v>367</v>
      </c>
      <c r="S79" s="253">
        <f t="shared" si="2"/>
        <v>12</v>
      </c>
      <c r="T79" s="254">
        <f>SUM( tabConsumo[[#This Row],[QTD.PENDENTE]]:tabConsumo[[#This Row],[07_23]] ) / tabConsumo[[#This Row],[Div]]</f>
        <v>1922.1666666666667</v>
      </c>
      <c r="U79" s="255">
        <f xml:space="preserve"> tabConsumo[[#This Row],[Média.A]] + (_xlfn.STDEV.S( tabConsumo[[#This Row],[QTD.PENDENTE]]:tabConsumo[[#This Row],[07_23]] ) * 1)</f>
        <v>2985.9143155975871</v>
      </c>
      <c r="V79" s="255">
        <f xml:space="preserve"> tabConsumo[[#This Row],[Média.A]] + (_xlfn.STDEV.S( tabConsumo[[#This Row],[QTD.PENDENTE]]:tabConsumo[[#This Row],[07_23]] ) * 2)</f>
        <v>4049.6619645285073</v>
      </c>
      <c r="W79" s="255">
        <f xml:space="preserve"> tabConsumo[[#This Row],[Média.A]] + (_xlfn.STDEV.S( tabConsumo[[#This Row],[QTD.PENDENTE]]:tabConsumo[[#This Row],[07_23]] ) * 3)</f>
        <v>5113.4096134594274</v>
      </c>
      <c r="X79" s="5">
        <f t="shared" si="3"/>
        <v>2</v>
      </c>
      <c r="Y79">
        <v>1922.1666666666667</v>
      </c>
      <c r="Z79" s="257">
        <f>SUM( tabConsumo[[#This Row],[QTD.PENDENTE]]:tabConsumo[[#This Row],[07_23]] )</f>
        <v>23066</v>
      </c>
      <c r="AA79" s="257">
        <f>LARGE(tabConsumo[[#This Row],[08_22]:[07_23]],1)</f>
        <v>3800</v>
      </c>
      <c r="AB79" s="175" t="s">
        <v>2211</v>
      </c>
      <c r="AC79" s="3" t="s">
        <v>2064</v>
      </c>
    </row>
    <row r="80" spans="1:29" x14ac:dyDescent="0.3">
      <c r="A80" s="4" t="s">
        <v>1889</v>
      </c>
      <c r="B80" s="3" t="s">
        <v>256</v>
      </c>
      <c r="C80" s="2">
        <v>134568</v>
      </c>
      <c r="D80" s="2">
        <v>7206</v>
      </c>
      <c r="F80" s="2">
        <v>200</v>
      </c>
      <c r="G80" s="2">
        <v>0</v>
      </c>
      <c r="H80" s="2">
        <v>0</v>
      </c>
      <c r="I80" s="2">
        <v>200</v>
      </c>
      <c r="J80" s="2">
        <v>0</v>
      </c>
      <c r="K80" s="2">
        <v>100</v>
      </c>
      <c r="L80" s="2">
        <v>200</v>
      </c>
      <c r="M80" s="2">
        <v>2160</v>
      </c>
      <c r="N80" s="2">
        <v>1400</v>
      </c>
      <c r="O80" s="2">
        <v>1000</v>
      </c>
      <c r="P80" s="2">
        <v>1000</v>
      </c>
      <c r="Q80" s="2">
        <v>0</v>
      </c>
      <c r="R80" s="274">
        <v>43174</v>
      </c>
      <c r="S80" s="253">
        <v>12</v>
      </c>
      <c r="T80" s="254">
        <f>SUM( tabConsumo[[#This Row],[QTD.PENDENTE]]:tabConsumo[[#This Row],[07_23]] ) / tabConsumo[[#This Row],[Div]]</f>
        <v>521.66666666666663</v>
      </c>
      <c r="U80" s="255">
        <f xml:space="preserve"> tabConsumo[[#This Row],[Média.A]] + (_xlfn.STDEV.S( tabConsumo[[#This Row],[QTD.PENDENTE]]:tabConsumo[[#This Row],[07_23]] ) * 1)</f>
        <v>1228.1281863461738</v>
      </c>
      <c r="V80" s="255">
        <f xml:space="preserve"> tabConsumo[[#This Row],[Média.A]] + (_xlfn.STDEV.S( tabConsumo[[#This Row],[QTD.PENDENTE]]:tabConsumo[[#This Row],[07_23]] ) * 2)</f>
        <v>1934.5897060256812</v>
      </c>
      <c r="W80" s="255">
        <f xml:space="preserve"> tabConsumo[[#This Row],[Média.A]] + (_xlfn.STDEV.S( tabConsumo[[#This Row],[QTD.PENDENTE]]:tabConsumo[[#This Row],[07_23]] ) * 3)</f>
        <v>2641.0512257051882</v>
      </c>
      <c r="X80" s="5">
        <f t="shared" si="3"/>
        <v>2</v>
      </c>
      <c r="Y80">
        <v>502.83333333333331</v>
      </c>
      <c r="Z80" s="257">
        <f>SUM( tabConsumo[[#This Row],[QTD.PENDENTE]]:tabConsumo[[#This Row],[07_23]] )</f>
        <v>6260</v>
      </c>
      <c r="AA80" s="257">
        <f>LARGE(tabConsumo[[#This Row],[08_22]:[07_23]],1)</f>
        <v>2160</v>
      </c>
      <c r="AB80" s="175" t="s">
        <v>2212</v>
      </c>
      <c r="AC80" s="3" t="s">
        <v>2064</v>
      </c>
    </row>
    <row r="81" spans="1:29" x14ac:dyDescent="0.3">
      <c r="A81" s="4" t="s">
        <v>1888</v>
      </c>
      <c r="B81" s="3" t="s">
        <v>256</v>
      </c>
      <c r="C81" s="2">
        <v>134567</v>
      </c>
      <c r="D81" s="2">
        <v>14107</v>
      </c>
      <c r="F81" s="2">
        <v>620</v>
      </c>
      <c r="G81" s="2">
        <v>470</v>
      </c>
      <c r="H81" s="2">
        <v>600</v>
      </c>
      <c r="I81" s="2">
        <v>50</v>
      </c>
      <c r="J81" s="2">
        <v>0</v>
      </c>
      <c r="K81" s="2">
        <v>1000</v>
      </c>
      <c r="L81" s="2">
        <v>300</v>
      </c>
      <c r="M81" s="2">
        <v>2200</v>
      </c>
      <c r="N81" s="2">
        <v>700</v>
      </c>
      <c r="O81" s="2">
        <v>1000</v>
      </c>
      <c r="P81" s="2">
        <v>0</v>
      </c>
      <c r="Q81" s="2">
        <v>0</v>
      </c>
      <c r="R81" s="274">
        <v>43174</v>
      </c>
      <c r="S81" s="253">
        <v>12</v>
      </c>
      <c r="T81" s="254">
        <f>SUM( tabConsumo[[#This Row],[QTD.PENDENTE]]:tabConsumo[[#This Row],[07_23]] ) / tabConsumo[[#This Row],[Div]]</f>
        <v>578.33333333333337</v>
      </c>
      <c r="U81" s="255">
        <f xml:space="preserve"> tabConsumo[[#This Row],[Média.A]] + (_xlfn.STDEV.S( tabConsumo[[#This Row],[QTD.PENDENTE]]:tabConsumo[[#This Row],[07_23]] ) * 1)</f>
        <v>1208.9294918623202</v>
      </c>
      <c r="V81" s="255">
        <f xml:space="preserve"> tabConsumo[[#This Row],[Média.A]] + (_xlfn.STDEV.S( tabConsumo[[#This Row],[QTD.PENDENTE]]:tabConsumo[[#This Row],[07_23]] ) * 2)</f>
        <v>1839.525650391307</v>
      </c>
      <c r="W81" s="255">
        <f xml:space="preserve"> tabConsumo[[#This Row],[Média.A]] + (_xlfn.STDEV.S( tabConsumo[[#This Row],[QTD.PENDENTE]]:tabConsumo[[#This Row],[07_23]] ) * 3)</f>
        <v>2470.1218089202939</v>
      </c>
      <c r="X81" s="5">
        <f t="shared" si="3"/>
        <v>2</v>
      </c>
      <c r="Y81">
        <v>548.25</v>
      </c>
      <c r="Z81" s="257">
        <f>SUM( tabConsumo[[#This Row],[QTD.PENDENTE]]:tabConsumo[[#This Row],[07_23]] )</f>
        <v>6940</v>
      </c>
      <c r="AA81" s="257">
        <f>LARGE(tabConsumo[[#This Row],[08_22]:[07_23]],1)</f>
        <v>2200</v>
      </c>
      <c r="AB81" s="175" t="s">
        <v>2214</v>
      </c>
      <c r="AC81" s="3" t="s">
        <v>2064</v>
      </c>
    </row>
    <row r="82" spans="1:29" x14ac:dyDescent="0.3">
      <c r="A82" s="4" t="s">
        <v>1476</v>
      </c>
      <c r="B82" s="3" t="s">
        <v>256</v>
      </c>
      <c r="C82" s="2">
        <v>82452</v>
      </c>
      <c r="D82" s="2">
        <v>2</v>
      </c>
      <c r="F82" s="2">
        <v>20</v>
      </c>
      <c r="G82" s="2">
        <v>23</v>
      </c>
      <c r="H82" s="2">
        <v>10</v>
      </c>
      <c r="I82" s="2">
        <v>0</v>
      </c>
      <c r="J82" s="2">
        <v>0</v>
      </c>
      <c r="K82" s="2">
        <v>10</v>
      </c>
      <c r="L82" s="2">
        <v>24</v>
      </c>
      <c r="M82" s="2">
        <v>50</v>
      </c>
      <c r="N82" s="2">
        <v>20</v>
      </c>
      <c r="O82" s="2">
        <v>0</v>
      </c>
      <c r="P82" s="2">
        <v>0</v>
      </c>
      <c r="Q82" s="2">
        <v>0</v>
      </c>
      <c r="R82" s="274">
        <v>38296</v>
      </c>
      <c r="S82" s="253">
        <v>12</v>
      </c>
      <c r="T82" s="254">
        <f>SUM( tabConsumo[[#This Row],[QTD.PENDENTE]]:tabConsumo[[#This Row],[07_23]] ) / tabConsumo[[#This Row],[Div]]</f>
        <v>13.083333333333334</v>
      </c>
      <c r="U82" s="255">
        <f xml:space="preserve"> tabConsumo[[#This Row],[Média.A]] + (_xlfn.STDEV.S( tabConsumo[[#This Row],[QTD.PENDENTE]]:tabConsumo[[#This Row],[07_23]] ) * 1)</f>
        <v>28.31164627835502</v>
      </c>
      <c r="V82" s="255">
        <f xml:space="preserve"> tabConsumo[[#This Row],[Média.A]] + (_xlfn.STDEV.S( tabConsumo[[#This Row],[QTD.PENDENTE]]:tabConsumo[[#This Row],[07_23]] ) * 2)</f>
        <v>43.539959223376712</v>
      </c>
      <c r="W82" s="255">
        <f xml:space="preserve"> tabConsumo[[#This Row],[Média.A]] + (_xlfn.STDEV.S( tabConsumo[[#This Row],[QTD.PENDENTE]]:tabConsumo[[#This Row],[07_23]] ) * 3)</f>
        <v>58.768272168398404</v>
      </c>
      <c r="X82" s="5">
        <f t="shared" si="3"/>
        <v>2</v>
      </c>
      <c r="Y82">
        <v>12.5</v>
      </c>
      <c r="Z82" s="257">
        <f>SUM( tabConsumo[[#This Row],[QTD.PENDENTE]]:tabConsumo[[#This Row],[07_23]] )</f>
        <v>157</v>
      </c>
      <c r="AA82" s="257">
        <f>LARGE(tabConsumo[[#This Row],[08_22]:[07_23]],1)</f>
        <v>50</v>
      </c>
      <c r="AB82" s="175" t="s">
        <v>2213</v>
      </c>
      <c r="AC82" s="3" t="s">
        <v>2064</v>
      </c>
    </row>
    <row r="83" spans="1:29" x14ac:dyDescent="0.3">
      <c r="A83" s="4" t="s">
        <v>1639</v>
      </c>
      <c r="B83" s="3" t="s">
        <v>256</v>
      </c>
      <c r="C83" s="2">
        <v>107401</v>
      </c>
      <c r="D83" s="2">
        <v>201</v>
      </c>
      <c r="F83" s="2">
        <v>2</v>
      </c>
      <c r="G83" s="2">
        <v>1</v>
      </c>
      <c r="H83" s="2">
        <v>1</v>
      </c>
      <c r="I83" s="2">
        <v>2</v>
      </c>
      <c r="J83" s="2">
        <v>2</v>
      </c>
      <c r="K83" s="2">
        <v>7</v>
      </c>
      <c r="L83" s="2">
        <v>0</v>
      </c>
      <c r="M83" s="2">
        <v>4</v>
      </c>
      <c r="N83" s="2">
        <v>20</v>
      </c>
      <c r="O83" s="2">
        <v>20</v>
      </c>
      <c r="P83" s="2">
        <v>0</v>
      </c>
      <c r="Q83" s="2">
        <v>0</v>
      </c>
      <c r="R83" s="274">
        <v>39671</v>
      </c>
      <c r="S83" s="253">
        <v>12</v>
      </c>
      <c r="T83" s="254">
        <f>SUM( tabConsumo[[#This Row],[QTD.PENDENTE]]:tabConsumo[[#This Row],[07_23]] ) / tabConsumo[[#This Row],[Div]]</f>
        <v>4.916666666666667</v>
      </c>
      <c r="U83" s="255">
        <f xml:space="preserve"> tabConsumo[[#This Row],[Média.A]] + (_xlfn.STDEV.S( tabConsumo[[#This Row],[QTD.PENDENTE]]:tabConsumo[[#This Row],[07_23]] ) * 1)</f>
        <v>12.233624968302586</v>
      </c>
      <c r="V83" s="255">
        <f xml:space="preserve"> tabConsumo[[#This Row],[Média.A]] + (_xlfn.STDEV.S( tabConsumo[[#This Row],[QTD.PENDENTE]]:tabConsumo[[#This Row],[07_23]] ) * 2)</f>
        <v>19.550583269938507</v>
      </c>
      <c r="W83" s="255">
        <f xml:space="preserve"> tabConsumo[[#This Row],[Média.A]] + (_xlfn.STDEV.S( tabConsumo[[#This Row],[QTD.PENDENTE]]:tabConsumo[[#This Row],[07_23]] ) * 3)</f>
        <v>26.867541571574424</v>
      </c>
      <c r="X83" s="5">
        <f t="shared" si="3"/>
        <v>2</v>
      </c>
      <c r="Y83">
        <v>4.75</v>
      </c>
      <c r="Z83" s="257">
        <f>SUM( tabConsumo[[#This Row],[QTD.PENDENTE]]:tabConsumo[[#This Row],[07_23]] )</f>
        <v>59</v>
      </c>
      <c r="AA83" s="257">
        <f>LARGE(tabConsumo[[#This Row],[08_22]:[07_23]],1)</f>
        <v>20</v>
      </c>
      <c r="AB83" s="175" t="s">
        <v>2214</v>
      </c>
      <c r="AC83" s="3" t="s">
        <v>2064</v>
      </c>
    </row>
    <row r="84" spans="1:29" x14ac:dyDescent="0.3">
      <c r="A84" s="4" t="s">
        <v>1841</v>
      </c>
      <c r="B84" s="3" t="s">
        <v>256</v>
      </c>
      <c r="C84" s="2">
        <v>133366</v>
      </c>
      <c r="D84" s="2">
        <v>28282</v>
      </c>
      <c r="F84" s="2">
        <v>70</v>
      </c>
      <c r="G84" s="2">
        <v>150</v>
      </c>
      <c r="H84" s="2">
        <v>190</v>
      </c>
      <c r="I84" s="2">
        <v>0</v>
      </c>
      <c r="J84" s="2">
        <v>600</v>
      </c>
      <c r="K84" s="2">
        <v>420</v>
      </c>
      <c r="L84" s="2">
        <v>50</v>
      </c>
      <c r="M84" s="2">
        <v>200</v>
      </c>
      <c r="N84" s="2">
        <v>500</v>
      </c>
      <c r="O84" s="2">
        <v>0</v>
      </c>
      <c r="P84" s="2">
        <v>0</v>
      </c>
      <c r="Q84" s="2">
        <v>1100</v>
      </c>
      <c r="R84" s="274">
        <v>42982</v>
      </c>
      <c r="S84" s="253">
        <v>12</v>
      </c>
      <c r="T84" s="254">
        <f>SUM( tabConsumo[[#This Row],[QTD.PENDENTE]]:tabConsumo[[#This Row],[07_23]] ) / tabConsumo[[#This Row],[Div]]</f>
        <v>273.33333333333331</v>
      </c>
      <c r="U84" s="255">
        <f xml:space="preserve"> tabConsumo[[#This Row],[Média.A]] + (_xlfn.STDEV.S( tabConsumo[[#This Row],[QTD.PENDENTE]]:tabConsumo[[#This Row],[07_23]] ) * 1)</f>
        <v>604.42885191406322</v>
      </c>
      <c r="V84" s="255">
        <f xml:space="preserve"> tabConsumo[[#This Row],[Média.A]] + (_xlfn.STDEV.S( tabConsumo[[#This Row],[QTD.PENDENTE]]:tabConsumo[[#This Row],[07_23]] ) * 2)</f>
        <v>935.52437049479295</v>
      </c>
      <c r="W84" s="255">
        <f xml:space="preserve"> tabConsumo[[#This Row],[Média.A]] + (_xlfn.STDEV.S( tabConsumo[[#This Row],[QTD.PENDENTE]]:tabConsumo[[#This Row],[07_23]] ) * 3)</f>
        <v>1266.6198890755229</v>
      </c>
      <c r="X84" s="5">
        <f t="shared" si="3"/>
        <v>2</v>
      </c>
      <c r="Y84">
        <v>259.58333333333331</v>
      </c>
      <c r="Z84" s="257">
        <f>SUM( tabConsumo[[#This Row],[QTD.PENDENTE]]:tabConsumo[[#This Row],[07_23]] )</f>
        <v>3280</v>
      </c>
      <c r="AA84" s="257">
        <f>LARGE(tabConsumo[[#This Row],[08_22]:[07_23]],1)</f>
        <v>1100</v>
      </c>
      <c r="AB84" s="175" t="s">
        <v>2211</v>
      </c>
      <c r="AC84" s="3" t="s">
        <v>2064</v>
      </c>
    </row>
    <row r="85" spans="1:29" x14ac:dyDescent="0.3">
      <c r="A85" s="4" t="s">
        <v>329</v>
      </c>
      <c r="B85" s="3" t="s">
        <v>256</v>
      </c>
      <c r="C85" s="2">
        <v>16763</v>
      </c>
      <c r="D85" s="2">
        <v>0</v>
      </c>
      <c r="F85" s="2">
        <v>0</v>
      </c>
      <c r="G85" s="2">
        <v>0</v>
      </c>
      <c r="H85" s="2">
        <v>0</v>
      </c>
      <c r="I85" s="2">
        <v>4</v>
      </c>
      <c r="J85" s="2">
        <v>0</v>
      </c>
      <c r="K85" s="2">
        <v>0</v>
      </c>
      <c r="L85" s="2">
        <v>0</v>
      </c>
      <c r="M85" s="2">
        <v>0</v>
      </c>
      <c r="N85" s="2">
        <v>0</v>
      </c>
      <c r="O85" s="2">
        <v>0</v>
      </c>
      <c r="P85" s="2">
        <v>0</v>
      </c>
      <c r="Q85" s="2">
        <v>0</v>
      </c>
      <c r="R85" s="274">
        <v>367</v>
      </c>
      <c r="S85" s="253">
        <f xml:space="preserve"> 12</f>
        <v>12</v>
      </c>
      <c r="T85" s="254">
        <f>SUM( tabConsumo[[#This Row],[QTD.PENDENTE]]:tabConsumo[[#This Row],[07_23]] ) / tabConsumo[[#This Row],[Div]]</f>
        <v>0.33333333333333331</v>
      </c>
      <c r="U85" s="255">
        <f xml:space="preserve"> tabConsumo[[#This Row],[Média.A]] + (_xlfn.STDEV.S( tabConsumo[[#This Row],[QTD.PENDENTE]]:tabConsumo[[#This Row],[07_23]] ) * 1)</f>
        <v>1.4880338717125847</v>
      </c>
      <c r="V85" s="255">
        <f xml:space="preserve"> tabConsumo[[#This Row],[Média.A]] + (_xlfn.STDEV.S( tabConsumo[[#This Row],[QTD.PENDENTE]]:tabConsumo[[#This Row],[07_23]] ) * 2)</f>
        <v>2.6427344100918364</v>
      </c>
      <c r="W85" s="255">
        <f xml:space="preserve"> tabConsumo[[#This Row],[Média.A]] + (_xlfn.STDEV.S( tabConsumo[[#This Row],[QTD.PENDENTE]]:tabConsumo[[#This Row],[07_23]] ) * 3)</f>
        <v>3.7974349484710879</v>
      </c>
      <c r="X85" s="5">
        <f t="shared" si="3"/>
        <v>2</v>
      </c>
      <c r="Y85">
        <v>0.16666666666666666</v>
      </c>
      <c r="Z85" s="257">
        <f>SUM( tabConsumo[[#This Row],[QTD.PENDENTE]]:tabConsumo[[#This Row],[07_23]] )</f>
        <v>4</v>
      </c>
      <c r="AA85" s="257">
        <f>LARGE(tabConsumo[[#This Row],[08_22]:[07_23]],1)</f>
        <v>4</v>
      </c>
      <c r="AB85" s="175" t="s">
        <v>2216</v>
      </c>
      <c r="AC85" s="3" t="s">
        <v>2064</v>
      </c>
    </row>
    <row r="86" spans="1:29" x14ac:dyDescent="0.3">
      <c r="A86" s="4" t="s">
        <v>1665</v>
      </c>
      <c r="B86" s="3" t="s">
        <v>331</v>
      </c>
      <c r="C86" s="2">
        <v>110889</v>
      </c>
      <c r="D86" s="2">
        <v>80</v>
      </c>
      <c r="F86" s="2">
        <v>0</v>
      </c>
      <c r="G86" s="2">
        <v>0</v>
      </c>
      <c r="H86" s="2">
        <v>0</v>
      </c>
      <c r="I86" s="2">
        <v>220</v>
      </c>
      <c r="J86" s="2">
        <v>0</v>
      </c>
      <c r="K86" s="2">
        <v>0</v>
      </c>
      <c r="L86" s="2">
        <v>0</v>
      </c>
      <c r="M86" s="2">
        <v>0</v>
      </c>
      <c r="N86" s="2">
        <v>0</v>
      </c>
      <c r="O86" s="2">
        <v>0</v>
      </c>
      <c r="P86" s="2">
        <v>0</v>
      </c>
      <c r="Q86" s="2">
        <v>0</v>
      </c>
      <c r="R86" s="274">
        <v>39944</v>
      </c>
      <c r="S86" s="253">
        <v>12</v>
      </c>
      <c r="T86" s="254">
        <f>SUM( tabConsumo[[#This Row],[QTD.PENDENTE]]:tabConsumo[[#This Row],[07_23]] ) / tabConsumo[[#This Row],[Div]]</f>
        <v>18.333333333333332</v>
      </c>
      <c r="U86" s="255">
        <f xml:space="preserve"> tabConsumo[[#This Row],[Média.A]] + (_xlfn.STDEV.S( tabConsumo[[#This Row],[QTD.PENDENTE]]:tabConsumo[[#This Row],[07_23]] ) * 1)</f>
        <v>81.841862944192158</v>
      </c>
      <c r="V86" s="255">
        <f xml:space="preserve"> tabConsumo[[#This Row],[Média.A]] + (_xlfn.STDEV.S( tabConsumo[[#This Row],[QTD.PENDENTE]]:tabConsumo[[#This Row],[07_23]] ) * 2)</f>
        <v>145.350392555051</v>
      </c>
      <c r="W86" s="255">
        <f xml:space="preserve"> tabConsumo[[#This Row],[Média.A]] + (_xlfn.STDEV.S( tabConsumo[[#This Row],[QTD.PENDENTE]]:tabConsumo[[#This Row],[07_23]] ) * 3)</f>
        <v>208.85892216590983</v>
      </c>
      <c r="X86" s="5">
        <f t="shared" si="3"/>
        <v>2</v>
      </c>
      <c r="Y86">
        <v>12.083333333333334</v>
      </c>
      <c r="Z86" s="257">
        <f>SUM( tabConsumo[[#This Row],[QTD.PENDENTE]]:tabConsumo[[#This Row],[07_23]] )</f>
        <v>220</v>
      </c>
      <c r="AA86" s="257">
        <f>LARGE(tabConsumo[[#This Row],[08_22]:[07_23]],1)</f>
        <v>220</v>
      </c>
      <c r="AB86" s="175" t="s">
        <v>2216</v>
      </c>
      <c r="AC86" s="3" t="s">
        <v>2064</v>
      </c>
    </row>
    <row r="87" spans="1:29" x14ac:dyDescent="0.3">
      <c r="A87" s="4" t="s">
        <v>1750</v>
      </c>
      <c r="B87" s="3" t="s">
        <v>331</v>
      </c>
      <c r="C87" s="2">
        <v>123370</v>
      </c>
      <c r="D87" s="2">
        <v>49</v>
      </c>
      <c r="F87" s="2">
        <v>0</v>
      </c>
      <c r="G87" s="2">
        <v>0</v>
      </c>
      <c r="H87" s="2">
        <v>0</v>
      </c>
      <c r="I87" s="2">
        <v>0</v>
      </c>
      <c r="J87" s="2">
        <v>0</v>
      </c>
      <c r="K87" s="2">
        <v>0</v>
      </c>
      <c r="L87" s="2">
        <v>0</v>
      </c>
      <c r="M87" s="2">
        <v>0</v>
      </c>
      <c r="N87" s="2">
        <v>0</v>
      </c>
      <c r="O87" s="2">
        <v>0</v>
      </c>
      <c r="P87" s="2">
        <v>20</v>
      </c>
      <c r="Q87" s="2">
        <v>100</v>
      </c>
      <c r="R87" s="274">
        <v>41101</v>
      </c>
      <c r="S87" s="253">
        <v>12</v>
      </c>
      <c r="T87" s="254">
        <f>SUM( tabConsumo[[#This Row],[QTD.PENDENTE]]:tabConsumo[[#This Row],[07_23]] ) / tabConsumo[[#This Row],[Div]]</f>
        <v>10</v>
      </c>
      <c r="U87" s="255">
        <f xml:space="preserve"> tabConsumo[[#This Row],[Média.A]] + (_xlfn.STDEV.S( tabConsumo[[#This Row],[QTD.PENDENTE]]:tabConsumo[[#This Row],[07_23]] ) * 1)</f>
        <v>38.919952219248849</v>
      </c>
      <c r="V87" s="255">
        <f xml:space="preserve"> tabConsumo[[#This Row],[Média.A]] + (_xlfn.STDEV.S( tabConsumo[[#This Row],[QTD.PENDENTE]]:tabConsumo[[#This Row],[07_23]] ) * 2)</f>
        <v>67.839904438497697</v>
      </c>
      <c r="W87" s="255">
        <f xml:space="preserve"> tabConsumo[[#This Row],[Média.A]] + (_xlfn.STDEV.S( tabConsumo[[#This Row],[QTD.PENDENTE]]:tabConsumo[[#This Row],[07_23]] ) * 3)</f>
        <v>96.759856657746553</v>
      </c>
      <c r="X87" s="5">
        <f t="shared" si="3"/>
        <v>2</v>
      </c>
      <c r="Y87">
        <v>7.25</v>
      </c>
      <c r="Z87" s="257">
        <f>SUM( tabConsumo[[#This Row],[QTD.PENDENTE]]:tabConsumo[[#This Row],[07_23]] )</f>
        <v>120</v>
      </c>
      <c r="AA87" s="257">
        <f>LARGE(tabConsumo[[#This Row],[08_22]:[07_23]],1)</f>
        <v>100</v>
      </c>
      <c r="AB87" s="175" t="s">
        <v>2211</v>
      </c>
      <c r="AC87" s="3" t="s">
        <v>2064</v>
      </c>
    </row>
    <row r="88" spans="1:29" x14ac:dyDescent="0.3">
      <c r="A88" s="4" t="s">
        <v>1702</v>
      </c>
      <c r="B88" s="3" t="s">
        <v>331</v>
      </c>
      <c r="C88" s="2">
        <v>114976</v>
      </c>
      <c r="D88" s="2">
        <v>634</v>
      </c>
      <c r="F88" s="2">
        <v>18</v>
      </c>
      <c r="G88" s="2">
        <v>0</v>
      </c>
      <c r="H88" s="2">
        <v>0</v>
      </c>
      <c r="I88" s="2">
        <v>0</v>
      </c>
      <c r="J88" s="2">
        <v>50</v>
      </c>
      <c r="K88" s="2">
        <v>3</v>
      </c>
      <c r="L88" s="2">
        <v>0</v>
      </c>
      <c r="M88" s="2">
        <v>0</v>
      </c>
      <c r="N88" s="2">
        <v>0</v>
      </c>
      <c r="O88" s="2">
        <v>0</v>
      </c>
      <c r="P88" s="2">
        <v>0</v>
      </c>
      <c r="Q88" s="2">
        <v>0</v>
      </c>
      <c r="R88" s="274">
        <v>40291</v>
      </c>
      <c r="S88" s="253">
        <v>12</v>
      </c>
      <c r="T88" s="254">
        <f>SUM( tabConsumo[[#This Row],[QTD.PENDENTE]]:tabConsumo[[#This Row],[07_23]] ) / tabConsumo[[#This Row],[Div]]</f>
        <v>5.916666666666667</v>
      </c>
      <c r="U88" s="255">
        <f xml:space="preserve"> tabConsumo[[#This Row],[Média.A]] + (_xlfn.STDEV.S( tabConsumo[[#This Row],[QTD.PENDENTE]]:tabConsumo[[#This Row],[07_23]] ) * 1)</f>
        <v>20.727340540804217</v>
      </c>
      <c r="V88" s="255">
        <f xml:space="preserve"> tabConsumo[[#This Row],[Média.A]] + (_xlfn.STDEV.S( tabConsumo[[#This Row],[QTD.PENDENTE]]:tabConsumo[[#This Row],[07_23]] ) * 2)</f>
        <v>35.53801441494177</v>
      </c>
      <c r="W88" s="255">
        <f xml:space="preserve"> tabConsumo[[#This Row],[Média.A]] + (_xlfn.STDEV.S( tabConsumo[[#This Row],[QTD.PENDENTE]]:tabConsumo[[#This Row],[07_23]] ) * 3)</f>
        <v>50.34868828907932</v>
      </c>
      <c r="X88" s="5">
        <f t="shared" si="3"/>
        <v>2</v>
      </c>
      <c r="Y88">
        <v>4.666666666666667</v>
      </c>
      <c r="Z88" s="257">
        <f>SUM( tabConsumo[[#This Row],[QTD.PENDENTE]]:tabConsumo[[#This Row],[07_23]] )</f>
        <v>71</v>
      </c>
      <c r="AA88" s="257">
        <f>LARGE(tabConsumo[[#This Row],[08_22]:[07_23]],1)</f>
        <v>50</v>
      </c>
      <c r="AB88" s="175" t="s">
        <v>2220</v>
      </c>
      <c r="AC88" s="3" t="s">
        <v>2064</v>
      </c>
    </row>
    <row r="89" spans="1:29" x14ac:dyDescent="0.3">
      <c r="A89" s="4" t="s">
        <v>1787</v>
      </c>
      <c r="B89" s="3" t="s">
        <v>331</v>
      </c>
      <c r="C89" s="2">
        <v>129960</v>
      </c>
      <c r="D89" s="2">
        <v>250</v>
      </c>
      <c r="F89" s="2">
        <v>0</v>
      </c>
      <c r="G89" s="2">
        <v>25</v>
      </c>
      <c r="H89" s="2">
        <v>0</v>
      </c>
      <c r="I89" s="2">
        <v>0</v>
      </c>
      <c r="J89" s="2">
        <v>0</v>
      </c>
      <c r="K89" s="2">
        <v>0</v>
      </c>
      <c r="L89" s="2">
        <v>0</v>
      </c>
      <c r="M89" s="2">
        <v>0</v>
      </c>
      <c r="N89" s="2">
        <v>0</v>
      </c>
      <c r="O89" s="2">
        <v>0</v>
      </c>
      <c r="P89" s="2">
        <v>0</v>
      </c>
      <c r="Q89" s="2">
        <v>0</v>
      </c>
      <c r="R89" s="274">
        <v>42046</v>
      </c>
      <c r="S89" s="253">
        <v>12</v>
      </c>
      <c r="T89" s="254">
        <f>SUM( tabConsumo[[#This Row],[QTD.PENDENTE]]:tabConsumo[[#This Row],[07_23]] ) / tabConsumo[[#This Row],[Div]]</f>
        <v>2.0833333333333335</v>
      </c>
      <c r="U89" s="255">
        <f xml:space="preserve"> tabConsumo[[#This Row],[Média.A]] + (_xlfn.STDEV.S( tabConsumo[[#This Row],[QTD.PENDENTE]]:tabConsumo[[#This Row],[07_23]] ) * 1)</f>
        <v>9.3002116982036558</v>
      </c>
      <c r="V89" s="255">
        <f xml:space="preserve"> tabConsumo[[#This Row],[Média.A]] + (_xlfn.STDEV.S( tabConsumo[[#This Row],[QTD.PENDENTE]]:tabConsumo[[#This Row],[07_23]] ) * 2)</f>
        <v>16.517090063073976</v>
      </c>
      <c r="W89" s="255">
        <f xml:space="preserve"> tabConsumo[[#This Row],[Média.A]] + (_xlfn.STDEV.S( tabConsumo[[#This Row],[QTD.PENDENTE]]:tabConsumo[[#This Row],[07_23]] ) * 3)</f>
        <v>23.733968427944298</v>
      </c>
      <c r="X89" s="5">
        <f t="shared" si="3"/>
        <v>2</v>
      </c>
      <c r="Y89">
        <v>1.3333333333333333</v>
      </c>
      <c r="Z89" s="257">
        <f>SUM( tabConsumo[[#This Row],[QTD.PENDENTE]]:tabConsumo[[#This Row],[07_23]] )</f>
        <v>25</v>
      </c>
      <c r="AA89" s="257">
        <f>LARGE(tabConsumo[[#This Row],[08_22]:[07_23]],1)</f>
        <v>25</v>
      </c>
      <c r="AB89" s="175" t="s">
        <v>2219</v>
      </c>
      <c r="AC89" s="3" t="s">
        <v>2064</v>
      </c>
    </row>
    <row r="90" spans="1:29" x14ac:dyDescent="0.3">
      <c r="A90" s="4" t="s">
        <v>1812</v>
      </c>
      <c r="B90" s="3" t="s">
        <v>331</v>
      </c>
      <c r="C90" s="2">
        <v>132229</v>
      </c>
      <c r="D90" s="2">
        <v>970.5</v>
      </c>
      <c r="F90" s="2">
        <v>100</v>
      </c>
      <c r="G90" s="2">
        <v>0</v>
      </c>
      <c r="H90" s="2">
        <v>0</v>
      </c>
      <c r="I90" s="2">
        <v>0</v>
      </c>
      <c r="J90" s="2">
        <v>100</v>
      </c>
      <c r="K90" s="2">
        <v>0</v>
      </c>
      <c r="L90" s="2">
        <v>0</v>
      </c>
      <c r="M90" s="2">
        <v>0</v>
      </c>
      <c r="N90" s="2">
        <v>110</v>
      </c>
      <c r="O90" s="2">
        <v>0</v>
      </c>
      <c r="P90" s="2">
        <v>0</v>
      </c>
      <c r="Q90" s="2">
        <v>6</v>
      </c>
      <c r="R90" s="274">
        <v>42656</v>
      </c>
      <c r="S90" s="253">
        <v>12</v>
      </c>
      <c r="T90" s="254">
        <f>SUM( tabConsumo[[#This Row],[QTD.PENDENTE]]:tabConsumo[[#This Row],[07_23]] ) / tabConsumo[[#This Row],[Div]]</f>
        <v>26.333333333333332</v>
      </c>
      <c r="U90" s="255">
        <f xml:space="preserve"> tabConsumo[[#This Row],[Média.A]] + (_xlfn.STDEV.S( tabConsumo[[#This Row],[QTD.PENDENTE]]:tabConsumo[[#This Row],[07_23]] ) * 1)</f>
        <v>72.862568196693132</v>
      </c>
      <c r="V90" s="255">
        <f xml:space="preserve"> tabConsumo[[#This Row],[Média.A]] + (_xlfn.STDEV.S( tabConsumo[[#This Row],[QTD.PENDENTE]]:tabConsumo[[#This Row],[07_23]] ) * 2)</f>
        <v>119.39180306005292</v>
      </c>
      <c r="W90" s="255">
        <f xml:space="preserve"> tabConsumo[[#This Row],[Média.A]] + (_xlfn.STDEV.S( tabConsumo[[#This Row],[QTD.PENDENTE]]:tabConsumo[[#This Row],[07_23]] ) * 3)</f>
        <v>165.92103792341274</v>
      </c>
      <c r="X90" s="5">
        <f t="shared" si="3"/>
        <v>2</v>
      </c>
      <c r="Y90">
        <v>26.333333333333332</v>
      </c>
      <c r="Z90" s="257">
        <f>SUM( tabConsumo[[#This Row],[QTD.PENDENTE]]:tabConsumo[[#This Row],[07_23]] )</f>
        <v>316</v>
      </c>
      <c r="AA90" s="257">
        <f>LARGE(tabConsumo[[#This Row],[08_22]:[07_23]],1)</f>
        <v>110</v>
      </c>
      <c r="AB90" s="175" t="s">
        <v>2211</v>
      </c>
      <c r="AC90" s="3" t="s">
        <v>2064</v>
      </c>
    </row>
    <row r="91" spans="1:29" x14ac:dyDescent="0.3">
      <c r="A91" s="4" t="s">
        <v>1751</v>
      </c>
      <c r="B91" s="3" t="s">
        <v>331</v>
      </c>
      <c r="C91" s="2">
        <v>123372</v>
      </c>
      <c r="D91" s="2">
        <v>651</v>
      </c>
      <c r="F91" s="2">
        <v>0</v>
      </c>
      <c r="G91" s="2">
        <v>0</v>
      </c>
      <c r="H91" s="2">
        <v>0</v>
      </c>
      <c r="I91" s="2">
        <v>0</v>
      </c>
      <c r="J91" s="2">
        <v>20</v>
      </c>
      <c r="K91" s="2">
        <v>0</v>
      </c>
      <c r="L91" s="2">
        <v>0</v>
      </c>
      <c r="M91" s="2">
        <v>0</v>
      </c>
      <c r="N91" s="2">
        <v>0</v>
      </c>
      <c r="O91" s="2">
        <v>0</v>
      </c>
      <c r="P91" s="2">
        <v>7</v>
      </c>
      <c r="Q91" s="2">
        <v>0</v>
      </c>
      <c r="R91" s="274">
        <v>41101</v>
      </c>
      <c r="S91" s="253">
        <v>12</v>
      </c>
      <c r="T91" s="254">
        <f>SUM( tabConsumo[[#This Row],[QTD.PENDENTE]]:tabConsumo[[#This Row],[07_23]] ) / tabConsumo[[#This Row],[Div]]</f>
        <v>2.25</v>
      </c>
      <c r="U91" s="255">
        <f xml:space="preserve"> tabConsumo[[#This Row],[Média.A]] + (_xlfn.STDEV.S( tabConsumo[[#This Row],[QTD.PENDENTE]]:tabConsumo[[#This Row],[07_23]] ) * 1)</f>
        <v>8.190997773560813</v>
      </c>
      <c r="V91" s="255">
        <f xml:space="preserve"> tabConsumo[[#This Row],[Média.A]] + (_xlfn.STDEV.S( tabConsumo[[#This Row],[QTD.PENDENTE]]:tabConsumo[[#This Row],[07_23]] ) * 2)</f>
        <v>14.131995547121628</v>
      </c>
      <c r="W91" s="255">
        <f xml:space="preserve"> tabConsumo[[#This Row],[Média.A]] + (_xlfn.STDEV.S( tabConsumo[[#This Row],[QTD.PENDENTE]]:tabConsumo[[#This Row],[07_23]] ) * 3)</f>
        <v>20.072993320682443</v>
      </c>
      <c r="X91" s="5">
        <f t="shared" si="3"/>
        <v>2</v>
      </c>
      <c r="Y91">
        <v>1.75</v>
      </c>
      <c r="Z91" s="257">
        <f>SUM( tabConsumo[[#This Row],[QTD.PENDENTE]]:tabConsumo[[#This Row],[07_23]] )</f>
        <v>27</v>
      </c>
      <c r="AA91" s="257">
        <f>LARGE(tabConsumo[[#This Row],[08_22]:[07_23]],1)</f>
        <v>20</v>
      </c>
      <c r="AB91" s="175" t="s">
        <v>2212</v>
      </c>
      <c r="AC91" s="3" t="s">
        <v>2064</v>
      </c>
    </row>
    <row r="92" spans="1:29" x14ac:dyDescent="0.3">
      <c r="A92" s="4" t="s">
        <v>1992</v>
      </c>
      <c r="B92" s="3" t="s">
        <v>331</v>
      </c>
      <c r="C92" s="2">
        <v>140049</v>
      </c>
      <c r="D92" s="2">
        <v>496</v>
      </c>
      <c r="F92" s="2">
        <v>0</v>
      </c>
      <c r="G92" s="2">
        <v>0</v>
      </c>
      <c r="H92" s="2">
        <v>0</v>
      </c>
      <c r="I92" s="2">
        <v>0</v>
      </c>
      <c r="J92" s="2">
        <v>0</v>
      </c>
      <c r="K92" s="2">
        <v>0</v>
      </c>
      <c r="L92" s="2">
        <v>100</v>
      </c>
      <c r="M92" s="2">
        <v>200</v>
      </c>
      <c r="N92" s="2">
        <v>0</v>
      </c>
      <c r="O92" s="2">
        <v>204</v>
      </c>
      <c r="P92" s="2">
        <v>0</v>
      </c>
      <c r="Q92" s="2">
        <v>0</v>
      </c>
      <c r="R92" s="274">
        <v>44096</v>
      </c>
      <c r="S92" s="253">
        <v>12</v>
      </c>
      <c r="T92" s="254">
        <f>SUM( tabConsumo[[#This Row],[QTD.PENDENTE]]:tabConsumo[[#This Row],[07_23]] ) / tabConsumo[[#This Row],[Div]]</f>
        <v>42</v>
      </c>
      <c r="U92" s="255">
        <f xml:space="preserve"> tabConsumo[[#This Row],[Média.A]] + (_xlfn.STDEV.S( tabConsumo[[#This Row],[QTD.PENDENTE]]:tabConsumo[[#This Row],[07_23]] ) * 1)</f>
        <v>122.02726808009652</v>
      </c>
      <c r="V92" s="255">
        <f xml:space="preserve"> tabConsumo[[#This Row],[Média.A]] + (_xlfn.STDEV.S( tabConsumo[[#This Row],[QTD.PENDENTE]]:tabConsumo[[#This Row],[07_23]] ) * 2)</f>
        <v>202.05453616019304</v>
      </c>
      <c r="W92" s="255">
        <f xml:space="preserve"> tabConsumo[[#This Row],[Média.A]] + (_xlfn.STDEV.S( tabConsumo[[#This Row],[QTD.PENDENTE]]:tabConsumo[[#This Row],[07_23]] ) * 3)</f>
        <v>282.08180424028956</v>
      </c>
      <c r="X92" s="5">
        <f t="shared" si="3"/>
        <v>2</v>
      </c>
      <c r="Y92">
        <v>41.833333333333336</v>
      </c>
      <c r="Z92" s="257">
        <f>SUM( tabConsumo[[#This Row],[QTD.PENDENTE]]:tabConsumo[[#This Row],[07_23]] )</f>
        <v>504</v>
      </c>
      <c r="AA92" s="257">
        <f>LARGE(tabConsumo[[#This Row],[08_22]:[07_23]],1)</f>
        <v>204</v>
      </c>
      <c r="AB92" s="175" t="s">
        <v>2214</v>
      </c>
      <c r="AC92" s="3" t="s">
        <v>2064</v>
      </c>
    </row>
    <row r="93" spans="1:29" x14ac:dyDescent="0.3">
      <c r="A93" s="4" t="s">
        <v>1991</v>
      </c>
      <c r="B93" s="3" t="s">
        <v>331</v>
      </c>
      <c r="C93" s="2">
        <v>140048</v>
      </c>
      <c r="D93" s="2">
        <v>0</v>
      </c>
      <c r="E93" s="2">
        <v>140</v>
      </c>
      <c r="F93" s="2">
        <v>0</v>
      </c>
      <c r="G93" s="2">
        <v>300</v>
      </c>
      <c r="H93" s="2">
        <v>600</v>
      </c>
      <c r="I93" s="2">
        <v>100</v>
      </c>
      <c r="J93" s="2">
        <v>300</v>
      </c>
      <c r="K93" s="2">
        <v>680</v>
      </c>
      <c r="L93" s="2">
        <v>400</v>
      </c>
      <c r="M93" s="2">
        <v>360</v>
      </c>
      <c r="N93" s="2">
        <v>0</v>
      </c>
      <c r="O93" s="2">
        <v>0</v>
      </c>
      <c r="P93" s="2">
        <v>0</v>
      </c>
      <c r="Q93" s="2">
        <v>0</v>
      </c>
      <c r="R93" s="274">
        <v>44096</v>
      </c>
      <c r="S93" s="253">
        <v>12</v>
      </c>
      <c r="T93" s="254">
        <f>SUM( tabConsumo[[#This Row],[QTD.PENDENTE]]:tabConsumo[[#This Row],[07_23]] ) / tabConsumo[[#This Row],[Div]]</f>
        <v>240</v>
      </c>
      <c r="U93" s="255">
        <f xml:space="preserve"> tabConsumo[[#This Row],[Média.A]] + (_xlfn.STDEV.S( tabConsumo[[#This Row],[QTD.PENDENTE]]:tabConsumo[[#This Row],[07_23]] ) * 1)</f>
        <v>478.6715369793863</v>
      </c>
      <c r="V93" s="255">
        <f xml:space="preserve"> tabConsumo[[#This Row],[Média.A]] + (_xlfn.STDEV.S( tabConsumo[[#This Row],[QTD.PENDENTE]]:tabConsumo[[#This Row],[07_23]] ) * 2)</f>
        <v>717.34307395877261</v>
      </c>
      <c r="W93" s="255">
        <f xml:space="preserve"> tabConsumo[[#This Row],[Média.A]] + (_xlfn.STDEV.S( tabConsumo[[#This Row],[QTD.PENDENTE]]:tabConsumo[[#This Row],[07_23]] ) * 3)</f>
        <v>956.01461093815897</v>
      </c>
      <c r="X93" s="5">
        <f t="shared" si="3"/>
        <v>2</v>
      </c>
      <c r="Y93">
        <v>240</v>
      </c>
      <c r="Z93" s="257">
        <f>SUM( tabConsumo[[#This Row],[QTD.PENDENTE]]:tabConsumo[[#This Row],[07_23]] )</f>
        <v>2880</v>
      </c>
      <c r="AA93" s="257">
        <f>LARGE(tabConsumo[[#This Row],[08_22]:[07_23]],1)</f>
        <v>680</v>
      </c>
      <c r="AB93" s="175" t="s">
        <v>2217</v>
      </c>
      <c r="AC93" s="3" t="s">
        <v>2064</v>
      </c>
    </row>
    <row r="94" spans="1:29" x14ac:dyDescent="0.3">
      <c r="A94" s="4" t="s">
        <v>1993</v>
      </c>
      <c r="B94" s="3" t="s">
        <v>331</v>
      </c>
      <c r="C94" s="2">
        <v>140050</v>
      </c>
      <c r="D94" s="2">
        <v>1001</v>
      </c>
      <c r="F94" s="2">
        <v>0</v>
      </c>
      <c r="G94" s="2">
        <v>100</v>
      </c>
      <c r="H94" s="2">
        <v>130</v>
      </c>
      <c r="I94" s="2">
        <v>0</v>
      </c>
      <c r="J94" s="2">
        <v>200</v>
      </c>
      <c r="K94" s="2">
        <v>100</v>
      </c>
      <c r="L94" s="2">
        <v>200</v>
      </c>
      <c r="M94" s="2">
        <v>150</v>
      </c>
      <c r="N94" s="2">
        <v>105</v>
      </c>
      <c r="O94" s="2">
        <v>109</v>
      </c>
      <c r="P94" s="2">
        <v>0</v>
      </c>
      <c r="Q94" s="2">
        <v>0</v>
      </c>
      <c r="R94" s="274">
        <v>44096</v>
      </c>
      <c r="S94" s="253">
        <v>12</v>
      </c>
      <c r="T94" s="254">
        <f>SUM( tabConsumo[[#This Row],[QTD.PENDENTE]]:tabConsumo[[#This Row],[07_23]] ) / tabConsumo[[#This Row],[Div]]</f>
        <v>91.166666666666671</v>
      </c>
      <c r="U94" s="255">
        <f xml:space="preserve"> tabConsumo[[#This Row],[Média.A]] + (_xlfn.STDEV.S( tabConsumo[[#This Row],[QTD.PENDENTE]]:tabConsumo[[#This Row],[07_23]] ) * 1)</f>
        <v>166.58650169135706</v>
      </c>
      <c r="V94" s="255">
        <f xml:space="preserve"> tabConsumo[[#This Row],[Média.A]] + (_xlfn.STDEV.S( tabConsumo[[#This Row],[QTD.PENDENTE]]:tabConsumo[[#This Row],[07_23]] ) * 2)</f>
        <v>242.00633671604749</v>
      </c>
      <c r="W94" s="255">
        <f xml:space="preserve"> tabConsumo[[#This Row],[Média.A]] + (_xlfn.STDEV.S( tabConsumo[[#This Row],[QTD.PENDENTE]]:tabConsumo[[#This Row],[07_23]] ) * 3)</f>
        <v>317.42617174073786</v>
      </c>
      <c r="X94" s="5">
        <f t="shared" si="3"/>
        <v>2</v>
      </c>
      <c r="Y94">
        <v>91.166666666666671</v>
      </c>
      <c r="Z94" s="257">
        <f>SUM( tabConsumo[[#This Row],[QTD.PENDENTE]]:tabConsumo[[#This Row],[07_23]] )</f>
        <v>1094</v>
      </c>
      <c r="AA94" s="257">
        <f>LARGE(tabConsumo[[#This Row],[08_22]:[07_23]],1)</f>
        <v>200</v>
      </c>
      <c r="AB94" s="175" t="s">
        <v>2214</v>
      </c>
      <c r="AC94" s="3" t="s">
        <v>2064</v>
      </c>
    </row>
    <row r="95" spans="1:29" x14ac:dyDescent="0.3">
      <c r="A95" s="4" t="s">
        <v>1990</v>
      </c>
      <c r="B95" s="3" t="s">
        <v>331</v>
      </c>
      <c r="C95" s="2">
        <v>140047</v>
      </c>
      <c r="D95" s="2">
        <v>39</v>
      </c>
      <c r="F95" s="2">
        <v>0</v>
      </c>
      <c r="G95" s="2">
        <v>25</v>
      </c>
      <c r="H95" s="2">
        <v>0</v>
      </c>
      <c r="I95" s="2">
        <v>0</v>
      </c>
      <c r="J95" s="2">
        <v>20</v>
      </c>
      <c r="K95" s="2">
        <v>0</v>
      </c>
      <c r="L95" s="2">
        <v>0</v>
      </c>
      <c r="M95" s="2">
        <v>0</v>
      </c>
      <c r="N95" s="2">
        <v>0</v>
      </c>
      <c r="O95" s="2">
        <v>0</v>
      </c>
      <c r="P95" s="2">
        <v>0</v>
      </c>
      <c r="Q95" s="2">
        <v>100</v>
      </c>
      <c r="R95" s="274">
        <v>44096</v>
      </c>
      <c r="S95" s="253">
        <v>12</v>
      </c>
      <c r="T95" s="254">
        <f>SUM( tabConsumo[[#This Row],[QTD.PENDENTE]]:tabConsumo[[#This Row],[07_23]] ) / tabConsumo[[#This Row],[Div]]</f>
        <v>12.083333333333334</v>
      </c>
      <c r="U95" s="255">
        <f xml:space="preserve"> tabConsumo[[#This Row],[Média.A]] + (_xlfn.STDEV.S( tabConsumo[[#This Row],[QTD.PENDENTE]]:tabConsumo[[#This Row],[07_23]] ) * 1)</f>
        <v>41.117665153480736</v>
      </c>
      <c r="V95" s="255">
        <f xml:space="preserve"> tabConsumo[[#This Row],[Média.A]] + (_xlfn.STDEV.S( tabConsumo[[#This Row],[QTD.PENDENTE]]:tabConsumo[[#This Row],[07_23]] ) * 2)</f>
        <v>70.151996973628144</v>
      </c>
      <c r="W95" s="255">
        <f xml:space="preserve"> tabConsumo[[#This Row],[Média.A]] + (_xlfn.STDEV.S( tabConsumo[[#This Row],[QTD.PENDENTE]]:tabConsumo[[#This Row],[07_23]] ) * 3)</f>
        <v>99.186328793775544</v>
      </c>
      <c r="X95" s="5">
        <f t="shared" si="3"/>
        <v>2</v>
      </c>
      <c r="Y95">
        <v>9.5833333333333339</v>
      </c>
      <c r="Z95" s="257">
        <f>SUM( tabConsumo[[#This Row],[QTD.PENDENTE]]:tabConsumo[[#This Row],[07_23]] )</f>
        <v>145</v>
      </c>
      <c r="AA95" s="257">
        <f>LARGE(tabConsumo[[#This Row],[08_22]:[07_23]],1)</f>
        <v>100</v>
      </c>
      <c r="AB95" s="175" t="s">
        <v>2211</v>
      </c>
      <c r="AC95" s="3" t="s">
        <v>2064</v>
      </c>
    </row>
    <row r="96" spans="1:29" x14ac:dyDescent="0.3">
      <c r="A96" s="4" t="s">
        <v>2004</v>
      </c>
      <c r="B96" s="3" t="s">
        <v>331</v>
      </c>
      <c r="C96" s="2">
        <v>140061</v>
      </c>
      <c r="D96" s="2">
        <v>176</v>
      </c>
      <c r="F96" s="2">
        <v>30</v>
      </c>
      <c r="G96" s="2">
        <v>0</v>
      </c>
      <c r="H96" s="2">
        <v>0</v>
      </c>
      <c r="I96" s="2">
        <v>0</v>
      </c>
      <c r="J96" s="2">
        <v>150</v>
      </c>
      <c r="K96" s="2">
        <v>0</v>
      </c>
      <c r="L96" s="2">
        <v>0</v>
      </c>
      <c r="M96" s="2">
        <v>0</v>
      </c>
      <c r="N96" s="2">
        <v>0</v>
      </c>
      <c r="O96" s="2">
        <v>0</v>
      </c>
      <c r="P96" s="2">
        <v>120</v>
      </c>
      <c r="Q96" s="2">
        <v>0</v>
      </c>
      <c r="R96" s="274">
        <v>44096</v>
      </c>
      <c r="S96" s="253">
        <v>12</v>
      </c>
      <c r="T96" s="254">
        <f>SUM( tabConsumo[[#This Row],[QTD.PENDENTE]]:tabConsumo[[#This Row],[07_23]] ) / tabConsumo[[#This Row],[Div]]</f>
        <v>25</v>
      </c>
      <c r="U96" s="255">
        <f xml:space="preserve"> tabConsumo[[#This Row],[Média.A]] + (_xlfn.STDEV.S( tabConsumo[[#This Row],[QTD.PENDENTE]]:tabConsumo[[#This Row],[07_23]] ) * 1)</f>
        <v>77.483763723131119</v>
      </c>
      <c r="V96" s="255">
        <f xml:space="preserve"> tabConsumo[[#This Row],[Média.A]] + (_xlfn.STDEV.S( tabConsumo[[#This Row],[QTD.PENDENTE]]:tabConsumo[[#This Row],[07_23]] ) * 2)</f>
        <v>129.96752744626224</v>
      </c>
      <c r="W96" s="255">
        <f xml:space="preserve"> tabConsumo[[#This Row],[Média.A]] + (_xlfn.STDEV.S( tabConsumo[[#This Row],[QTD.PENDENTE]]:tabConsumo[[#This Row],[07_23]] ) * 3)</f>
        <v>182.45129116939339</v>
      </c>
      <c r="X96" s="5">
        <f t="shared" si="3"/>
        <v>2</v>
      </c>
      <c r="Y96">
        <v>23.25</v>
      </c>
      <c r="Z96" s="257">
        <f>SUM( tabConsumo[[#This Row],[QTD.PENDENTE]]:tabConsumo[[#This Row],[07_23]] )</f>
        <v>300</v>
      </c>
      <c r="AA96" s="257">
        <f>LARGE(tabConsumo[[#This Row],[08_22]:[07_23]],1)</f>
        <v>150</v>
      </c>
      <c r="AB96" s="175" t="s">
        <v>2212</v>
      </c>
      <c r="AC96" s="3" t="s">
        <v>2064</v>
      </c>
    </row>
    <row r="97" spans="1:29" x14ac:dyDescent="0.3">
      <c r="A97" s="4" t="s">
        <v>1981</v>
      </c>
      <c r="B97" s="3" t="s">
        <v>281</v>
      </c>
      <c r="C97" s="2">
        <v>140028</v>
      </c>
      <c r="D97" s="2">
        <v>849</v>
      </c>
      <c r="F97" s="2">
        <v>4</v>
      </c>
      <c r="G97" s="2">
        <v>8</v>
      </c>
      <c r="H97" s="2">
        <v>6</v>
      </c>
      <c r="I97" s="2">
        <v>4</v>
      </c>
      <c r="J97" s="2">
        <v>3</v>
      </c>
      <c r="K97" s="2">
        <v>16</v>
      </c>
      <c r="L97" s="2">
        <v>3</v>
      </c>
      <c r="M97" s="2">
        <v>7</v>
      </c>
      <c r="N97" s="2">
        <v>10</v>
      </c>
      <c r="O97" s="2">
        <v>0</v>
      </c>
      <c r="P97" s="2">
        <v>0</v>
      </c>
      <c r="Q97" s="2">
        <v>3</v>
      </c>
      <c r="R97" s="274">
        <v>44096</v>
      </c>
      <c r="S97" s="253">
        <v>12</v>
      </c>
      <c r="T97" s="254">
        <f>SUM( tabConsumo[[#This Row],[QTD.PENDENTE]]:tabConsumo[[#This Row],[07_23]] ) / tabConsumo[[#This Row],[Div]]</f>
        <v>5.333333333333333</v>
      </c>
      <c r="U97" s="255">
        <f xml:space="preserve"> tabConsumo[[#This Row],[Média.A]] + (_xlfn.STDEV.S( tabConsumo[[#This Row],[QTD.PENDENTE]]:tabConsumo[[#This Row],[07_23]] ) * 1)</f>
        <v>9.8324915037496883</v>
      </c>
      <c r="V97" s="255">
        <f xml:space="preserve"> tabConsumo[[#This Row],[Média.A]] + (_xlfn.STDEV.S( tabConsumo[[#This Row],[QTD.PENDENTE]]:tabConsumo[[#This Row],[07_23]] ) * 2)</f>
        <v>14.331649674166044</v>
      </c>
      <c r="W97" s="255">
        <f xml:space="preserve"> tabConsumo[[#This Row],[Média.A]] + (_xlfn.STDEV.S( tabConsumo[[#This Row],[QTD.PENDENTE]]:tabConsumo[[#This Row],[07_23]] ) * 3)</f>
        <v>18.830807844582399</v>
      </c>
      <c r="X97" s="5">
        <f t="shared" si="3"/>
        <v>2</v>
      </c>
      <c r="Y97">
        <v>5.166666666666667</v>
      </c>
      <c r="Z97" s="257">
        <f>SUM( tabConsumo[[#This Row],[QTD.PENDENTE]]:tabConsumo[[#This Row],[07_23]] )</f>
        <v>64</v>
      </c>
      <c r="AA97" s="257">
        <f>LARGE(tabConsumo[[#This Row],[08_22]:[07_23]],1)</f>
        <v>16</v>
      </c>
      <c r="AB97" s="175" t="s">
        <v>2211</v>
      </c>
      <c r="AC97" s="3" t="s">
        <v>2064</v>
      </c>
    </row>
    <row r="98" spans="1:29" x14ac:dyDescent="0.3">
      <c r="A98" s="4" t="s">
        <v>1988</v>
      </c>
      <c r="B98" s="3" t="s">
        <v>331</v>
      </c>
      <c r="C98" s="2">
        <v>140042</v>
      </c>
      <c r="D98" s="2">
        <v>0</v>
      </c>
      <c r="E98" s="2">
        <v>54</v>
      </c>
      <c r="F98" s="2">
        <v>0</v>
      </c>
      <c r="G98" s="2">
        <v>120</v>
      </c>
      <c r="H98" s="2">
        <v>1600</v>
      </c>
      <c r="I98" s="2">
        <v>600</v>
      </c>
      <c r="J98" s="2">
        <v>500</v>
      </c>
      <c r="K98" s="2">
        <v>0</v>
      </c>
      <c r="L98" s="2">
        <v>0</v>
      </c>
      <c r="M98" s="2">
        <v>528</v>
      </c>
      <c r="N98" s="2">
        <v>706</v>
      </c>
      <c r="O98" s="2">
        <v>146</v>
      </c>
      <c r="P98" s="2">
        <v>0</v>
      </c>
      <c r="Q98" s="2">
        <v>0</v>
      </c>
      <c r="R98" s="274">
        <v>44096</v>
      </c>
      <c r="S98" s="253">
        <v>12</v>
      </c>
      <c r="T98" s="254">
        <f>SUM( tabConsumo[[#This Row],[QTD.PENDENTE]]:tabConsumo[[#This Row],[07_23]] ) / tabConsumo[[#This Row],[Div]]</f>
        <v>354.5</v>
      </c>
      <c r="U98" s="255">
        <f xml:space="preserve"> tabConsumo[[#This Row],[Média.A]] + (_xlfn.STDEV.S( tabConsumo[[#This Row],[QTD.PENDENTE]]:tabConsumo[[#This Row],[07_23]] ) * 1)</f>
        <v>819.42045087415295</v>
      </c>
      <c r="V98" s="255">
        <f xml:space="preserve"> tabConsumo[[#This Row],[Média.A]] + (_xlfn.STDEV.S( tabConsumo[[#This Row],[QTD.PENDENTE]]:tabConsumo[[#This Row],[07_23]] ) * 2)</f>
        <v>1284.3409017483059</v>
      </c>
      <c r="W98" s="255">
        <f xml:space="preserve"> tabConsumo[[#This Row],[Média.A]] + (_xlfn.STDEV.S( tabConsumo[[#This Row],[QTD.PENDENTE]]:tabConsumo[[#This Row],[07_23]] ) * 3)</f>
        <v>1749.2613526224588</v>
      </c>
      <c r="X98" s="5">
        <f t="shared" si="3"/>
        <v>2</v>
      </c>
      <c r="Y98">
        <v>328.16666666666669</v>
      </c>
      <c r="Z98" s="257">
        <f>SUM( tabConsumo[[#This Row],[QTD.PENDENTE]]:tabConsumo[[#This Row],[07_23]] )</f>
        <v>4254</v>
      </c>
      <c r="AA98" s="257">
        <f>LARGE(tabConsumo[[#This Row],[08_22]:[07_23]],1)</f>
        <v>1600</v>
      </c>
      <c r="AB98" s="175" t="s">
        <v>2214</v>
      </c>
      <c r="AC98" s="3" t="s">
        <v>2064</v>
      </c>
    </row>
    <row r="99" spans="1:29" x14ac:dyDescent="0.3">
      <c r="A99" s="4" t="s">
        <v>1989</v>
      </c>
      <c r="B99" s="3" t="s">
        <v>331</v>
      </c>
      <c r="C99" s="2">
        <v>140043</v>
      </c>
      <c r="D99" s="2">
        <v>0</v>
      </c>
      <c r="E99" s="2">
        <v>263.3</v>
      </c>
      <c r="F99" s="2">
        <v>0</v>
      </c>
      <c r="G99" s="2">
        <v>0</v>
      </c>
      <c r="H99" s="2">
        <v>510</v>
      </c>
      <c r="I99" s="2">
        <v>100</v>
      </c>
      <c r="J99" s="2">
        <v>69.7</v>
      </c>
      <c r="K99" s="2">
        <v>0</v>
      </c>
      <c r="L99" s="2">
        <v>0</v>
      </c>
      <c r="M99" s="2">
        <v>100</v>
      </c>
      <c r="N99" s="2">
        <v>67</v>
      </c>
      <c r="O99" s="2">
        <v>0</v>
      </c>
      <c r="P99" s="2">
        <v>0</v>
      </c>
      <c r="Q99" s="2">
        <v>0</v>
      </c>
      <c r="R99" s="274">
        <v>44096</v>
      </c>
      <c r="S99" s="253">
        <v>12</v>
      </c>
      <c r="T99" s="254">
        <f>SUM( tabConsumo[[#This Row],[QTD.PENDENTE]]:tabConsumo[[#This Row],[07_23]] ) / tabConsumo[[#This Row],[Div]]</f>
        <v>92.5</v>
      </c>
      <c r="U99" s="255">
        <f xml:space="preserve"> tabConsumo[[#This Row],[Média.A]] + (_xlfn.STDEV.S( tabConsumo[[#This Row],[QTD.PENDENTE]]:tabConsumo[[#This Row],[07_23]] ) * 1)</f>
        <v>240.82314298041877</v>
      </c>
      <c r="V99" s="255">
        <f xml:space="preserve"> tabConsumo[[#This Row],[Média.A]] + (_xlfn.STDEV.S( tabConsumo[[#This Row],[QTD.PENDENTE]]:tabConsumo[[#This Row],[07_23]] ) * 2)</f>
        <v>389.14628596083753</v>
      </c>
      <c r="W99" s="255">
        <f xml:space="preserve"> tabConsumo[[#This Row],[Média.A]] + (_xlfn.STDEV.S( tabConsumo[[#This Row],[QTD.PENDENTE]]:tabConsumo[[#This Row],[07_23]] ) * 3)</f>
        <v>537.4694289412563</v>
      </c>
      <c r="X99" s="5">
        <f t="shared" si="3"/>
        <v>2</v>
      </c>
      <c r="Y99">
        <v>82.416666666666671</v>
      </c>
      <c r="Z99" s="257">
        <f>SUM( tabConsumo[[#This Row],[QTD.PENDENTE]]:tabConsumo[[#This Row],[07_23]] )</f>
        <v>1110</v>
      </c>
      <c r="AA99" s="257">
        <f>LARGE(tabConsumo[[#This Row],[08_22]:[07_23]],1)</f>
        <v>510</v>
      </c>
      <c r="AB99" s="175" t="s">
        <v>2213</v>
      </c>
      <c r="AC99" s="3" t="s">
        <v>2064</v>
      </c>
    </row>
    <row r="100" spans="1:29" x14ac:dyDescent="0.3">
      <c r="A100" s="4" t="s">
        <v>1994</v>
      </c>
      <c r="B100" s="3" t="s">
        <v>331</v>
      </c>
      <c r="C100" s="2">
        <v>140051</v>
      </c>
      <c r="D100" s="2">
        <v>1538</v>
      </c>
      <c r="F100" s="2">
        <v>0</v>
      </c>
      <c r="G100" s="2">
        <v>132</v>
      </c>
      <c r="H100" s="2">
        <v>0</v>
      </c>
      <c r="I100" s="2">
        <v>0</v>
      </c>
      <c r="J100" s="2">
        <v>100</v>
      </c>
      <c r="K100" s="2">
        <v>0</v>
      </c>
      <c r="L100" s="2">
        <v>0</v>
      </c>
      <c r="M100" s="2">
        <v>0</v>
      </c>
      <c r="N100" s="2">
        <v>104</v>
      </c>
      <c r="O100" s="2">
        <v>0</v>
      </c>
      <c r="P100" s="2">
        <v>0</v>
      </c>
      <c r="Q100" s="2">
        <v>0</v>
      </c>
      <c r="R100" s="274">
        <v>44096</v>
      </c>
      <c r="S100" s="253">
        <v>12</v>
      </c>
      <c r="T100" s="254">
        <f>SUM( tabConsumo[[#This Row],[QTD.PENDENTE]]:tabConsumo[[#This Row],[07_23]] ) / tabConsumo[[#This Row],[Div]]</f>
        <v>28</v>
      </c>
      <c r="U100" s="255">
        <f xml:space="preserve"> tabConsumo[[#This Row],[Média.A]] + (_xlfn.STDEV.S( tabConsumo[[#This Row],[QTD.PENDENTE]]:tabConsumo[[#This Row],[07_23]] ) * 1)</f>
        <v>79.196590795588236</v>
      </c>
      <c r="V100" s="255">
        <f xml:space="preserve"> tabConsumo[[#This Row],[Média.A]] + (_xlfn.STDEV.S( tabConsumo[[#This Row],[QTD.PENDENTE]]:tabConsumo[[#This Row],[07_23]] ) * 2)</f>
        <v>130.39318159117647</v>
      </c>
      <c r="W100" s="255">
        <f xml:space="preserve"> tabConsumo[[#This Row],[Média.A]] + (_xlfn.STDEV.S( tabConsumo[[#This Row],[QTD.PENDENTE]]:tabConsumo[[#This Row],[07_23]] ) * 3)</f>
        <v>181.58977238676468</v>
      </c>
      <c r="X100" s="5">
        <f t="shared" si="3"/>
        <v>2</v>
      </c>
      <c r="Y100">
        <v>27.833333333333332</v>
      </c>
      <c r="Z100" s="257">
        <f>SUM( tabConsumo[[#This Row],[QTD.PENDENTE]]:tabConsumo[[#This Row],[07_23]] )</f>
        <v>336</v>
      </c>
      <c r="AA100" s="257">
        <f>LARGE(tabConsumo[[#This Row],[08_22]:[07_23]],1)</f>
        <v>132</v>
      </c>
      <c r="AB100" s="175" t="s">
        <v>2213</v>
      </c>
      <c r="AC100" s="3" t="s">
        <v>2064</v>
      </c>
    </row>
    <row r="101" spans="1:29" x14ac:dyDescent="0.3">
      <c r="A101" s="4" t="s">
        <v>1983</v>
      </c>
      <c r="B101" s="3" t="s">
        <v>281</v>
      </c>
      <c r="C101" s="2">
        <v>140032</v>
      </c>
      <c r="D101" s="2">
        <v>95</v>
      </c>
      <c r="E101" s="2">
        <v>3</v>
      </c>
      <c r="F101" s="2">
        <v>231</v>
      </c>
      <c r="G101" s="2">
        <v>26</v>
      </c>
      <c r="H101" s="2">
        <v>13</v>
      </c>
      <c r="I101" s="2">
        <v>15</v>
      </c>
      <c r="J101" s="2">
        <v>23</v>
      </c>
      <c r="K101" s="2">
        <v>39</v>
      </c>
      <c r="L101" s="2">
        <v>25</v>
      </c>
      <c r="M101" s="2">
        <v>23</v>
      </c>
      <c r="N101" s="2">
        <v>17</v>
      </c>
      <c r="O101" s="2">
        <v>16</v>
      </c>
      <c r="P101" s="2">
        <v>50</v>
      </c>
      <c r="Q101" s="2">
        <v>30</v>
      </c>
      <c r="R101" s="274">
        <v>44096</v>
      </c>
      <c r="S101" s="253">
        <v>12</v>
      </c>
      <c r="T101" s="254">
        <f>SUM( tabConsumo[[#This Row],[QTD.PENDENTE]]:tabConsumo[[#This Row],[07_23]] ) / tabConsumo[[#This Row],[Div]]</f>
        <v>42.583333333333336</v>
      </c>
      <c r="U101" s="255">
        <f xml:space="preserve"> tabConsumo[[#This Row],[Média.A]] + (_xlfn.STDEV.S( tabConsumo[[#This Row],[QTD.PENDENTE]]:tabConsumo[[#This Row],[07_23]] ) * 1)</f>
        <v>101.39289125178826</v>
      </c>
      <c r="V101" s="255">
        <f xml:space="preserve"> tabConsumo[[#This Row],[Média.A]] + (_xlfn.STDEV.S( tabConsumo[[#This Row],[QTD.PENDENTE]]:tabConsumo[[#This Row],[07_23]] ) * 2)</f>
        <v>160.20244917024317</v>
      </c>
      <c r="W101" s="255">
        <f xml:space="preserve"> tabConsumo[[#This Row],[Média.A]] + (_xlfn.STDEV.S( tabConsumo[[#This Row],[QTD.PENDENTE]]:tabConsumo[[#This Row],[07_23]] ) * 3)</f>
        <v>219.01200708869808</v>
      </c>
      <c r="X101" s="5">
        <f t="shared" si="3"/>
        <v>2</v>
      </c>
      <c r="Y101">
        <v>36.666666666666664</v>
      </c>
      <c r="Z101" s="257">
        <f>SUM( tabConsumo[[#This Row],[QTD.PENDENTE]]:tabConsumo[[#This Row],[07_23]] )</f>
        <v>511</v>
      </c>
      <c r="AA101" s="257">
        <f>LARGE(tabConsumo[[#This Row],[08_22]:[07_23]],1)</f>
        <v>231</v>
      </c>
      <c r="AB101" s="175" t="s">
        <v>2211</v>
      </c>
      <c r="AC101" s="3" t="s">
        <v>2064</v>
      </c>
    </row>
    <row r="102" spans="1:29" x14ac:dyDescent="0.3">
      <c r="A102" s="4" t="s">
        <v>1982</v>
      </c>
      <c r="B102" s="3" t="s">
        <v>281</v>
      </c>
      <c r="C102" s="2">
        <v>140030</v>
      </c>
      <c r="D102" s="2">
        <v>82</v>
      </c>
      <c r="F102" s="2">
        <v>6</v>
      </c>
      <c r="G102" s="2">
        <v>7</v>
      </c>
      <c r="H102" s="2">
        <v>6</v>
      </c>
      <c r="I102" s="2">
        <v>3</v>
      </c>
      <c r="J102" s="2">
        <v>4</v>
      </c>
      <c r="K102" s="2">
        <v>6</v>
      </c>
      <c r="L102" s="2">
        <v>3</v>
      </c>
      <c r="M102" s="2">
        <v>2</v>
      </c>
      <c r="N102" s="2">
        <v>7</v>
      </c>
      <c r="O102" s="2">
        <v>4</v>
      </c>
      <c r="P102" s="2">
        <v>14</v>
      </c>
      <c r="Q102" s="2">
        <v>29</v>
      </c>
      <c r="R102" s="274">
        <v>44096</v>
      </c>
      <c r="S102" s="253">
        <v>12</v>
      </c>
      <c r="T102" s="254">
        <f>SUM( tabConsumo[[#This Row],[QTD.PENDENTE]]:tabConsumo[[#This Row],[07_23]] ) / tabConsumo[[#This Row],[Div]]</f>
        <v>7.583333333333333</v>
      </c>
      <c r="U102" s="255">
        <f xml:space="preserve"> tabConsumo[[#This Row],[Média.A]] + (_xlfn.STDEV.S( tabConsumo[[#This Row],[QTD.PENDENTE]]:tabConsumo[[#This Row],[07_23]] ) * 1)</f>
        <v>15.011269952896159</v>
      </c>
      <c r="V102" s="255">
        <f xml:space="preserve"> tabConsumo[[#This Row],[Média.A]] + (_xlfn.STDEV.S( tabConsumo[[#This Row],[QTD.PENDENTE]]:tabConsumo[[#This Row],[07_23]] ) * 2)</f>
        <v>22.439206572458986</v>
      </c>
      <c r="W102" s="255">
        <f xml:space="preserve"> tabConsumo[[#This Row],[Média.A]] + (_xlfn.STDEV.S( tabConsumo[[#This Row],[QTD.PENDENTE]]:tabConsumo[[#This Row],[07_23]] ) * 3)</f>
        <v>29.86714319202181</v>
      </c>
      <c r="X102" s="5">
        <f t="shared" si="3"/>
        <v>2</v>
      </c>
      <c r="Y102">
        <v>7</v>
      </c>
      <c r="Z102" s="257">
        <f>SUM( tabConsumo[[#This Row],[QTD.PENDENTE]]:tabConsumo[[#This Row],[07_23]] )</f>
        <v>91</v>
      </c>
      <c r="AA102" s="257">
        <f>LARGE(tabConsumo[[#This Row],[08_22]:[07_23]],1)</f>
        <v>29</v>
      </c>
      <c r="AB102" s="175" t="s">
        <v>2211</v>
      </c>
      <c r="AC102" s="3" t="s">
        <v>2064</v>
      </c>
    </row>
    <row r="103" spans="1:29" x14ac:dyDescent="0.3">
      <c r="A103" s="4" t="s">
        <v>2009</v>
      </c>
      <c r="B103" s="3" t="s">
        <v>331</v>
      </c>
      <c r="C103" s="2">
        <v>140242</v>
      </c>
      <c r="D103" s="2">
        <v>933</v>
      </c>
      <c r="F103" s="2">
        <v>0</v>
      </c>
      <c r="G103" s="2">
        <v>0</v>
      </c>
      <c r="H103" s="2">
        <v>0</v>
      </c>
      <c r="I103" s="2">
        <v>135</v>
      </c>
      <c r="J103" s="2">
        <v>100</v>
      </c>
      <c r="K103" s="2">
        <v>250</v>
      </c>
      <c r="L103" s="2">
        <v>0</v>
      </c>
      <c r="M103" s="2">
        <v>0</v>
      </c>
      <c r="N103" s="2">
        <v>0</v>
      </c>
      <c r="O103" s="2">
        <v>500</v>
      </c>
      <c r="P103" s="2">
        <v>0</v>
      </c>
      <c r="Q103" s="2">
        <v>0</v>
      </c>
      <c r="R103" s="274">
        <v>44132</v>
      </c>
      <c r="S103" s="253">
        <v>12</v>
      </c>
      <c r="T103" s="254">
        <f>SUM( tabConsumo[[#This Row],[QTD.PENDENTE]]:tabConsumo[[#This Row],[07_23]] ) / tabConsumo[[#This Row],[Div]]</f>
        <v>82.083333333333329</v>
      </c>
      <c r="U103" s="255">
        <f xml:space="preserve"> tabConsumo[[#This Row],[Média.A]] + (_xlfn.STDEV.S( tabConsumo[[#This Row],[QTD.PENDENTE]]:tabConsumo[[#This Row],[07_23]] ) * 1)</f>
        <v>235.78697872296163</v>
      </c>
      <c r="V103" s="255">
        <f xml:space="preserve"> tabConsumo[[#This Row],[Média.A]] + (_xlfn.STDEV.S( tabConsumo[[#This Row],[QTD.PENDENTE]]:tabConsumo[[#This Row],[07_23]] ) * 2)</f>
        <v>389.49062411258996</v>
      </c>
      <c r="W103" s="255">
        <f xml:space="preserve"> tabConsumo[[#This Row],[Média.A]] + (_xlfn.STDEV.S( tabConsumo[[#This Row],[QTD.PENDENTE]]:tabConsumo[[#This Row],[07_23]] ) * 3)</f>
        <v>543.19426950221828</v>
      </c>
      <c r="X103" s="5">
        <f t="shared" si="3"/>
        <v>2</v>
      </c>
      <c r="Y103">
        <v>72.833333333333329</v>
      </c>
      <c r="Z103" s="257">
        <f>SUM( tabConsumo[[#This Row],[QTD.PENDENTE]]:tabConsumo[[#This Row],[07_23]] )</f>
        <v>985</v>
      </c>
      <c r="AA103" s="257">
        <f>LARGE(tabConsumo[[#This Row],[08_22]:[07_23]],1)</f>
        <v>500</v>
      </c>
      <c r="AB103" s="175" t="s">
        <v>2214</v>
      </c>
      <c r="AC103" s="3" t="s">
        <v>2064</v>
      </c>
    </row>
    <row r="104" spans="1:29" x14ac:dyDescent="0.3">
      <c r="A104" s="4" t="s">
        <v>1995</v>
      </c>
      <c r="B104" s="3" t="s">
        <v>331</v>
      </c>
      <c r="C104" s="2">
        <v>140052</v>
      </c>
      <c r="D104" s="2">
        <v>0</v>
      </c>
      <c r="F104" s="2">
        <v>0</v>
      </c>
      <c r="G104" s="2">
        <v>0</v>
      </c>
      <c r="H104" s="2">
        <v>270</v>
      </c>
      <c r="I104" s="2">
        <v>150</v>
      </c>
      <c r="J104" s="2">
        <v>300</v>
      </c>
      <c r="K104" s="2">
        <v>475</v>
      </c>
      <c r="L104" s="2">
        <v>5</v>
      </c>
      <c r="M104" s="2">
        <v>0</v>
      </c>
      <c r="N104" s="2">
        <v>0</v>
      </c>
      <c r="O104" s="2">
        <v>879</v>
      </c>
      <c r="P104" s="2">
        <v>0</v>
      </c>
      <c r="Q104" s="2">
        <v>0</v>
      </c>
      <c r="R104" s="274">
        <v>44096</v>
      </c>
      <c r="S104" s="253">
        <v>12</v>
      </c>
      <c r="T104" s="254">
        <f>SUM( tabConsumo[[#This Row],[QTD.PENDENTE]]:tabConsumo[[#This Row],[07_23]] ) / tabConsumo[[#This Row],[Div]]</f>
        <v>173.25</v>
      </c>
      <c r="U104" s="255">
        <f xml:space="preserve"> tabConsumo[[#This Row],[Média.A]] + (_xlfn.STDEV.S( tabConsumo[[#This Row],[QTD.PENDENTE]]:tabConsumo[[#This Row],[07_23]] ) * 1)</f>
        <v>446.86290672640558</v>
      </c>
      <c r="V104" s="255">
        <f xml:space="preserve"> tabConsumo[[#This Row],[Média.A]] + (_xlfn.STDEV.S( tabConsumo[[#This Row],[QTD.PENDENTE]]:tabConsumo[[#This Row],[07_23]] ) * 2)</f>
        <v>720.47581345281117</v>
      </c>
      <c r="W104" s="255">
        <f xml:space="preserve"> tabConsumo[[#This Row],[Média.A]] + (_xlfn.STDEV.S( tabConsumo[[#This Row],[QTD.PENDENTE]]:tabConsumo[[#This Row],[07_23]] ) * 3)</f>
        <v>994.08872017921681</v>
      </c>
      <c r="X104" s="5">
        <f t="shared" si="3"/>
        <v>2</v>
      </c>
      <c r="Y104">
        <v>160</v>
      </c>
      <c r="Z104" s="257">
        <f>SUM( tabConsumo[[#This Row],[QTD.PENDENTE]]:tabConsumo[[#This Row],[07_23]] )</f>
        <v>2079</v>
      </c>
      <c r="AA104" s="257">
        <f>LARGE(tabConsumo[[#This Row],[08_22]:[07_23]],1)</f>
        <v>879</v>
      </c>
      <c r="AB104" s="175" t="s">
        <v>2214</v>
      </c>
      <c r="AC104" s="3" t="s">
        <v>2064</v>
      </c>
    </row>
    <row r="105" spans="1:29" x14ac:dyDescent="0.3">
      <c r="A105" s="4" t="s">
        <v>1996</v>
      </c>
      <c r="B105" s="3" t="s">
        <v>331</v>
      </c>
      <c r="C105" s="2">
        <v>140053</v>
      </c>
      <c r="D105" s="2">
        <v>0</v>
      </c>
      <c r="E105" s="2">
        <v>64</v>
      </c>
      <c r="F105" s="2">
        <v>0</v>
      </c>
      <c r="G105" s="2">
        <v>0</v>
      </c>
      <c r="H105" s="2">
        <v>0</v>
      </c>
      <c r="I105" s="2">
        <v>135</v>
      </c>
      <c r="J105" s="2">
        <v>100</v>
      </c>
      <c r="K105" s="2">
        <v>356</v>
      </c>
      <c r="L105" s="2">
        <v>0</v>
      </c>
      <c r="M105" s="2">
        <v>0</v>
      </c>
      <c r="N105" s="2">
        <v>0</v>
      </c>
      <c r="O105" s="2">
        <v>236</v>
      </c>
      <c r="P105" s="2">
        <v>0</v>
      </c>
      <c r="Q105" s="2">
        <v>0</v>
      </c>
      <c r="R105" s="274">
        <v>44096</v>
      </c>
      <c r="S105" s="253">
        <v>12</v>
      </c>
      <c r="T105" s="254">
        <f>SUM( tabConsumo[[#This Row],[QTD.PENDENTE]]:tabConsumo[[#This Row],[07_23]] ) / tabConsumo[[#This Row],[Div]]</f>
        <v>74.25</v>
      </c>
      <c r="U105" s="255">
        <f xml:space="preserve"> tabConsumo[[#This Row],[Média.A]] + (_xlfn.STDEV.S( tabConsumo[[#This Row],[QTD.PENDENTE]]:tabConsumo[[#This Row],[07_23]] ) * 1)</f>
        <v>187.41846983193932</v>
      </c>
      <c r="V105" s="255">
        <f xml:space="preserve"> tabConsumo[[#This Row],[Média.A]] + (_xlfn.STDEV.S( tabConsumo[[#This Row],[QTD.PENDENTE]]:tabConsumo[[#This Row],[07_23]] ) * 2)</f>
        <v>300.58693966387864</v>
      </c>
      <c r="W105" s="255">
        <f xml:space="preserve"> tabConsumo[[#This Row],[Média.A]] + (_xlfn.STDEV.S( tabConsumo[[#This Row],[QTD.PENDENTE]]:tabConsumo[[#This Row],[07_23]] ) * 3)</f>
        <v>413.75540949581801</v>
      </c>
      <c r="X105" s="5">
        <f t="shared" si="3"/>
        <v>2</v>
      </c>
      <c r="Y105">
        <v>69.583333333333329</v>
      </c>
      <c r="Z105" s="257">
        <f>SUM( tabConsumo[[#This Row],[QTD.PENDENTE]]:tabConsumo[[#This Row],[07_23]] )</f>
        <v>891</v>
      </c>
      <c r="AA105" s="257">
        <f>LARGE(tabConsumo[[#This Row],[08_22]:[07_23]],1)</f>
        <v>356</v>
      </c>
      <c r="AB105" s="175" t="s">
        <v>2214</v>
      </c>
      <c r="AC105" s="3" t="s">
        <v>2064</v>
      </c>
    </row>
    <row r="106" spans="1:29" x14ac:dyDescent="0.3">
      <c r="A106" s="4" t="s">
        <v>1999</v>
      </c>
      <c r="B106" s="3" t="s">
        <v>331</v>
      </c>
      <c r="C106" s="2">
        <v>140056</v>
      </c>
      <c r="D106" s="2">
        <v>1675</v>
      </c>
      <c r="F106" s="2">
        <v>0</v>
      </c>
      <c r="G106" s="2">
        <v>0</v>
      </c>
      <c r="H106" s="2">
        <v>0</v>
      </c>
      <c r="I106" s="2">
        <v>0</v>
      </c>
      <c r="J106" s="2">
        <v>30</v>
      </c>
      <c r="K106" s="2">
        <v>0</v>
      </c>
      <c r="L106" s="2">
        <v>0</v>
      </c>
      <c r="M106" s="2">
        <v>0</v>
      </c>
      <c r="N106" s="2">
        <v>0</v>
      </c>
      <c r="O106" s="2">
        <v>0</v>
      </c>
      <c r="P106" s="2">
        <v>5</v>
      </c>
      <c r="Q106" s="2">
        <v>0</v>
      </c>
      <c r="R106" s="274">
        <v>44096</v>
      </c>
      <c r="S106" s="253">
        <v>12</v>
      </c>
      <c r="T106" s="254">
        <f>SUM( tabConsumo[[#This Row],[QTD.PENDENTE]]:tabConsumo[[#This Row],[07_23]] ) / tabConsumo[[#This Row],[Div]]</f>
        <v>2.9166666666666665</v>
      </c>
      <c r="U106" s="255">
        <f xml:space="preserve"> tabConsumo[[#This Row],[Média.A]] + (_xlfn.STDEV.S( tabConsumo[[#This Row],[QTD.PENDENTE]]:tabConsumo[[#This Row],[07_23]] ) * 1)</f>
        <v>11.565979128394828</v>
      </c>
      <c r="V106" s="255">
        <f xml:space="preserve"> tabConsumo[[#This Row],[Média.A]] + (_xlfn.STDEV.S( tabConsumo[[#This Row],[QTD.PENDENTE]]:tabConsumo[[#This Row],[07_23]] ) * 2)</f>
        <v>20.215291590122991</v>
      </c>
      <c r="W106" s="255">
        <f xml:space="preserve"> tabConsumo[[#This Row],[Média.A]] + (_xlfn.STDEV.S( tabConsumo[[#This Row],[QTD.PENDENTE]]:tabConsumo[[#This Row],[07_23]] ) * 3)</f>
        <v>28.864604051851153</v>
      </c>
      <c r="X106" s="5">
        <f t="shared" si="3"/>
        <v>2</v>
      </c>
      <c r="Y106">
        <v>2.0833333333333335</v>
      </c>
      <c r="Z106" s="257">
        <f>SUM( tabConsumo[[#This Row],[QTD.PENDENTE]]:tabConsumo[[#This Row],[07_23]] )</f>
        <v>35</v>
      </c>
      <c r="AA106" s="257">
        <f>LARGE(tabConsumo[[#This Row],[08_22]:[07_23]],1)</f>
        <v>30</v>
      </c>
      <c r="AB106" s="175" t="s">
        <v>2212</v>
      </c>
      <c r="AC106" s="3" t="s">
        <v>2064</v>
      </c>
    </row>
    <row r="107" spans="1:29" x14ac:dyDescent="0.3">
      <c r="A107" s="4" t="s">
        <v>1998</v>
      </c>
      <c r="B107" s="3" t="s">
        <v>331</v>
      </c>
      <c r="C107" s="2">
        <v>140055</v>
      </c>
      <c r="D107" s="2">
        <v>5880</v>
      </c>
      <c r="F107" s="2">
        <v>0</v>
      </c>
      <c r="G107" s="2">
        <v>3</v>
      </c>
      <c r="H107" s="2">
        <v>0</v>
      </c>
      <c r="I107" s="2">
        <v>150</v>
      </c>
      <c r="J107" s="2">
        <v>0</v>
      </c>
      <c r="K107" s="2">
        <v>16</v>
      </c>
      <c r="L107" s="2">
        <v>0</v>
      </c>
      <c r="M107" s="2">
        <v>0</v>
      </c>
      <c r="N107" s="2">
        <v>0</v>
      </c>
      <c r="O107" s="2">
        <v>0</v>
      </c>
      <c r="P107" s="2">
        <v>0</v>
      </c>
      <c r="Q107" s="2">
        <v>0</v>
      </c>
      <c r="R107" s="274">
        <v>44096</v>
      </c>
      <c r="S107" s="253">
        <v>12</v>
      </c>
      <c r="T107" s="254">
        <f>SUM( tabConsumo[[#This Row],[QTD.PENDENTE]]:tabConsumo[[#This Row],[07_23]] ) / tabConsumo[[#This Row],[Div]]</f>
        <v>14.083333333333334</v>
      </c>
      <c r="U107" s="255">
        <f xml:space="preserve"> tabConsumo[[#This Row],[Média.A]] + (_xlfn.STDEV.S( tabConsumo[[#This Row],[QTD.PENDENTE]]:tabConsumo[[#This Row],[07_23]] ) * 1)</f>
        <v>57.131843672533719</v>
      </c>
      <c r="V107" s="255">
        <f xml:space="preserve"> tabConsumo[[#This Row],[Média.A]] + (_xlfn.STDEV.S( tabConsumo[[#This Row],[QTD.PENDENTE]]:tabConsumo[[#This Row],[07_23]] ) * 2)</f>
        <v>100.1803540117341</v>
      </c>
      <c r="W107" s="255">
        <f xml:space="preserve"> tabConsumo[[#This Row],[Média.A]] + (_xlfn.STDEV.S( tabConsumo[[#This Row],[QTD.PENDENTE]]:tabConsumo[[#This Row],[07_23]] ) * 3)</f>
        <v>143.22886435093449</v>
      </c>
      <c r="X107" s="5">
        <f t="shared" si="3"/>
        <v>2</v>
      </c>
      <c r="Y107">
        <v>9.9166666666666661</v>
      </c>
      <c r="Z107" s="257">
        <f>SUM( tabConsumo[[#This Row],[QTD.PENDENTE]]:tabConsumo[[#This Row],[07_23]] )</f>
        <v>169</v>
      </c>
      <c r="AA107" s="257">
        <f>LARGE(tabConsumo[[#This Row],[08_22]:[07_23]],1)</f>
        <v>150</v>
      </c>
      <c r="AB107" s="175" t="s">
        <v>2220</v>
      </c>
      <c r="AC107" s="3" t="s">
        <v>2064</v>
      </c>
    </row>
    <row r="108" spans="1:29" x14ac:dyDescent="0.3">
      <c r="A108" s="4" t="s">
        <v>1997</v>
      </c>
      <c r="B108" s="3" t="s">
        <v>331</v>
      </c>
      <c r="C108" s="2">
        <v>140054</v>
      </c>
      <c r="D108" s="2">
        <v>947</v>
      </c>
      <c r="F108" s="2">
        <v>0</v>
      </c>
      <c r="G108" s="2">
        <v>0</v>
      </c>
      <c r="H108" s="2">
        <v>0</v>
      </c>
      <c r="I108" s="2">
        <v>0</v>
      </c>
      <c r="J108" s="2">
        <v>30</v>
      </c>
      <c r="K108" s="2">
        <v>10</v>
      </c>
      <c r="L108" s="2">
        <v>0</v>
      </c>
      <c r="M108" s="2">
        <v>0</v>
      </c>
      <c r="N108" s="2">
        <v>0</v>
      </c>
      <c r="O108" s="2">
        <v>307</v>
      </c>
      <c r="P108" s="2">
        <v>53</v>
      </c>
      <c r="Q108" s="2">
        <v>0</v>
      </c>
      <c r="R108" s="274">
        <v>44096</v>
      </c>
      <c r="S108" s="253">
        <v>12</v>
      </c>
      <c r="T108" s="254">
        <f>SUM( tabConsumo[[#This Row],[QTD.PENDENTE]]:tabConsumo[[#This Row],[07_23]] ) / tabConsumo[[#This Row],[Div]]</f>
        <v>33.333333333333336</v>
      </c>
      <c r="U108" s="255">
        <f xml:space="preserve"> tabConsumo[[#This Row],[Média.A]] + (_xlfn.STDEV.S( tabConsumo[[#This Row],[QTD.PENDENTE]]:tabConsumo[[#This Row],[07_23]] ) * 1)</f>
        <v>121.09575367508569</v>
      </c>
      <c r="V108" s="255">
        <f xml:space="preserve"> tabConsumo[[#This Row],[Média.A]] + (_xlfn.STDEV.S( tabConsumo[[#This Row],[QTD.PENDENTE]]:tabConsumo[[#This Row],[07_23]] ) * 2)</f>
        <v>208.85817401683803</v>
      </c>
      <c r="W108" s="255">
        <f xml:space="preserve"> tabConsumo[[#This Row],[Média.A]] + (_xlfn.STDEV.S( tabConsumo[[#This Row],[QTD.PENDENTE]]:tabConsumo[[#This Row],[07_23]] ) * 3)</f>
        <v>296.62059435859038</v>
      </c>
      <c r="X108" s="5">
        <f t="shared" si="3"/>
        <v>2</v>
      </c>
      <c r="Y108">
        <v>25.083333333333332</v>
      </c>
      <c r="Z108" s="257">
        <f>SUM( tabConsumo[[#This Row],[QTD.PENDENTE]]:tabConsumo[[#This Row],[07_23]] )</f>
        <v>400</v>
      </c>
      <c r="AA108" s="257">
        <f>LARGE(tabConsumo[[#This Row],[08_22]:[07_23]],1)</f>
        <v>307</v>
      </c>
      <c r="AB108" s="175" t="s">
        <v>2212</v>
      </c>
      <c r="AC108" s="3" t="s">
        <v>2064</v>
      </c>
    </row>
    <row r="109" spans="1:29" x14ac:dyDescent="0.3">
      <c r="A109" s="4" t="s">
        <v>1984</v>
      </c>
      <c r="B109" s="3" t="s">
        <v>281</v>
      </c>
      <c r="C109" s="2">
        <v>140033</v>
      </c>
      <c r="D109" s="2">
        <v>314</v>
      </c>
      <c r="F109" s="2">
        <v>20</v>
      </c>
      <c r="G109" s="2">
        <v>14</v>
      </c>
      <c r="H109" s="2">
        <v>7</v>
      </c>
      <c r="I109" s="2">
        <v>7</v>
      </c>
      <c r="J109" s="2">
        <v>14</v>
      </c>
      <c r="K109" s="2">
        <v>19</v>
      </c>
      <c r="L109" s="2">
        <v>15</v>
      </c>
      <c r="M109" s="2">
        <v>26</v>
      </c>
      <c r="N109" s="2">
        <v>20</v>
      </c>
      <c r="O109" s="2">
        <v>40</v>
      </c>
      <c r="P109" s="2">
        <v>28</v>
      </c>
      <c r="Q109" s="2">
        <v>22</v>
      </c>
      <c r="R109" s="274">
        <v>44096</v>
      </c>
      <c r="S109" s="253">
        <v>12</v>
      </c>
      <c r="T109" s="254">
        <f>SUM( tabConsumo[[#This Row],[QTD.PENDENTE]]:tabConsumo[[#This Row],[07_23]] ) / tabConsumo[[#This Row],[Div]]</f>
        <v>19.333333333333332</v>
      </c>
      <c r="U109" s="255">
        <f xml:space="preserve"> tabConsumo[[#This Row],[Média.A]] + (_xlfn.STDEV.S( tabConsumo[[#This Row],[QTD.PENDENTE]]:tabConsumo[[#This Row],[07_23]] ) * 1)</f>
        <v>28.551234231569168</v>
      </c>
      <c r="V109" s="255">
        <f xml:space="preserve"> tabConsumo[[#This Row],[Média.A]] + (_xlfn.STDEV.S( tabConsumo[[#This Row],[QTD.PENDENTE]]:tabConsumo[[#This Row],[07_23]] ) * 2)</f>
        <v>37.769135129805001</v>
      </c>
      <c r="W109" s="255">
        <f xml:space="preserve"> tabConsumo[[#This Row],[Média.A]] + (_xlfn.STDEV.S( tabConsumo[[#This Row],[QTD.PENDENTE]]:tabConsumo[[#This Row],[07_23]] ) * 3)</f>
        <v>46.987036028040833</v>
      </c>
      <c r="X109" s="5">
        <f t="shared" si="3"/>
        <v>2</v>
      </c>
      <c r="Y109">
        <v>19.083333333333332</v>
      </c>
      <c r="Z109" s="257">
        <f>SUM( tabConsumo[[#This Row],[QTD.PENDENTE]]:tabConsumo[[#This Row],[07_23]] )</f>
        <v>232</v>
      </c>
      <c r="AA109" s="257">
        <f>LARGE(tabConsumo[[#This Row],[08_22]:[07_23]],1)</f>
        <v>40</v>
      </c>
      <c r="AB109" s="175" t="s">
        <v>2211</v>
      </c>
      <c r="AC109" s="3" t="s">
        <v>2064</v>
      </c>
    </row>
    <row r="110" spans="1:29" x14ac:dyDescent="0.3">
      <c r="A110" s="4" t="s">
        <v>1985</v>
      </c>
      <c r="B110" s="3" t="s">
        <v>281</v>
      </c>
      <c r="C110" s="2">
        <v>140035</v>
      </c>
      <c r="D110" s="2">
        <v>36</v>
      </c>
      <c r="F110" s="2">
        <v>9</v>
      </c>
      <c r="G110" s="2">
        <v>2</v>
      </c>
      <c r="H110" s="2">
        <v>3</v>
      </c>
      <c r="I110" s="2">
        <v>2</v>
      </c>
      <c r="J110" s="2">
        <v>5</v>
      </c>
      <c r="K110" s="2">
        <v>7</v>
      </c>
      <c r="L110" s="2">
        <v>7</v>
      </c>
      <c r="M110" s="2">
        <v>10</v>
      </c>
      <c r="N110" s="2">
        <v>7</v>
      </c>
      <c r="O110" s="2">
        <v>19</v>
      </c>
      <c r="P110" s="2">
        <v>4</v>
      </c>
      <c r="Q110" s="2">
        <v>18</v>
      </c>
      <c r="R110" s="274">
        <v>44096</v>
      </c>
      <c r="S110" s="253">
        <v>12</v>
      </c>
      <c r="T110" s="254">
        <f>SUM( tabConsumo[[#This Row],[QTD.PENDENTE]]:tabConsumo[[#This Row],[07_23]] ) / tabConsumo[[#This Row],[Div]]</f>
        <v>7.75</v>
      </c>
      <c r="U110" s="255">
        <f xml:space="preserve"> tabConsumo[[#This Row],[Média.A]] + (_xlfn.STDEV.S( tabConsumo[[#This Row],[QTD.PENDENTE]]:tabConsumo[[#This Row],[07_23]] ) * 1)</f>
        <v>13.392774945973752</v>
      </c>
      <c r="V110" s="255">
        <f xml:space="preserve"> tabConsumo[[#This Row],[Média.A]] + (_xlfn.STDEV.S( tabConsumo[[#This Row],[QTD.PENDENTE]]:tabConsumo[[#This Row],[07_23]] ) * 2)</f>
        <v>19.035549891947504</v>
      </c>
      <c r="W110" s="255">
        <f xml:space="preserve"> tabConsumo[[#This Row],[Média.A]] + (_xlfn.STDEV.S( tabConsumo[[#This Row],[QTD.PENDENTE]]:tabConsumo[[#This Row],[07_23]] ) * 3)</f>
        <v>24.678324837921259</v>
      </c>
      <c r="X110" s="5">
        <f t="shared" si="3"/>
        <v>2</v>
      </c>
      <c r="Y110">
        <v>7.75</v>
      </c>
      <c r="Z110" s="257">
        <f>SUM( tabConsumo[[#This Row],[QTD.PENDENTE]]:tabConsumo[[#This Row],[07_23]] )</f>
        <v>93</v>
      </c>
      <c r="AA110" s="257">
        <f>LARGE(tabConsumo[[#This Row],[08_22]:[07_23]],1)</f>
        <v>19</v>
      </c>
      <c r="AB110" s="175" t="s">
        <v>2211</v>
      </c>
      <c r="AC110" s="3" t="s">
        <v>2064</v>
      </c>
    </row>
    <row r="111" spans="1:29" x14ac:dyDescent="0.3">
      <c r="A111" s="4" t="s">
        <v>2000</v>
      </c>
      <c r="B111" s="3" t="s">
        <v>331</v>
      </c>
      <c r="C111" s="2">
        <v>140057</v>
      </c>
      <c r="D111" s="2">
        <v>974</v>
      </c>
      <c r="F111" s="2">
        <v>0</v>
      </c>
      <c r="G111" s="2">
        <v>0</v>
      </c>
      <c r="H111" s="2">
        <v>0</v>
      </c>
      <c r="I111" s="2">
        <v>100</v>
      </c>
      <c r="J111" s="2">
        <v>50</v>
      </c>
      <c r="K111" s="2">
        <v>490</v>
      </c>
      <c r="L111" s="2">
        <v>0</v>
      </c>
      <c r="M111" s="2">
        <v>0</v>
      </c>
      <c r="N111" s="2">
        <v>0</v>
      </c>
      <c r="O111" s="2">
        <v>1000</v>
      </c>
      <c r="P111" s="2">
        <v>120</v>
      </c>
      <c r="Q111" s="2">
        <v>0</v>
      </c>
      <c r="R111" s="274">
        <v>44096</v>
      </c>
      <c r="S111" s="253">
        <v>12</v>
      </c>
      <c r="T111" s="254">
        <f>SUM( tabConsumo[[#This Row],[QTD.PENDENTE]]:tabConsumo[[#This Row],[07_23]] ) / tabConsumo[[#This Row],[Div]]</f>
        <v>146.66666666666666</v>
      </c>
      <c r="U111" s="255">
        <f xml:space="preserve"> tabConsumo[[#This Row],[Média.A]] + (_xlfn.STDEV.S( tabConsumo[[#This Row],[QTD.PENDENTE]]:tabConsumo[[#This Row],[07_23]] ) * 1)</f>
        <v>449.51176158344333</v>
      </c>
      <c r="V111" s="255">
        <f xml:space="preserve"> tabConsumo[[#This Row],[Média.A]] + (_xlfn.STDEV.S( tabConsumo[[#This Row],[QTD.PENDENTE]]:tabConsumo[[#This Row],[07_23]] ) * 2)</f>
        <v>752.35685650022003</v>
      </c>
      <c r="W111" s="255">
        <f xml:space="preserve"> tabConsumo[[#This Row],[Média.A]] + (_xlfn.STDEV.S( tabConsumo[[#This Row],[QTD.PENDENTE]]:tabConsumo[[#This Row],[07_23]] ) * 3)</f>
        <v>1055.2019514169967</v>
      </c>
      <c r="X111" s="5">
        <f t="shared" si="3"/>
        <v>2</v>
      </c>
      <c r="Y111">
        <v>126</v>
      </c>
      <c r="Z111" s="257">
        <f>SUM( tabConsumo[[#This Row],[QTD.PENDENTE]]:tabConsumo[[#This Row],[07_23]] )</f>
        <v>1760</v>
      </c>
      <c r="AA111" s="257">
        <f>LARGE(tabConsumo[[#This Row],[08_22]:[07_23]],1)</f>
        <v>1000</v>
      </c>
      <c r="AB111" s="175" t="s">
        <v>2212</v>
      </c>
      <c r="AC111" s="3" t="s">
        <v>2064</v>
      </c>
    </row>
    <row r="112" spans="1:29" x14ac:dyDescent="0.3">
      <c r="A112" s="4" t="s">
        <v>2007</v>
      </c>
      <c r="B112" s="3" t="s">
        <v>331</v>
      </c>
      <c r="C112" s="2">
        <v>140126</v>
      </c>
      <c r="D112" s="2">
        <v>891</v>
      </c>
      <c r="F112" s="2">
        <v>130</v>
      </c>
      <c r="G112" s="2">
        <v>50</v>
      </c>
      <c r="H112" s="2">
        <v>0</v>
      </c>
      <c r="I112" s="2">
        <v>75</v>
      </c>
      <c r="J112" s="2">
        <v>100</v>
      </c>
      <c r="K112" s="2">
        <v>0</v>
      </c>
      <c r="L112" s="2">
        <v>0</v>
      </c>
      <c r="M112" s="2">
        <v>0</v>
      </c>
      <c r="N112" s="2">
        <v>110</v>
      </c>
      <c r="O112" s="2">
        <v>0</v>
      </c>
      <c r="P112" s="2">
        <v>5</v>
      </c>
      <c r="Q112" s="2">
        <v>26</v>
      </c>
      <c r="R112" s="274">
        <v>44109</v>
      </c>
      <c r="S112" s="253">
        <v>12</v>
      </c>
      <c r="T112" s="254">
        <f>SUM( tabConsumo[[#This Row],[QTD.PENDENTE]]:tabConsumo[[#This Row],[07_23]] ) / tabConsumo[[#This Row],[Div]]</f>
        <v>41.333333333333336</v>
      </c>
      <c r="U112" s="255">
        <f xml:space="preserve"> tabConsumo[[#This Row],[Média.A]] + (_xlfn.STDEV.S( tabConsumo[[#This Row],[QTD.PENDENTE]]:tabConsumo[[#This Row],[07_23]] ) * 1)</f>
        <v>91.173684516492216</v>
      </c>
      <c r="V112" s="255">
        <f xml:space="preserve"> tabConsumo[[#This Row],[Média.A]] + (_xlfn.STDEV.S( tabConsumo[[#This Row],[QTD.PENDENTE]]:tabConsumo[[#This Row],[07_23]] ) * 2)</f>
        <v>141.01403569965109</v>
      </c>
      <c r="W112" s="255">
        <f xml:space="preserve"> tabConsumo[[#This Row],[Média.A]] + (_xlfn.STDEV.S( tabConsumo[[#This Row],[QTD.PENDENTE]]:tabConsumo[[#This Row],[07_23]] ) * 3)</f>
        <v>190.85438688280996</v>
      </c>
      <c r="X112" s="5">
        <f t="shared" si="3"/>
        <v>2</v>
      </c>
      <c r="Y112">
        <v>41.333333333333336</v>
      </c>
      <c r="Z112" s="257">
        <f>SUM( tabConsumo[[#This Row],[QTD.PENDENTE]]:tabConsumo[[#This Row],[07_23]] )</f>
        <v>496</v>
      </c>
      <c r="AA112" s="257">
        <f>LARGE(tabConsumo[[#This Row],[08_22]:[07_23]],1)</f>
        <v>130</v>
      </c>
      <c r="AB112" s="175" t="s">
        <v>2211</v>
      </c>
      <c r="AC112" s="3" t="s">
        <v>2064</v>
      </c>
    </row>
    <row r="113" spans="1:29" x14ac:dyDescent="0.3">
      <c r="A113" s="4" t="s">
        <v>1986</v>
      </c>
      <c r="B113" s="3" t="s">
        <v>281</v>
      </c>
      <c r="C113" s="2">
        <v>140036</v>
      </c>
      <c r="D113" s="2">
        <v>0</v>
      </c>
      <c r="E113" s="2">
        <v>21</v>
      </c>
      <c r="F113" s="2">
        <v>6</v>
      </c>
      <c r="G113" s="2">
        <v>12</v>
      </c>
      <c r="H113" s="2">
        <v>4</v>
      </c>
      <c r="I113" s="2">
        <v>8</v>
      </c>
      <c r="J113" s="2">
        <v>18</v>
      </c>
      <c r="K113" s="2">
        <v>23</v>
      </c>
      <c r="L113" s="2">
        <v>14</v>
      </c>
      <c r="M113" s="2">
        <v>0</v>
      </c>
      <c r="N113" s="2">
        <v>0</v>
      </c>
      <c r="O113" s="2">
        <v>0</v>
      </c>
      <c r="P113" s="2">
        <v>0</v>
      </c>
      <c r="Q113" s="2">
        <v>0</v>
      </c>
      <c r="R113" s="274">
        <v>44096</v>
      </c>
      <c r="S113" s="253">
        <v>12</v>
      </c>
      <c r="T113" s="254">
        <f>SUM( tabConsumo[[#This Row],[QTD.PENDENTE]]:tabConsumo[[#This Row],[07_23]] ) / tabConsumo[[#This Row],[Div]]</f>
        <v>8.8333333333333339</v>
      </c>
      <c r="U113" s="255">
        <f xml:space="preserve"> tabConsumo[[#This Row],[Média.A]] + (_xlfn.STDEV.S( tabConsumo[[#This Row],[QTD.PENDENTE]]:tabConsumo[[#This Row],[07_23]] ) * 1)</f>
        <v>17.424473671361362</v>
      </c>
      <c r="V113" s="255">
        <f xml:space="preserve"> tabConsumo[[#This Row],[Média.A]] + (_xlfn.STDEV.S( tabConsumo[[#This Row],[QTD.PENDENTE]]:tabConsumo[[#This Row],[07_23]] ) * 2)</f>
        <v>26.015614009389388</v>
      </c>
      <c r="W113" s="255">
        <f xml:space="preserve"> tabConsumo[[#This Row],[Média.A]] + (_xlfn.STDEV.S( tabConsumo[[#This Row],[QTD.PENDENTE]]:tabConsumo[[#This Row],[07_23]] ) * 3)</f>
        <v>34.606754347417414</v>
      </c>
      <c r="X113" s="5">
        <f t="shared" si="3"/>
        <v>2</v>
      </c>
      <c r="Y113">
        <v>8.8333333333333339</v>
      </c>
      <c r="Z113" s="257">
        <f>SUM( tabConsumo[[#This Row],[QTD.PENDENTE]]:tabConsumo[[#This Row],[07_23]] )</f>
        <v>106</v>
      </c>
      <c r="AA113" s="257">
        <f>LARGE(tabConsumo[[#This Row],[08_22]:[07_23]],1)</f>
        <v>23</v>
      </c>
      <c r="AB113" s="175" t="s">
        <v>2221</v>
      </c>
      <c r="AC113" s="3" t="s">
        <v>2064</v>
      </c>
    </row>
    <row r="114" spans="1:29" x14ac:dyDescent="0.3">
      <c r="A114" s="4" t="s">
        <v>1987</v>
      </c>
      <c r="B114" s="3" t="s">
        <v>281</v>
      </c>
      <c r="C114" s="2">
        <v>140038</v>
      </c>
      <c r="D114" s="2">
        <v>2</v>
      </c>
      <c r="F114" s="2">
        <v>3</v>
      </c>
      <c r="G114" s="2">
        <v>3</v>
      </c>
      <c r="H114" s="2">
        <v>1</v>
      </c>
      <c r="I114" s="2">
        <v>3</v>
      </c>
      <c r="J114" s="2">
        <v>4</v>
      </c>
      <c r="K114" s="2">
        <v>10</v>
      </c>
      <c r="L114" s="2">
        <v>4</v>
      </c>
      <c r="M114" s="2">
        <v>4</v>
      </c>
      <c r="N114" s="2">
        <v>0</v>
      </c>
      <c r="O114" s="2">
        <v>5</v>
      </c>
      <c r="P114" s="2">
        <v>2</v>
      </c>
      <c r="Q114" s="2">
        <v>0</v>
      </c>
      <c r="R114" s="274">
        <v>44096</v>
      </c>
      <c r="S114" s="253">
        <v>12</v>
      </c>
      <c r="T114" s="254">
        <f>SUM( tabConsumo[[#This Row],[QTD.PENDENTE]]:tabConsumo[[#This Row],[07_23]] ) / tabConsumo[[#This Row],[Div]]</f>
        <v>3.25</v>
      </c>
      <c r="U114" s="255">
        <f xml:space="preserve"> tabConsumo[[#This Row],[Média.A]] + (_xlfn.STDEV.S( tabConsumo[[#This Row],[QTD.PENDENTE]]:tabConsumo[[#This Row],[07_23]] ) * 1)</f>
        <v>5.9171401094873817</v>
      </c>
      <c r="V114" s="255">
        <f xml:space="preserve"> tabConsumo[[#This Row],[Média.A]] + (_xlfn.STDEV.S( tabConsumo[[#This Row],[QTD.PENDENTE]]:tabConsumo[[#This Row],[07_23]] ) * 2)</f>
        <v>8.5842802189747633</v>
      </c>
      <c r="W114" s="255">
        <f xml:space="preserve"> tabConsumo[[#This Row],[Média.A]] + (_xlfn.STDEV.S( tabConsumo[[#This Row],[QTD.PENDENTE]]:tabConsumo[[#This Row],[07_23]] ) * 3)</f>
        <v>11.251420328462146</v>
      </c>
      <c r="X114" s="5">
        <f t="shared" si="3"/>
        <v>2</v>
      </c>
      <c r="Y114">
        <v>3.0833333333333335</v>
      </c>
      <c r="Z114" s="257">
        <f>SUM( tabConsumo[[#This Row],[QTD.PENDENTE]]:tabConsumo[[#This Row],[07_23]] )</f>
        <v>39</v>
      </c>
      <c r="AA114" s="257">
        <f>LARGE(tabConsumo[[#This Row],[08_22]:[07_23]],1)</f>
        <v>10</v>
      </c>
      <c r="AB114" s="175" t="s">
        <v>2212</v>
      </c>
      <c r="AC114" s="3" t="s">
        <v>2064</v>
      </c>
    </row>
    <row r="115" spans="1:29" x14ac:dyDescent="0.3">
      <c r="A115" s="4" t="s">
        <v>2001</v>
      </c>
      <c r="B115" s="3" t="s">
        <v>331</v>
      </c>
      <c r="C115" s="2">
        <v>140058</v>
      </c>
      <c r="D115" s="2">
        <v>272</v>
      </c>
      <c r="F115" s="2">
        <v>40</v>
      </c>
      <c r="G115" s="2">
        <v>0</v>
      </c>
      <c r="H115" s="2">
        <v>0</v>
      </c>
      <c r="I115" s="2">
        <v>75</v>
      </c>
      <c r="J115" s="2">
        <v>0</v>
      </c>
      <c r="K115" s="2">
        <v>0</v>
      </c>
      <c r="L115" s="2">
        <v>0</v>
      </c>
      <c r="M115" s="2">
        <v>0</v>
      </c>
      <c r="N115" s="2">
        <v>0</v>
      </c>
      <c r="O115" s="2">
        <v>0</v>
      </c>
      <c r="P115" s="2">
        <v>3</v>
      </c>
      <c r="Q115" s="2">
        <v>0</v>
      </c>
      <c r="R115" s="274">
        <v>44096</v>
      </c>
      <c r="S115" s="253">
        <v>12</v>
      </c>
      <c r="T115" s="254">
        <f>SUM( tabConsumo[[#This Row],[QTD.PENDENTE]]:tabConsumo[[#This Row],[07_23]] ) / tabConsumo[[#This Row],[Div]]</f>
        <v>9.8333333333333339</v>
      </c>
      <c r="U115" s="255">
        <f xml:space="preserve"> tabConsumo[[#This Row],[Média.A]] + (_xlfn.STDEV.S( tabConsumo[[#This Row],[QTD.PENDENTE]]:tabConsumo[[#This Row],[07_23]] ) * 1)</f>
        <v>33.33123781759565</v>
      </c>
      <c r="V115" s="255">
        <f xml:space="preserve"> tabConsumo[[#This Row],[Média.A]] + (_xlfn.STDEV.S( tabConsumo[[#This Row],[QTD.PENDENTE]]:tabConsumo[[#This Row],[07_23]] ) * 2)</f>
        <v>56.829142301857971</v>
      </c>
      <c r="W115" s="255">
        <f xml:space="preserve"> tabConsumo[[#This Row],[Média.A]] + (_xlfn.STDEV.S( tabConsumo[[#This Row],[QTD.PENDENTE]]:tabConsumo[[#This Row],[07_23]] ) * 3)</f>
        <v>80.327046786120277</v>
      </c>
      <c r="X115" s="5">
        <f t="shared" si="3"/>
        <v>2</v>
      </c>
      <c r="Y115">
        <v>8.25</v>
      </c>
      <c r="Z115" s="257">
        <f>SUM( tabConsumo[[#This Row],[QTD.PENDENTE]]:tabConsumo[[#This Row],[07_23]] )</f>
        <v>118</v>
      </c>
      <c r="AA115" s="257">
        <f>LARGE(tabConsumo[[#This Row],[08_22]:[07_23]],1)</f>
        <v>75</v>
      </c>
      <c r="AB115" s="175" t="s">
        <v>2212</v>
      </c>
      <c r="AC115" s="3" t="s">
        <v>2064</v>
      </c>
    </row>
    <row r="116" spans="1:29" x14ac:dyDescent="0.3">
      <c r="A116" s="4" t="s">
        <v>2002</v>
      </c>
      <c r="B116" s="3" t="s">
        <v>331</v>
      </c>
      <c r="C116" s="2">
        <v>140059</v>
      </c>
      <c r="D116" s="2">
        <v>569</v>
      </c>
      <c r="F116" s="2">
        <v>300</v>
      </c>
      <c r="G116" s="2">
        <v>0</v>
      </c>
      <c r="H116" s="2">
        <v>0</v>
      </c>
      <c r="I116" s="2">
        <v>0</v>
      </c>
      <c r="J116" s="2">
        <v>105</v>
      </c>
      <c r="K116" s="2">
        <v>0</v>
      </c>
      <c r="L116" s="2">
        <v>0</v>
      </c>
      <c r="M116" s="2">
        <v>0</v>
      </c>
      <c r="N116" s="2">
        <v>0</v>
      </c>
      <c r="O116" s="2">
        <v>0</v>
      </c>
      <c r="P116" s="2">
        <v>10</v>
      </c>
      <c r="Q116" s="2">
        <v>20</v>
      </c>
      <c r="R116" s="274">
        <v>44096</v>
      </c>
      <c r="S116" s="253">
        <v>12</v>
      </c>
      <c r="T116" s="254">
        <f>SUM( tabConsumo[[#This Row],[QTD.PENDENTE]]:tabConsumo[[#This Row],[07_23]] ) / tabConsumo[[#This Row],[Div]]</f>
        <v>36.25</v>
      </c>
      <c r="U116" s="255">
        <f xml:space="preserve"> tabConsumo[[#This Row],[Média.A]] + (_xlfn.STDEV.S( tabConsumo[[#This Row],[QTD.PENDENTE]]:tabConsumo[[#This Row],[07_23]] ) * 1)</f>
        <v>124.5450889193319</v>
      </c>
      <c r="V116" s="255">
        <f xml:space="preserve"> tabConsumo[[#This Row],[Média.A]] + (_xlfn.STDEV.S( tabConsumo[[#This Row],[QTD.PENDENTE]]:tabConsumo[[#This Row],[07_23]] ) * 2)</f>
        <v>212.84017783866381</v>
      </c>
      <c r="W116" s="255">
        <f xml:space="preserve"> tabConsumo[[#This Row],[Média.A]] + (_xlfn.STDEV.S( tabConsumo[[#This Row],[QTD.PENDENTE]]:tabConsumo[[#This Row],[07_23]] ) * 3)</f>
        <v>301.13526675799574</v>
      </c>
      <c r="X116" s="5">
        <f t="shared" si="3"/>
        <v>2</v>
      </c>
      <c r="Y116">
        <v>28.916666666666668</v>
      </c>
      <c r="Z116" s="257">
        <f>SUM( tabConsumo[[#This Row],[QTD.PENDENTE]]:tabConsumo[[#This Row],[07_23]] )</f>
        <v>435</v>
      </c>
      <c r="AA116" s="257">
        <f>LARGE(tabConsumo[[#This Row],[08_22]:[07_23]],1)</f>
        <v>300</v>
      </c>
      <c r="AB116" s="175" t="s">
        <v>2211</v>
      </c>
      <c r="AC116" s="3" t="s">
        <v>2064</v>
      </c>
    </row>
    <row r="117" spans="1:29" x14ac:dyDescent="0.3">
      <c r="A117" s="4" t="s">
        <v>2003</v>
      </c>
      <c r="B117" s="3" t="s">
        <v>331</v>
      </c>
      <c r="C117" s="2">
        <v>140060</v>
      </c>
      <c r="D117" s="2">
        <v>557</v>
      </c>
      <c r="F117" s="2">
        <v>90</v>
      </c>
      <c r="G117" s="2">
        <v>0</v>
      </c>
      <c r="H117" s="2">
        <v>0</v>
      </c>
      <c r="I117" s="2">
        <v>0</v>
      </c>
      <c r="J117" s="2">
        <v>0</v>
      </c>
      <c r="K117" s="2">
        <v>0</v>
      </c>
      <c r="L117" s="2">
        <v>0</v>
      </c>
      <c r="M117" s="2">
        <v>0</v>
      </c>
      <c r="N117" s="2">
        <v>400</v>
      </c>
      <c r="O117" s="2">
        <v>0</v>
      </c>
      <c r="P117" s="2">
        <v>12</v>
      </c>
      <c r="Q117" s="2">
        <v>0</v>
      </c>
      <c r="R117" s="274">
        <v>44096</v>
      </c>
      <c r="S117" s="253">
        <v>12</v>
      </c>
      <c r="T117" s="254">
        <f>SUM( tabConsumo[[#This Row],[QTD.PENDENTE]]:tabConsumo[[#This Row],[07_23]] ) / tabConsumo[[#This Row],[Div]]</f>
        <v>41.833333333333336</v>
      </c>
      <c r="U117" s="255">
        <f xml:space="preserve"> tabConsumo[[#This Row],[Média.A]] + (_xlfn.STDEV.S( tabConsumo[[#This Row],[QTD.PENDENTE]]:tabConsumo[[#This Row],[07_23]] ) * 1)</f>
        <v>157.53029906186001</v>
      </c>
      <c r="V117" s="255">
        <f xml:space="preserve"> tabConsumo[[#This Row],[Média.A]] + (_xlfn.STDEV.S( tabConsumo[[#This Row],[QTD.PENDENTE]]:tabConsumo[[#This Row],[07_23]] ) * 2)</f>
        <v>273.2272647903867</v>
      </c>
      <c r="W117" s="255">
        <f xml:space="preserve"> tabConsumo[[#This Row],[Média.A]] + (_xlfn.STDEV.S( tabConsumo[[#This Row],[QTD.PENDENTE]]:tabConsumo[[#This Row],[07_23]] ) * 3)</f>
        <v>388.92423051891336</v>
      </c>
      <c r="X117" s="5">
        <f t="shared" si="3"/>
        <v>2</v>
      </c>
      <c r="Y117">
        <v>31.25</v>
      </c>
      <c r="Z117" s="257">
        <f>SUM( tabConsumo[[#This Row],[QTD.PENDENTE]]:tabConsumo[[#This Row],[07_23]] )</f>
        <v>502</v>
      </c>
      <c r="AA117" s="257">
        <f>LARGE(tabConsumo[[#This Row],[08_22]:[07_23]],1)</f>
        <v>400</v>
      </c>
      <c r="AB117" s="175" t="s">
        <v>2212</v>
      </c>
      <c r="AC117" s="3" t="s">
        <v>2064</v>
      </c>
    </row>
    <row r="118" spans="1:29" x14ac:dyDescent="0.3">
      <c r="A118" s="4" t="s">
        <v>2008</v>
      </c>
      <c r="B118" s="3" t="s">
        <v>331</v>
      </c>
      <c r="C118" s="2">
        <v>140241</v>
      </c>
      <c r="D118" s="2">
        <v>6</v>
      </c>
      <c r="F118" s="2">
        <v>50</v>
      </c>
      <c r="G118" s="2">
        <v>280</v>
      </c>
      <c r="H118" s="2">
        <v>0</v>
      </c>
      <c r="I118" s="2">
        <v>128</v>
      </c>
      <c r="J118" s="2">
        <v>100</v>
      </c>
      <c r="K118" s="2">
        <v>50</v>
      </c>
      <c r="L118" s="2">
        <v>0</v>
      </c>
      <c r="M118" s="2">
        <v>50</v>
      </c>
      <c r="N118" s="2">
        <v>404</v>
      </c>
      <c r="O118" s="2">
        <v>300</v>
      </c>
      <c r="P118" s="2">
        <v>420</v>
      </c>
      <c r="Q118" s="2">
        <v>0</v>
      </c>
      <c r="R118" s="274">
        <v>44132</v>
      </c>
      <c r="S118" s="253">
        <v>12</v>
      </c>
      <c r="T118" s="254">
        <f>SUM( tabConsumo[[#This Row],[QTD.PENDENTE]]:tabConsumo[[#This Row],[07_23]] ) / tabConsumo[[#This Row],[Div]]</f>
        <v>148.5</v>
      </c>
      <c r="U118" s="255">
        <f xml:space="preserve"> tabConsumo[[#This Row],[Média.A]] + (_xlfn.STDEV.S( tabConsumo[[#This Row],[QTD.PENDENTE]]:tabConsumo[[#This Row],[07_23]] ) * 1)</f>
        <v>307.26597986859895</v>
      </c>
      <c r="V118" s="255">
        <f xml:space="preserve"> tabConsumo[[#This Row],[Média.A]] + (_xlfn.STDEV.S( tabConsumo[[#This Row],[QTD.PENDENTE]]:tabConsumo[[#This Row],[07_23]] ) * 2)</f>
        <v>466.03195973719789</v>
      </c>
      <c r="W118" s="255">
        <f xml:space="preserve"> tabConsumo[[#This Row],[Média.A]] + (_xlfn.STDEV.S( tabConsumo[[#This Row],[QTD.PENDENTE]]:tabConsumo[[#This Row],[07_23]] ) * 3)</f>
        <v>624.79793960579684</v>
      </c>
      <c r="X118" s="5">
        <f t="shared" si="3"/>
        <v>2</v>
      </c>
      <c r="Y118">
        <v>148.5</v>
      </c>
      <c r="Z118" s="257">
        <f>SUM( tabConsumo[[#This Row],[QTD.PENDENTE]]:tabConsumo[[#This Row],[07_23]] )</f>
        <v>1782</v>
      </c>
      <c r="AA118" s="257">
        <f>LARGE(tabConsumo[[#This Row],[08_22]:[07_23]],1)</f>
        <v>420</v>
      </c>
      <c r="AB118" s="175" t="s">
        <v>2212</v>
      </c>
      <c r="AC118" s="3" t="s">
        <v>2064</v>
      </c>
    </row>
    <row r="119" spans="1:29" x14ac:dyDescent="0.3">
      <c r="A119" s="4" t="s">
        <v>2005</v>
      </c>
      <c r="B119" s="3" t="s">
        <v>331</v>
      </c>
      <c r="C119" s="2">
        <v>140063</v>
      </c>
      <c r="D119" s="2">
        <v>0</v>
      </c>
      <c r="E119" s="2">
        <v>579</v>
      </c>
      <c r="F119" s="2">
        <v>450</v>
      </c>
      <c r="G119" s="2">
        <v>470</v>
      </c>
      <c r="H119" s="2">
        <v>800</v>
      </c>
      <c r="I119" s="2">
        <v>575</v>
      </c>
      <c r="J119" s="2">
        <v>600</v>
      </c>
      <c r="K119" s="2">
        <v>1100</v>
      </c>
      <c r="L119" s="2">
        <v>310</v>
      </c>
      <c r="M119" s="2">
        <v>1300</v>
      </c>
      <c r="N119" s="2">
        <v>846</v>
      </c>
      <c r="O119" s="2">
        <v>770</v>
      </c>
      <c r="P119" s="2">
        <v>124</v>
      </c>
      <c r="Q119" s="2">
        <v>0</v>
      </c>
      <c r="R119" s="274">
        <v>44096</v>
      </c>
      <c r="S119" s="253">
        <v>12</v>
      </c>
      <c r="T119" s="254">
        <f>SUM( tabConsumo[[#This Row],[QTD.PENDENTE]]:tabConsumo[[#This Row],[07_23]] ) / tabConsumo[[#This Row],[Div]]</f>
        <v>660.33333333333337</v>
      </c>
      <c r="U119" s="255">
        <f xml:space="preserve"> tabConsumo[[#This Row],[Média.A]] + (_xlfn.STDEV.S( tabConsumo[[#This Row],[QTD.PENDENTE]]:tabConsumo[[#This Row],[07_23]] ) * 1)</f>
        <v>1023.1206023548669</v>
      </c>
      <c r="V119" s="255">
        <f xml:space="preserve"> tabConsumo[[#This Row],[Média.A]] + (_xlfn.STDEV.S( tabConsumo[[#This Row],[QTD.PENDENTE]]:tabConsumo[[#This Row],[07_23]] ) * 2)</f>
        <v>1385.9078713764006</v>
      </c>
      <c r="W119" s="255">
        <f xml:space="preserve"> tabConsumo[[#This Row],[Média.A]] + (_xlfn.STDEV.S( tabConsumo[[#This Row],[QTD.PENDENTE]]:tabConsumo[[#This Row],[07_23]] ) * 3)</f>
        <v>1748.6951403979342</v>
      </c>
      <c r="X119" s="5">
        <f t="shared" si="3"/>
        <v>2</v>
      </c>
      <c r="Y119">
        <v>660.33333333333337</v>
      </c>
      <c r="Z119" s="257">
        <f>SUM( tabConsumo[[#This Row],[QTD.PENDENTE]]:tabConsumo[[#This Row],[07_23]] )</f>
        <v>7924</v>
      </c>
      <c r="AA119" s="257">
        <f>LARGE(tabConsumo[[#This Row],[08_22]:[07_23]],1)</f>
        <v>1300</v>
      </c>
      <c r="AB119" s="175" t="s">
        <v>2212</v>
      </c>
      <c r="AC119" s="3" t="s">
        <v>2064</v>
      </c>
    </row>
    <row r="120" spans="1:29" x14ac:dyDescent="0.3">
      <c r="A120" s="4" t="s">
        <v>1918</v>
      </c>
      <c r="B120" s="3" t="s">
        <v>331</v>
      </c>
      <c r="C120" s="2">
        <v>136564</v>
      </c>
      <c r="D120" s="2">
        <v>17385</v>
      </c>
      <c r="F120" s="2">
        <v>1220</v>
      </c>
      <c r="G120" s="2">
        <v>1525</v>
      </c>
      <c r="H120" s="2">
        <v>3355</v>
      </c>
      <c r="I120" s="2">
        <v>610</v>
      </c>
      <c r="J120" s="2">
        <v>3355</v>
      </c>
      <c r="K120" s="2">
        <v>4575</v>
      </c>
      <c r="L120" s="2">
        <v>3965</v>
      </c>
      <c r="M120" s="2">
        <v>2440</v>
      </c>
      <c r="N120" s="2">
        <v>2745</v>
      </c>
      <c r="O120" s="2">
        <v>3050</v>
      </c>
      <c r="P120" s="2">
        <v>1525</v>
      </c>
      <c r="Q120" s="2">
        <v>3050</v>
      </c>
      <c r="R120" s="274">
        <v>43521</v>
      </c>
      <c r="S120" s="253">
        <v>12</v>
      </c>
      <c r="T120" s="254">
        <f>SUM( tabConsumo[[#This Row],[QTD.PENDENTE]]:tabConsumo[[#This Row],[07_23]] ) / tabConsumo[[#This Row],[Div]]</f>
        <v>2617.9166666666665</v>
      </c>
      <c r="U120" s="255">
        <f xml:space="preserve"> tabConsumo[[#This Row],[Média.A]] + (_xlfn.STDEV.S( tabConsumo[[#This Row],[QTD.PENDENTE]]:tabConsumo[[#This Row],[07_23]] ) * 1)</f>
        <v>3806.0176310275037</v>
      </c>
      <c r="V120" s="255">
        <f xml:space="preserve"> tabConsumo[[#This Row],[Média.A]] + (_xlfn.STDEV.S( tabConsumo[[#This Row],[QTD.PENDENTE]]:tabConsumo[[#This Row],[07_23]] ) * 2)</f>
        <v>4994.1185953883414</v>
      </c>
      <c r="W120" s="255">
        <f xml:space="preserve"> tabConsumo[[#This Row],[Média.A]] + (_xlfn.STDEV.S( tabConsumo[[#This Row],[QTD.PENDENTE]]:tabConsumo[[#This Row],[07_23]] ) * 3)</f>
        <v>6182.2195597491791</v>
      </c>
      <c r="X120" s="5">
        <f t="shared" si="3"/>
        <v>2</v>
      </c>
      <c r="Y120">
        <v>2617.9166666666665</v>
      </c>
      <c r="Z120" s="257">
        <f>SUM( tabConsumo[[#This Row],[QTD.PENDENTE]]:tabConsumo[[#This Row],[07_23]] )</f>
        <v>31415</v>
      </c>
      <c r="AA120" s="257">
        <f>LARGE(tabConsumo[[#This Row],[08_22]:[07_23]],1)</f>
        <v>4575</v>
      </c>
      <c r="AB120" s="175" t="s">
        <v>2211</v>
      </c>
      <c r="AC120" s="3" t="s">
        <v>2064</v>
      </c>
    </row>
    <row r="121" spans="1:29" x14ac:dyDescent="0.3">
      <c r="A121" s="4" t="s">
        <v>1018</v>
      </c>
      <c r="B121" s="3" t="s">
        <v>256</v>
      </c>
      <c r="C121" s="2">
        <v>13180</v>
      </c>
      <c r="D121" s="2">
        <v>0</v>
      </c>
      <c r="E121" s="2">
        <v>1</v>
      </c>
      <c r="F121" s="2">
        <v>18</v>
      </c>
      <c r="G121" s="2">
        <v>13</v>
      </c>
      <c r="H121" s="2">
        <v>3</v>
      </c>
      <c r="I121" s="2">
        <v>13</v>
      </c>
      <c r="J121" s="2">
        <v>4</v>
      </c>
      <c r="K121" s="2">
        <v>6</v>
      </c>
      <c r="L121" s="2">
        <v>309</v>
      </c>
      <c r="M121" s="2">
        <v>28</v>
      </c>
      <c r="N121" s="2">
        <v>44</v>
      </c>
      <c r="O121" s="2">
        <v>0</v>
      </c>
      <c r="P121" s="2">
        <v>0</v>
      </c>
      <c r="Q121" s="2">
        <v>0</v>
      </c>
      <c r="R121" s="274">
        <v>367</v>
      </c>
      <c r="S121" s="253">
        <f xml:space="preserve"> 12</f>
        <v>12</v>
      </c>
      <c r="T121" s="254">
        <f>SUM( tabConsumo[[#This Row],[QTD.PENDENTE]]:tabConsumo[[#This Row],[07_23]] ) / tabConsumo[[#This Row],[Div]]</f>
        <v>36.583333333333336</v>
      </c>
      <c r="U121" s="255">
        <f xml:space="preserve"> tabConsumo[[#This Row],[Média.A]] + (_xlfn.STDEV.S( tabConsumo[[#This Row],[QTD.PENDENTE]]:tabConsumo[[#This Row],[07_23]] ) * 1)</f>
        <v>120.29927550899646</v>
      </c>
      <c r="V121" s="255">
        <f xml:space="preserve"> tabConsumo[[#This Row],[Média.A]] + (_xlfn.STDEV.S( tabConsumo[[#This Row],[QTD.PENDENTE]]:tabConsumo[[#This Row],[07_23]] ) * 2)</f>
        <v>204.0152176846596</v>
      </c>
      <c r="W121" s="255">
        <f xml:space="preserve"> tabConsumo[[#This Row],[Média.A]] + (_xlfn.STDEV.S( tabConsumo[[#This Row],[QTD.PENDENTE]]:tabConsumo[[#This Row],[07_23]] ) * 3)</f>
        <v>287.73115986032269</v>
      </c>
      <c r="X121" s="5">
        <f t="shared" si="3"/>
        <v>2</v>
      </c>
      <c r="Y121">
        <v>27.833333333333332</v>
      </c>
      <c r="Z121" s="257">
        <f>SUM( tabConsumo[[#This Row],[QTD.PENDENTE]]:tabConsumo[[#This Row],[07_23]] )</f>
        <v>439</v>
      </c>
      <c r="AA121" s="257">
        <f>LARGE(tabConsumo[[#This Row],[08_22]:[07_23]],1)</f>
        <v>309</v>
      </c>
      <c r="AB121" s="175" t="s">
        <v>2213</v>
      </c>
      <c r="AC121" s="3" t="s">
        <v>2064</v>
      </c>
    </row>
    <row r="122" spans="1:29" x14ac:dyDescent="0.3">
      <c r="A122" s="4" t="s">
        <v>1141</v>
      </c>
      <c r="B122" s="3" t="s">
        <v>256</v>
      </c>
      <c r="C122" s="2">
        <v>17704</v>
      </c>
      <c r="D122" s="2">
        <v>137</v>
      </c>
      <c r="E122" s="2">
        <v>1</v>
      </c>
      <c r="F122" s="2">
        <v>29</v>
      </c>
      <c r="G122" s="2">
        <v>14</v>
      </c>
      <c r="H122" s="2">
        <v>6</v>
      </c>
      <c r="I122" s="2">
        <v>7</v>
      </c>
      <c r="J122" s="2">
        <v>5</v>
      </c>
      <c r="K122" s="2">
        <v>14</v>
      </c>
      <c r="L122" s="2">
        <v>11</v>
      </c>
      <c r="M122" s="2">
        <v>17</v>
      </c>
      <c r="N122" s="2">
        <v>13</v>
      </c>
      <c r="O122" s="2">
        <v>7</v>
      </c>
      <c r="P122" s="2">
        <v>3</v>
      </c>
      <c r="Q122" s="2">
        <v>27</v>
      </c>
      <c r="R122" s="274">
        <v>367</v>
      </c>
      <c r="S122" s="253">
        <f xml:space="preserve"> 12</f>
        <v>12</v>
      </c>
      <c r="T122" s="254">
        <f>SUM( tabConsumo[[#This Row],[QTD.PENDENTE]]:tabConsumo[[#This Row],[07_23]] ) / tabConsumo[[#This Row],[Div]]</f>
        <v>12.833333333333334</v>
      </c>
      <c r="U122" s="255">
        <f xml:space="preserve"> tabConsumo[[#This Row],[Média.A]] + (_xlfn.STDEV.S( tabConsumo[[#This Row],[QTD.PENDENTE]]:tabConsumo[[#This Row],[07_23]] ) * 1)</f>
        <v>21.424473671361362</v>
      </c>
      <c r="V122" s="255">
        <f xml:space="preserve"> tabConsumo[[#This Row],[Média.A]] + (_xlfn.STDEV.S( tabConsumo[[#This Row],[QTD.PENDENTE]]:tabConsumo[[#This Row],[07_23]] ) * 2)</f>
        <v>30.015614009389388</v>
      </c>
      <c r="W122" s="255">
        <f xml:space="preserve"> tabConsumo[[#This Row],[Média.A]] + (_xlfn.STDEV.S( tabConsumo[[#This Row],[QTD.PENDENTE]]:tabConsumo[[#This Row],[07_23]] ) * 3)</f>
        <v>38.606754347417414</v>
      </c>
      <c r="X122" s="5">
        <f t="shared" si="3"/>
        <v>2</v>
      </c>
      <c r="Y122">
        <v>12.833333333333334</v>
      </c>
      <c r="Z122" s="257">
        <f>SUM( tabConsumo[[#This Row],[QTD.PENDENTE]]:tabConsumo[[#This Row],[07_23]] )</f>
        <v>154</v>
      </c>
      <c r="AA122" s="257">
        <f>LARGE(tabConsumo[[#This Row],[08_22]:[07_23]],1)</f>
        <v>29</v>
      </c>
      <c r="AB122" s="175" t="s">
        <v>2211</v>
      </c>
      <c r="AC122" s="3" t="s">
        <v>2064</v>
      </c>
    </row>
    <row r="123" spans="1:29" x14ac:dyDescent="0.3">
      <c r="A123" s="4" t="s">
        <v>1020</v>
      </c>
      <c r="B123" s="3" t="s">
        <v>256</v>
      </c>
      <c r="C123" s="2">
        <v>13181</v>
      </c>
      <c r="D123" s="2">
        <v>167</v>
      </c>
      <c r="E123" s="2">
        <v>1</v>
      </c>
      <c r="F123" s="2">
        <v>15</v>
      </c>
      <c r="G123" s="2">
        <v>5</v>
      </c>
      <c r="H123" s="2">
        <v>3</v>
      </c>
      <c r="I123" s="2">
        <v>6</v>
      </c>
      <c r="J123" s="2">
        <v>7</v>
      </c>
      <c r="K123" s="2">
        <v>6</v>
      </c>
      <c r="L123" s="2">
        <v>2</v>
      </c>
      <c r="M123" s="2">
        <v>6</v>
      </c>
      <c r="N123" s="2">
        <v>12</v>
      </c>
      <c r="O123" s="2">
        <v>4</v>
      </c>
      <c r="P123" s="2">
        <v>5</v>
      </c>
      <c r="Q123" s="2">
        <v>15</v>
      </c>
      <c r="R123" s="274">
        <v>367</v>
      </c>
      <c r="S123" s="253">
        <f xml:space="preserve"> 12</f>
        <v>12</v>
      </c>
      <c r="T123" s="254">
        <f>SUM( tabConsumo[[#This Row],[QTD.PENDENTE]]:tabConsumo[[#This Row],[07_23]] ) / tabConsumo[[#This Row],[Div]]</f>
        <v>7.25</v>
      </c>
      <c r="U123" s="255">
        <f xml:space="preserve"> tabConsumo[[#This Row],[Média.A]] + (_xlfn.STDEV.S( tabConsumo[[#This Row],[QTD.PENDENTE]]:tabConsumo[[#This Row],[07_23]] ) * 1)</f>
        <v>11.803105449115936</v>
      </c>
      <c r="V123" s="255">
        <f xml:space="preserve"> tabConsumo[[#This Row],[Média.A]] + (_xlfn.STDEV.S( tabConsumo[[#This Row],[QTD.PENDENTE]]:tabConsumo[[#This Row],[07_23]] ) * 2)</f>
        <v>16.356210898231872</v>
      </c>
      <c r="W123" s="255">
        <f xml:space="preserve"> tabConsumo[[#This Row],[Média.A]] + (_xlfn.STDEV.S( tabConsumo[[#This Row],[QTD.PENDENTE]]:tabConsumo[[#This Row],[07_23]] ) * 3)</f>
        <v>20.909316347347808</v>
      </c>
      <c r="X123" s="5">
        <f t="shared" si="3"/>
        <v>2</v>
      </c>
      <c r="Y123">
        <v>7.25</v>
      </c>
      <c r="Z123" s="257">
        <f>SUM( tabConsumo[[#This Row],[QTD.PENDENTE]]:tabConsumo[[#This Row],[07_23]] )</f>
        <v>87</v>
      </c>
      <c r="AA123" s="257">
        <f>LARGE(tabConsumo[[#This Row],[08_22]:[07_23]],1)</f>
        <v>15</v>
      </c>
      <c r="AB123" s="175" t="s">
        <v>2211</v>
      </c>
      <c r="AC123" s="3" t="s">
        <v>2064</v>
      </c>
    </row>
    <row r="124" spans="1:29" x14ac:dyDescent="0.3">
      <c r="A124" s="4" t="s">
        <v>1952</v>
      </c>
      <c r="B124" s="3" t="s">
        <v>31</v>
      </c>
      <c r="C124" s="2">
        <v>138453</v>
      </c>
      <c r="D124" s="2">
        <v>34340</v>
      </c>
      <c r="E124" s="2">
        <v>43</v>
      </c>
      <c r="F124" s="2">
        <v>842</v>
      </c>
      <c r="G124" s="2">
        <v>765</v>
      </c>
      <c r="H124" s="2">
        <v>769</v>
      </c>
      <c r="I124" s="2">
        <v>723</v>
      </c>
      <c r="J124" s="2">
        <v>445</v>
      </c>
      <c r="K124" s="2">
        <v>75</v>
      </c>
      <c r="L124" s="2">
        <v>580</v>
      </c>
      <c r="M124" s="2">
        <v>1388</v>
      </c>
      <c r="N124" s="2">
        <v>848</v>
      </c>
      <c r="O124" s="2">
        <v>834</v>
      </c>
      <c r="P124" s="2">
        <v>661</v>
      </c>
      <c r="Q124" s="2">
        <v>630</v>
      </c>
      <c r="R124" s="274">
        <v>43720</v>
      </c>
      <c r="S124" s="253">
        <v>12</v>
      </c>
      <c r="T124" s="254">
        <f>SUM( tabConsumo[[#This Row],[QTD.PENDENTE]]:tabConsumo[[#This Row],[07_23]] ) / tabConsumo[[#This Row],[Div]]</f>
        <v>716.91666666666663</v>
      </c>
      <c r="U124" s="255">
        <f xml:space="preserve"> tabConsumo[[#This Row],[Média.A]] + (_xlfn.STDEV.S( tabConsumo[[#This Row],[QTD.PENDENTE]]:tabConsumo[[#This Row],[07_23]] ) * 1)</f>
        <v>1062.3635158939039</v>
      </c>
      <c r="V124" s="255">
        <f xml:space="preserve"> tabConsumo[[#This Row],[Média.A]] + (_xlfn.STDEV.S( tabConsumo[[#This Row],[QTD.PENDENTE]]:tabConsumo[[#This Row],[07_23]] ) * 2)</f>
        <v>1407.8103651211413</v>
      </c>
      <c r="W124" s="255">
        <f xml:space="preserve"> tabConsumo[[#This Row],[Média.A]] + (_xlfn.STDEV.S( tabConsumo[[#This Row],[QTD.PENDENTE]]:tabConsumo[[#This Row],[07_23]] ) * 3)</f>
        <v>1753.2572143483785</v>
      </c>
      <c r="X124" s="5">
        <f t="shared" si="3"/>
        <v>2</v>
      </c>
      <c r="Y124">
        <v>716.91666666666663</v>
      </c>
      <c r="Z124" s="257">
        <f>SUM( tabConsumo[[#This Row],[QTD.PENDENTE]]:tabConsumo[[#This Row],[07_23]] )</f>
        <v>8603</v>
      </c>
      <c r="AA124" s="257">
        <f>LARGE(tabConsumo[[#This Row],[08_22]:[07_23]],1)</f>
        <v>1388</v>
      </c>
      <c r="AB124" s="175" t="s">
        <v>2211</v>
      </c>
      <c r="AC124" s="3" t="s">
        <v>2064</v>
      </c>
    </row>
    <row r="125" spans="1:29" x14ac:dyDescent="0.3">
      <c r="A125" s="4" t="s">
        <v>1953</v>
      </c>
      <c r="B125" s="3" t="s">
        <v>31</v>
      </c>
      <c r="C125" s="2">
        <v>138454</v>
      </c>
      <c r="D125" s="2">
        <v>11455</v>
      </c>
      <c r="E125" s="2">
        <v>3743</v>
      </c>
      <c r="F125" s="2">
        <v>285</v>
      </c>
      <c r="G125" s="2">
        <v>265</v>
      </c>
      <c r="H125" s="2">
        <v>277</v>
      </c>
      <c r="I125" s="2">
        <v>244</v>
      </c>
      <c r="J125" s="2">
        <v>174</v>
      </c>
      <c r="K125" s="2">
        <v>39</v>
      </c>
      <c r="L125" s="2">
        <v>461</v>
      </c>
      <c r="M125" s="2">
        <v>4026</v>
      </c>
      <c r="N125" s="2">
        <v>5618</v>
      </c>
      <c r="O125" s="2">
        <v>433</v>
      </c>
      <c r="P125" s="2">
        <v>309</v>
      </c>
      <c r="Q125" s="2">
        <v>258</v>
      </c>
      <c r="R125" s="274">
        <v>43720</v>
      </c>
      <c r="S125" s="253">
        <v>12</v>
      </c>
      <c r="T125" s="254">
        <f>SUM( tabConsumo[[#This Row],[QTD.PENDENTE]]:tabConsumo[[#This Row],[07_23]] ) / tabConsumo[[#This Row],[Div]]</f>
        <v>1344.3333333333333</v>
      </c>
      <c r="U125" s="255">
        <f xml:space="preserve"> tabConsumo[[#This Row],[Média.A]] + (_xlfn.STDEV.S( tabConsumo[[#This Row],[QTD.PENDENTE]]:tabConsumo[[#This Row],[07_23]] ) * 1)</f>
        <v>3229.4426343880696</v>
      </c>
      <c r="V125" s="255">
        <f xml:space="preserve"> tabConsumo[[#This Row],[Média.A]] + (_xlfn.STDEV.S( tabConsumo[[#This Row],[QTD.PENDENTE]]:tabConsumo[[#This Row],[07_23]] ) * 2)</f>
        <v>5114.5519354428061</v>
      </c>
      <c r="W125" s="255">
        <f xml:space="preserve"> tabConsumo[[#This Row],[Média.A]] + (_xlfn.STDEV.S( tabConsumo[[#This Row],[QTD.PENDENTE]]:tabConsumo[[#This Row],[07_23]] ) * 3)</f>
        <v>6999.6612364975426</v>
      </c>
      <c r="X125" s="5">
        <f t="shared" si="3"/>
        <v>2</v>
      </c>
      <c r="Y125">
        <v>1302.3333333333333</v>
      </c>
      <c r="Z125" s="257">
        <f>SUM( tabConsumo[[#This Row],[QTD.PENDENTE]]:tabConsumo[[#This Row],[07_23]] )</f>
        <v>16132</v>
      </c>
      <c r="AA125" s="257">
        <f>LARGE(tabConsumo[[#This Row],[08_22]:[07_23]],1)</f>
        <v>5618</v>
      </c>
      <c r="AB125" s="175" t="s">
        <v>2211</v>
      </c>
      <c r="AC125" s="3" t="s">
        <v>2064</v>
      </c>
    </row>
    <row r="126" spans="1:29" x14ac:dyDescent="0.3">
      <c r="A126" s="4" t="s">
        <v>1954</v>
      </c>
      <c r="B126" s="3" t="s">
        <v>31</v>
      </c>
      <c r="C126" s="2">
        <v>138456</v>
      </c>
      <c r="D126" s="2">
        <v>6657</v>
      </c>
      <c r="E126" s="2">
        <v>34</v>
      </c>
      <c r="F126" s="2">
        <v>557</v>
      </c>
      <c r="G126" s="2">
        <v>322</v>
      </c>
      <c r="H126" s="2">
        <v>350</v>
      </c>
      <c r="I126" s="2">
        <v>377</v>
      </c>
      <c r="J126" s="2">
        <v>541</v>
      </c>
      <c r="K126" s="2">
        <v>34890</v>
      </c>
      <c r="L126" s="2">
        <v>816</v>
      </c>
      <c r="M126" s="2">
        <v>723</v>
      </c>
      <c r="N126" s="2">
        <v>465</v>
      </c>
      <c r="O126" s="2">
        <v>346</v>
      </c>
      <c r="P126" s="2">
        <v>426</v>
      </c>
      <c r="Q126" s="2">
        <v>405</v>
      </c>
      <c r="R126" s="274">
        <v>43720</v>
      </c>
      <c r="S126" s="253">
        <v>12</v>
      </c>
      <c r="T126" s="254">
        <f>SUM( tabConsumo[[#This Row],[QTD.PENDENTE]]:tabConsumo[[#This Row],[07_23]] ) / tabConsumo[[#This Row],[Div]]</f>
        <v>3354.3333333333335</v>
      </c>
      <c r="U126" s="255">
        <f xml:space="preserve"> tabConsumo[[#This Row],[Média.A]] + (_xlfn.STDEV.S( tabConsumo[[#This Row],[QTD.PENDENTE]]:tabConsumo[[#This Row],[07_23]] ) * 1)</f>
        <v>12909.096319968285</v>
      </c>
      <c r="V126" s="255">
        <f xml:space="preserve"> tabConsumo[[#This Row],[Média.A]] + (_xlfn.STDEV.S( tabConsumo[[#This Row],[QTD.PENDENTE]]:tabConsumo[[#This Row],[07_23]] ) * 2)</f>
        <v>22463.859306603234</v>
      </c>
      <c r="W126" s="255">
        <f xml:space="preserve"> tabConsumo[[#This Row],[Média.A]] + (_xlfn.STDEV.S( tabConsumo[[#This Row],[QTD.PENDENTE]]:tabConsumo[[#This Row],[07_23]] ) * 3)</f>
        <v>32018.622293238182</v>
      </c>
      <c r="X126" s="5">
        <f t="shared" si="3"/>
        <v>2</v>
      </c>
      <c r="Y126">
        <v>2318.75</v>
      </c>
      <c r="Z126" s="257">
        <f>SUM( tabConsumo[[#This Row],[QTD.PENDENTE]]:tabConsumo[[#This Row],[07_23]] )</f>
        <v>40252</v>
      </c>
      <c r="AA126" s="257">
        <f>LARGE(tabConsumo[[#This Row],[08_22]:[07_23]],1)</f>
        <v>34890</v>
      </c>
      <c r="AB126" s="175" t="s">
        <v>2211</v>
      </c>
      <c r="AC126" s="3" t="s">
        <v>2064</v>
      </c>
    </row>
    <row r="127" spans="1:29" x14ac:dyDescent="0.3">
      <c r="A127" s="4" t="s">
        <v>1956</v>
      </c>
      <c r="B127" s="3" t="s">
        <v>31</v>
      </c>
      <c r="C127" s="2">
        <v>138458</v>
      </c>
      <c r="D127" s="2">
        <v>9067</v>
      </c>
      <c r="E127" s="2">
        <v>10</v>
      </c>
      <c r="F127" s="2">
        <v>667</v>
      </c>
      <c r="G127" s="2">
        <v>709</v>
      </c>
      <c r="H127" s="2">
        <v>803</v>
      </c>
      <c r="I127" s="2">
        <v>651</v>
      </c>
      <c r="J127" s="2">
        <v>410</v>
      </c>
      <c r="K127" s="2">
        <v>113</v>
      </c>
      <c r="L127" s="2">
        <v>577</v>
      </c>
      <c r="M127" s="2">
        <v>954</v>
      </c>
      <c r="N127" s="2">
        <v>812</v>
      </c>
      <c r="O127" s="2">
        <v>561</v>
      </c>
      <c r="P127" s="2">
        <v>670</v>
      </c>
      <c r="Q127" s="2">
        <v>558</v>
      </c>
      <c r="R127" s="274">
        <v>43720</v>
      </c>
      <c r="S127" s="253">
        <v>12</v>
      </c>
      <c r="T127" s="254">
        <f>SUM( tabConsumo[[#This Row],[QTD.PENDENTE]]:tabConsumo[[#This Row],[07_23]] ) / tabConsumo[[#This Row],[Div]]</f>
        <v>624.58333333333337</v>
      </c>
      <c r="U127" s="255">
        <f xml:space="preserve"> tabConsumo[[#This Row],[Média.A]] + (_xlfn.STDEV.S( tabConsumo[[#This Row],[QTD.PENDENTE]]:tabConsumo[[#This Row],[07_23]] ) * 1)</f>
        <v>891.25529642176139</v>
      </c>
      <c r="V127" s="255">
        <f xml:space="preserve"> tabConsumo[[#This Row],[Média.A]] + (_xlfn.STDEV.S( tabConsumo[[#This Row],[QTD.PENDENTE]]:tabConsumo[[#This Row],[07_23]] ) * 2)</f>
        <v>1157.9272595101893</v>
      </c>
      <c r="W127" s="255">
        <f xml:space="preserve"> tabConsumo[[#This Row],[Média.A]] + (_xlfn.STDEV.S( tabConsumo[[#This Row],[QTD.PENDENTE]]:tabConsumo[[#This Row],[07_23]] ) * 3)</f>
        <v>1424.5992225986174</v>
      </c>
      <c r="X127" s="5">
        <f t="shared" si="3"/>
        <v>2</v>
      </c>
      <c r="Y127">
        <v>624.58333333333337</v>
      </c>
      <c r="Z127" s="257">
        <f>SUM( tabConsumo[[#This Row],[QTD.PENDENTE]]:tabConsumo[[#This Row],[07_23]] )</f>
        <v>7495</v>
      </c>
      <c r="AA127" s="257">
        <f>LARGE(tabConsumo[[#This Row],[08_22]:[07_23]],1)</f>
        <v>954</v>
      </c>
      <c r="AB127" s="175" t="s">
        <v>2211</v>
      </c>
      <c r="AC127" s="3" t="s">
        <v>2064</v>
      </c>
    </row>
    <row r="128" spans="1:29" x14ac:dyDescent="0.3">
      <c r="A128" s="4" t="s">
        <v>1955</v>
      </c>
      <c r="B128" s="3" t="s">
        <v>31</v>
      </c>
      <c r="C128" s="2">
        <v>138457</v>
      </c>
      <c r="D128" s="2">
        <v>1577</v>
      </c>
      <c r="E128" s="2">
        <v>1</v>
      </c>
      <c r="F128" s="2">
        <v>17</v>
      </c>
      <c r="G128" s="2">
        <v>18</v>
      </c>
      <c r="H128" s="2">
        <v>13</v>
      </c>
      <c r="I128" s="2">
        <v>22</v>
      </c>
      <c r="J128" s="2">
        <v>17</v>
      </c>
      <c r="K128" s="2">
        <v>10</v>
      </c>
      <c r="L128" s="2">
        <v>15</v>
      </c>
      <c r="M128" s="2">
        <v>37</v>
      </c>
      <c r="N128" s="2">
        <v>26</v>
      </c>
      <c r="O128" s="2">
        <v>25</v>
      </c>
      <c r="P128" s="2">
        <v>26</v>
      </c>
      <c r="Q128" s="2">
        <v>56</v>
      </c>
      <c r="R128" s="274">
        <v>43720</v>
      </c>
      <c r="S128" s="253">
        <v>12</v>
      </c>
      <c r="T128" s="254">
        <f>SUM( tabConsumo[[#This Row],[QTD.PENDENTE]]:tabConsumo[[#This Row],[07_23]] ) / tabConsumo[[#This Row],[Div]]</f>
        <v>23.583333333333332</v>
      </c>
      <c r="U128" s="255">
        <f xml:space="preserve"> tabConsumo[[#This Row],[Média.A]] + (_xlfn.STDEV.S( tabConsumo[[#This Row],[QTD.PENDENTE]]:tabConsumo[[#This Row],[07_23]] ) * 1)</f>
        <v>37.130496911944206</v>
      </c>
      <c r="V128" s="255">
        <f xml:space="preserve"> tabConsumo[[#This Row],[Média.A]] + (_xlfn.STDEV.S( tabConsumo[[#This Row],[QTD.PENDENTE]]:tabConsumo[[#This Row],[07_23]] ) * 2)</f>
        <v>50.677660490555084</v>
      </c>
      <c r="W128" s="255">
        <f xml:space="preserve"> tabConsumo[[#This Row],[Média.A]] + (_xlfn.STDEV.S( tabConsumo[[#This Row],[QTD.PENDENTE]]:tabConsumo[[#This Row],[07_23]] ) * 3)</f>
        <v>64.224824069165962</v>
      </c>
      <c r="X128" s="5">
        <f t="shared" si="3"/>
        <v>2</v>
      </c>
      <c r="Y128">
        <v>23.083333333333332</v>
      </c>
      <c r="Z128" s="257">
        <f>SUM( tabConsumo[[#This Row],[QTD.PENDENTE]]:tabConsumo[[#This Row],[07_23]] )</f>
        <v>283</v>
      </c>
      <c r="AA128" s="257">
        <f>LARGE(tabConsumo[[#This Row],[08_22]:[07_23]],1)</f>
        <v>56</v>
      </c>
      <c r="AB128" s="175" t="s">
        <v>2211</v>
      </c>
      <c r="AC128" s="3" t="s">
        <v>2064</v>
      </c>
    </row>
    <row r="129" spans="1:29" x14ac:dyDescent="0.3">
      <c r="A129" s="4" t="s">
        <v>912</v>
      </c>
      <c r="B129" s="3" t="s">
        <v>268</v>
      </c>
      <c r="C129" s="2">
        <v>10719</v>
      </c>
      <c r="D129" s="2">
        <v>2702</v>
      </c>
      <c r="E129" s="2">
        <v>89</v>
      </c>
      <c r="F129" s="2">
        <v>4160</v>
      </c>
      <c r="G129" s="2">
        <v>4317</v>
      </c>
      <c r="H129" s="2">
        <v>3831</v>
      </c>
      <c r="I129" s="2">
        <v>3815</v>
      </c>
      <c r="J129" s="2">
        <v>2396</v>
      </c>
      <c r="K129" s="2">
        <v>1269</v>
      </c>
      <c r="L129" s="2">
        <v>3281</v>
      </c>
      <c r="M129" s="2">
        <v>4731</v>
      </c>
      <c r="N129" s="2">
        <v>3722</v>
      </c>
      <c r="O129" s="2">
        <v>3646</v>
      </c>
      <c r="P129" s="2">
        <v>3842</v>
      </c>
      <c r="Q129" s="2">
        <v>3538</v>
      </c>
      <c r="R129" s="274">
        <v>367</v>
      </c>
      <c r="S129" s="253">
        <f xml:space="preserve"> 12</f>
        <v>12</v>
      </c>
      <c r="T129" s="254">
        <f>SUM( tabConsumo[[#This Row],[QTD.PENDENTE]]:tabConsumo[[#This Row],[07_23]] ) / tabConsumo[[#This Row],[Div]]</f>
        <v>3553.0833333333335</v>
      </c>
      <c r="U129" s="255">
        <f xml:space="preserve"> tabConsumo[[#This Row],[Média.A]] + (_xlfn.STDEV.S( tabConsumo[[#This Row],[QTD.PENDENTE]]:tabConsumo[[#This Row],[07_23]] ) * 1)</f>
        <v>4852.595495251936</v>
      </c>
      <c r="V129" s="255">
        <f xml:space="preserve"> tabConsumo[[#This Row],[Média.A]] + (_xlfn.STDEV.S( tabConsumo[[#This Row],[QTD.PENDENTE]]:tabConsumo[[#This Row],[07_23]] ) * 2)</f>
        <v>6152.107657170538</v>
      </c>
      <c r="W129" s="255">
        <f xml:space="preserve"> tabConsumo[[#This Row],[Média.A]] + (_xlfn.STDEV.S( tabConsumo[[#This Row],[QTD.PENDENTE]]:tabConsumo[[#This Row],[07_23]] ) * 3)</f>
        <v>7451.6198190891409</v>
      </c>
      <c r="X129" s="5">
        <f t="shared" si="3"/>
        <v>2</v>
      </c>
      <c r="Y129">
        <v>3553.0833333333335</v>
      </c>
      <c r="Z129" s="257">
        <f>SUM( tabConsumo[[#This Row],[QTD.PENDENTE]]:tabConsumo[[#This Row],[07_23]] )</f>
        <v>42637</v>
      </c>
      <c r="AA129" s="257">
        <f>LARGE(tabConsumo[[#This Row],[08_22]:[07_23]],1)</f>
        <v>4731</v>
      </c>
      <c r="AB129" s="175" t="s">
        <v>2211</v>
      </c>
      <c r="AC129" s="3" t="s">
        <v>2064</v>
      </c>
    </row>
    <row r="130" spans="1:29" x14ac:dyDescent="0.3">
      <c r="A130" s="4" t="s">
        <v>1589</v>
      </c>
      <c r="B130" s="3" t="s">
        <v>256</v>
      </c>
      <c r="C130" s="2">
        <v>103142</v>
      </c>
      <c r="D130" s="2">
        <v>7</v>
      </c>
      <c r="F130" s="2">
        <v>2</v>
      </c>
      <c r="G130" s="2">
        <v>0</v>
      </c>
      <c r="H130" s="2">
        <v>0</v>
      </c>
      <c r="I130" s="2">
        <v>1</v>
      </c>
      <c r="J130" s="2">
        <v>0</v>
      </c>
      <c r="K130" s="2">
        <v>0</v>
      </c>
      <c r="L130" s="2">
        <v>1</v>
      </c>
      <c r="M130" s="2">
        <v>2</v>
      </c>
      <c r="N130" s="2">
        <v>0</v>
      </c>
      <c r="O130" s="2">
        <v>0</v>
      </c>
      <c r="P130" s="2">
        <v>1</v>
      </c>
      <c r="Q130" s="2">
        <v>0</v>
      </c>
      <c r="R130" s="274">
        <v>39393</v>
      </c>
      <c r="S130" s="253">
        <v>12</v>
      </c>
      <c r="T130" s="254">
        <f>SUM( tabConsumo[[#This Row],[QTD.PENDENTE]]:tabConsumo[[#This Row],[07_23]] ) / tabConsumo[[#This Row],[Div]]</f>
        <v>0.58333333333333337</v>
      </c>
      <c r="U130" s="255">
        <f xml:space="preserve"> tabConsumo[[#This Row],[Média.A]] + (_xlfn.STDEV.S( tabConsumo[[#This Row],[QTD.PENDENTE]]:tabConsumo[[#This Row],[07_23]] ) * 1)</f>
        <v>1.3762947944320925</v>
      </c>
      <c r="V130" s="255">
        <f xml:space="preserve"> tabConsumo[[#This Row],[Média.A]] + (_xlfn.STDEV.S( tabConsumo[[#This Row],[QTD.PENDENTE]]:tabConsumo[[#This Row],[07_23]] ) * 2)</f>
        <v>2.1692562555308514</v>
      </c>
      <c r="W130" s="255">
        <f xml:space="preserve"> tabConsumo[[#This Row],[Média.A]] + (_xlfn.STDEV.S( tabConsumo[[#This Row],[QTD.PENDENTE]]:tabConsumo[[#This Row],[07_23]] ) * 3)</f>
        <v>2.9622177166296106</v>
      </c>
      <c r="X130" s="5">
        <f t="shared" si="3"/>
        <v>2</v>
      </c>
      <c r="Y130">
        <v>0.58333333333333337</v>
      </c>
      <c r="Z130" s="257">
        <f>SUM( tabConsumo[[#This Row],[QTD.PENDENTE]]:tabConsumo[[#This Row],[07_23]] )</f>
        <v>7</v>
      </c>
      <c r="AA130" s="257">
        <f>LARGE(tabConsumo[[#This Row],[08_22]:[07_23]],1)</f>
        <v>2</v>
      </c>
      <c r="AB130" s="175" t="s">
        <v>2212</v>
      </c>
      <c r="AC130" s="3" t="s">
        <v>2064</v>
      </c>
    </row>
    <row r="131" spans="1:29" x14ac:dyDescent="0.3">
      <c r="A131" s="4" t="s">
        <v>1133</v>
      </c>
      <c r="B131" s="3" t="s">
        <v>256</v>
      </c>
      <c r="C131" s="2">
        <v>17426</v>
      </c>
      <c r="D131" s="2">
        <v>3</v>
      </c>
      <c r="E131" s="2">
        <v>1</v>
      </c>
      <c r="F131" s="2">
        <v>2</v>
      </c>
      <c r="G131" s="2">
        <v>0</v>
      </c>
      <c r="H131" s="2">
        <v>0</v>
      </c>
      <c r="I131" s="2">
        <v>1</v>
      </c>
      <c r="J131" s="2">
        <v>0</v>
      </c>
      <c r="K131" s="2">
        <v>0</v>
      </c>
      <c r="L131" s="2">
        <v>1</v>
      </c>
      <c r="M131" s="2">
        <v>6</v>
      </c>
      <c r="N131" s="2">
        <v>0</v>
      </c>
      <c r="O131" s="2">
        <v>8</v>
      </c>
      <c r="P131" s="2">
        <v>1</v>
      </c>
      <c r="Q131" s="2">
        <v>3</v>
      </c>
      <c r="R131" s="274">
        <v>367</v>
      </c>
      <c r="S131" s="253">
        <f xml:space="preserve"> 12</f>
        <v>12</v>
      </c>
      <c r="T131" s="254">
        <f>SUM( tabConsumo[[#This Row],[QTD.PENDENTE]]:tabConsumo[[#This Row],[07_23]] ) / tabConsumo[[#This Row],[Div]]</f>
        <v>1.9166666666666667</v>
      </c>
      <c r="U131" s="255">
        <f xml:space="preserve"> tabConsumo[[#This Row],[Média.A]] + (_xlfn.STDEV.S( tabConsumo[[#This Row],[QTD.PENDENTE]]:tabConsumo[[#This Row],[07_23]] ) * 1)</f>
        <v>4.4383673544911275</v>
      </c>
      <c r="V131" s="255">
        <f xml:space="preserve"> tabConsumo[[#This Row],[Média.A]] + (_xlfn.STDEV.S( tabConsumo[[#This Row],[QTD.PENDENTE]]:tabConsumo[[#This Row],[07_23]] ) * 2)</f>
        <v>6.960068042315589</v>
      </c>
      <c r="W131" s="255">
        <f xml:space="preserve"> tabConsumo[[#This Row],[Média.A]] + (_xlfn.STDEV.S( tabConsumo[[#This Row],[QTD.PENDENTE]]:tabConsumo[[#This Row],[07_23]] ) * 3)</f>
        <v>9.4817687301400486</v>
      </c>
      <c r="X131" s="5">
        <f t="shared" ref="X131:X194" si="4" xml:space="preserve"> 2</f>
        <v>2</v>
      </c>
      <c r="Y131">
        <v>1.75</v>
      </c>
      <c r="Z131" s="257">
        <f>SUM( tabConsumo[[#This Row],[QTD.PENDENTE]]:tabConsumo[[#This Row],[07_23]] )</f>
        <v>23</v>
      </c>
      <c r="AA131" s="257">
        <f>LARGE(tabConsumo[[#This Row],[08_22]:[07_23]],1)</f>
        <v>8</v>
      </c>
      <c r="AB131" s="175" t="s">
        <v>2211</v>
      </c>
      <c r="AC131" s="3" t="s">
        <v>2064</v>
      </c>
    </row>
    <row r="132" spans="1:29" x14ac:dyDescent="0.3">
      <c r="A132" s="4" t="s">
        <v>1689</v>
      </c>
      <c r="B132" s="3" t="s">
        <v>31</v>
      </c>
      <c r="C132" s="2">
        <v>113634</v>
      </c>
      <c r="D132" s="2">
        <v>63</v>
      </c>
      <c r="F132" s="2">
        <v>0</v>
      </c>
      <c r="G132" s="2">
        <v>0</v>
      </c>
      <c r="H132" s="2">
        <v>0</v>
      </c>
      <c r="I132" s="2">
        <v>3</v>
      </c>
      <c r="J132" s="2">
        <v>0</v>
      </c>
      <c r="K132" s="2">
        <v>0</v>
      </c>
      <c r="L132" s="2">
        <v>0</v>
      </c>
      <c r="M132" s="2">
        <v>1</v>
      </c>
      <c r="N132" s="2">
        <v>0</v>
      </c>
      <c r="O132" s="2">
        <v>0</v>
      </c>
      <c r="P132" s="2">
        <v>0</v>
      </c>
      <c r="Q132" s="2">
        <v>0</v>
      </c>
      <c r="R132" s="274">
        <v>40150</v>
      </c>
      <c r="S132" s="253">
        <v>12</v>
      </c>
      <c r="T132" s="254">
        <f>SUM( tabConsumo[[#This Row],[QTD.PENDENTE]]:tabConsumo[[#This Row],[07_23]] ) / tabConsumo[[#This Row],[Div]]</f>
        <v>0.33333333333333331</v>
      </c>
      <c r="U132" s="255">
        <f xml:space="preserve"> tabConsumo[[#This Row],[Média.A]] + (_xlfn.STDEV.S( tabConsumo[[#This Row],[QTD.PENDENTE]]:tabConsumo[[#This Row],[07_23]] ) * 1)</f>
        <v>1.2209586979319278</v>
      </c>
      <c r="V132" s="255">
        <f xml:space="preserve"> tabConsumo[[#This Row],[Média.A]] + (_xlfn.STDEV.S( tabConsumo[[#This Row],[QTD.PENDENTE]]:tabConsumo[[#This Row],[07_23]] ) * 2)</f>
        <v>2.1085840625305226</v>
      </c>
      <c r="W132" s="255">
        <f xml:space="preserve"> tabConsumo[[#This Row],[Média.A]] + (_xlfn.STDEV.S( tabConsumo[[#This Row],[QTD.PENDENTE]]:tabConsumo[[#This Row],[07_23]] ) * 3)</f>
        <v>2.9962094271291169</v>
      </c>
      <c r="X132" s="5">
        <f t="shared" si="4"/>
        <v>2</v>
      </c>
      <c r="Y132">
        <v>0.25</v>
      </c>
      <c r="Z132" s="257">
        <f>SUM( tabConsumo[[#This Row],[QTD.PENDENTE]]:tabConsumo[[#This Row],[07_23]] )</f>
        <v>4</v>
      </c>
      <c r="AA132" s="257">
        <f>LARGE(tabConsumo[[#This Row],[08_22]:[07_23]],1)</f>
        <v>3</v>
      </c>
      <c r="AB132" s="175" t="s">
        <v>2217</v>
      </c>
      <c r="AC132" s="3" t="s">
        <v>2064</v>
      </c>
    </row>
    <row r="133" spans="1:29" x14ac:dyDescent="0.3">
      <c r="A133" s="4" t="s">
        <v>982</v>
      </c>
      <c r="B133" s="3" t="s">
        <v>256</v>
      </c>
      <c r="C133" s="2">
        <v>12971</v>
      </c>
      <c r="D133" s="2">
        <v>401</v>
      </c>
      <c r="F133" s="2">
        <v>0</v>
      </c>
      <c r="G133" s="2">
        <v>0</v>
      </c>
      <c r="H133" s="2">
        <v>100</v>
      </c>
      <c r="I133" s="2">
        <v>0</v>
      </c>
      <c r="J133" s="2">
        <v>0</v>
      </c>
      <c r="K133" s="2">
        <v>0</v>
      </c>
      <c r="L133" s="2">
        <v>0</v>
      </c>
      <c r="M133" s="2">
        <v>0</v>
      </c>
      <c r="N133" s="2">
        <v>0</v>
      </c>
      <c r="O133" s="2">
        <v>0</v>
      </c>
      <c r="P133" s="2">
        <v>0</v>
      </c>
      <c r="Q133" s="2">
        <v>0</v>
      </c>
      <c r="R133" s="274">
        <v>367</v>
      </c>
      <c r="S133" s="253">
        <f xml:space="preserve"> 12</f>
        <v>12</v>
      </c>
      <c r="T133" s="254">
        <f>SUM( tabConsumo[[#This Row],[QTD.PENDENTE]]:tabConsumo[[#This Row],[07_23]] ) / tabConsumo[[#This Row],[Div]]</f>
        <v>8.3333333333333339</v>
      </c>
      <c r="U133" s="255">
        <f xml:space="preserve"> tabConsumo[[#This Row],[Média.A]] + (_xlfn.STDEV.S( tabConsumo[[#This Row],[QTD.PENDENTE]]:tabConsumo[[#This Row],[07_23]] ) * 1)</f>
        <v>37.200846792814623</v>
      </c>
      <c r="V133" s="255">
        <f xml:space="preserve"> tabConsumo[[#This Row],[Média.A]] + (_xlfn.STDEV.S( tabConsumo[[#This Row],[QTD.PENDENTE]]:tabConsumo[[#This Row],[07_23]] ) * 2)</f>
        <v>66.068360252295903</v>
      </c>
      <c r="W133" s="255">
        <f xml:space="preserve"> tabConsumo[[#This Row],[Média.A]] + (_xlfn.STDEV.S( tabConsumo[[#This Row],[QTD.PENDENTE]]:tabConsumo[[#This Row],[07_23]] ) * 3)</f>
        <v>94.935873711777191</v>
      </c>
      <c r="X133" s="5">
        <f t="shared" si="4"/>
        <v>2</v>
      </c>
      <c r="Y133">
        <v>5.5</v>
      </c>
      <c r="Z133" s="257">
        <f>SUM( tabConsumo[[#This Row],[QTD.PENDENTE]]:tabConsumo[[#This Row],[07_23]] )</f>
        <v>100</v>
      </c>
      <c r="AA133" s="257">
        <f>LARGE(tabConsumo[[#This Row],[08_22]:[07_23]],1)</f>
        <v>100</v>
      </c>
      <c r="AB133" s="175" t="s">
        <v>2215</v>
      </c>
      <c r="AC133" s="3" t="s">
        <v>2064</v>
      </c>
    </row>
    <row r="134" spans="1:29" x14ac:dyDescent="0.3">
      <c r="A134" s="4" t="s">
        <v>1046</v>
      </c>
      <c r="B134" s="3" t="s">
        <v>256</v>
      </c>
      <c r="C134" s="2">
        <v>13768</v>
      </c>
      <c r="D134" s="2">
        <v>1097</v>
      </c>
      <c r="E134" s="2">
        <v>25</v>
      </c>
      <c r="F134" s="2">
        <v>310</v>
      </c>
      <c r="G134" s="2">
        <v>342</v>
      </c>
      <c r="H134" s="2">
        <v>605</v>
      </c>
      <c r="I134" s="2">
        <v>405</v>
      </c>
      <c r="J134" s="2">
        <v>285</v>
      </c>
      <c r="K134" s="2">
        <v>266</v>
      </c>
      <c r="L134" s="2">
        <v>411</v>
      </c>
      <c r="M134" s="2">
        <v>471</v>
      </c>
      <c r="N134" s="2">
        <v>351</v>
      </c>
      <c r="O134" s="2">
        <v>325</v>
      </c>
      <c r="P134" s="2">
        <v>287</v>
      </c>
      <c r="Q134" s="2">
        <v>252</v>
      </c>
      <c r="R134" s="274">
        <v>367</v>
      </c>
      <c r="S134" s="253">
        <f xml:space="preserve"> 12</f>
        <v>12</v>
      </c>
      <c r="T134" s="254">
        <f>SUM( tabConsumo[[#This Row],[QTD.PENDENTE]]:tabConsumo[[#This Row],[07_23]] ) / tabConsumo[[#This Row],[Div]]</f>
        <v>361.25</v>
      </c>
      <c r="U134" s="255">
        <f xml:space="preserve"> tabConsumo[[#This Row],[Média.A]] + (_xlfn.STDEV.S( tabConsumo[[#This Row],[QTD.PENDENTE]]:tabConsumo[[#This Row],[07_23]] ) * 1)</f>
        <v>495.29763791566501</v>
      </c>
      <c r="V134" s="255">
        <f xml:space="preserve"> tabConsumo[[#This Row],[Média.A]] + (_xlfn.STDEV.S( tabConsumo[[#This Row],[QTD.PENDENTE]]:tabConsumo[[#This Row],[07_23]] ) * 2)</f>
        <v>629.34527583133001</v>
      </c>
      <c r="W134" s="255">
        <f xml:space="preserve"> tabConsumo[[#This Row],[Média.A]] + (_xlfn.STDEV.S( tabConsumo[[#This Row],[QTD.PENDENTE]]:tabConsumo[[#This Row],[07_23]] ) * 3)</f>
        <v>763.39291374699496</v>
      </c>
      <c r="X134" s="5">
        <f t="shared" si="4"/>
        <v>2</v>
      </c>
      <c r="Y134">
        <v>361.25</v>
      </c>
      <c r="Z134" s="257">
        <f>SUM( tabConsumo[[#This Row],[QTD.PENDENTE]]:tabConsumo[[#This Row],[07_23]] )</f>
        <v>4335</v>
      </c>
      <c r="AA134" s="257">
        <f>LARGE(tabConsumo[[#This Row],[08_22]:[07_23]],1)</f>
        <v>605</v>
      </c>
      <c r="AB134" s="175" t="s">
        <v>2211</v>
      </c>
      <c r="AC134" s="3" t="s">
        <v>2064</v>
      </c>
    </row>
    <row r="135" spans="1:29" x14ac:dyDescent="0.3">
      <c r="A135" s="4" t="s">
        <v>1717</v>
      </c>
      <c r="B135" s="3" t="s">
        <v>256</v>
      </c>
      <c r="C135" s="2">
        <v>117734</v>
      </c>
      <c r="D135" s="2">
        <v>114</v>
      </c>
      <c r="F135" s="2">
        <v>0</v>
      </c>
      <c r="G135" s="2">
        <v>0</v>
      </c>
      <c r="H135" s="2">
        <v>0</v>
      </c>
      <c r="I135" s="2">
        <v>2</v>
      </c>
      <c r="J135" s="2">
        <v>0</v>
      </c>
      <c r="K135" s="2">
        <v>2</v>
      </c>
      <c r="L135" s="2">
        <v>0</v>
      </c>
      <c r="M135" s="2">
        <v>0</v>
      </c>
      <c r="N135" s="2">
        <v>0</v>
      </c>
      <c r="O135" s="2">
        <v>0</v>
      </c>
      <c r="P135" s="2">
        <v>0</v>
      </c>
      <c r="Q135" s="2">
        <v>0</v>
      </c>
      <c r="R135" s="274">
        <v>40438</v>
      </c>
      <c r="S135" s="253">
        <v>12</v>
      </c>
      <c r="T135" s="254">
        <f>SUM( tabConsumo[[#This Row],[QTD.PENDENTE]]:tabConsumo[[#This Row],[07_23]] ) / tabConsumo[[#This Row],[Div]]</f>
        <v>0.33333333333333331</v>
      </c>
      <c r="U135" s="255">
        <f xml:space="preserve"> tabConsumo[[#This Row],[Média.A]] + (_xlfn.STDEV.S( tabConsumo[[#This Row],[QTD.PENDENTE]]:tabConsumo[[#This Row],[07_23]] ) * 1)</f>
        <v>1.1118322774948564</v>
      </c>
      <c r="V135" s="255">
        <f xml:space="preserve"> tabConsumo[[#This Row],[Média.A]] + (_xlfn.STDEV.S( tabConsumo[[#This Row],[QTD.PENDENTE]]:tabConsumo[[#This Row],[07_23]] ) * 2)</f>
        <v>1.8903312216563792</v>
      </c>
      <c r="W135" s="255">
        <f xml:space="preserve"> tabConsumo[[#This Row],[Média.A]] + (_xlfn.STDEV.S( tabConsumo[[#This Row],[QTD.PENDENTE]]:tabConsumo[[#This Row],[07_23]] ) * 3)</f>
        <v>2.6688301658179023</v>
      </c>
      <c r="X135" s="5">
        <f t="shared" si="4"/>
        <v>2</v>
      </c>
      <c r="Y135">
        <v>0.16666666666666666</v>
      </c>
      <c r="Z135" s="257">
        <f>SUM( tabConsumo[[#This Row],[QTD.PENDENTE]]:tabConsumo[[#This Row],[07_23]] )</f>
        <v>4</v>
      </c>
      <c r="AA135" s="257">
        <f>LARGE(tabConsumo[[#This Row],[08_22]:[07_23]],1)</f>
        <v>2</v>
      </c>
      <c r="AB135" s="175" t="s">
        <v>2220</v>
      </c>
      <c r="AC135" s="3" t="s">
        <v>2064</v>
      </c>
    </row>
    <row r="136" spans="1:29" x14ac:dyDescent="0.3">
      <c r="A136" s="4" t="s">
        <v>1000</v>
      </c>
      <c r="B136" s="3" t="s">
        <v>256</v>
      </c>
      <c r="C136" s="2">
        <v>13092</v>
      </c>
      <c r="D136" s="2">
        <v>200</v>
      </c>
      <c r="F136" s="2">
        <v>9</v>
      </c>
      <c r="G136" s="2">
        <v>1</v>
      </c>
      <c r="H136" s="2">
        <v>0</v>
      </c>
      <c r="I136" s="2">
        <v>3</v>
      </c>
      <c r="J136" s="2">
        <v>5</v>
      </c>
      <c r="K136" s="2">
        <v>6</v>
      </c>
      <c r="L136" s="2">
        <v>1</v>
      </c>
      <c r="M136" s="2">
        <v>2</v>
      </c>
      <c r="N136" s="2">
        <v>0</v>
      </c>
      <c r="O136" s="2">
        <v>0</v>
      </c>
      <c r="P136" s="2">
        <v>0</v>
      </c>
      <c r="Q136" s="2">
        <v>10</v>
      </c>
      <c r="R136" s="274">
        <v>367</v>
      </c>
      <c r="S136" s="253">
        <f xml:space="preserve"> 12</f>
        <v>12</v>
      </c>
      <c r="T136" s="254">
        <f>SUM( tabConsumo[[#This Row],[QTD.PENDENTE]]:tabConsumo[[#This Row],[07_23]] ) / tabConsumo[[#This Row],[Div]]</f>
        <v>3.0833333333333335</v>
      </c>
      <c r="U136" s="255">
        <f xml:space="preserve"> tabConsumo[[#This Row],[Média.A]] + (_xlfn.STDEV.S( tabConsumo[[#This Row],[QTD.PENDENTE]]:tabConsumo[[#This Row],[07_23]] ) * 1)</f>
        <v>6.6878338871443948</v>
      </c>
      <c r="V136" s="255">
        <f xml:space="preserve"> tabConsumo[[#This Row],[Média.A]] + (_xlfn.STDEV.S( tabConsumo[[#This Row],[QTD.PENDENTE]]:tabConsumo[[#This Row],[07_23]] ) * 2)</f>
        <v>10.292334440955456</v>
      </c>
      <c r="W136" s="255">
        <f xml:space="preserve"> tabConsumo[[#This Row],[Média.A]] + (_xlfn.STDEV.S( tabConsumo[[#This Row],[QTD.PENDENTE]]:tabConsumo[[#This Row],[07_23]] ) * 3)</f>
        <v>13.896834994766516</v>
      </c>
      <c r="X136" s="5">
        <f t="shared" si="4"/>
        <v>2</v>
      </c>
      <c r="Y136">
        <v>3.0833333333333335</v>
      </c>
      <c r="Z136" s="257">
        <f>SUM( tabConsumo[[#This Row],[QTD.PENDENTE]]:tabConsumo[[#This Row],[07_23]] )</f>
        <v>37</v>
      </c>
      <c r="AA136" s="257">
        <f>LARGE(tabConsumo[[#This Row],[08_22]:[07_23]],1)</f>
        <v>10</v>
      </c>
      <c r="AB136" s="175" t="s">
        <v>2211</v>
      </c>
      <c r="AC136" s="3" t="s">
        <v>2064</v>
      </c>
    </row>
    <row r="137" spans="1:29" x14ac:dyDescent="0.3">
      <c r="A137" s="4" t="s">
        <v>1132</v>
      </c>
      <c r="B137" s="3" t="s">
        <v>256</v>
      </c>
      <c r="C137" s="2">
        <v>17422</v>
      </c>
      <c r="D137" s="2">
        <v>27</v>
      </c>
      <c r="F137" s="2">
        <v>0</v>
      </c>
      <c r="G137" s="2">
        <v>0</v>
      </c>
      <c r="H137" s="2">
        <v>2</v>
      </c>
      <c r="I137" s="2">
        <v>0</v>
      </c>
      <c r="J137" s="2">
        <v>0</v>
      </c>
      <c r="K137" s="2">
        <v>0</v>
      </c>
      <c r="L137" s="2">
        <v>0</v>
      </c>
      <c r="M137" s="2">
        <v>0</v>
      </c>
      <c r="N137" s="2">
        <v>0</v>
      </c>
      <c r="O137" s="2">
        <v>0</v>
      </c>
      <c r="P137" s="2">
        <v>0</v>
      </c>
      <c r="Q137" s="2">
        <v>0</v>
      </c>
      <c r="R137" s="274">
        <v>367</v>
      </c>
      <c r="S137" s="253">
        <f xml:space="preserve"> 12</f>
        <v>12</v>
      </c>
      <c r="T137" s="254">
        <f>SUM( tabConsumo[[#This Row],[QTD.PENDENTE]]:tabConsumo[[#This Row],[07_23]] ) / tabConsumo[[#This Row],[Div]]</f>
        <v>0.16666666666666666</v>
      </c>
      <c r="U137" s="255">
        <f xml:space="preserve"> tabConsumo[[#This Row],[Média.A]] + (_xlfn.STDEV.S( tabConsumo[[#This Row],[QTD.PENDENTE]]:tabConsumo[[#This Row],[07_23]] ) * 1)</f>
        <v>0.74401693585629236</v>
      </c>
      <c r="V137" s="255">
        <f xml:space="preserve"> tabConsumo[[#This Row],[Média.A]] + (_xlfn.STDEV.S( tabConsumo[[#This Row],[QTD.PENDENTE]]:tabConsumo[[#This Row],[07_23]] ) * 2)</f>
        <v>1.3213672050459182</v>
      </c>
      <c r="W137" s="255">
        <f xml:space="preserve"> tabConsumo[[#This Row],[Média.A]] + (_xlfn.STDEV.S( tabConsumo[[#This Row],[QTD.PENDENTE]]:tabConsumo[[#This Row],[07_23]] ) * 3)</f>
        <v>1.8987174742355439</v>
      </c>
      <c r="X137" s="5">
        <f t="shared" si="4"/>
        <v>2</v>
      </c>
      <c r="Y137">
        <v>8.3333333333333329E-2</v>
      </c>
      <c r="Z137" s="257">
        <f>SUM( tabConsumo[[#This Row],[QTD.PENDENTE]]:tabConsumo[[#This Row],[07_23]] )</f>
        <v>2</v>
      </c>
      <c r="AA137" s="257">
        <f>LARGE(tabConsumo[[#This Row],[08_22]:[07_23]],1)</f>
        <v>2</v>
      </c>
      <c r="AB137" s="175" t="s">
        <v>2215</v>
      </c>
      <c r="AC137" s="3" t="s">
        <v>2064</v>
      </c>
    </row>
    <row r="138" spans="1:29" x14ac:dyDescent="0.3">
      <c r="A138" s="4" t="s">
        <v>960</v>
      </c>
      <c r="B138" s="3" t="s">
        <v>411</v>
      </c>
      <c r="C138" s="2">
        <v>12763</v>
      </c>
      <c r="D138" s="2">
        <v>60</v>
      </c>
      <c r="E138" s="2">
        <v>51</v>
      </c>
      <c r="F138" s="2">
        <v>65</v>
      </c>
      <c r="G138" s="2">
        <v>28</v>
      </c>
      <c r="H138" s="2">
        <v>145</v>
      </c>
      <c r="I138" s="2">
        <v>5</v>
      </c>
      <c r="J138" s="2">
        <v>0</v>
      </c>
      <c r="K138" s="2">
        <v>26</v>
      </c>
      <c r="L138" s="2">
        <v>111</v>
      </c>
      <c r="M138" s="2">
        <v>168</v>
      </c>
      <c r="N138" s="2">
        <v>133</v>
      </c>
      <c r="O138" s="2">
        <v>217</v>
      </c>
      <c r="P138" s="2">
        <v>60</v>
      </c>
      <c r="Q138" s="2">
        <v>85</v>
      </c>
      <c r="R138" s="274">
        <v>367</v>
      </c>
      <c r="S138" s="253">
        <f xml:space="preserve"> 12</f>
        <v>12</v>
      </c>
      <c r="T138" s="254">
        <f>SUM( tabConsumo[[#This Row],[QTD.PENDENTE]]:tabConsumo[[#This Row],[07_23]] ) / tabConsumo[[#This Row],[Div]]</f>
        <v>91.166666666666671</v>
      </c>
      <c r="U138" s="255">
        <f xml:space="preserve"> tabConsumo[[#This Row],[Média.A]] + (_xlfn.STDEV.S( tabConsumo[[#This Row],[QTD.PENDENTE]]:tabConsumo[[#This Row],[07_23]] ) * 1)</f>
        <v>157.88728586074359</v>
      </c>
      <c r="V138" s="255">
        <f xml:space="preserve"> tabConsumo[[#This Row],[Média.A]] + (_xlfn.STDEV.S( tabConsumo[[#This Row],[QTD.PENDENTE]]:tabConsumo[[#This Row],[07_23]] ) * 2)</f>
        <v>224.60790505482055</v>
      </c>
      <c r="W138" s="255">
        <f xml:space="preserve"> tabConsumo[[#This Row],[Média.A]] + (_xlfn.STDEV.S( tabConsumo[[#This Row],[QTD.PENDENTE]]:tabConsumo[[#This Row],[07_23]] ) * 3)</f>
        <v>291.32852424889745</v>
      </c>
      <c r="X138" s="5">
        <f t="shared" si="4"/>
        <v>2</v>
      </c>
      <c r="Y138">
        <v>91.166666666666671</v>
      </c>
      <c r="Z138" s="257">
        <f>SUM( tabConsumo[[#This Row],[QTD.PENDENTE]]:tabConsumo[[#This Row],[07_23]] )</f>
        <v>1094</v>
      </c>
      <c r="AA138" s="257">
        <f>LARGE(tabConsumo[[#This Row],[08_22]:[07_23]],1)</f>
        <v>217</v>
      </c>
      <c r="AB138" s="175" t="s">
        <v>2211</v>
      </c>
      <c r="AC138" s="3" t="s">
        <v>2064</v>
      </c>
    </row>
    <row r="139" spans="1:29" x14ac:dyDescent="0.3">
      <c r="A139" s="4" t="s">
        <v>1599</v>
      </c>
      <c r="B139" s="3" t="s">
        <v>256</v>
      </c>
      <c r="C139" s="2">
        <v>105106</v>
      </c>
      <c r="D139" s="2">
        <v>13</v>
      </c>
      <c r="F139" s="2">
        <v>0</v>
      </c>
      <c r="G139" s="2">
        <v>0</v>
      </c>
      <c r="H139" s="2">
        <v>0</v>
      </c>
      <c r="I139" s="2">
        <v>0</v>
      </c>
      <c r="J139" s="2">
        <v>0</v>
      </c>
      <c r="K139" s="2">
        <v>2</v>
      </c>
      <c r="L139" s="2">
        <v>0</v>
      </c>
      <c r="M139" s="2">
        <v>0</v>
      </c>
      <c r="N139" s="2">
        <v>0</v>
      </c>
      <c r="O139" s="2">
        <v>0</v>
      </c>
      <c r="P139" s="2">
        <v>0</v>
      </c>
      <c r="Q139" s="2">
        <v>0</v>
      </c>
      <c r="R139" s="274">
        <v>39499</v>
      </c>
      <c r="S139" s="253">
        <v>12</v>
      </c>
      <c r="T139" s="254">
        <f>SUM( tabConsumo[[#This Row],[QTD.PENDENTE]]:tabConsumo[[#This Row],[07_23]] ) / tabConsumo[[#This Row],[Div]]</f>
        <v>0.16666666666666666</v>
      </c>
      <c r="U139" s="255">
        <f xml:space="preserve"> tabConsumo[[#This Row],[Média.A]] + (_xlfn.STDEV.S( tabConsumo[[#This Row],[QTD.PENDENTE]]:tabConsumo[[#This Row],[07_23]] ) * 1)</f>
        <v>0.74401693585629236</v>
      </c>
      <c r="V139" s="255">
        <f xml:space="preserve"> tabConsumo[[#This Row],[Média.A]] + (_xlfn.STDEV.S( tabConsumo[[#This Row],[QTD.PENDENTE]]:tabConsumo[[#This Row],[07_23]] ) * 2)</f>
        <v>1.3213672050459182</v>
      </c>
      <c r="W139" s="255">
        <f xml:space="preserve"> tabConsumo[[#This Row],[Média.A]] + (_xlfn.STDEV.S( tabConsumo[[#This Row],[QTD.PENDENTE]]:tabConsumo[[#This Row],[07_23]] ) * 3)</f>
        <v>1.8987174742355439</v>
      </c>
      <c r="X139" s="5">
        <f t="shared" si="4"/>
        <v>2</v>
      </c>
      <c r="Y139">
        <v>8.3333333333333329E-2</v>
      </c>
      <c r="Z139" s="257">
        <f>SUM( tabConsumo[[#This Row],[QTD.PENDENTE]]:tabConsumo[[#This Row],[07_23]] )</f>
        <v>2</v>
      </c>
      <c r="AA139" s="257">
        <f>LARGE(tabConsumo[[#This Row],[08_22]:[07_23]],1)</f>
        <v>2</v>
      </c>
      <c r="AB139" s="175" t="s">
        <v>2220</v>
      </c>
      <c r="AC139" s="3" t="s">
        <v>2064</v>
      </c>
    </row>
    <row r="140" spans="1:29" x14ac:dyDescent="0.3">
      <c r="A140" s="4" t="s">
        <v>1601</v>
      </c>
      <c r="B140" s="3" t="s">
        <v>256</v>
      </c>
      <c r="C140" s="2">
        <v>105107</v>
      </c>
      <c r="D140" s="2">
        <v>8</v>
      </c>
      <c r="F140" s="2">
        <v>0</v>
      </c>
      <c r="G140" s="2">
        <v>0</v>
      </c>
      <c r="H140" s="2">
        <v>0</v>
      </c>
      <c r="I140" s="2">
        <v>0</v>
      </c>
      <c r="J140" s="2">
        <v>0</v>
      </c>
      <c r="K140" s="2">
        <v>0</v>
      </c>
      <c r="L140" s="2">
        <v>0</v>
      </c>
      <c r="M140" s="2">
        <v>2</v>
      </c>
      <c r="N140" s="2">
        <v>0</v>
      </c>
      <c r="O140" s="2">
        <v>0</v>
      </c>
      <c r="P140" s="2">
        <v>0</v>
      </c>
      <c r="Q140" s="2">
        <v>0</v>
      </c>
      <c r="R140" s="274">
        <v>39499</v>
      </c>
      <c r="S140" s="253">
        <v>12</v>
      </c>
      <c r="T140" s="254">
        <f>SUM( tabConsumo[[#This Row],[QTD.PENDENTE]]:tabConsumo[[#This Row],[07_23]] ) / tabConsumo[[#This Row],[Div]]</f>
        <v>0.16666666666666666</v>
      </c>
      <c r="U140" s="255">
        <f xml:space="preserve"> tabConsumo[[#This Row],[Média.A]] + (_xlfn.STDEV.S( tabConsumo[[#This Row],[QTD.PENDENTE]]:tabConsumo[[#This Row],[07_23]] ) * 1)</f>
        <v>0.74401693585629236</v>
      </c>
      <c r="V140" s="255">
        <f xml:space="preserve"> tabConsumo[[#This Row],[Média.A]] + (_xlfn.STDEV.S( tabConsumo[[#This Row],[QTD.PENDENTE]]:tabConsumo[[#This Row],[07_23]] ) * 2)</f>
        <v>1.3213672050459182</v>
      </c>
      <c r="W140" s="255">
        <f xml:space="preserve"> tabConsumo[[#This Row],[Média.A]] + (_xlfn.STDEV.S( tabConsumo[[#This Row],[QTD.PENDENTE]]:tabConsumo[[#This Row],[07_23]] ) * 3)</f>
        <v>1.8987174742355439</v>
      </c>
      <c r="X140" s="5">
        <f t="shared" si="4"/>
        <v>2</v>
      </c>
      <c r="Y140">
        <v>8.3333333333333329E-2</v>
      </c>
      <c r="Z140" s="257">
        <f>SUM( tabConsumo[[#This Row],[QTD.PENDENTE]]:tabConsumo[[#This Row],[07_23]] )</f>
        <v>2</v>
      </c>
      <c r="AA140" s="257">
        <f>LARGE(tabConsumo[[#This Row],[08_22]:[07_23]],1)</f>
        <v>2</v>
      </c>
      <c r="AB140" s="175" t="s">
        <v>2217</v>
      </c>
      <c r="AC140" s="3" t="s">
        <v>2064</v>
      </c>
    </row>
    <row r="141" spans="1:29" x14ac:dyDescent="0.3">
      <c r="A141" s="4" t="s">
        <v>1602</v>
      </c>
      <c r="B141" s="3" t="s">
        <v>256</v>
      </c>
      <c r="C141" s="2">
        <v>105108</v>
      </c>
      <c r="D141" s="2">
        <v>13</v>
      </c>
      <c r="F141" s="2">
        <v>2</v>
      </c>
      <c r="G141" s="2">
        <v>0</v>
      </c>
      <c r="H141" s="2">
        <v>0</v>
      </c>
      <c r="I141" s="2">
        <v>0</v>
      </c>
      <c r="J141" s="2">
        <v>0</v>
      </c>
      <c r="K141" s="2">
        <v>2</v>
      </c>
      <c r="L141" s="2">
        <v>2</v>
      </c>
      <c r="M141" s="2">
        <v>1</v>
      </c>
      <c r="N141" s="2">
        <v>0</v>
      </c>
      <c r="O141" s="2">
        <v>0</v>
      </c>
      <c r="P141" s="2">
        <v>0</v>
      </c>
      <c r="Q141" s="2">
        <v>0</v>
      </c>
      <c r="R141" s="274">
        <v>39499</v>
      </c>
      <c r="S141" s="253">
        <v>12</v>
      </c>
      <c r="T141" s="254">
        <f>SUM( tabConsumo[[#This Row],[QTD.PENDENTE]]:tabConsumo[[#This Row],[07_23]] ) / tabConsumo[[#This Row],[Div]]</f>
        <v>0.58333333333333337</v>
      </c>
      <c r="U141" s="255">
        <f xml:space="preserve"> tabConsumo[[#This Row],[Média.A]] + (_xlfn.STDEV.S( tabConsumo[[#This Row],[QTD.PENDENTE]]:tabConsumo[[#This Row],[07_23]] ) * 1)</f>
        <v>1.4836699707118535</v>
      </c>
      <c r="V141" s="255">
        <f xml:space="preserve"> tabConsumo[[#This Row],[Média.A]] + (_xlfn.STDEV.S( tabConsumo[[#This Row],[QTD.PENDENTE]]:tabConsumo[[#This Row],[07_23]] ) * 2)</f>
        <v>2.3840066080903735</v>
      </c>
      <c r="W141" s="255">
        <f xml:space="preserve"> tabConsumo[[#This Row],[Média.A]] + (_xlfn.STDEV.S( tabConsumo[[#This Row],[QTD.PENDENTE]]:tabConsumo[[#This Row],[07_23]] ) * 3)</f>
        <v>3.2843432454688934</v>
      </c>
      <c r="X141" s="5">
        <f t="shared" si="4"/>
        <v>2</v>
      </c>
      <c r="Y141">
        <v>0.58333333333333337</v>
      </c>
      <c r="Z141" s="257">
        <f>SUM( tabConsumo[[#This Row],[QTD.PENDENTE]]:tabConsumo[[#This Row],[07_23]] )</f>
        <v>7</v>
      </c>
      <c r="AA141" s="257">
        <f>LARGE(tabConsumo[[#This Row],[08_22]:[07_23]],1)</f>
        <v>2</v>
      </c>
      <c r="AB141" s="175" t="s">
        <v>2217</v>
      </c>
      <c r="AC141" s="3" t="s">
        <v>2064</v>
      </c>
    </row>
    <row r="142" spans="1:29" x14ac:dyDescent="0.3">
      <c r="A142" s="4" t="s">
        <v>1636</v>
      </c>
      <c r="B142" s="3" t="s">
        <v>256</v>
      </c>
      <c r="C142" s="2">
        <v>106917</v>
      </c>
      <c r="D142" s="2">
        <v>0</v>
      </c>
      <c r="E142" s="2">
        <v>1</v>
      </c>
      <c r="F142" s="2">
        <v>0</v>
      </c>
      <c r="G142" s="2">
        <v>0</v>
      </c>
      <c r="H142" s="2">
        <v>1</v>
      </c>
      <c r="I142" s="2">
        <v>0</v>
      </c>
      <c r="J142" s="2">
        <v>0</v>
      </c>
      <c r="K142" s="2">
        <v>0</v>
      </c>
      <c r="L142" s="2">
        <v>0</v>
      </c>
      <c r="M142" s="2">
        <v>0</v>
      </c>
      <c r="N142" s="2">
        <v>0</v>
      </c>
      <c r="O142" s="2">
        <v>0</v>
      </c>
      <c r="P142" s="2">
        <v>0</v>
      </c>
      <c r="Q142" s="2">
        <v>0</v>
      </c>
      <c r="R142" s="274">
        <v>39624</v>
      </c>
      <c r="S142" s="253">
        <v>12</v>
      </c>
      <c r="T142" s="254">
        <f>SUM( tabConsumo[[#This Row],[QTD.PENDENTE]]:tabConsumo[[#This Row],[07_23]] ) / tabConsumo[[#This Row],[Div]]</f>
        <v>0.16666666666666666</v>
      </c>
      <c r="U142" s="255">
        <f xml:space="preserve"> tabConsumo[[#This Row],[Média.A]] + (_xlfn.STDEV.S( tabConsumo[[#This Row],[QTD.PENDENTE]]:tabConsumo[[#This Row],[07_23]] ) * 1)</f>
        <v>0.54220047476607203</v>
      </c>
      <c r="V142" s="255">
        <f xml:space="preserve"> tabConsumo[[#This Row],[Média.A]] + (_xlfn.STDEV.S( tabConsumo[[#This Row],[QTD.PENDENTE]]:tabConsumo[[#This Row],[07_23]] ) * 2)</f>
        <v>0.91773428286547742</v>
      </c>
      <c r="W142" s="255">
        <f xml:space="preserve"> tabConsumo[[#This Row],[Média.A]] + (_xlfn.STDEV.S( tabConsumo[[#This Row],[QTD.PENDENTE]]:tabConsumo[[#This Row],[07_23]] ) * 3)</f>
        <v>1.2932680909648828</v>
      </c>
      <c r="X142" s="5">
        <f t="shared" si="4"/>
        <v>2</v>
      </c>
      <c r="Y142">
        <v>8.3333333333333329E-2</v>
      </c>
      <c r="Z142" s="257">
        <f>SUM( tabConsumo[[#This Row],[QTD.PENDENTE]]:tabConsumo[[#This Row],[07_23]] )</f>
        <v>2</v>
      </c>
      <c r="AA142" s="257">
        <f>LARGE(tabConsumo[[#This Row],[08_22]:[07_23]],1)</f>
        <v>1</v>
      </c>
      <c r="AB142" s="175" t="s">
        <v>2215</v>
      </c>
      <c r="AC142" s="3" t="s">
        <v>2064</v>
      </c>
    </row>
    <row r="143" spans="1:29" x14ac:dyDescent="0.3">
      <c r="A143" s="4" t="s">
        <v>1637</v>
      </c>
      <c r="B143" s="3" t="s">
        <v>256</v>
      </c>
      <c r="C143" s="2">
        <v>106918</v>
      </c>
      <c r="D143" s="2">
        <v>8</v>
      </c>
      <c r="F143" s="2">
        <v>0</v>
      </c>
      <c r="G143" s="2">
        <v>0</v>
      </c>
      <c r="H143" s="2">
        <v>0</v>
      </c>
      <c r="I143" s="2">
        <v>0</v>
      </c>
      <c r="J143" s="2">
        <v>0</v>
      </c>
      <c r="K143" s="2">
        <v>0</v>
      </c>
      <c r="L143" s="2">
        <v>0</v>
      </c>
      <c r="M143" s="2">
        <v>0</v>
      </c>
      <c r="N143" s="2">
        <v>0</v>
      </c>
      <c r="O143" s="2">
        <v>0</v>
      </c>
      <c r="P143" s="2">
        <v>0</v>
      </c>
      <c r="Q143" s="2">
        <v>2</v>
      </c>
      <c r="R143" s="274">
        <v>39624</v>
      </c>
      <c r="S143" s="253">
        <v>12</v>
      </c>
      <c r="T143" s="254">
        <f>SUM( tabConsumo[[#This Row],[QTD.PENDENTE]]:tabConsumo[[#This Row],[07_23]] ) / tabConsumo[[#This Row],[Div]]</f>
        <v>0.16666666666666666</v>
      </c>
      <c r="U143" s="255">
        <f xml:space="preserve"> tabConsumo[[#This Row],[Média.A]] + (_xlfn.STDEV.S( tabConsumo[[#This Row],[QTD.PENDENTE]]:tabConsumo[[#This Row],[07_23]] ) * 1)</f>
        <v>0.74401693585629236</v>
      </c>
      <c r="V143" s="255">
        <f xml:space="preserve"> tabConsumo[[#This Row],[Média.A]] + (_xlfn.STDEV.S( tabConsumo[[#This Row],[QTD.PENDENTE]]:tabConsumo[[#This Row],[07_23]] ) * 2)</f>
        <v>1.3213672050459182</v>
      </c>
      <c r="W143" s="255">
        <f xml:space="preserve"> tabConsumo[[#This Row],[Média.A]] + (_xlfn.STDEV.S( tabConsumo[[#This Row],[QTD.PENDENTE]]:tabConsumo[[#This Row],[07_23]] ) * 3)</f>
        <v>1.8987174742355439</v>
      </c>
      <c r="X143" s="5">
        <f t="shared" si="4"/>
        <v>2</v>
      </c>
      <c r="Y143">
        <v>8.3333333333333329E-2</v>
      </c>
      <c r="Z143" s="257">
        <f>SUM( tabConsumo[[#This Row],[QTD.PENDENTE]]:tabConsumo[[#This Row],[07_23]] )</f>
        <v>2</v>
      </c>
      <c r="AA143" s="257">
        <f>LARGE(tabConsumo[[#This Row],[08_22]:[07_23]],1)</f>
        <v>2</v>
      </c>
      <c r="AB143" s="175" t="s">
        <v>2211</v>
      </c>
      <c r="AC143" s="3" t="s">
        <v>2064</v>
      </c>
    </row>
    <row r="144" spans="1:29" x14ac:dyDescent="0.3">
      <c r="A144" s="4" t="s">
        <v>1603</v>
      </c>
      <c r="B144" s="3" t="s">
        <v>256</v>
      </c>
      <c r="C144" s="2">
        <v>105110</v>
      </c>
      <c r="D144" s="2">
        <v>12</v>
      </c>
      <c r="F144" s="2">
        <v>0</v>
      </c>
      <c r="G144" s="2">
        <v>0</v>
      </c>
      <c r="H144" s="2">
        <v>0</v>
      </c>
      <c r="I144" s="2">
        <v>0</v>
      </c>
      <c r="J144" s="2">
        <v>0</v>
      </c>
      <c r="K144" s="2">
        <v>0</v>
      </c>
      <c r="L144" s="2">
        <v>0</v>
      </c>
      <c r="M144" s="2">
        <v>0</v>
      </c>
      <c r="N144" s="2">
        <v>0</v>
      </c>
      <c r="O144" s="2">
        <v>0</v>
      </c>
      <c r="P144" s="2">
        <v>0</v>
      </c>
      <c r="Q144" s="2">
        <v>2</v>
      </c>
      <c r="R144" s="274">
        <v>39499</v>
      </c>
      <c r="S144" s="253">
        <v>12</v>
      </c>
      <c r="T144" s="254">
        <f>SUM( tabConsumo[[#This Row],[QTD.PENDENTE]]:tabConsumo[[#This Row],[07_23]] ) / tabConsumo[[#This Row],[Div]]</f>
        <v>0.16666666666666666</v>
      </c>
      <c r="U144" s="255">
        <f xml:space="preserve"> tabConsumo[[#This Row],[Média.A]] + (_xlfn.STDEV.S( tabConsumo[[#This Row],[QTD.PENDENTE]]:tabConsumo[[#This Row],[07_23]] ) * 1)</f>
        <v>0.74401693585629236</v>
      </c>
      <c r="V144" s="255">
        <f xml:space="preserve"> tabConsumo[[#This Row],[Média.A]] + (_xlfn.STDEV.S( tabConsumo[[#This Row],[QTD.PENDENTE]]:tabConsumo[[#This Row],[07_23]] ) * 2)</f>
        <v>1.3213672050459182</v>
      </c>
      <c r="W144" s="255">
        <f xml:space="preserve"> tabConsumo[[#This Row],[Média.A]] + (_xlfn.STDEV.S( tabConsumo[[#This Row],[QTD.PENDENTE]]:tabConsumo[[#This Row],[07_23]] ) * 3)</f>
        <v>1.8987174742355439</v>
      </c>
      <c r="X144" s="5">
        <f t="shared" si="4"/>
        <v>2</v>
      </c>
      <c r="Y144">
        <v>8.3333333333333329E-2</v>
      </c>
      <c r="Z144" s="257">
        <f>SUM( tabConsumo[[#This Row],[QTD.PENDENTE]]:tabConsumo[[#This Row],[07_23]] )</f>
        <v>2</v>
      </c>
      <c r="AA144" s="257">
        <f>LARGE(tabConsumo[[#This Row],[08_22]:[07_23]],1)</f>
        <v>2</v>
      </c>
      <c r="AB144" s="175" t="s">
        <v>2211</v>
      </c>
      <c r="AC144" s="3" t="s">
        <v>2064</v>
      </c>
    </row>
    <row r="145" spans="1:29" x14ac:dyDescent="0.3">
      <c r="A145" s="4" t="s">
        <v>1774</v>
      </c>
      <c r="B145" s="3" t="s">
        <v>256</v>
      </c>
      <c r="C145" s="2">
        <v>127107</v>
      </c>
      <c r="D145" s="2">
        <v>14</v>
      </c>
      <c r="F145" s="2">
        <v>0</v>
      </c>
      <c r="G145" s="2">
        <v>0</v>
      </c>
      <c r="H145" s="2">
        <v>2</v>
      </c>
      <c r="I145" s="2">
        <v>0</v>
      </c>
      <c r="J145" s="2">
        <v>0</v>
      </c>
      <c r="K145" s="2">
        <v>0</v>
      </c>
      <c r="L145" s="2">
        <v>2</v>
      </c>
      <c r="M145" s="2">
        <v>0</v>
      </c>
      <c r="N145" s="2">
        <v>0</v>
      </c>
      <c r="O145" s="2">
        <v>0</v>
      </c>
      <c r="P145" s="2">
        <v>0</v>
      </c>
      <c r="Q145" s="2">
        <v>0</v>
      </c>
      <c r="R145" s="274">
        <v>41648</v>
      </c>
      <c r="S145" s="253">
        <v>12</v>
      </c>
      <c r="T145" s="254">
        <f>SUM( tabConsumo[[#This Row],[QTD.PENDENTE]]:tabConsumo[[#This Row],[07_23]] ) / tabConsumo[[#This Row],[Div]]</f>
        <v>0.33333333333333331</v>
      </c>
      <c r="U145" s="255">
        <f xml:space="preserve"> tabConsumo[[#This Row],[Média.A]] + (_xlfn.STDEV.S( tabConsumo[[#This Row],[QTD.PENDENTE]]:tabConsumo[[#This Row],[07_23]] ) * 1)</f>
        <v>1.1118322774948564</v>
      </c>
      <c r="V145" s="255">
        <f xml:space="preserve"> tabConsumo[[#This Row],[Média.A]] + (_xlfn.STDEV.S( tabConsumo[[#This Row],[QTD.PENDENTE]]:tabConsumo[[#This Row],[07_23]] ) * 2)</f>
        <v>1.8903312216563792</v>
      </c>
      <c r="W145" s="255">
        <f xml:space="preserve"> tabConsumo[[#This Row],[Média.A]] + (_xlfn.STDEV.S( tabConsumo[[#This Row],[QTD.PENDENTE]]:tabConsumo[[#This Row],[07_23]] ) * 3)</f>
        <v>2.6688301658179023</v>
      </c>
      <c r="X145" s="5">
        <f t="shared" si="4"/>
        <v>2</v>
      </c>
      <c r="Y145">
        <v>0.16666666666666666</v>
      </c>
      <c r="Z145" s="257">
        <f>SUM( tabConsumo[[#This Row],[QTD.PENDENTE]]:tabConsumo[[#This Row],[07_23]] )</f>
        <v>4</v>
      </c>
      <c r="AA145" s="257">
        <f>LARGE(tabConsumo[[#This Row],[08_22]:[07_23]],1)</f>
        <v>2</v>
      </c>
      <c r="AB145" s="175" t="s">
        <v>2221</v>
      </c>
      <c r="AC145" s="3" t="s">
        <v>2064</v>
      </c>
    </row>
    <row r="146" spans="1:29" x14ac:dyDescent="0.3">
      <c r="A146" s="4" t="s">
        <v>1896</v>
      </c>
      <c r="B146" s="3" t="s">
        <v>301</v>
      </c>
      <c r="C146" s="2">
        <v>135014</v>
      </c>
      <c r="D146" s="2">
        <v>0</v>
      </c>
      <c r="F146" s="2">
        <v>0</v>
      </c>
      <c r="G146" s="2">
        <v>0</v>
      </c>
      <c r="H146" s="2">
        <v>0</v>
      </c>
      <c r="I146" s="2">
        <v>0</v>
      </c>
      <c r="J146" s="2">
        <v>0</v>
      </c>
      <c r="K146" s="2">
        <v>0</v>
      </c>
      <c r="L146" s="2">
        <v>1</v>
      </c>
      <c r="M146" s="2">
        <v>1</v>
      </c>
      <c r="N146" s="2">
        <v>2</v>
      </c>
      <c r="O146" s="2">
        <v>0</v>
      </c>
      <c r="P146" s="2">
        <v>0</v>
      </c>
      <c r="Q146" s="2">
        <v>0</v>
      </c>
      <c r="R146" s="274">
        <v>43235</v>
      </c>
      <c r="S146" s="253">
        <v>12</v>
      </c>
      <c r="T146" s="254">
        <f>SUM( tabConsumo[[#This Row],[QTD.PENDENTE]]:tabConsumo[[#This Row],[07_23]] ) / tabConsumo[[#This Row],[Div]]</f>
        <v>0.33333333333333331</v>
      </c>
      <c r="U146" s="255">
        <f xml:space="preserve"> tabConsumo[[#This Row],[Média.A]] + (_xlfn.STDEV.S( tabConsumo[[#This Row],[QTD.PENDENTE]]:tabConsumo[[#This Row],[07_23]] ) * 1)</f>
        <v>0.98467228061226297</v>
      </c>
      <c r="V146" s="255">
        <f xml:space="preserve"> tabConsumo[[#This Row],[Média.A]] + (_xlfn.STDEV.S( tabConsumo[[#This Row],[QTD.PENDENTE]]:tabConsumo[[#This Row],[07_23]] ) * 2)</f>
        <v>1.6360112278911925</v>
      </c>
      <c r="W146" s="255">
        <f xml:space="preserve"> tabConsumo[[#This Row],[Média.A]] + (_xlfn.STDEV.S( tabConsumo[[#This Row],[QTD.PENDENTE]]:tabConsumo[[#This Row],[07_23]] ) * 3)</f>
        <v>2.2873501751701224</v>
      </c>
      <c r="X146" s="5">
        <f t="shared" si="4"/>
        <v>2</v>
      </c>
      <c r="Y146">
        <v>0.25</v>
      </c>
      <c r="Z146" s="257">
        <f>SUM( tabConsumo[[#This Row],[QTD.PENDENTE]]:tabConsumo[[#This Row],[07_23]] )</f>
        <v>4</v>
      </c>
      <c r="AA146" s="257">
        <f>LARGE(tabConsumo[[#This Row],[08_22]:[07_23]],1)</f>
        <v>2</v>
      </c>
      <c r="AB146" s="175" t="s">
        <v>2213</v>
      </c>
      <c r="AC146" s="3" t="s">
        <v>2064</v>
      </c>
    </row>
    <row r="147" spans="1:29" x14ac:dyDescent="0.3">
      <c r="A147" s="4" t="s">
        <v>1606</v>
      </c>
      <c r="B147" s="3" t="s">
        <v>256</v>
      </c>
      <c r="C147" s="2">
        <v>105114</v>
      </c>
      <c r="D147" s="2">
        <v>39</v>
      </c>
      <c r="F147" s="2">
        <v>0</v>
      </c>
      <c r="G147" s="2">
        <v>0</v>
      </c>
      <c r="H147" s="2">
        <v>0</v>
      </c>
      <c r="I147" s="2">
        <v>0</v>
      </c>
      <c r="J147" s="2">
        <v>0</v>
      </c>
      <c r="K147" s="2">
        <v>0</v>
      </c>
      <c r="L147" s="2">
        <v>0</v>
      </c>
      <c r="M147" s="2">
        <v>2</v>
      </c>
      <c r="N147" s="2">
        <v>0</v>
      </c>
      <c r="O147" s="2">
        <v>0</v>
      </c>
      <c r="P147" s="2">
        <v>0</v>
      </c>
      <c r="Q147" s="2">
        <v>0</v>
      </c>
      <c r="R147" s="274">
        <v>39499</v>
      </c>
      <c r="S147" s="253">
        <v>12</v>
      </c>
      <c r="T147" s="254">
        <f>SUM( tabConsumo[[#This Row],[QTD.PENDENTE]]:tabConsumo[[#This Row],[07_23]] ) / tabConsumo[[#This Row],[Div]]</f>
        <v>0.16666666666666666</v>
      </c>
      <c r="U147" s="255">
        <f xml:space="preserve"> tabConsumo[[#This Row],[Média.A]] + (_xlfn.STDEV.S( tabConsumo[[#This Row],[QTD.PENDENTE]]:tabConsumo[[#This Row],[07_23]] ) * 1)</f>
        <v>0.74401693585629236</v>
      </c>
      <c r="V147" s="255">
        <f xml:space="preserve"> tabConsumo[[#This Row],[Média.A]] + (_xlfn.STDEV.S( tabConsumo[[#This Row],[QTD.PENDENTE]]:tabConsumo[[#This Row],[07_23]] ) * 2)</f>
        <v>1.3213672050459182</v>
      </c>
      <c r="W147" s="255">
        <f xml:space="preserve"> tabConsumo[[#This Row],[Média.A]] + (_xlfn.STDEV.S( tabConsumo[[#This Row],[QTD.PENDENTE]]:tabConsumo[[#This Row],[07_23]] ) * 3)</f>
        <v>1.8987174742355439</v>
      </c>
      <c r="X147" s="5">
        <f t="shared" si="4"/>
        <v>2</v>
      </c>
      <c r="Y147">
        <v>8.3333333333333329E-2</v>
      </c>
      <c r="Z147" s="257">
        <f>SUM( tabConsumo[[#This Row],[QTD.PENDENTE]]:tabConsumo[[#This Row],[07_23]] )</f>
        <v>2</v>
      </c>
      <c r="AA147" s="257">
        <f>LARGE(tabConsumo[[#This Row],[08_22]:[07_23]],1)</f>
        <v>2</v>
      </c>
      <c r="AB147" s="175" t="s">
        <v>2217</v>
      </c>
      <c r="AC147" s="3" t="s">
        <v>2064</v>
      </c>
    </row>
    <row r="148" spans="1:29" x14ac:dyDescent="0.3">
      <c r="A148" s="4" t="s">
        <v>1631</v>
      </c>
      <c r="B148" s="3" t="s">
        <v>256</v>
      </c>
      <c r="C148" s="2">
        <v>106910</v>
      </c>
      <c r="D148" s="2">
        <v>7</v>
      </c>
      <c r="F148" s="2">
        <v>0</v>
      </c>
      <c r="G148" s="2">
        <v>0</v>
      </c>
      <c r="H148" s="2">
        <v>2</v>
      </c>
      <c r="I148" s="2">
        <v>0</v>
      </c>
      <c r="J148" s="2">
        <v>0</v>
      </c>
      <c r="K148" s="2">
        <v>0</v>
      </c>
      <c r="L148" s="2">
        <v>0</v>
      </c>
      <c r="M148" s="2">
        <v>0</v>
      </c>
      <c r="N148" s="2">
        <v>0</v>
      </c>
      <c r="O148" s="2">
        <v>0</v>
      </c>
      <c r="P148" s="2">
        <v>0</v>
      </c>
      <c r="Q148" s="2">
        <v>2</v>
      </c>
      <c r="R148" s="274">
        <v>39624</v>
      </c>
      <c r="S148" s="253">
        <v>12</v>
      </c>
      <c r="T148" s="254">
        <f>SUM( tabConsumo[[#This Row],[QTD.PENDENTE]]:tabConsumo[[#This Row],[07_23]] ) / tabConsumo[[#This Row],[Div]]</f>
        <v>0.33333333333333331</v>
      </c>
      <c r="U148" s="255">
        <f xml:space="preserve"> tabConsumo[[#This Row],[Média.A]] + (_xlfn.STDEV.S( tabConsumo[[#This Row],[QTD.PENDENTE]]:tabConsumo[[#This Row],[07_23]] ) * 1)</f>
        <v>1.1118322774948564</v>
      </c>
      <c r="V148" s="255">
        <f xml:space="preserve"> tabConsumo[[#This Row],[Média.A]] + (_xlfn.STDEV.S( tabConsumo[[#This Row],[QTD.PENDENTE]]:tabConsumo[[#This Row],[07_23]] ) * 2)</f>
        <v>1.8903312216563792</v>
      </c>
      <c r="W148" s="255">
        <f xml:space="preserve"> tabConsumo[[#This Row],[Média.A]] + (_xlfn.STDEV.S( tabConsumo[[#This Row],[QTD.PENDENTE]]:tabConsumo[[#This Row],[07_23]] ) * 3)</f>
        <v>2.6688301658179023</v>
      </c>
      <c r="X148" s="5">
        <f t="shared" si="4"/>
        <v>2</v>
      </c>
      <c r="Y148">
        <v>0.16666666666666666</v>
      </c>
      <c r="Z148" s="257">
        <f>SUM( tabConsumo[[#This Row],[QTD.PENDENTE]]:tabConsumo[[#This Row],[07_23]] )</f>
        <v>4</v>
      </c>
      <c r="AA148" s="257">
        <f>LARGE(tabConsumo[[#This Row],[08_22]:[07_23]],1)</f>
        <v>2</v>
      </c>
      <c r="AB148" s="175" t="s">
        <v>2211</v>
      </c>
      <c r="AC148" s="3" t="s">
        <v>2064</v>
      </c>
    </row>
    <row r="149" spans="1:29" x14ac:dyDescent="0.3">
      <c r="A149" s="4" t="s">
        <v>1608</v>
      </c>
      <c r="B149" s="3" t="s">
        <v>256</v>
      </c>
      <c r="C149" s="2">
        <v>105115</v>
      </c>
      <c r="D149" s="2">
        <v>24</v>
      </c>
      <c r="F149" s="2">
        <v>0</v>
      </c>
      <c r="G149" s="2">
        <v>0</v>
      </c>
      <c r="H149" s="2">
        <v>0</v>
      </c>
      <c r="I149" s="2">
        <v>0</v>
      </c>
      <c r="J149" s="2">
        <v>0</v>
      </c>
      <c r="K149" s="2">
        <v>2</v>
      </c>
      <c r="L149" s="2">
        <v>2</v>
      </c>
      <c r="M149" s="2">
        <v>0</v>
      </c>
      <c r="N149" s="2">
        <v>0</v>
      </c>
      <c r="O149" s="2">
        <v>0</v>
      </c>
      <c r="P149" s="2">
        <v>0</v>
      </c>
      <c r="Q149" s="2">
        <v>0</v>
      </c>
      <c r="R149" s="274">
        <v>39499</v>
      </c>
      <c r="S149" s="253">
        <v>12</v>
      </c>
      <c r="T149" s="254">
        <f>SUM( tabConsumo[[#This Row],[QTD.PENDENTE]]:tabConsumo[[#This Row],[07_23]] ) / tabConsumo[[#This Row],[Div]]</f>
        <v>0.33333333333333331</v>
      </c>
      <c r="U149" s="255">
        <f xml:space="preserve"> tabConsumo[[#This Row],[Média.A]] + (_xlfn.STDEV.S( tabConsumo[[#This Row],[QTD.PENDENTE]]:tabConsumo[[#This Row],[07_23]] ) * 1)</f>
        <v>1.1118322774948564</v>
      </c>
      <c r="V149" s="255">
        <f xml:space="preserve"> tabConsumo[[#This Row],[Média.A]] + (_xlfn.STDEV.S( tabConsumo[[#This Row],[QTD.PENDENTE]]:tabConsumo[[#This Row],[07_23]] ) * 2)</f>
        <v>1.8903312216563792</v>
      </c>
      <c r="W149" s="255">
        <f xml:space="preserve"> tabConsumo[[#This Row],[Média.A]] + (_xlfn.STDEV.S( tabConsumo[[#This Row],[QTD.PENDENTE]]:tabConsumo[[#This Row],[07_23]] ) * 3)</f>
        <v>2.6688301658179023</v>
      </c>
      <c r="X149" s="5">
        <f t="shared" si="4"/>
        <v>2</v>
      </c>
      <c r="Y149">
        <v>0.16666666666666666</v>
      </c>
      <c r="Z149" s="257">
        <f>SUM( tabConsumo[[#This Row],[QTD.PENDENTE]]:tabConsumo[[#This Row],[07_23]] )</f>
        <v>4</v>
      </c>
      <c r="AA149" s="257">
        <f>LARGE(tabConsumo[[#This Row],[08_22]:[07_23]],1)</f>
        <v>2</v>
      </c>
      <c r="AB149" s="175" t="s">
        <v>2221</v>
      </c>
      <c r="AC149" s="3" t="s">
        <v>2064</v>
      </c>
    </row>
    <row r="150" spans="1:29" x14ac:dyDescent="0.3">
      <c r="A150" s="4" t="s">
        <v>1632</v>
      </c>
      <c r="B150" s="3" t="s">
        <v>256</v>
      </c>
      <c r="C150" s="2">
        <v>106911</v>
      </c>
      <c r="D150" s="2">
        <v>6</v>
      </c>
      <c r="F150" s="2">
        <v>0</v>
      </c>
      <c r="G150" s="2">
        <v>0</v>
      </c>
      <c r="H150" s="2">
        <v>2</v>
      </c>
      <c r="I150" s="2">
        <v>0</v>
      </c>
      <c r="J150" s="2">
        <v>0</v>
      </c>
      <c r="K150" s="2">
        <v>0</v>
      </c>
      <c r="L150" s="2">
        <v>0</v>
      </c>
      <c r="M150" s="2">
        <v>0</v>
      </c>
      <c r="N150" s="2">
        <v>0</v>
      </c>
      <c r="O150" s="2">
        <v>0</v>
      </c>
      <c r="P150" s="2">
        <v>0</v>
      </c>
      <c r="Q150" s="2">
        <v>0</v>
      </c>
      <c r="R150" s="274">
        <v>39624</v>
      </c>
      <c r="S150" s="253">
        <v>12</v>
      </c>
      <c r="T150" s="254">
        <f>SUM( tabConsumo[[#This Row],[QTD.PENDENTE]]:tabConsumo[[#This Row],[07_23]] ) / tabConsumo[[#This Row],[Div]]</f>
        <v>0.16666666666666666</v>
      </c>
      <c r="U150" s="255">
        <f xml:space="preserve"> tabConsumo[[#This Row],[Média.A]] + (_xlfn.STDEV.S( tabConsumo[[#This Row],[QTD.PENDENTE]]:tabConsumo[[#This Row],[07_23]] ) * 1)</f>
        <v>0.74401693585629236</v>
      </c>
      <c r="V150" s="255">
        <f xml:space="preserve"> tabConsumo[[#This Row],[Média.A]] + (_xlfn.STDEV.S( tabConsumo[[#This Row],[QTD.PENDENTE]]:tabConsumo[[#This Row],[07_23]] ) * 2)</f>
        <v>1.3213672050459182</v>
      </c>
      <c r="W150" s="255">
        <f xml:space="preserve"> tabConsumo[[#This Row],[Média.A]] + (_xlfn.STDEV.S( tabConsumo[[#This Row],[QTD.PENDENTE]]:tabConsumo[[#This Row],[07_23]] ) * 3)</f>
        <v>1.8987174742355439</v>
      </c>
      <c r="X150" s="5">
        <f t="shared" si="4"/>
        <v>2</v>
      </c>
      <c r="Y150">
        <v>8.3333333333333329E-2</v>
      </c>
      <c r="Z150" s="257">
        <f>SUM( tabConsumo[[#This Row],[QTD.PENDENTE]]:tabConsumo[[#This Row],[07_23]] )</f>
        <v>2</v>
      </c>
      <c r="AA150" s="257">
        <f>LARGE(tabConsumo[[#This Row],[08_22]:[07_23]],1)</f>
        <v>2</v>
      </c>
      <c r="AB150" s="175" t="s">
        <v>2215</v>
      </c>
      <c r="AC150" s="3" t="s">
        <v>2064</v>
      </c>
    </row>
    <row r="151" spans="1:29" x14ac:dyDescent="0.3">
      <c r="A151" s="4" t="s">
        <v>1609</v>
      </c>
      <c r="B151" s="3" t="s">
        <v>256</v>
      </c>
      <c r="C151" s="2">
        <v>105118</v>
      </c>
      <c r="D151" s="2">
        <v>0</v>
      </c>
      <c r="F151" s="2">
        <v>0</v>
      </c>
      <c r="G151" s="2">
        <v>0</v>
      </c>
      <c r="H151" s="2">
        <v>0</v>
      </c>
      <c r="I151" s="2">
        <v>0</v>
      </c>
      <c r="J151" s="2">
        <v>0</v>
      </c>
      <c r="K151" s="2">
        <v>0</v>
      </c>
      <c r="L151" s="2">
        <v>4</v>
      </c>
      <c r="M151" s="2">
        <v>0</v>
      </c>
      <c r="N151" s="2">
        <v>0</v>
      </c>
      <c r="O151" s="2">
        <v>0</v>
      </c>
      <c r="P151" s="2">
        <v>0</v>
      </c>
      <c r="Q151" s="2">
        <v>2</v>
      </c>
      <c r="R151" s="274">
        <v>39499</v>
      </c>
      <c r="S151" s="253">
        <v>12</v>
      </c>
      <c r="T151" s="254">
        <f>SUM( tabConsumo[[#This Row],[QTD.PENDENTE]]:tabConsumo[[#This Row],[07_23]] ) / tabConsumo[[#This Row],[Div]]</f>
        <v>0.5</v>
      </c>
      <c r="U151" s="255">
        <f xml:space="preserve"> tabConsumo[[#This Row],[Média.A]] + (_xlfn.STDEV.S( tabConsumo[[#This Row],[QTD.PENDENTE]]:tabConsumo[[#This Row],[07_23]] ) * 1)</f>
        <v>1.743163121016122</v>
      </c>
      <c r="V151" s="255">
        <f xml:space="preserve"> tabConsumo[[#This Row],[Média.A]] + (_xlfn.STDEV.S( tabConsumo[[#This Row],[QTD.PENDENTE]]:tabConsumo[[#This Row],[07_23]] ) * 2)</f>
        <v>2.9863262420322441</v>
      </c>
      <c r="W151" s="255">
        <f xml:space="preserve"> tabConsumo[[#This Row],[Média.A]] + (_xlfn.STDEV.S( tabConsumo[[#This Row],[QTD.PENDENTE]]:tabConsumo[[#This Row],[07_23]] ) * 3)</f>
        <v>4.2294893630483656</v>
      </c>
      <c r="X151" s="5">
        <f t="shared" si="4"/>
        <v>2</v>
      </c>
      <c r="Y151">
        <v>0.33333333333333331</v>
      </c>
      <c r="Z151" s="257">
        <f>SUM( tabConsumo[[#This Row],[QTD.PENDENTE]]:tabConsumo[[#This Row],[07_23]] )</f>
        <v>6</v>
      </c>
      <c r="AA151" s="257">
        <f>LARGE(tabConsumo[[#This Row],[08_22]:[07_23]],1)</f>
        <v>4</v>
      </c>
      <c r="AB151" s="175" t="s">
        <v>2211</v>
      </c>
      <c r="AC151" s="3" t="s">
        <v>2064</v>
      </c>
    </row>
    <row r="152" spans="1:29" x14ac:dyDescent="0.3">
      <c r="A152" s="4" t="s">
        <v>1957</v>
      </c>
      <c r="B152" s="3" t="s">
        <v>31</v>
      </c>
      <c r="C152" s="2">
        <v>138459</v>
      </c>
      <c r="D152" s="2">
        <v>44198</v>
      </c>
      <c r="E152" s="2">
        <v>847</v>
      </c>
      <c r="F152" s="2">
        <v>1953</v>
      </c>
      <c r="G152" s="2">
        <v>2074</v>
      </c>
      <c r="H152" s="2">
        <v>1370</v>
      </c>
      <c r="I152" s="2">
        <v>0</v>
      </c>
      <c r="J152" s="2">
        <v>0</v>
      </c>
      <c r="K152" s="2">
        <v>911</v>
      </c>
      <c r="L152" s="2">
        <v>2222</v>
      </c>
      <c r="M152" s="2">
        <v>11167</v>
      </c>
      <c r="N152" s="2">
        <v>2310</v>
      </c>
      <c r="O152" s="2">
        <v>2384</v>
      </c>
      <c r="P152" s="2">
        <v>2343</v>
      </c>
      <c r="Q152" s="2">
        <v>2109</v>
      </c>
      <c r="R152" s="274">
        <v>43720</v>
      </c>
      <c r="S152" s="253">
        <v>12</v>
      </c>
      <c r="T152" s="254">
        <f>SUM( tabConsumo[[#This Row],[QTD.PENDENTE]]:tabConsumo[[#This Row],[07_23]] ) / tabConsumo[[#This Row],[Div]]</f>
        <v>2474.1666666666665</v>
      </c>
      <c r="U152" s="255">
        <f xml:space="preserve"> tabConsumo[[#This Row],[Média.A]] + (_xlfn.STDEV.S( tabConsumo[[#This Row],[QTD.PENDENTE]]:tabConsumo[[#This Row],[07_23]] ) * 1)</f>
        <v>5277.8663309838539</v>
      </c>
      <c r="V152" s="255">
        <f xml:space="preserve"> tabConsumo[[#This Row],[Média.A]] + (_xlfn.STDEV.S( tabConsumo[[#This Row],[QTD.PENDENTE]]:tabConsumo[[#This Row],[07_23]] ) * 2)</f>
        <v>8081.5659953010399</v>
      </c>
      <c r="W152" s="255">
        <f xml:space="preserve"> tabConsumo[[#This Row],[Média.A]] + (_xlfn.STDEV.S( tabConsumo[[#This Row],[QTD.PENDENTE]]:tabConsumo[[#This Row],[07_23]] ) * 3)</f>
        <v>10885.265659618226</v>
      </c>
      <c r="X152" s="5">
        <f t="shared" si="4"/>
        <v>2</v>
      </c>
      <c r="Y152">
        <v>2217</v>
      </c>
      <c r="Z152" s="257">
        <f>SUM( tabConsumo[[#This Row],[QTD.PENDENTE]]:tabConsumo[[#This Row],[07_23]] )</f>
        <v>29690</v>
      </c>
      <c r="AA152" s="257">
        <f>LARGE(tabConsumo[[#This Row],[08_22]:[07_23]],1)</f>
        <v>11167</v>
      </c>
      <c r="AB152" s="175" t="s">
        <v>2211</v>
      </c>
      <c r="AC152" s="3" t="s">
        <v>2064</v>
      </c>
    </row>
    <row r="153" spans="1:29" x14ac:dyDescent="0.3">
      <c r="A153" s="4" t="s">
        <v>1958</v>
      </c>
      <c r="B153" s="3" t="s">
        <v>31</v>
      </c>
      <c r="C153" s="2">
        <v>138460</v>
      </c>
      <c r="D153" s="2">
        <v>3434</v>
      </c>
      <c r="E153" s="2">
        <v>15</v>
      </c>
      <c r="F153" s="2">
        <v>624</v>
      </c>
      <c r="G153" s="2">
        <v>610</v>
      </c>
      <c r="H153" s="2">
        <v>481</v>
      </c>
      <c r="I153" s="2">
        <v>372</v>
      </c>
      <c r="J153" s="2">
        <v>545</v>
      </c>
      <c r="K153" s="2">
        <v>149</v>
      </c>
      <c r="L153" s="2">
        <v>575</v>
      </c>
      <c r="M153" s="2">
        <v>4977</v>
      </c>
      <c r="N153" s="2">
        <v>585</v>
      </c>
      <c r="O153" s="2">
        <v>744</v>
      </c>
      <c r="P153" s="2">
        <v>668</v>
      </c>
      <c r="Q153" s="2">
        <v>423</v>
      </c>
      <c r="R153" s="274">
        <v>43720</v>
      </c>
      <c r="S153" s="253">
        <v>12</v>
      </c>
      <c r="T153" s="254">
        <f>SUM( tabConsumo[[#This Row],[QTD.PENDENTE]]:tabConsumo[[#This Row],[07_23]] ) / tabConsumo[[#This Row],[Div]]</f>
        <v>897.33333333333337</v>
      </c>
      <c r="U153" s="255">
        <f xml:space="preserve"> tabConsumo[[#This Row],[Média.A]] + (_xlfn.STDEV.S( tabConsumo[[#This Row],[QTD.PENDENTE]]:tabConsumo[[#This Row],[07_23]] ) * 1)</f>
        <v>2160.7124915577742</v>
      </c>
      <c r="V153" s="255">
        <f xml:space="preserve"> tabConsumo[[#This Row],[Média.A]] + (_xlfn.STDEV.S( tabConsumo[[#This Row],[QTD.PENDENTE]]:tabConsumo[[#This Row],[07_23]] ) * 2)</f>
        <v>3424.0916497822154</v>
      </c>
      <c r="W153" s="255">
        <f xml:space="preserve"> tabConsumo[[#This Row],[Média.A]] + (_xlfn.STDEV.S( tabConsumo[[#This Row],[QTD.PENDENTE]]:tabConsumo[[#This Row],[07_23]] ) * 3)</f>
        <v>4687.4708080066557</v>
      </c>
      <c r="X153" s="5">
        <f t="shared" si="4"/>
        <v>2</v>
      </c>
      <c r="Y153">
        <v>767.91666666666663</v>
      </c>
      <c r="Z153" s="257">
        <f>SUM( tabConsumo[[#This Row],[QTD.PENDENTE]]:tabConsumo[[#This Row],[07_23]] )</f>
        <v>10768</v>
      </c>
      <c r="AA153" s="257">
        <f>LARGE(tabConsumo[[#This Row],[08_22]:[07_23]],1)</f>
        <v>4977</v>
      </c>
      <c r="AB153" s="175" t="s">
        <v>2211</v>
      </c>
      <c r="AC153" s="3" t="s">
        <v>2064</v>
      </c>
    </row>
    <row r="154" spans="1:29" x14ac:dyDescent="0.3">
      <c r="A154" s="4" t="s">
        <v>1828</v>
      </c>
      <c r="B154" s="3" t="s">
        <v>395</v>
      </c>
      <c r="C154" s="2">
        <v>132646</v>
      </c>
      <c r="D154" s="2">
        <v>7883</v>
      </c>
      <c r="E154" s="2">
        <v>303</v>
      </c>
      <c r="F154" s="2">
        <v>487</v>
      </c>
      <c r="G154" s="2">
        <v>522</v>
      </c>
      <c r="H154" s="2">
        <v>688</v>
      </c>
      <c r="I154" s="2">
        <v>706</v>
      </c>
      <c r="J154" s="2">
        <v>808</v>
      </c>
      <c r="K154" s="2">
        <v>353</v>
      </c>
      <c r="L154" s="2">
        <v>1130</v>
      </c>
      <c r="M154" s="2">
        <v>5390</v>
      </c>
      <c r="N154" s="2">
        <v>470</v>
      </c>
      <c r="O154" s="2">
        <v>457</v>
      </c>
      <c r="P154" s="2">
        <v>716</v>
      </c>
      <c r="Q154" s="2">
        <v>674</v>
      </c>
      <c r="R154" s="274">
        <v>42860</v>
      </c>
      <c r="S154" s="253">
        <v>12</v>
      </c>
      <c r="T154" s="254">
        <f>SUM( tabConsumo[[#This Row],[QTD.PENDENTE]]:tabConsumo[[#This Row],[07_23]] ) / tabConsumo[[#This Row],[Div]]</f>
        <v>1058.6666666666667</v>
      </c>
      <c r="U154" s="255">
        <f xml:space="preserve"> tabConsumo[[#This Row],[Média.A]] + (_xlfn.STDEV.S( tabConsumo[[#This Row],[QTD.PENDENTE]]:tabConsumo[[#This Row],[07_23]] ) * 1)</f>
        <v>2402.2209177637433</v>
      </c>
      <c r="V154" s="255">
        <f xml:space="preserve"> tabConsumo[[#This Row],[Média.A]] + (_xlfn.STDEV.S( tabConsumo[[#This Row],[QTD.PENDENTE]]:tabConsumo[[#This Row],[07_23]] ) * 2)</f>
        <v>3745.7751688608196</v>
      </c>
      <c r="W154" s="255">
        <f xml:space="preserve"> tabConsumo[[#This Row],[Média.A]] + (_xlfn.STDEV.S( tabConsumo[[#This Row],[QTD.PENDENTE]]:tabConsumo[[#This Row],[07_23]] ) * 3)</f>
        <v>5089.3294199578959</v>
      </c>
      <c r="X154" s="5">
        <f t="shared" si="4"/>
        <v>2</v>
      </c>
      <c r="Y154">
        <v>921.58333333333337</v>
      </c>
      <c r="Z154" s="257">
        <f>SUM( tabConsumo[[#This Row],[QTD.PENDENTE]]:tabConsumo[[#This Row],[07_23]] )</f>
        <v>12704</v>
      </c>
      <c r="AA154" s="257">
        <f>LARGE(tabConsumo[[#This Row],[08_22]:[07_23]],1)</f>
        <v>5390</v>
      </c>
      <c r="AB154" s="175" t="s">
        <v>2211</v>
      </c>
      <c r="AC154" s="3" t="s">
        <v>2064</v>
      </c>
    </row>
    <row r="155" spans="1:29" x14ac:dyDescent="0.3">
      <c r="A155" s="4" t="s">
        <v>1829</v>
      </c>
      <c r="B155" s="3" t="s">
        <v>31</v>
      </c>
      <c r="C155" s="2">
        <v>132647</v>
      </c>
      <c r="D155" s="2">
        <v>985</v>
      </c>
      <c r="E155" s="2">
        <v>1</v>
      </c>
      <c r="F155" s="2">
        <v>649</v>
      </c>
      <c r="G155" s="2">
        <v>615</v>
      </c>
      <c r="H155" s="2">
        <v>744</v>
      </c>
      <c r="I155" s="2">
        <v>919</v>
      </c>
      <c r="J155" s="2">
        <v>592</v>
      </c>
      <c r="K155" s="2">
        <v>340</v>
      </c>
      <c r="L155" s="2">
        <v>626</v>
      </c>
      <c r="M155" s="2">
        <v>7646</v>
      </c>
      <c r="N155" s="2">
        <v>511</v>
      </c>
      <c r="O155" s="2">
        <v>609</v>
      </c>
      <c r="P155" s="2">
        <v>670</v>
      </c>
      <c r="Q155" s="2">
        <v>644</v>
      </c>
      <c r="R155" s="274">
        <v>42860</v>
      </c>
      <c r="S155" s="253">
        <v>12</v>
      </c>
      <c r="T155" s="254">
        <f>SUM( tabConsumo[[#This Row],[QTD.PENDENTE]]:tabConsumo[[#This Row],[07_23]] ) / tabConsumo[[#This Row],[Div]]</f>
        <v>1213.8333333333333</v>
      </c>
      <c r="U155" s="255">
        <f xml:space="preserve"> tabConsumo[[#This Row],[Média.A]] + (_xlfn.STDEV.S( tabConsumo[[#This Row],[QTD.PENDENTE]]:tabConsumo[[#This Row],[07_23]] ) * 1)</f>
        <v>3186.3903716039049</v>
      </c>
      <c r="V155" s="255">
        <f xml:space="preserve"> tabConsumo[[#This Row],[Média.A]] + (_xlfn.STDEV.S( tabConsumo[[#This Row],[QTD.PENDENTE]]:tabConsumo[[#This Row],[07_23]] ) * 2)</f>
        <v>5158.9474098744768</v>
      </c>
      <c r="W155" s="255">
        <f xml:space="preserve"> tabConsumo[[#This Row],[Média.A]] + (_xlfn.STDEV.S( tabConsumo[[#This Row],[QTD.PENDENTE]]:tabConsumo[[#This Row],[07_23]] ) * 3)</f>
        <v>7131.5044481450477</v>
      </c>
      <c r="X155" s="5">
        <f t="shared" si="4"/>
        <v>2</v>
      </c>
      <c r="Y155">
        <v>1006.5</v>
      </c>
      <c r="Z155" s="257">
        <f>SUM( tabConsumo[[#This Row],[QTD.PENDENTE]]:tabConsumo[[#This Row],[07_23]] )</f>
        <v>14566</v>
      </c>
      <c r="AA155" s="257">
        <f>LARGE(tabConsumo[[#This Row],[08_22]:[07_23]],1)</f>
        <v>7646</v>
      </c>
      <c r="AB155" s="175" t="s">
        <v>2211</v>
      </c>
      <c r="AC155" s="3" t="s">
        <v>2064</v>
      </c>
    </row>
    <row r="156" spans="1:29" x14ac:dyDescent="0.3">
      <c r="A156" s="4" t="s">
        <v>1959</v>
      </c>
      <c r="B156" s="3" t="s">
        <v>1960</v>
      </c>
      <c r="C156" s="2">
        <v>138461</v>
      </c>
      <c r="D156" s="2">
        <v>7627</v>
      </c>
      <c r="E156" s="2">
        <v>1162</v>
      </c>
      <c r="F156" s="2">
        <v>831</v>
      </c>
      <c r="G156" s="2">
        <v>711</v>
      </c>
      <c r="H156" s="2">
        <v>798</v>
      </c>
      <c r="I156" s="2">
        <v>902</v>
      </c>
      <c r="J156" s="2">
        <v>669</v>
      </c>
      <c r="K156" s="2">
        <v>303</v>
      </c>
      <c r="L156" s="2">
        <v>799</v>
      </c>
      <c r="M156" s="2">
        <v>6228</v>
      </c>
      <c r="N156" s="2">
        <v>0</v>
      </c>
      <c r="O156" s="2">
        <v>0</v>
      </c>
      <c r="P156" s="2">
        <v>491</v>
      </c>
      <c r="Q156" s="2">
        <v>919</v>
      </c>
      <c r="R156" s="274">
        <v>43720</v>
      </c>
      <c r="S156" s="253">
        <v>12</v>
      </c>
      <c r="T156" s="254">
        <f>SUM( tabConsumo[[#This Row],[QTD.PENDENTE]]:tabConsumo[[#This Row],[07_23]] ) / tabConsumo[[#This Row],[Div]]</f>
        <v>1151.0833333333333</v>
      </c>
      <c r="U156" s="255">
        <f xml:space="preserve"> tabConsumo[[#This Row],[Média.A]] + (_xlfn.STDEV.S( tabConsumo[[#This Row],[QTD.PENDENTE]]:tabConsumo[[#This Row],[07_23]] ) * 1)</f>
        <v>2741.9763537982867</v>
      </c>
      <c r="V156" s="255">
        <f xml:space="preserve"> tabConsumo[[#This Row],[Média.A]] + (_xlfn.STDEV.S( tabConsumo[[#This Row],[QTD.PENDENTE]]:tabConsumo[[#This Row],[07_23]] ) * 2)</f>
        <v>4332.8693742632404</v>
      </c>
      <c r="W156" s="255">
        <f xml:space="preserve"> tabConsumo[[#This Row],[Média.A]] + (_xlfn.STDEV.S( tabConsumo[[#This Row],[QTD.PENDENTE]]:tabConsumo[[#This Row],[07_23]] ) * 3)</f>
        <v>5923.7623947281936</v>
      </c>
      <c r="X156" s="5">
        <f t="shared" si="4"/>
        <v>2</v>
      </c>
      <c r="Y156">
        <v>993.08333333333337</v>
      </c>
      <c r="Z156" s="257">
        <f>SUM( tabConsumo[[#This Row],[QTD.PENDENTE]]:tabConsumo[[#This Row],[07_23]] )</f>
        <v>13813</v>
      </c>
      <c r="AA156" s="257">
        <f>LARGE(tabConsumo[[#This Row],[08_22]:[07_23]],1)</f>
        <v>6228</v>
      </c>
      <c r="AB156" s="175" t="s">
        <v>2211</v>
      </c>
      <c r="AC156" s="3" t="s">
        <v>2064</v>
      </c>
    </row>
    <row r="157" spans="1:29" x14ac:dyDescent="0.3">
      <c r="A157" s="4" t="s">
        <v>1830</v>
      </c>
      <c r="B157" s="3" t="s">
        <v>31</v>
      </c>
      <c r="C157" s="2">
        <v>132649</v>
      </c>
      <c r="D157" s="2">
        <v>0</v>
      </c>
      <c r="E157" s="2">
        <v>703</v>
      </c>
      <c r="F157" s="2">
        <v>433</v>
      </c>
      <c r="G157" s="2">
        <v>510</v>
      </c>
      <c r="H157" s="2">
        <v>129</v>
      </c>
      <c r="I157" s="2">
        <v>0</v>
      </c>
      <c r="J157" s="2">
        <v>0</v>
      </c>
      <c r="K157" s="2">
        <v>166</v>
      </c>
      <c r="L157" s="2">
        <v>548</v>
      </c>
      <c r="M157" s="2">
        <v>7130</v>
      </c>
      <c r="N157" s="2">
        <v>220</v>
      </c>
      <c r="O157" s="2">
        <v>0</v>
      </c>
      <c r="P157" s="2">
        <v>24</v>
      </c>
      <c r="Q157" s="2">
        <v>0</v>
      </c>
      <c r="R157" s="274">
        <v>42860</v>
      </c>
      <c r="S157" s="253">
        <v>12</v>
      </c>
      <c r="T157" s="254">
        <f>SUM( tabConsumo[[#This Row],[QTD.PENDENTE]]:tabConsumo[[#This Row],[07_23]] ) / tabConsumo[[#This Row],[Div]]</f>
        <v>821.91666666666663</v>
      </c>
      <c r="U157" s="255">
        <f xml:space="preserve"> tabConsumo[[#This Row],[Média.A]] + (_xlfn.STDEV.S( tabConsumo[[#This Row],[QTD.PENDENTE]]:tabConsumo[[#This Row],[07_23]] ) * 1)</f>
        <v>2751.7092455299749</v>
      </c>
      <c r="V157" s="255">
        <f xml:space="preserve"> tabConsumo[[#This Row],[Média.A]] + (_xlfn.STDEV.S( tabConsumo[[#This Row],[QTD.PENDENTE]]:tabConsumo[[#This Row],[07_23]] ) * 2)</f>
        <v>4681.5018243932827</v>
      </c>
      <c r="W157" s="255">
        <f xml:space="preserve"> tabConsumo[[#This Row],[Média.A]] + (_xlfn.STDEV.S( tabConsumo[[#This Row],[QTD.PENDENTE]]:tabConsumo[[#This Row],[07_23]] ) * 3)</f>
        <v>6611.2944032565911</v>
      </c>
      <c r="X157" s="5">
        <f t="shared" si="4"/>
        <v>2</v>
      </c>
      <c r="Y157">
        <v>617.83333333333337</v>
      </c>
      <c r="Z157" s="257">
        <f>SUM( tabConsumo[[#This Row],[QTD.PENDENTE]]:tabConsumo[[#This Row],[07_23]] )</f>
        <v>9863</v>
      </c>
      <c r="AA157" s="257">
        <f>LARGE(tabConsumo[[#This Row],[08_22]:[07_23]],1)</f>
        <v>7130</v>
      </c>
      <c r="AB157" s="175" t="s">
        <v>2212</v>
      </c>
      <c r="AC157" s="3" t="s">
        <v>2064</v>
      </c>
    </row>
    <row r="158" spans="1:29" x14ac:dyDescent="0.3">
      <c r="A158" s="4" t="s">
        <v>902</v>
      </c>
      <c r="B158" s="3" t="s">
        <v>256</v>
      </c>
      <c r="C158" s="2">
        <v>10392</v>
      </c>
      <c r="D158" s="2">
        <v>0</v>
      </c>
      <c r="E158" s="2">
        <v>1251</v>
      </c>
      <c r="F158" s="2">
        <v>801</v>
      </c>
      <c r="G158" s="2">
        <v>314</v>
      </c>
      <c r="H158" s="2">
        <v>297</v>
      </c>
      <c r="I158" s="2">
        <v>37</v>
      </c>
      <c r="J158" s="2">
        <v>0</v>
      </c>
      <c r="K158" s="2">
        <v>415</v>
      </c>
      <c r="L158" s="2">
        <v>441</v>
      </c>
      <c r="M158" s="2">
        <v>4461</v>
      </c>
      <c r="N158" s="2">
        <v>644</v>
      </c>
      <c r="O158" s="2">
        <v>80</v>
      </c>
      <c r="P158" s="2">
        <v>15</v>
      </c>
      <c r="Q158" s="2">
        <v>0</v>
      </c>
      <c r="R158" s="274">
        <v>367</v>
      </c>
      <c r="S158" s="253">
        <f t="shared" ref="S158:S166" si="5" xml:space="preserve"> 12</f>
        <v>12</v>
      </c>
      <c r="T158" s="254">
        <f>SUM( tabConsumo[[#This Row],[QTD.PENDENTE]]:tabConsumo[[#This Row],[07_23]] ) / tabConsumo[[#This Row],[Div]]</f>
        <v>729.66666666666663</v>
      </c>
      <c r="U158" s="255">
        <f xml:space="preserve"> tabConsumo[[#This Row],[Média.A]] + (_xlfn.STDEV.S( tabConsumo[[#This Row],[QTD.PENDENTE]]:tabConsumo[[#This Row],[07_23]] ) * 1)</f>
        <v>1926.3934953807648</v>
      </c>
      <c r="V158" s="255">
        <f xml:space="preserve"> tabConsumo[[#This Row],[Média.A]] + (_xlfn.STDEV.S( tabConsumo[[#This Row],[QTD.PENDENTE]]:tabConsumo[[#This Row],[07_23]] ) * 2)</f>
        <v>3123.120324094863</v>
      </c>
      <c r="W158" s="255">
        <f xml:space="preserve"> tabConsumo[[#This Row],[Média.A]] + (_xlfn.STDEV.S( tabConsumo[[#This Row],[QTD.PENDENTE]]:tabConsumo[[#This Row],[07_23]] ) * 3)</f>
        <v>4319.8471528089613</v>
      </c>
      <c r="X158" s="5">
        <f t="shared" si="4"/>
        <v>2</v>
      </c>
      <c r="Y158">
        <v>618.16666666666663</v>
      </c>
      <c r="Z158" s="257">
        <f>SUM( tabConsumo[[#This Row],[QTD.PENDENTE]]:tabConsumo[[#This Row],[07_23]] )</f>
        <v>8756</v>
      </c>
      <c r="AA158" s="257">
        <f>LARGE(tabConsumo[[#This Row],[08_22]:[07_23]],1)</f>
        <v>4461</v>
      </c>
      <c r="AB158" s="175" t="s">
        <v>2212</v>
      </c>
      <c r="AC158" s="3" t="s">
        <v>2064</v>
      </c>
    </row>
    <row r="159" spans="1:29" x14ac:dyDescent="0.3">
      <c r="A159" s="4" t="s">
        <v>929</v>
      </c>
      <c r="B159" s="3" t="s">
        <v>256</v>
      </c>
      <c r="C159" s="2">
        <v>11418</v>
      </c>
      <c r="D159" s="2">
        <v>2478</v>
      </c>
      <c r="E159" s="2">
        <v>230</v>
      </c>
      <c r="F159" s="2">
        <v>364</v>
      </c>
      <c r="G159" s="2">
        <v>346</v>
      </c>
      <c r="H159" s="2">
        <v>258</v>
      </c>
      <c r="I159" s="2">
        <v>0</v>
      </c>
      <c r="J159" s="2">
        <v>0</v>
      </c>
      <c r="K159" s="2">
        <v>216</v>
      </c>
      <c r="L159" s="2">
        <v>384</v>
      </c>
      <c r="M159" s="2">
        <v>5441</v>
      </c>
      <c r="N159" s="2">
        <v>334</v>
      </c>
      <c r="O159" s="2">
        <v>479</v>
      </c>
      <c r="P159" s="2">
        <v>373</v>
      </c>
      <c r="Q159" s="2">
        <v>344</v>
      </c>
      <c r="R159" s="274">
        <v>367</v>
      </c>
      <c r="S159" s="253">
        <f t="shared" si="5"/>
        <v>12</v>
      </c>
      <c r="T159" s="254">
        <f>SUM( tabConsumo[[#This Row],[QTD.PENDENTE]]:tabConsumo[[#This Row],[07_23]] ) / tabConsumo[[#This Row],[Div]]</f>
        <v>730.75</v>
      </c>
      <c r="U159" s="255">
        <f xml:space="preserve"> tabConsumo[[#This Row],[Média.A]] + (_xlfn.STDEV.S( tabConsumo[[#This Row],[QTD.PENDENTE]]:tabConsumo[[#This Row],[07_23]] ) * 1)</f>
        <v>2169.8962524349067</v>
      </c>
      <c r="V159" s="255">
        <f xml:space="preserve"> tabConsumo[[#This Row],[Média.A]] + (_xlfn.STDEV.S( tabConsumo[[#This Row],[QTD.PENDENTE]]:tabConsumo[[#This Row],[07_23]] ) * 2)</f>
        <v>3609.0425048698135</v>
      </c>
      <c r="W159" s="255">
        <f xml:space="preserve"> tabConsumo[[#This Row],[Média.A]] + (_xlfn.STDEV.S( tabConsumo[[#This Row],[QTD.PENDENTE]]:tabConsumo[[#This Row],[07_23]] ) * 3)</f>
        <v>5048.1887573047206</v>
      </c>
      <c r="X159" s="5">
        <f t="shared" si="4"/>
        <v>2</v>
      </c>
      <c r="Y159">
        <v>578.08333333333337</v>
      </c>
      <c r="Z159" s="257">
        <f>SUM( tabConsumo[[#This Row],[QTD.PENDENTE]]:tabConsumo[[#This Row],[07_23]] )</f>
        <v>8769</v>
      </c>
      <c r="AA159" s="257">
        <f>LARGE(tabConsumo[[#This Row],[08_22]:[07_23]],1)</f>
        <v>5441</v>
      </c>
      <c r="AB159" s="175" t="s">
        <v>2211</v>
      </c>
      <c r="AC159" s="3" t="s">
        <v>2064</v>
      </c>
    </row>
    <row r="160" spans="1:29" x14ac:dyDescent="0.3">
      <c r="A160" s="4" t="s">
        <v>932</v>
      </c>
      <c r="B160" s="3" t="s">
        <v>256</v>
      </c>
      <c r="C160" s="2">
        <v>11509</v>
      </c>
      <c r="D160" s="2">
        <v>3819</v>
      </c>
      <c r="F160" s="2">
        <v>298</v>
      </c>
      <c r="G160" s="2">
        <v>267</v>
      </c>
      <c r="H160" s="2">
        <v>352</v>
      </c>
      <c r="I160" s="2">
        <v>334</v>
      </c>
      <c r="J160" s="2">
        <v>210</v>
      </c>
      <c r="K160" s="2">
        <v>255</v>
      </c>
      <c r="L160" s="2">
        <v>331</v>
      </c>
      <c r="M160" s="2">
        <v>5318</v>
      </c>
      <c r="N160" s="2">
        <v>274</v>
      </c>
      <c r="O160" s="2">
        <v>352</v>
      </c>
      <c r="P160" s="2">
        <v>338</v>
      </c>
      <c r="Q160" s="2">
        <v>291</v>
      </c>
      <c r="R160" s="274">
        <v>367</v>
      </c>
      <c r="S160" s="253">
        <f t="shared" si="5"/>
        <v>12</v>
      </c>
      <c r="T160" s="254">
        <f>SUM( tabConsumo[[#This Row],[QTD.PENDENTE]]:tabConsumo[[#This Row],[07_23]] ) / tabConsumo[[#This Row],[Div]]</f>
        <v>718.33333333333337</v>
      </c>
      <c r="U160" s="255">
        <f xml:space="preserve"> tabConsumo[[#This Row],[Média.A]] + (_xlfn.STDEV.S( tabConsumo[[#This Row],[QTD.PENDENTE]]:tabConsumo[[#This Row],[07_23]] ) * 1)</f>
        <v>2167.5097347504425</v>
      </c>
      <c r="V160" s="255">
        <f xml:space="preserve"> tabConsumo[[#This Row],[Média.A]] + (_xlfn.STDEV.S( tabConsumo[[#This Row],[QTD.PENDENTE]]:tabConsumo[[#This Row],[07_23]] ) * 2)</f>
        <v>3616.6861361675519</v>
      </c>
      <c r="W160" s="255">
        <f xml:space="preserve"> tabConsumo[[#This Row],[Média.A]] + (_xlfn.STDEV.S( tabConsumo[[#This Row],[QTD.PENDENTE]]:tabConsumo[[#This Row],[07_23]] ) * 3)</f>
        <v>5065.8625375846605</v>
      </c>
      <c r="X160" s="5">
        <f t="shared" si="4"/>
        <v>2</v>
      </c>
      <c r="Y160">
        <v>576.5</v>
      </c>
      <c r="Z160" s="257">
        <f>SUM( tabConsumo[[#This Row],[QTD.PENDENTE]]:tabConsumo[[#This Row],[07_23]] )</f>
        <v>8620</v>
      </c>
      <c r="AA160" s="257">
        <f>LARGE(tabConsumo[[#This Row],[08_22]:[07_23]],1)</f>
        <v>5318</v>
      </c>
      <c r="AB160" s="175" t="s">
        <v>2211</v>
      </c>
      <c r="AC160" s="3" t="s">
        <v>2064</v>
      </c>
    </row>
    <row r="161" spans="1:29" x14ac:dyDescent="0.3">
      <c r="A161" s="4" t="s">
        <v>1396</v>
      </c>
      <c r="B161" s="3" t="s">
        <v>256</v>
      </c>
      <c r="C161" s="2">
        <v>70967</v>
      </c>
      <c r="D161" s="2">
        <v>39</v>
      </c>
      <c r="F161" s="2">
        <v>1</v>
      </c>
      <c r="G161" s="2">
        <v>2</v>
      </c>
      <c r="H161" s="2">
        <v>0</v>
      </c>
      <c r="I161" s="2">
        <v>0</v>
      </c>
      <c r="J161" s="2">
        <v>0</v>
      </c>
      <c r="K161" s="2">
        <v>0</v>
      </c>
      <c r="L161" s="2">
        <v>21</v>
      </c>
      <c r="M161" s="2">
        <v>7</v>
      </c>
      <c r="N161" s="2">
        <v>35</v>
      </c>
      <c r="O161" s="2">
        <v>0</v>
      </c>
      <c r="P161" s="2">
        <v>0</v>
      </c>
      <c r="Q161" s="2">
        <v>0</v>
      </c>
      <c r="R161" s="274">
        <v>367</v>
      </c>
      <c r="S161" s="253">
        <f t="shared" si="5"/>
        <v>12</v>
      </c>
      <c r="T161" s="254">
        <f>SUM( tabConsumo[[#This Row],[QTD.PENDENTE]]:tabConsumo[[#This Row],[07_23]] ) / tabConsumo[[#This Row],[Div]]</f>
        <v>5.5</v>
      </c>
      <c r="U161" s="255">
        <f xml:space="preserve"> tabConsumo[[#This Row],[Média.A]] + (_xlfn.STDEV.S( tabConsumo[[#This Row],[QTD.PENDENTE]]:tabConsumo[[#This Row],[07_23]] ) * 1)</f>
        <v>16.606918400872331</v>
      </c>
      <c r="V161" s="255">
        <f xml:space="preserve"> tabConsumo[[#This Row],[Média.A]] + (_xlfn.STDEV.S( tabConsumo[[#This Row],[QTD.PENDENTE]]:tabConsumo[[#This Row],[07_23]] ) * 2)</f>
        <v>27.713836801744659</v>
      </c>
      <c r="W161" s="255">
        <f xml:space="preserve"> tabConsumo[[#This Row],[Média.A]] + (_xlfn.STDEV.S( tabConsumo[[#This Row],[QTD.PENDENTE]]:tabConsumo[[#This Row],[07_23]] ) * 3)</f>
        <v>38.820755202616986</v>
      </c>
      <c r="X161" s="5">
        <f t="shared" si="4"/>
        <v>2</v>
      </c>
      <c r="Y161">
        <v>4.833333333333333</v>
      </c>
      <c r="Z161" s="257">
        <f>SUM( tabConsumo[[#This Row],[QTD.PENDENTE]]:tabConsumo[[#This Row],[07_23]] )</f>
        <v>66</v>
      </c>
      <c r="AA161" s="257">
        <f>LARGE(tabConsumo[[#This Row],[08_22]:[07_23]],1)</f>
        <v>35</v>
      </c>
      <c r="AB161" s="175" t="s">
        <v>2213</v>
      </c>
      <c r="AC161" s="3" t="s">
        <v>2064</v>
      </c>
    </row>
    <row r="162" spans="1:29" x14ac:dyDescent="0.3">
      <c r="A162" s="4" t="s">
        <v>1200</v>
      </c>
      <c r="B162" s="3" t="s">
        <v>256</v>
      </c>
      <c r="C162" s="2">
        <v>24500</v>
      </c>
      <c r="D162" s="2">
        <v>206</v>
      </c>
      <c r="E162" s="2">
        <v>39</v>
      </c>
      <c r="F162" s="2">
        <v>43</v>
      </c>
      <c r="G162" s="2">
        <v>243</v>
      </c>
      <c r="H162" s="2">
        <v>3</v>
      </c>
      <c r="I162" s="2">
        <v>0</v>
      </c>
      <c r="J162" s="2">
        <v>0</v>
      </c>
      <c r="K162" s="2">
        <v>0</v>
      </c>
      <c r="L162" s="2">
        <v>60</v>
      </c>
      <c r="M162" s="2">
        <v>54</v>
      </c>
      <c r="N162" s="2">
        <v>74</v>
      </c>
      <c r="O162" s="2">
        <v>55</v>
      </c>
      <c r="P162" s="2">
        <v>0</v>
      </c>
      <c r="Q162" s="2">
        <v>50</v>
      </c>
      <c r="R162" s="274">
        <v>367</v>
      </c>
      <c r="S162" s="253">
        <f t="shared" si="5"/>
        <v>12</v>
      </c>
      <c r="T162" s="254">
        <f>SUM( tabConsumo[[#This Row],[QTD.PENDENTE]]:tabConsumo[[#This Row],[07_23]] ) / tabConsumo[[#This Row],[Div]]</f>
        <v>51.75</v>
      </c>
      <c r="U162" s="255">
        <f xml:space="preserve"> tabConsumo[[#This Row],[Média.A]] + (_xlfn.STDEV.S( tabConsumo[[#This Row],[QTD.PENDENTE]]:tabConsumo[[#This Row],[07_23]] ) * 1)</f>
        <v>116.48040739116077</v>
      </c>
      <c r="V162" s="255">
        <f xml:space="preserve"> tabConsumo[[#This Row],[Média.A]] + (_xlfn.STDEV.S( tabConsumo[[#This Row],[QTD.PENDENTE]]:tabConsumo[[#This Row],[07_23]] ) * 2)</f>
        <v>181.21081478232153</v>
      </c>
      <c r="W162" s="255">
        <f xml:space="preserve"> tabConsumo[[#This Row],[Média.A]] + (_xlfn.STDEV.S( tabConsumo[[#This Row],[QTD.PENDENTE]]:tabConsumo[[#This Row],[07_23]] ) * 3)</f>
        <v>245.94122217348229</v>
      </c>
      <c r="X162" s="5">
        <f t="shared" si="4"/>
        <v>2</v>
      </c>
      <c r="Y162">
        <v>46.583333333333336</v>
      </c>
      <c r="Z162" s="257">
        <f>SUM( tabConsumo[[#This Row],[QTD.PENDENTE]]:tabConsumo[[#This Row],[07_23]] )</f>
        <v>621</v>
      </c>
      <c r="AA162" s="257">
        <f>LARGE(tabConsumo[[#This Row],[08_22]:[07_23]],1)</f>
        <v>243</v>
      </c>
      <c r="AB162" s="175" t="s">
        <v>2211</v>
      </c>
      <c r="AC162" s="3" t="s">
        <v>2064</v>
      </c>
    </row>
    <row r="163" spans="1:29" x14ac:dyDescent="0.3">
      <c r="A163" s="4" t="s">
        <v>1372</v>
      </c>
      <c r="B163" s="3" t="s">
        <v>294</v>
      </c>
      <c r="C163" s="2">
        <v>64607</v>
      </c>
      <c r="D163" s="2">
        <v>736</v>
      </c>
      <c r="E163" s="2">
        <v>4</v>
      </c>
      <c r="F163" s="2">
        <v>189</v>
      </c>
      <c r="G163" s="2">
        <v>0</v>
      </c>
      <c r="H163" s="2">
        <v>0</v>
      </c>
      <c r="I163" s="2">
        <v>190</v>
      </c>
      <c r="J163" s="2">
        <v>0</v>
      </c>
      <c r="K163" s="2">
        <v>0</v>
      </c>
      <c r="L163" s="2">
        <v>0</v>
      </c>
      <c r="M163" s="2">
        <v>20</v>
      </c>
      <c r="N163" s="2">
        <v>150</v>
      </c>
      <c r="O163" s="2">
        <v>0</v>
      </c>
      <c r="P163" s="2">
        <v>0</v>
      </c>
      <c r="Q163" s="2">
        <v>150</v>
      </c>
      <c r="R163" s="274">
        <v>367</v>
      </c>
      <c r="S163" s="253">
        <f t="shared" si="5"/>
        <v>12</v>
      </c>
      <c r="T163" s="254">
        <f>SUM( tabConsumo[[#This Row],[QTD.PENDENTE]]:tabConsumo[[#This Row],[07_23]] ) / tabConsumo[[#This Row],[Div]]</f>
        <v>58.583333333333336</v>
      </c>
      <c r="U163" s="255">
        <f xml:space="preserve"> tabConsumo[[#This Row],[Média.A]] + (_xlfn.STDEV.S( tabConsumo[[#This Row],[QTD.PENDENTE]]:tabConsumo[[#This Row],[07_23]] ) * 1)</f>
        <v>139.83444772411318</v>
      </c>
      <c r="V163" s="255">
        <f xml:space="preserve"> tabConsumo[[#This Row],[Média.A]] + (_xlfn.STDEV.S( tabConsumo[[#This Row],[QTD.PENDENTE]]:tabConsumo[[#This Row],[07_23]] ) * 2)</f>
        <v>221.08556211489301</v>
      </c>
      <c r="W163" s="255">
        <f xml:space="preserve"> tabConsumo[[#This Row],[Média.A]] + (_xlfn.STDEV.S( tabConsumo[[#This Row],[QTD.PENDENTE]]:tabConsumo[[#This Row],[07_23]] ) * 3)</f>
        <v>302.33667650567281</v>
      </c>
      <c r="X163" s="5">
        <f t="shared" si="4"/>
        <v>2</v>
      </c>
      <c r="Y163">
        <v>58.583333333333336</v>
      </c>
      <c r="Z163" s="257">
        <f>SUM( tabConsumo[[#This Row],[QTD.PENDENTE]]:tabConsumo[[#This Row],[07_23]] )</f>
        <v>703</v>
      </c>
      <c r="AA163" s="257">
        <f>LARGE(tabConsumo[[#This Row],[08_22]:[07_23]],1)</f>
        <v>190</v>
      </c>
      <c r="AB163" s="175" t="s">
        <v>2211</v>
      </c>
      <c r="AC163" s="3" t="s">
        <v>2064</v>
      </c>
    </row>
    <row r="164" spans="1:29" x14ac:dyDescent="0.3">
      <c r="A164" s="4" t="s">
        <v>1373</v>
      </c>
      <c r="B164" s="3" t="s">
        <v>294</v>
      </c>
      <c r="C164" s="2">
        <v>64609</v>
      </c>
      <c r="D164" s="2">
        <v>435</v>
      </c>
      <c r="F164" s="2">
        <v>40</v>
      </c>
      <c r="G164" s="2">
        <v>30</v>
      </c>
      <c r="H164" s="2">
        <v>16</v>
      </c>
      <c r="I164" s="2">
        <v>55</v>
      </c>
      <c r="J164" s="2">
        <v>20</v>
      </c>
      <c r="K164" s="2">
        <v>45</v>
      </c>
      <c r="L164" s="2">
        <v>0</v>
      </c>
      <c r="M164" s="2">
        <v>50</v>
      </c>
      <c r="N164" s="2">
        <v>0</v>
      </c>
      <c r="O164" s="2">
        <v>0</v>
      </c>
      <c r="P164" s="2">
        <v>100</v>
      </c>
      <c r="Q164" s="2">
        <v>0</v>
      </c>
      <c r="R164" s="274">
        <v>367</v>
      </c>
      <c r="S164" s="253">
        <f t="shared" si="5"/>
        <v>12</v>
      </c>
      <c r="T164" s="254">
        <f>SUM( tabConsumo[[#This Row],[QTD.PENDENTE]]:tabConsumo[[#This Row],[07_23]] ) / tabConsumo[[#This Row],[Div]]</f>
        <v>29.666666666666668</v>
      </c>
      <c r="U164" s="255">
        <f xml:space="preserve"> tabConsumo[[#This Row],[Média.A]] + (_xlfn.STDEV.S( tabConsumo[[#This Row],[QTD.PENDENTE]]:tabConsumo[[#This Row],[07_23]] ) * 1)</f>
        <v>60.035111214295782</v>
      </c>
      <c r="V164" s="255">
        <f xml:space="preserve"> tabConsumo[[#This Row],[Média.A]] + (_xlfn.STDEV.S( tabConsumo[[#This Row],[QTD.PENDENTE]]:tabConsumo[[#This Row],[07_23]] ) * 2)</f>
        <v>90.403555761924892</v>
      </c>
      <c r="W164" s="255">
        <f xml:space="preserve"> tabConsumo[[#This Row],[Média.A]] + (_xlfn.STDEV.S( tabConsumo[[#This Row],[QTD.PENDENTE]]:tabConsumo[[#This Row],[07_23]] ) * 3)</f>
        <v>120.772000309554</v>
      </c>
      <c r="X164" s="5">
        <f t="shared" si="4"/>
        <v>2</v>
      </c>
      <c r="Y164">
        <v>28.833333333333332</v>
      </c>
      <c r="Z164" s="257">
        <f>SUM( tabConsumo[[#This Row],[QTD.PENDENTE]]:tabConsumo[[#This Row],[07_23]] )</f>
        <v>356</v>
      </c>
      <c r="AA164" s="257">
        <f>LARGE(tabConsumo[[#This Row],[08_22]:[07_23]],1)</f>
        <v>100</v>
      </c>
      <c r="AB164" s="175" t="s">
        <v>2212</v>
      </c>
      <c r="AC164" s="3" t="s">
        <v>2064</v>
      </c>
    </row>
    <row r="165" spans="1:29" x14ac:dyDescent="0.3">
      <c r="A165" s="4" t="s">
        <v>1335</v>
      </c>
      <c r="B165" s="3" t="s">
        <v>294</v>
      </c>
      <c r="C165" s="2">
        <v>59018</v>
      </c>
      <c r="D165" s="2">
        <v>732</v>
      </c>
      <c r="F165" s="2">
        <v>43</v>
      </c>
      <c r="G165" s="2">
        <v>17</v>
      </c>
      <c r="H165" s="2">
        <v>10</v>
      </c>
      <c r="I165" s="2">
        <v>5</v>
      </c>
      <c r="J165" s="2">
        <v>4</v>
      </c>
      <c r="K165" s="2">
        <v>2</v>
      </c>
      <c r="L165" s="2">
        <v>7</v>
      </c>
      <c r="M165" s="2">
        <v>0</v>
      </c>
      <c r="N165" s="2">
        <v>0</v>
      </c>
      <c r="O165" s="2">
        <v>40</v>
      </c>
      <c r="P165" s="2">
        <v>100</v>
      </c>
      <c r="Q165" s="2">
        <v>0</v>
      </c>
      <c r="R165" s="274">
        <v>367</v>
      </c>
      <c r="S165" s="253">
        <f t="shared" si="5"/>
        <v>12</v>
      </c>
      <c r="T165" s="254">
        <f>SUM( tabConsumo[[#This Row],[QTD.PENDENTE]]:tabConsumo[[#This Row],[07_23]] ) / tabConsumo[[#This Row],[Div]]</f>
        <v>19</v>
      </c>
      <c r="U165" s="255">
        <f xml:space="preserve"> tabConsumo[[#This Row],[Média.A]] + (_xlfn.STDEV.S( tabConsumo[[#This Row],[QTD.PENDENTE]]:tabConsumo[[#This Row],[07_23]] ) * 1)</f>
        <v>48.541957835039852</v>
      </c>
      <c r="V165" s="255">
        <f xml:space="preserve"> tabConsumo[[#This Row],[Média.A]] + (_xlfn.STDEV.S( tabConsumo[[#This Row],[QTD.PENDENTE]]:tabConsumo[[#This Row],[07_23]] ) * 2)</f>
        <v>78.083915670079705</v>
      </c>
      <c r="W165" s="255">
        <f xml:space="preserve"> tabConsumo[[#This Row],[Média.A]] + (_xlfn.STDEV.S( tabConsumo[[#This Row],[QTD.PENDENTE]]:tabConsumo[[#This Row],[07_23]] ) * 3)</f>
        <v>107.62587350511957</v>
      </c>
      <c r="X165" s="5">
        <f t="shared" si="4"/>
        <v>2</v>
      </c>
      <c r="Y165">
        <v>17.166666666666668</v>
      </c>
      <c r="Z165" s="257">
        <f>SUM( tabConsumo[[#This Row],[QTD.PENDENTE]]:tabConsumo[[#This Row],[07_23]] )</f>
        <v>228</v>
      </c>
      <c r="AA165" s="257">
        <f>LARGE(tabConsumo[[#This Row],[08_22]:[07_23]],1)</f>
        <v>100</v>
      </c>
      <c r="AB165" s="175" t="s">
        <v>2212</v>
      </c>
      <c r="AC165" s="3" t="s">
        <v>2064</v>
      </c>
    </row>
    <row r="166" spans="1:29" x14ac:dyDescent="0.3">
      <c r="A166" s="4" t="s">
        <v>1350</v>
      </c>
      <c r="B166" s="3" t="s">
        <v>294</v>
      </c>
      <c r="C166" s="2">
        <v>61046</v>
      </c>
      <c r="D166" s="2">
        <v>496</v>
      </c>
      <c r="F166" s="2">
        <v>2</v>
      </c>
      <c r="G166" s="2">
        <v>0</v>
      </c>
      <c r="H166" s="2">
        <v>4</v>
      </c>
      <c r="I166" s="2">
        <v>3</v>
      </c>
      <c r="J166" s="2">
        <v>1</v>
      </c>
      <c r="K166" s="2">
        <v>0</v>
      </c>
      <c r="L166" s="2">
        <v>1</v>
      </c>
      <c r="M166" s="2">
        <v>4</v>
      </c>
      <c r="N166" s="2">
        <v>0</v>
      </c>
      <c r="O166" s="2">
        <v>0</v>
      </c>
      <c r="P166" s="2">
        <v>0</v>
      </c>
      <c r="Q166" s="2">
        <v>0</v>
      </c>
      <c r="R166" s="274">
        <v>367</v>
      </c>
      <c r="S166" s="253">
        <f t="shared" si="5"/>
        <v>12</v>
      </c>
      <c r="T166" s="254">
        <f>SUM( tabConsumo[[#This Row],[QTD.PENDENTE]]:tabConsumo[[#This Row],[07_23]] ) / tabConsumo[[#This Row],[Div]]</f>
        <v>1.25</v>
      </c>
      <c r="U166" s="255">
        <f xml:space="preserve"> tabConsumo[[#This Row],[Média.A]] + (_xlfn.STDEV.S( tabConsumo[[#This Row],[QTD.PENDENTE]]:tabConsumo[[#This Row],[07_23]] ) * 1)</f>
        <v>2.8525547785276544</v>
      </c>
      <c r="V166" s="255">
        <f xml:space="preserve"> tabConsumo[[#This Row],[Média.A]] + (_xlfn.STDEV.S( tabConsumo[[#This Row],[QTD.PENDENTE]]:tabConsumo[[#This Row],[07_23]] ) * 2)</f>
        <v>4.4551095570553088</v>
      </c>
      <c r="W166" s="255">
        <f xml:space="preserve"> tabConsumo[[#This Row],[Média.A]] + (_xlfn.STDEV.S( tabConsumo[[#This Row],[QTD.PENDENTE]]:tabConsumo[[#This Row],[07_23]] ) * 3)</f>
        <v>6.0576643355829622</v>
      </c>
      <c r="X166" s="5">
        <f t="shared" si="4"/>
        <v>2</v>
      </c>
      <c r="Y166">
        <v>1.25</v>
      </c>
      <c r="Z166" s="257">
        <f>SUM( tabConsumo[[#This Row],[QTD.PENDENTE]]:tabConsumo[[#This Row],[07_23]] )</f>
        <v>15</v>
      </c>
      <c r="AA166" s="257">
        <f>LARGE(tabConsumo[[#This Row],[08_22]:[07_23]],1)</f>
        <v>4</v>
      </c>
      <c r="AB166" s="175" t="s">
        <v>2217</v>
      </c>
      <c r="AC166" s="3" t="s">
        <v>2064</v>
      </c>
    </row>
    <row r="167" spans="1:29" x14ac:dyDescent="0.3">
      <c r="A167" s="4" t="s">
        <v>1713</v>
      </c>
      <c r="B167" s="3" t="s">
        <v>31</v>
      </c>
      <c r="C167" s="2">
        <v>116466</v>
      </c>
      <c r="D167" s="2">
        <v>1339</v>
      </c>
      <c r="F167" s="2">
        <v>225</v>
      </c>
      <c r="G167" s="2">
        <v>1030</v>
      </c>
      <c r="H167" s="2">
        <v>1050</v>
      </c>
      <c r="I167" s="2">
        <v>200</v>
      </c>
      <c r="J167" s="2">
        <v>200</v>
      </c>
      <c r="K167" s="2">
        <v>650</v>
      </c>
      <c r="L167" s="2">
        <v>100</v>
      </c>
      <c r="M167" s="2">
        <v>250</v>
      </c>
      <c r="N167" s="2">
        <v>500</v>
      </c>
      <c r="O167" s="2">
        <v>0</v>
      </c>
      <c r="P167" s="2">
        <v>3000</v>
      </c>
      <c r="Q167" s="2">
        <v>1056</v>
      </c>
      <c r="R167" s="274">
        <v>40382</v>
      </c>
      <c r="S167" s="253">
        <v>12</v>
      </c>
      <c r="T167" s="254">
        <f>SUM( tabConsumo[[#This Row],[QTD.PENDENTE]]:tabConsumo[[#This Row],[07_23]] ) / tabConsumo[[#This Row],[Div]]</f>
        <v>688.41666666666663</v>
      </c>
      <c r="U167" s="255">
        <f xml:space="preserve"> tabConsumo[[#This Row],[Média.A]] + (_xlfn.STDEV.S( tabConsumo[[#This Row],[QTD.PENDENTE]]:tabConsumo[[#This Row],[07_23]] ) * 1)</f>
        <v>1512.3292236259299</v>
      </c>
      <c r="V167" s="255">
        <f xml:space="preserve"> tabConsumo[[#This Row],[Média.A]] + (_xlfn.STDEV.S( tabConsumo[[#This Row],[QTD.PENDENTE]]:tabConsumo[[#This Row],[07_23]] ) * 2)</f>
        <v>2336.2417805851933</v>
      </c>
      <c r="W167" s="255">
        <f xml:space="preserve"> tabConsumo[[#This Row],[Média.A]] + (_xlfn.STDEV.S( tabConsumo[[#This Row],[QTD.PENDENTE]]:tabConsumo[[#This Row],[07_23]] ) * 3)</f>
        <v>3160.1543375444567</v>
      </c>
      <c r="X167" s="5">
        <f t="shared" si="4"/>
        <v>2</v>
      </c>
      <c r="Y167">
        <v>633.08333333333337</v>
      </c>
      <c r="Z167" s="257">
        <f>SUM( tabConsumo[[#This Row],[QTD.PENDENTE]]:tabConsumo[[#This Row],[07_23]] )</f>
        <v>8261</v>
      </c>
      <c r="AA167" s="257">
        <f>LARGE(tabConsumo[[#This Row],[08_22]:[07_23]],1)</f>
        <v>3000</v>
      </c>
      <c r="AB167" s="175" t="s">
        <v>2211</v>
      </c>
      <c r="AC167" s="3" t="s">
        <v>2064</v>
      </c>
    </row>
    <row r="168" spans="1:29" x14ac:dyDescent="0.3">
      <c r="A168" s="4" t="s">
        <v>1257</v>
      </c>
      <c r="B168" s="3" t="s">
        <v>294</v>
      </c>
      <c r="C168" s="2">
        <v>35256</v>
      </c>
      <c r="D168" s="2">
        <v>157</v>
      </c>
      <c r="F168" s="2">
        <v>5</v>
      </c>
      <c r="G168" s="2">
        <v>13</v>
      </c>
      <c r="H168" s="2">
        <v>0</v>
      </c>
      <c r="I168" s="2">
        <v>0</v>
      </c>
      <c r="J168" s="2">
        <v>0</v>
      </c>
      <c r="K168" s="2">
        <v>0</v>
      </c>
      <c r="L168" s="2">
        <v>0</v>
      </c>
      <c r="M168" s="2">
        <v>0</v>
      </c>
      <c r="N168" s="2">
        <v>0</v>
      </c>
      <c r="O168" s="2">
        <v>0</v>
      </c>
      <c r="P168" s="2">
        <v>0</v>
      </c>
      <c r="Q168" s="2">
        <v>0</v>
      </c>
      <c r="R168" s="274">
        <v>367</v>
      </c>
      <c r="S168" s="253">
        <f xml:space="preserve"> 12</f>
        <v>12</v>
      </c>
      <c r="T168" s="254">
        <f>SUM( tabConsumo[[#This Row],[QTD.PENDENTE]]:tabConsumo[[#This Row],[07_23]] ) / tabConsumo[[#This Row],[Div]]</f>
        <v>1.5</v>
      </c>
      <c r="U168" s="255">
        <f xml:space="preserve"> tabConsumo[[#This Row],[Média.A]] + (_xlfn.STDEV.S( tabConsumo[[#This Row],[QTD.PENDENTE]]:tabConsumo[[#This Row],[07_23]] ) * 1)</f>
        <v>5.3963852712248794</v>
      </c>
      <c r="V168" s="255">
        <f xml:space="preserve"> tabConsumo[[#This Row],[Média.A]] + (_xlfn.STDEV.S( tabConsumo[[#This Row],[QTD.PENDENTE]]:tabConsumo[[#This Row],[07_23]] ) * 2)</f>
        <v>9.2927705424497589</v>
      </c>
      <c r="W168" s="255">
        <f xml:space="preserve"> tabConsumo[[#This Row],[Média.A]] + (_xlfn.STDEV.S( tabConsumo[[#This Row],[QTD.PENDENTE]]:tabConsumo[[#This Row],[07_23]] ) * 3)</f>
        <v>13.18915581367464</v>
      </c>
      <c r="X168" s="5">
        <f t="shared" si="4"/>
        <v>2</v>
      </c>
      <c r="Y168">
        <v>1.1666666666666667</v>
      </c>
      <c r="Z168" s="257">
        <f>SUM( tabConsumo[[#This Row],[QTD.PENDENTE]]:tabConsumo[[#This Row],[07_23]] )</f>
        <v>18</v>
      </c>
      <c r="AA168" s="257">
        <f>LARGE(tabConsumo[[#This Row],[08_22]:[07_23]],1)</f>
        <v>13</v>
      </c>
      <c r="AB168" s="175" t="s">
        <v>2219</v>
      </c>
      <c r="AC168" s="3" t="s">
        <v>2064</v>
      </c>
    </row>
    <row r="169" spans="1:29" x14ac:dyDescent="0.3">
      <c r="A169" s="4" t="s">
        <v>1778</v>
      </c>
      <c r="B169" s="3" t="s">
        <v>31</v>
      </c>
      <c r="C169" s="2">
        <v>128229</v>
      </c>
      <c r="D169" s="2">
        <v>108</v>
      </c>
      <c r="F169" s="2">
        <v>0</v>
      </c>
      <c r="G169" s="2">
        <v>2</v>
      </c>
      <c r="H169" s="2">
        <v>2</v>
      </c>
      <c r="I169" s="2">
        <v>3</v>
      </c>
      <c r="J169" s="2">
        <v>2</v>
      </c>
      <c r="K169" s="2">
        <v>2</v>
      </c>
      <c r="L169" s="2">
        <v>4</v>
      </c>
      <c r="M169" s="2">
        <v>1</v>
      </c>
      <c r="N169" s="2">
        <v>5</v>
      </c>
      <c r="O169" s="2">
        <v>0</v>
      </c>
      <c r="P169" s="2">
        <v>0</v>
      </c>
      <c r="Q169" s="2">
        <v>0</v>
      </c>
      <c r="R169" s="274">
        <v>41814</v>
      </c>
      <c r="S169" s="253">
        <v>12</v>
      </c>
      <c r="T169" s="254">
        <f>SUM( tabConsumo[[#This Row],[QTD.PENDENTE]]:tabConsumo[[#This Row],[07_23]] ) / tabConsumo[[#This Row],[Div]]</f>
        <v>1.75</v>
      </c>
      <c r="U169" s="255">
        <f xml:space="preserve"> tabConsumo[[#This Row],[Média.A]] + (_xlfn.STDEV.S( tabConsumo[[#This Row],[QTD.PENDENTE]]:tabConsumo[[#This Row],[07_23]] ) * 1)</f>
        <v>3.4083123951776999</v>
      </c>
      <c r="V169" s="255">
        <f xml:space="preserve"> tabConsumo[[#This Row],[Média.A]] + (_xlfn.STDEV.S( tabConsumo[[#This Row],[QTD.PENDENTE]]:tabConsumo[[#This Row],[07_23]] ) * 2)</f>
        <v>5.0666247903553998</v>
      </c>
      <c r="W169" s="255">
        <f xml:space="preserve"> tabConsumo[[#This Row],[Média.A]] + (_xlfn.STDEV.S( tabConsumo[[#This Row],[QTD.PENDENTE]]:tabConsumo[[#This Row],[07_23]] ) * 3)</f>
        <v>6.7249371855330997</v>
      </c>
      <c r="X169" s="5">
        <f t="shared" si="4"/>
        <v>2</v>
      </c>
      <c r="Y169">
        <v>1.75</v>
      </c>
      <c r="Z169" s="257">
        <f>SUM( tabConsumo[[#This Row],[QTD.PENDENTE]]:tabConsumo[[#This Row],[07_23]] )</f>
        <v>21</v>
      </c>
      <c r="AA169" s="257">
        <f>LARGE(tabConsumo[[#This Row],[08_22]:[07_23]],1)</f>
        <v>5</v>
      </c>
      <c r="AB169" s="175" t="s">
        <v>2213</v>
      </c>
      <c r="AC169" s="3" t="s">
        <v>2064</v>
      </c>
    </row>
    <row r="170" spans="1:29" x14ac:dyDescent="0.3">
      <c r="A170" s="4" t="s">
        <v>1416</v>
      </c>
      <c r="B170" s="3" t="s">
        <v>256</v>
      </c>
      <c r="C170" s="2">
        <v>77110</v>
      </c>
      <c r="D170" s="2">
        <v>228</v>
      </c>
      <c r="F170" s="2">
        <v>0</v>
      </c>
      <c r="G170" s="2">
        <v>0</v>
      </c>
      <c r="H170" s="2">
        <v>0</v>
      </c>
      <c r="I170" s="2">
        <v>0</v>
      </c>
      <c r="J170" s="2">
        <v>0</v>
      </c>
      <c r="K170" s="2">
        <v>0</v>
      </c>
      <c r="L170" s="2">
        <v>6</v>
      </c>
      <c r="M170" s="2">
        <v>4</v>
      </c>
      <c r="N170" s="2">
        <v>12</v>
      </c>
      <c r="O170" s="2">
        <v>0</v>
      </c>
      <c r="P170" s="2">
        <v>0</v>
      </c>
      <c r="Q170" s="2">
        <v>0</v>
      </c>
      <c r="R170" s="274">
        <v>38028</v>
      </c>
      <c r="S170" s="253">
        <v>12</v>
      </c>
      <c r="T170" s="254">
        <f>SUM( tabConsumo[[#This Row],[QTD.PENDENTE]]:tabConsumo[[#This Row],[07_23]] ) / tabConsumo[[#This Row],[Div]]</f>
        <v>1.8333333333333333</v>
      </c>
      <c r="U170" s="255">
        <f xml:space="preserve"> tabConsumo[[#This Row],[Média.A]] + (_xlfn.STDEV.S( tabConsumo[[#This Row],[QTD.PENDENTE]]:tabConsumo[[#This Row],[07_23]] ) * 1)</f>
        <v>5.5951832973158355</v>
      </c>
      <c r="V170" s="255">
        <f xml:space="preserve"> tabConsumo[[#This Row],[Média.A]] + (_xlfn.STDEV.S( tabConsumo[[#This Row],[QTD.PENDENTE]]:tabConsumo[[#This Row],[07_23]] ) * 2)</f>
        <v>9.3570332612983371</v>
      </c>
      <c r="W170" s="255">
        <f xml:space="preserve"> tabConsumo[[#This Row],[Média.A]] + (_xlfn.STDEV.S( tabConsumo[[#This Row],[QTD.PENDENTE]]:tabConsumo[[#This Row],[07_23]] ) * 3)</f>
        <v>13.11888322528084</v>
      </c>
      <c r="X170" s="5">
        <f t="shared" si="4"/>
        <v>2</v>
      </c>
      <c r="Y170">
        <v>1.5833333333333333</v>
      </c>
      <c r="Z170" s="257">
        <f>SUM( tabConsumo[[#This Row],[QTD.PENDENTE]]:tabConsumo[[#This Row],[07_23]] )</f>
        <v>22</v>
      </c>
      <c r="AA170" s="257">
        <f>LARGE(tabConsumo[[#This Row],[08_22]:[07_23]],1)</f>
        <v>12</v>
      </c>
      <c r="AB170" s="175" t="s">
        <v>2213</v>
      </c>
      <c r="AC170" s="3" t="s">
        <v>2064</v>
      </c>
    </row>
    <row r="171" spans="1:29" x14ac:dyDescent="0.3">
      <c r="A171" s="4" t="s">
        <v>1415</v>
      </c>
      <c r="B171" s="3" t="s">
        <v>256</v>
      </c>
      <c r="C171" s="2">
        <v>77109</v>
      </c>
      <c r="D171" s="2">
        <v>131</v>
      </c>
      <c r="F171" s="2">
        <v>20</v>
      </c>
      <c r="G171" s="2">
        <v>2</v>
      </c>
      <c r="H171" s="2">
        <v>10</v>
      </c>
      <c r="I171" s="2">
        <v>5</v>
      </c>
      <c r="J171" s="2">
        <v>5</v>
      </c>
      <c r="K171" s="2">
        <v>5</v>
      </c>
      <c r="L171" s="2">
        <v>16</v>
      </c>
      <c r="M171" s="2">
        <v>22</v>
      </c>
      <c r="N171" s="2">
        <v>14</v>
      </c>
      <c r="O171" s="2">
        <v>0</v>
      </c>
      <c r="P171" s="2">
        <v>0</v>
      </c>
      <c r="Q171" s="2">
        <v>50</v>
      </c>
      <c r="R171" s="274">
        <v>38028</v>
      </c>
      <c r="S171" s="253">
        <v>12</v>
      </c>
      <c r="T171" s="254">
        <f>SUM( tabConsumo[[#This Row],[QTD.PENDENTE]]:tabConsumo[[#This Row],[07_23]] ) / tabConsumo[[#This Row],[Div]]</f>
        <v>12.416666666666666</v>
      </c>
      <c r="U171" s="255">
        <f xml:space="preserve"> tabConsumo[[#This Row],[Média.A]] + (_xlfn.STDEV.S( tabConsumo[[#This Row],[QTD.PENDENTE]]:tabConsumo[[#This Row],[07_23]] ) * 1)</f>
        <v>26.445587012174585</v>
      </c>
      <c r="V171" s="255">
        <f xml:space="preserve"> tabConsumo[[#This Row],[Média.A]] + (_xlfn.STDEV.S( tabConsumo[[#This Row],[QTD.PENDENTE]]:tabConsumo[[#This Row],[07_23]] ) * 2)</f>
        <v>40.474507357682505</v>
      </c>
      <c r="W171" s="255">
        <f xml:space="preserve"> tabConsumo[[#This Row],[Média.A]] + (_xlfn.STDEV.S( tabConsumo[[#This Row],[QTD.PENDENTE]]:tabConsumo[[#This Row],[07_23]] ) * 3)</f>
        <v>54.503427703190425</v>
      </c>
      <c r="X171" s="5">
        <f t="shared" si="4"/>
        <v>2</v>
      </c>
      <c r="Y171">
        <v>11.583333333333334</v>
      </c>
      <c r="Z171" s="257">
        <f>SUM( tabConsumo[[#This Row],[QTD.PENDENTE]]:tabConsumo[[#This Row],[07_23]] )</f>
        <v>149</v>
      </c>
      <c r="AA171" s="257">
        <f>LARGE(tabConsumo[[#This Row],[08_22]:[07_23]],1)</f>
        <v>50</v>
      </c>
      <c r="AB171" s="175" t="s">
        <v>2211</v>
      </c>
      <c r="AC171" s="3" t="s">
        <v>2064</v>
      </c>
    </row>
    <row r="172" spans="1:29" x14ac:dyDescent="0.3">
      <c r="A172" s="4" t="s">
        <v>1936</v>
      </c>
      <c r="B172" s="3" t="s">
        <v>256</v>
      </c>
      <c r="C172" s="2">
        <v>136880</v>
      </c>
      <c r="D172" s="2">
        <v>17</v>
      </c>
      <c r="F172" s="2">
        <v>0</v>
      </c>
      <c r="G172" s="2">
        <v>0</v>
      </c>
      <c r="H172" s="2">
        <v>0</v>
      </c>
      <c r="I172" s="2">
        <v>10</v>
      </c>
      <c r="J172" s="2">
        <v>7</v>
      </c>
      <c r="K172" s="2">
        <v>0</v>
      </c>
      <c r="L172" s="2">
        <v>1</v>
      </c>
      <c r="M172" s="2">
        <v>0</v>
      </c>
      <c r="N172" s="2">
        <v>0</v>
      </c>
      <c r="O172" s="2">
        <v>0</v>
      </c>
      <c r="P172" s="2">
        <v>0</v>
      </c>
      <c r="Q172" s="2">
        <v>0</v>
      </c>
      <c r="R172" s="274">
        <v>43580</v>
      </c>
      <c r="S172" s="253">
        <v>12</v>
      </c>
      <c r="T172" s="254">
        <f>SUM( tabConsumo[[#This Row],[QTD.PENDENTE]]:tabConsumo[[#This Row],[07_23]] ) / tabConsumo[[#This Row],[Div]]</f>
        <v>1.5</v>
      </c>
      <c r="U172" s="255">
        <f xml:space="preserve"> tabConsumo[[#This Row],[Média.A]] + (_xlfn.STDEV.S( tabConsumo[[#This Row],[QTD.PENDENTE]]:tabConsumo[[#This Row],[07_23]] ) * 1)</f>
        <v>4.8439225741362764</v>
      </c>
      <c r="V172" s="255">
        <f xml:space="preserve"> tabConsumo[[#This Row],[Média.A]] + (_xlfn.STDEV.S( tabConsumo[[#This Row],[QTD.PENDENTE]]:tabConsumo[[#This Row],[07_23]] ) * 2)</f>
        <v>8.1878451482725527</v>
      </c>
      <c r="W172" s="255">
        <f xml:space="preserve"> tabConsumo[[#This Row],[Média.A]] + (_xlfn.STDEV.S( tabConsumo[[#This Row],[QTD.PENDENTE]]:tabConsumo[[#This Row],[07_23]] ) * 3)</f>
        <v>11.53176772240883</v>
      </c>
      <c r="X172" s="5">
        <f t="shared" si="4"/>
        <v>2</v>
      </c>
      <c r="Y172">
        <v>1.3333333333333333</v>
      </c>
      <c r="Z172" s="257">
        <f>SUM( tabConsumo[[#This Row],[QTD.PENDENTE]]:tabConsumo[[#This Row],[07_23]] )</f>
        <v>18</v>
      </c>
      <c r="AA172" s="257">
        <f>LARGE(tabConsumo[[#This Row],[08_22]:[07_23]],1)</f>
        <v>10</v>
      </c>
      <c r="AB172" s="175" t="s">
        <v>2221</v>
      </c>
      <c r="AC172" s="3" t="s">
        <v>2064</v>
      </c>
    </row>
    <row r="173" spans="1:29" x14ac:dyDescent="0.3">
      <c r="A173" s="4" t="s">
        <v>1450</v>
      </c>
      <c r="B173" s="3" t="s">
        <v>256</v>
      </c>
      <c r="C173" s="2">
        <v>79688</v>
      </c>
      <c r="D173" s="2">
        <v>20784</v>
      </c>
      <c r="E173" s="2">
        <v>34</v>
      </c>
      <c r="F173" s="2">
        <v>1375</v>
      </c>
      <c r="G173" s="2">
        <v>1066</v>
      </c>
      <c r="H173" s="2">
        <v>1082</v>
      </c>
      <c r="I173" s="2">
        <v>1360</v>
      </c>
      <c r="J173" s="2">
        <v>978</v>
      </c>
      <c r="K173" s="2">
        <v>464</v>
      </c>
      <c r="L173" s="2">
        <v>1203</v>
      </c>
      <c r="M173" s="2">
        <v>2043</v>
      </c>
      <c r="N173" s="2">
        <v>1168</v>
      </c>
      <c r="O173" s="2">
        <v>1425</v>
      </c>
      <c r="P173" s="2">
        <v>1170</v>
      </c>
      <c r="Q173" s="2">
        <v>1243</v>
      </c>
      <c r="R173" s="274">
        <v>38138</v>
      </c>
      <c r="S173" s="253">
        <v>12</v>
      </c>
      <c r="T173" s="254">
        <f>SUM( tabConsumo[[#This Row],[QTD.PENDENTE]]:tabConsumo[[#This Row],[07_23]] ) / tabConsumo[[#This Row],[Div]]</f>
        <v>1217.5833333333333</v>
      </c>
      <c r="U173" s="255">
        <f xml:space="preserve"> tabConsumo[[#This Row],[Média.A]] + (_xlfn.STDEV.S( tabConsumo[[#This Row],[QTD.PENDENTE]]:tabConsumo[[#This Row],[07_23]] ) * 1)</f>
        <v>1694.4181163100056</v>
      </c>
      <c r="V173" s="255">
        <f xml:space="preserve"> tabConsumo[[#This Row],[Média.A]] + (_xlfn.STDEV.S( tabConsumo[[#This Row],[QTD.PENDENTE]]:tabConsumo[[#This Row],[07_23]] ) * 2)</f>
        <v>2171.2528992866783</v>
      </c>
      <c r="W173" s="255">
        <f xml:space="preserve"> tabConsumo[[#This Row],[Média.A]] + (_xlfn.STDEV.S( tabConsumo[[#This Row],[QTD.PENDENTE]]:tabConsumo[[#This Row],[07_23]] ) * 3)</f>
        <v>2648.0876822633509</v>
      </c>
      <c r="X173" s="5">
        <f t="shared" si="4"/>
        <v>2</v>
      </c>
      <c r="Y173">
        <v>1217.5833333333333</v>
      </c>
      <c r="Z173" s="257">
        <f>SUM( tabConsumo[[#This Row],[QTD.PENDENTE]]:tabConsumo[[#This Row],[07_23]] )</f>
        <v>14611</v>
      </c>
      <c r="AA173" s="257">
        <f>LARGE(tabConsumo[[#This Row],[08_22]:[07_23]],1)</f>
        <v>2043</v>
      </c>
      <c r="AB173" s="175" t="s">
        <v>2211</v>
      </c>
      <c r="AC173" s="3" t="s">
        <v>2064</v>
      </c>
    </row>
    <row r="174" spans="1:29" x14ac:dyDescent="0.3">
      <c r="A174" s="4" t="s">
        <v>1449</v>
      </c>
      <c r="B174" s="3" t="s">
        <v>256</v>
      </c>
      <c r="C174" s="2">
        <v>79687</v>
      </c>
      <c r="D174" s="2">
        <v>15049</v>
      </c>
      <c r="E174" s="2">
        <v>34</v>
      </c>
      <c r="F174" s="2">
        <v>1406</v>
      </c>
      <c r="G174" s="2">
        <v>1128</v>
      </c>
      <c r="H174" s="2">
        <v>2111</v>
      </c>
      <c r="I174" s="2">
        <v>1447</v>
      </c>
      <c r="J174" s="2">
        <v>1105</v>
      </c>
      <c r="K174" s="2">
        <v>640</v>
      </c>
      <c r="L174" s="2">
        <v>1461</v>
      </c>
      <c r="M174" s="2">
        <v>2077</v>
      </c>
      <c r="N174" s="2">
        <v>1193</v>
      </c>
      <c r="O174" s="2">
        <v>1466</v>
      </c>
      <c r="P174" s="2">
        <v>1163</v>
      </c>
      <c r="Q174" s="2">
        <v>1273</v>
      </c>
      <c r="R174" s="274">
        <v>38138</v>
      </c>
      <c r="S174" s="253">
        <v>12</v>
      </c>
      <c r="T174" s="254">
        <f>SUM( tabConsumo[[#This Row],[QTD.PENDENTE]]:tabConsumo[[#This Row],[07_23]] ) / tabConsumo[[#This Row],[Div]]</f>
        <v>1375.3333333333333</v>
      </c>
      <c r="U174" s="255">
        <f xml:space="preserve"> tabConsumo[[#This Row],[Média.A]] + (_xlfn.STDEV.S( tabConsumo[[#This Row],[QTD.PENDENTE]]:tabConsumo[[#This Row],[07_23]] ) * 1)</f>
        <v>1913.2785931545372</v>
      </c>
      <c r="V174" s="255">
        <f xml:space="preserve"> tabConsumo[[#This Row],[Média.A]] + (_xlfn.STDEV.S( tabConsumo[[#This Row],[QTD.PENDENTE]]:tabConsumo[[#This Row],[07_23]] ) * 2)</f>
        <v>2451.2238529757415</v>
      </c>
      <c r="W174" s="255">
        <f xml:space="preserve"> tabConsumo[[#This Row],[Média.A]] + (_xlfn.STDEV.S( tabConsumo[[#This Row],[QTD.PENDENTE]]:tabConsumo[[#This Row],[07_23]] ) * 3)</f>
        <v>2989.1691127969452</v>
      </c>
      <c r="X174" s="5">
        <f t="shared" si="4"/>
        <v>2</v>
      </c>
      <c r="Y174">
        <v>1375.3333333333333</v>
      </c>
      <c r="Z174" s="257">
        <f>SUM( tabConsumo[[#This Row],[QTD.PENDENTE]]:tabConsumo[[#This Row],[07_23]] )</f>
        <v>16504</v>
      </c>
      <c r="AA174" s="257">
        <f>LARGE(tabConsumo[[#This Row],[08_22]:[07_23]],1)</f>
        <v>2111</v>
      </c>
      <c r="AB174" s="175" t="s">
        <v>2211</v>
      </c>
      <c r="AC174" s="3" t="s">
        <v>2064</v>
      </c>
    </row>
    <row r="175" spans="1:29" x14ac:dyDescent="0.3">
      <c r="A175" s="4" t="s">
        <v>1933</v>
      </c>
      <c r="B175" s="3" t="s">
        <v>256</v>
      </c>
      <c r="C175" s="2">
        <v>136860</v>
      </c>
      <c r="D175" s="2">
        <v>9</v>
      </c>
      <c r="F175" s="2">
        <v>0</v>
      </c>
      <c r="G175" s="2">
        <v>0</v>
      </c>
      <c r="H175" s="2">
        <v>0</v>
      </c>
      <c r="I175" s="2">
        <v>0</v>
      </c>
      <c r="J175" s="2">
        <v>1</v>
      </c>
      <c r="K175" s="2">
        <v>1</v>
      </c>
      <c r="L175" s="2">
        <v>0</v>
      </c>
      <c r="M175" s="2">
        <v>0</v>
      </c>
      <c r="N175" s="2">
        <v>0</v>
      </c>
      <c r="O175" s="2">
        <v>0</v>
      </c>
      <c r="P175" s="2">
        <v>0</v>
      </c>
      <c r="Q175" s="2">
        <v>0</v>
      </c>
      <c r="R175" s="274">
        <v>43578</v>
      </c>
      <c r="S175" s="253">
        <v>12</v>
      </c>
      <c r="T175" s="254">
        <f>SUM( tabConsumo[[#This Row],[QTD.PENDENTE]]:tabConsumo[[#This Row],[07_23]] ) / tabConsumo[[#This Row],[Div]]</f>
        <v>0.16666666666666666</v>
      </c>
      <c r="U175" s="255">
        <f xml:space="preserve"> tabConsumo[[#This Row],[Média.A]] + (_xlfn.STDEV.S( tabConsumo[[#This Row],[QTD.PENDENTE]]:tabConsumo[[#This Row],[07_23]] ) * 1)</f>
        <v>0.55591613874742818</v>
      </c>
      <c r="V175" s="255">
        <f xml:space="preserve"> tabConsumo[[#This Row],[Média.A]] + (_xlfn.STDEV.S( tabConsumo[[#This Row],[QTD.PENDENTE]]:tabConsumo[[#This Row],[07_23]] ) * 2)</f>
        <v>0.94516561082818962</v>
      </c>
      <c r="W175" s="255">
        <f xml:space="preserve"> tabConsumo[[#This Row],[Média.A]] + (_xlfn.STDEV.S( tabConsumo[[#This Row],[QTD.PENDENTE]]:tabConsumo[[#This Row],[07_23]] ) * 3)</f>
        <v>1.3344150829089512</v>
      </c>
      <c r="X175" s="5">
        <f t="shared" si="4"/>
        <v>2</v>
      </c>
      <c r="Y175">
        <v>0</v>
      </c>
      <c r="Z175" s="257">
        <f>SUM( tabConsumo[[#This Row],[QTD.PENDENTE]]:tabConsumo[[#This Row],[07_23]] )</f>
        <v>2</v>
      </c>
      <c r="AA175" s="257">
        <f>LARGE(tabConsumo[[#This Row],[08_22]:[07_23]],1)</f>
        <v>1</v>
      </c>
      <c r="AB175" s="175" t="s">
        <v>2220</v>
      </c>
      <c r="AC175" s="3" t="s">
        <v>2064</v>
      </c>
    </row>
    <row r="176" spans="1:29" x14ac:dyDescent="0.3">
      <c r="A176" s="4" t="s">
        <v>1192</v>
      </c>
      <c r="B176" s="3" t="s">
        <v>256</v>
      </c>
      <c r="C176" s="2">
        <v>24219</v>
      </c>
      <c r="D176" s="2">
        <v>474</v>
      </c>
      <c r="E176" s="2">
        <v>1</v>
      </c>
      <c r="F176" s="2">
        <v>16</v>
      </c>
      <c r="G176" s="2">
        <v>20</v>
      </c>
      <c r="H176" s="2">
        <v>17</v>
      </c>
      <c r="I176" s="2">
        <v>25</v>
      </c>
      <c r="J176" s="2">
        <v>9</v>
      </c>
      <c r="K176" s="2">
        <v>23</v>
      </c>
      <c r="L176" s="2">
        <v>32</v>
      </c>
      <c r="M176" s="2">
        <v>43</v>
      </c>
      <c r="N176" s="2">
        <v>24</v>
      </c>
      <c r="O176" s="2">
        <v>30</v>
      </c>
      <c r="P176" s="2">
        <v>25</v>
      </c>
      <c r="Q176" s="2">
        <v>30</v>
      </c>
      <c r="R176" s="274">
        <v>367</v>
      </c>
      <c r="S176" s="253">
        <f t="shared" ref="S176:S181" si="6" xml:space="preserve"> 12</f>
        <v>12</v>
      </c>
      <c r="T176" s="254">
        <f>SUM( tabConsumo[[#This Row],[QTD.PENDENTE]]:tabConsumo[[#This Row],[07_23]] ) / tabConsumo[[#This Row],[Div]]</f>
        <v>24.583333333333332</v>
      </c>
      <c r="U176" s="255">
        <f xml:space="preserve"> tabConsumo[[#This Row],[Média.A]] + (_xlfn.STDEV.S( tabConsumo[[#This Row],[QTD.PENDENTE]]:tabConsumo[[#This Row],[07_23]] ) * 1)</f>
        <v>35.232156549888103</v>
      </c>
      <c r="V176" s="255">
        <f xml:space="preserve"> tabConsumo[[#This Row],[Média.A]] + (_xlfn.STDEV.S( tabConsumo[[#This Row],[QTD.PENDENTE]]:tabConsumo[[#This Row],[07_23]] ) * 2)</f>
        <v>45.88097976644287</v>
      </c>
      <c r="W176" s="255">
        <f xml:space="preserve"> tabConsumo[[#This Row],[Média.A]] + (_xlfn.STDEV.S( tabConsumo[[#This Row],[QTD.PENDENTE]]:tabConsumo[[#This Row],[07_23]] ) * 3)</f>
        <v>56.529802982997637</v>
      </c>
      <c r="X176" s="5">
        <f t="shared" si="4"/>
        <v>2</v>
      </c>
      <c r="Y176">
        <v>24.583333333333332</v>
      </c>
      <c r="Z176" s="257">
        <f>SUM( tabConsumo[[#This Row],[QTD.PENDENTE]]:tabConsumo[[#This Row],[07_23]] )</f>
        <v>295</v>
      </c>
      <c r="AA176" s="257">
        <f>LARGE(tabConsumo[[#This Row],[08_22]:[07_23]],1)</f>
        <v>43</v>
      </c>
      <c r="AB176" s="175" t="s">
        <v>2211</v>
      </c>
      <c r="AC176" s="3" t="s">
        <v>2064</v>
      </c>
    </row>
    <row r="177" spans="1:29" x14ac:dyDescent="0.3">
      <c r="A177" s="4" t="s">
        <v>942</v>
      </c>
      <c r="B177" s="3" t="s">
        <v>569</v>
      </c>
      <c r="C177" s="2">
        <v>12635</v>
      </c>
      <c r="D177" s="2">
        <v>4034</v>
      </c>
      <c r="E177" s="2">
        <v>50</v>
      </c>
      <c r="F177" s="2">
        <v>1379</v>
      </c>
      <c r="G177" s="2">
        <v>1155</v>
      </c>
      <c r="H177" s="2">
        <v>1696</v>
      </c>
      <c r="I177" s="2">
        <v>1586</v>
      </c>
      <c r="J177" s="2">
        <v>970</v>
      </c>
      <c r="K177" s="2">
        <v>480</v>
      </c>
      <c r="L177" s="2">
        <v>1140</v>
      </c>
      <c r="M177" s="2">
        <v>2100</v>
      </c>
      <c r="N177" s="2">
        <v>1313</v>
      </c>
      <c r="O177" s="2">
        <v>1720</v>
      </c>
      <c r="P177" s="2">
        <v>2431</v>
      </c>
      <c r="Q177" s="2">
        <v>1430</v>
      </c>
      <c r="R177" s="274">
        <v>367</v>
      </c>
      <c r="S177" s="253">
        <f t="shared" si="6"/>
        <v>12</v>
      </c>
      <c r="T177" s="254">
        <f>SUM( tabConsumo[[#This Row],[QTD.PENDENTE]]:tabConsumo[[#This Row],[07_23]] ) / tabConsumo[[#This Row],[Div]]</f>
        <v>1454.1666666666667</v>
      </c>
      <c r="U177" s="255">
        <f xml:space="preserve"> tabConsumo[[#This Row],[Média.A]] + (_xlfn.STDEV.S( tabConsumo[[#This Row],[QTD.PENDENTE]]:tabConsumo[[#This Row],[07_23]] ) * 1)</f>
        <v>2081.637699811542</v>
      </c>
      <c r="V177" s="255">
        <f xml:space="preserve"> tabConsumo[[#This Row],[Média.A]] + (_xlfn.STDEV.S( tabConsumo[[#This Row],[QTD.PENDENTE]]:tabConsumo[[#This Row],[07_23]] ) * 2)</f>
        <v>2709.1087329564175</v>
      </c>
      <c r="W177" s="255">
        <f xml:space="preserve"> tabConsumo[[#This Row],[Média.A]] + (_xlfn.STDEV.S( tabConsumo[[#This Row],[QTD.PENDENTE]]:tabConsumo[[#This Row],[07_23]] ) * 3)</f>
        <v>3336.579766101293</v>
      </c>
      <c r="X177" s="5">
        <f t="shared" si="4"/>
        <v>2</v>
      </c>
      <c r="Y177">
        <v>1454.1666666666667</v>
      </c>
      <c r="Z177" s="257">
        <f>SUM( tabConsumo[[#This Row],[QTD.PENDENTE]]:tabConsumo[[#This Row],[07_23]] )</f>
        <v>17450</v>
      </c>
      <c r="AA177" s="257">
        <f>LARGE(tabConsumo[[#This Row],[08_22]:[07_23]],1)</f>
        <v>2431</v>
      </c>
      <c r="AB177" s="175" t="s">
        <v>2211</v>
      </c>
      <c r="AC177" s="3" t="s">
        <v>2064</v>
      </c>
    </row>
    <row r="178" spans="1:29" x14ac:dyDescent="0.3">
      <c r="A178" s="4" t="s">
        <v>1180</v>
      </c>
      <c r="B178" s="3" t="s">
        <v>569</v>
      </c>
      <c r="C178" s="2">
        <v>23687</v>
      </c>
      <c r="D178" s="2">
        <v>11853</v>
      </c>
      <c r="E178" s="2">
        <v>40</v>
      </c>
      <c r="F178" s="2">
        <v>2950</v>
      </c>
      <c r="G178" s="2">
        <v>1370</v>
      </c>
      <c r="H178" s="2">
        <v>3767</v>
      </c>
      <c r="I178" s="2">
        <v>1656</v>
      </c>
      <c r="J178" s="2">
        <v>910</v>
      </c>
      <c r="K178" s="2">
        <v>491</v>
      </c>
      <c r="L178" s="2">
        <v>1170</v>
      </c>
      <c r="M178" s="2">
        <v>2210</v>
      </c>
      <c r="N178" s="2">
        <v>1415</v>
      </c>
      <c r="O178" s="2">
        <v>1815</v>
      </c>
      <c r="P178" s="2">
        <v>2593</v>
      </c>
      <c r="Q178" s="2">
        <v>1544</v>
      </c>
      <c r="R178" s="274">
        <v>367</v>
      </c>
      <c r="S178" s="253">
        <f t="shared" si="6"/>
        <v>12</v>
      </c>
      <c r="T178" s="254">
        <f>SUM( tabConsumo[[#This Row],[QTD.PENDENTE]]:tabConsumo[[#This Row],[07_23]] ) / tabConsumo[[#This Row],[Div]]</f>
        <v>1827.5833333333333</v>
      </c>
      <c r="U178" s="255">
        <f xml:space="preserve"> tabConsumo[[#This Row],[Média.A]] + (_xlfn.STDEV.S( tabConsumo[[#This Row],[QTD.PENDENTE]]:tabConsumo[[#This Row],[07_23]] ) * 1)</f>
        <v>2837.6264017220037</v>
      </c>
      <c r="V178" s="255">
        <f xml:space="preserve"> tabConsumo[[#This Row],[Média.A]] + (_xlfn.STDEV.S( tabConsumo[[#This Row],[QTD.PENDENTE]]:tabConsumo[[#This Row],[07_23]] ) * 2)</f>
        <v>3847.6694701106735</v>
      </c>
      <c r="W178" s="255">
        <f xml:space="preserve"> tabConsumo[[#This Row],[Média.A]] + (_xlfn.STDEV.S( tabConsumo[[#This Row],[QTD.PENDENTE]]:tabConsumo[[#This Row],[07_23]] ) * 3)</f>
        <v>4857.7125384993442</v>
      </c>
      <c r="X178" s="5">
        <f t="shared" si="4"/>
        <v>2</v>
      </c>
      <c r="Y178">
        <v>1827.5833333333333</v>
      </c>
      <c r="Z178" s="257">
        <f>SUM( tabConsumo[[#This Row],[QTD.PENDENTE]]:tabConsumo[[#This Row],[07_23]] )</f>
        <v>21931</v>
      </c>
      <c r="AA178" s="257">
        <f>LARGE(tabConsumo[[#This Row],[08_22]:[07_23]],1)</f>
        <v>3767</v>
      </c>
      <c r="AB178" s="175" t="s">
        <v>2211</v>
      </c>
      <c r="AC178" s="3" t="s">
        <v>2064</v>
      </c>
    </row>
    <row r="179" spans="1:29" x14ac:dyDescent="0.3">
      <c r="A179" s="4" t="s">
        <v>940</v>
      </c>
      <c r="B179" s="3" t="s">
        <v>569</v>
      </c>
      <c r="C179" s="2">
        <v>12623</v>
      </c>
      <c r="D179" s="2">
        <v>57846</v>
      </c>
      <c r="E179" s="2">
        <v>1765</v>
      </c>
      <c r="F179" s="2">
        <v>2549</v>
      </c>
      <c r="G179" s="2">
        <v>0</v>
      </c>
      <c r="H179" s="2">
        <v>0</v>
      </c>
      <c r="I179" s="2">
        <v>0</v>
      </c>
      <c r="J179" s="2">
        <v>0</v>
      </c>
      <c r="K179" s="2">
        <v>0</v>
      </c>
      <c r="L179" s="2">
        <v>720</v>
      </c>
      <c r="M179" s="2">
        <v>6115</v>
      </c>
      <c r="N179" s="2">
        <v>3319</v>
      </c>
      <c r="O179" s="2">
        <v>3625</v>
      </c>
      <c r="P179" s="2">
        <v>4632</v>
      </c>
      <c r="Q179" s="2">
        <v>3238</v>
      </c>
      <c r="R179" s="274">
        <v>367</v>
      </c>
      <c r="S179" s="253">
        <f t="shared" si="6"/>
        <v>12</v>
      </c>
      <c r="T179" s="254">
        <f>SUM( tabConsumo[[#This Row],[QTD.PENDENTE]]:tabConsumo[[#This Row],[07_23]] ) / tabConsumo[[#This Row],[Div]]</f>
        <v>2163.5833333333335</v>
      </c>
      <c r="U179" s="255">
        <f xml:space="preserve"> tabConsumo[[#This Row],[Média.A]] + (_xlfn.STDEV.S( tabConsumo[[#This Row],[QTD.PENDENTE]]:tabConsumo[[#This Row],[07_23]] ) * 1)</f>
        <v>4240.612455507352</v>
      </c>
      <c r="V179" s="255">
        <f xml:space="preserve"> tabConsumo[[#This Row],[Média.A]] + (_xlfn.STDEV.S( tabConsumo[[#This Row],[QTD.PENDENTE]]:tabConsumo[[#This Row],[07_23]] ) * 2)</f>
        <v>6317.6415776813701</v>
      </c>
      <c r="W179" s="255">
        <f xml:space="preserve"> tabConsumo[[#This Row],[Média.A]] + (_xlfn.STDEV.S( tabConsumo[[#This Row],[QTD.PENDENTE]]:tabConsumo[[#This Row],[07_23]] ) * 3)</f>
        <v>8394.6706998553891</v>
      </c>
      <c r="X179" s="5">
        <f t="shared" si="4"/>
        <v>2</v>
      </c>
      <c r="Y179">
        <v>2163.5833333333335</v>
      </c>
      <c r="Z179" s="257">
        <f>SUM( tabConsumo[[#This Row],[QTD.PENDENTE]]:tabConsumo[[#This Row],[07_23]] )</f>
        <v>25963</v>
      </c>
      <c r="AA179" s="257">
        <f>LARGE(tabConsumo[[#This Row],[08_22]:[07_23]],1)</f>
        <v>6115</v>
      </c>
      <c r="AB179" s="175" t="s">
        <v>2211</v>
      </c>
      <c r="AC179" s="3" t="s">
        <v>2064</v>
      </c>
    </row>
    <row r="180" spans="1:29" x14ac:dyDescent="0.3">
      <c r="A180" s="4" t="s">
        <v>1181</v>
      </c>
      <c r="B180" s="3" t="s">
        <v>569</v>
      </c>
      <c r="C180" s="2">
        <v>23692</v>
      </c>
      <c r="D180" s="2">
        <v>14223</v>
      </c>
      <c r="E180" s="2">
        <v>40</v>
      </c>
      <c r="F180" s="2">
        <v>1130</v>
      </c>
      <c r="G180" s="2">
        <v>950</v>
      </c>
      <c r="H180" s="2">
        <v>1196</v>
      </c>
      <c r="I180" s="2">
        <v>1291</v>
      </c>
      <c r="J180" s="2">
        <v>700</v>
      </c>
      <c r="K180" s="2">
        <v>365</v>
      </c>
      <c r="L180" s="2">
        <v>1080</v>
      </c>
      <c r="M180" s="2">
        <v>1885</v>
      </c>
      <c r="N180" s="2">
        <v>1155</v>
      </c>
      <c r="O180" s="2">
        <v>1536</v>
      </c>
      <c r="P180" s="2">
        <v>2340</v>
      </c>
      <c r="Q180" s="2">
        <v>1231</v>
      </c>
      <c r="R180" s="274">
        <v>367</v>
      </c>
      <c r="S180" s="253">
        <f t="shared" si="6"/>
        <v>12</v>
      </c>
      <c r="T180" s="254">
        <f>SUM( tabConsumo[[#This Row],[QTD.PENDENTE]]:tabConsumo[[#This Row],[07_23]] ) / tabConsumo[[#This Row],[Div]]</f>
        <v>1241.5833333333333</v>
      </c>
      <c r="U180" s="255">
        <f xml:space="preserve"> tabConsumo[[#This Row],[Média.A]] + (_xlfn.STDEV.S( tabConsumo[[#This Row],[QTD.PENDENTE]]:tabConsumo[[#This Row],[07_23]] ) * 1)</f>
        <v>1835.2884315005494</v>
      </c>
      <c r="V180" s="255">
        <f xml:space="preserve"> tabConsumo[[#This Row],[Média.A]] + (_xlfn.STDEV.S( tabConsumo[[#This Row],[QTD.PENDENTE]]:tabConsumo[[#This Row],[07_23]] ) * 2)</f>
        <v>2428.9935296677654</v>
      </c>
      <c r="W180" s="255">
        <f xml:space="preserve"> tabConsumo[[#This Row],[Média.A]] + (_xlfn.STDEV.S( tabConsumo[[#This Row],[QTD.PENDENTE]]:tabConsumo[[#This Row],[07_23]] ) * 3)</f>
        <v>3022.6986278349814</v>
      </c>
      <c r="X180" s="5">
        <f t="shared" si="4"/>
        <v>2</v>
      </c>
      <c r="Y180">
        <v>1241.5833333333333</v>
      </c>
      <c r="Z180" s="257">
        <f>SUM( tabConsumo[[#This Row],[QTD.PENDENTE]]:tabConsumo[[#This Row],[07_23]] )</f>
        <v>14899</v>
      </c>
      <c r="AA180" s="257">
        <f>LARGE(tabConsumo[[#This Row],[08_22]:[07_23]],1)</f>
        <v>2340</v>
      </c>
      <c r="AB180" s="175" t="s">
        <v>2211</v>
      </c>
      <c r="AC180" s="3" t="s">
        <v>2064</v>
      </c>
    </row>
    <row r="181" spans="1:29" x14ac:dyDescent="0.3">
      <c r="A181" s="4" t="s">
        <v>1288</v>
      </c>
      <c r="B181" s="3" t="s">
        <v>569</v>
      </c>
      <c r="C181" s="2">
        <v>47447</v>
      </c>
      <c r="D181" s="2">
        <v>15291</v>
      </c>
      <c r="E181" s="2">
        <v>50</v>
      </c>
      <c r="F181" s="2">
        <v>2795</v>
      </c>
      <c r="G181" s="2">
        <v>1131</v>
      </c>
      <c r="H181" s="2">
        <v>1381</v>
      </c>
      <c r="I181" s="2">
        <v>1521</v>
      </c>
      <c r="J181" s="2">
        <v>945</v>
      </c>
      <c r="K181" s="2">
        <v>460</v>
      </c>
      <c r="L181" s="2">
        <v>1130</v>
      </c>
      <c r="M181" s="2">
        <v>2125</v>
      </c>
      <c r="N181" s="2">
        <v>1382</v>
      </c>
      <c r="O181" s="2">
        <v>1705</v>
      </c>
      <c r="P181" s="2">
        <v>2463</v>
      </c>
      <c r="Q181" s="2">
        <v>1355</v>
      </c>
      <c r="R181" s="274">
        <v>367</v>
      </c>
      <c r="S181" s="253">
        <f t="shared" si="6"/>
        <v>12</v>
      </c>
      <c r="T181" s="254">
        <f>SUM( tabConsumo[[#This Row],[QTD.PENDENTE]]:tabConsumo[[#This Row],[07_23]] ) / tabConsumo[[#This Row],[Div]]</f>
        <v>1536.9166666666667</v>
      </c>
      <c r="U181" s="255">
        <f xml:space="preserve"> tabConsumo[[#This Row],[Média.A]] + (_xlfn.STDEV.S( tabConsumo[[#This Row],[QTD.PENDENTE]]:tabConsumo[[#This Row],[07_23]] ) * 1)</f>
        <v>2287.7960827088814</v>
      </c>
      <c r="V181" s="255">
        <f xml:space="preserve"> tabConsumo[[#This Row],[Média.A]] + (_xlfn.STDEV.S( tabConsumo[[#This Row],[QTD.PENDENTE]]:tabConsumo[[#This Row],[07_23]] ) * 2)</f>
        <v>3038.6754987510963</v>
      </c>
      <c r="W181" s="255">
        <f xml:space="preserve"> tabConsumo[[#This Row],[Média.A]] + (_xlfn.STDEV.S( tabConsumo[[#This Row],[QTD.PENDENTE]]:tabConsumo[[#This Row],[07_23]] ) * 3)</f>
        <v>3789.5549147933107</v>
      </c>
      <c r="X181" s="5">
        <f t="shared" si="4"/>
        <v>2</v>
      </c>
      <c r="Y181">
        <v>1536.9166666666667</v>
      </c>
      <c r="Z181" s="257">
        <f>SUM( tabConsumo[[#This Row],[QTD.PENDENTE]]:tabConsumo[[#This Row],[07_23]] )</f>
        <v>18443</v>
      </c>
      <c r="AA181" s="257">
        <f>LARGE(tabConsumo[[#This Row],[08_22]:[07_23]],1)</f>
        <v>2795</v>
      </c>
      <c r="AB181" s="175" t="s">
        <v>2211</v>
      </c>
      <c r="AC181" s="3" t="s">
        <v>2064</v>
      </c>
    </row>
    <row r="182" spans="1:29" x14ac:dyDescent="0.3">
      <c r="A182" s="4" t="s">
        <v>1851</v>
      </c>
      <c r="B182" s="3" t="s">
        <v>569</v>
      </c>
      <c r="C182" s="2">
        <v>133843</v>
      </c>
      <c r="D182" s="2">
        <v>3547</v>
      </c>
      <c r="E182" s="2">
        <v>20</v>
      </c>
      <c r="F182" s="2">
        <v>1493</v>
      </c>
      <c r="G182" s="2">
        <v>1395</v>
      </c>
      <c r="H182" s="2">
        <v>1694</v>
      </c>
      <c r="I182" s="2">
        <v>1665</v>
      </c>
      <c r="J182" s="2">
        <v>1167</v>
      </c>
      <c r="K182" s="2">
        <v>655</v>
      </c>
      <c r="L182" s="2">
        <v>1260</v>
      </c>
      <c r="M182" s="2">
        <v>2310</v>
      </c>
      <c r="N182" s="2">
        <v>1267</v>
      </c>
      <c r="O182" s="2">
        <v>1770</v>
      </c>
      <c r="P182" s="2">
        <v>1703</v>
      </c>
      <c r="Q182" s="2">
        <v>1498</v>
      </c>
      <c r="R182" s="274">
        <v>43074</v>
      </c>
      <c r="S182" s="253">
        <v>12</v>
      </c>
      <c r="T182" s="254">
        <f>SUM( tabConsumo[[#This Row],[QTD.PENDENTE]]:tabConsumo[[#This Row],[07_23]] ) / tabConsumo[[#This Row],[Div]]</f>
        <v>1491.4166666666667</v>
      </c>
      <c r="U182" s="255">
        <f xml:space="preserve"> tabConsumo[[#This Row],[Média.A]] + (_xlfn.STDEV.S( tabConsumo[[#This Row],[QTD.PENDENTE]]:tabConsumo[[#This Row],[07_23]] ) * 1)</f>
        <v>2052.3451209005652</v>
      </c>
      <c r="V182" s="255">
        <f xml:space="preserve"> tabConsumo[[#This Row],[Média.A]] + (_xlfn.STDEV.S( tabConsumo[[#This Row],[QTD.PENDENTE]]:tabConsumo[[#This Row],[07_23]] ) * 2)</f>
        <v>2613.2735751344635</v>
      </c>
      <c r="W182" s="255">
        <f xml:space="preserve"> tabConsumo[[#This Row],[Média.A]] + (_xlfn.STDEV.S( tabConsumo[[#This Row],[QTD.PENDENTE]]:tabConsumo[[#This Row],[07_23]] ) * 3)</f>
        <v>3174.2020293683622</v>
      </c>
      <c r="X182" s="5">
        <f t="shared" si="4"/>
        <v>2</v>
      </c>
      <c r="Y182">
        <v>1491.4166666666667</v>
      </c>
      <c r="Z182" s="257">
        <f>SUM( tabConsumo[[#This Row],[QTD.PENDENTE]]:tabConsumo[[#This Row],[07_23]] )</f>
        <v>17897</v>
      </c>
      <c r="AA182" s="257">
        <f>LARGE(tabConsumo[[#This Row],[08_22]:[07_23]],1)</f>
        <v>2310</v>
      </c>
      <c r="AB182" s="175" t="s">
        <v>2211</v>
      </c>
      <c r="AC182" s="3" t="s">
        <v>2064</v>
      </c>
    </row>
    <row r="183" spans="1:29" x14ac:dyDescent="0.3">
      <c r="A183" s="4" t="s">
        <v>1852</v>
      </c>
      <c r="B183" s="3" t="s">
        <v>569</v>
      </c>
      <c r="C183" s="2">
        <v>133844</v>
      </c>
      <c r="D183" s="2">
        <v>2047</v>
      </c>
      <c r="E183" s="2">
        <v>15</v>
      </c>
      <c r="F183" s="2">
        <v>1508</v>
      </c>
      <c r="G183" s="2">
        <v>1528</v>
      </c>
      <c r="H183" s="2">
        <v>1846</v>
      </c>
      <c r="I183" s="2">
        <v>1785</v>
      </c>
      <c r="J183" s="2">
        <v>1195</v>
      </c>
      <c r="K183" s="2">
        <v>700</v>
      </c>
      <c r="L183" s="2">
        <v>1290</v>
      </c>
      <c r="M183" s="2">
        <v>2515</v>
      </c>
      <c r="N183" s="2">
        <v>1322</v>
      </c>
      <c r="O183" s="2">
        <v>1775</v>
      </c>
      <c r="P183" s="2">
        <v>1853</v>
      </c>
      <c r="Q183" s="2">
        <v>1583</v>
      </c>
      <c r="R183" s="274">
        <v>43074</v>
      </c>
      <c r="S183" s="253">
        <v>12</v>
      </c>
      <c r="T183" s="254">
        <f>SUM( tabConsumo[[#This Row],[QTD.PENDENTE]]:tabConsumo[[#This Row],[07_23]] ) / tabConsumo[[#This Row],[Div]]</f>
        <v>1576.25</v>
      </c>
      <c r="U183" s="255">
        <f xml:space="preserve"> tabConsumo[[#This Row],[Média.A]] + (_xlfn.STDEV.S( tabConsumo[[#This Row],[QTD.PENDENTE]]:tabConsumo[[#This Row],[07_23]] ) * 1)</f>
        <v>2183.6245412291605</v>
      </c>
      <c r="V183" s="255">
        <f xml:space="preserve"> tabConsumo[[#This Row],[Média.A]] + (_xlfn.STDEV.S( tabConsumo[[#This Row],[QTD.PENDENTE]]:tabConsumo[[#This Row],[07_23]] ) * 2)</f>
        <v>2790.999082458321</v>
      </c>
      <c r="W183" s="255">
        <f xml:space="preserve"> tabConsumo[[#This Row],[Média.A]] + (_xlfn.STDEV.S( tabConsumo[[#This Row],[QTD.PENDENTE]]:tabConsumo[[#This Row],[07_23]] ) * 3)</f>
        <v>3398.373623687482</v>
      </c>
      <c r="X183" s="5">
        <f t="shared" si="4"/>
        <v>2</v>
      </c>
      <c r="Y183">
        <v>1576.25</v>
      </c>
      <c r="Z183" s="257">
        <f>SUM( tabConsumo[[#This Row],[QTD.PENDENTE]]:tabConsumo[[#This Row],[07_23]] )</f>
        <v>18915</v>
      </c>
      <c r="AA183" s="257">
        <f>LARGE(tabConsumo[[#This Row],[08_22]:[07_23]],1)</f>
        <v>2515</v>
      </c>
      <c r="AB183" s="175" t="s">
        <v>2211</v>
      </c>
      <c r="AC183" s="3" t="s">
        <v>2064</v>
      </c>
    </row>
    <row r="184" spans="1:29" x14ac:dyDescent="0.3">
      <c r="A184" s="4" t="s">
        <v>1853</v>
      </c>
      <c r="B184" s="3" t="s">
        <v>569</v>
      </c>
      <c r="C184" s="2">
        <v>133845</v>
      </c>
      <c r="D184" s="2">
        <v>5647</v>
      </c>
      <c r="E184" s="2">
        <v>15</v>
      </c>
      <c r="F184" s="2">
        <v>1453</v>
      </c>
      <c r="G184" s="2">
        <v>1211</v>
      </c>
      <c r="H184" s="2">
        <v>1464</v>
      </c>
      <c r="I184" s="2">
        <v>1560</v>
      </c>
      <c r="J184" s="2">
        <v>1051</v>
      </c>
      <c r="K184" s="2">
        <v>620</v>
      </c>
      <c r="L184" s="2">
        <v>1185</v>
      </c>
      <c r="M184" s="2">
        <v>2325</v>
      </c>
      <c r="N184" s="2">
        <v>1242</v>
      </c>
      <c r="O184" s="2">
        <v>1700</v>
      </c>
      <c r="P184" s="2">
        <v>1663</v>
      </c>
      <c r="Q184" s="2">
        <v>1385</v>
      </c>
      <c r="R184" s="274">
        <v>43074</v>
      </c>
      <c r="S184" s="253">
        <v>12</v>
      </c>
      <c r="T184" s="254">
        <f>SUM( tabConsumo[[#This Row],[QTD.PENDENTE]]:tabConsumo[[#This Row],[07_23]] ) / tabConsumo[[#This Row],[Div]]</f>
        <v>1406.1666666666667</v>
      </c>
      <c r="U184" s="255">
        <f xml:space="preserve"> tabConsumo[[#This Row],[Média.A]] + (_xlfn.STDEV.S( tabConsumo[[#This Row],[QTD.PENDENTE]]:tabConsumo[[#This Row],[07_23]] ) * 1)</f>
        <v>1959.0084161755112</v>
      </c>
      <c r="V184" s="255">
        <f xml:space="preserve"> tabConsumo[[#This Row],[Média.A]] + (_xlfn.STDEV.S( tabConsumo[[#This Row],[QTD.PENDENTE]]:tabConsumo[[#This Row],[07_23]] ) * 2)</f>
        <v>2511.8501656843555</v>
      </c>
      <c r="W184" s="255">
        <f xml:space="preserve"> tabConsumo[[#This Row],[Média.A]] + (_xlfn.STDEV.S( tabConsumo[[#This Row],[QTD.PENDENTE]]:tabConsumo[[#This Row],[07_23]] ) * 3)</f>
        <v>3064.6919151932002</v>
      </c>
      <c r="X184" s="5">
        <f t="shared" si="4"/>
        <v>2</v>
      </c>
      <c r="Y184">
        <v>1406.1666666666667</v>
      </c>
      <c r="Z184" s="257">
        <f>SUM( tabConsumo[[#This Row],[QTD.PENDENTE]]:tabConsumo[[#This Row],[07_23]] )</f>
        <v>16874</v>
      </c>
      <c r="AA184" s="257">
        <f>LARGE(tabConsumo[[#This Row],[08_22]:[07_23]],1)</f>
        <v>2325</v>
      </c>
      <c r="AB184" s="175" t="s">
        <v>2211</v>
      </c>
      <c r="AC184" s="3" t="s">
        <v>2064</v>
      </c>
    </row>
    <row r="185" spans="1:29" x14ac:dyDescent="0.3">
      <c r="A185" s="4" t="s">
        <v>1854</v>
      </c>
      <c r="B185" s="3" t="s">
        <v>569</v>
      </c>
      <c r="C185" s="2">
        <v>133846</v>
      </c>
      <c r="D185" s="2">
        <v>293</v>
      </c>
      <c r="E185" s="2">
        <v>15</v>
      </c>
      <c r="F185" s="2">
        <v>1213</v>
      </c>
      <c r="G185" s="2">
        <v>1165</v>
      </c>
      <c r="H185" s="2">
        <v>1305</v>
      </c>
      <c r="I185" s="2">
        <v>1305</v>
      </c>
      <c r="J185" s="2">
        <v>1072</v>
      </c>
      <c r="K185" s="2">
        <v>575</v>
      </c>
      <c r="L185" s="2">
        <v>1155</v>
      </c>
      <c r="M185" s="2">
        <v>2025</v>
      </c>
      <c r="N185" s="2">
        <v>1132</v>
      </c>
      <c r="O185" s="2">
        <v>1370</v>
      </c>
      <c r="P185" s="2">
        <v>1493</v>
      </c>
      <c r="Q185" s="2">
        <v>1301</v>
      </c>
      <c r="R185" s="274">
        <v>43074</v>
      </c>
      <c r="S185" s="253">
        <v>12</v>
      </c>
      <c r="T185" s="254">
        <f>SUM( tabConsumo[[#This Row],[QTD.PENDENTE]]:tabConsumo[[#This Row],[07_23]] ) / tabConsumo[[#This Row],[Div]]</f>
        <v>1260.5</v>
      </c>
      <c r="U185" s="255">
        <f xml:space="preserve"> tabConsumo[[#This Row],[Média.A]] + (_xlfn.STDEV.S( tabConsumo[[#This Row],[QTD.PENDENTE]]:tabConsumo[[#This Row],[07_23]] ) * 1)</f>
        <v>1728.6185062539571</v>
      </c>
      <c r="V185" s="255">
        <f xml:space="preserve"> tabConsumo[[#This Row],[Média.A]] + (_xlfn.STDEV.S( tabConsumo[[#This Row],[QTD.PENDENTE]]:tabConsumo[[#This Row],[07_23]] ) * 2)</f>
        <v>2196.7370125079142</v>
      </c>
      <c r="W185" s="255">
        <f xml:space="preserve"> tabConsumo[[#This Row],[Média.A]] + (_xlfn.STDEV.S( tabConsumo[[#This Row],[QTD.PENDENTE]]:tabConsumo[[#This Row],[07_23]] ) * 3)</f>
        <v>2664.8555187618713</v>
      </c>
      <c r="X185" s="5">
        <f t="shared" si="4"/>
        <v>2</v>
      </c>
      <c r="Y185">
        <v>1260.5</v>
      </c>
      <c r="Z185" s="257">
        <f>SUM( tabConsumo[[#This Row],[QTD.PENDENTE]]:tabConsumo[[#This Row],[07_23]] )</f>
        <v>15126</v>
      </c>
      <c r="AA185" s="257">
        <f>LARGE(tabConsumo[[#This Row],[08_22]:[07_23]],1)</f>
        <v>2025</v>
      </c>
      <c r="AB185" s="175" t="s">
        <v>2211</v>
      </c>
      <c r="AC185" s="3" t="s">
        <v>2064</v>
      </c>
    </row>
    <row r="186" spans="1:29" x14ac:dyDescent="0.3">
      <c r="A186" s="4" t="s">
        <v>1855</v>
      </c>
      <c r="B186" s="3" t="s">
        <v>569</v>
      </c>
      <c r="C186" s="2">
        <v>133847</v>
      </c>
      <c r="D186" s="2">
        <v>0</v>
      </c>
      <c r="E186" s="2">
        <v>865</v>
      </c>
      <c r="F186" s="2">
        <v>1840</v>
      </c>
      <c r="G186" s="2">
        <v>1601</v>
      </c>
      <c r="H186" s="2">
        <v>2006</v>
      </c>
      <c r="I186" s="2">
        <v>1867</v>
      </c>
      <c r="J186" s="2">
        <v>90</v>
      </c>
      <c r="K186" s="2">
        <v>554</v>
      </c>
      <c r="L186" s="2">
        <v>450</v>
      </c>
      <c r="M186" s="2">
        <v>2700</v>
      </c>
      <c r="N186" s="2">
        <v>1575</v>
      </c>
      <c r="O186" s="2">
        <v>1985</v>
      </c>
      <c r="P186" s="2">
        <v>1937</v>
      </c>
      <c r="Q186" s="2">
        <v>1388</v>
      </c>
      <c r="R186" s="274">
        <v>43074</v>
      </c>
      <c r="S186" s="253">
        <v>12</v>
      </c>
      <c r="T186" s="254">
        <f>SUM( tabConsumo[[#This Row],[QTD.PENDENTE]]:tabConsumo[[#This Row],[07_23]] ) / tabConsumo[[#This Row],[Div]]</f>
        <v>1571.5</v>
      </c>
      <c r="U186" s="255">
        <f xml:space="preserve"> tabConsumo[[#This Row],[Média.A]] + (_xlfn.STDEV.S( tabConsumo[[#This Row],[QTD.PENDENTE]]:tabConsumo[[#This Row],[07_23]] ) * 1)</f>
        <v>2321.9401528949015</v>
      </c>
      <c r="V186" s="255">
        <f xml:space="preserve"> tabConsumo[[#This Row],[Média.A]] + (_xlfn.STDEV.S( tabConsumo[[#This Row],[QTD.PENDENTE]]:tabConsumo[[#This Row],[07_23]] ) * 2)</f>
        <v>3072.3803057898031</v>
      </c>
      <c r="W186" s="255">
        <f xml:space="preserve"> tabConsumo[[#This Row],[Média.A]] + (_xlfn.STDEV.S( tabConsumo[[#This Row],[QTD.PENDENTE]]:tabConsumo[[#This Row],[07_23]] ) * 3)</f>
        <v>3822.8204586847041</v>
      </c>
      <c r="X186" s="5">
        <f t="shared" si="4"/>
        <v>2</v>
      </c>
      <c r="Y186">
        <v>1571.5</v>
      </c>
      <c r="Z186" s="257">
        <f>SUM( tabConsumo[[#This Row],[QTD.PENDENTE]]:tabConsumo[[#This Row],[07_23]] )</f>
        <v>18858</v>
      </c>
      <c r="AA186" s="257">
        <f>LARGE(tabConsumo[[#This Row],[08_22]:[07_23]],1)</f>
        <v>2700</v>
      </c>
      <c r="AB186" s="175" t="s">
        <v>2211</v>
      </c>
      <c r="AC186" s="3" t="s">
        <v>2064</v>
      </c>
    </row>
    <row r="187" spans="1:29" x14ac:dyDescent="0.3">
      <c r="A187" s="4" t="s">
        <v>1856</v>
      </c>
      <c r="B187" s="3" t="s">
        <v>569</v>
      </c>
      <c r="C187" s="2">
        <v>133848</v>
      </c>
      <c r="D187" s="2">
        <v>0</v>
      </c>
      <c r="E187" s="2">
        <v>620</v>
      </c>
      <c r="F187" s="2">
        <v>1253</v>
      </c>
      <c r="G187" s="2">
        <v>1105</v>
      </c>
      <c r="H187" s="2">
        <v>1441</v>
      </c>
      <c r="I187" s="2">
        <v>1490</v>
      </c>
      <c r="J187" s="2">
        <v>1020</v>
      </c>
      <c r="K187" s="2">
        <v>560</v>
      </c>
      <c r="L187" s="2">
        <v>1215</v>
      </c>
      <c r="M187" s="2">
        <v>2020</v>
      </c>
      <c r="N187" s="2">
        <v>1237</v>
      </c>
      <c r="O187" s="2">
        <v>1486</v>
      </c>
      <c r="P187" s="2">
        <v>1505</v>
      </c>
      <c r="Q187" s="2">
        <v>195</v>
      </c>
      <c r="R187" s="274">
        <v>43074</v>
      </c>
      <c r="S187" s="253">
        <v>12</v>
      </c>
      <c r="T187" s="254">
        <f>SUM( tabConsumo[[#This Row],[QTD.PENDENTE]]:tabConsumo[[#This Row],[07_23]] ) / tabConsumo[[#This Row],[Div]]</f>
        <v>1262.25</v>
      </c>
      <c r="U187" s="255">
        <f xml:space="preserve"> tabConsumo[[#This Row],[Média.A]] + (_xlfn.STDEV.S( tabConsumo[[#This Row],[QTD.PENDENTE]]:tabConsumo[[#This Row],[07_23]] ) * 1)</f>
        <v>1743.1752967204377</v>
      </c>
      <c r="V187" s="255">
        <f xml:space="preserve"> tabConsumo[[#This Row],[Média.A]] + (_xlfn.STDEV.S( tabConsumo[[#This Row],[QTD.PENDENTE]]:tabConsumo[[#This Row],[07_23]] ) * 2)</f>
        <v>2224.1005934408754</v>
      </c>
      <c r="W187" s="255">
        <f xml:space="preserve"> tabConsumo[[#This Row],[Média.A]] + (_xlfn.STDEV.S( tabConsumo[[#This Row],[QTD.PENDENTE]]:tabConsumo[[#This Row],[07_23]] ) * 3)</f>
        <v>2705.0258901613129</v>
      </c>
      <c r="X187" s="5">
        <f t="shared" si="4"/>
        <v>2</v>
      </c>
      <c r="Y187">
        <v>1262.25</v>
      </c>
      <c r="Z187" s="257">
        <f>SUM( tabConsumo[[#This Row],[QTD.PENDENTE]]:tabConsumo[[#This Row],[07_23]] )</f>
        <v>15147</v>
      </c>
      <c r="AA187" s="257">
        <f>LARGE(tabConsumo[[#This Row],[08_22]:[07_23]],1)</f>
        <v>2020</v>
      </c>
      <c r="AB187" s="175" t="s">
        <v>2211</v>
      </c>
      <c r="AC187" s="3" t="s">
        <v>2064</v>
      </c>
    </row>
    <row r="188" spans="1:29" x14ac:dyDescent="0.3">
      <c r="A188" s="4" t="s">
        <v>1857</v>
      </c>
      <c r="B188" s="3" t="s">
        <v>569</v>
      </c>
      <c r="C188" s="2">
        <v>133849</v>
      </c>
      <c r="D188" s="2">
        <v>5240</v>
      </c>
      <c r="E188" s="2">
        <v>5</v>
      </c>
      <c r="F188" s="2">
        <v>1528</v>
      </c>
      <c r="G188" s="2">
        <v>1335</v>
      </c>
      <c r="H188" s="2">
        <v>1611</v>
      </c>
      <c r="I188" s="2">
        <v>1755</v>
      </c>
      <c r="J188" s="2">
        <v>1120</v>
      </c>
      <c r="K188" s="2">
        <v>690</v>
      </c>
      <c r="L188" s="2">
        <v>1231</v>
      </c>
      <c r="M188" s="2">
        <v>2320</v>
      </c>
      <c r="N188" s="2">
        <v>1293</v>
      </c>
      <c r="O188" s="2">
        <v>1631</v>
      </c>
      <c r="P188" s="2">
        <v>1720</v>
      </c>
      <c r="Q188" s="2">
        <v>1438</v>
      </c>
      <c r="R188" s="274">
        <v>43074</v>
      </c>
      <c r="S188" s="253">
        <v>12</v>
      </c>
      <c r="T188" s="254">
        <f>SUM( tabConsumo[[#This Row],[QTD.PENDENTE]]:tabConsumo[[#This Row],[07_23]] ) / tabConsumo[[#This Row],[Div]]</f>
        <v>1473.0833333333333</v>
      </c>
      <c r="U188" s="255">
        <f xml:space="preserve"> tabConsumo[[#This Row],[Média.A]] + (_xlfn.STDEV.S( tabConsumo[[#This Row],[QTD.PENDENTE]]:tabConsumo[[#This Row],[07_23]] ) * 1)</f>
        <v>2031.5226994609602</v>
      </c>
      <c r="V188" s="255">
        <f xml:space="preserve"> tabConsumo[[#This Row],[Média.A]] + (_xlfn.STDEV.S( tabConsumo[[#This Row],[QTD.PENDENTE]]:tabConsumo[[#This Row],[07_23]] ) * 2)</f>
        <v>2589.9620655885869</v>
      </c>
      <c r="W188" s="255">
        <f xml:space="preserve"> tabConsumo[[#This Row],[Média.A]] + (_xlfn.STDEV.S( tabConsumo[[#This Row],[QTD.PENDENTE]]:tabConsumo[[#This Row],[07_23]] ) * 3)</f>
        <v>3148.4014317162137</v>
      </c>
      <c r="X188" s="5">
        <f t="shared" si="4"/>
        <v>2</v>
      </c>
      <c r="Y188">
        <v>1473.0833333333333</v>
      </c>
      <c r="Z188" s="257">
        <f>SUM( tabConsumo[[#This Row],[QTD.PENDENTE]]:tabConsumo[[#This Row],[07_23]] )</f>
        <v>17677</v>
      </c>
      <c r="AA188" s="257">
        <f>LARGE(tabConsumo[[#This Row],[08_22]:[07_23]],1)</f>
        <v>2320</v>
      </c>
      <c r="AB188" s="175" t="s">
        <v>2211</v>
      </c>
      <c r="AC188" s="3" t="s">
        <v>2064</v>
      </c>
    </row>
    <row r="189" spans="1:29" x14ac:dyDescent="0.3">
      <c r="A189" s="4" t="s">
        <v>1858</v>
      </c>
      <c r="B189" s="3" t="s">
        <v>569</v>
      </c>
      <c r="C189" s="2">
        <v>133850</v>
      </c>
      <c r="D189" s="2">
        <v>99</v>
      </c>
      <c r="E189" s="2">
        <v>5</v>
      </c>
      <c r="F189" s="2">
        <v>1498</v>
      </c>
      <c r="G189" s="2">
        <v>1390</v>
      </c>
      <c r="H189" s="2">
        <v>1621</v>
      </c>
      <c r="I189" s="2">
        <v>1740</v>
      </c>
      <c r="J189" s="2">
        <v>1110</v>
      </c>
      <c r="K189" s="2">
        <v>630</v>
      </c>
      <c r="L189" s="2">
        <v>1215</v>
      </c>
      <c r="M189" s="2">
        <v>2255</v>
      </c>
      <c r="N189" s="2">
        <v>1240</v>
      </c>
      <c r="O189" s="2">
        <v>1800</v>
      </c>
      <c r="P189" s="2">
        <v>1670</v>
      </c>
      <c r="Q189" s="2">
        <v>1515</v>
      </c>
      <c r="R189" s="274">
        <v>43074</v>
      </c>
      <c r="S189" s="253">
        <v>12</v>
      </c>
      <c r="T189" s="254">
        <f>SUM( tabConsumo[[#This Row],[QTD.PENDENTE]]:tabConsumo[[#This Row],[07_23]] ) / tabConsumo[[#This Row],[Div]]</f>
        <v>1474.0833333333333</v>
      </c>
      <c r="U189" s="255">
        <f xml:space="preserve"> tabConsumo[[#This Row],[Média.A]] + (_xlfn.STDEV.S( tabConsumo[[#This Row],[QTD.PENDENTE]]:tabConsumo[[#This Row],[07_23]] ) * 1)</f>
        <v>2037.8547681978807</v>
      </c>
      <c r="V189" s="255">
        <f xml:space="preserve"> tabConsumo[[#This Row],[Média.A]] + (_xlfn.STDEV.S( tabConsumo[[#This Row],[QTD.PENDENTE]]:tabConsumo[[#This Row],[07_23]] ) * 2)</f>
        <v>2601.6262030624284</v>
      </c>
      <c r="W189" s="255">
        <f xml:space="preserve"> tabConsumo[[#This Row],[Média.A]] + (_xlfn.STDEV.S( tabConsumo[[#This Row],[QTD.PENDENTE]]:tabConsumo[[#This Row],[07_23]] ) * 3)</f>
        <v>3165.3976379269757</v>
      </c>
      <c r="X189" s="5">
        <f t="shared" si="4"/>
        <v>2</v>
      </c>
      <c r="Y189">
        <v>1474.0833333333333</v>
      </c>
      <c r="Z189" s="257">
        <f>SUM( tabConsumo[[#This Row],[QTD.PENDENTE]]:tabConsumo[[#This Row],[07_23]] )</f>
        <v>17689</v>
      </c>
      <c r="AA189" s="257">
        <f>LARGE(tabConsumo[[#This Row],[08_22]:[07_23]],1)</f>
        <v>2255</v>
      </c>
      <c r="AB189" s="175" t="s">
        <v>2211</v>
      </c>
      <c r="AC189" s="3" t="s">
        <v>2064</v>
      </c>
    </row>
    <row r="190" spans="1:29" x14ac:dyDescent="0.3">
      <c r="A190" s="4" t="s">
        <v>1047</v>
      </c>
      <c r="B190" s="3" t="s">
        <v>256</v>
      </c>
      <c r="C190" s="2">
        <v>13991</v>
      </c>
      <c r="D190" s="2">
        <v>0</v>
      </c>
      <c r="E190" s="2">
        <v>50</v>
      </c>
      <c r="F190" s="2">
        <v>40</v>
      </c>
      <c r="G190" s="2">
        <v>34</v>
      </c>
      <c r="H190" s="2">
        <v>58</v>
      </c>
      <c r="I190" s="2">
        <v>37</v>
      </c>
      <c r="J190" s="2">
        <v>0</v>
      </c>
      <c r="K190" s="2">
        <v>69</v>
      </c>
      <c r="L190" s="2">
        <v>62</v>
      </c>
      <c r="M190" s="2">
        <v>20</v>
      </c>
      <c r="N190" s="2">
        <v>0</v>
      </c>
      <c r="O190" s="2">
        <v>0</v>
      </c>
      <c r="P190" s="2">
        <v>0</v>
      </c>
      <c r="Q190" s="2">
        <v>0</v>
      </c>
      <c r="R190" s="274">
        <v>367</v>
      </c>
      <c r="S190" s="253">
        <f xml:space="preserve"> 12</f>
        <v>12</v>
      </c>
      <c r="T190" s="254">
        <f>SUM( tabConsumo[[#This Row],[QTD.PENDENTE]]:tabConsumo[[#This Row],[07_23]] ) / tabConsumo[[#This Row],[Div]]</f>
        <v>30.833333333333332</v>
      </c>
      <c r="U190" s="255">
        <f xml:space="preserve"> tabConsumo[[#This Row],[Média.A]] + (_xlfn.STDEV.S( tabConsumo[[#This Row],[QTD.PENDENTE]]:tabConsumo[[#This Row],[07_23]] ) * 1)</f>
        <v>57.390238852787789</v>
      </c>
      <c r="V190" s="255">
        <f xml:space="preserve"> tabConsumo[[#This Row],[Média.A]] + (_xlfn.STDEV.S( tabConsumo[[#This Row],[QTD.PENDENTE]]:tabConsumo[[#This Row],[07_23]] ) * 2)</f>
        <v>83.947144372242249</v>
      </c>
      <c r="W190" s="255">
        <f xml:space="preserve"> tabConsumo[[#This Row],[Média.A]] + (_xlfn.STDEV.S( tabConsumo[[#This Row],[QTD.PENDENTE]]:tabConsumo[[#This Row],[07_23]] ) * 3)</f>
        <v>110.50404989169671</v>
      </c>
      <c r="X190" s="5">
        <f t="shared" si="4"/>
        <v>2</v>
      </c>
      <c r="Y190">
        <v>30.833333333333332</v>
      </c>
      <c r="Z190" s="257">
        <f>SUM( tabConsumo[[#This Row],[QTD.PENDENTE]]:tabConsumo[[#This Row],[07_23]] )</f>
        <v>370</v>
      </c>
      <c r="AA190" s="257">
        <f>LARGE(tabConsumo[[#This Row],[08_22]:[07_23]],1)</f>
        <v>69</v>
      </c>
      <c r="AB190" s="175" t="s">
        <v>2217</v>
      </c>
      <c r="AC190" s="3" t="s">
        <v>2064</v>
      </c>
    </row>
    <row r="191" spans="1:29" x14ac:dyDescent="0.3">
      <c r="A191" s="4" t="s">
        <v>1776</v>
      </c>
      <c r="B191" s="3" t="s">
        <v>413</v>
      </c>
      <c r="C191" s="2">
        <v>127664</v>
      </c>
      <c r="D191" s="2">
        <v>4461</v>
      </c>
      <c r="E191" s="2">
        <v>31</v>
      </c>
      <c r="F191" s="2">
        <v>537</v>
      </c>
      <c r="G191" s="2">
        <v>558</v>
      </c>
      <c r="H191" s="2">
        <v>512</v>
      </c>
      <c r="I191" s="2">
        <v>548</v>
      </c>
      <c r="J191" s="2">
        <v>314</v>
      </c>
      <c r="K191" s="2">
        <v>170</v>
      </c>
      <c r="L191" s="2">
        <v>505</v>
      </c>
      <c r="M191" s="2">
        <v>563</v>
      </c>
      <c r="N191" s="2">
        <v>456</v>
      </c>
      <c r="O191" s="2">
        <v>494</v>
      </c>
      <c r="P191" s="2">
        <v>589</v>
      </c>
      <c r="Q191" s="2">
        <v>542</v>
      </c>
      <c r="R191" s="274">
        <v>41733</v>
      </c>
      <c r="S191" s="253">
        <v>12</v>
      </c>
      <c r="T191" s="254">
        <f>SUM( tabConsumo[[#This Row],[QTD.PENDENTE]]:tabConsumo[[#This Row],[07_23]] ) / tabConsumo[[#This Row],[Div]]</f>
        <v>484.91666666666669</v>
      </c>
      <c r="U191" s="255">
        <f xml:space="preserve"> tabConsumo[[#This Row],[Média.A]] + (_xlfn.STDEV.S( tabConsumo[[#This Row],[QTD.PENDENTE]]:tabConsumo[[#This Row],[07_23]] ) * 1)</f>
        <v>655.84917696509729</v>
      </c>
      <c r="V191" s="255">
        <f xml:space="preserve"> tabConsumo[[#This Row],[Média.A]] + (_xlfn.STDEV.S( tabConsumo[[#This Row],[QTD.PENDENTE]]:tabConsumo[[#This Row],[07_23]] ) * 2)</f>
        <v>826.78168726352783</v>
      </c>
      <c r="W191" s="255">
        <f xml:space="preserve"> tabConsumo[[#This Row],[Média.A]] + (_xlfn.STDEV.S( tabConsumo[[#This Row],[QTD.PENDENTE]]:tabConsumo[[#This Row],[07_23]] ) * 3)</f>
        <v>997.7141975619586</v>
      </c>
      <c r="X191" s="5">
        <f t="shared" si="4"/>
        <v>2</v>
      </c>
      <c r="Y191">
        <v>484.91666666666669</v>
      </c>
      <c r="Z191" s="257">
        <f>SUM( tabConsumo[[#This Row],[QTD.PENDENTE]]:tabConsumo[[#This Row],[07_23]] )</f>
        <v>5819</v>
      </c>
      <c r="AA191" s="257">
        <f>LARGE(tabConsumo[[#This Row],[08_22]:[07_23]],1)</f>
        <v>589</v>
      </c>
      <c r="AB191" s="175" t="s">
        <v>2211</v>
      </c>
      <c r="AC191" s="3" t="s">
        <v>2064</v>
      </c>
    </row>
    <row r="192" spans="1:29" x14ac:dyDescent="0.3">
      <c r="A192" s="4" t="s">
        <v>1374</v>
      </c>
      <c r="B192" s="3" t="s">
        <v>256</v>
      </c>
      <c r="C192" s="2">
        <v>64610</v>
      </c>
      <c r="D192" s="2">
        <v>0</v>
      </c>
      <c r="E192" s="2">
        <v>12</v>
      </c>
      <c r="F192" s="2">
        <v>38</v>
      </c>
      <c r="G192" s="2">
        <v>265</v>
      </c>
      <c r="H192" s="2">
        <v>85</v>
      </c>
      <c r="I192" s="2">
        <v>39</v>
      </c>
      <c r="J192" s="2">
        <v>39</v>
      </c>
      <c r="K192" s="2">
        <v>0</v>
      </c>
      <c r="L192" s="2">
        <v>0</v>
      </c>
      <c r="M192" s="2">
        <v>0</v>
      </c>
      <c r="N192" s="2">
        <v>0</v>
      </c>
      <c r="O192" s="2">
        <v>0</v>
      </c>
      <c r="P192" s="2">
        <v>0</v>
      </c>
      <c r="Q192" s="2">
        <v>0</v>
      </c>
      <c r="R192" s="274">
        <v>367</v>
      </c>
      <c r="S192" s="253">
        <f xml:space="preserve"> 12</f>
        <v>12</v>
      </c>
      <c r="T192" s="254">
        <f>SUM( tabConsumo[[#This Row],[QTD.PENDENTE]]:tabConsumo[[#This Row],[07_23]] ) / tabConsumo[[#This Row],[Div]]</f>
        <v>39.833333333333336</v>
      </c>
      <c r="U192" s="255">
        <f xml:space="preserve"> tabConsumo[[#This Row],[Média.A]] + (_xlfn.STDEV.S( tabConsumo[[#This Row],[QTD.PENDENTE]]:tabConsumo[[#This Row],[07_23]] ) * 1)</f>
        <v>113.15017297034288</v>
      </c>
      <c r="V192" s="255">
        <f xml:space="preserve"> tabConsumo[[#This Row],[Média.A]] + (_xlfn.STDEV.S( tabConsumo[[#This Row],[QTD.PENDENTE]]:tabConsumo[[#This Row],[07_23]] ) * 2)</f>
        <v>186.46701260735242</v>
      </c>
      <c r="W192" s="255">
        <f xml:space="preserve"> tabConsumo[[#This Row],[Média.A]] + (_xlfn.STDEV.S( tabConsumo[[#This Row],[QTD.PENDENTE]]:tabConsumo[[#This Row],[07_23]] ) * 3)</f>
        <v>259.78385224436192</v>
      </c>
      <c r="X192" s="5">
        <f t="shared" si="4"/>
        <v>2</v>
      </c>
      <c r="Y192">
        <v>33.25</v>
      </c>
      <c r="Z192" s="257">
        <f>SUM( tabConsumo[[#This Row],[QTD.PENDENTE]]:tabConsumo[[#This Row],[07_23]] )</f>
        <v>478</v>
      </c>
      <c r="AA192" s="257">
        <f>LARGE(tabConsumo[[#This Row],[08_22]:[07_23]],1)</f>
        <v>265</v>
      </c>
      <c r="AB192" s="175" t="s">
        <v>2222</v>
      </c>
      <c r="AC192" s="3" t="s">
        <v>2064</v>
      </c>
    </row>
    <row r="193" spans="1:29" x14ac:dyDescent="0.3">
      <c r="A193" s="4" t="s">
        <v>1161</v>
      </c>
      <c r="B193" s="3" t="s">
        <v>256</v>
      </c>
      <c r="C193" s="2">
        <v>20135</v>
      </c>
      <c r="D193" s="2">
        <v>0</v>
      </c>
      <c r="E193" s="2">
        <v>5</v>
      </c>
      <c r="F193" s="2">
        <v>40</v>
      </c>
      <c r="G193" s="2">
        <v>7</v>
      </c>
      <c r="H193" s="2">
        <v>49</v>
      </c>
      <c r="I193" s="2">
        <v>22</v>
      </c>
      <c r="J193" s="2">
        <v>14</v>
      </c>
      <c r="K193" s="2">
        <v>20</v>
      </c>
      <c r="L193" s="2">
        <v>51</v>
      </c>
      <c r="M193" s="2">
        <v>48</v>
      </c>
      <c r="N193" s="2">
        <v>0</v>
      </c>
      <c r="O193" s="2">
        <v>0</v>
      </c>
      <c r="P193" s="2">
        <v>0</v>
      </c>
      <c r="Q193" s="2">
        <v>0</v>
      </c>
      <c r="R193" s="274">
        <v>367</v>
      </c>
      <c r="S193" s="253">
        <f xml:space="preserve"> 12</f>
        <v>12</v>
      </c>
      <c r="T193" s="254">
        <f>SUM( tabConsumo[[#This Row],[QTD.PENDENTE]]:tabConsumo[[#This Row],[07_23]] ) / tabConsumo[[#This Row],[Div]]</f>
        <v>21.333333333333332</v>
      </c>
      <c r="U193" s="255">
        <f xml:space="preserve"> tabConsumo[[#This Row],[Média.A]] + (_xlfn.STDEV.S( tabConsumo[[#This Row],[QTD.PENDENTE]]:tabConsumo[[#This Row],[07_23]] ) * 1)</f>
        <v>41.784024500889728</v>
      </c>
      <c r="V193" s="255">
        <f xml:space="preserve"> tabConsumo[[#This Row],[Média.A]] + (_xlfn.STDEV.S( tabConsumo[[#This Row],[QTD.PENDENTE]]:tabConsumo[[#This Row],[07_23]] ) * 2)</f>
        <v>62.234715668446128</v>
      </c>
      <c r="W193" s="255">
        <f xml:space="preserve"> tabConsumo[[#This Row],[Média.A]] + (_xlfn.STDEV.S( tabConsumo[[#This Row],[QTD.PENDENTE]]:tabConsumo[[#This Row],[07_23]] ) * 3)</f>
        <v>82.685406836002514</v>
      </c>
      <c r="X193" s="5">
        <f t="shared" si="4"/>
        <v>2</v>
      </c>
      <c r="Y193">
        <v>21.333333333333332</v>
      </c>
      <c r="Z193" s="257">
        <f>SUM( tabConsumo[[#This Row],[QTD.PENDENTE]]:tabConsumo[[#This Row],[07_23]] )</f>
        <v>256</v>
      </c>
      <c r="AA193" s="257">
        <f>LARGE(tabConsumo[[#This Row],[08_22]:[07_23]],1)</f>
        <v>51</v>
      </c>
      <c r="AB193" s="175" t="s">
        <v>2217</v>
      </c>
      <c r="AC193" s="3" t="s">
        <v>2064</v>
      </c>
    </row>
    <row r="194" spans="1:29" x14ac:dyDescent="0.3">
      <c r="A194" s="4" t="s">
        <v>1656</v>
      </c>
      <c r="B194" s="3" t="s">
        <v>256</v>
      </c>
      <c r="C194" s="2">
        <v>109944</v>
      </c>
      <c r="D194" s="2">
        <v>190</v>
      </c>
      <c r="F194" s="2">
        <v>30</v>
      </c>
      <c r="G194" s="2">
        <v>60</v>
      </c>
      <c r="H194" s="2">
        <v>30</v>
      </c>
      <c r="I194" s="2">
        <v>30</v>
      </c>
      <c r="J194" s="2">
        <v>30</v>
      </c>
      <c r="K194" s="2">
        <v>200</v>
      </c>
      <c r="L194" s="2">
        <v>0</v>
      </c>
      <c r="M194" s="2">
        <v>0</v>
      </c>
      <c r="N194" s="2">
        <v>0</v>
      </c>
      <c r="O194" s="2">
        <v>70</v>
      </c>
      <c r="P194" s="2">
        <v>0</v>
      </c>
      <c r="Q194" s="2">
        <v>0</v>
      </c>
      <c r="R194" s="274">
        <v>39875</v>
      </c>
      <c r="S194" s="253">
        <v>12</v>
      </c>
      <c r="T194" s="254">
        <f>SUM( tabConsumo[[#This Row],[QTD.PENDENTE]]:tabConsumo[[#This Row],[07_23]] ) / tabConsumo[[#This Row],[Div]]</f>
        <v>37.5</v>
      </c>
      <c r="U194" s="255">
        <f xml:space="preserve"> tabConsumo[[#This Row],[Média.A]] + (_xlfn.STDEV.S( tabConsumo[[#This Row],[QTD.PENDENTE]]:tabConsumo[[#This Row],[07_23]] ) * 1)</f>
        <v>94.088627190211355</v>
      </c>
      <c r="V194" s="255">
        <f xml:space="preserve"> tabConsumo[[#This Row],[Média.A]] + (_xlfn.STDEV.S( tabConsumo[[#This Row],[QTD.PENDENTE]]:tabConsumo[[#This Row],[07_23]] ) * 2)</f>
        <v>150.67725438042271</v>
      </c>
      <c r="W194" s="255">
        <f xml:space="preserve"> tabConsumo[[#This Row],[Média.A]] + (_xlfn.STDEV.S( tabConsumo[[#This Row],[QTD.PENDENTE]]:tabConsumo[[#This Row],[07_23]] ) * 3)</f>
        <v>207.26588157063406</v>
      </c>
      <c r="X194" s="5">
        <f t="shared" si="4"/>
        <v>2</v>
      </c>
      <c r="Y194">
        <v>33.333333333333336</v>
      </c>
      <c r="Z194" s="257">
        <f>SUM( tabConsumo[[#This Row],[QTD.PENDENTE]]:tabConsumo[[#This Row],[07_23]] )</f>
        <v>450</v>
      </c>
      <c r="AA194" s="257">
        <f>LARGE(tabConsumo[[#This Row],[08_22]:[07_23]],1)</f>
        <v>200</v>
      </c>
      <c r="AB194" s="175" t="s">
        <v>2214</v>
      </c>
      <c r="AC194" s="3" t="s">
        <v>2064</v>
      </c>
    </row>
    <row r="195" spans="1:29" x14ac:dyDescent="0.3">
      <c r="A195" s="4" t="s">
        <v>1208</v>
      </c>
      <c r="B195" s="3" t="s">
        <v>256</v>
      </c>
      <c r="C195" s="2">
        <v>26215</v>
      </c>
      <c r="D195" s="2">
        <v>26</v>
      </c>
      <c r="F195" s="2">
        <v>0</v>
      </c>
      <c r="G195" s="2">
        <v>3</v>
      </c>
      <c r="H195" s="2">
        <v>38</v>
      </c>
      <c r="I195" s="2">
        <v>15</v>
      </c>
      <c r="J195" s="2">
        <v>0</v>
      </c>
      <c r="K195" s="2">
        <v>1</v>
      </c>
      <c r="L195" s="2">
        <v>0</v>
      </c>
      <c r="M195" s="2">
        <v>0</v>
      </c>
      <c r="N195" s="2">
        <v>10</v>
      </c>
      <c r="O195" s="2">
        <v>29</v>
      </c>
      <c r="P195" s="2">
        <v>0</v>
      </c>
      <c r="Q195" s="2">
        <v>0</v>
      </c>
      <c r="R195" s="274">
        <v>367</v>
      </c>
      <c r="S195" s="253">
        <f xml:space="preserve"> 12</f>
        <v>12</v>
      </c>
      <c r="T195" s="254">
        <f>SUM( tabConsumo[[#This Row],[QTD.PENDENTE]]:tabConsumo[[#This Row],[07_23]] ) / tabConsumo[[#This Row],[Div]]</f>
        <v>8</v>
      </c>
      <c r="U195" s="255">
        <f xml:space="preserve"> tabConsumo[[#This Row],[Média.A]] + (_xlfn.STDEV.S( tabConsumo[[#This Row],[QTD.PENDENTE]]:tabConsumo[[#This Row],[07_23]] ) * 1)</f>
        <v>20.975501391608589</v>
      </c>
      <c r="V195" s="255">
        <f xml:space="preserve"> tabConsumo[[#This Row],[Média.A]] + (_xlfn.STDEV.S( tabConsumo[[#This Row],[QTD.PENDENTE]]:tabConsumo[[#This Row],[07_23]] ) * 2)</f>
        <v>33.951002783217177</v>
      </c>
      <c r="W195" s="255">
        <f xml:space="preserve"> tabConsumo[[#This Row],[Média.A]] + (_xlfn.STDEV.S( tabConsumo[[#This Row],[QTD.PENDENTE]]:tabConsumo[[#This Row],[07_23]] ) * 3)</f>
        <v>46.926504174825759</v>
      </c>
      <c r="X195" s="5">
        <f t="shared" ref="X195:X258" si="7" xml:space="preserve"> 2</f>
        <v>2</v>
      </c>
      <c r="Y195">
        <v>7.583333333333333</v>
      </c>
      <c r="Z195" s="257">
        <f>SUM( tabConsumo[[#This Row],[QTD.PENDENTE]]:tabConsumo[[#This Row],[07_23]] )</f>
        <v>96</v>
      </c>
      <c r="AA195" s="257">
        <f>LARGE(tabConsumo[[#This Row],[08_22]:[07_23]],1)</f>
        <v>38</v>
      </c>
      <c r="AB195" s="175" t="s">
        <v>2214</v>
      </c>
      <c r="AC195" s="3" t="s">
        <v>2064</v>
      </c>
    </row>
    <row r="196" spans="1:29" x14ac:dyDescent="0.3">
      <c r="A196" s="4" t="s">
        <v>1413</v>
      </c>
      <c r="B196" s="3" t="s">
        <v>256</v>
      </c>
      <c r="C196" s="2">
        <v>76583</v>
      </c>
      <c r="D196" s="2">
        <v>155</v>
      </c>
      <c r="F196" s="2">
        <v>0</v>
      </c>
      <c r="G196" s="2">
        <v>0</v>
      </c>
      <c r="H196" s="2">
        <v>0</v>
      </c>
      <c r="I196" s="2">
        <v>10</v>
      </c>
      <c r="J196" s="2">
        <v>4</v>
      </c>
      <c r="K196" s="2">
        <v>37</v>
      </c>
      <c r="L196" s="2">
        <v>0</v>
      </c>
      <c r="M196" s="2">
        <v>0</v>
      </c>
      <c r="N196" s="2">
        <v>5</v>
      </c>
      <c r="O196" s="2">
        <v>13</v>
      </c>
      <c r="P196" s="2">
        <v>0</v>
      </c>
      <c r="Q196" s="2">
        <v>0</v>
      </c>
      <c r="R196" s="274">
        <v>37995</v>
      </c>
      <c r="S196" s="253">
        <v>12</v>
      </c>
      <c r="T196" s="254">
        <f>SUM( tabConsumo[[#This Row],[QTD.PENDENTE]]:tabConsumo[[#This Row],[07_23]] ) / tabConsumo[[#This Row],[Div]]</f>
        <v>5.75</v>
      </c>
      <c r="U196" s="255">
        <f xml:space="preserve"> tabConsumo[[#This Row],[Média.A]] + (_xlfn.STDEV.S( tabConsumo[[#This Row],[QTD.PENDENTE]]:tabConsumo[[#This Row],[07_23]] ) * 1)</f>
        <v>16.546674572208879</v>
      </c>
      <c r="V196" s="255">
        <f xml:space="preserve"> tabConsumo[[#This Row],[Média.A]] + (_xlfn.STDEV.S( tabConsumo[[#This Row],[QTD.PENDENTE]]:tabConsumo[[#This Row],[07_23]] ) * 2)</f>
        <v>27.343349144417761</v>
      </c>
      <c r="W196" s="255">
        <f xml:space="preserve"> tabConsumo[[#This Row],[Média.A]] + (_xlfn.STDEV.S( tabConsumo[[#This Row],[QTD.PENDENTE]]:tabConsumo[[#This Row],[07_23]] ) * 3)</f>
        <v>38.140023716626644</v>
      </c>
      <c r="X196" s="5">
        <f t="shared" si="7"/>
        <v>2</v>
      </c>
      <c r="Y196">
        <v>4.916666666666667</v>
      </c>
      <c r="Z196" s="257">
        <f>SUM( tabConsumo[[#This Row],[QTD.PENDENTE]]:tabConsumo[[#This Row],[07_23]] )</f>
        <v>69</v>
      </c>
      <c r="AA196" s="257">
        <f>LARGE(tabConsumo[[#This Row],[08_22]:[07_23]],1)</f>
        <v>37</v>
      </c>
      <c r="AB196" s="175" t="s">
        <v>2214</v>
      </c>
      <c r="AC196" s="3" t="s">
        <v>2064</v>
      </c>
    </row>
    <row r="197" spans="1:29" x14ac:dyDescent="0.3">
      <c r="A197" s="4" t="s">
        <v>1111</v>
      </c>
      <c r="B197" s="3" t="s">
        <v>256</v>
      </c>
      <c r="C197" s="2">
        <v>16363</v>
      </c>
      <c r="D197" s="2">
        <v>135</v>
      </c>
      <c r="F197" s="2">
        <v>22</v>
      </c>
      <c r="G197" s="2">
        <v>57</v>
      </c>
      <c r="H197" s="2">
        <v>41</v>
      </c>
      <c r="I197" s="2">
        <v>46</v>
      </c>
      <c r="J197" s="2">
        <v>0</v>
      </c>
      <c r="K197" s="2">
        <v>13</v>
      </c>
      <c r="L197" s="2">
        <v>20</v>
      </c>
      <c r="M197" s="2">
        <v>99</v>
      </c>
      <c r="N197" s="2">
        <v>94</v>
      </c>
      <c r="O197" s="2">
        <v>12</v>
      </c>
      <c r="P197" s="2">
        <v>80</v>
      </c>
      <c r="Q197" s="2">
        <v>0</v>
      </c>
      <c r="R197" s="274">
        <v>367</v>
      </c>
      <c r="S197" s="253">
        <f xml:space="preserve"> 12</f>
        <v>12</v>
      </c>
      <c r="T197" s="254">
        <f>SUM( tabConsumo[[#This Row],[QTD.PENDENTE]]:tabConsumo[[#This Row],[07_23]] ) / tabConsumo[[#This Row],[Div]]</f>
        <v>40.333333333333336</v>
      </c>
      <c r="U197" s="255">
        <f xml:space="preserve"> tabConsumo[[#This Row],[Média.A]] + (_xlfn.STDEV.S( tabConsumo[[#This Row],[QTD.PENDENTE]]:tabConsumo[[#This Row],[07_23]] ) * 1)</f>
        <v>75.699812926132495</v>
      </c>
      <c r="V197" s="255">
        <f xml:space="preserve"> tabConsumo[[#This Row],[Média.A]] + (_xlfn.STDEV.S( tabConsumo[[#This Row],[QTD.PENDENTE]]:tabConsumo[[#This Row],[07_23]] ) * 2)</f>
        <v>111.06629251893165</v>
      </c>
      <c r="W197" s="255">
        <f xml:space="preserve"> tabConsumo[[#This Row],[Média.A]] + (_xlfn.STDEV.S( tabConsumo[[#This Row],[QTD.PENDENTE]]:tabConsumo[[#This Row],[07_23]] ) * 3)</f>
        <v>146.4327721117308</v>
      </c>
      <c r="X197" s="5">
        <f t="shared" si="7"/>
        <v>2</v>
      </c>
      <c r="Y197">
        <v>40.333333333333336</v>
      </c>
      <c r="Z197" s="257">
        <f>SUM( tabConsumo[[#This Row],[QTD.PENDENTE]]:tabConsumo[[#This Row],[07_23]] )</f>
        <v>484</v>
      </c>
      <c r="AA197" s="257">
        <f>LARGE(tabConsumo[[#This Row],[08_22]:[07_23]],1)</f>
        <v>99</v>
      </c>
      <c r="AB197" s="175" t="s">
        <v>2212</v>
      </c>
      <c r="AC197" s="3" t="s">
        <v>2064</v>
      </c>
    </row>
    <row r="198" spans="1:29" x14ac:dyDescent="0.3">
      <c r="A198" s="4" t="s">
        <v>1113</v>
      </c>
      <c r="B198" s="3" t="s">
        <v>256</v>
      </c>
      <c r="C198" s="2">
        <v>16365</v>
      </c>
      <c r="D198" s="2">
        <v>509</v>
      </c>
      <c r="F198" s="2">
        <v>0</v>
      </c>
      <c r="G198" s="2">
        <v>0</v>
      </c>
      <c r="H198" s="2">
        <v>18</v>
      </c>
      <c r="I198" s="2">
        <v>30</v>
      </c>
      <c r="J198" s="2">
        <v>20</v>
      </c>
      <c r="K198" s="2">
        <v>0</v>
      </c>
      <c r="L198" s="2">
        <v>14</v>
      </c>
      <c r="M198" s="2">
        <v>9</v>
      </c>
      <c r="N198" s="2">
        <v>0</v>
      </c>
      <c r="O198" s="2">
        <v>0</v>
      </c>
      <c r="P198" s="2">
        <v>0</v>
      </c>
      <c r="Q198" s="2">
        <v>0</v>
      </c>
      <c r="R198" s="274">
        <v>367</v>
      </c>
      <c r="S198" s="253">
        <f xml:space="preserve"> 12</f>
        <v>12</v>
      </c>
      <c r="T198" s="254">
        <f>SUM( tabConsumo[[#This Row],[QTD.PENDENTE]]:tabConsumo[[#This Row],[07_23]] ) / tabConsumo[[#This Row],[Div]]</f>
        <v>7.583333333333333</v>
      </c>
      <c r="U198" s="255">
        <f xml:space="preserve"> tabConsumo[[#This Row],[Média.A]] + (_xlfn.STDEV.S( tabConsumo[[#This Row],[QTD.PENDENTE]]:tabConsumo[[#This Row],[07_23]] ) * 1)</f>
        <v>18.075393823691428</v>
      </c>
      <c r="V198" s="255">
        <f xml:space="preserve"> tabConsumo[[#This Row],[Média.A]] + (_xlfn.STDEV.S( tabConsumo[[#This Row],[QTD.PENDENTE]]:tabConsumo[[#This Row],[07_23]] ) * 2)</f>
        <v>28.56745431404952</v>
      </c>
      <c r="W198" s="255">
        <f xml:space="preserve"> tabConsumo[[#This Row],[Média.A]] + (_xlfn.STDEV.S( tabConsumo[[#This Row],[QTD.PENDENTE]]:tabConsumo[[#This Row],[07_23]] ) * 3)</f>
        <v>39.05951480440762</v>
      </c>
      <c r="X198" s="5">
        <f t="shared" si="7"/>
        <v>2</v>
      </c>
      <c r="Y198">
        <v>7.416666666666667</v>
      </c>
      <c r="Z198" s="257">
        <f>SUM( tabConsumo[[#This Row],[QTD.PENDENTE]]:tabConsumo[[#This Row],[07_23]] )</f>
        <v>91</v>
      </c>
      <c r="AA198" s="257">
        <f>LARGE(tabConsumo[[#This Row],[08_22]:[07_23]],1)</f>
        <v>30</v>
      </c>
      <c r="AB198" s="175" t="s">
        <v>2217</v>
      </c>
      <c r="AC198" s="3" t="s">
        <v>2064</v>
      </c>
    </row>
    <row r="199" spans="1:29" x14ac:dyDescent="0.3">
      <c r="A199" s="4" t="s">
        <v>1734</v>
      </c>
      <c r="B199" s="3" t="s">
        <v>406</v>
      </c>
      <c r="C199" s="2">
        <v>119621</v>
      </c>
      <c r="D199" s="2">
        <v>298</v>
      </c>
      <c r="F199" s="2">
        <v>72</v>
      </c>
      <c r="G199" s="2">
        <v>0</v>
      </c>
      <c r="H199" s="2">
        <v>20</v>
      </c>
      <c r="I199" s="2">
        <v>50</v>
      </c>
      <c r="J199" s="2">
        <v>25</v>
      </c>
      <c r="K199" s="2">
        <v>40</v>
      </c>
      <c r="L199" s="2">
        <v>0</v>
      </c>
      <c r="M199" s="2">
        <v>42</v>
      </c>
      <c r="N199" s="2">
        <v>42</v>
      </c>
      <c r="O199" s="2">
        <v>123</v>
      </c>
      <c r="P199" s="2">
        <v>0</v>
      </c>
      <c r="Q199" s="2">
        <v>30</v>
      </c>
      <c r="R199" s="274">
        <v>40641</v>
      </c>
      <c r="S199" s="253">
        <v>12</v>
      </c>
      <c r="T199" s="254">
        <f>SUM( tabConsumo[[#This Row],[QTD.PENDENTE]]:tabConsumo[[#This Row],[07_23]] ) / tabConsumo[[#This Row],[Div]]</f>
        <v>37</v>
      </c>
      <c r="U199" s="255">
        <f xml:space="preserve"> tabConsumo[[#This Row],[Média.A]] + (_xlfn.STDEV.S( tabConsumo[[#This Row],[QTD.PENDENTE]]:tabConsumo[[#This Row],[07_23]] ) * 1)</f>
        <v>71.951915021016561</v>
      </c>
      <c r="V199" s="255">
        <f xml:space="preserve"> tabConsumo[[#This Row],[Média.A]] + (_xlfn.STDEV.S( tabConsumo[[#This Row],[QTD.PENDENTE]]:tabConsumo[[#This Row],[07_23]] ) * 2)</f>
        <v>106.90383004203314</v>
      </c>
      <c r="W199" s="255">
        <f xml:space="preserve"> tabConsumo[[#This Row],[Média.A]] + (_xlfn.STDEV.S( tabConsumo[[#This Row],[QTD.PENDENTE]]:tabConsumo[[#This Row],[07_23]] ) * 3)</f>
        <v>141.85574506304971</v>
      </c>
      <c r="X199" s="5">
        <f t="shared" si="7"/>
        <v>2</v>
      </c>
      <c r="Y199">
        <v>35.583333333333336</v>
      </c>
      <c r="Z199" s="257">
        <f>SUM( tabConsumo[[#This Row],[QTD.PENDENTE]]:tabConsumo[[#This Row],[07_23]] )</f>
        <v>444</v>
      </c>
      <c r="AA199" s="257">
        <f>LARGE(tabConsumo[[#This Row],[08_22]:[07_23]],1)</f>
        <v>123</v>
      </c>
      <c r="AB199" s="175" t="s">
        <v>2211</v>
      </c>
      <c r="AC199" s="3" t="s">
        <v>2064</v>
      </c>
    </row>
    <row r="200" spans="1:29" x14ac:dyDescent="0.3">
      <c r="A200" s="4" t="s">
        <v>1729</v>
      </c>
      <c r="B200" s="3" t="s">
        <v>406</v>
      </c>
      <c r="C200" s="2">
        <v>119554</v>
      </c>
      <c r="D200" s="2">
        <v>188</v>
      </c>
      <c r="F200" s="2">
        <v>20</v>
      </c>
      <c r="G200" s="2">
        <v>0</v>
      </c>
      <c r="H200" s="2">
        <v>42</v>
      </c>
      <c r="I200" s="2">
        <v>0</v>
      </c>
      <c r="J200" s="2">
        <v>0</v>
      </c>
      <c r="K200" s="2">
        <v>0</v>
      </c>
      <c r="L200" s="2">
        <v>0</v>
      </c>
      <c r="M200" s="2">
        <v>0</v>
      </c>
      <c r="N200" s="2">
        <v>0</v>
      </c>
      <c r="O200" s="2">
        <v>42</v>
      </c>
      <c r="P200" s="2">
        <v>0</v>
      </c>
      <c r="Q200" s="2">
        <v>42</v>
      </c>
      <c r="R200" s="274">
        <v>40632</v>
      </c>
      <c r="S200" s="253">
        <v>12</v>
      </c>
      <c r="T200" s="254">
        <f>SUM( tabConsumo[[#This Row],[QTD.PENDENTE]]:tabConsumo[[#This Row],[07_23]] ) / tabConsumo[[#This Row],[Div]]</f>
        <v>12.166666666666666</v>
      </c>
      <c r="U200" s="255">
        <f xml:space="preserve"> tabConsumo[[#This Row],[Média.A]] + (_xlfn.STDEV.S( tabConsumo[[#This Row],[QTD.PENDENTE]]:tabConsumo[[#This Row],[07_23]] ) * 1)</f>
        <v>31.033825884993547</v>
      </c>
      <c r="V200" s="255">
        <f xml:space="preserve"> tabConsumo[[#This Row],[Média.A]] + (_xlfn.STDEV.S( tabConsumo[[#This Row],[QTD.PENDENTE]]:tabConsumo[[#This Row],[07_23]] ) * 2)</f>
        <v>49.900985103320423</v>
      </c>
      <c r="W200" s="255">
        <f xml:space="preserve"> tabConsumo[[#This Row],[Média.A]] + (_xlfn.STDEV.S( tabConsumo[[#This Row],[QTD.PENDENTE]]:tabConsumo[[#This Row],[07_23]] ) * 3)</f>
        <v>68.768144321647313</v>
      </c>
      <c r="X200" s="5">
        <f t="shared" si="7"/>
        <v>2</v>
      </c>
      <c r="Y200">
        <v>12.166666666666666</v>
      </c>
      <c r="Z200" s="257">
        <f>SUM( tabConsumo[[#This Row],[QTD.PENDENTE]]:tabConsumo[[#This Row],[07_23]] )</f>
        <v>146</v>
      </c>
      <c r="AA200" s="257">
        <f>LARGE(tabConsumo[[#This Row],[08_22]:[07_23]],1)</f>
        <v>42</v>
      </c>
      <c r="AB200" s="175" t="s">
        <v>2211</v>
      </c>
      <c r="AC200" s="3" t="s">
        <v>2064</v>
      </c>
    </row>
    <row r="201" spans="1:29" x14ac:dyDescent="0.3">
      <c r="A201" s="4" t="s">
        <v>1410</v>
      </c>
      <c r="B201" s="3" t="s">
        <v>406</v>
      </c>
      <c r="C201" s="2">
        <v>75334</v>
      </c>
      <c r="D201" s="2">
        <v>467</v>
      </c>
      <c r="F201" s="2">
        <v>84</v>
      </c>
      <c r="G201" s="2">
        <v>42</v>
      </c>
      <c r="H201" s="2">
        <v>42</v>
      </c>
      <c r="I201" s="2">
        <v>42</v>
      </c>
      <c r="J201" s="2">
        <v>0</v>
      </c>
      <c r="K201" s="2">
        <v>42</v>
      </c>
      <c r="L201" s="2">
        <v>0</v>
      </c>
      <c r="M201" s="2">
        <v>42</v>
      </c>
      <c r="N201" s="2">
        <v>0</v>
      </c>
      <c r="O201" s="2">
        <v>126</v>
      </c>
      <c r="P201" s="2">
        <v>42</v>
      </c>
      <c r="Q201" s="2">
        <v>0</v>
      </c>
      <c r="R201" s="274">
        <v>37879</v>
      </c>
      <c r="S201" s="253">
        <v>12</v>
      </c>
      <c r="T201" s="254">
        <f>SUM( tabConsumo[[#This Row],[QTD.PENDENTE]]:tabConsumo[[#This Row],[07_23]] ) / tabConsumo[[#This Row],[Div]]</f>
        <v>38.5</v>
      </c>
      <c r="U201" s="255">
        <f xml:space="preserve"> tabConsumo[[#This Row],[Média.A]] + (_xlfn.STDEV.S( tabConsumo[[#This Row],[QTD.PENDENTE]]:tabConsumo[[#This Row],[07_23]] ) * 1)</f>
        <v>76.314138769897838</v>
      </c>
      <c r="V201" s="255">
        <f xml:space="preserve"> tabConsumo[[#This Row],[Média.A]] + (_xlfn.STDEV.S( tabConsumo[[#This Row],[QTD.PENDENTE]]:tabConsumo[[#This Row],[07_23]] ) * 2)</f>
        <v>114.12827753979568</v>
      </c>
      <c r="W201" s="255">
        <f xml:space="preserve"> tabConsumo[[#This Row],[Média.A]] + (_xlfn.STDEV.S( tabConsumo[[#This Row],[QTD.PENDENTE]]:tabConsumo[[#This Row],[07_23]] ) * 3)</f>
        <v>151.9424163096935</v>
      </c>
      <c r="X201" s="5">
        <f t="shared" si="7"/>
        <v>2</v>
      </c>
      <c r="Y201">
        <v>37.5</v>
      </c>
      <c r="Z201" s="257">
        <f>SUM( tabConsumo[[#This Row],[QTD.PENDENTE]]:tabConsumo[[#This Row],[07_23]] )</f>
        <v>462</v>
      </c>
      <c r="AA201" s="257">
        <f>LARGE(tabConsumo[[#This Row],[08_22]:[07_23]],1)</f>
        <v>126</v>
      </c>
      <c r="AB201" s="175" t="s">
        <v>2212</v>
      </c>
      <c r="AC201" s="3" t="s">
        <v>2064</v>
      </c>
    </row>
    <row r="202" spans="1:29" x14ac:dyDescent="0.3">
      <c r="A202" s="4" t="s">
        <v>407</v>
      </c>
      <c r="B202" s="3" t="s">
        <v>406</v>
      </c>
      <c r="C202" s="2">
        <v>116771</v>
      </c>
      <c r="D202" s="2">
        <v>28</v>
      </c>
      <c r="F202" s="2">
        <v>0</v>
      </c>
      <c r="G202" s="2">
        <v>0</v>
      </c>
      <c r="H202" s="2">
        <v>0</v>
      </c>
      <c r="I202" s="2">
        <v>0</v>
      </c>
      <c r="J202" s="2">
        <v>2</v>
      </c>
      <c r="K202" s="2">
        <v>0</v>
      </c>
      <c r="L202" s="2">
        <v>0</v>
      </c>
      <c r="M202" s="2">
        <v>0</v>
      </c>
      <c r="N202" s="2">
        <v>0</v>
      </c>
      <c r="O202" s="2">
        <v>4</v>
      </c>
      <c r="P202" s="2">
        <v>0</v>
      </c>
      <c r="Q202" s="2">
        <v>5</v>
      </c>
      <c r="R202" s="274">
        <v>40396</v>
      </c>
      <c r="S202" s="253">
        <v>12</v>
      </c>
      <c r="T202" s="254">
        <f>SUM( tabConsumo[[#This Row],[QTD.PENDENTE]]:tabConsumo[[#This Row],[07_23]] ) / tabConsumo[[#This Row],[Div]]</f>
        <v>0.91666666666666663</v>
      </c>
      <c r="U202" s="255">
        <f xml:space="preserve"> tabConsumo[[#This Row],[Média.A]] + (_xlfn.STDEV.S( tabConsumo[[#This Row],[QTD.PENDENTE]]:tabConsumo[[#This Row],[07_23]] ) * 1)</f>
        <v>2.6983070412210894</v>
      </c>
      <c r="V202" s="255">
        <f xml:space="preserve"> tabConsumo[[#This Row],[Média.A]] + (_xlfn.STDEV.S( tabConsumo[[#This Row],[QTD.PENDENTE]]:tabConsumo[[#This Row],[07_23]] ) * 2)</f>
        <v>4.4799474157755119</v>
      </c>
      <c r="W202" s="255">
        <f xml:space="preserve"> tabConsumo[[#This Row],[Média.A]] + (_xlfn.STDEV.S( tabConsumo[[#This Row],[QTD.PENDENTE]]:tabConsumo[[#This Row],[07_23]] ) * 3)</f>
        <v>6.2615877903299353</v>
      </c>
      <c r="X202" s="5">
        <f t="shared" si="7"/>
        <v>2</v>
      </c>
      <c r="Y202">
        <v>0.83333333333333337</v>
      </c>
      <c r="Z202" s="257">
        <f>SUM( tabConsumo[[#This Row],[QTD.PENDENTE]]:tabConsumo[[#This Row],[07_23]] )</f>
        <v>11</v>
      </c>
      <c r="AA202" s="257">
        <f>LARGE(tabConsumo[[#This Row],[08_22]:[07_23]],1)</f>
        <v>5</v>
      </c>
      <c r="AB202" s="175" t="s">
        <v>2211</v>
      </c>
      <c r="AC202" s="3" t="s">
        <v>2064</v>
      </c>
    </row>
    <row r="203" spans="1:29" x14ac:dyDescent="0.3">
      <c r="A203" s="4" t="s">
        <v>1710</v>
      </c>
      <c r="B203" s="3" t="s">
        <v>31</v>
      </c>
      <c r="C203" s="2">
        <v>115807</v>
      </c>
      <c r="D203" s="2">
        <v>0</v>
      </c>
      <c r="F203" s="2">
        <v>122</v>
      </c>
      <c r="G203" s="2">
        <v>40</v>
      </c>
      <c r="H203" s="2">
        <v>40</v>
      </c>
      <c r="I203" s="2">
        <v>40</v>
      </c>
      <c r="J203" s="2">
        <v>0</v>
      </c>
      <c r="K203" s="2">
        <v>40</v>
      </c>
      <c r="L203" s="2">
        <v>40</v>
      </c>
      <c r="M203" s="2">
        <v>40</v>
      </c>
      <c r="N203" s="2">
        <v>40</v>
      </c>
      <c r="O203" s="2">
        <v>40</v>
      </c>
      <c r="P203" s="2">
        <v>0</v>
      </c>
      <c r="Q203" s="2">
        <v>122</v>
      </c>
      <c r="R203" s="274">
        <v>40352</v>
      </c>
      <c r="S203" s="253">
        <v>12</v>
      </c>
      <c r="T203" s="254">
        <f>SUM( tabConsumo[[#This Row],[QTD.PENDENTE]]:tabConsumo[[#This Row],[07_23]] ) / tabConsumo[[#This Row],[Div]]</f>
        <v>47</v>
      </c>
      <c r="U203" s="255">
        <f xml:space="preserve"> tabConsumo[[#This Row],[Média.A]] + (_xlfn.STDEV.S( tabConsumo[[#This Row],[QTD.PENDENTE]]:tabConsumo[[#This Row],[07_23]] ) * 1)</f>
        <v>85.209946349085598</v>
      </c>
      <c r="V203" s="255">
        <f xml:space="preserve"> tabConsumo[[#This Row],[Média.A]] + (_xlfn.STDEV.S( tabConsumo[[#This Row],[QTD.PENDENTE]]:tabConsumo[[#This Row],[07_23]] ) * 2)</f>
        <v>123.4198926981712</v>
      </c>
      <c r="W203" s="255">
        <f xml:space="preserve"> tabConsumo[[#This Row],[Média.A]] + (_xlfn.STDEV.S( tabConsumo[[#This Row],[QTD.PENDENTE]]:tabConsumo[[#This Row],[07_23]] ) * 3)</f>
        <v>161.62983904725678</v>
      </c>
      <c r="X203" s="5">
        <f t="shared" si="7"/>
        <v>2</v>
      </c>
      <c r="Y203">
        <v>47</v>
      </c>
      <c r="Z203" s="257">
        <f>SUM( tabConsumo[[#This Row],[QTD.PENDENTE]]:tabConsumo[[#This Row],[07_23]] )</f>
        <v>564</v>
      </c>
      <c r="AA203" s="257">
        <f>LARGE(tabConsumo[[#This Row],[08_22]:[07_23]],1)</f>
        <v>122</v>
      </c>
      <c r="AB203" s="175" t="s">
        <v>2211</v>
      </c>
      <c r="AC203" s="3" t="s">
        <v>2064</v>
      </c>
    </row>
    <row r="204" spans="1:29" x14ac:dyDescent="0.3">
      <c r="A204" s="4" t="s">
        <v>1409</v>
      </c>
      <c r="B204" s="3" t="s">
        <v>256</v>
      </c>
      <c r="C204" s="2">
        <v>75324</v>
      </c>
      <c r="D204" s="2">
        <v>207</v>
      </c>
      <c r="F204" s="2">
        <v>73</v>
      </c>
      <c r="G204" s="2">
        <v>40</v>
      </c>
      <c r="H204" s="2">
        <v>73</v>
      </c>
      <c r="I204" s="2">
        <v>0</v>
      </c>
      <c r="J204" s="2">
        <v>0</v>
      </c>
      <c r="K204" s="2">
        <v>193</v>
      </c>
      <c r="L204" s="2">
        <v>0</v>
      </c>
      <c r="M204" s="2">
        <v>0</v>
      </c>
      <c r="N204" s="2">
        <v>0</v>
      </c>
      <c r="O204" s="2">
        <v>73</v>
      </c>
      <c r="P204" s="2">
        <v>0</v>
      </c>
      <c r="Q204" s="2">
        <v>0</v>
      </c>
      <c r="R204" s="274">
        <v>37879</v>
      </c>
      <c r="S204" s="253">
        <v>12</v>
      </c>
      <c r="T204" s="254">
        <f>SUM( tabConsumo[[#This Row],[QTD.PENDENTE]]:tabConsumo[[#This Row],[07_23]] ) / tabConsumo[[#This Row],[Div]]</f>
        <v>37.666666666666664</v>
      </c>
      <c r="U204" s="255">
        <f xml:space="preserve"> tabConsumo[[#This Row],[Média.A]] + (_xlfn.STDEV.S( tabConsumo[[#This Row],[QTD.PENDENTE]]:tabConsumo[[#This Row],[07_23]] ) * 1)</f>
        <v>96.295442309121739</v>
      </c>
      <c r="V204" s="255">
        <f xml:space="preserve"> tabConsumo[[#This Row],[Média.A]] + (_xlfn.STDEV.S( tabConsumo[[#This Row],[QTD.PENDENTE]]:tabConsumo[[#This Row],[07_23]] ) * 2)</f>
        <v>154.92421795157682</v>
      </c>
      <c r="W204" s="255">
        <f xml:space="preserve"> tabConsumo[[#This Row],[Média.A]] + (_xlfn.STDEV.S( tabConsumo[[#This Row],[QTD.PENDENTE]]:tabConsumo[[#This Row],[07_23]] ) * 3)</f>
        <v>213.5529935940319</v>
      </c>
      <c r="X204" s="5">
        <f t="shared" si="7"/>
        <v>2</v>
      </c>
      <c r="Y204">
        <v>34.416666666666664</v>
      </c>
      <c r="Z204" s="257">
        <f>SUM( tabConsumo[[#This Row],[QTD.PENDENTE]]:tabConsumo[[#This Row],[07_23]] )</f>
        <v>452</v>
      </c>
      <c r="AA204" s="257">
        <f>LARGE(tabConsumo[[#This Row],[08_22]:[07_23]],1)</f>
        <v>193</v>
      </c>
      <c r="AB204" s="175" t="s">
        <v>2214</v>
      </c>
      <c r="AC204" s="3" t="s">
        <v>2064</v>
      </c>
    </row>
    <row r="205" spans="1:29" x14ac:dyDescent="0.3">
      <c r="A205" s="4" t="s">
        <v>1764</v>
      </c>
      <c r="B205" s="3" t="s">
        <v>406</v>
      </c>
      <c r="C205" s="2">
        <v>126044</v>
      </c>
      <c r="D205" s="2">
        <v>172</v>
      </c>
      <c r="F205" s="2">
        <v>0</v>
      </c>
      <c r="G205" s="2">
        <v>0</v>
      </c>
      <c r="H205" s="2">
        <v>0</v>
      </c>
      <c r="I205" s="2">
        <v>0</v>
      </c>
      <c r="J205" s="2">
        <v>8</v>
      </c>
      <c r="K205" s="2">
        <v>4</v>
      </c>
      <c r="L205" s="2">
        <v>0</v>
      </c>
      <c r="M205" s="2">
        <v>0</v>
      </c>
      <c r="N205" s="2">
        <v>0</v>
      </c>
      <c r="O205" s="2">
        <v>0</v>
      </c>
      <c r="P205" s="2">
        <v>10</v>
      </c>
      <c r="Q205" s="2">
        <v>0</v>
      </c>
      <c r="R205" s="274">
        <v>41508</v>
      </c>
      <c r="S205" s="253">
        <v>12</v>
      </c>
      <c r="T205" s="254">
        <f>SUM( tabConsumo[[#This Row],[QTD.PENDENTE]]:tabConsumo[[#This Row],[07_23]] ) / tabConsumo[[#This Row],[Div]]</f>
        <v>1.8333333333333333</v>
      </c>
      <c r="U205" s="255">
        <f xml:space="preserve"> tabConsumo[[#This Row],[Média.A]] + (_xlfn.STDEV.S( tabConsumo[[#This Row],[QTD.PENDENTE]]:tabConsumo[[#This Row],[07_23]] ) * 1)</f>
        <v>5.3966140824421789</v>
      </c>
      <c r="V205" s="255">
        <f xml:space="preserve"> tabConsumo[[#This Row],[Média.A]] + (_xlfn.STDEV.S( tabConsumo[[#This Row],[QTD.PENDENTE]]:tabConsumo[[#This Row],[07_23]] ) * 2)</f>
        <v>8.9598948315510238</v>
      </c>
      <c r="W205" s="255">
        <f xml:space="preserve"> tabConsumo[[#This Row],[Média.A]] + (_xlfn.STDEV.S( tabConsumo[[#This Row],[QTD.PENDENTE]]:tabConsumo[[#This Row],[07_23]] ) * 3)</f>
        <v>12.523175580659871</v>
      </c>
      <c r="X205" s="5">
        <f t="shared" si="7"/>
        <v>2</v>
      </c>
      <c r="Y205">
        <v>1.6666666666666667</v>
      </c>
      <c r="Z205" s="257">
        <f>SUM( tabConsumo[[#This Row],[QTD.PENDENTE]]:tabConsumo[[#This Row],[07_23]] )</f>
        <v>22</v>
      </c>
      <c r="AA205" s="257">
        <f>LARGE(tabConsumo[[#This Row],[08_22]:[07_23]],1)</f>
        <v>10</v>
      </c>
      <c r="AB205" s="175" t="s">
        <v>2212</v>
      </c>
      <c r="AC205" s="3" t="s">
        <v>2064</v>
      </c>
    </row>
    <row r="206" spans="1:29" x14ac:dyDescent="0.3">
      <c r="A206" s="4" t="s">
        <v>1644</v>
      </c>
      <c r="B206" s="3" t="s">
        <v>31</v>
      </c>
      <c r="C206" s="2">
        <v>107889</v>
      </c>
      <c r="D206" s="2">
        <v>0</v>
      </c>
      <c r="E206" s="2">
        <v>19</v>
      </c>
      <c r="F206" s="2">
        <v>22</v>
      </c>
      <c r="G206" s="2">
        <v>22</v>
      </c>
      <c r="H206" s="2">
        <v>9</v>
      </c>
      <c r="I206" s="2">
        <v>57</v>
      </c>
      <c r="J206" s="2">
        <v>4</v>
      </c>
      <c r="K206" s="2">
        <v>19</v>
      </c>
      <c r="L206" s="2">
        <v>14</v>
      </c>
      <c r="M206" s="2">
        <v>46</v>
      </c>
      <c r="N206" s="2">
        <v>20</v>
      </c>
      <c r="O206" s="2">
        <v>0</v>
      </c>
      <c r="P206" s="2">
        <v>35</v>
      </c>
      <c r="Q206" s="2">
        <v>4</v>
      </c>
      <c r="R206" s="274">
        <v>39709</v>
      </c>
      <c r="S206" s="253">
        <v>12</v>
      </c>
      <c r="T206" s="254">
        <f>SUM( tabConsumo[[#This Row],[QTD.PENDENTE]]:tabConsumo[[#This Row],[07_23]] ) / tabConsumo[[#This Row],[Div]]</f>
        <v>22.583333333333332</v>
      </c>
      <c r="U206" s="255">
        <f xml:space="preserve"> tabConsumo[[#This Row],[Média.A]] + (_xlfn.STDEV.S( tabConsumo[[#This Row],[QTD.PENDENTE]]:tabConsumo[[#This Row],[07_23]] ) * 1)</f>
        <v>39.2658898612667</v>
      </c>
      <c r="V206" s="255">
        <f xml:space="preserve"> tabConsumo[[#This Row],[Média.A]] + (_xlfn.STDEV.S( tabConsumo[[#This Row],[QTD.PENDENTE]]:tabConsumo[[#This Row],[07_23]] ) * 2)</f>
        <v>55.948446389200072</v>
      </c>
      <c r="W206" s="255">
        <f xml:space="preserve"> tabConsumo[[#This Row],[Média.A]] + (_xlfn.STDEV.S( tabConsumo[[#This Row],[QTD.PENDENTE]]:tabConsumo[[#This Row],[07_23]] ) * 3)</f>
        <v>72.631002917133443</v>
      </c>
      <c r="X206" s="5">
        <f t="shared" si="7"/>
        <v>2</v>
      </c>
      <c r="Y206">
        <v>22.416666666666668</v>
      </c>
      <c r="Z206" s="257">
        <f>SUM( tabConsumo[[#This Row],[QTD.PENDENTE]]:tabConsumo[[#This Row],[07_23]] )</f>
        <v>271</v>
      </c>
      <c r="AA206" s="257">
        <f>LARGE(tabConsumo[[#This Row],[08_22]:[07_23]],1)</f>
        <v>57</v>
      </c>
      <c r="AB206" s="175" t="s">
        <v>2211</v>
      </c>
      <c r="AC206" s="3" t="s">
        <v>2064</v>
      </c>
    </row>
    <row r="207" spans="1:29" x14ac:dyDescent="0.3">
      <c r="A207" s="4" t="s">
        <v>1628</v>
      </c>
      <c r="B207" s="3" t="s">
        <v>256</v>
      </c>
      <c r="C207" s="2">
        <v>106546</v>
      </c>
      <c r="D207" s="2">
        <v>2431</v>
      </c>
      <c r="F207" s="2">
        <v>152</v>
      </c>
      <c r="G207" s="2">
        <v>150</v>
      </c>
      <c r="H207" s="2">
        <v>95</v>
      </c>
      <c r="I207" s="2">
        <v>0</v>
      </c>
      <c r="J207" s="2">
        <v>20</v>
      </c>
      <c r="K207" s="2">
        <v>150</v>
      </c>
      <c r="L207" s="2">
        <v>32</v>
      </c>
      <c r="M207" s="2">
        <v>441</v>
      </c>
      <c r="N207" s="2">
        <v>0</v>
      </c>
      <c r="O207" s="2">
        <v>600</v>
      </c>
      <c r="P207" s="2">
        <v>0</v>
      </c>
      <c r="Q207" s="2">
        <v>0</v>
      </c>
      <c r="R207" s="274">
        <v>39589</v>
      </c>
      <c r="S207" s="253">
        <v>12</v>
      </c>
      <c r="T207" s="254">
        <f>SUM( tabConsumo[[#This Row],[QTD.PENDENTE]]:tabConsumo[[#This Row],[07_23]] ) / tabConsumo[[#This Row],[Div]]</f>
        <v>136.66666666666666</v>
      </c>
      <c r="U207" s="255">
        <f xml:space="preserve"> tabConsumo[[#This Row],[Média.A]] + (_xlfn.STDEV.S( tabConsumo[[#This Row],[QTD.PENDENTE]]:tabConsumo[[#This Row],[07_23]] ) * 1)</f>
        <v>329.46912484287316</v>
      </c>
      <c r="V207" s="255">
        <f xml:space="preserve"> tabConsumo[[#This Row],[Média.A]] + (_xlfn.STDEV.S( tabConsumo[[#This Row],[QTD.PENDENTE]]:tabConsumo[[#This Row],[07_23]] ) * 2)</f>
        <v>522.27158301907969</v>
      </c>
      <c r="W207" s="255">
        <f xml:space="preserve"> tabConsumo[[#This Row],[Média.A]] + (_xlfn.STDEV.S( tabConsumo[[#This Row],[QTD.PENDENTE]]:tabConsumo[[#This Row],[07_23]] ) * 3)</f>
        <v>715.07404119528621</v>
      </c>
      <c r="X207" s="5">
        <f t="shared" si="7"/>
        <v>2</v>
      </c>
      <c r="Y207">
        <v>130.16666666666666</v>
      </c>
      <c r="Z207" s="257">
        <f>SUM( tabConsumo[[#This Row],[QTD.PENDENTE]]:tabConsumo[[#This Row],[07_23]] )</f>
        <v>1640</v>
      </c>
      <c r="AA207" s="257">
        <f>LARGE(tabConsumo[[#This Row],[08_22]:[07_23]],1)</f>
        <v>600</v>
      </c>
      <c r="AB207" s="175" t="s">
        <v>2214</v>
      </c>
      <c r="AC207" s="3" t="s">
        <v>2064</v>
      </c>
    </row>
    <row r="208" spans="1:29" x14ac:dyDescent="0.3">
      <c r="A208" s="4" t="s">
        <v>1627</v>
      </c>
      <c r="B208" s="3" t="s">
        <v>256</v>
      </c>
      <c r="C208" s="2">
        <v>106544</v>
      </c>
      <c r="D208" s="2">
        <v>0</v>
      </c>
      <c r="E208" s="2">
        <v>397</v>
      </c>
      <c r="F208" s="2">
        <v>150</v>
      </c>
      <c r="G208" s="2">
        <v>320</v>
      </c>
      <c r="H208" s="2">
        <v>80</v>
      </c>
      <c r="I208" s="2">
        <v>106</v>
      </c>
      <c r="J208" s="2">
        <v>500</v>
      </c>
      <c r="K208" s="2">
        <v>666</v>
      </c>
      <c r="L208" s="2">
        <v>45</v>
      </c>
      <c r="M208" s="2">
        <v>450</v>
      </c>
      <c r="N208" s="2">
        <v>0</v>
      </c>
      <c r="O208" s="2">
        <v>203</v>
      </c>
      <c r="P208" s="2">
        <v>0</v>
      </c>
      <c r="Q208" s="2">
        <v>0</v>
      </c>
      <c r="R208" s="274">
        <v>39589</v>
      </c>
      <c r="S208" s="253">
        <v>12</v>
      </c>
      <c r="T208" s="254">
        <f>SUM( tabConsumo[[#This Row],[QTD.PENDENTE]]:tabConsumo[[#This Row],[07_23]] ) / tabConsumo[[#This Row],[Div]]</f>
        <v>243.08333333333334</v>
      </c>
      <c r="U208" s="255">
        <f xml:space="preserve"> tabConsumo[[#This Row],[Média.A]] + (_xlfn.STDEV.S( tabConsumo[[#This Row],[QTD.PENDENTE]]:tabConsumo[[#This Row],[07_23]] ) * 1)</f>
        <v>463.85944106147895</v>
      </c>
      <c r="V208" s="255">
        <f xml:space="preserve"> tabConsumo[[#This Row],[Média.A]] + (_xlfn.STDEV.S( tabConsumo[[#This Row],[QTD.PENDENTE]]:tabConsumo[[#This Row],[07_23]] ) * 2)</f>
        <v>684.63554878962452</v>
      </c>
      <c r="W208" s="255">
        <f xml:space="preserve"> tabConsumo[[#This Row],[Média.A]] + (_xlfn.STDEV.S( tabConsumo[[#This Row],[QTD.PENDENTE]]:tabConsumo[[#This Row],[07_23]] ) * 3)</f>
        <v>905.4116565177701</v>
      </c>
      <c r="X208" s="5">
        <f t="shared" si="7"/>
        <v>2</v>
      </c>
      <c r="Y208">
        <v>243.08333333333334</v>
      </c>
      <c r="Z208" s="257">
        <f>SUM( tabConsumo[[#This Row],[QTD.PENDENTE]]:tabConsumo[[#This Row],[07_23]] )</f>
        <v>2917</v>
      </c>
      <c r="AA208" s="257">
        <f>LARGE(tabConsumo[[#This Row],[08_22]:[07_23]],1)</f>
        <v>666</v>
      </c>
      <c r="AB208" s="175" t="s">
        <v>2214</v>
      </c>
      <c r="AC208" s="3" t="s">
        <v>2064</v>
      </c>
    </row>
    <row r="209" spans="1:29" x14ac:dyDescent="0.3">
      <c r="A209" s="4" t="s">
        <v>1296</v>
      </c>
      <c r="B209" s="3" t="s">
        <v>256</v>
      </c>
      <c r="C209" s="2">
        <v>50797</v>
      </c>
      <c r="D209" s="2">
        <v>88</v>
      </c>
      <c r="F209" s="2">
        <v>10</v>
      </c>
      <c r="G209" s="2">
        <v>9</v>
      </c>
      <c r="H209" s="2">
        <v>7</v>
      </c>
      <c r="I209" s="2">
        <v>10</v>
      </c>
      <c r="J209" s="2">
        <v>3</v>
      </c>
      <c r="K209" s="2">
        <v>0</v>
      </c>
      <c r="L209" s="2">
        <v>61</v>
      </c>
      <c r="M209" s="2">
        <v>13</v>
      </c>
      <c r="N209" s="2">
        <v>35</v>
      </c>
      <c r="O209" s="2">
        <v>18</v>
      </c>
      <c r="P209" s="2">
        <v>43</v>
      </c>
      <c r="Q209" s="2">
        <v>0</v>
      </c>
      <c r="R209" s="274">
        <v>367</v>
      </c>
      <c r="S209" s="253">
        <f xml:space="preserve"> 12</f>
        <v>12</v>
      </c>
      <c r="T209" s="254">
        <f>SUM( tabConsumo[[#This Row],[QTD.PENDENTE]]:tabConsumo[[#This Row],[07_23]] ) / tabConsumo[[#This Row],[Div]]</f>
        <v>17.416666666666668</v>
      </c>
      <c r="U209" s="255">
        <f xml:space="preserve"> tabConsumo[[#This Row],[Média.A]] + (_xlfn.STDEV.S( tabConsumo[[#This Row],[QTD.PENDENTE]]:tabConsumo[[#This Row],[07_23]] ) * 1)</f>
        <v>36.454706736405193</v>
      </c>
      <c r="V209" s="255">
        <f xml:space="preserve"> tabConsumo[[#This Row],[Média.A]] + (_xlfn.STDEV.S( tabConsumo[[#This Row],[QTD.PENDENTE]]:tabConsumo[[#This Row],[07_23]] ) * 2)</f>
        <v>55.492746806143714</v>
      </c>
      <c r="W209" s="255">
        <f xml:space="preserve"> tabConsumo[[#This Row],[Média.A]] + (_xlfn.STDEV.S( tabConsumo[[#This Row],[QTD.PENDENTE]]:tabConsumo[[#This Row],[07_23]] ) * 3)</f>
        <v>74.530786875882242</v>
      </c>
      <c r="X209" s="5">
        <f t="shared" si="7"/>
        <v>2</v>
      </c>
      <c r="Y209">
        <v>16.916666666666668</v>
      </c>
      <c r="Z209" s="257">
        <f>SUM( tabConsumo[[#This Row],[QTD.PENDENTE]]:tabConsumo[[#This Row],[07_23]] )</f>
        <v>209</v>
      </c>
      <c r="AA209" s="257">
        <f>LARGE(tabConsumo[[#This Row],[08_22]:[07_23]],1)</f>
        <v>61</v>
      </c>
      <c r="AB209" s="175" t="s">
        <v>2212</v>
      </c>
      <c r="AC209" s="3" t="s">
        <v>2064</v>
      </c>
    </row>
    <row r="210" spans="1:29" x14ac:dyDescent="0.3">
      <c r="A210" s="4" t="s">
        <v>1562</v>
      </c>
      <c r="B210" s="3" t="s">
        <v>411</v>
      </c>
      <c r="C210" s="2">
        <v>100362</v>
      </c>
      <c r="D210" s="2">
        <v>0</v>
      </c>
      <c r="E210" s="2">
        <v>137</v>
      </c>
      <c r="F210" s="2">
        <v>855</v>
      </c>
      <c r="G210" s="2">
        <v>742</v>
      </c>
      <c r="H210" s="2">
        <v>744</v>
      </c>
      <c r="I210" s="2">
        <v>259</v>
      </c>
      <c r="J210" s="2">
        <v>1091</v>
      </c>
      <c r="K210" s="2">
        <v>337</v>
      </c>
      <c r="L210" s="2">
        <v>0</v>
      </c>
      <c r="M210" s="2">
        <v>0</v>
      </c>
      <c r="N210" s="2">
        <v>0</v>
      </c>
      <c r="O210" s="2">
        <v>0</v>
      </c>
      <c r="P210" s="2">
        <v>0</v>
      </c>
      <c r="Q210" s="2">
        <v>0</v>
      </c>
      <c r="R210" s="274">
        <v>39258</v>
      </c>
      <c r="S210" s="253">
        <v>12</v>
      </c>
      <c r="T210" s="254">
        <f>SUM( tabConsumo[[#This Row],[QTD.PENDENTE]]:tabConsumo[[#This Row],[07_23]] ) / tabConsumo[[#This Row],[Div]]</f>
        <v>347.08333333333331</v>
      </c>
      <c r="U210" s="255">
        <f xml:space="preserve"> tabConsumo[[#This Row],[Média.A]] + (_xlfn.STDEV.S( tabConsumo[[#This Row],[QTD.PENDENTE]]:tabConsumo[[#This Row],[07_23]] ) * 1)</f>
        <v>743.9904464092474</v>
      </c>
      <c r="V210" s="255">
        <f xml:space="preserve"> tabConsumo[[#This Row],[Média.A]] + (_xlfn.STDEV.S( tabConsumo[[#This Row],[QTD.PENDENTE]]:tabConsumo[[#This Row],[07_23]] ) * 2)</f>
        <v>1140.8975594851613</v>
      </c>
      <c r="W210" s="255">
        <f xml:space="preserve"> tabConsumo[[#This Row],[Média.A]] + (_xlfn.STDEV.S( tabConsumo[[#This Row],[QTD.PENDENTE]]:tabConsumo[[#This Row],[07_23]] ) * 3)</f>
        <v>1537.8046725610754</v>
      </c>
      <c r="X210" s="5">
        <f t="shared" si="7"/>
        <v>2</v>
      </c>
      <c r="Y210">
        <v>347.08333333333331</v>
      </c>
      <c r="Z210" s="257">
        <f>SUM( tabConsumo[[#This Row],[QTD.PENDENTE]]:tabConsumo[[#This Row],[07_23]] )</f>
        <v>4165</v>
      </c>
      <c r="AA210" s="257">
        <f>LARGE(tabConsumo[[#This Row],[08_22]:[07_23]],1)</f>
        <v>1091</v>
      </c>
      <c r="AB210" s="175" t="s">
        <v>2220</v>
      </c>
      <c r="AC210" s="3" t="s">
        <v>2064</v>
      </c>
    </row>
    <row r="211" spans="1:29" x14ac:dyDescent="0.3">
      <c r="A211" s="4" t="s">
        <v>1061</v>
      </c>
      <c r="B211" s="3" t="s">
        <v>411</v>
      </c>
      <c r="C211" s="2">
        <v>14662</v>
      </c>
      <c r="D211" s="2">
        <v>262</v>
      </c>
      <c r="E211" s="2">
        <v>146</v>
      </c>
      <c r="F211" s="2">
        <v>419</v>
      </c>
      <c r="G211" s="2">
        <v>296</v>
      </c>
      <c r="H211" s="2">
        <v>471</v>
      </c>
      <c r="I211" s="2">
        <v>485</v>
      </c>
      <c r="J211" s="2">
        <v>379</v>
      </c>
      <c r="K211" s="2">
        <v>374</v>
      </c>
      <c r="L211" s="2">
        <v>602</v>
      </c>
      <c r="M211" s="2">
        <v>500</v>
      </c>
      <c r="N211" s="2">
        <v>653</v>
      </c>
      <c r="O211" s="2">
        <v>539</v>
      </c>
      <c r="P211" s="2">
        <v>455</v>
      </c>
      <c r="Q211" s="2">
        <v>386</v>
      </c>
      <c r="R211" s="274">
        <v>367</v>
      </c>
      <c r="S211" s="253">
        <f xml:space="preserve"> 12</f>
        <v>12</v>
      </c>
      <c r="T211" s="254">
        <f>SUM( tabConsumo[[#This Row],[QTD.PENDENTE]]:tabConsumo[[#This Row],[07_23]] ) / tabConsumo[[#This Row],[Div]]</f>
        <v>475.41666666666669</v>
      </c>
      <c r="U211" s="255">
        <f xml:space="preserve"> tabConsumo[[#This Row],[Média.A]] + (_xlfn.STDEV.S( tabConsumo[[#This Row],[QTD.PENDENTE]]:tabConsumo[[#This Row],[07_23]] ) * 1)</f>
        <v>606.69680362186023</v>
      </c>
      <c r="V211" s="255">
        <f xml:space="preserve"> tabConsumo[[#This Row],[Média.A]] + (_xlfn.STDEV.S( tabConsumo[[#This Row],[QTD.PENDENTE]]:tabConsumo[[#This Row],[07_23]] ) * 2)</f>
        <v>737.97694057705371</v>
      </c>
      <c r="W211" s="255">
        <f xml:space="preserve"> tabConsumo[[#This Row],[Média.A]] + (_xlfn.STDEV.S( tabConsumo[[#This Row],[QTD.PENDENTE]]:tabConsumo[[#This Row],[07_23]] ) * 3)</f>
        <v>869.25707753224731</v>
      </c>
      <c r="X211" s="5">
        <f t="shared" si="7"/>
        <v>2</v>
      </c>
      <c r="Y211">
        <v>475.41666666666669</v>
      </c>
      <c r="Z211" s="257">
        <f>SUM( tabConsumo[[#This Row],[QTD.PENDENTE]]:tabConsumo[[#This Row],[07_23]] )</f>
        <v>5705</v>
      </c>
      <c r="AA211" s="257">
        <f>LARGE(tabConsumo[[#This Row],[08_22]:[07_23]],1)</f>
        <v>653</v>
      </c>
      <c r="AB211" s="175" t="s">
        <v>2211</v>
      </c>
      <c r="AC211" s="3" t="s">
        <v>2064</v>
      </c>
    </row>
    <row r="212" spans="1:29" x14ac:dyDescent="0.3">
      <c r="A212" s="4" t="s">
        <v>926</v>
      </c>
      <c r="B212" s="3" t="s">
        <v>413</v>
      </c>
      <c r="C212" s="2">
        <v>11109</v>
      </c>
      <c r="D212" s="2">
        <v>393</v>
      </c>
      <c r="E212" s="2">
        <v>326</v>
      </c>
      <c r="F212" s="2">
        <v>304</v>
      </c>
      <c r="G212" s="2">
        <v>355</v>
      </c>
      <c r="H212" s="2">
        <v>313</v>
      </c>
      <c r="I212" s="2">
        <v>362</v>
      </c>
      <c r="J212" s="2">
        <v>92</v>
      </c>
      <c r="K212" s="2">
        <v>49</v>
      </c>
      <c r="L212" s="2">
        <v>0</v>
      </c>
      <c r="M212" s="2">
        <v>22</v>
      </c>
      <c r="N212" s="2">
        <v>363</v>
      </c>
      <c r="O212" s="2">
        <v>462</v>
      </c>
      <c r="P212" s="2">
        <v>407</v>
      </c>
      <c r="Q212" s="2">
        <v>357</v>
      </c>
      <c r="R212" s="274">
        <v>367</v>
      </c>
      <c r="S212" s="253">
        <f xml:space="preserve"> 12</f>
        <v>12</v>
      </c>
      <c r="T212" s="254">
        <f>SUM( tabConsumo[[#This Row],[QTD.PENDENTE]]:tabConsumo[[#This Row],[07_23]] ) / tabConsumo[[#This Row],[Div]]</f>
        <v>284.33333333333331</v>
      </c>
      <c r="U212" s="255">
        <f xml:space="preserve"> tabConsumo[[#This Row],[Média.A]] + (_xlfn.STDEV.S( tabConsumo[[#This Row],[QTD.PENDENTE]]:tabConsumo[[#This Row],[07_23]] ) * 1)</f>
        <v>444.50803763284466</v>
      </c>
      <c r="V212" s="255">
        <f xml:space="preserve"> tabConsumo[[#This Row],[Média.A]] + (_xlfn.STDEV.S( tabConsumo[[#This Row],[QTD.PENDENTE]]:tabConsumo[[#This Row],[07_23]] ) * 2)</f>
        <v>604.68274193235607</v>
      </c>
      <c r="W212" s="255">
        <f xml:space="preserve"> tabConsumo[[#This Row],[Média.A]] + (_xlfn.STDEV.S( tabConsumo[[#This Row],[QTD.PENDENTE]]:tabConsumo[[#This Row],[07_23]] ) * 3)</f>
        <v>764.85744623186736</v>
      </c>
      <c r="X212" s="5">
        <f t="shared" si="7"/>
        <v>2</v>
      </c>
      <c r="Y212">
        <v>284.33333333333331</v>
      </c>
      <c r="Z212" s="257">
        <f>SUM( tabConsumo[[#This Row],[QTD.PENDENTE]]:tabConsumo[[#This Row],[07_23]] )</f>
        <v>3412</v>
      </c>
      <c r="AA212" s="257">
        <f>LARGE(tabConsumo[[#This Row],[08_22]:[07_23]],1)</f>
        <v>462</v>
      </c>
      <c r="AB212" s="175" t="s">
        <v>2211</v>
      </c>
      <c r="AC212" s="3" t="s">
        <v>2064</v>
      </c>
    </row>
    <row r="213" spans="1:29" x14ac:dyDescent="0.3">
      <c r="A213" s="4" t="s">
        <v>1791</v>
      </c>
      <c r="B213" s="3" t="s">
        <v>413</v>
      </c>
      <c r="C213" s="2">
        <v>130024</v>
      </c>
      <c r="D213" s="2">
        <v>1398</v>
      </c>
      <c r="E213" s="2">
        <v>15</v>
      </c>
      <c r="F213" s="2">
        <v>242</v>
      </c>
      <c r="G213" s="2">
        <v>260</v>
      </c>
      <c r="H213" s="2">
        <v>336</v>
      </c>
      <c r="I213" s="2">
        <v>343</v>
      </c>
      <c r="J213" s="2">
        <v>214</v>
      </c>
      <c r="K213" s="2">
        <v>105</v>
      </c>
      <c r="L213" s="2">
        <v>388</v>
      </c>
      <c r="M213" s="2">
        <v>469</v>
      </c>
      <c r="N213" s="2">
        <v>336</v>
      </c>
      <c r="O213" s="2">
        <v>379</v>
      </c>
      <c r="P213" s="2">
        <v>356</v>
      </c>
      <c r="Q213" s="2">
        <v>346</v>
      </c>
      <c r="R213" s="274">
        <v>42065</v>
      </c>
      <c r="S213" s="253">
        <v>12</v>
      </c>
      <c r="T213" s="254">
        <f>SUM( tabConsumo[[#This Row],[QTD.PENDENTE]]:tabConsumo[[#This Row],[07_23]] ) / tabConsumo[[#This Row],[Div]]</f>
        <v>315.75</v>
      </c>
      <c r="U213" s="255">
        <f xml:space="preserve"> tabConsumo[[#This Row],[Média.A]] + (_xlfn.STDEV.S( tabConsumo[[#This Row],[QTD.PENDENTE]]:tabConsumo[[#This Row],[07_23]] ) * 1)</f>
        <v>439.20756044394051</v>
      </c>
      <c r="V213" s="255">
        <f xml:space="preserve"> tabConsumo[[#This Row],[Média.A]] + (_xlfn.STDEV.S( tabConsumo[[#This Row],[QTD.PENDENTE]]:tabConsumo[[#This Row],[07_23]] ) * 2)</f>
        <v>562.66512088788102</v>
      </c>
      <c r="W213" s="255">
        <f xml:space="preserve"> tabConsumo[[#This Row],[Média.A]] + (_xlfn.STDEV.S( tabConsumo[[#This Row],[QTD.PENDENTE]]:tabConsumo[[#This Row],[07_23]] ) * 3)</f>
        <v>686.12268133182158</v>
      </c>
      <c r="X213" s="5">
        <f t="shared" si="7"/>
        <v>2</v>
      </c>
      <c r="Y213">
        <v>315.75</v>
      </c>
      <c r="Z213" s="257">
        <f>SUM( tabConsumo[[#This Row],[QTD.PENDENTE]]:tabConsumo[[#This Row],[07_23]] )</f>
        <v>3789</v>
      </c>
      <c r="AA213" s="257">
        <f>LARGE(tabConsumo[[#This Row],[08_22]:[07_23]],1)</f>
        <v>469</v>
      </c>
      <c r="AB213" s="175" t="s">
        <v>2211</v>
      </c>
      <c r="AC213" s="3" t="s">
        <v>2064</v>
      </c>
    </row>
    <row r="214" spans="1:29" x14ac:dyDescent="0.3">
      <c r="A214" s="4" t="s">
        <v>1831</v>
      </c>
      <c r="B214" s="3" t="s">
        <v>31</v>
      </c>
      <c r="C214" s="2">
        <v>132650</v>
      </c>
      <c r="D214" s="2">
        <v>0</v>
      </c>
      <c r="E214" s="2">
        <v>314</v>
      </c>
      <c r="F214" s="2">
        <v>78</v>
      </c>
      <c r="G214" s="2">
        <v>92</v>
      </c>
      <c r="H214" s="2">
        <v>124</v>
      </c>
      <c r="I214" s="2">
        <v>133</v>
      </c>
      <c r="J214" s="2">
        <v>87</v>
      </c>
      <c r="K214" s="2">
        <v>186</v>
      </c>
      <c r="L214" s="2">
        <v>150</v>
      </c>
      <c r="M214" s="2">
        <v>543</v>
      </c>
      <c r="N214" s="2">
        <v>45</v>
      </c>
      <c r="O214" s="2">
        <v>0</v>
      </c>
      <c r="P214" s="2">
        <v>73</v>
      </c>
      <c r="Q214" s="2">
        <v>0</v>
      </c>
      <c r="R214" s="274">
        <v>42860</v>
      </c>
      <c r="S214" s="253">
        <v>12</v>
      </c>
      <c r="T214" s="254">
        <f>SUM( tabConsumo[[#This Row],[QTD.PENDENTE]]:tabConsumo[[#This Row],[07_23]] ) / tabConsumo[[#This Row],[Div]]</f>
        <v>152.08333333333334</v>
      </c>
      <c r="U214" s="255">
        <f xml:space="preserve"> tabConsumo[[#This Row],[Média.A]] + (_xlfn.STDEV.S( tabConsumo[[#This Row],[QTD.PENDENTE]]:tabConsumo[[#This Row],[07_23]] ) * 1)</f>
        <v>298.39210412393362</v>
      </c>
      <c r="V214" s="255">
        <f xml:space="preserve"> tabConsumo[[#This Row],[Média.A]] + (_xlfn.STDEV.S( tabConsumo[[#This Row],[QTD.PENDENTE]]:tabConsumo[[#This Row],[07_23]] ) * 2)</f>
        <v>444.70087491453387</v>
      </c>
      <c r="W214" s="255">
        <f xml:space="preserve"> tabConsumo[[#This Row],[Média.A]] + (_xlfn.STDEV.S( tabConsumo[[#This Row],[QTD.PENDENTE]]:tabConsumo[[#This Row],[07_23]] ) * 3)</f>
        <v>591.00964570513418</v>
      </c>
      <c r="X214" s="5">
        <f t="shared" si="7"/>
        <v>2</v>
      </c>
      <c r="Y214">
        <v>143.83333333333334</v>
      </c>
      <c r="Z214" s="257">
        <f>SUM( tabConsumo[[#This Row],[QTD.PENDENTE]]:tabConsumo[[#This Row],[07_23]] )</f>
        <v>1825</v>
      </c>
      <c r="AA214" s="257">
        <f>LARGE(tabConsumo[[#This Row],[08_22]:[07_23]],1)</f>
        <v>543</v>
      </c>
      <c r="AB214" s="175" t="s">
        <v>2212</v>
      </c>
      <c r="AC214" s="3" t="s">
        <v>2064</v>
      </c>
    </row>
    <row r="215" spans="1:29" x14ac:dyDescent="0.3">
      <c r="A215" s="4" t="s">
        <v>1912</v>
      </c>
      <c r="B215" s="3" t="s">
        <v>31</v>
      </c>
      <c r="C215" s="2">
        <v>136408</v>
      </c>
      <c r="D215" s="2">
        <v>0</v>
      </c>
      <c r="E215" s="2">
        <v>952</v>
      </c>
      <c r="F215" s="2">
        <v>1144</v>
      </c>
      <c r="G215" s="2">
        <v>997</v>
      </c>
      <c r="H215" s="2">
        <v>1066</v>
      </c>
      <c r="I215" s="2">
        <v>1217</v>
      </c>
      <c r="J215" s="2">
        <v>753</v>
      </c>
      <c r="K215" s="2">
        <v>438</v>
      </c>
      <c r="L215" s="2">
        <v>636</v>
      </c>
      <c r="M215" s="2">
        <v>20690</v>
      </c>
      <c r="N215" s="2">
        <v>253</v>
      </c>
      <c r="O215" s="2">
        <v>0</v>
      </c>
      <c r="P215" s="2">
        <v>0</v>
      </c>
      <c r="Q215" s="2">
        <v>504</v>
      </c>
      <c r="R215" s="274">
        <v>43500</v>
      </c>
      <c r="S215" s="253">
        <v>12</v>
      </c>
      <c r="T215" s="254">
        <f>SUM( tabConsumo[[#This Row],[QTD.PENDENTE]]:tabConsumo[[#This Row],[07_23]] ) / tabConsumo[[#This Row],[Div]]</f>
        <v>2387.5</v>
      </c>
      <c r="U215" s="255">
        <f xml:space="preserve"> tabConsumo[[#This Row],[Média.A]] + (_xlfn.STDEV.S( tabConsumo[[#This Row],[QTD.PENDENTE]]:tabConsumo[[#This Row],[07_23]] ) * 1)</f>
        <v>7957.0883726740203</v>
      </c>
      <c r="V215" s="255">
        <f xml:space="preserve"> tabConsumo[[#This Row],[Média.A]] + (_xlfn.STDEV.S( tabConsumo[[#This Row],[QTD.PENDENTE]]:tabConsumo[[#This Row],[07_23]] ) * 2)</f>
        <v>13526.676745348041</v>
      </c>
      <c r="W215" s="255">
        <f xml:space="preserve"> tabConsumo[[#This Row],[Média.A]] + (_xlfn.STDEV.S( tabConsumo[[#This Row],[QTD.PENDENTE]]:tabConsumo[[#This Row],[07_23]] ) * 3)</f>
        <v>19096.26511802206</v>
      </c>
      <c r="X215" s="5">
        <f t="shared" si="7"/>
        <v>2</v>
      </c>
      <c r="Y215">
        <v>1790.5</v>
      </c>
      <c r="Z215" s="257">
        <f>SUM( tabConsumo[[#This Row],[QTD.PENDENTE]]:tabConsumo[[#This Row],[07_23]] )</f>
        <v>28650</v>
      </c>
      <c r="AA215" s="257">
        <f>LARGE(tabConsumo[[#This Row],[08_22]:[07_23]],1)</f>
        <v>20690</v>
      </c>
      <c r="AB215" s="175" t="s">
        <v>2211</v>
      </c>
      <c r="AC215" s="3" t="s">
        <v>2064</v>
      </c>
    </row>
    <row r="216" spans="1:29" x14ac:dyDescent="0.3">
      <c r="A216" s="4" t="s">
        <v>1361</v>
      </c>
      <c r="B216" s="3" t="s">
        <v>596</v>
      </c>
      <c r="C216" s="2">
        <v>63839</v>
      </c>
      <c r="D216" s="2">
        <v>0</v>
      </c>
      <c r="F216" s="2">
        <v>30</v>
      </c>
      <c r="G216" s="2">
        <v>12</v>
      </c>
      <c r="H216" s="2">
        <v>27</v>
      </c>
      <c r="I216" s="2">
        <v>12</v>
      </c>
      <c r="J216" s="2">
        <v>16</v>
      </c>
      <c r="K216" s="2">
        <v>84</v>
      </c>
      <c r="L216" s="2">
        <v>2</v>
      </c>
      <c r="M216" s="2">
        <v>2</v>
      </c>
      <c r="N216" s="2">
        <v>21</v>
      </c>
      <c r="O216" s="2">
        <v>65</v>
      </c>
      <c r="P216" s="2">
        <v>0</v>
      </c>
      <c r="Q216" s="2">
        <v>0</v>
      </c>
      <c r="R216" s="274">
        <v>367</v>
      </c>
      <c r="S216" s="253">
        <f xml:space="preserve"> 12</f>
        <v>12</v>
      </c>
      <c r="T216" s="254">
        <f>SUM( tabConsumo[[#This Row],[QTD.PENDENTE]]:tabConsumo[[#This Row],[07_23]] ) / tabConsumo[[#This Row],[Div]]</f>
        <v>22.583333333333332</v>
      </c>
      <c r="U216" s="255">
        <f xml:space="preserve"> tabConsumo[[#This Row],[Média.A]] + (_xlfn.STDEV.S( tabConsumo[[#This Row],[QTD.PENDENTE]]:tabConsumo[[#This Row],[07_23]] ) * 1)</f>
        <v>49.182917517825373</v>
      </c>
      <c r="V216" s="255">
        <f xml:space="preserve"> tabConsumo[[#This Row],[Média.A]] + (_xlfn.STDEV.S( tabConsumo[[#This Row],[QTD.PENDENTE]]:tabConsumo[[#This Row],[07_23]] ) * 2)</f>
        <v>75.782501702317404</v>
      </c>
      <c r="W216" s="255">
        <f xml:space="preserve"> tabConsumo[[#This Row],[Média.A]] + (_xlfn.STDEV.S( tabConsumo[[#This Row],[QTD.PENDENTE]]:tabConsumo[[#This Row],[07_23]] ) * 3)</f>
        <v>102.38208588680943</v>
      </c>
      <c r="X216" s="5">
        <f t="shared" si="7"/>
        <v>2</v>
      </c>
      <c r="Y216">
        <v>21.833333333333332</v>
      </c>
      <c r="Z216" s="257">
        <f>SUM( tabConsumo[[#This Row],[QTD.PENDENTE]]:tabConsumo[[#This Row],[07_23]] )</f>
        <v>271</v>
      </c>
      <c r="AA216" s="257">
        <f>LARGE(tabConsumo[[#This Row],[08_22]:[07_23]],1)</f>
        <v>84</v>
      </c>
      <c r="AB216" s="175" t="s">
        <v>2214</v>
      </c>
      <c r="AC216" s="3" t="s">
        <v>2064</v>
      </c>
    </row>
    <row r="217" spans="1:29" x14ac:dyDescent="0.3">
      <c r="A217" s="4" t="s">
        <v>410</v>
      </c>
      <c r="B217" s="3" t="s">
        <v>411</v>
      </c>
      <c r="C217" s="2">
        <v>97965</v>
      </c>
      <c r="D217" s="2">
        <v>0</v>
      </c>
      <c r="F217" s="2">
        <v>0</v>
      </c>
      <c r="G217" s="2">
        <v>18</v>
      </c>
      <c r="H217" s="2">
        <v>0</v>
      </c>
      <c r="I217" s="2">
        <v>0</v>
      </c>
      <c r="J217" s="2">
        <v>0</v>
      </c>
      <c r="K217" s="2">
        <v>0</v>
      </c>
      <c r="L217" s="2">
        <v>0</v>
      </c>
      <c r="M217" s="2">
        <v>0</v>
      </c>
      <c r="N217" s="2">
        <v>0</v>
      </c>
      <c r="O217" s="2">
        <v>0</v>
      </c>
      <c r="P217" s="2">
        <v>0</v>
      </c>
      <c r="Q217" s="2">
        <v>0</v>
      </c>
      <c r="R217" s="274">
        <v>367</v>
      </c>
      <c r="S217" s="253">
        <f xml:space="preserve"> 12</f>
        <v>12</v>
      </c>
      <c r="T217" s="254">
        <f>SUM( tabConsumo[[#This Row],[QTD.PENDENTE]]:tabConsumo[[#This Row],[07_23]] ) / tabConsumo[[#This Row],[Div]]</f>
        <v>1.5</v>
      </c>
      <c r="U217" s="255">
        <f xml:space="preserve"> tabConsumo[[#This Row],[Média.A]] + (_xlfn.STDEV.S( tabConsumo[[#This Row],[QTD.PENDENTE]]:tabConsumo[[#This Row],[07_23]] ) * 1)</f>
        <v>6.696152422706632</v>
      </c>
      <c r="V217" s="255">
        <f xml:space="preserve"> tabConsumo[[#This Row],[Média.A]] + (_xlfn.STDEV.S( tabConsumo[[#This Row],[QTD.PENDENTE]]:tabConsumo[[#This Row],[07_23]] ) * 2)</f>
        <v>11.892304845413264</v>
      </c>
      <c r="W217" s="255">
        <f xml:space="preserve"> tabConsumo[[#This Row],[Média.A]] + (_xlfn.STDEV.S( tabConsumo[[#This Row],[QTD.PENDENTE]]:tabConsumo[[#This Row],[07_23]] ) * 3)</f>
        <v>17.088457268119896</v>
      </c>
      <c r="X217" s="5">
        <f t="shared" si="7"/>
        <v>2</v>
      </c>
      <c r="Y217">
        <v>0.91666666666666663</v>
      </c>
      <c r="Z217" s="257">
        <f>SUM( tabConsumo[[#This Row],[QTD.PENDENTE]]:tabConsumo[[#This Row],[07_23]] )</f>
        <v>18</v>
      </c>
      <c r="AA217" s="257">
        <f>LARGE(tabConsumo[[#This Row],[08_22]:[07_23]],1)</f>
        <v>18</v>
      </c>
      <c r="AB217" s="175" t="s">
        <v>2219</v>
      </c>
      <c r="AC217" s="3" t="s">
        <v>2064</v>
      </c>
    </row>
    <row r="218" spans="1:29" x14ac:dyDescent="0.3">
      <c r="A218" s="4" t="s">
        <v>1021</v>
      </c>
      <c r="B218" s="3" t="s">
        <v>275</v>
      </c>
      <c r="C218" s="2">
        <v>13186</v>
      </c>
      <c r="D218" s="2">
        <v>0</v>
      </c>
      <c r="E218" s="2">
        <v>19</v>
      </c>
      <c r="F218" s="2">
        <v>1</v>
      </c>
      <c r="G218" s="2">
        <v>5</v>
      </c>
      <c r="H218" s="2">
        <v>0</v>
      </c>
      <c r="I218" s="2">
        <v>10</v>
      </c>
      <c r="J218" s="2">
        <v>22</v>
      </c>
      <c r="K218" s="2">
        <v>10</v>
      </c>
      <c r="L218" s="2">
        <v>0</v>
      </c>
      <c r="M218" s="2">
        <v>0</v>
      </c>
      <c r="N218" s="2">
        <v>0</v>
      </c>
      <c r="O218" s="2">
        <v>0</v>
      </c>
      <c r="P218" s="2">
        <v>0</v>
      </c>
      <c r="Q218" s="2">
        <v>0</v>
      </c>
      <c r="R218" s="274">
        <v>367</v>
      </c>
      <c r="S218" s="253">
        <f xml:space="preserve"> 12</f>
        <v>12</v>
      </c>
      <c r="T218" s="254">
        <f>SUM( tabConsumo[[#This Row],[QTD.PENDENTE]]:tabConsumo[[#This Row],[07_23]] ) / tabConsumo[[#This Row],[Div]]</f>
        <v>5.583333333333333</v>
      </c>
      <c r="U218" s="255">
        <f xml:space="preserve"> tabConsumo[[#This Row],[Média.A]] + (_xlfn.STDEV.S( tabConsumo[[#This Row],[QTD.PENDENTE]]:tabConsumo[[#This Row],[07_23]] ) * 1)</f>
        <v>13.35985948415151</v>
      </c>
      <c r="V218" s="255">
        <f xml:space="preserve"> tabConsumo[[#This Row],[Média.A]] + (_xlfn.STDEV.S( tabConsumo[[#This Row],[QTD.PENDENTE]]:tabConsumo[[#This Row],[07_23]] ) * 2)</f>
        <v>21.136385634969688</v>
      </c>
      <c r="W218" s="255">
        <f xml:space="preserve"> tabConsumo[[#This Row],[Média.A]] + (_xlfn.STDEV.S( tabConsumo[[#This Row],[QTD.PENDENTE]]:tabConsumo[[#This Row],[07_23]] ) * 3)</f>
        <v>28.912911785787863</v>
      </c>
      <c r="X218" s="5">
        <f t="shared" si="7"/>
        <v>2</v>
      </c>
      <c r="Y218">
        <v>5.5</v>
      </c>
      <c r="Z218" s="257">
        <f>SUM( tabConsumo[[#This Row],[QTD.PENDENTE]]:tabConsumo[[#This Row],[07_23]] )</f>
        <v>67</v>
      </c>
      <c r="AA218" s="257">
        <f>LARGE(tabConsumo[[#This Row],[08_22]:[07_23]],1)</f>
        <v>22</v>
      </c>
      <c r="AB218" s="175" t="s">
        <v>2220</v>
      </c>
      <c r="AC218" s="3" t="s">
        <v>2064</v>
      </c>
    </row>
    <row r="219" spans="1:29" x14ac:dyDescent="0.3">
      <c r="A219" s="4" t="s">
        <v>990</v>
      </c>
      <c r="B219" s="3" t="s">
        <v>270</v>
      </c>
      <c r="C219" s="2">
        <v>13063</v>
      </c>
      <c r="D219" s="2">
        <v>723</v>
      </c>
      <c r="F219" s="2">
        <v>142</v>
      </c>
      <c r="G219" s="2">
        <v>79</v>
      </c>
      <c r="H219" s="2">
        <v>42</v>
      </c>
      <c r="I219" s="2">
        <v>72</v>
      </c>
      <c r="J219" s="2">
        <v>80</v>
      </c>
      <c r="K219" s="2">
        <v>51</v>
      </c>
      <c r="L219" s="2">
        <v>27</v>
      </c>
      <c r="M219" s="2">
        <v>79</v>
      </c>
      <c r="N219" s="2">
        <v>53</v>
      </c>
      <c r="O219" s="2">
        <v>80</v>
      </c>
      <c r="P219" s="2">
        <v>0</v>
      </c>
      <c r="Q219" s="2">
        <v>33</v>
      </c>
      <c r="R219" s="274">
        <v>367</v>
      </c>
      <c r="S219" s="253">
        <f xml:space="preserve"> 12</f>
        <v>12</v>
      </c>
      <c r="T219" s="254">
        <f>SUM( tabConsumo[[#This Row],[QTD.PENDENTE]]:tabConsumo[[#This Row],[07_23]] ) / tabConsumo[[#This Row],[Div]]</f>
        <v>61.5</v>
      </c>
      <c r="U219" s="255">
        <f xml:space="preserve"> tabConsumo[[#This Row],[Média.A]] + (_xlfn.STDEV.S( tabConsumo[[#This Row],[QTD.PENDENTE]]:tabConsumo[[#This Row],[07_23]] ) * 1)</f>
        <v>97.47347507665765</v>
      </c>
      <c r="V219" s="255">
        <f xml:space="preserve"> tabConsumo[[#This Row],[Média.A]] + (_xlfn.STDEV.S( tabConsumo[[#This Row],[QTD.PENDENTE]]:tabConsumo[[#This Row],[07_23]] ) * 2)</f>
        <v>133.4469501533153</v>
      </c>
      <c r="W219" s="255">
        <f xml:space="preserve"> tabConsumo[[#This Row],[Média.A]] + (_xlfn.STDEV.S( tabConsumo[[#This Row],[QTD.PENDENTE]]:tabConsumo[[#This Row],[07_23]] ) * 3)</f>
        <v>169.42042522997295</v>
      </c>
      <c r="X219" s="5">
        <f t="shared" si="7"/>
        <v>2</v>
      </c>
      <c r="Y219">
        <v>60.75</v>
      </c>
      <c r="Z219" s="257">
        <f>SUM( tabConsumo[[#This Row],[QTD.PENDENTE]]:tabConsumo[[#This Row],[07_23]] )</f>
        <v>738</v>
      </c>
      <c r="AA219" s="257">
        <f>LARGE(tabConsumo[[#This Row],[08_22]:[07_23]],1)</f>
        <v>142</v>
      </c>
      <c r="AB219" s="175" t="s">
        <v>2211</v>
      </c>
      <c r="AC219" s="3" t="s">
        <v>2064</v>
      </c>
    </row>
    <row r="220" spans="1:29" x14ac:dyDescent="0.3">
      <c r="A220" s="4" t="s">
        <v>412</v>
      </c>
      <c r="B220" s="3" t="s">
        <v>413</v>
      </c>
      <c r="C220" s="2">
        <v>11287</v>
      </c>
      <c r="D220" s="2">
        <v>0</v>
      </c>
      <c r="E220" s="2">
        <v>1</v>
      </c>
      <c r="F220" s="2">
        <v>0</v>
      </c>
      <c r="G220" s="2">
        <v>0</v>
      </c>
      <c r="H220" s="2">
        <v>0</v>
      </c>
      <c r="I220" s="2">
        <v>0</v>
      </c>
      <c r="J220" s="2">
        <v>0</v>
      </c>
      <c r="K220" s="2">
        <v>0</v>
      </c>
      <c r="L220" s="2">
        <v>0</v>
      </c>
      <c r="M220" s="2">
        <v>0</v>
      </c>
      <c r="N220" s="2">
        <v>0</v>
      </c>
      <c r="O220" s="2">
        <v>0</v>
      </c>
      <c r="P220" s="2">
        <v>0</v>
      </c>
      <c r="Q220" s="2">
        <v>0</v>
      </c>
      <c r="R220" s="274">
        <v>367</v>
      </c>
      <c r="S220" s="253">
        <f xml:space="preserve"> 12</f>
        <v>12</v>
      </c>
      <c r="T220" s="254">
        <f>SUM( tabConsumo[[#This Row],[QTD.PENDENTE]]:tabConsumo[[#This Row],[07_23]] ) / tabConsumo[[#This Row],[Div]]</f>
        <v>8.3333333333333329E-2</v>
      </c>
      <c r="U220" s="255">
        <f xml:space="preserve"> tabConsumo[[#This Row],[Média.A]] + (_xlfn.STDEV.S( tabConsumo[[#This Row],[QTD.PENDENTE]]:tabConsumo[[#This Row],[07_23]] ) * 1)</f>
        <v>0.36068343144594789</v>
      </c>
      <c r="V220" s="255">
        <f xml:space="preserve"> tabConsumo[[#This Row],[Média.A]] + (_xlfn.STDEV.S( tabConsumo[[#This Row],[QTD.PENDENTE]]:tabConsumo[[#This Row],[07_23]] ) * 2)</f>
        <v>0.63803352955856252</v>
      </c>
      <c r="W220" s="255">
        <f xml:space="preserve"> tabConsumo[[#This Row],[Média.A]] + (_xlfn.STDEV.S( tabConsumo[[#This Row],[QTD.PENDENTE]]:tabConsumo[[#This Row],[07_23]] ) * 3)</f>
        <v>0.91538362767117709</v>
      </c>
      <c r="X220" s="5">
        <f t="shared" si="7"/>
        <v>2</v>
      </c>
      <c r="Y220">
        <v>8.3333333333333329E-2</v>
      </c>
      <c r="Z220" s="257">
        <f>SUM( tabConsumo[[#This Row],[QTD.PENDENTE]]:tabConsumo[[#This Row],[07_23]] )</f>
        <v>1</v>
      </c>
      <c r="AA220" s="257">
        <f>LARGE(tabConsumo[[#This Row],[08_22]:[07_23]],1)</f>
        <v>0</v>
      </c>
      <c r="AB220" s="175" t="s">
        <v>2211</v>
      </c>
      <c r="AC220" s="3" t="s">
        <v>2064</v>
      </c>
    </row>
    <row r="221" spans="1:29" x14ac:dyDescent="0.3">
      <c r="A221" s="4" t="s">
        <v>1626</v>
      </c>
      <c r="B221" s="3" t="s">
        <v>256</v>
      </c>
      <c r="C221" s="2">
        <v>106414</v>
      </c>
      <c r="D221" s="2">
        <v>2812</v>
      </c>
      <c r="F221" s="2">
        <v>470</v>
      </c>
      <c r="G221" s="2">
        <v>200</v>
      </c>
      <c r="H221" s="2">
        <v>356</v>
      </c>
      <c r="I221" s="2">
        <v>220</v>
      </c>
      <c r="J221" s="2">
        <v>550</v>
      </c>
      <c r="K221" s="2">
        <v>618</v>
      </c>
      <c r="L221" s="2">
        <v>280</v>
      </c>
      <c r="M221" s="2">
        <v>393</v>
      </c>
      <c r="N221" s="2">
        <v>280</v>
      </c>
      <c r="O221" s="2">
        <v>190</v>
      </c>
      <c r="P221" s="2">
        <v>520</v>
      </c>
      <c r="Q221" s="2">
        <v>220</v>
      </c>
      <c r="R221" s="274">
        <v>39581</v>
      </c>
      <c r="S221" s="253">
        <v>12</v>
      </c>
      <c r="T221" s="254">
        <f>SUM( tabConsumo[[#This Row],[QTD.PENDENTE]]:tabConsumo[[#This Row],[07_23]] ) / tabConsumo[[#This Row],[Div]]</f>
        <v>358.08333333333331</v>
      </c>
      <c r="U221" s="255">
        <f xml:space="preserve"> tabConsumo[[#This Row],[Média.A]] + (_xlfn.STDEV.S( tabConsumo[[#This Row],[QTD.PENDENTE]]:tabConsumo[[#This Row],[07_23]] ) * 1)</f>
        <v>508.2120407409401</v>
      </c>
      <c r="V221" s="255">
        <f xml:space="preserve"> tabConsumo[[#This Row],[Média.A]] + (_xlfn.STDEV.S( tabConsumo[[#This Row],[QTD.PENDENTE]]:tabConsumo[[#This Row],[07_23]] ) * 2)</f>
        <v>658.34074814854682</v>
      </c>
      <c r="W221" s="255">
        <f xml:space="preserve"> tabConsumo[[#This Row],[Média.A]] + (_xlfn.STDEV.S( tabConsumo[[#This Row],[QTD.PENDENTE]]:tabConsumo[[#This Row],[07_23]] ) * 3)</f>
        <v>808.46945555615366</v>
      </c>
      <c r="X221" s="5">
        <f t="shared" si="7"/>
        <v>2</v>
      </c>
      <c r="Y221">
        <v>358.08333333333331</v>
      </c>
      <c r="Z221" s="257">
        <f>SUM( tabConsumo[[#This Row],[QTD.PENDENTE]]:tabConsumo[[#This Row],[07_23]] )</f>
        <v>4297</v>
      </c>
      <c r="AA221" s="257">
        <f>LARGE(tabConsumo[[#This Row],[08_22]:[07_23]],1)</f>
        <v>618</v>
      </c>
      <c r="AB221" s="175" t="s">
        <v>2211</v>
      </c>
      <c r="AC221" s="3" t="s">
        <v>2064</v>
      </c>
    </row>
    <row r="222" spans="1:29" x14ac:dyDescent="0.3">
      <c r="A222" s="4" t="s">
        <v>1625</v>
      </c>
      <c r="B222" s="3" t="s">
        <v>256</v>
      </c>
      <c r="C222" s="2">
        <v>106408</v>
      </c>
      <c r="D222" s="2">
        <v>54</v>
      </c>
      <c r="F222" s="2">
        <v>4</v>
      </c>
      <c r="G222" s="2">
        <v>16</v>
      </c>
      <c r="H222" s="2">
        <v>0</v>
      </c>
      <c r="I222" s="2">
        <v>6</v>
      </c>
      <c r="J222" s="2">
        <v>10</v>
      </c>
      <c r="K222" s="2">
        <v>59</v>
      </c>
      <c r="L222" s="2">
        <v>26</v>
      </c>
      <c r="M222" s="2">
        <v>0</v>
      </c>
      <c r="N222" s="2">
        <v>0</v>
      </c>
      <c r="O222" s="2">
        <v>0</v>
      </c>
      <c r="P222" s="2">
        <v>6</v>
      </c>
      <c r="Q222" s="2">
        <v>4</v>
      </c>
      <c r="R222" s="274">
        <v>39581</v>
      </c>
      <c r="S222" s="253">
        <v>12</v>
      </c>
      <c r="T222" s="254">
        <f>SUM( tabConsumo[[#This Row],[QTD.PENDENTE]]:tabConsumo[[#This Row],[07_23]] ) / tabConsumo[[#This Row],[Div]]</f>
        <v>10.916666666666666</v>
      </c>
      <c r="U222" s="255">
        <f xml:space="preserve"> tabConsumo[[#This Row],[Média.A]] + (_xlfn.STDEV.S( tabConsumo[[#This Row],[QTD.PENDENTE]]:tabConsumo[[#This Row],[07_23]] ) * 1)</f>
        <v>27.937821062585208</v>
      </c>
      <c r="V222" s="255">
        <f xml:space="preserve"> tabConsumo[[#This Row],[Média.A]] + (_xlfn.STDEV.S( tabConsumo[[#This Row],[QTD.PENDENTE]]:tabConsumo[[#This Row],[07_23]] ) * 2)</f>
        <v>44.958975458503744</v>
      </c>
      <c r="W222" s="255">
        <f xml:space="preserve"> tabConsumo[[#This Row],[Média.A]] + (_xlfn.STDEV.S( tabConsumo[[#This Row],[QTD.PENDENTE]]:tabConsumo[[#This Row],[07_23]] ) * 3)</f>
        <v>61.98012985442228</v>
      </c>
      <c r="X222" s="5">
        <f t="shared" si="7"/>
        <v>2</v>
      </c>
      <c r="Y222">
        <v>9.6666666666666661</v>
      </c>
      <c r="Z222" s="257">
        <f>SUM( tabConsumo[[#This Row],[QTD.PENDENTE]]:tabConsumo[[#This Row],[07_23]] )</f>
        <v>131</v>
      </c>
      <c r="AA222" s="257">
        <f>LARGE(tabConsumo[[#This Row],[08_22]:[07_23]],1)</f>
        <v>59</v>
      </c>
      <c r="AB222" s="175" t="s">
        <v>2211</v>
      </c>
      <c r="AC222" s="3" t="s">
        <v>2064</v>
      </c>
    </row>
    <row r="223" spans="1:29" x14ac:dyDescent="0.3">
      <c r="A223" s="4" t="s">
        <v>1785</v>
      </c>
      <c r="B223" s="3" t="s">
        <v>31</v>
      </c>
      <c r="C223" s="2">
        <v>128819</v>
      </c>
      <c r="D223" s="2">
        <v>251</v>
      </c>
      <c r="F223" s="2">
        <v>8</v>
      </c>
      <c r="G223" s="2">
        <v>30</v>
      </c>
      <c r="H223" s="2">
        <v>0</v>
      </c>
      <c r="I223" s="2">
        <v>6</v>
      </c>
      <c r="J223" s="2">
        <v>20</v>
      </c>
      <c r="K223" s="2">
        <v>110</v>
      </c>
      <c r="L223" s="2">
        <v>36</v>
      </c>
      <c r="M223" s="2">
        <v>0</v>
      </c>
      <c r="N223" s="2">
        <v>0</v>
      </c>
      <c r="O223" s="2">
        <v>0</v>
      </c>
      <c r="P223" s="2">
        <v>10</v>
      </c>
      <c r="Q223" s="2">
        <v>10</v>
      </c>
      <c r="R223" s="274">
        <v>41926</v>
      </c>
      <c r="S223" s="253">
        <v>12</v>
      </c>
      <c r="T223" s="254">
        <f>SUM( tabConsumo[[#This Row],[QTD.PENDENTE]]:tabConsumo[[#This Row],[07_23]] ) / tabConsumo[[#This Row],[Div]]</f>
        <v>19.166666666666668</v>
      </c>
      <c r="U223" s="255">
        <f xml:space="preserve"> tabConsumo[[#This Row],[Média.A]] + (_xlfn.STDEV.S( tabConsumo[[#This Row],[QTD.PENDENTE]]:tabConsumo[[#This Row],[07_23]] ) * 1)</f>
        <v>50.191094969459797</v>
      </c>
      <c r="V223" s="255">
        <f xml:space="preserve"> tabConsumo[[#This Row],[Média.A]] + (_xlfn.STDEV.S( tabConsumo[[#This Row],[QTD.PENDENTE]]:tabConsumo[[#This Row],[07_23]] ) * 2)</f>
        <v>81.215523272252938</v>
      </c>
      <c r="W223" s="255">
        <f xml:space="preserve"> tabConsumo[[#This Row],[Média.A]] + (_xlfn.STDEV.S( tabConsumo[[#This Row],[QTD.PENDENTE]]:tabConsumo[[#This Row],[07_23]] ) * 3)</f>
        <v>112.23995157504608</v>
      </c>
      <c r="X223" s="5">
        <f t="shared" si="7"/>
        <v>2</v>
      </c>
      <c r="Y223">
        <v>16.75</v>
      </c>
      <c r="Z223" s="257">
        <f>SUM( tabConsumo[[#This Row],[QTD.PENDENTE]]:tabConsumo[[#This Row],[07_23]] )</f>
        <v>230</v>
      </c>
      <c r="AA223" s="257">
        <f>LARGE(tabConsumo[[#This Row],[08_22]:[07_23]],1)</f>
        <v>110</v>
      </c>
      <c r="AB223" s="175" t="s">
        <v>2211</v>
      </c>
      <c r="AC223" s="3" t="s">
        <v>2064</v>
      </c>
    </row>
    <row r="224" spans="1:29" x14ac:dyDescent="0.3">
      <c r="A224" s="4" t="s">
        <v>1784</v>
      </c>
      <c r="B224" s="3" t="s">
        <v>31</v>
      </c>
      <c r="C224" s="2">
        <v>128818</v>
      </c>
      <c r="D224" s="2">
        <v>3255</v>
      </c>
      <c r="F224" s="2">
        <v>616</v>
      </c>
      <c r="G224" s="2">
        <v>300</v>
      </c>
      <c r="H224" s="2">
        <v>590</v>
      </c>
      <c r="I224" s="2">
        <v>300</v>
      </c>
      <c r="J224" s="2">
        <v>940</v>
      </c>
      <c r="K224" s="2">
        <v>835</v>
      </c>
      <c r="L224" s="2">
        <v>420</v>
      </c>
      <c r="M224" s="2">
        <v>482</v>
      </c>
      <c r="N224" s="2">
        <v>500</v>
      </c>
      <c r="O224" s="2">
        <v>140</v>
      </c>
      <c r="P224" s="2">
        <v>800</v>
      </c>
      <c r="Q224" s="2">
        <v>0</v>
      </c>
      <c r="R224" s="274">
        <v>41926</v>
      </c>
      <c r="S224" s="253">
        <v>12</v>
      </c>
      <c r="T224" s="254">
        <f>SUM( tabConsumo[[#This Row],[QTD.PENDENTE]]:tabConsumo[[#This Row],[07_23]] ) / tabConsumo[[#This Row],[Div]]</f>
        <v>493.58333333333331</v>
      </c>
      <c r="U224" s="255">
        <f xml:space="preserve"> tabConsumo[[#This Row],[Média.A]] + (_xlfn.STDEV.S( tabConsumo[[#This Row],[QTD.PENDENTE]]:tabConsumo[[#This Row],[07_23]] ) * 1)</f>
        <v>776.94158981292048</v>
      </c>
      <c r="V224" s="255">
        <f xml:space="preserve"> tabConsumo[[#This Row],[Média.A]] + (_xlfn.STDEV.S( tabConsumo[[#This Row],[QTD.PENDENTE]]:tabConsumo[[#This Row],[07_23]] ) * 2)</f>
        <v>1060.2998462925077</v>
      </c>
      <c r="W224" s="255">
        <f xml:space="preserve"> tabConsumo[[#This Row],[Média.A]] + (_xlfn.STDEV.S( tabConsumo[[#This Row],[QTD.PENDENTE]]:tabConsumo[[#This Row],[07_23]] ) * 3)</f>
        <v>1343.6581027720947</v>
      </c>
      <c r="X224" s="5">
        <f t="shared" si="7"/>
        <v>2</v>
      </c>
      <c r="Y224">
        <v>493.58333333333331</v>
      </c>
      <c r="Z224" s="257">
        <f>SUM( tabConsumo[[#This Row],[QTD.PENDENTE]]:tabConsumo[[#This Row],[07_23]] )</f>
        <v>5923</v>
      </c>
      <c r="AA224" s="257">
        <f>LARGE(tabConsumo[[#This Row],[08_22]:[07_23]],1)</f>
        <v>940</v>
      </c>
      <c r="AB224" s="175" t="s">
        <v>2212</v>
      </c>
      <c r="AC224" s="3" t="s">
        <v>2064</v>
      </c>
    </row>
    <row r="225" spans="1:29" x14ac:dyDescent="0.3">
      <c r="A225" s="4" t="s">
        <v>1617</v>
      </c>
      <c r="B225" s="3" t="s">
        <v>256</v>
      </c>
      <c r="C225" s="2">
        <v>106038</v>
      </c>
      <c r="D225" s="2">
        <v>0</v>
      </c>
      <c r="E225" s="2">
        <v>20</v>
      </c>
      <c r="F225" s="2">
        <v>0</v>
      </c>
      <c r="G225" s="2">
        <v>0</v>
      </c>
      <c r="H225" s="2">
        <v>0</v>
      </c>
      <c r="I225" s="2">
        <v>0</v>
      </c>
      <c r="J225" s="2">
        <v>80</v>
      </c>
      <c r="K225" s="2">
        <v>0</v>
      </c>
      <c r="L225" s="2">
        <v>0</v>
      </c>
      <c r="M225" s="2">
        <v>0</v>
      </c>
      <c r="N225" s="2">
        <v>0</v>
      </c>
      <c r="O225" s="2">
        <v>0</v>
      </c>
      <c r="P225" s="2">
        <v>0</v>
      </c>
      <c r="Q225" s="2">
        <v>0</v>
      </c>
      <c r="R225" s="274">
        <v>39554</v>
      </c>
      <c r="S225" s="253">
        <v>12</v>
      </c>
      <c r="T225" s="254">
        <f>SUM( tabConsumo[[#This Row],[QTD.PENDENTE]]:tabConsumo[[#This Row],[07_23]] ) / tabConsumo[[#This Row],[Div]]</f>
        <v>8.3333333333333339</v>
      </c>
      <c r="U225" s="255">
        <f xml:space="preserve"> tabConsumo[[#This Row],[Média.A]] + (_xlfn.STDEV.S( tabConsumo[[#This Row],[QTD.PENDENTE]]:tabConsumo[[#This Row],[07_23]] ) * 1)</f>
        <v>30.751274866045534</v>
      </c>
      <c r="V225" s="255">
        <f xml:space="preserve"> tabConsumo[[#This Row],[Média.A]] + (_xlfn.STDEV.S( tabConsumo[[#This Row],[QTD.PENDENTE]]:tabConsumo[[#This Row],[07_23]] ) * 2)</f>
        <v>53.169216398757733</v>
      </c>
      <c r="W225" s="255">
        <f xml:space="preserve"> tabConsumo[[#This Row],[Média.A]] + (_xlfn.STDEV.S( tabConsumo[[#This Row],[QTD.PENDENTE]]:tabConsumo[[#This Row],[07_23]] ) * 3)</f>
        <v>75.587157931469918</v>
      </c>
      <c r="X225" s="5">
        <f t="shared" si="7"/>
        <v>2</v>
      </c>
      <c r="Y225">
        <v>6.083333333333333</v>
      </c>
      <c r="Z225" s="257">
        <f>SUM( tabConsumo[[#This Row],[QTD.PENDENTE]]:tabConsumo[[#This Row],[07_23]] )</f>
        <v>100</v>
      </c>
      <c r="AA225" s="257">
        <f>LARGE(tabConsumo[[#This Row],[08_22]:[07_23]],1)</f>
        <v>80</v>
      </c>
      <c r="AB225" s="175" t="s">
        <v>2222</v>
      </c>
      <c r="AC225" s="3" t="s">
        <v>2064</v>
      </c>
    </row>
    <row r="226" spans="1:29" x14ac:dyDescent="0.3">
      <c r="A226" s="4" t="s">
        <v>1760</v>
      </c>
      <c r="B226" s="3" t="s">
        <v>31</v>
      </c>
      <c r="C226" s="2">
        <v>125269</v>
      </c>
      <c r="D226" s="2">
        <v>2965</v>
      </c>
      <c r="F226" s="2">
        <v>200</v>
      </c>
      <c r="G226" s="2">
        <v>0</v>
      </c>
      <c r="H226" s="2">
        <v>0</v>
      </c>
      <c r="I226" s="2">
        <v>30</v>
      </c>
      <c r="J226" s="2">
        <v>120</v>
      </c>
      <c r="K226" s="2">
        <v>15</v>
      </c>
      <c r="L226" s="2">
        <v>0</v>
      </c>
      <c r="M226" s="2">
        <v>0</v>
      </c>
      <c r="N226" s="2">
        <v>0</v>
      </c>
      <c r="O226" s="2">
        <v>0</v>
      </c>
      <c r="P226" s="2">
        <v>0</v>
      </c>
      <c r="Q226" s="2">
        <v>0</v>
      </c>
      <c r="R226" s="274">
        <v>41368</v>
      </c>
      <c r="S226" s="253">
        <v>12</v>
      </c>
      <c r="T226" s="254">
        <f>SUM( tabConsumo[[#This Row],[QTD.PENDENTE]]:tabConsumo[[#This Row],[07_23]] ) / tabConsumo[[#This Row],[Div]]</f>
        <v>30.416666666666668</v>
      </c>
      <c r="U226" s="255">
        <f xml:space="preserve"> tabConsumo[[#This Row],[Média.A]] + (_xlfn.STDEV.S( tabConsumo[[#This Row],[QTD.PENDENTE]]:tabConsumo[[#This Row],[07_23]] ) * 1)</f>
        <v>93.965442970360897</v>
      </c>
      <c r="V226" s="255">
        <f xml:space="preserve"> tabConsumo[[#This Row],[Média.A]] + (_xlfn.STDEV.S( tabConsumo[[#This Row],[QTD.PENDENTE]]:tabConsumo[[#This Row],[07_23]] ) * 2)</f>
        <v>157.51421927405514</v>
      </c>
      <c r="W226" s="255">
        <f xml:space="preserve"> tabConsumo[[#This Row],[Média.A]] + (_xlfn.STDEV.S( tabConsumo[[#This Row],[QTD.PENDENTE]]:tabConsumo[[#This Row],[07_23]] ) * 3)</f>
        <v>221.06299557774935</v>
      </c>
      <c r="X226" s="5">
        <f t="shared" si="7"/>
        <v>2</v>
      </c>
      <c r="Y226">
        <v>26.833333333333332</v>
      </c>
      <c r="Z226" s="257">
        <f>SUM( tabConsumo[[#This Row],[QTD.PENDENTE]]:tabConsumo[[#This Row],[07_23]] )</f>
        <v>365</v>
      </c>
      <c r="AA226" s="257">
        <f>LARGE(tabConsumo[[#This Row],[08_22]:[07_23]],1)</f>
        <v>200</v>
      </c>
      <c r="AB226" s="175" t="s">
        <v>2220</v>
      </c>
      <c r="AC226" s="3" t="s">
        <v>2064</v>
      </c>
    </row>
    <row r="227" spans="1:29" x14ac:dyDescent="0.3">
      <c r="A227" s="4" t="s">
        <v>1084</v>
      </c>
      <c r="B227" s="3" t="s">
        <v>256</v>
      </c>
      <c r="C227" s="2">
        <v>15267</v>
      </c>
      <c r="D227" s="2">
        <v>23</v>
      </c>
      <c r="F227" s="2">
        <v>0</v>
      </c>
      <c r="G227" s="2">
        <v>0</v>
      </c>
      <c r="H227" s="2">
        <v>0</v>
      </c>
      <c r="I227" s="2">
        <v>0</v>
      </c>
      <c r="J227" s="2">
        <v>0</v>
      </c>
      <c r="K227" s="2">
        <v>0</v>
      </c>
      <c r="L227" s="2">
        <v>0</v>
      </c>
      <c r="M227" s="2">
        <v>0</v>
      </c>
      <c r="N227" s="2">
        <v>0</v>
      </c>
      <c r="O227" s="2">
        <v>0</v>
      </c>
      <c r="P227" s="2">
        <v>30</v>
      </c>
      <c r="Q227" s="2">
        <v>0</v>
      </c>
      <c r="R227" s="274">
        <v>367</v>
      </c>
      <c r="S227" s="253">
        <f xml:space="preserve"> 12</f>
        <v>12</v>
      </c>
      <c r="T227" s="254">
        <f>SUM( tabConsumo[[#This Row],[QTD.PENDENTE]]:tabConsumo[[#This Row],[07_23]] ) / tabConsumo[[#This Row],[Div]]</f>
        <v>2.5</v>
      </c>
      <c r="U227" s="255">
        <f xml:space="preserve"> tabConsumo[[#This Row],[Média.A]] + (_xlfn.STDEV.S( tabConsumo[[#This Row],[QTD.PENDENTE]]:tabConsumo[[#This Row],[07_23]] ) * 1)</f>
        <v>11.160254037844387</v>
      </c>
      <c r="V227" s="255">
        <f xml:space="preserve"> tabConsumo[[#This Row],[Média.A]] + (_xlfn.STDEV.S( tabConsumo[[#This Row],[QTD.PENDENTE]]:tabConsumo[[#This Row],[07_23]] ) * 2)</f>
        <v>19.820508075688775</v>
      </c>
      <c r="W227" s="255">
        <f xml:space="preserve"> tabConsumo[[#This Row],[Média.A]] + (_xlfn.STDEV.S( tabConsumo[[#This Row],[QTD.PENDENTE]]:tabConsumo[[#This Row],[07_23]] ) * 3)</f>
        <v>28.48076211353316</v>
      </c>
      <c r="X227" s="5">
        <f t="shared" si="7"/>
        <v>2</v>
      </c>
      <c r="Y227">
        <v>1.5833333333333333</v>
      </c>
      <c r="Z227" s="257">
        <f>SUM( tabConsumo[[#This Row],[QTD.PENDENTE]]:tabConsumo[[#This Row],[07_23]] )</f>
        <v>30</v>
      </c>
      <c r="AA227" s="257">
        <f>LARGE(tabConsumo[[#This Row],[08_22]:[07_23]],1)</f>
        <v>30</v>
      </c>
      <c r="AB227" s="175" t="s">
        <v>2212</v>
      </c>
      <c r="AC227" s="3" t="s">
        <v>2064</v>
      </c>
    </row>
    <row r="228" spans="1:29" x14ac:dyDescent="0.3">
      <c r="A228" s="4" t="s">
        <v>1417</v>
      </c>
      <c r="B228" s="3" t="s">
        <v>256</v>
      </c>
      <c r="C228" s="2">
        <v>77493</v>
      </c>
      <c r="D228" s="2">
        <v>131</v>
      </c>
      <c r="F228" s="2">
        <v>0</v>
      </c>
      <c r="G228" s="2">
        <v>4</v>
      </c>
      <c r="H228" s="2">
        <v>0</v>
      </c>
      <c r="I228" s="2">
        <v>0</v>
      </c>
      <c r="J228" s="2">
        <v>0</v>
      </c>
      <c r="K228" s="2">
        <v>0</v>
      </c>
      <c r="L228" s="2">
        <v>0</v>
      </c>
      <c r="M228" s="2">
        <v>0</v>
      </c>
      <c r="N228" s="2">
        <v>0</v>
      </c>
      <c r="O228" s="2">
        <v>0</v>
      </c>
      <c r="P228" s="2">
        <v>20</v>
      </c>
      <c r="Q228" s="2">
        <v>0</v>
      </c>
      <c r="R228" s="274">
        <v>38054</v>
      </c>
      <c r="S228" s="253">
        <v>12</v>
      </c>
      <c r="T228" s="254">
        <f>SUM( tabConsumo[[#This Row],[QTD.PENDENTE]]:tabConsumo[[#This Row],[07_23]] ) / tabConsumo[[#This Row],[Div]]</f>
        <v>2</v>
      </c>
      <c r="U228" s="255">
        <f xml:space="preserve"> tabConsumo[[#This Row],[Média.A]] + (_xlfn.STDEV.S( tabConsumo[[#This Row],[QTD.PENDENTE]]:tabConsumo[[#This Row],[07_23]] ) * 1)</f>
        <v>7.7839904438497696</v>
      </c>
      <c r="V228" s="255">
        <f xml:space="preserve"> tabConsumo[[#This Row],[Média.A]] + (_xlfn.STDEV.S( tabConsumo[[#This Row],[QTD.PENDENTE]]:tabConsumo[[#This Row],[07_23]] ) * 2)</f>
        <v>13.567980887699539</v>
      </c>
      <c r="W228" s="255">
        <f xml:space="preserve"> tabConsumo[[#This Row],[Média.A]] + (_xlfn.STDEV.S( tabConsumo[[#This Row],[QTD.PENDENTE]]:tabConsumo[[#This Row],[07_23]] ) * 3)</f>
        <v>19.351971331549308</v>
      </c>
      <c r="X228" s="5">
        <f t="shared" si="7"/>
        <v>2</v>
      </c>
      <c r="Y228">
        <v>1.4166666666666667</v>
      </c>
      <c r="Z228" s="257">
        <f>SUM( tabConsumo[[#This Row],[QTD.PENDENTE]]:tabConsumo[[#This Row],[07_23]] )</f>
        <v>24</v>
      </c>
      <c r="AA228" s="257">
        <f>LARGE(tabConsumo[[#This Row],[08_22]:[07_23]],1)</f>
        <v>20</v>
      </c>
      <c r="AB228" s="175" t="s">
        <v>2212</v>
      </c>
      <c r="AC228" s="3" t="s">
        <v>2064</v>
      </c>
    </row>
    <row r="229" spans="1:29" x14ac:dyDescent="0.3">
      <c r="A229" s="4" t="s">
        <v>1087</v>
      </c>
      <c r="B229" s="3" t="s">
        <v>256</v>
      </c>
      <c r="C229" s="2">
        <v>15272</v>
      </c>
      <c r="D229" s="2">
        <v>100</v>
      </c>
      <c r="F229" s="2">
        <v>0</v>
      </c>
      <c r="G229" s="2">
        <v>0</v>
      </c>
      <c r="H229" s="2">
        <v>0</v>
      </c>
      <c r="I229" s="2">
        <v>10</v>
      </c>
      <c r="J229" s="2">
        <v>0</v>
      </c>
      <c r="K229" s="2">
        <v>0</v>
      </c>
      <c r="L229" s="2">
        <v>0</v>
      </c>
      <c r="M229" s="2">
        <v>0</v>
      </c>
      <c r="N229" s="2">
        <v>0</v>
      </c>
      <c r="O229" s="2">
        <v>0</v>
      </c>
      <c r="P229" s="2">
        <v>20</v>
      </c>
      <c r="Q229" s="2">
        <v>0</v>
      </c>
      <c r="R229" s="274">
        <v>367</v>
      </c>
      <c r="S229" s="253">
        <f t="shared" ref="S229:S235" si="8" xml:space="preserve"> 12</f>
        <v>12</v>
      </c>
      <c r="T229" s="254">
        <f>SUM( tabConsumo[[#This Row],[QTD.PENDENTE]]:tabConsumo[[#This Row],[07_23]] ) / tabConsumo[[#This Row],[Div]]</f>
        <v>2.5</v>
      </c>
      <c r="U229" s="255">
        <f xml:space="preserve"> tabConsumo[[#This Row],[Média.A]] + (_xlfn.STDEV.S( tabConsumo[[#This Row],[QTD.PENDENTE]]:tabConsumo[[#This Row],[07_23]] ) * 1)</f>
        <v>8.7158156050806106</v>
      </c>
      <c r="V229" s="255">
        <f xml:space="preserve"> tabConsumo[[#This Row],[Média.A]] + (_xlfn.STDEV.S( tabConsumo[[#This Row],[QTD.PENDENTE]]:tabConsumo[[#This Row],[07_23]] ) * 2)</f>
        <v>14.931631210161221</v>
      </c>
      <c r="W229" s="255">
        <f xml:space="preserve"> tabConsumo[[#This Row],[Média.A]] + (_xlfn.STDEV.S( tabConsumo[[#This Row],[QTD.PENDENTE]]:tabConsumo[[#This Row],[07_23]] ) * 3)</f>
        <v>21.147446815241832</v>
      </c>
      <c r="X229" s="5">
        <f t="shared" si="7"/>
        <v>2</v>
      </c>
      <c r="Y229">
        <v>2</v>
      </c>
      <c r="Z229" s="257">
        <f>SUM( tabConsumo[[#This Row],[QTD.PENDENTE]]:tabConsumo[[#This Row],[07_23]] )</f>
        <v>30</v>
      </c>
      <c r="AA229" s="257">
        <f>LARGE(tabConsumo[[#This Row],[08_22]:[07_23]],1)</f>
        <v>20</v>
      </c>
      <c r="AB229" s="175" t="s">
        <v>2212</v>
      </c>
      <c r="AC229" s="3" t="s">
        <v>2064</v>
      </c>
    </row>
    <row r="230" spans="1:29" x14ac:dyDescent="0.3">
      <c r="A230" s="4" t="s">
        <v>1091</v>
      </c>
      <c r="B230" s="3" t="s">
        <v>256</v>
      </c>
      <c r="C230" s="2">
        <v>15465</v>
      </c>
      <c r="D230" s="2">
        <v>135</v>
      </c>
      <c r="F230" s="2">
        <v>0</v>
      </c>
      <c r="G230" s="2">
        <v>4</v>
      </c>
      <c r="H230" s="2">
        <v>0</v>
      </c>
      <c r="I230" s="2">
        <v>0</v>
      </c>
      <c r="J230" s="2">
        <v>0</v>
      </c>
      <c r="K230" s="2">
        <v>0</v>
      </c>
      <c r="L230" s="2">
        <v>0</v>
      </c>
      <c r="M230" s="2">
        <v>10</v>
      </c>
      <c r="N230" s="2">
        <v>0</v>
      </c>
      <c r="O230" s="2">
        <v>0</v>
      </c>
      <c r="P230" s="2">
        <v>20</v>
      </c>
      <c r="Q230" s="2">
        <v>0</v>
      </c>
      <c r="R230" s="274">
        <v>367</v>
      </c>
      <c r="S230" s="253">
        <f t="shared" si="8"/>
        <v>12</v>
      </c>
      <c r="T230" s="254">
        <f>SUM( tabConsumo[[#This Row],[QTD.PENDENTE]]:tabConsumo[[#This Row],[07_23]] ) / tabConsumo[[#This Row],[Div]]</f>
        <v>2.8333333333333335</v>
      </c>
      <c r="U230" s="255">
        <f xml:space="preserve"> tabConsumo[[#This Row],[Média.A]] + (_xlfn.STDEV.S( tabConsumo[[#This Row],[QTD.PENDENTE]]:tabConsumo[[#This Row],[07_23]] ) * 1)</f>
        <v>9.0100246119642442</v>
      </c>
      <c r="V230" s="255">
        <f xml:space="preserve"> tabConsumo[[#This Row],[Média.A]] + (_xlfn.STDEV.S( tabConsumo[[#This Row],[QTD.PENDENTE]]:tabConsumo[[#This Row],[07_23]] ) * 2)</f>
        <v>15.186715890595156</v>
      </c>
      <c r="W230" s="255">
        <f xml:space="preserve"> tabConsumo[[#This Row],[Média.A]] + (_xlfn.STDEV.S( tabConsumo[[#This Row],[QTD.PENDENTE]]:tabConsumo[[#This Row],[07_23]] ) * 3)</f>
        <v>21.363407169226065</v>
      </c>
      <c r="X230" s="5">
        <f t="shared" si="7"/>
        <v>2</v>
      </c>
      <c r="Y230">
        <v>2.4166666666666665</v>
      </c>
      <c r="Z230" s="257">
        <f>SUM( tabConsumo[[#This Row],[QTD.PENDENTE]]:tabConsumo[[#This Row],[07_23]] )</f>
        <v>34</v>
      </c>
      <c r="AA230" s="257">
        <f>LARGE(tabConsumo[[#This Row],[08_22]:[07_23]],1)</f>
        <v>20</v>
      </c>
      <c r="AB230" s="175" t="s">
        <v>2212</v>
      </c>
      <c r="AC230" s="3" t="s">
        <v>2064</v>
      </c>
    </row>
    <row r="231" spans="1:29" x14ac:dyDescent="0.3">
      <c r="A231" s="4" t="s">
        <v>1092</v>
      </c>
      <c r="B231" s="3" t="s">
        <v>256</v>
      </c>
      <c r="C231" s="2">
        <v>15466</v>
      </c>
      <c r="D231" s="2">
        <v>192</v>
      </c>
      <c r="F231" s="2">
        <v>0</v>
      </c>
      <c r="G231" s="2">
        <v>0</v>
      </c>
      <c r="H231" s="2">
        <v>4</v>
      </c>
      <c r="I231" s="2">
        <v>0</v>
      </c>
      <c r="J231" s="2">
        <v>0</v>
      </c>
      <c r="K231" s="2">
        <v>0</v>
      </c>
      <c r="L231" s="2">
        <v>0</v>
      </c>
      <c r="M231" s="2">
        <v>0</v>
      </c>
      <c r="N231" s="2">
        <v>0</v>
      </c>
      <c r="O231" s="2">
        <v>15</v>
      </c>
      <c r="P231" s="2">
        <v>20</v>
      </c>
      <c r="Q231" s="2">
        <v>0</v>
      </c>
      <c r="R231" s="274">
        <v>367</v>
      </c>
      <c r="S231" s="253">
        <f t="shared" si="8"/>
        <v>12</v>
      </c>
      <c r="T231" s="254">
        <f>SUM( tabConsumo[[#This Row],[QTD.PENDENTE]]:tabConsumo[[#This Row],[07_23]] ) / tabConsumo[[#This Row],[Div]]</f>
        <v>3.25</v>
      </c>
      <c r="U231" s="255">
        <f xml:space="preserve"> tabConsumo[[#This Row],[Média.A]] + (_xlfn.STDEV.S( tabConsumo[[#This Row],[QTD.PENDENTE]]:tabConsumo[[#This Row],[07_23]] ) * 1)</f>
        <v>10.087397165588673</v>
      </c>
      <c r="V231" s="255">
        <f xml:space="preserve"> tabConsumo[[#This Row],[Média.A]] + (_xlfn.STDEV.S( tabConsumo[[#This Row],[QTD.PENDENTE]]:tabConsumo[[#This Row],[07_23]] ) * 2)</f>
        <v>16.924794331177345</v>
      </c>
      <c r="W231" s="255">
        <f xml:space="preserve"> tabConsumo[[#This Row],[Média.A]] + (_xlfn.STDEV.S( tabConsumo[[#This Row],[QTD.PENDENTE]]:tabConsumo[[#This Row],[07_23]] ) * 3)</f>
        <v>23.762191496766015</v>
      </c>
      <c r="X231" s="5">
        <f t="shared" si="7"/>
        <v>2</v>
      </c>
      <c r="Y231">
        <v>2.9166666666666665</v>
      </c>
      <c r="Z231" s="257">
        <f>SUM( tabConsumo[[#This Row],[QTD.PENDENTE]]:tabConsumo[[#This Row],[07_23]] )</f>
        <v>39</v>
      </c>
      <c r="AA231" s="257">
        <f>LARGE(tabConsumo[[#This Row],[08_22]:[07_23]],1)</f>
        <v>20</v>
      </c>
      <c r="AB231" s="175" t="s">
        <v>2212</v>
      </c>
      <c r="AC231" s="3" t="s">
        <v>2064</v>
      </c>
    </row>
    <row r="232" spans="1:29" x14ac:dyDescent="0.3">
      <c r="A232" s="4" t="s">
        <v>1094</v>
      </c>
      <c r="B232" s="3" t="s">
        <v>256</v>
      </c>
      <c r="C232" s="2">
        <v>15469</v>
      </c>
      <c r="D232" s="2">
        <v>75</v>
      </c>
      <c r="F232" s="2">
        <v>0</v>
      </c>
      <c r="G232" s="2">
        <v>4</v>
      </c>
      <c r="H232" s="2">
        <v>0</v>
      </c>
      <c r="I232" s="2">
        <v>0</v>
      </c>
      <c r="J232" s="2">
        <v>0</v>
      </c>
      <c r="K232" s="2">
        <v>3</v>
      </c>
      <c r="L232" s="2">
        <v>0</v>
      </c>
      <c r="M232" s="2">
        <v>0</v>
      </c>
      <c r="N232" s="2">
        <v>0</v>
      </c>
      <c r="O232" s="2">
        <v>15</v>
      </c>
      <c r="P232" s="2">
        <v>26</v>
      </c>
      <c r="Q232" s="2">
        <v>0</v>
      </c>
      <c r="R232" s="274">
        <v>367</v>
      </c>
      <c r="S232" s="253">
        <f t="shared" si="8"/>
        <v>12</v>
      </c>
      <c r="T232" s="254">
        <f>SUM( tabConsumo[[#This Row],[QTD.PENDENTE]]:tabConsumo[[#This Row],[07_23]] ) / tabConsumo[[#This Row],[Div]]</f>
        <v>4</v>
      </c>
      <c r="U232" s="255">
        <f xml:space="preserve"> tabConsumo[[#This Row],[Média.A]] + (_xlfn.STDEV.S( tabConsumo[[#This Row],[QTD.PENDENTE]]:tabConsumo[[#This Row],[07_23]] ) * 1)</f>
        <v>12.168676314267369</v>
      </c>
      <c r="V232" s="255">
        <f xml:space="preserve"> tabConsumo[[#This Row],[Média.A]] + (_xlfn.STDEV.S( tabConsumo[[#This Row],[QTD.PENDENTE]]:tabConsumo[[#This Row],[07_23]] ) * 2)</f>
        <v>20.337352628534738</v>
      </c>
      <c r="W232" s="255">
        <f xml:space="preserve"> tabConsumo[[#This Row],[Média.A]] + (_xlfn.STDEV.S( tabConsumo[[#This Row],[QTD.PENDENTE]]:tabConsumo[[#This Row],[07_23]] ) * 3)</f>
        <v>28.506028942802107</v>
      </c>
      <c r="X232" s="5">
        <f t="shared" si="7"/>
        <v>2</v>
      </c>
      <c r="Y232">
        <v>3.5</v>
      </c>
      <c r="Z232" s="257">
        <f>SUM( tabConsumo[[#This Row],[QTD.PENDENTE]]:tabConsumo[[#This Row],[07_23]] )</f>
        <v>48</v>
      </c>
      <c r="AA232" s="257">
        <f>LARGE(tabConsumo[[#This Row],[08_22]:[07_23]],1)</f>
        <v>26</v>
      </c>
      <c r="AB232" s="175" t="s">
        <v>2212</v>
      </c>
      <c r="AC232" s="3" t="s">
        <v>2064</v>
      </c>
    </row>
    <row r="233" spans="1:29" x14ac:dyDescent="0.3">
      <c r="A233" s="4" t="s">
        <v>1095</v>
      </c>
      <c r="B233" s="3" t="s">
        <v>256</v>
      </c>
      <c r="C233" s="2">
        <v>15473</v>
      </c>
      <c r="D233" s="2">
        <v>74</v>
      </c>
      <c r="F233" s="2">
        <v>0</v>
      </c>
      <c r="G233" s="2">
        <v>0</v>
      </c>
      <c r="H233" s="2">
        <v>0</v>
      </c>
      <c r="I233" s="2">
        <v>0</v>
      </c>
      <c r="J233" s="2">
        <v>0</v>
      </c>
      <c r="K233" s="2">
        <v>0</v>
      </c>
      <c r="L233" s="2">
        <v>0</v>
      </c>
      <c r="M233" s="2">
        <v>0</v>
      </c>
      <c r="N233" s="2">
        <v>0</v>
      </c>
      <c r="O233" s="2">
        <v>0</v>
      </c>
      <c r="P233" s="2">
        <v>24</v>
      </c>
      <c r="Q233" s="2">
        <v>0</v>
      </c>
      <c r="R233" s="274">
        <v>367</v>
      </c>
      <c r="S233" s="253">
        <f t="shared" si="8"/>
        <v>12</v>
      </c>
      <c r="T233" s="254">
        <f>SUM( tabConsumo[[#This Row],[QTD.PENDENTE]]:tabConsumo[[#This Row],[07_23]] ) / tabConsumo[[#This Row],[Div]]</f>
        <v>2</v>
      </c>
      <c r="U233" s="255">
        <f xml:space="preserve"> tabConsumo[[#This Row],[Média.A]] + (_xlfn.STDEV.S( tabConsumo[[#This Row],[QTD.PENDENTE]]:tabConsumo[[#This Row],[07_23]] ) * 1)</f>
        <v>8.9282032302755088</v>
      </c>
      <c r="V233" s="255">
        <f xml:space="preserve"> tabConsumo[[#This Row],[Média.A]] + (_xlfn.STDEV.S( tabConsumo[[#This Row],[QTD.PENDENTE]]:tabConsumo[[#This Row],[07_23]] ) * 2)</f>
        <v>15.856406460551018</v>
      </c>
      <c r="W233" s="255">
        <f xml:space="preserve"> tabConsumo[[#This Row],[Média.A]] + (_xlfn.STDEV.S( tabConsumo[[#This Row],[QTD.PENDENTE]]:tabConsumo[[#This Row],[07_23]] ) * 3)</f>
        <v>22.784609690826528</v>
      </c>
      <c r="X233" s="5">
        <f t="shared" si="7"/>
        <v>2</v>
      </c>
      <c r="Y233">
        <v>1.25</v>
      </c>
      <c r="Z233" s="257">
        <f>SUM( tabConsumo[[#This Row],[QTD.PENDENTE]]:tabConsumo[[#This Row],[07_23]] )</f>
        <v>24</v>
      </c>
      <c r="AA233" s="257">
        <f>LARGE(tabConsumo[[#This Row],[08_22]:[07_23]],1)</f>
        <v>24</v>
      </c>
      <c r="AB233" s="175" t="s">
        <v>2212</v>
      </c>
      <c r="AC233" s="3" t="s">
        <v>2064</v>
      </c>
    </row>
    <row r="234" spans="1:29" x14ac:dyDescent="0.3">
      <c r="A234" s="4" t="s">
        <v>1093</v>
      </c>
      <c r="B234" s="3" t="s">
        <v>256</v>
      </c>
      <c r="C234" s="2">
        <v>15467</v>
      </c>
      <c r="D234" s="2">
        <v>37</v>
      </c>
      <c r="F234" s="2">
        <v>0</v>
      </c>
      <c r="G234" s="2">
        <v>0</v>
      </c>
      <c r="H234" s="2">
        <v>0</v>
      </c>
      <c r="I234" s="2">
        <v>0</v>
      </c>
      <c r="J234" s="2">
        <v>0</v>
      </c>
      <c r="K234" s="2">
        <v>3</v>
      </c>
      <c r="L234" s="2">
        <v>0</v>
      </c>
      <c r="M234" s="2">
        <v>0</v>
      </c>
      <c r="N234" s="2">
        <v>0</v>
      </c>
      <c r="O234" s="2">
        <v>0</v>
      </c>
      <c r="P234" s="2">
        <v>23</v>
      </c>
      <c r="Q234" s="2">
        <v>0</v>
      </c>
      <c r="R234" s="274">
        <v>367</v>
      </c>
      <c r="S234" s="253">
        <f t="shared" si="8"/>
        <v>12</v>
      </c>
      <c r="T234" s="254">
        <f>SUM( tabConsumo[[#This Row],[QTD.PENDENTE]]:tabConsumo[[#This Row],[07_23]] ) / tabConsumo[[#This Row],[Div]]</f>
        <v>2.1666666666666665</v>
      </c>
      <c r="U234" s="255">
        <f xml:space="preserve"> tabConsumo[[#This Row],[Média.A]] + (_xlfn.STDEV.S( tabConsumo[[#This Row],[QTD.PENDENTE]]:tabConsumo[[#This Row],[07_23]] ) * 1)</f>
        <v>8.7839076920396124</v>
      </c>
      <c r="V234" s="255">
        <f xml:space="preserve"> tabConsumo[[#This Row],[Média.A]] + (_xlfn.STDEV.S( tabConsumo[[#This Row],[QTD.PENDENTE]]:tabConsumo[[#This Row],[07_23]] ) * 2)</f>
        <v>15.401148717412557</v>
      </c>
      <c r="W234" s="255">
        <f xml:space="preserve"> tabConsumo[[#This Row],[Média.A]] + (_xlfn.STDEV.S( tabConsumo[[#This Row],[QTD.PENDENTE]]:tabConsumo[[#This Row],[07_23]] ) * 3)</f>
        <v>22.018389742785505</v>
      </c>
      <c r="X234" s="5">
        <f t="shared" si="7"/>
        <v>2</v>
      </c>
      <c r="Y234">
        <v>1.5</v>
      </c>
      <c r="Z234" s="257">
        <f>SUM( tabConsumo[[#This Row],[QTD.PENDENTE]]:tabConsumo[[#This Row],[07_23]] )</f>
        <v>26</v>
      </c>
      <c r="AA234" s="257">
        <f>LARGE(tabConsumo[[#This Row],[08_22]:[07_23]],1)</f>
        <v>23</v>
      </c>
      <c r="AB234" s="175" t="s">
        <v>2212</v>
      </c>
      <c r="AC234" s="3" t="s">
        <v>2064</v>
      </c>
    </row>
    <row r="235" spans="1:29" x14ac:dyDescent="0.3">
      <c r="A235" s="4" t="s">
        <v>1096</v>
      </c>
      <c r="B235" s="3" t="s">
        <v>256</v>
      </c>
      <c r="C235" s="2">
        <v>15475</v>
      </c>
      <c r="D235" s="2">
        <v>132</v>
      </c>
      <c r="F235" s="2">
        <v>0</v>
      </c>
      <c r="G235" s="2">
        <v>0</v>
      </c>
      <c r="H235" s="2">
        <v>0</v>
      </c>
      <c r="I235" s="2">
        <v>0</v>
      </c>
      <c r="J235" s="2">
        <v>0</v>
      </c>
      <c r="K235" s="2">
        <v>0</v>
      </c>
      <c r="L235" s="2">
        <v>0</v>
      </c>
      <c r="M235" s="2">
        <v>0</v>
      </c>
      <c r="N235" s="2">
        <v>0</v>
      </c>
      <c r="O235" s="2">
        <v>0</v>
      </c>
      <c r="P235" s="2">
        <v>20</v>
      </c>
      <c r="Q235" s="2">
        <v>10</v>
      </c>
      <c r="R235" s="274">
        <v>367</v>
      </c>
      <c r="S235" s="253">
        <f t="shared" si="8"/>
        <v>12</v>
      </c>
      <c r="T235" s="254">
        <f>SUM( tabConsumo[[#This Row],[QTD.PENDENTE]]:tabConsumo[[#This Row],[07_23]] ) / tabConsumo[[#This Row],[Div]]</f>
        <v>2.5</v>
      </c>
      <c r="U235" s="255">
        <f xml:space="preserve"> tabConsumo[[#This Row],[Média.A]] + (_xlfn.STDEV.S( tabConsumo[[#This Row],[QTD.PENDENTE]]:tabConsumo[[#This Row],[07_23]] ) * 1)</f>
        <v>8.7158156050806106</v>
      </c>
      <c r="V235" s="255">
        <f xml:space="preserve"> tabConsumo[[#This Row],[Média.A]] + (_xlfn.STDEV.S( tabConsumo[[#This Row],[QTD.PENDENTE]]:tabConsumo[[#This Row],[07_23]] ) * 2)</f>
        <v>14.931631210161221</v>
      </c>
      <c r="W235" s="255">
        <f xml:space="preserve"> tabConsumo[[#This Row],[Média.A]] + (_xlfn.STDEV.S( tabConsumo[[#This Row],[QTD.PENDENTE]]:tabConsumo[[#This Row],[07_23]] ) * 3)</f>
        <v>21.147446815241832</v>
      </c>
      <c r="X235" s="5">
        <f t="shared" si="7"/>
        <v>2</v>
      </c>
      <c r="Y235">
        <v>2</v>
      </c>
      <c r="Z235" s="257">
        <f>SUM( tabConsumo[[#This Row],[QTD.PENDENTE]]:tabConsumo[[#This Row],[07_23]] )</f>
        <v>30</v>
      </c>
      <c r="AA235" s="257">
        <f>LARGE(tabConsumo[[#This Row],[08_22]:[07_23]],1)</f>
        <v>20</v>
      </c>
      <c r="AB235" s="175" t="s">
        <v>2211</v>
      </c>
      <c r="AC235" s="3" t="s">
        <v>2064</v>
      </c>
    </row>
    <row r="236" spans="1:29" x14ac:dyDescent="0.3">
      <c r="A236" s="4" t="s">
        <v>1454</v>
      </c>
      <c r="B236" s="3" t="s">
        <v>395</v>
      </c>
      <c r="C236" s="2">
        <v>80385</v>
      </c>
      <c r="D236" s="2">
        <v>50</v>
      </c>
      <c r="F236" s="2">
        <v>0</v>
      </c>
      <c r="G236" s="2">
        <v>0</v>
      </c>
      <c r="H236" s="2">
        <v>5</v>
      </c>
      <c r="I236" s="2">
        <v>0</v>
      </c>
      <c r="J236" s="2">
        <v>0</v>
      </c>
      <c r="K236" s="2">
        <v>0</v>
      </c>
      <c r="L236" s="2">
        <v>0</v>
      </c>
      <c r="M236" s="2">
        <v>15</v>
      </c>
      <c r="N236" s="2">
        <v>0</v>
      </c>
      <c r="O236" s="2">
        <v>10</v>
      </c>
      <c r="P236" s="2">
        <v>0</v>
      </c>
      <c r="Q236" s="2">
        <v>0</v>
      </c>
      <c r="R236" s="274">
        <v>38169</v>
      </c>
      <c r="S236" s="253">
        <v>12</v>
      </c>
      <c r="T236" s="254">
        <f>SUM( tabConsumo[[#This Row],[QTD.PENDENTE]]:tabConsumo[[#This Row],[07_23]] ) / tabConsumo[[#This Row],[Div]]</f>
        <v>2.5</v>
      </c>
      <c r="U236" s="255">
        <f xml:space="preserve"> tabConsumo[[#This Row],[Média.A]] + (_xlfn.STDEV.S( tabConsumo[[#This Row],[QTD.PENDENTE]]:tabConsumo[[#This Row],[07_23]] ) * 1)</f>
        <v>7.5</v>
      </c>
      <c r="V236" s="255">
        <f xml:space="preserve"> tabConsumo[[#This Row],[Média.A]] + (_xlfn.STDEV.S( tabConsumo[[#This Row],[QTD.PENDENTE]]:tabConsumo[[#This Row],[07_23]] ) * 2)</f>
        <v>12.5</v>
      </c>
      <c r="W236" s="255">
        <f xml:space="preserve"> tabConsumo[[#This Row],[Média.A]] + (_xlfn.STDEV.S( tabConsumo[[#This Row],[QTD.PENDENTE]]:tabConsumo[[#This Row],[07_23]] ) * 3)</f>
        <v>17.5</v>
      </c>
      <c r="X236" s="5">
        <f t="shared" si="7"/>
        <v>2</v>
      </c>
      <c r="Y236">
        <v>2.25</v>
      </c>
      <c r="Z236" s="257">
        <f>SUM( tabConsumo[[#This Row],[QTD.PENDENTE]]:tabConsumo[[#This Row],[07_23]] )</f>
        <v>30</v>
      </c>
      <c r="AA236" s="257">
        <f>LARGE(tabConsumo[[#This Row],[08_22]:[07_23]],1)</f>
        <v>15</v>
      </c>
      <c r="AB236" s="175" t="s">
        <v>2214</v>
      </c>
      <c r="AC236" s="3" t="s">
        <v>2064</v>
      </c>
    </row>
    <row r="237" spans="1:29" x14ac:dyDescent="0.3">
      <c r="A237" s="4" t="s">
        <v>2022</v>
      </c>
      <c r="B237" s="3" t="s">
        <v>395</v>
      </c>
      <c r="C237" s="2">
        <v>141430</v>
      </c>
      <c r="D237" s="2">
        <v>90</v>
      </c>
      <c r="F237" s="2">
        <v>14</v>
      </c>
      <c r="G237" s="2">
        <v>1</v>
      </c>
      <c r="H237" s="2">
        <v>2</v>
      </c>
      <c r="I237" s="2">
        <v>2</v>
      </c>
      <c r="J237" s="2">
        <v>3</v>
      </c>
      <c r="K237" s="2">
        <v>0</v>
      </c>
      <c r="L237" s="2">
        <v>10</v>
      </c>
      <c r="M237" s="2">
        <v>8</v>
      </c>
      <c r="N237" s="2">
        <v>31</v>
      </c>
      <c r="O237" s="2">
        <v>0</v>
      </c>
      <c r="P237" s="2">
        <v>32</v>
      </c>
      <c r="Q237" s="2">
        <v>0</v>
      </c>
      <c r="R237" s="274">
        <v>44362</v>
      </c>
      <c r="S237" s="253">
        <v>12</v>
      </c>
      <c r="T237" s="254">
        <f>SUM( tabConsumo[[#This Row],[QTD.PENDENTE]]:tabConsumo[[#This Row],[07_23]] ) / tabConsumo[[#This Row],[Div]]</f>
        <v>8.5833333333333339</v>
      </c>
      <c r="U237" s="255">
        <f xml:space="preserve"> tabConsumo[[#This Row],[Média.A]] + (_xlfn.STDEV.S( tabConsumo[[#This Row],[QTD.PENDENTE]]:tabConsumo[[#This Row],[07_23]] ) * 1)</f>
        <v>20.178460313964884</v>
      </c>
      <c r="V237" s="255">
        <f xml:space="preserve"> tabConsumo[[#This Row],[Média.A]] + (_xlfn.STDEV.S( tabConsumo[[#This Row],[QTD.PENDENTE]]:tabConsumo[[#This Row],[07_23]] ) * 2)</f>
        <v>31.773587294596432</v>
      </c>
      <c r="W237" s="255">
        <f xml:space="preserve"> tabConsumo[[#This Row],[Média.A]] + (_xlfn.STDEV.S( tabConsumo[[#This Row],[QTD.PENDENTE]]:tabConsumo[[#This Row],[07_23]] ) * 3)</f>
        <v>43.36871427522798</v>
      </c>
      <c r="X237" s="5">
        <f t="shared" si="7"/>
        <v>2</v>
      </c>
      <c r="Y237">
        <v>8.5</v>
      </c>
      <c r="Z237" s="257">
        <f>SUM( tabConsumo[[#This Row],[QTD.PENDENTE]]:tabConsumo[[#This Row],[07_23]] )</f>
        <v>103</v>
      </c>
      <c r="AA237" s="257">
        <f>LARGE(tabConsumo[[#This Row],[08_22]:[07_23]],1)</f>
        <v>32</v>
      </c>
      <c r="AB237" s="175" t="s">
        <v>2212</v>
      </c>
      <c r="AC237" s="3" t="s">
        <v>2064</v>
      </c>
    </row>
    <row r="238" spans="1:29" x14ac:dyDescent="0.3">
      <c r="A238" s="4" t="s">
        <v>1178</v>
      </c>
      <c r="B238" s="3" t="s">
        <v>395</v>
      </c>
      <c r="C238" s="2">
        <v>23676</v>
      </c>
      <c r="D238" s="2">
        <v>2131</v>
      </c>
      <c r="F238" s="2">
        <v>0</v>
      </c>
      <c r="G238" s="2">
        <v>20</v>
      </c>
      <c r="H238" s="2">
        <v>170</v>
      </c>
      <c r="I238" s="2">
        <v>370</v>
      </c>
      <c r="J238" s="2">
        <v>24</v>
      </c>
      <c r="K238" s="2">
        <v>75</v>
      </c>
      <c r="L238" s="2">
        <v>160</v>
      </c>
      <c r="M238" s="2">
        <v>420</v>
      </c>
      <c r="N238" s="2">
        <v>172</v>
      </c>
      <c r="O238" s="2">
        <v>250</v>
      </c>
      <c r="P238" s="2">
        <v>150</v>
      </c>
      <c r="Q238" s="2">
        <v>1820</v>
      </c>
      <c r="R238" s="274">
        <v>367</v>
      </c>
      <c r="S238" s="253">
        <f xml:space="preserve"> 12</f>
        <v>12</v>
      </c>
      <c r="T238" s="254">
        <f>SUM( tabConsumo[[#This Row],[QTD.PENDENTE]]:tabConsumo[[#This Row],[07_23]] ) / tabConsumo[[#This Row],[Div]]</f>
        <v>302.58333333333331</v>
      </c>
      <c r="U238" s="255">
        <f xml:space="preserve"> tabConsumo[[#This Row],[Média.A]] + (_xlfn.STDEV.S( tabConsumo[[#This Row],[QTD.PENDENTE]]:tabConsumo[[#This Row],[07_23]] ) * 1)</f>
        <v>798.26513345282228</v>
      </c>
      <c r="V238" s="255">
        <f xml:space="preserve"> tabConsumo[[#This Row],[Média.A]] + (_xlfn.STDEV.S( tabConsumo[[#This Row],[QTD.PENDENTE]]:tabConsumo[[#This Row],[07_23]] ) * 2)</f>
        <v>1293.9469335723113</v>
      </c>
      <c r="W238" s="255">
        <f xml:space="preserve"> tabConsumo[[#This Row],[Média.A]] + (_xlfn.STDEV.S( tabConsumo[[#This Row],[QTD.PENDENTE]]:tabConsumo[[#This Row],[07_23]] ) * 3)</f>
        <v>1789.6287336918001</v>
      </c>
      <c r="X238" s="5">
        <f t="shared" si="7"/>
        <v>2</v>
      </c>
      <c r="Y238">
        <v>258.66666666666669</v>
      </c>
      <c r="Z238" s="257">
        <f>SUM( tabConsumo[[#This Row],[QTD.PENDENTE]]:tabConsumo[[#This Row],[07_23]] )</f>
        <v>3631</v>
      </c>
      <c r="AA238" s="257">
        <f>LARGE(tabConsumo[[#This Row],[08_22]:[07_23]],1)</f>
        <v>1820</v>
      </c>
      <c r="AB238" s="175" t="s">
        <v>2211</v>
      </c>
      <c r="AC238" s="3" t="s">
        <v>2064</v>
      </c>
    </row>
    <row r="239" spans="1:29" x14ac:dyDescent="0.3">
      <c r="A239" s="4" t="s">
        <v>2030</v>
      </c>
      <c r="B239" s="3" t="s">
        <v>256</v>
      </c>
      <c r="C239" s="2">
        <v>142982</v>
      </c>
      <c r="D239" s="2">
        <v>0</v>
      </c>
      <c r="E239" s="2">
        <v>16</v>
      </c>
      <c r="F239" s="2">
        <v>4</v>
      </c>
      <c r="G239" s="2">
        <v>4</v>
      </c>
      <c r="H239" s="2">
        <v>6</v>
      </c>
      <c r="I239" s="2">
        <v>16</v>
      </c>
      <c r="J239" s="2">
        <v>6</v>
      </c>
      <c r="K239" s="2">
        <v>14</v>
      </c>
      <c r="L239" s="2">
        <v>4</v>
      </c>
      <c r="M239" s="2">
        <v>16</v>
      </c>
      <c r="N239" s="2">
        <v>5</v>
      </c>
      <c r="O239" s="2">
        <v>0</v>
      </c>
      <c r="P239" s="2">
        <v>0</v>
      </c>
      <c r="Q239" s="2">
        <v>4</v>
      </c>
      <c r="R239" s="274">
        <v>44428</v>
      </c>
      <c r="S239" s="253">
        <v>12</v>
      </c>
      <c r="T239" s="254">
        <f>SUM( tabConsumo[[#This Row],[QTD.PENDENTE]]:tabConsumo[[#This Row],[07_23]] ) / tabConsumo[[#This Row],[Div]]</f>
        <v>7.916666666666667</v>
      </c>
      <c r="U239" s="255">
        <f xml:space="preserve"> tabConsumo[[#This Row],[Média.A]] + (_xlfn.STDEV.S( tabConsumo[[#This Row],[QTD.PENDENTE]]:tabConsumo[[#This Row],[07_23]] ) * 1)</f>
        <v>13.908113561819448</v>
      </c>
      <c r="V239" s="255">
        <f xml:space="preserve"> tabConsumo[[#This Row],[Média.A]] + (_xlfn.STDEV.S( tabConsumo[[#This Row],[QTD.PENDENTE]]:tabConsumo[[#This Row],[07_23]] ) * 2)</f>
        <v>19.899560456972228</v>
      </c>
      <c r="W239" s="255">
        <f xml:space="preserve"> tabConsumo[[#This Row],[Média.A]] + (_xlfn.STDEV.S( tabConsumo[[#This Row],[QTD.PENDENTE]]:tabConsumo[[#This Row],[07_23]] ) * 3)</f>
        <v>25.891007352125008</v>
      </c>
      <c r="X239" s="5">
        <f t="shared" si="7"/>
        <v>2</v>
      </c>
      <c r="Y239">
        <v>7.916666666666667</v>
      </c>
      <c r="Z239" s="257">
        <f>SUM( tabConsumo[[#This Row],[QTD.PENDENTE]]:tabConsumo[[#This Row],[07_23]] )</f>
        <v>95</v>
      </c>
      <c r="AA239" s="257">
        <f>LARGE(tabConsumo[[#This Row],[08_22]:[07_23]],1)</f>
        <v>16</v>
      </c>
      <c r="AB239" s="175" t="s">
        <v>2211</v>
      </c>
      <c r="AC239" s="3" t="s">
        <v>2064</v>
      </c>
    </row>
    <row r="240" spans="1:29" x14ac:dyDescent="0.3">
      <c r="A240" s="4" t="s">
        <v>1642</v>
      </c>
      <c r="B240" s="3" t="s">
        <v>256</v>
      </c>
      <c r="C240" s="2">
        <v>107790</v>
      </c>
      <c r="D240" s="2">
        <v>141</v>
      </c>
      <c r="F240" s="2">
        <v>15</v>
      </c>
      <c r="G240" s="2">
        <v>16</v>
      </c>
      <c r="H240" s="2">
        <v>11</v>
      </c>
      <c r="I240" s="2">
        <v>5</v>
      </c>
      <c r="J240" s="2">
        <v>8</v>
      </c>
      <c r="K240" s="2">
        <v>16</v>
      </c>
      <c r="L240" s="2">
        <v>29</v>
      </c>
      <c r="M240" s="2">
        <v>38</v>
      </c>
      <c r="N240" s="2">
        <v>31</v>
      </c>
      <c r="O240" s="2">
        <v>0</v>
      </c>
      <c r="P240" s="2">
        <v>0</v>
      </c>
      <c r="Q240" s="2">
        <v>0</v>
      </c>
      <c r="R240" s="274">
        <v>39700</v>
      </c>
      <c r="S240" s="253">
        <v>12</v>
      </c>
      <c r="T240" s="254">
        <f>SUM( tabConsumo[[#This Row],[QTD.PENDENTE]]:tabConsumo[[#This Row],[07_23]] ) / tabConsumo[[#This Row],[Div]]</f>
        <v>14.083333333333334</v>
      </c>
      <c r="U240" s="255">
        <f xml:space="preserve"> tabConsumo[[#This Row],[Média.A]] + (_xlfn.STDEV.S( tabConsumo[[#This Row],[QTD.PENDENTE]]:tabConsumo[[#This Row],[07_23]] ) * 1)</f>
        <v>26.921191646175316</v>
      </c>
      <c r="V240" s="255">
        <f xml:space="preserve"> tabConsumo[[#This Row],[Média.A]] + (_xlfn.STDEV.S( tabConsumo[[#This Row],[QTD.PENDENTE]]:tabConsumo[[#This Row],[07_23]] ) * 2)</f>
        <v>39.759049959017304</v>
      </c>
      <c r="W240" s="255">
        <f xml:space="preserve"> tabConsumo[[#This Row],[Média.A]] + (_xlfn.STDEV.S( tabConsumo[[#This Row],[QTD.PENDENTE]]:tabConsumo[[#This Row],[07_23]] ) * 3)</f>
        <v>52.596908271859284</v>
      </c>
      <c r="X240" s="5">
        <f t="shared" si="7"/>
        <v>2</v>
      </c>
      <c r="Y240">
        <v>14.083333333333334</v>
      </c>
      <c r="Z240" s="257">
        <f>SUM( tabConsumo[[#This Row],[QTD.PENDENTE]]:tabConsumo[[#This Row],[07_23]] )</f>
        <v>169</v>
      </c>
      <c r="AA240" s="257">
        <f>LARGE(tabConsumo[[#This Row],[08_22]:[07_23]],1)</f>
        <v>38</v>
      </c>
      <c r="AB240" s="175" t="s">
        <v>2213</v>
      </c>
      <c r="AC240" s="3" t="s">
        <v>2064</v>
      </c>
    </row>
    <row r="241" spans="1:29" x14ac:dyDescent="0.3">
      <c r="A241" s="4" t="s">
        <v>948</v>
      </c>
      <c r="B241" s="3" t="s">
        <v>268</v>
      </c>
      <c r="C241" s="2">
        <v>12654</v>
      </c>
      <c r="D241" s="2">
        <v>85443</v>
      </c>
      <c r="E241" s="2">
        <v>239</v>
      </c>
      <c r="F241" s="2">
        <v>6859</v>
      </c>
      <c r="G241" s="2">
        <v>7001</v>
      </c>
      <c r="H241" s="2">
        <v>6790</v>
      </c>
      <c r="I241" s="2">
        <v>7714</v>
      </c>
      <c r="J241" s="2">
        <v>5656</v>
      </c>
      <c r="K241" s="2">
        <v>5749</v>
      </c>
      <c r="L241" s="2">
        <v>6917</v>
      </c>
      <c r="M241" s="2">
        <v>13289</v>
      </c>
      <c r="N241" s="2">
        <v>8771</v>
      </c>
      <c r="O241" s="2">
        <v>10798</v>
      </c>
      <c r="P241" s="2">
        <v>9680</v>
      </c>
      <c r="Q241" s="2">
        <v>7426</v>
      </c>
      <c r="R241" s="274">
        <v>367</v>
      </c>
      <c r="S241" s="253">
        <f xml:space="preserve"> 12</f>
        <v>12</v>
      </c>
      <c r="T241" s="254">
        <f>SUM( tabConsumo[[#This Row],[QTD.PENDENTE]]:tabConsumo[[#This Row],[07_23]] ) / tabConsumo[[#This Row],[Div]]</f>
        <v>8074.083333333333</v>
      </c>
      <c r="U241" s="255">
        <f xml:space="preserve"> tabConsumo[[#This Row],[Média.A]] + (_xlfn.STDEV.S( tabConsumo[[#This Row],[QTD.PENDENTE]]:tabConsumo[[#This Row],[07_23]] ) * 1)</f>
        <v>11121.924782621665</v>
      </c>
      <c r="V241" s="255">
        <f xml:space="preserve"> tabConsumo[[#This Row],[Média.A]] + (_xlfn.STDEV.S( tabConsumo[[#This Row],[QTD.PENDENTE]]:tabConsumo[[#This Row],[07_23]] ) * 2)</f>
        <v>14169.766231909998</v>
      </c>
      <c r="W241" s="255">
        <f xml:space="preserve"> tabConsumo[[#This Row],[Média.A]] + (_xlfn.STDEV.S( tabConsumo[[#This Row],[QTD.PENDENTE]]:tabConsumo[[#This Row],[07_23]] ) * 3)</f>
        <v>17217.607681198329</v>
      </c>
      <c r="X241" s="5">
        <f t="shared" si="7"/>
        <v>2</v>
      </c>
      <c r="Y241">
        <v>8074.083333333333</v>
      </c>
      <c r="Z241" s="257">
        <f>SUM( tabConsumo[[#This Row],[QTD.PENDENTE]]:tabConsumo[[#This Row],[07_23]] )</f>
        <v>96889</v>
      </c>
      <c r="AA241" s="257">
        <f>LARGE(tabConsumo[[#This Row],[08_22]:[07_23]],1)</f>
        <v>13289</v>
      </c>
      <c r="AB241" s="175" t="s">
        <v>2211</v>
      </c>
      <c r="AC241" s="3" t="s">
        <v>2064</v>
      </c>
    </row>
    <row r="242" spans="1:29" x14ac:dyDescent="0.3">
      <c r="A242" s="4" t="s">
        <v>943</v>
      </c>
      <c r="B242" s="3" t="s">
        <v>268</v>
      </c>
      <c r="C242" s="2">
        <v>12652</v>
      </c>
      <c r="D242" s="2">
        <v>401</v>
      </c>
      <c r="F242" s="2">
        <v>286</v>
      </c>
      <c r="G242" s="2">
        <v>302</v>
      </c>
      <c r="H242" s="2">
        <v>99</v>
      </c>
      <c r="I242" s="2">
        <v>790</v>
      </c>
      <c r="J242" s="2">
        <v>412</v>
      </c>
      <c r="K242" s="2">
        <v>116</v>
      </c>
      <c r="L242" s="2">
        <v>416</v>
      </c>
      <c r="M242" s="2">
        <v>1847</v>
      </c>
      <c r="N242" s="2">
        <v>1372</v>
      </c>
      <c r="O242" s="2">
        <v>1137</v>
      </c>
      <c r="P242" s="2">
        <v>1198</v>
      </c>
      <c r="Q242" s="2">
        <v>756</v>
      </c>
      <c r="R242" s="274">
        <v>367</v>
      </c>
      <c r="S242" s="253">
        <f xml:space="preserve"> 12</f>
        <v>12</v>
      </c>
      <c r="T242" s="254">
        <f>SUM( tabConsumo[[#This Row],[QTD.PENDENTE]]:tabConsumo[[#This Row],[07_23]] ) / tabConsumo[[#This Row],[Div]]</f>
        <v>727.58333333333337</v>
      </c>
      <c r="U242" s="255">
        <f xml:space="preserve"> tabConsumo[[#This Row],[Média.A]] + (_xlfn.STDEV.S( tabConsumo[[#This Row],[QTD.PENDENTE]]:tabConsumo[[#This Row],[07_23]] ) * 1)</f>
        <v>1283.8639130171232</v>
      </c>
      <c r="V242" s="255">
        <f xml:space="preserve"> tabConsumo[[#This Row],[Média.A]] + (_xlfn.STDEV.S( tabConsumo[[#This Row],[QTD.PENDENTE]]:tabConsumo[[#This Row],[07_23]] ) * 2)</f>
        <v>1840.1444927009134</v>
      </c>
      <c r="W242" s="255">
        <f xml:space="preserve"> tabConsumo[[#This Row],[Média.A]] + (_xlfn.STDEV.S( tabConsumo[[#This Row],[QTD.PENDENTE]]:tabConsumo[[#This Row],[07_23]] ) * 3)</f>
        <v>2396.4250723847031</v>
      </c>
      <c r="X242" s="5">
        <f t="shared" si="7"/>
        <v>2</v>
      </c>
      <c r="Y242">
        <v>727</v>
      </c>
      <c r="Z242" s="257">
        <f>SUM( tabConsumo[[#This Row],[QTD.PENDENTE]]:tabConsumo[[#This Row],[07_23]] )</f>
        <v>8731</v>
      </c>
      <c r="AA242" s="257">
        <f>LARGE(tabConsumo[[#This Row],[08_22]:[07_23]],1)</f>
        <v>1847</v>
      </c>
      <c r="AB242" s="175" t="s">
        <v>2211</v>
      </c>
      <c r="AC242" s="3" t="s">
        <v>2064</v>
      </c>
    </row>
    <row r="243" spans="1:29" x14ac:dyDescent="0.3">
      <c r="A243" s="4" t="s">
        <v>1464</v>
      </c>
      <c r="B243" s="3" t="s">
        <v>275</v>
      </c>
      <c r="C243" s="2">
        <v>81371</v>
      </c>
      <c r="D243" s="2">
        <v>173</v>
      </c>
      <c r="E243" s="2">
        <v>99</v>
      </c>
      <c r="F243" s="2">
        <v>174</v>
      </c>
      <c r="G243" s="2">
        <v>205</v>
      </c>
      <c r="H243" s="2">
        <v>191</v>
      </c>
      <c r="I243" s="2">
        <v>253</v>
      </c>
      <c r="J243" s="2">
        <v>137</v>
      </c>
      <c r="K243" s="2">
        <v>122</v>
      </c>
      <c r="L243" s="2">
        <v>128</v>
      </c>
      <c r="M243" s="2">
        <v>1704</v>
      </c>
      <c r="N243" s="2">
        <v>181</v>
      </c>
      <c r="O243" s="2">
        <v>255</v>
      </c>
      <c r="P243" s="2">
        <v>223</v>
      </c>
      <c r="Q243" s="2">
        <v>193</v>
      </c>
      <c r="R243" s="274">
        <v>38217</v>
      </c>
      <c r="S243" s="253">
        <v>12</v>
      </c>
      <c r="T243" s="254">
        <f>SUM( tabConsumo[[#This Row],[QTD.PENDENTE]]:tabConsumo[[#This Row],[07_23]] ) / tabConsumo[[#This Row],[Div]]</f>
        <v>322.08333333333331</v>
      </c>
      <c r="U243" s="255">
        <f xml:space="preserve"> tabConsumo[[#This Row],[Média.A]] + (_xlfn.STDEV.S( tabConsumo[[#This Row],[QTD.PENDENTE]]:tabConsumo[[#This Row],[07_23]] ) * 1)</f>
        <v>747.51593367785017</v>
      </c>
      <c r="V243" s="255">
        <f xml:space="preserve"> tabConsumo[[#This Row],[Média.A]] + (_xlfn.STDEV.S( tabConsumo[[#This Row],[QTD.PENDENTE]]:tabConsumo[[#This Row],[07_23]] ) * 2)</f>
        <v>1172.9485340223671</v>
      </c>
      <c r="W243" s="255">
        <f xml:space="preserve"> tabConsumo[[#This Row],[Média.A]] + (_xlfn.STDEV.S( tabConsumo[[#This Row],[QTD.PENDENTE]]:tabConsumo[[#This Row],[07_23]] ) * 3)</f>
        <v>1598.3811343668838</v>
      </c>
      <c r="X243" s="5">
        <f t="shared" si="7"/>
        <v>2</v>
      </c>
      <c r="Y243">
        <v>277.75</v>
      </c>
      <c r="Z243" s="257">
        <f>SUM( tabConsumo[[#This Row],[QTD.PENDENTE]]:tabConsumo[[#This Row],[07_23]] )</f>
        <v>3865</v>
      </c>
      <c r="AA243" s="257">
        <f>LARGE(tabConsumo[[#This Row],[08_22]:[07_23]],1)</f>
        <v>1704</v>
      </c>
      <c r="AB243" s="175" t="s">
        <v>2211</v>
      </c>
      <c r="AC243" s="3" t="s">
        <v>2064</v>
      </c>
    </row>
    <row r="244" spans="1:29" x14ac:dyDescent="0.3">
      <c r="A244" s="4" t="s">
        <v>1822</v>
      </c>
      <c r="B244" s="3" t="s">
        <v>275</v>
      </c>
      <c r="C244" s="2">
        <v>132400</v>
      </c>
      <c r="D244" s="2">
        <v>185</v>
      </c>
      <c r="E244" s="2">
        <v>105</v>
      </c>
      <c r="F244" s="2">
        <v>177</v>
      </c>
      <c r="G244" s="2">
        <v>205</v>
      </c>
      <c r="H244" s="2">
        <v>197</v>
      </c>
      <c r="I244" s="2">
        <v>255</v>
      </c>
      <c r="J244" s="2">
        <v>140</v>
      </c>
      <c r="K244" s="2">
        <v>125</v>
      </c>
      <c r="L244" s="2">
        <v>130</v>
      </c>
      <c r="M244" s="2">
        <v>1701</v>
      </c>
      <c r="N244" s="2">
        <v>184</v>
      </c>
      <c r="O244" s="2">
        <v>255</v>
      </c>
      <c r="P244" s="2">
        <v>223</v>
      </c>
      <c r="Q244" s="2">
        <v>191</v>
      </c>
      <c r="R244" s="274">
        <v>42765</v>
      </c>
      <c r="S244" s="253">
        <v>12</v>
      </c>
      <c r="T244" s="254">
        <f>SUM( tabConsumo[[#This Row],[QTD.PENDENTE]]:tabConsumo[[#This Row],[07_23]] ) / tabConsumo[[#This Row],[Div]]</f>
        <v>324</v>
      </c>
      <c r="U244" s="255">
        <f xml:space="preserve"> tabConsumo[[#This Row],[Média.A]] + (_xlfn.STDEV.S( tabConsumo[[#This Row],[QTD.PENDENTE]]:tabConsumo[[#This Row],[07_23]] ) * 1)</f>
        <v>747.87290971439029</v>
      </c>
      <c r="V244" s="255">
        <f xml:space="preserve"> tabConsumo[[#This Row],[Média.A]] + (_xlfn.STDEV.S( tabConsumo[[#This Row],[QTD.PENDENTE]]:tabConsumo[[#This Row],[07_23]] ) * 2)</f>
        <v>1171.7458194287806</v>
      </c>
      <c r="W244" s="255">
        <f xml:space="preserve"> tabConsumo[[#This Row],[Média.A]] + (_xlfn.STDEV.S( tabConsumo[[#This Row],[QTD.PENDENTE]]:tabConsumo[[#This Row],[07_23]] ) * 3)</f>
        <v>1595.6187291431706</v>
      </c>
      <c r="X244" s="5">
        <f t="shared" si="7"/>
        <v>2</v>
      </c>
      <c r="Y244">
        <v>279.83333333333331</v>
      </c>
      <c r="Z244" s="257">
        <f>SUM( tabConsumo[[#This Row],[QTD.PENDENTE]]:tabConsumo[[#This Row],[07_23]] )</f>
        <v>3888</v>
      </c>
      <c r="AA244" s="257">
        <f>LARGE(tabConsumo[[#This Row],[08_22]:[07_23]],1)</f>
        <v>1701</v>
      </c>
      <c r="AB244" s="175" t="s">
        <v>2211</v>
      </c>
      <c r="AC244" s="3" t="s">
        <v>2064</v>
      </c>
    </row>
    <row r="245" spans="1:29" x14ac:dyDescent="0.3">
      <c r="A245" s="4" t="s">
        <v>1462</v>
      </c>
      <c r="B245" s="3" t="s">
        <v>275</v>
      </c>
      <c r="C245" s="2">
        <v>81370</v>
      </c>
      <c r="D245" s="2">
        <v>284</v>
      </c>
      <c r="E245" s="2">
        <v>114</v>
      </c>
      <c r="F245" s="2">
        <v>175</v>
      </c>
      <c r="G245" s="2">
        <v>207</v>
      </c>
      <c r="H245" s="2">
        <v>195</v>
      </c>
      <c r="I245" s="2">
        <v>253</v>
      </c>
      <c r="J245" s="2">
        <v>137</v>
      </c>
      <c r="K245" s="2">
        <v>125</v>
      </c>
      <c r="L245" s="2">
        <v>126</v>
      </c>
      <c r="M245" s="2">
        <v>1694</v>
      </c>
      <c r="N245" s="2">
        <v>180</v>
      </c>
      <c r="O245" s="2">
        <v>255</v>
      </c>
      <c r="P245" s="2">
        <v>223</v>
      </c>
      <c r="Q245" s="2">
        <v>191</v>
      </c>
      <c r="R245" s="274">
        <v>38217</v>
      </c>
      <c r="S245" s="253">
        <v>12</v>
      </c>
      <c r="T245" s="254">
        <f>SUM( tabConsumo[[#This Row],[QTD.PENDENTE]]:tabConsumo[[#This Row],[07_23]] ) / tabConsumo[[#This Row],[Div]]</f>
        <v>322.91666666666669</v>
      </c>
      <c r="U245" s="255">
        <f xml:space="preserve"> tabConsumo[[#This Row],[Média.A]] + (_xlfn.STDEV.S( tabConsumo[[#This Row],[QTD.PENDENTE]]:tabConsumo[[#This Row],[07_23]] ) * 1)</f>
        <v>744.91557297221266</v>
      </c>
      <c r="V245" s="255">
        <f xml:space="preserve"> tabConsumo[[#This Row],[Média.A]] + (_xlfn.STDEV.S( tabConsumo[[#This Row],[QTD.PENDENTE]]:tabConsumo[[#This Row],[07_23]] ) * 2)</f>
        <v>1166.9144792777586</v>
      </c>
      <c r="W245" s="255">
        <f xml:space="preserve"> tabConsumo[[#This Row],[Média.A]] + (_xlfn.STDEV.S( tabConsumo[[#This Row],[QTD.PENDENTE]]:tabConsumo[[#This Row],[07_23]] ) * 3)</f>
        <v>1588.9133855833045</v>
      </c>
      <c r="X245" s="5">
        <f t="shared" si="7"/>
        <v>2</v>
      </c>
      <c r="Y245">
        <v>278.91666666666669</v>
      </c>
      <c r="Z245" s="257">
        <f>SUM( tabConsumo[[#This Row],[QTD.PENDENTE]]:tabConsumo[[#This Row],[07_23]] )</f>
        <v>3875</v>
      </c>
      <c r="AA245" s="257">
        <f>LARGE(tabConsumo[[#This Row],[08_22]:[07_23]],1)</f>
        <v>1694</v>
      </c>
      <c r="AB245" s="175" t="s">
        <v>2211</v>
      </c>
      <c r="AC245" s="3" t="s">
        <v>2064</v>
      </c>
    </row>
    <row r="246" spans="1:29" x14ac:dyDescent="0.3">
      <c r="A246" s="4" t="s">
        <v>1431</v>
      </c>
      <c r="B246" s="3" t="s">
        <v>301</v>
      </c>
      <c r="C246" s="2">
        <v>78055</v>
      </c>
      <c r="D246" s="2">
        <v>0</v>
      </c>
      <c r="F246" s="2">
        <v>84</v>
      </c>
      <c r="G246" s="2">
        <v>0</v>
      </c>
      <c r="H246" s="2">
        <v>0</v>
      </c>
      <c r="I246" s="2">
        <v>0</v>
      </c>
      <c r="J246" s="2">
        <v>13</v>
      </c>
      <c r="K246" s="2">
        <v>6</v>
      </c>
      <c r="L246" s="2">
        <v>4</v>
      </c>
      <c r="M246" s="2">
        <v>20</v>
      </c>
      <c r="N246" s="2">
        <v>218</v>
      </c>
      <c r="O246" s="2">
        <v>0</v>
      </c>
      <c r="P246" s="2">
        <v>0</v>
      </c>
      <c r="Q246" s="2">
        <v>0</v>
      </c>
      <c r="R246" s="274">
        <v>38072</v>
      </c>
      <c r="S246" s="253">
        <v>12</v>
      </c>
      <c r="T246" s="254">
        <f>SUM( tabConsumo[[#This Row],[QTD.PENDENTE]]:tabConsumo[[#This Row],[07_23]] ) / tabConsumo[[#This Row],[Div]]</f>
        <v>28.75</v>
      </c>
      <c r="U246" s="255">
        <f xml:space="preserve"> tabConsumo[[#This Row],[Média.A]] + (_xlfn.STDEV.S( tabConsumo[[#This Row],[QTD.PENDENTE]]:tabConsumo[[#This Row],[07_23]] ) * 1)</f>
        <v>92.910487699347968</v>
      </c>
      <c r="V246" s="255">
        <f xml:space="preserve"> tabConsumo[[#This Row],[Média.A]] + (_xlfn.STDEV.S( tabConsumo[[#This Row],[QTD.PENDENTE]]:tabConsumo[[#This Row],[07_23]] ) * 2)</f>
        <v>157.07097539869594</v>
      </c>
      <c r="W246" s="255">
        <f xml:space="preserve"> tabConsumo[[#This Row],[Média.A]] + (_xlfn.STDEV.S( tabConsumo[[#This Row],[QTD.PENDENTE]]:tabConsumo[[#This Row],[07_23]] ) * 3)</f>
        <v>221.23146309804389</v>
      </c>
      <c r="X246" s="5">
        <f t="shared" si="7"/>
        <v>2</v>
      </c>
      <c r="Y246">
        <v>23.666666666666668</v>
      </c>
      <c r="Z246" s="257">
        <f>SUM( tabConsumo[[#This Row],[QTD.PENDENTE]]:tabConsumo[[#This Row],[07_23]] )</f>
        <v>345</v>
      </c>
      <c r="AA246" s="257">
        <f>LARGE(tabConsumo[[#This Row],[08_22]:[07_23]],1)</f>
        <v>218</v>
      </c>
      <c r="AB246" s="175" t="s">
        <v>2213</v>
      </c>
      <c r="AC246" s="3" t="s">
        <v>2064</v>
      </c>
    </row>
    <row r="247" spans="1:29" x14ac:dyDescent="0.3">
      <c r="A247" s="4" t="s">
        <v>1890</v>
      </c>
      <c r="B247" s="3" t="s">
        <v>301</v>
      </c>
      <c r="C247" s="2">
        <v>134569</v>
      </c>
      <c r="D247" s="2">
        <v>0</v>
      </c>
      <c r="F247" s="2">
        <v>79</v>
      </c>
      <c r="G247" s="2">
        <v>25</v>
      </c>
      <c r="H247" s="2">
        <v>31</v>
      </c>
      <c r="I247" s="2">
        <v>10</v>
      </c>
      <c r="J247" s="2">
        <v>0</v>
      </c>
      <c r="K247" s="2">
        <v>32</v>
      </c>
      <c r="L247" s="2">
        <v>0</v>
      </c>
      <c r="M247" s="2">
        <v>20</v>
      </c>
      <c r="N247" s="2">
        <v>100</v>
      </c>
      <c r="O247" s="2">
        <v>86</v>
      </c>
      <c r="P247" s="2">
        <v>0</v>
      </c>
      <c r="Q247" s="2">
        <v>0</v>
      </c>
      <c r="R247" s="274">
        <v>43174</v>
      </c>
      <c r="S247" s="253">
        <v>12</v>
      </c>
      <c r="T247" s="254">
        <f>SUM( tabConsumo[[#This Row],[QTD.PENDENTE]]:tabConsumo[[#This Row],[07_23]] ) / tabConsumo[[#This Row],[Div]]</f>
        <v>31.916666666666668</v>
      </c>
      <c r="U247" s="255">
        <f xml:space="preserve"> tabConsumo[[#This Row],[Média.A]] + (_xlfn.STDEV.S( tabConsumo[[#This Row],[QTD.PENDENTE]]:tabConsumo[[#This Row],[07_23]] ) * 1)</f>
        <v>68.252119760238401</v>
      </c>
      <c r="V247" s="255">
        <f xml:space="preserve"> tabConsumo[[#This Row],[Média.A]] + (_xlfn.STDEV.S( tabConsumo[[#This Row],[QTD.PENDENTE]]:tabConsumo[[#This Row],[07_23]] ) * 2)</f>
        <v>104.58757285381013</v>
      </c>
      <c r="W247" s="255">
        <f xml:space="preserve"> tabConsumo[[#This Row],[Média.A]] + (_xlfn.STDEV.S( tabConsumo[[#This Row],[QTD.PENDENTE]]:tabConsumo[[#This Row],[07_23]] ) * 3)</f>
        <v>140.92302594738186</v>
      </c>
      <c r="X247" s="5">
        <f t="shared" si="7"/>
        <v>2</v>
      </c>
      <c r="Y247">
        <v>31.916666666666668</v>
      </c>
      <c r="Z247" s="257">
        <f>SUM( tabConsumo[[#This Row],[QTD.PENDENTE]]:tabConsumo[[#This Row],[07_23]] )</f>
        <v>383</v>
      </c>
      <c r="AA247" s="257">
        <f>LARGE(tabConsumo[[#This Row],[08_22]:[07_23]],1)</f>
        <v>100</v>
      </c>
      <c r="AB247" s="175" t="s">
        <v>2214</v>
      </c>
      <c r="AC247" s="3" t="s">
        <v>2064</v>
      </c>
    </row>
    <row r="248" spans="1:29" x14ac:dyDescent="0.3">
      <c r="A248" s="4" t="s">
        <v>930</v>
      </c>
      <c r="B248" s="3" t="s">
        <v>275</v>
      </c>
      <c r="C248" s="2">
        <v>11448</v>
      </c>
      <c r="D248" s="2">
        <v>682</v>
      </c>
      <c r="E248" s="2">
        <v>76</v>
      </c>
      <c r="F248" s="2">
        <v>61</v>
      </c>
      <c r="G248" s="2">
        <v>65</v>
      </c>
      <c r="H248" s="2">
        <v>63</v>
      </c>
      <c r="I248" s="2">
        <v>67</v>
      </c>
      <c r="J248" s="2">
        <v>51</v>
      </c>
      <c r="K248" s="2">
        <v>0</v>
      </c>
      <c r="L248" s="2">
        <v>0</v>
      </c>
      <c r="M248" s="2">
        <v>0</v>
      </c>
      <c r="N248" s="2">
        <v>71</v>
      </c>
      <c r="O248" s="2">
        <v>94</v>
      </c>
      <c r="P248" s="2">
        <v>82</v>
      </c>
      <c r="Q248" s="2">
        <v>73</v>
      </c>
      <c r="R248" s="274">
        <v>367</v>
      </c>
      <c r="S248" s="253">
        <f xml:space="preserve"> 12</f>
        <v>12</v>
      </c>
      <c r="T248" s="254">
        <f>SUM( tabConsumo[[#This Row],[QTD.PENDENTE]]:tabConsumo[[#This Row],[07_23]] ) / tabConsumo[[#This Row],[Div]]</f>
        <v>58.583333333333336</v>
      </c>
      <c r="U248" s="255">
        <f xml:space="preserve"> tabConsumo[[#This Row],[Média.A]] + (_xlfn.STDEV.S( tabConsumo[[#This Row],[QTD.PENDENTE]]:tabConsumo[[#This Row],[07_23]] ) * 1)</f>
        <v>91.108865710379163</v>
      </c>
      <c r="V248" s="255">
        <f xml:space="preserve"> tabConsumo[[#This Row],[Média.A]] + (_xlfn.STDEV.S( tabConsumo[[#This Row],[QTD.PENDENTE]]:tabConsumo[[#This Row],[07_23]] ) * 2)</f>
        <v>123.63439808742498</v>
      </c>
      <c r="W248" s="255">
        <f xml:space="preserve"> tabConsumo[[#This Row],[Média.A]] + (_xlfn.STDEV.S( tabConsumo[[#This Row],[QTD.PENDENTE]]:tabConsumo[[#This Row],[07_23]] ) * 3)</f>
        <v>156.15993046447082</v>
      </c>
      <c r="X248" s="5">
        <f t="shared" si="7"/>
        <v>2</v>
      </c>
      <c r="Y248">
        <v>58.583333333333336</v>
      </c>
      <c r="Z248" s="257">
        <f>SUM( tabConsumo[[#This Row],[QTD.PENDENTE]]:tabConsumo[[#This Row],[07_23]] )</f>
        <v>703</v>
      </c>
      <c r="AA248" s="257">
        <f>LARGE(tabConsumo[[#This Row],[08_22]:[07_23]],1)</f>
        <v>94</v>
      </c>
      <c r="AB248" s="175" t="s">
        <v>2211</v>
      </c>
      <c r="AC248" s="3" t="s">
        <v>2064</v>
      </c>
    </row>
    <row r="249" spans="1:29" x14ac:dyDescent="0.3">
      <c r="A249" s="4" t="s">
        <v>1901</v>
      </c>
      <c r="B249" s="3" t="s">
        <v>256</v>
      </c>
      <c r="C249" s="2">
        <v>135301</v>
      </c>
      <c r="D249" s="2">
        <v>265</v>
      </c>
      <c r="F249" s="2">
        <v>4</v>
      </c>
      <c r="G249" s="2">
        <v>16</v>
      </c>
      <c r="H249" s="2">
        <v>19</v>
      </c>
      <c r="I249" s="2">
        <v>6</v>
      </c>
      <c r="J249" s="2">
        <v>14</v>
      </c>
      <c r="K249" s="2">
        <v>22</v>
      </c>
      <c r="L249" s="2">
        <v>20</v>
      </c>
      <c r="M249" s="2">
        <v>32</v>
      </c>
      <c r="N249" s="2">
        <v>10</v>
      </c>
      <c r="O249" s="2">
        <v>40</v>
      </c>
      <c r="P249" s="2">
        <v>0</v>
      </c>
      <c r="Q249" s="2">
        <v>0</v>
      </c>
      <c r="R249" s="274">
        <v>43277</v>
      </c>
      <c r="S249" s="253">
        <v>12</v>
      </c>
      <c r="T249" s="254">
        <f>SUM( tabConsumo[[#This Row],[QTD.PENDENTE]]:tabConsumo[[#This Row],[07_23]] ) / tabConsumo[[#This Row],[Div]]</f>
        <v>15.25</v>
      </c>
      <c r="U249" s="255">
        <f xml:space="preserve"> tabConsumo[[#This Row],[Média.A]] + (_xlfn.STDEV.S( tabConsumo[[#This Row],[QTD.PENDENTE]]:tabConsumo[[#This Row],[07_23]] ) * 1)</f>
        <v>27.616560483085756</v>
      </c>
      <c r="V249" s="255">
        <f xml:space="preserve"> tabConsumo[[#This Row],[Média.A]] + (_xlfn.STDEV.S( tabConsumo[[#This Row],[QTD.PENDENTE]]:tabConsumo[[#This Row],[07_23]] ) * 2)</f>
        <v>39.983120966171512</v>
      </c>
      <c r="W249" s="255">
        <f xml:space="preserve"> tabConsumo[[#This Row],[Média.A]] + (_xlfn.STDEV.S( tabConsumo[[#This Row],[QTD.PENDENTE]]:tabConsumo[[#This Row],[07_23]] ) * 3)</f>
        <v>52.349681449257268</v>
      </c>
      <c r="X249" s="5">
        <f t="shared" si="7"/>
        <v>2</v>
      </c>
      <c r="Y249">
        <v>15.166666666666666</v>
      </c>
      <c r="Z249" s="257">
        <f>SUM( tabConsumo[[#This Row],[QTD.PENDENTE]]:tabConsumo[[#This Row],[07_23]] )</f>
        <v>183</v>
      </c>
      <c r="AA249" s="257">
        <f>LARGE(tabConsumo[[#This Row],[08_22]:[07_23]],1)</f>
        <v>40</v>
      </c>
      <c r="AB249" s="175" t="s">
        <v>2214</v>
      </c>
      <c r="AC249" s="3" t="s">
        <v>2064</v>
      </c>
    </row>
    <row r="250" spans="1:29" x14ac:dyDescent="0.3">
      <c r="A250" s="4" t="s">
        <v>1204</v>
      </c>
      <c r="B250" s="3" t="s">
        <v>256</v>
      </c>
      <c r="C250" s="2">
        <v>25523</v>
      </c>
      <c r="D250" s="2">
        <v>742</v>
      </c>
      <c r="F250" s="2">
        <v>9</v>
      </c>
      <c r="G250" s="2">
        <v>22</v>
      </c>
      <c r="H250" s="2">
        <v>33</v>
      </c>
      <c r="I250" s="2">
        <v>17</v>
      </c>
      <c r="J250" s="2">
        <v>24</v>
      </c>
      <c r="K250" s="2">
        <v>31</v>
      </c>
      <c r="L250" s="2">
        <v>15</v>
      </c>
      <c r="M250" s="2">
        <v>71</v>
      </c>
      <c r="N250" s="2">
        <v>30</v>
      </c>
      <c r="O250" s="2">
        <v>0</v>
      </c>
      <c r="P250" s="2">
        <v>0</v>
      </c>
      <c r="Q250" s="2">
        <v>0</v>
      </c>
      <c r="R250" s="274">
        <v>367</v>
      </c>
      <c r="S250" s="253">
        <f xml:space="preserve"> 12</f>
        <v>12</v>
      </c>
      <c r="T250" s="254">
        <f>SUM( tabConsumo[[#This Row],[QTD.PENDENTE]]:tabConsumo[[#This Row],[07_23]] ) / tabConsumo[[#This Row],[Div]]</f>
        <v>21</v>
      </c>
      <c r="U250" s="255">
        <f xml:space="preserve"> tabConsumo[[#This Row],[Média.A]] + (_xlfn.STDEV.S( tabConsumo[[#This Row],[QTD.PENDENTE]]:tabConsumo[[#This Row],[07_23]] ) * 1)</f>
        <v>40.895179863931411</v>
      </c>
      <c r="V250" s="255">
        <f xml:space="preserve"> tabConsumo[[#This Row],[Média.A]] + (_xlfn.STDEV.S( tabConsumo[[#This Row],[QTD.PENDENTE]]:tabConsumo[[#This Row],[07_23]] ) * 2)</f>
        <v>60.790359727862821</v>
      </c>
      <c r="W250" s="255">
        <f xml:space="preserve"> tabConsumo[[#This Row],[Média.A]] + (_xlfn.STDEV.S( tabConsumo[[#This Row],[QTD.PENDENTE]]:tabConsumo[[#This Row],[07_23]] ) * 3)</f>
        <v>80.685539591794225</v>
      </c>
      <c r="X250" s="5">
        <f t="shared" si="7"/>
        <v>2</v>
      </c>
      <c r="Y250">
        <v>20.083333333333332</v>
      </c>
      <c r="Z250" s="257">
        <f>SUM( tabConsumo[[#This Row],[QTD.PENDENTE]]:tabConsumo[[#This Row],[07_23]] )</f>
        <v>252</v>
      </c>
      <c r="AA250" s="257">
        <f>LARGE(tabConsumo[[#This Row],[08_22]:[07_23]],1)</f>
        <v>71</v>
      </c>
      <c r="AB250" s="175" t="s">
        <v>2213</v>
      </c>
      <c r="AC250" s="3" t="s">
        <v>2064</v>
      </c>
    </row>
    <row r="251" spans="1:29" x14ac:dyDescent="0.3">
      <c r="A251" s="4" t="s">
        <v>1899</v>
      </c>
      <c r="B251" s="3" t="s">
        <v>256</v>
      </c>
      <c r="C251" s="2">
        <v>135299</v>
      </c>
      <c r="D251" s="2">
        <v>25</v>
      </c>
      <c r="F251" s="2">
        <v>0</v>
      </c>
      <c r="G251" s="2">
        <v>18</v>
      </c>
      <c r="H251" s="2">
        <v>14</v>
      </c>
      <c r="I251" s="2">
        <v>4</v>
      </c>
      <c r="J251" s="2">
        <v>0</v>
      </c>
      <c r="K251" s="2">
        <v>0</v>
      </c>
      <c r="L251" s="2">
        <v>5</v>
      </c>
      <c r="M251" s="2">
        <v>4</v>
      </c>
      <c r="N251" s="2">
        <v>20</v>
      </c>
      <c r="O251" s="2">
        <v>0</v>
      </c>
      <c r="P251" s="2">
        <v>0</v>
      </c>
      <c r="Q251" s="2">
        <v>0</v>
      </c>
      <c r="R251" s="274">
        <v>43277</v>
      </c>
      <c r="S251" s="253">
        <v>12</v>
      </c>
      <c r="T251" s="254">
        <f>SUM( tabConsumo[[#This Row],[QTD.PENDENTE]]:tabConsumo[[#This Row],[07_23]] ) / tabConsumo[[#This Row],[Div]]</f>
        <v>5.416666666666667</v>
      </c>
      <c r="U251" s="255">
        <f xml:space="preserve"> tabConsumo[[#This Row],[Média.A]] + (_xlfn.STDEV.S( tabConsumo[[#This Row],[QTD.PENDENTE]]:tabConsumo[[#This Row],[07_23]] ) * 1)</f>
        <v>12.953947745451382</v>
      </c>
      <c r="V251" s="255">
        <f xml:space="preserve"> tabConsumo[[#This Row],[Média.A]] + (_xlfn.STDEV.S( tabConsumo[[#This Row],[QTD.PENDENTE]]:tabConsumo[[#This Row],[07_23]] ) * 2)</f>
        <v>20.491228824236096</v>
      </c>
      <c r="W251" s="255">
        <f xml:space="preserve"> tabConsumo[[#This Row],[Média.A]] + (_xlfn.STDEV.S( tabConsumo[[#This Row],[QTD.PENDENTE]]:tabConsumo[[#This Row],[07_23]] ) * 3)</f>
        <v>28.028509903020812</v>
      </c>
      <c r="X251" s="5">
        <f t="shared" si="7"/>
        <v>2</v>
      </c>
      <c r="Y251">
        <v>5.416666666666667</v>
      </c>
      <c r="Z251" s="257">
        <f>SUM( tabConsumo[[#This Row],[QTD.PENDENTE]]:tabConsumo[[#This Row],[07_23]] )</f>
        <v>65</v>
      </c>
      <c r="AA251" s="257">
        <f>LARGE(tabConsumo[[#This Row],[08_22]:[07_23]],1)</f>
        <v>20</v>
      </c>
      <c r="AB251" s="175" t="s">
        <v>2213</v>
      </c>
      <c r="AC251" s="3" t="s">
        <v>2064</v>
      </c>
    </row>
    <row r="252" spans="1:29" x14ac:dyDescent="0.3">
      <c r="A252" s="4" t="s">
        <v>1900</v>
      </c>
      <c r="B252" s="3" t="s">
        <v>256</v>
      </c>
      <c r="C252" s="2">
        <v>135300</v>
      </c>
      <c r="D252" s="2">
        <v>283</v>
      </c>
      <c r="F252" s="2">
        <v>16</v>
      </c>
      <c r="G252" s="2">
        <v>46</v>
      </c>
      <c r="H252" s="2">
        <v>14</v>
      </c>
      <c r="I252" s="2">
        <v>14</v>
      </c>
      <c r="J252" s="2">
        <v>18</v>
      </c>
      <c r="K252" s="2">
        <v>11</v>
      </c>
      <c r="L252" s="2">
        <v>9</v>
      </c>
      <c r="M252" s="2">
        <v>4</v>
      </c>
      <c r="N252" s="2">
        <v>15</v>
      </c>
      <c r="O252" s="2">
        <v>0</v>
      </c>
      <c r="P252" s="2">
        <v>0</v>
      </c>
      <c r="Q252" s="2">
        <v>0</v>
      </c>
      <c r="R252" s="274">
        <v>43277</v>
      </c>
      <c r="S252" s="253">
        <v>12</v>
      </c>
      <c r="T252" s="254">
        <f>SUM( tabConsumo[[#This Row],[QTD.PENDENTE]]:tabConsumo[[#This Row],[07_23]] ) / tabConsumo[[#This Row],[Div]]</f>
        <v>12.25</v>
      </c>
      <c r="U252" s="255">
        <f xml:space="preserve"> tabConsumo[[#This Row],[Média.A]] + (_xlfn.STDEV.S( tabConsumo[[#This Row],[QTD.PENDENTE]]:tabConsumo[[#This Row],[07_23]] ) * 1)</f>
        <v>24.791748464446833</v>
      </c>
      <c r="V252" s="255">
        <f xml:space="preserve"> tabConsumo[[#This Row],[Média.A]] + (_xlfn.STDEV.S( tabConsumo[[#This Row],[QTD.PENDENTE]]:tabConsumo[[#This Row],[07_23]] ) * 2)</f>
        <v>37.333496928893666</v>
      </c>
      <c r="W252" s="255">
        <f xml:space="preserve"> tabConsumo[[#This Row],[Média.A]] + (_xlfn.STDEV.S( tabConsumo[[#This Row],[QTD.PENDENTE]]:tabConsumo[[#This Row],[07_23]] ) * 3)</f>
        <v>49.875245393340506</v>
      </c>
      <c r="X252" s="5">
        <f t="shared" si="7"/>
        <v>2</v>
      </c>
      <c r="Y252">
        <v>11.5</v>
      </c>
      <c r="Z252" s="257">
        <f>SUM( tabConsumo[[#This Row],[QTD.PENDENTE]]:tabConsumo[[#This Row],[07_23]] )</f>
        <v>147</v>
      </c>
      <c r="AA252" s="257">
        <f>LARGE(tabConsumo[[#This Row],[08_22]:[07_23]],1)</f>
        <v>46</v>
      </c>
      <c r="AB252" s="175" t="s">
        <v>2213</v>
      </c>
      <c r="AC252" s="3" t="s">
        <v>2064</v>
      </c>
    </row>
    <row r="253" spans="1:29" x14ac:dyDescent="0.3">
      <c r="A253" s="4" t="s">
        <v>1319</v>
      </c>
      <c r="B253" s="3" t="s">
        <v>256</v>
      </c>
      <c r="C253" s="2">
        <v>54586</v>
      </c>
      <c r="D253" s="2">
        <v>11</v>
      </c>
      <c r="F253" s="2">
        <v>7</v>
      </c>
      <c r="G253" s="2">
        <v>0</v>
      </c>
      <c r="H253" s="2">
        <v>4</v>
      </c>
      <c r="I253" s="2">
        <v>10</v>
      </c>
      <c r="J253" s="2">
        <v>3</v>
      </c>
      <c r="K253" s="2">
        <v>25</v>
      </c>
      <c r="L253" s="2">
        <v>5</v>
      </c>
      <c r="M253" s="2">
        <v>5</v>
      </c>
      <c r="N253" s="2">
        <v>6</v>
      </c>
      <c r="O253" s="2">
        <v>0</v>
      </c>
      <c r="P253" s="2">
        <v>0</v>
      </c>
      <c r="Q253" s="2">
        <v>0</v>
      </c>
      <c r="R253" s="274">
        <v>367</v>
      </c>
      <c r="S253" s="253">
        <f xml:space="preserve"> 12</f>
        <v>12</v>
      </c>
      <c r="T253" s="254">
        <f>SUM( tabConsumo[[#This Row],[QTD.PENDENTE]]:tabConsumo[[#This Row],[07_23]] ) / tabConsumo[[#This Row],[Div]]</f>
        <v>5.416666666666667</v>
      </c>
      <c r="U253" s="255">
        <f xml:space="preserve"> tabConsumo[[#This Row],[Média.A]] + (_xlfn.STDEV.S( tabConsumo[[#This Row],[QTD.PENDENTE]]:tabConsumo[[#This Row],[07_23]] ) * 1)</f>
        <v>12.377052410069808</v>
      </c>
      <c r="V253" s="255">
        <f xml:space="preserve"> tabConsumo[[#This Row],[Média.A]] + (_xlfn.STDEV.S( tabConsumo[[#This Row],[QTD.PENDENTE]]:tabConsumo[[#This Row],[07_23]] ) * 2)</f>
        <v>19.337438153472949</v>
      </c>
      <c r="W253" s="255">
        <f xml:space="preserve"> tabConsumo[[#This Row],[Média.A]] + (_xlfn.STDEV.S( tabConsumo[[#This Row],[QTD.PENDENTE]]:tabConsumo[[#This Row],[07_23]] ) * 3)</f>
        <v>26.297823896876093</v>
      </c>
      <c r="X253" s="5">
        <f t="shared" si="7"/>
        <v>2</v>
      </c>
      <c r="Y253">
        <v>4.916666666666667</v>
      </c>
      <c r="Z253" s="257">
        <f>SUM( tabConsumo[[#This Row],[QTD.PENDENTE]]:tabConsumo[[#This Row],[07_23]] )</f>
        <v>65</v>
      </c>
      <c r="AA253" s="257">
        <f>LARGE(tabConsumo[[#This Row],[08_22]:[07_23]],1)</f>
        <v>25</v>
      </c>
      <c r="AB253" s="175" t="s">
        <v>2213</v>
      </c>
      <c r="AC253" s="3" t="s">
        <v>2064</v>
      </c>
    </row>
    <row r="254" spans="1:29" x14ac:dyDescent="0.3">
      <c r="A254" s="4" t="s">
        <v>1356</v>
      </c>
      <c r="B254" s="3" t="s">
        <v>256</v>
      </c>
      <c r="C254" s="2">
        <v>63277</v>
      </c>
      <c r="D254" s="2">
        <v>208</v>
      </c>
      <c r="F254" s="2">
        <v>28</v>
      </c>
      <c r="G254" s="2">
        <v>5</v>
      </c>
      <c r="H254" s="2">
        <v>14</v>
      </c>
      <c r="I254" s="2">
        <v>9</v>
      </c>
      <c r="J254" s="2">
        <v>21</v>
      </c>
      <c r="K254" s="2">
        <v>2</v>
      </c>
      <c r="L254" s="2">
        <v>0</v>
      </c>
      <c r="M254" s="2">
        <v>0</v>
      </c>
      <c r="N254" s="2">
        <v>20</v>
      </c>
      <c r="O254" s="2">
        <v>10</v>
      </c>
      <c r="P254" s="2">
        <v>0</v>
      </c>
      <c r="Q254" s="2">
        <v>20</v>
      </c>
      <c r="R254" s="274">
        <v>367</v>
      </c>
      <c r="S254" s="253">
        <f xml:space="preserve"> 12</f>
        <v>12</v>
      </c>
      <c r="T254" s="254">
        <f>SUM( tabConsumo[[#This Row],[QTD.PENDENTE]]:tabConsumo[[#This Row],[07_23]] ) / tabConsumo[[#This Row],[Div]]</f>
        <v>10.75</v>
      </c>
      <c r="U254" s="255">
        <f xml:space="preserve"> tabConsumo[[#This Row],[Média.A]] + (_xlfn.STDEV.S( tabConsumo[[#This Row],[QTD.PENDENTE]]:tabConsumo[[#This Row],[07_23]] ) * 1)</f>
        <v>20.493296063541237</v>
      </c>
      <c r="V254" s="255">
        <f xml:space="preserve"> tabConsumo[[#This Row],[Média.A]] + (_xlfn.STDEV.S( tabConsumo[[#This Row],[QTD.PENDENTE]]:tabConsumo[[#This Row],[07_23]] ) * 2)</f>
        <v>30.236592127082478</v>
      </c>
      <c r="W254" s="255">
        <f xml:space="preserve"> tabConsumo[[#This Row],[Média.A]] + (_xlfn.STDEV.S( tabConsumo[[#This Row],[QTD.PENDENTE]]:tabConsumo[[#This Row],[07_23]] ) * 3)</f>
        <v>39.979888190623718</v>
      </c>
      <c r="X254" s="5">
        <f t="shared" si="7"/>
        <v>2</v>
      </c>
      <c r="Y254">
        <v>10.75</v>
      </c>
      <c r="Z254" s="257">
        <f>SUM( tabConsumo[[#This Row],[QTD.PENDENTE]]:tabConsumo[[#This Row],[07_23]] )</f>
        <v>129</v>
      </c>
      <c r="AA254" s="257">
        <f>LARGE(tabConsumo[[#This Row],[08_22]:[07_23]],1)</f>
        <v>28</v>
      </c>
      <c r="AB254" s="175" t="s">
        <v>2211</v>
      </c>
      <c r="AC254" s="3" t="s">
        <v>2064</v>
      </c>
    </row>
    <row r="255" spans="1:29" x14ac:dyDescent="0.3">
      <c r="A255" s="4" t="s">
        <v>1902</v>
      </c>
      <c r="B255" s="3" t="s">
        <v>256</v>
      </c>
      <c r="C255" s="2">
        <v>135302</v>
      </c>
      <c r="D255" s="2">
        <v>613</v>
      </c>
      <c r="F255" s="2">
        <v>4</v>
      </c>
      <c r="G255" s="2">
        <v>7</v>
      </c>
      <c r="H255" s="2">
        <v>8</v>
      </c>
      <c r="I255" s="2">
        <v>30</v>
      </c>
      <c r="J255" s="2">
        <v>19</v>
      </c>
      <c r="K255" s="2">
        <v>14</v>
      </c>
      <c r="L255" s="2">
        <v>47</v>
      </c>
      <c r="M255" s="2">
        <v>13</v>
      </c>
      <c r="N255" s="2">
        <v>80</v>
      </c>
      <c r="O255" s="2">
        <v>2</v>
      </c>
      <c r="P255" s="2">
        <v>0</v>
      </c>
      <c r="Q255" s="2">
        <v>0</v>
      </c>
      <c r="R255" s="274">
        <v>43277</v>
      </c>
      <c r="S255" s="253">
        <v>12</v>
      </c>
      <c r="T255" s="254">
        <f>SUM( tabConsumo[[#This Row],[QTD.PENDENTE]]:tabConsumo[[#This Row],[07_23]] ) / tabConsumo[[#This Row],[Div]]</f>
        <v>18.666666666666668</v>
      </c>
      <c r="U255" s="255">
        <f xml:space="preserve"> tabConsumo[[#This Row],[Média.A]] + (_xlfn.STDEV.S( tabConsumo[[#This Row],[QTD.PENDENTE]]:tabConsumo[[#This Row],[07_23]] ) * 1)</f>
        <v>42.382151954221769</v>
      </c>
      <c r="V255" s="255">
        <f xml:space="preserve"> tabConsumo[[#This Row],[Média.A]] + (_xlfn.STDEV.S( tabConsumo[[#This Row],[QTD.PENDENTE]]:tabConsumo[[#This Row],[07_23]] ) * 2)</f>
        <v>66.097637241776866</v>
      </c>
      <c r="W255" s="255">
        <f xml:space="preserve"> tabConsumo[[#This Row],[Média.A]] + (_xlfn.STDEV.S( tabConsumo[[#This Row],[QTD.PENDENTE]]:tabConsumo[[#This Row],[07_23]] ) * 3)</f>
        <v>89.813122529331977</v>
      </c>
      <c r="X255" s="5">
        <f t="shared" si="7"/>
        <v>2</v>
      </c>
      <c r="Y255">
        <v>17.5</v>
      </c>
      <c r="Z255" s="257">
        <f>SUM( tabConsumo[[#This Row],[QTD.PENDENTE]]:tabConsumo[[#This Row],[07_23]] )</f>
        <v>224</v>
      </c>
      <c r="AA255" s="257">
        <f>LARGE(tabConsumo[[#This Row],[08_22]:[07_23]],1)</f>
        <v>80</v>
      </c>
      <c r="AB255" s="175" t="s">
        <v>2214</v>
      </c>
      <c r="AC255" s="3" t="s">
        <v>2064</v>
      </c>
    </row>
    <row r="256" spans="1:29" x14ac:dyDescent="0.3">
      <c r="A256" s="4" t="s">
        <v>1320</v>
      </c>
      <c r="B256" s="3" t="s">
        <v>256</v>
      </c>
      <c r="C256" s="2">
        <v>54587</v>
      </c>
      <c r="D256" s="2">
        <v>7</v>
      </c>
      <c r="F256" s="2">
        <v>4</v>
      </c>
      <c r="G256" s="2">
        <v>1</v>
      </c>
      <c r="H256" s="2">
        <v>36</v>
      </c>
      <c r="I256" s="2">
        <v>8</v>
      </c>
      <c r="J256" s="2">
        <v>1</v>
      </c>
      <c r="K256" s="2">
        <v>6</v>
      </c>
      <c r="L256" s="2">
        <v>0</v>
      </c>
      <c r="M256" s="2">
        <v>10</v>
      </c>
      <c r="N256" s="2">
        <v>0</v>
      </c>
      <c r="O256" s="2">
        <v>10</v>
      </c>
      <c r="P256" s="2">
        <v>0</v>
      </c>
      <c r="Q256" s="2">
        <v>0</v>
      </c>
      <c r="R256" s="274">
        <v>367</v>
      </c>
      <c r="S256" s="253">
        <f t="shared" ref="S256:S264" si="9" xml:space="preserve"> 12</f>
        <v>12</v>
      </c>
      <c r="T256" s="254">
        <f>SUM( tabConsumo[[#This Row],[QTD.PENDENTE]]:tabConsumo[[#This Row],[07_23]] ) / tabConsumo[[#This Row],[Div]]</f>
        <v>6.333333333333333</v>
      </c>
      <c r="U256" s="255">
        <f xml:space="preserve"> tabConsumo[[#This Row],[Média.A]] + (_xlfn.STDEV.S( tabConsumo[[#This Row],[QTD.PENDENTE]]:tabConsumo[[#This Row],[07_23]] ) * 1)</f>
        <v>16.480731865454608</v>
      </c>
      <c r="V256" s="255">
        <f xml:space="preserve"> tabConsumo[[#This Row],[Média.A]] + (_xlfn.STDEV.S( tabConsumo[[#This Row],[QTD.PENDENTE]]:tabConsumo[[#This Row],[07_23]] ) * 2)</f>
        <v>26.62813039757588</v>
      </c>
      <c r="W256" s="255">
        <f xml:space="preserve"> tabConsumo[[#This Row],[Média.A]] + (_xlfn.STDEV.S( tabConsumo[[#This Row],[QTD.PENDENTE]]:tabConsumo[[#This Row],[07_23]] ) * 3)</f>
        <v>36.77552892969716</v>
      </c>
      <c r="X256" s="5">
        <f t="shared" si="7"/>
        <v>2</v>
      </c>
      <c r="Y256">
        <v>5.5</v>
      </c>
      <c r="Z256" s="257">
        <f>SUM( tabConsumo[[#This Row],[QTD.PENDENTE]]:tabConsumo[[#This Row],[07_23]] )</f>
        <v>76</v>
      </c>
      <c r="AA256" s="257">
        <f>LARGE(tabConsumo[[#This Row],[08_22]:[07_23]],1)</f>
        <v>36</v>
      </c>
      <c r="AB256" s="175" t="s">
        <v>2214</v>
      </c>
      <c r="AC256" s="3" t="s">
        <v>2064</v>
      </c>
    </row>
    <row r="257" spans="1:29" x14ac:dyDescent="0.3">
      <c r="A257" s="4" t="s">
        <v>973</v>
      </c>
      <c r="B257" s="3" t="s">
        <v>256</v>
      </c>
      <c r="C257" s="2">
        <v>12881</v>
      </c>
      <c r="D257" s="2">
        <v>501</v>
      </c>
      <c r="F257" s="2">
        <v>30</v>
      </c>
      <c r="G257" s="2">
        <v>34</v>
      </c>
      <c r="H257" s="2">
        <v>4</v>
      </c>
      <c r="I257" s="2">
        <v>15</v>
      </c>
      <c r="J257" s="2">
        <v>15</v>
      </c>
      <c r="K257" s="2">
        <v>10</v>
      </c>
      <c r="L257" s="2">
        <v>4</v>
      </c>
      <c r="M257" s="2">
        <v>3</v>
      </c>
      <c r="N257" s="2">
        <v>29</v>
      </c>
      <c r="O257" s="2">
        <v>8</v>
      </c>
      <c r="P257" s="2">
        <v>0</v>
      </c>
      <c r="Q257" s="2">
        <v>32</v>
      </c>
      <c r="R257" s="274">
        <v>367</v>
      </c>
      <c r="S257" s="253">
        <f t="shared" si="9"/>
        <v>12</v>
      </c>
      <c r="T257" s="254">
        <f>SUM( tabConsumo[[#This Row],[QTD.PENDENTE]]:tabConsumo[[#This Row],[07_23]] ) / tabConsumo[[#This Row],[Div]]</f>
        <v>15.333333333333334</v>
      </c>
      <c r="U257" s="255">
        <f xml:space="preserve"> tabConsumo[[#This Row],[Média.A]] + (_xlfn.STDEV.S( tabConsumo[[#This Row],[QTD.PENDENTE]]:tabConsumo[[#This Row],[07_23]] ) * 1)</f>
        <v>27.963264113632626</v>
      </c>
      <c r="V257" s="255">
        <f xml:space="preserve"> tabConsumo[[#This Row],[Média.A]] + (_xlfn.STDEV.S( tabConsumo[[#This Row],[QTD.PENDENTE]]:tabConsumo[[#This Row],[07_23]] ) * 2)</f>
        <v>40.593194893931923</v>
      </c>
      <c r="W257" s="255">
        <f xml:space="preserve"> tabConsumo[[#This Row],[Média.A]] + (_xlfn.STDEV.S( tabConsumo[[#This Row],[QTD.PENDENTE]]:tabConsumo[[#This Row],[07_23]] ) * 3)</f>
        <v>53.22312567423122</v>
      </c>
      <c r="X257" s="5">
        <f t="shared" si="7"/>
        <v>2</v>
      </c>
      <c r="Y257">
        <v>15.333333333333334</v>
      </c>
      <c r="Z257" s="257">
        <f>SUM( tabConsumo[[#This Row],[QTD.PENDENTE]]:tabConsumo[[#This Row],[07_23]] )</f>
        <v>184</v>
      </c>
      <c r="AA257" s="257">
        <f>LARGE(tabConsumo[[#This Row],[08_22]:[07_23]],1)</f>
        <v>34</v>
      </c>
      <c r="AB257" s="175" t="s">
        <v>2211</v>
      </c>
      <c r="AC257" s="3" t="s">
        <v>2064</v>
      </c>
    </row>
    <row r="258" spans="1:29" x14ac:dyDescent="0.3">
      <c r="A258" s="4" t="s">
        <v>974</v>
      </c>
      <c r="B258" s="3" t="s">
        <v>256</v>
      </c>
      <c r="C258" s="2">
        <v>12884</v>
      </c>
      <c r="D258" s="2">
        <v>58</v>
      </c>
      <c r="F258" s="2">
        <v>12</v>
      </c>
      <c r="G258" s="2">
        <v>17</v>
      </c>
      <c r="H258" s="2">
        <v>17</v>
      </c>
      <c r="I258" s="2">
        <v>7</v>
      </c>
      <c r="J258" s="2">
        <v>12</v>
      </c>
      <c r="K258" s="2">
        <v>13</v>
      </c>
      <c r="L258" s="2">
        <v>14</v>
      </c>
      <c r="M258" s="2">
        <v>56</v>
      </c>
      <c r="N258" s="2">
        <v>26</v>
      </c>
      <c r="O258" s="2">
        <v>40</v>
      </c>
      <c r="P258" s="2">
        <v>0</v>
      </c>
      <c r="Q258" s="2">
        <v>20</v>
      </c>
      <c r="R258" s="274">
        <v>367</v>
      </c>
      <c r="S258" s="253">
        <f t="shared" si="9"/>
        <v>12</v>
      </c>
      <c r="T258" s="254">
        <f>SUM( tabConsumo[[#This Row],[QTD.PENDENTE]]:tabConsumo[[#This Row],[07_23]] ) / tabConsumo[[#This Row],[Div]]</f>
        <v>19.5</v>
      </c>
      <c r="U258" s="255">
        <f xml:space="preserve"> tabConsumo[[#This Row],[Média.A]] + (_xlfn.STDEV.S( tabConsumo[[#This Row],[QTD.PENDENTE]]:tabConsumo[[#This Row],[07_23]] ) * 1)</f>
        <v>34.662753407910152</v>
      </c>
      <c r="V258" s="255">
        <f xml:space="preserve"> tabConsumo[[#This Row],[Média.A]] + (_xlfn.STDEV.S( tabConsumo[[#This Row],[QTD.PENDENTE]]:tabConsumo[[#This Row],[07_23]] ) * 2)</f>
        <v>49.825506815820304</v>
      </c>
      <c r="W258" s="255">
        <f xml:space="preserve"> tabConsumo[[#This Row],[Média.A]] + (_xlfn.STDEV.S( tabConsumo[[#This Row],[QTD.PENDENTE]]:tabConsumo[[#This Row],[07_23]] ) * 3)</f>
        <v>64.98826022373045</v>
      </c>
      <c r="X258" s="5">
        <f t="shared" si="7"/>
        <v>2</v>
      </c>
      <c r="Y258">
        <v>18.916666666666668</v>
      </c>
      <c r="Z258" s="257">
        <f>SUM( tabConsumo[[#This Row],[QTD.PENDENTE]]:tabConsumo[[#This Row],[07_23]] )</f>
        <v>234</v>
      </c>
      <c r="AA258" s="257">
        <f>LARGE(tabConsumo[[#This Row],[08_22]:[07_23]],1)</f>
        <v>56</v>
      </c>
      <c r="AB258" s="175" t="s">
        <v>2211</v>
      </c>
      <c r="AC258" s="3" t="s">
        <v>2064</v>
      </c>
    </row>
    <row r="259" spans="1:29" x14ac:dyDescent="0.3">
      <c r="A259" s="4" t="s">
        <v>1269</v>
      </c>
      <c r="B259" s="3" t="s">
        <v>256</v>
      </c>
      <c r="C259" s="2">
        <v>38534</v>
      </c>
      <c r="D259" s="2">
        <v>102</v>
      </c>
      <c r="F259" s="2">
        <v>0</v>
      </c>
      <c r="G259" s="2">
        <v>0</v>
      </c>
      <c r="H259" s="2">
        <v>0</v>
      </c>
      <c r="I259" s="2">
        <v>0</v>
      </c>
      <c r="J259" s="2">
        <v>0</v>
      </c>
      <c r="K259" s="2">
        <v>0</v>
      </c>
      <c r="L259" s="2">
        <v>0</v>
      </c>
      <c r="M259" s="2">
        <v>0</v>
      </c>
      <c r="N259" s="2">
        <v>6</v>
      </c>
      <c r="O259" s="2">
        <v>0</v>
      </c>
      <c r="P259" s="2">
        <v>0</v>
      </c>
      <c r="Q259" s="2">
        <v>0</v>
      </c>
      <c r="R259" s="274">
        <v>367</v>
      </c>
      <c r="S259" s="253">
        <f t="shared" si="9"/>
        <v>12</v>
      </c>
      <c r="T259" s="254">
        <f>SUM( tabConsumo[[#This Row],[QTD.PENDENTE]]:tabConsumo[[#This Row],[07_23]] ) / tabConsumo[[#This Row],[Div]]</f>
        <v>0.5</v>
      </c>
      <c r="U259" s="255">
        <f xml:space="preserve"> tabConsumo[[#This Row],[Média.A]] + (_xlfn.STDEV.S( tabConsumo[[#This Row],[QTD.PENDENTE]]:tabConsumo[[#This Row],[07_23]] ) * 1)</f>
        <v>2.2320508075688772</v>
      </c>
      <c r="V259" s="255">
        <f xml:space="preserve"> tabConsumo[[#This Row],[Média.A]] + (_xlfn.STDEV.S( tabConsumo[[#This Row],[QTD.PENDENTE]]:tabConsumo[[#This Row],[07_23]] ) * 2)</f>
        <v>3.9641016151377544</v>
      </c>
      <c r="W259" s="255">
        <f xml:space="preserve"> tabConsumo[[#This Row],[Média.A]] + (_xlfn.STDEV.S( tabConsumo[[#This Row],[QTD.PENDENTE]]:tabConsumo[[#This Row],[07_23]] ) * 3)</f>
        <v>5.696152422706632</v>
      </c>
      <c r="X259" s="5">
        <f t="shared" ref="X259:X322" si="10" xml:space="preserve"> 2</f>
        <v>2</v>
      </c>
      <c r="Y259">
        <v>0.25</v>
      </c>
      <c r="Z259" s="257">
        <f>SUM( tabConsumo[[#This Row],[QTD.PENDENTE]]:tabConsumo[[#This Row],[07_23]] )</f>
        <v>6</v>
      </c>
      <c r="AA259" s="257">
        <f>LARGE(tabConsumo[[#This Row],[08_22]:[07_23]],1)</f>
        <v>6</v>
      </c>
      <c r="AB259" s="175" t="s">
        <v>2213</v>
      </c>
      <c r="AC259" s="3" t="s">
        <v>2064</v>
      </c>
    </row>
    <row r="260" spans="1:29" x14ac:dyDescent="0.3">
      <c r="A260" s="4" t="s">
        <v>976</v>
      </c>
      <c r="B260" s="3" t="s">
        <v>256</v>
      </c>
      <c r="C260" s="2">
        <v>12891</v>
      </c>
      <c r="D260" s="2">
        <v>104</v>
      </c>
      <c r="F260" s="2">
        <v>0</v>
      </c>
      <c r="G260" s="2">
        <v>0</v>
      </c>
      <c r="H260" s="2">
        <v>0</v>
      </c>
      <c r="I260" s="2">
        <v>9</v>
      </c>
      <c r="J260" s="2">
        <v>5</v>
      </c>
      <c r="K260" s="2">
        <v>15</v>
      </c>
      <c r="L260" s="2">
        <v>5</v>
      </c>
      <c r="M260" s="2">
        <v>8</v>
      </c>
      <c r="N260" s="2">
        <v>10</v>
      </c>
      <c r="O260" s="2">
        <v>15</v>
      </c>
      <c r="P260" s="2">
        <v>0</v>
      </c>
      <c r="Q260" s="2">
        <v>0</v>
      </c>
      <c r="R260" s="274">
        <v>367</v>
      </c>
      <c r="S260" s="253">
        <f t="shared" si="9"/>
        <v>12</v>
      </c>
      <c r="T260" s="254">
        <f>SUM( tabConsumo[[#This Row],[QTD.PENDENTE]]:tabConsumo[[#This Row],[07_23]] ) / tabConsumo[[#This Row],[Div]]</f>
        <v>5.583333333333333</v>
      </c>
      <c r="U260" s="255">
        <f xml:space="preserve"> tabConsumo[[#This Row],[Média.A]] + (_xlfn.STDEV.S( tabConsumo[[#This Row],[QTD.PENDENTE]]:tabConsumo[[#This Row],[07_23]] ) * 1)</f>
        <v>11.390199697362814</v>
      </c>
      <c r="V260" s="255">
        <f xml:space="preserve"> tabConsumo[[#This Row],[Média.A]] + (_xlfn.STDEV.S( tabConsumo[[#This Row],[QTD.PENDENTE]]:tabConsumo[[#This Row],[07_23]] ) * 2)</f>
        <v>17.197066061392295</v>
      </c>
      <c r="W260" s="255">
        <f xml:space="preserve"> tabConsumo[[#This Row],[Média.A]] + (_xlfn.STDEV.S( tabConsumo[[#This Row],[QTD.PENDENTE]]:tabConsumo[[#This Row],[07_23]] ) * 3)</f>
        <v>23.003932425421777</v>
      </c>
      <c r="X260" s="5">
        <f t="shared" si="10"/>
        <v>2</v>
      </c>
      <c r="Y260">
        <v>5.583333333333333</v>
      </c>
      <c r="Z260" s="257">
        <f>SUM( tabConsumo[[#This Row],[QTD.PENDENTE]]:tabConsumo[[#This Row],[07_23]] )</f>
        <v>67</v>
      </c>
      <c r="AA260" s="257">
        <f>LARGE(tabConsumo[[#This Row],[08_22]:[07_23]],1)</f>
        <v>15</v>
      </c>
      <c r="AB260" s="175" t="s">
        <v>2214</v>
      </c>
      <c r="AC260" s="3" t="s">
        <v>2064</v>
      </c>
    </row>
    <row r="261" spans="1:29" x14ac:dyDescent="0.3">
      <c r="A261" s="4" t="s">
        <v>977</v>
      </c>
      <c r="B261" s="3" t="s">
        <v>256</v>
      </c>
      <c r="C261" s="2">
        <v>12894</v>
      </c>
      <c r="D261" s="2">
        <v>3371</v>
      </c>
      <c r="F261" s="2">
        <v>306</v>
      </c>
      <c r="G261" s="2">
        <v>83</v>
      </c>
      <c r="H261" s="2">
        <v>209</v>
      </c>
      <c r="I261" s="2">
        <v>130</v>
      </c>
      <c r="J261" s="2">
        <v>147</v>
      </c>
      <c r="K261" s="2">
        <v>141</v>
      </c>
      <c r="L261" s="2">
        <v>99</v>
      </c>
      <c r="M261" s="2">
        <v>295</v>
      </c>
      <c r="N261" s="2">
        <v>65</v>
      </c>
      <c r="O261" s="2">
        <v>130</v>
      </c>
      <c r="P261" s="2">
        <v>40</v>
      </c>
      <c r="Q261" s="2">
        <v>55</v>
      </c>
      <c r="R261" s="274">
        <v>367</v>
      </c>
      <c r="S261" s="253">
        <f t="shared" si="9"/>
        <v>12</v>
      </c>
      <c r="T261" s="254">
        <f>SUM( tabConsumo[[#This Row],[QTD.PENDENTE]]:tabConsumo[[#This Row],[07_23]] ) / tabConsumo[[#This Row],[Div]]</f>
        <v>141.66666666666666</v>
      </c>
      <c r="U261" s="255">
        <f xml:space="preserve"> tabConsumo[[#This Row],[Média.A]] + (_xlfn.STDEV.S( tabConsumo[[#This Row],[QTD.PENDENTE]]:tabConsumo[[#This Row],[07_23]] ) * 1)</f>
        <v>229.22893887994076</v>
      </c>
      <c r="V261" s="255">
        <f xml:space="preserve"> tabConsumo[[#This Row],[Média.A]] + (_xlfn.STDEV.S( tabConsumo[[#This Row],[QTD.PENDENTE]]:tabConsumo[[#This Row],[07_23]] ) * 2)</f>
        <v>316.79121109321488</v>
      </c>
      <c r="W261" s="255">
        <f xml:space="preserve"> tabConsumo[[#This Row],[Média.A]] + (_xlfn.STDEV.S( tabConsumo[[#This Row],[QTD.PENDENTE]]:tabConsumo[[#This Row],[07_23]] ) * 3)</f>
        <v>404.3534833064889</v>
      </c>
      <c r="X261" s="5">
        <f t="shared" si="10"/>
        <v>2</v>
      </c>
      <c r="Y261">
        <v>141.66666666666666</v>
      </c>
      <c r="Z261" s="257">
        <f>SUM( tabConsumo[[#This Row],[QTD.PENDENTE]]:tabConsumo[[#This Row],[07_23]] )</f>
        <v>1700</v>
      </c>
      <c r="AA261" s="257">
        <f>LARGE(tabConsumo[[#This Row],[08_22]:[07_23]],1)</f>
        <v>306</v>
      </c>
      <c r="AB261" s="175" t="s">
        <v>2211</v>
      </c>
      <c r="AC261" s="3" t="s">
        <v>2064</v>
      </c>
    </row>
    <row r="262" spans="1:29" x14ac:dyDescent="0.3">
      <c r="A262" s="4" t="s">
        <v>975</v>
      </c>
      <c r="B262" s="3" t="s">
        <v>256</v>
      </c>
      <c r="C262" s="2">
        <v>12886</v>
      </c>
      <c r="D262" s="2">
        <v>225</v>
      </c>
      <c r="F262" s="2">
        <v>23</v>
      </c>
      <c r="G262" s="2">
        <v>18</v>
      </c>
      <c r="H262" s="2">
        <v>14</v>
      </c>
      <c r="I262" s="2">
        <v>20</v>
      </c>
      <c r="J262" s="2">
        <v>21</v>
      </c>
      <c r="K262" s="2">
        <v>13</v>
      </c>
      <c r="L262" s="2">
        <v>13</v>
      </c>
      <c r="M262" s="2">
        <v>0</v>
      </c>
      <c r="N262" s="2">
        <v>24</v>
      </c>
      <c r="O262" s="2">
        <v>0</v>
      </c>
      <c r="P262" s="2">
        <v>0</v>
      </c>
      <c r="Q262" s="2">
        <v>20</v>
      </c>
      <c r="R262" s="274">
        <v>367</v>
      </c>
      <c r="S262" s="253">
        <f t="shared" si="9"/>
        <v>12</v>
      </c>
      <c r="T262" s="254">
        <f>SUM( tabConsumo[[#This Row],[QTD.PENDENTE]]:tabConsumo[[#This Row],[07_23]] ) / tabConsumo[[#This Row],[Div]]</f>
        <v>13.833333333333334</v>
      </c>
      <c r="U262" s="255">
        <f xml:space="preserve"> tabConsumo[[#This Row],[Média.A]] + (_xlfn.STDEV.S( tabConsumo[[#This Row],[QTD.PENDENTE]]:tabConsumo[[#This Row],[07_23]] ) * 1)</f>
        <v>22.917118420792828</v>
      </c>
      <c r="V262" s="255">
        <f xml:space="preserve"> tabConsumo[[#This Row],[Média.A]] + (_xlfn.STDEV.S( tabConsumo[[#This Row],[QTD.PENDENTE]]:tabConsumo[[#This Row],[07_23]] ) * 2)</f>
        <v>32.000903508252321</v>
      </c>
      <c r="W262" s="255">
        <f xml:space="preserve"> tabConsumo[[#This Row],[Média.A]] + (_xlfn.STDEV.S( tabConsumo[[#This Row],[QTD.PENDENTE]]:tabConsumo[[#This Row],[07_23]] ) * 3)</f>
        <v>41.084688595711818</v>
      </c>
      <c r="X262" s="5">
        <f t="shared" si="10"/>
        <v>2</v>
      </c>
      <c r="Y262">
        <v>13.833333333333334</v>
      </c>
      <c r="Z262" s="257">
        <f>SUM( tabConsumo[[#This Row],[QTD.PENDENTE]]:tabConsumo[[#This Row],[07_23]] )</f>
        <v>166</v>
      </c>
      <c r="AA262" s="257">
        <f>LARGE(tabConsumo[[#This Row],[08_22]:[07_23]],1)</f>
        <v>24</v>
      </c>
      <c r="AB262" s="175" t="s">
        <v>2211</v>
      </c>
      <c r="AC262" s="3" t="s">
        <v>2064</v>
      </c>
    </row>
    <row r="263" spans="1:29" x14ac:dyDescent="0.3">
      <c r="A263" s="4" t="s">
        <v>1392</v>
      </c>
      <c r="B263" s="3" t="s">
        <v>256</v>
      </c>
      <c r="C263" s="2">
        <v>67376</v>
      </c>
      <c r="D263" s="2">
        <v>173</v>
      </c>
      <c r="F263" s="2">
        <v>0</v>
      </c>
      <c r="G263" s="2">
        <v>2</v>
      </c>
      <c r="H263" s="2">
        <v>13</v>
      </c>
      <c r="I263" s="2">
        <v>10</v>
      </c>
      <c r="J263" s="2">
        <v>0</v>
      </c>
      <c r="K263" s="2">
        <v>15</v>
      </c>
      <c r="L263" s="2">
        <v>0</v>
      </c>
      <c r="M263" s="2">
        <v>20</v>
      </c>
      <c r="N263" s="2">
        <v>0</v>
      </c>
      <c r="O263" s="2">
        <v>0</v>
      </c>
      <c r="P263" s="2">
        <v>0</v>
      </c>
      <c r="Q263" s="2">
        <v>0</v>
      </c>
      <c r="R263" s="274">
        <v>367</v>
      </c>
      <c r="S263" s="253">
        <f t="shared" si="9"/>
        <v>12</v>
      </c>
      <c r="T263" s="254">
        <f>SUM( tabConsumo[[#This Row],[QTD.PENDENTE]]:tabConsumo[[#This Row],[07_23]] ) / tabConsumo[[#This Row],[Div]]</f>
        <v>5</v>
      </c>
      <c r="U263" s="255">
        <f xml:space="preserve"> tabConsumo[[#This Row],[Média.A]] + (_xlfn.STDEV.S( tabConsumo[[#This Row],[QTD.PENDENTE]]:tabConsumo[[#This Row],[07_23]] ) * 1)</f>
        <v>12.373170034906043</v>
      </c>
      <c r="V263" s="255">
        <f xml:space="preserve"> tabConsumo[[#This Row],[Média.A]] + (_xlfn.STDEV.S( tabConsumo[[#This Row],[QTD.PENDENTE]]:tabConsumo[[#This Row],[07_23]] ) * 2)</f>
        <v>19.746340069812085</v>
      </c>
      <c r="W263" s="255">
        <f xml:space="preserve"> tabConsumo[[#This Row],[Média.A]] + (_xlfn.STDEV.S( tabConsumo[[#This Row],[QTD.PENDENTE]]:tabConsumo[[#This Row],[07_23]] ) * 3)</f>
        <v>27.119510104718128</v>
      </c>
      <c r="X263" s="5">
        <f t="shared" si="10"/>
        <v>2</v>
      </c>
      <c r="Y263">
        <v>4.916666666666667</v>
      </c>
      <c r="Z263" s="257">
        <f>SUM( tabConsumo[[#This Row],[QTD.PENDENTE]]:tabConsumo[[#This Row],[07_23]] )</f>
        <v>60</v>
      </c>
      <c r="AA263" s="257">
        <f>LARGE(tabConsumo[[#This Row],[08_22]:[07_23]],1)</f>
        <v>20</v>
      </c>
      <c r="AB263" s="175" t="s">
        <v>2217</v>
      </c>
      <c r="AC263" s="3" t="s">
        <v>2064</v>
      </c>
    </row>
    <row r="264" spans="1:29" x14ac:dyDescent="0.3">
      <c r="A264" s="4" t="s">
        <v>1391</v>
      </c>
      <c r="B264" s="3" t="s">
        <v>256</v>
      </c>
      <c r="C264" s="2">
        <v>67375</v>
      </c>
      <c r="D264" s="2">
        <v>63</v>
      </c>
      <c r="F264" s="2">
        <v>0</v>
      </c>
      <c r="G264" s="2">
        <v>0</v>
      </c>
      <c r="H264" s="2">
        <v>8</v>
      </c>
      <c r="I264" s="2">
        <v>1</v>
      </c>
      <c r="J264" s="2">
        <v>0</v>
      </c>
      <c r="K264" s="2">
        <v>3</v>
      </c>
      <c r="L264" s="2">
        <v>7</v>
      </c>
      <c r="M264" s="2">
        <v>30</v>
      </c>
      <c r="N264" s="2">
        <v>0</v>
      </c>
      <c r="O264" s="2">
        <v>0</v>
      </c>
      <c r="P264" s="2">
        <v>17</v>
      </c>
      <c r="Q264" s="2">
        <v>13</v>
      </c>
      <c r="R264" s="274">
        <v>367</v>
      </c>
      <c r="S264" s="253">
        <f t="shared" si="9"/>
        <v>12</v>
      </c>
      <c r="T264" s="254">
        <f>SUM( tabConsumo[[#This Row],[QTD.PENDENTE]]:tabConsumo[[#This Row],[07_23]] ) / tabConsumo[[#This Row],[Div]]</f>
        <v>6.583333333333333</v>
      </c>
      <c r="U264" s="255">
        <f xml:space="preserve"> tabConsumo[[#This Row],[Média.A]] + (_xlfn.STDEV.S( tabConsumo[[#This Row],[QTD.PENDENTE]]:tabConsumo[[#This Row],[07_23]] ) * 1)</f>
        <v>15.929779749274559</v>
      </c>
      <c r="V264" s="255">
        <f xml:space="preserve"> tabConsumo[[#This Row],[Média.A]] + (_xlfn.STDEV.S( tabConsumo[[#This Row],[QTD.PENDENTE]]:tabConsumo[[#This Row],[07_23]] ) * 2)</f>
        <v>25.276226165215785</v>
      </c>
      <c r="W264" s="255">
        <f xml:space="preserve"> tabConsumo[[#This Row],[Média.A]] + (_xlfn.STDEV.S( tabConsumo[[#This Row],[QTD.PENDENTE]]:tabConsumo[[#This Row],[07_23]] ) * 3)</f>
        <v>34.622672581157012</v>
      </c>
      <c r="X264" s="5">
        <f t="shared" si="10"/>
        <v>2</v>
      </c>
      <c r="Y264">
        <v>6.166666666666667</v>
      </c>
      <c r="Z264" s="257">
        <f>SUM( tabConsumo[[#This Row],[QTD.PENDENTE]]:tabConsumo[[#This Row],[07_23]] )</f>
        <v>79</v>
      </c>
      <c r="AA264" s="257">
        <f>LARGE(tabConsumo[[#This Row],[08_22]:[07_23]],1)</f>
        <v>30</v>
      </c>
      <c r="AB264" s="175" t="s">
        <v>2211</v>
      </c>
      <c r="AC264" s="3" t="s">
        <v>2064</v>
      </c>
    </row>
    <row r="265" spans="1:29" x14ac:dyDescent="0.3">
      <c r="A265" s="4" t="s">
        <v>455</v>
      </c>
      <c r="B265" s="3" t="s">
        <v>256</v>
      </c>
      <c r="C265" s="2">
        <v>115135</v>
      </c>
      <c r="D265" s="2">
        <v>177</v>
      </c>
      <c r="F265" s="2">
        <v>0</v>
      </c>
      <c r="G265" s="2">
        <v>0</v>
      </c>
      <c r="H265" s="2">
        <v>0</v>
      </c>
      <c r="I265" s="2">
        <v>0</v>
      </c>
      <c r="J265" s="2">
        <v>0</v>
      </c>
      <c r="K265" s="2">
        <v>0</v>
      </c>
      <c r="L265" s="2">
        <v>0</v>
      </c>
      <c r="M265" s="2">
        <v>0</v>
      </c>
      <c r="N265" s="2">
        <v>0</v>
      </c>
      <c r="O265" s="2">
        <v>3</v>
      </c>
      <c r="P265" s="2">
        <v>0</v>
      </c>
      <c r="Q265" s="2">
        <v>0</v>
      </c>
      <c r="R265" s="274">
        <v>40303</v>
      </c>
      <c r="S265" s="253">
        <v>12</v>
      </c>
      <c r="T265" s="254">
        <f>SUM( tabConsumo[[#This Row],[QTD.PENDENTE]]:tabConsumo[[#This Row],[07_23]] ) / tabConsumo[[#This Row],[Div]]</f>
        <v>0.25</v>
      </c>
      <c r="U265" s="255">
        <f xml:space="preserve"> tabConsumo[[#This Row],[Média.A]] + (_xlfn.STDEV.S( tabConsumo[[#This Row],[QTD.PENDENTE]]:tabConsumo[[#This Row],[07_23]] ) * 1)</f>
        <v>1.1160254037844386</v>
      </c>
      <c r="V265" s="255">
        <f xml:space="preserve"> tabConsumo[[#This Row],[Média.A]] + (_xlfn.STDEV.S( tabConsumo[[#This Row],[QTD.PENDENTE]]:tabConsumo[[#This Row],[07_23]] ) * 2)</f>
        <v>1.9820508075688772</v>
      </c>
      <c r="W265" s="255">
        <f xml:space="preserve"> tabConsumo[[#This Row],[Média.A]] + (_xlfn.STDEV.S( tabConsumo[[#This Row],[QTD.PENDENTE]]:tabConsumo[[#This Row],[07_23]] ) * 3)</f>
        <v>2.848076211353316</v>
      </c>
      <c r="X265" s="5">
        <f t="shared" si="10"/>
        <v>2</v>
      </c>
      <c r="Y265">
        <v>8.3333333333333329E-2</v>
      </c>
      <c r="Z265" s="257">
        <f>SUM( tabConsumo[[#This Row],[QTD.PENDENTE]]:tabConsumo[[#This Row],[07_23]] )</f>
        <v>3</v>
      </c>
      <c r="AA265" s="257">
        <f>LARGE(tabConsumo[[#This Row],[08_22]:[07_23]],1)</f>
        <v>3</v>
      </c>
      <c r="AB265" s="175" t="s">
        <v>2214</v>
      </c>
      <c r="AC265" s="3" t="s">
        <v>2064</v>
      </c>
    </row>
    <row r="266" spans="1:29" x14ac:dyDescent="0.3">
      <c r="A266" s="4" t="s">
        <v>1071</v>
      </c>
      <c r="B266" s="3" t="s">
        <v>256</v>
      </c>
      <c r="C266" s="2">
        <v>14784</v>
      </c>
      <c r="D266" s="2">
        <v>0</v>
      </c>
      <c r="E266" s="2">
        <v>47</v>
      </c>
      <c r="F266" s="2">
        <v>55</v>
      </c>
      <c r="G266" s="2">
        <v>10</v>
      </c>
      <c r="H266" s="2">
        <v>10</v>
      </c>
      <c r="I266" s="2">
        <v>0</v>
      </c>
      <c r="J266" s="2">
        <v>52</v>
      </c>
      <c r="K266" s="2">
        <v>61</v>
      </c>
      <c r="L266" s="2">
        <v>10</v>
      </c>
      <c r="M266" s="2">
        <v>42</v>
      </c>
      <c r="N266" s="2">
        <v>38</v>
      </c>
      <c r="O266" s="2">
        <v>0</v>
      </c>
      <c r="P266" s="2">
        <v>0</v>
      </c>
      <c r="Q266" s="2">
        <v>0</v>
      </c>
      <c r="R266" s="274">
        <v>367</v>
      </c>
      <c r="S266" s="253">
        <f xml:space="preserve"> 12</f>
        <v>12</v>
      </c>
      <c r="T266" s="254">
        <f>SUM( tabConsumo[[#This Row],[QTD.PENDENTE]]:tabConsumo[[#This Row],[07_23]] ) / tabConsumo[[#This Row],[Div]]</f>
        <v>27.083333333333332</v>
      </c>
      <c r="U266" s="255">
        <f xml:space="preserve"> tabConsumo[[#This Row],[Média.A]] + (_xlfn.STDEV.S( tabConsumo[[#This Row],[QTD.PENDENTE]]:tabConsumo[[#This Row],[07_23]] ) * 1)</f>
        <v>51.30797643355946</v>
      </c>
      <c r="V266" s="255">
        <f xml:space="preserve"> tabConsumo[[#This Row],[Média.A]] + (_xlfn.STDEV.S( tabConsumo[[#This Row],[QTD.PENDENTE]]:tabConsumo[[#This Row],[07_23]] ) * 2)</f>
        <v>75.532619533785592</v>
      </c>
      <c r="W266" s="255">
        <f xml:space="preserve"> tabConsumo[[#This Row],[Média.A]] + (_xlfn.STDEV.S( tabConsumo[[#This Row],[QTD.PENDENTE]]:tabConsumo[[#This Row],[07_23]] ) * 3)</f>
        <v>99.75726263401171</v>
      </c>
      <c r="X266" s="5">
        <f t="shared" si="10"/>
        <v>2</v>
      </c>
      <c r="Y266">
        <v>27.083333333333332</v>
      </c>
      <c r="Z266" s="257">
        <f>SUM( tabConsumo[[#This Row],[QTD.PENDENTE]]:tabConsumo[[#This Row],[07_23]] )</f>
        <v>325</v>
      </c>
      <c r="AA266" s="257">
        <f>LARGE(tabConsumo[[#This Row],[08_22]:[07_23]],1)</f>
        <v>61</v>
      </c>
      <c r="AB266" s="175" t="s">
        <v>2213</v>
      </c>
      <c r="AC266" s="3" t="s">
        <v>2064</v>
      </c>
    </row>
    <row r="267" spans="1:29" x14ac:dyDescent="0.3">
      <c r="A267" s="4" t="s">
        <v>2188</v>
      </c>
      <c r="B267" s="3" t="s">
        <v>596</v>
      </c>
      <c r="C267" s="2">
        <v>119407</v>
      </c>
      <c r="D267" s="2">
        <v>0</v>
      </c>
      <c r="E267" s="2">
        <v>4</v>
      </c>
      <c r="F267" s="2">
        <v>15</v>
      </c>
      <c r="G267" s="2">
        <v>24</v>
      </c>
      <c r="H267" s="2">
        <v>30</v>
      </c>
      <c r="I267" s="2">
        <v>15</v>
      </c>
      <c r="J267" s="2">
        <v>0</v>
      </c>
      <c r="K267" s="2">
        <v>0</v>
      </c>
      <c r="L267" s="2">
        <v>0</v>
      </c>
      <c r="M267" s="2">
        <v>0</v>
      </c>
      <c r="N267" s="2">
        <v>0</v>
      </c>
      <c r="O267" s="2">
        <v>0</v>
      </c>
      <c r="P267" s="2">
        <v>0</v>
      </c>
      <c r="Q267" s="2">
        <v>0</v>
      </c>
      <c r="R267" s="274">
        <v>367</v>
      </c>
      <c r="S267" s="253">
        <f xml:space="preserve"> 12</f>
        <v>12</v>
      </c>
      <c r="T267" s="254">
        <f>SUM( tabConsumo[[#This Row],[QTD.PENDENTE]]:tabConsumo[[#This Row],[07_23]] ) / tabConsumo[[#This Row],[Div]]</f>
        <v>7.333333333333333</v>
      </c>
      <c r="U267" s="255">
        <f xml:space="preserve"> tabConsumo[[#This Row],[Média.A]] + (_xlfn.STDEV.S( tabConsumo[[#This Row],[QTD.PENDENTE]]:tabConsumo[[#This Row],[07_23]] ) * 1)</f>
        <v>17.925420365278818</v>
      </c>
      <c r="V267" s="255">
        <f xml:space="preserve"> tabConsumo[[#This Row],[Média.A]] + (_xlfn.STDEV.S( tabConsumo[[#This Row],[QTD.PENDENTE]]:tabConsumo[[#This Row],[07_23]] ) * 2)</f>
        <v>28.5175073972243</v>
      </c>
      <c r="W267" s="255">
        <f xml:space="preserve"> tabConsumo[[#This Row],[Média.A]] + (_xlfn.STDEV.S( tabConsumo[[#This Row],[QTD.PENDENTE]]:tabConsumo[[#This Row],[07_23]] ) * 3)</f>
        <v>39.109594429169789</v>
      </c>
      <c r="X267" s="5">
        <f t="shared" si="10"/>
        <v>2</v>
      </c>
      <c r="Y267">
        <v>7.166666666666667</v>
      </c>
      <c r="Z267" s="257">
        <f>SUM( tabConsumo[[#This Row],[QTD.PENDENTE]]:tabConsumo[[#This Row],[07_23]] )</f>
        <v>88</v>
      </c>
      <c r="AA267" s="257">
        <f>LARGE(tabConsumo[[#This Row],[08_22]:[07_23]],1)</f>
        <v>30</v>
      </c>
      <c r="AB267" s="175" t="s">
        <v>2216</v>
      </c>
      <c r="AC267" s="3" t="s">
        <v>2064</v>
      </c>
    </row>
    <row r="268" spans="1:29" x14ac:dyDescent="0.3">
      <c r="A268" s="4" t="s">
        <v>1587</v>
      </c>
      <c r="B268" s="3" t="s">
        <v>275</v>
      </c>
      <c r="C268" s="2">
        <v>102922</v>
      </c>
      <c r="D268" s="2">
        <v>0</v>
      </c>
      <c r="E268" s="2">
        <v>2947</v>
      </c>
      <c r="F268" s="2">
        <v>1910</v>
      </c>
      <c r="G268" s="2">
        <v>2325</v>
      </c>
      <c r="H268" s="2">
        <v>2270</v>
      </c>
      <c r="I268" s="2">
        <v>2090</v>
      </c>
      <c r="J268" s="2">
        <v>1330</v>
      </c>
      <c r="K268" s="2">
        <v>879</v>
      </c>
      <c r="L268" s="2">
        <v>1494</v>
      </c>
      <c r="M268" s="2">
        <v>2538</v>
      </c>
      <c r="N268" s="2">
        <v>125</v>
      </c>
      <c r="O268" s="2">
        <v>72</v>
      </c>
      <c r="P268" s="2">
        <v>2574</v>
      </c>
      <c r="Q268" s="2">
        <v>2476</v>
      </c>
      <c r="R268" s="274">
        <v>39379</v>
      </c>
      <c r="S268" s="253">
        <v>12</v>
      </c>
      <c r="T268" s="254">
        <f>SUM( tabConsumo[[#This Row],[QTD.PENDENTE]]:tabConsumo[[#This Row],[07_23]] ) / tabConsumo[[#This Row],[Div]]</f>
        <v>1919.1666666666667</v>
      </c>
      <c r="U268" s="255">
        <f xml:space="preserve"> tabConsumo[[#This Row],[Média.A]] + (_xlfn.STDEV.S( tabConsumo[[#This Row],[QTD.PENDENTE]]:tabConsumo[[#This Row],[07_23]] ) * 1)</f>
        <v>2852.479995206857</v>
      </c>
      <c r="V268" s="255">
        <f xml:space="preserve"> tabConsumo[[#This Row],[Média.A]] + (_xlfn.STDEV.S( tabConsumo[[#This Row],[QTD.PENDENTE]]:tabConsumo[[#This Row],[07_23]] ) * 2)</f>
        <v>3785.7933237470475</v>
      </c>
      <c r="W268" s="255">
        <f xml:space="preserve"> tabConsumo[[#This Row],[Média.A]] + (_xlfn.STDEV.S( tabConsumo[[#This Row],[QTD.PENDENTE]]:tabConsumo[[#This Row],[07_23]] ) * 3)</f>
        <v>4719.1066522872379</v>
      </c>
      <c r="X268" s="5">
        <f t="shared" si="10"/>
        <v>2</v>
      </c>
      <c r="Y268">
        <v>1919.1666666666667</v>
      </c>
      <c r="Z268" s="257">
        <f>SUM( tabConsumo[[#This Row],[QTD.PENDENTE]]:tabConsumo[[#This Row],[07_23]] )</f>
        <v>23030</v>
      </c>
      <c r="AA268" s="257">
        <f>LARGE(tabConsumo[[#This Row],[08_22]:[07_23]],1)</f>
        <v>2574</v>
      </c>
      <c r="AB268" s="175" t="s">
        <v>2211</v>
      </c>
      <c r="AC268" s="3" t="s">
        <v>2064</v>
      </c>
    </row>
    <row r="269" spans="1:29" x14ac:dyDescent="0.3">
      <c r="A269" s="4" t="s">
        <v>1300</v>
      </c>
      <c r="B269" s="3" t="s">
        <v>256</v>
      </c>
      <c r="C269" s="2">
        <v>52129</v>
      </c>
      <c r="D269" s="2">
        <v>455</v>
      </c>
      <c r="F269" s="2">
        <v>0</v>
      </c>
      <c r="G269" s="2">
        <v>0</v>
      </c>
      <c r="H269" s="2">
        <v>25</v>
      </c>
      <c r="I269" s="2">
        <v>0</v>
      </c>
      <c r="J269" s="2">
        <v>0</v>
      </c>
      <c r="K269" s="2">
        <v>20</v>
      </c>
      <c r="L269" s="2">
        <v>50</v>
      </c>
      <c r="M269" s="2">
        <v>100</v>
      </c>
      <c r="N269" s="2">
        <v>0</v>
      </c>
      <c r="O269" s="2">
        <v>20</v>
      </c>
      <c r="P269" s="2">
        <v>0</v>
      </c>
      <c r="Q269" s="2">
        <v>0</v>
      </c>
      <c r="R269" s="274">
        <v>367</v>
      </c>
      <c r="S269" s="253">
        <f xml:space="preserve"> 12</f>
        <v>12</v>
      </c>
      <c r="T269" s="254">
        <f>SUM( tabConsumo[[#This Row],[QTD.PENDENTE]]:tabConsumo[[#This Row],[07_23]] ) / tabConsumo[[#This Row],[Div]]</f>
        <v>17.916666666666668</v>
      </c>
      <c r="U269" s="255">
        <f xml:space="preserve"> tabConsumo[[#This Row],[Média.A]] + (_xlfn.STDEV.S( tabConsumo[[#This Row],[QTD.PENDENTE]]:tabConsumo[[#This Row],[07_23]] ) * 1)</f>
        <v>48.177527476790644</v>
      </c>
      <c r="V269" s="255">
        <f xml:space="preserve"> tabConsumo[[#This Row],[Média.A]] + (_xlfn.STDEV.S( tabConsumo[[#This Row],[QTD.PENDENTE]]:tabConsumo[[#This Row],[07_23]] ) * 2)</f>
        <v>78.438388286914616</v>
      </c>
      <c r="W269" s="255">
        <f xml:space="preserve"> tabConsumo[[#This Row],[Média.A]] + (_xlfn.STDEV.S( tabConsumo[[#This Row],[QTD.PENDENTE]]:tabConsumo[[#This Row],[07_23]] ) * 3)</f>
        <v>108.69924909703859</v>
      </c>
      <c r="X269" s="5">
        <f t="shared" si="10"/>
        <v>2</v>
      </c>
      <c r="Y269">
        <v>16.083333333333332</v>
      </c>
      <c r="Z269" s="257">
        <f>SUM( tabConsumo[[#This Row],[QTD.PENDENTE]]:tabConsumo[[#This Row],[07_23]] )</f>
        <v>215</v>
      </c>
      <c r="AA269" s="257">
        <f>LARGE(tabConsumo[[#This Row],[08_22]:[07_23]],1)</f>
        <v>100</v>
      </c>
      <c r="AB269" s="175" t="s">
        <v>2214</v>
      </c>
      <c r="AC269" s="3" t="s">
        <v>2064</v>
      </c>
    </row>
    <row r="270" spans="1:29" x14ac:dyDescent="0.3">
      <c r="A270" s="4" t="s">
        <v>1966</v>
      </c>
      <c r="B270" s="3" t="s">
        <v>256</v>
      </c>
      <c r="C270" s="2">
        <v>138475</v>
      </c>
      <c r="D270" s="2">
        <v>155</v>
      </c>
      <c r="F270" s="2">
        <v>0</v>
      </c>
      <c r="G270" s="2">
        <v>0</v>
      </c>
      <c r="H270" s="2">
        <v>0</v>
      </c>
      <c r="I270" s="2">
        <v>0</v>
      </c>
      <c r="J270" s="2">
        <v>5</v>
      </c>
      <c r="K270" s="2">
        <v>6</v>
      </c>
      <c r="L270" s="2">
        <v>0</v>
      </c>
      <c r="M270" s="2">
        <v>10</v>
      </c>
      <c r="N270" s="2">
        <v>0</v>
      </c>
      <c r="O270" s="2">
        <v>0</v>
      </c>
      <c r="P270" s="2">
        <v>0</v>
      </c>
      <c r="Q270" s="2">
        <v>0</v>
      </c>
      <c r="R270" s="274">
        <v>43721</v>
      </c>
      <c r="S270" s="253">
        <v>12</v>
      </c>
      <c r="T270" s="254">
        <f>SUM( tabConsumo[[#This Row],[QTD.PENDENTE]]:tabConsumo[[#This Row],[07_23]] ) / tabConsumo[[#This Row],[Div]]</f>
        <v>1.75</v>
      </c>
      <c r="U270" s="255">
        <f xml:space="preserve"> tabConsumo[[#This Row],[Média.A]] + (_xlfn.STDEV.S( tabConsumo[[#This Row],[QTD.PENDENTE]]:tabConsumo[[#This Row],[07_23]] ) * 1)</f>
        <v>5.1108710992024893</v>
      </c>
      <c r="V270" s="255">
        <f xml:space="preserve"> tabConsumo[[#This Row],[Média.A]] + (_xlfn.STDEV.S( tabConsumo[[#This Row],[QTD.PENDENTE]]:tabConsumo[[#This Row],[07_23]] ) * 2)</f>
        <v>8.4717421984049786</v>
      </c>
      <c r="W270" s="255">
        <f xml:space="preserve"> tabConsumo[[#This Row],[Média.A]] + (_xlfn.STDEV.S( tabConsumo[[#This Row],[QTD.PENDENTE]]:tabConsumo[[#This Row],[07_23]] ) * 3)</f>
        <v>11.832613297607466</v>
      </c>
      <c r="X270" s="5">
        <f t="shared" si="10"/>
        <v>2</v>
      </c>
      <c r="Y270">
        <v>1.5833333333333333</v>
      </c>
      <c r="Z270" s="257">
        <f>SUM( tabConsumo[[#This Row],[QTD.PENDENTE]]:tabConsumo[[#This Row],[07_23]] )</f>
        <v>21</v>
      </c>
      <c r="AA270" s="257">
        <f>LARGE(tabConsumo[[#This Row],[08_22]:[07_23]],1)</f>
        <v>10</v>
      </c>
      <c r="AB270" s="175" t="s">
        <v>2217</v>
      </c>
      <c r="AC270" s="3" t="s">
        <v>2064</v>
      </c>
    </row>
    <row r="271" spans="1:29" x14ac:dyDescent="0.3">
      <c r="A271" s="4" t="s">
        <v>1742</v>
      </c>
      <c r="B271" s="3" t="s">
        <v>31</v>
      </c>
      <c r="C271" s="2">
        <v>122304</v>
      </c>
      <c r="D271" s="2">
        <v>0</v>
      </c>
      <c r="E271" s="2">
        <v>205</v>
      </c>
      <c r="F271" s="2">
        <v>458</v>
      </c>
      <c r="G271" s="2">
        <v>298</v>
      </c>
      <c r="H271" s="2">
        <v>194</v>
      </c>
      <c r="I271" s="2">
        <v>371</v>
      </c>
      <c r="J271" s="2">
        <v>130</v>
      </c>
      <c r="K271" s="2">
        <v>320</v>
      </c>
      <c r="L271" s="2">
        <v>351</v>
      </c>
      <c r="M271" s="2">
        <v>619</v>
      </c>
      <c r="N271" s="2">
        <v>0</v>
      </c>
      <c r="O271" s="2">
        <v>0</v>
      </c>
      <c r="P271" s="2">
        <v>0</v>
      </c>
      <c r="Q271" s="2">
        <v>65</v>
      </c>
      <c r="R271" s="274">
        <v>40946</v>
      </c>
      <c r="S271" s="253">
        <v>12</v>
      </c>
      <c r="T271" s="254">
        <f>SUM( tabConsumo[[#This Row],[QTD.PENDENTE]]:tabConsumo[[#This Row],[07_23]] ) / tabConsumo[[#This Row],[Div]]</f>
        <v>250.91666666666666</v>
      </c>
      <c r="U271" s="255">
        <f xml:space="preserve"> tabConsumo[[#This Row],[Média.A]] + (_xlfn.STDEV.S( tabConsumo[[#This Row],[QTD.PENDENTE]]:tabConsumo[[#This Row],[07_23]] ) * 1)</f>
        <v>444.21330332542937</v>
      </c>
      <c r="V271" s="255">
        <f xml:space="preserve"> tabConsumo[[#This Row],[Média.A]] + (_xlfn.STDEV.S( tabConsumo[[#This Row],[QTD.PENDENTE]]:tabConsumo[[#This Row],[07_23]] ) * 2)</f>
        <v>637.5099399841921</v>
      </c>
      <c r="W271" s="255">
        <f xml:space="preserve"> tabConsumo[[#This Row],[Média.A]] + (_xlfn.STDEV.S( tabConsumo[[#This Row],[QTD.PENDENTE]]:tabConsumo[[#This Row],[07_23]] ) * 3)</f>
        <v>830.80657664295484</v>
      </c>
      <c r="X271" s="5">
        <f t="shared" si="10"/>
        <v>2</v>
      </c>
      <c r="Y271">
        <v>250.91666666666666</v>
      </c>
      <c r="Z271" s="257">
        <f>SUM( tabConsumo[[#This Row],[QTD.PENDENTE]]:tabConsumo[[#This Row],[07_23]] )</f>
        <v>3011</v>
      </c>
      <c r="AA271" s="257">
        <f>LARGE(tabConsumo[[#This Row],[08_22]:[07_23]],1)</f>
        <v>619</v>
      </c>
      <c r="AB271" s="175" t="s">
        <v>2211</v>
      </c>
      <c r="AC271" s="3" t="s">
        <v>2064</v>
      </c>
    </row>
    <row r="272" spans="1:29" x14ac:dyDescent="0.3">
      <c r="A272" s="4" t="s">
        <v>1743</v>
      </c>
      <c r="B272" s="3" t="s">
        <v>31</v>
      </c>
      <c r="C272" s="2">
        <v>122305</v>
      </c>
      <c r="D272" s="2">
        <v>526</v>
      </c>
      <c r="F272" s="2">
        <v>0</v>
      </c>
      <c r="G272" s="2">
        <v>0</v>
      </c>
      <c r="H272" s="2">
        <v>0</v>
      </c>
      <c r="I272" s="2">
        <v>50</v>
      </c>
      <c r="J272" s="2">
        <v>25</v>
      </c>
      <c r="K272" s="2">
        <v>4</v>
      </c>
      <c r="L272" s="2">
        <v>0</v>
      </c>
      <c r="M272" s="2">
        <v>254</v>
      </c>
      <c r="N272" s="2">
        <v>20</v>
      </c>
      <c r="O272" s="2">
        <v>400</v>
      </c>
      <c r="P272" s="2">
        <v>0</v>
      </c>
      <c r="Q272" s="2">
        <v>0</v>
      </c>
      <c r="R272" s="274">
        <v>40946</v>
      </c>
      <c r="S272" s="253">
        <v>12</v>
      </c>
      <c r="T272" s="254">
        <f>SUM( tabConsumo[[#This Row],[QTD.PENDENTE]]:tabConsumo[[#This Row],[07_23]] ) / tabConsumo[[#This Row],[Div]]</f>
        <v>62.75</v>
      </c>
      <c r="U272" s="255">
        <f xml:space="preserve"> tabConsumo[[#This Row],[Média.A]] + (_xlfn.STDEV.S( tabConsumo[[#This Row],[QTD.PENDENTE]]:tabConsumo[[#This Row],[07_23]] ) * 1)</f>
        <v>190.95659818504592</v>
      </c>
      <c r="V272" s="255">
        <f xml:space="preserve"> tabConsumo[[#This Row],[Média.A]] + (_xlfn.STDEV.S( tabConsumo[[#This Row],[QTD.PENDENTE]]:tabConsumo[[#This Row],[07_23]] ) * 2)</f>
        <v>319.16319637009184</v>
      </c>
      <c r="W272" s="255">
        <f xml:space="preserve"> tabConsumo[[#This Row],[Média.A]] + (_xlfn.STDEV.S( tabConsumo[[#This Row],[QTD.PENDENTE]]:tabConsumo[[#This Row],[07_23]] ) * 3)</f>
        <v>447.36979455513779</v>
      </c>
      <c r="X272" s="5">
        <f t="shared" si="10"/>
        <v>2</v>
      </c>
      <c r="Y272">
        <v>56</v>
      </c>
      <c r="Z272" s="257">
        <f>SUM( tabConsumo[[#This Row],[QTD.PENDENTE]]:tabConsumo[[#This Row],[07_23]] )</f>
        <v>753</v>
      </c>
      <c r="AA272" s="257">
        <f>LARGE(tabConsumo[[#This Row],[08_22]:[07_23]],1)</f>
        <v>400</v>
      </c>
      <c r="AB272" s="175" t="s">
        <v>2214</v>
      </c>
      <c r="AC272" s="3" t="s">
        <v>2064</v>
      </c>
    </row>
    <row r="273" spans="1:29" x14ac:dyDescent="0.3">
      <c r="A273" s="4" t="s">
        <v>1465</v>
      </c>
      <c r="B273" s="3" t="s">
        <v>256</v>
      </c>
      <c r="C273" s="2">
        <v>81455</v>
      </c>
      <c r="D273" s="2">
        <v>1</v>
      </c>
      <c r="E273" s="2">
        <v>68</v>
      </c>
      <c r="F273" s="2">
        <v>0</v>
      </c>
      <c r="G273" s="2">
        <v>60</v>
      </c>
      <c r="H273" s="2">
        <v>20</v>
      </c>
      <c r="I273" s="2">
        <v>130</v>
      </c>
      <c r="J273" s="2">
        <v>30</v>
      </c>
      <c r="K273" s="2">
        <v>0</v>
      </c>
      <c r="L273" s="2">
        <v>0</v>
      </c>
      <c r="M273" s="2">
        <v>270</v>
      </c>
      <c r="N273" s="2">
        <v>0</v>
      </c>
      <c r="O273" s="2">
        <v>132</v>
      </c>
      <c r="P273" s="2">
        <v>0</v>
      </c>
      <c r="Q273" s="2">
        <v>0</v>
      </c>
      <c r="R273" s="274">
        <v>38223</v>
      </c>
      <c r="S273" s="253">
        <v>12</v>
      </c>
      <c r="T273" s="254">
        <f>SUM( tabConsumo[[#This Row],[QTD.PENDENTE]]:tabConsumo[[#This Row],[07_23]] ) / tabConsumo[[#This Row],[Div]]</f>
        <v>59.166666666666664</v>
      </c>
      <c r="U273" s="255">
        <f xml:space="preserve"> tabConsumo[[#This Row],[Média.A]] + (_xlfn.STDEV.S( tabConsumo[[#This Row],[QTD.PENDENTE]]:tabConsumo[[#This Row],[07_23]] ) * 1)</f>
        <v>139.77429498799705</v>
      </c>
      <c r="V273" s="255">
        <f xml:space="preserve"> tabConsumo[[#This Row],[Média.A]] + (_xlfn.STDEV.S( tabConsumo[[#This Row],[QTD.PENDENTE]]:tabConsumo[[#This Row],[07_23]] ) * 2)</f>
        <v>220.38192330932742</v>
      </c>
      <c r="W273" s="255">
        <f xml:space="preserve"> tabConsumo[[#This Row],[Média.A]] + (_xlfn.STDEV.S( tabConsumo[[#This Row],[QTD.PENDENTE]]:tabConsumo[[#This Row],[07_23]] ) * 3)</f>
        <v>300.98955163065784</v>
      </c>
      <c r="X273" s="5">
        <f t="shared" si="10"/>
        <v>2</v>
      </c>
      <c r="Y273">
        <v>55</v>
      </c>
      <c r="Z273" s="257">
        <f>SUM( tabConsumo[[#This Row],[QTD.PENDENTE]]:tabConsumo[[#This Row],[07_23]] )</f>
        <v>710</v>
      </c>
      <c r="AA273" s="257">
        <f>LARGE(tabConsumo[[#This Row],[08_22]:[07_23]],1)</f>
        <v>270</v>
      </c>
      <c r="AB273" s="175" t="s">
        <v>2214</v>
      </c>
      <c r="AC273" s="3" t="s">
        <v>2064</v>
      </c>
    </row>
    <row r="274" spans="1:29" x14ac:dyDescent="0.3">
      <c r="A274" s="4" t="s">
        <v>1455</v>
      </c>
      <c r="B274" s="3" t="s">
        <v>256</v>
      </c>
      <c r="C274" s="2">
        <v>80387</v>
      </c>
      <c r="D274" s="2">
        <v>130</v>
      </c>
      <c r="F274" s="2">
        <v>16</v>
      </c>
      <c r="G274" s="2">
        <v>30</v>
      </c>
      <c r="H274" s="2">
        <v>30</v>
      </c>
      <c r="I274" s="2">
        <v>50</v>
      </c>
      <c r="J274" s="2">
        <v>50</v>
      </c>
      <c r="K274" s="2">
        <v>50</v>
      </c>
      <c r="L274" s="2">
        <v>50</v>
      </c>
      <c r="M274" s="2">
        <v>310</v>
      </c>
      <c r="N274" s="2">
        <v>0</v>
      </c>
      <c r="O274" s="2">
        <v>200</v>
      </c>
      <c r="P274" s="2">
        <v>0</v>
      </c>
      <c r="Q274" s="2">
        <v>0</v>
      </c>
      <c r="R274" s="274">
        <v>38169</v>
      </c>
      <c r="S274" s="253">
        <v>12</v>
      </c>
      <c r="T274" s="254">
        <f>SUM( tabConsumo[[#This Row],[QTD.PENDENTE]]:tabConsumo[[#This Row],[07_23]] ) / tabConsumo[[#This Row],[Div]]</f>
        <v>65.5</v>
      </c>
      <c r="U274" s="255">
        <f xml:space="preserve"> tabConsumo[[#This Row],[Média.A]] + (_xlfn.STDEV.S( tabConsumo[[#This Row],[QTD.PENDENTE]]:tabConsumo[[#This Row],[07_23]] ) * 1)</f>
        <v>159.24675751968462</v>
      </c>
      <c r="V274" s="255">
        <f xml:space="preserve"> tabConsumo[[#This Row],[Média.A]] + (_xlfn.STDEV.S( tabConsumo[[#This Row],[QTD.PENDENTE]]:tabConsumo[[#This Row],[07_23]] ) * 2)</f>
        <v>252.99351503936924</v>
      </c>
      <c r="W274" s="255">
        <f xml:space="preserve"> tabConsumo[[#This Row],[Média.A]] + (_xlfn.STDEV.S( tabConsumo[[#This Row],[QTD.PENDENTE]]:tabConsumo[[#This Row],[07_23]] ) * 3)</f>
        <v>346.74027255905389</v>
      </c>
      <c r="X274" s="5">
        <f t="shared" si="10"/>
        <v>2</v>
      </c>
      <c r="Y274">
        <v>60.666666666666664</v>
      </c>
      <c r="Z274" s="257">
        <f>SUM( tabConsumo[[#This Row],[QTD.PENDENTE]]:tabConsumo[[#This Row],[07_23]] )</f>
        <v>786</v>
      </c>
      <c r="AA274" s="257">
        <f>LARGE(tabConsumo[[#This Row],[08_22]:[07_23]],1)</f>
        <v>310</v>
      </c>
      <c r="AB274" s="175" t="s">
        <v>2214</v>
      </c>
      <c r="AC274" s="3" t="s">
        <v>2064</v>
      </c>
    </row>
    <row r="275" spans="1:29" x14ac:dyDescent="0.3">
      <c r="A275" s="4" t="s">
        <v>468</v>
      </c>
      <c r="B275" s="3" t="s">
        <v>256</v>
      </c>
      <c r="C275" s="2">
        <v>85798</v>
      </c>
      <c r="D275" s="2">
        <v>264</v>
      </c>
      <c r="F275" s="2">
        <v>0</v>
      </c>
      <c r="G275" s="2">
        <v>0</v>
      </c>
      <c r="H275" s="2">
        <v>0</v>
      </c>
      <c r="I275" s="2">
        <v>0</v>
      </c>
      <c r="J275" s="2">
        <v>0</v>
      </c>
      <c r="K275" s="2">
        <v>0</v>
      </c>
      <c r="L275" s="2">
        <v>0</v>
      </c>
      <c r="M275" s="2">
        <v>0</v>
      </c>
      <c r="N275" s="2">
        <v>2</v>
      </c>
      <c r="O275" s="2">
        <v>0</v>
      </c>
      <c r="P275" s="2">
        <v>0</v>
      </c>
      <c r="Q275" s="2">
        <v>0</v>
      </c>
      <c r="R275" s="274">
        <v>38502</v>
      </c>
      <c r="S275" s="253">
        <v>12</v>
      </c>
      <c r="T275" s="254">
        <f>SUM( tabConsumo[[#This Row],[QTD.PENDENTE]]:tabConsumo[[#This Row],[07_23]] ) / tabConsumo[[#This Row],[Div]]</f>
        <v>0.16666666666666666</v>
      </c>
      <c r="U275" s="255">
        <f xml:space="preserve"> tabConsumo[[#This Row],[Média.A]] + (_xlfn.STDEV.S( tabConsumo[[#This Row],[QTD.PENDENTE]]:tabConsumo[[#This Row],[07_23]] ) * 1)</f>
        <v>0.74401693585629236</v>
      </c>
      <c r="V275" s="255">
        <f xml:space="preserve"> tabConsumo[[#This Row],[Média.A]] + (_xlfn.STDEV.S( tabConsumo[[#This Row],[QTD.PENDENTE]]:tabConsumo[[#This Row],[07_23]] ) * 2)</f>
        <v>1.3213672050459182</v>
      </c>
      <c r="W275" s="255">
        <f xml:space="preserve"> tabConsumo[[#This Row],[Média.A]] + (_xlfn.STDEV.S( tabConsumo[[#This Row],[QTD.PENDENTE]]:tabConsumo[[#This Row],[07_23]] ) * 3)</f>
        <v>1.8987174742355439</v>
      </c>
      <c r="X275" s="5">
        <f t="shared" si="10"/>
        <v>2</v>
      </c>
      <c r="Y275">
        <v>8.3333333333333329E-2</v>
      </c>
      <c r="Z275" s="257">
        <f>SUM( tabConsumo[[#This Row],[QTD.PENDENTE]]:tabConsumo[[#This Row],[07_23]] )</f>
        <v>2</v>
      </c>
      <c r="AA275" s="257">
        <f>LARGE(tabConsumo[[#This Row],[08_22]:[07_23]],1)</f>
        <v>2</v>
      </c>
      <c r="AB275" s="175" t="s">
        <v>2213</v>
      </c>
      <c r="AC275" s="3" t="s">
        <v>2064</v>
      </c>
    </row>
    <row r="276" spans="1:29" x14ac:dyDescent="0.3">
      <c r="A276" s="4" t="s">
        <v>1977</v>
      </c>
      <c r="B276" s="3" t="s">
        <v>31</v>
      </c>
      <c r="C276" s="2">
        <v>139545</v>
      </c>
      <c r="D276" s="2">
        <v>637</v>
      </c>
      <c r="F276" s="2">
        <v>0</v>
      </c>
      <c r="G276" s="2">
        <v>0</v>
      </c>
      <c r="H276" s="2">
        <v>0</v>
      </c>
      <c r="I276" s="2">
        <v>0</v>
      </c>
      <c r="J276" s="2">
        <v>0</v>
      </c>
      <c r="K276" s="2">
        <v>25</v>
      </c>
      <c r="L276" s="2">
        <v>0</v>
      </c>
      <c r="M276" s="2">
        <v>50</v>
      </c>
      <c r="N276" s="2">
        <v>4</v>
      </c>
      <c r="O276" s="2">
        <v>0</v>
      </c>
      <c r="P276" s="2">
        <v>0</v>
      </c>
      <c r="Q276" s="2">
        <v>0</v>
      </c>
      <c r="R276" s="274">
        <v>43983</v>
      </c>
      <c r="S276" s="253">
        <v>12</v>
      </c>
      <c r="T276" s="254">
        <f>SUM( tabConsumo[[#This Row],[QTD.PENDENTE]]:tabConsumo[[#This Row],[07_23]] ) / tabConsumo[[#This Row],[Div]]</f>
        <v>6.583333333333333</v>
      </c>
      <c r="U276" s="255">
        <f xml:space="preserve"> tabConsumo[[#This Row],[Média.A]] + (_xlfn.STDEV.S( tabConsumo[[#This Row],[QTD.PENDENTE]]:tabConsumo[[#This Row],[07_23]] ) * 1)</f>
        <v>22.019173171681992</v>
      </c>
      <c r="V276" s="255">
        <f xml:space="preserve"> tabConsumo[[#This Row],[Média.A]] + (_xlfn.STDEV.S( tabConsumo[[#This Row],[QTD.PENDENTE]]:tabConsumo[[#This Row],[07_23]] ) * 2)</f>
        <v>37.455013010030648</v>
      </c>
      <c r="W276" s="255">
        <f xml:space="preserve"> tabConsumo[[#This Row],[Média.A]] + (_xlfn.STDEV.S( tabConsumo[[#This Row],[QTD.PENDENTE]]:tabConsumo[[#This Row],[07_23]] ) * 3)</f>
        <v>52.890852848379311</v>
      </c>
      <c r="X276" s="5">
        <f t="shared" si="10"/>
        <v>2</v>
      </c>
      <c r="Y276">
        <v>5.5</v>
      </c>
      <c r="Z276" s="257">
        <f>SUM( tabConsumo[[#This Row],[QTD.PENDENTE]]:tabConsumo[[#This Row],[07_23]] )</f>
        <v>79</v>
      </c>
      <c r="AA276" s="257">
        <f>LARGE(tabConsumo[[#This Row],[08_22]:[07_23]],1)</f>
        <v>50</v>
      </c>
      <c r="AB276" s="175" t="s">
        <v>2213</v>
      </c>
      <c r="AC276" s="3" t="s">
        <v>2064</v>
      </c>
    </row>
    <row r="277" spans="1:29" x14ac:dyDescent="0.3">
      <c r="A277" s="4" t="s">
        <v>1136</v>
      </c>
      <c r="B277" s="3" t="s">
        <v>256</v>
      </c>
      <c r="C277" s="2">
        <v>17562</v>
      </c>
      <c r="D277" s="2">
        <v>443</v>
      </c>
      <c r="F277" s="2">
        <v>0</v>
      </c>
      <c r="G277" s="2">
        <v>0</v>
      </c>
      <c r="H277" s="2">
        <v>0</v>
      </c>
      <c r="I277" s="2">
        <v>30</v>
      </c>
      <c r="J277" s="2">
        <v>0</v>
      </c>
      <c r="K277" s="2">
        <v>0</v>
      </c>
      <c r="L277" s="2">
        <v>0</v>
      </c>
      <c r="M277" s="2">
        <v>10</v>
      </c>
      <c r="N277" s="2">
        <v>0</v>
      </c>
      <c r="O277" s="2">
        <v>0</v>
      </c>
      <c r="P277" s="2">
        <v>0</v>
      </c>
      <c r="Q277" s="2">
        <v>0</v>
      </c>
      <c r="R277" s="274">
        <v>367</v>
      </c>
      <c r="S277" s="253">
        <f xml:space="preserve"> 12</f>
        <v>12</v>
      </c>
      <c r="T277" s="254">
        <f>SUM( tabConsumo[[#This Row],[QTD.PENDENTE]]:tabConsumo[[#This Row],[07_23]] ) / tabConsumo[[#This Row],[Div]]</f>
        <v>3.3333333333333335</v>
      </c>
      <c r="U277" s="255">
        <f xml:space="preserve"> tabConsumo[[#This Row],[Média.A]] + (_xlfn.STDEV.S( tabConsumo[[#This Row],[QTD.PENDENTE]]:tabConsumo[[#This Row],[07_23]] ) * 1)</f>
        <v>12.20958697931928</v>
      </c>
      <c r="V277" s="255">
        <f xml:space="preserve"> tabConsumo[[#This Row],[Média.A]] + (_xlfn.STDEV.S( tabConsumo[[#This Row],[QTD.PENDENTE]]:tabConsumo[[#This Row],[07_23]] ) * 2)</f>
        <v>21.085840625305224</v>
      </c>
      <c r="W277" s="255">
        <f xml:space="preserve"> tabConsumo[[#This Row],[Média.A]] + (_xlfn.STDEV.S( tabConsumo[[#This Row],[QTD.PENDENTE]]:tabConsumo[[#This Row],[07_23]] ) * 3)</f>
        <v>29.962094271291168</v>
      </c>
      <c r="X277" s="5">
        <f t="shared" si="10"/>
        <v>2</v>
      </c>
      <c r="Y277">
        <v>2.5833333333333335</v>
      </c>
      <c r="Z277" s="257">
        <f>SUM( tabConsumo[[#This Row],[QTD.PENDENTE]]:tabConsumo[[#This Row],[07_23]] )</f>
        <v>40</v>
      </c>
      <c r="AA277" s="257">
        <f>LARGE(tabConsumo[[#This Row],[08_22]:[07_23]],1)</f>
        <v>30</v>
      </c>
      <c r="AB277" s="175" t="s">
        <v>2217</v>
      </c>
      <c r="AC277" s="3" t="s">
        <v>2064</v>
      </c>
    </row>
    <row r="278" spans="1:29" x14ac:dyDescent="0.3">
      <c r="A278" s="4" t="s">
        <v>1274</v>
      </c>
      <c r="B278" s="3" t="s">
        <v>256</v>
      </c>
      <c r="C278" s="2">
        <v>40251</v>
      </c>
      <c r="D278" s="2">
        <v>0</v>
      </c>
      <c r="E278" s="2">
        <v>110</v>
      </c>
      <c r="F278" s="2">
        <v>60</v>
      </c>
      <c r="G278" s="2">
        <v>50</v>
      </c>
      <c r="H278" s="2">
        <v>20</v>
      </c>
      <c r="I278" s="2">
        <v>30</v>
      </c>
      <c r="J278" s="2">
        <v>50</v>
      </c>
      <c r="K278" s="2">
        <v>37</v>
      </c>
      <c r="L278" s="2">
        <v>32</v>
      </c>
      <c r="M278" s="2">
        <v>78</v>
      </c>
      <c r="N278" s="2">
        <v>191</v>
      </c>
      <c r="O278" s="2">
        <v>0</v>
      </c>
      <c r="P278" s="2">
        <v>0</v>
      </c>
      <c r="Q278" s="2">
        <v>0</v>
      </c>
      <c r="R278" s="274">
        <v>367</v>
      </c>
      <c r="S278" s="253">
        <f xml:space="preserve"> 12</f>
        <v>12</v>
      </c>
      <c r="T278" s="254">
        <f>SUM( tabConsumo[[#This Row],[QTD.PENDENTE]]:tabConsumo[[#This Row],[07_23]] ) / tabConsumo[[#This Row],[Div]]</f>
        <v>54.833333333333336</v>
      </c>
      <c r="U278" s="255">
        <f xml:space="preserve"> tabConsumo[[#This Row],[Média.A]] + (_xlfn.STDEV.S( tabConsumo[[#This Row],[QTD.PENDENTE]]:tabConsumo[[#This Row],[07_23]] ) * 1)</f>
        <v>107.79013721086238</v>
      </c>
      <c r="V278" s="255">
        <f xml:space="preserve"> tabConsumo[[#This Row],[Média.A]] + (_xlfn.STDEV.S( tabConsumo[[#This Row],[QTD.PENDENTE]]:tabConsumo[[#This Row],[07_23]] ) * 2)</f>
        <v>160.74694108839145</v>
      </c>
      <c r="W278" s="255">
        <f xml:space="preserve"> tabConsumo[[#This Row],[Média.A]] + (_xlfn.STDEV.S( tabConsumo[[#This Row],[QTD.PENDENTE]]:tabConsumo[[#This Row],[07_23]] ) * 3)</f>
        <v>213.70374496592049</v>
      </c>
      <c r="X278" s="5">
        <f t="shared" si="10"/>
        <v>2</v>
      </c>
      <c r="Y278">
        <v>52.25</v>
      </c>
      <c r="Z278" s="257">
        <f>SUM( tabConsumo[[#This Row],[QTD.PENDENTE]]:tabConsumo[[#This Row],[07_23]] )</f>
        <v>658</v>
      </c>
      <c r="AA278" s="257">
        <f>LARGE(tabConsumo[[#This Row],[08_22]:[07_23]],1)</f>
        <v>191</v>
      </c>
      <c r="AB278" s="175" t="s">
        <v>2213</v>
      </c>
      <c r="AC278" s="3" t="s">
        <v>2064</v>
      </c>
    </row>
    <row r="279" spans="1:29" x14ac:dyDescent="0.3">
      <c r="A279" s="4" t="s">
        <v>473</v>
      </c>
      <c r="B279" s="3" t="s">
        <v>256</v>
      </c>
      <c r="C279" s="2">
        <v>88718</v>
      </c>
      <c r="D279" s="2">
        <v>96</v>
      </c>
      <c r="F279" s="2">
        <v>0</v>
      </c>
      <c r="G279" s="2">
        <v>0</v>
      </c>
      <c r="H279" s="2">
        <v>0</v>
      </c>
      <c r="I279" s="2">
        <v>0</v>
      </c>
      <c r="J279" s="2">
        <v>6</v>
      </c>
      <c r="K279" s="2">
        <v>0</v>
      </c>
      <c r="L279" s="2">
        <v>0</v>
      </c>
      <c r="M279" s="2">
        <v>2</v>
      </c>
      <c r="N279" s="2">
        <v>0</v>
      </c>
      <c r="O279" s="2">
        <v>4</v>
      </c>
      <c r="P279" s="2">
        <v>0</v>
      </c>
      <c r="Q279" s="2">
        <v>0</v>
      </c>
      <c r="R279" s="274">
        <v>38656</v>
      </c>
      <c r="S279" s="253">
        <v>12</v>
      </c>
      <c r="T279" s="254">
        <f>SUM( tabConsumo[[#This Row],[QTD.PENDENTE]]:tabConsumo[[#This Row],[07_23]] ) / tabConsumo[[#This Row],[Div]]</f>
        <v>1</v>
      </c>
      <c r="U279" s="255">
        <f xml:space="preserve"> tabConsumo[[#This Row],[Média.A]] + (_xlfn.STDEV.S( tabConsumo[[#This Row],[QTD.PENDENTE]]:tabConsumo[[#This Row],[07_23]] ) * 1)</f>
        <v>3</v>
      </c>
      <c r="V279" s="255">
        <f xml:space="preserve"> tabConsumo[[#This Row],[Média.A]] + (_xlfn.STDEV.S( tabConsumo[[#This Row],[QTD.PENDENTE]]:tabConsumo[[#This Row],[07_23]] ) * 2)</f>
        <v>5</v>
      </c>
      <c r="W279" s="255">
        <f xml:space="preserve"> tabConsumo[[#This Row],[Média.A]] + (_xlfn.STDEV.S( tabConsumo[[#This Row],[QTD.PENDENTE]]:tabConsumo[[#This Row],[07_23]] ) * 3)</f>
        <v>7</v>
      </c>
      <c r="X279" s="5">
        <f t="shared" si="10"/>
        <v>2</v>
      </c>
      <c r="Y279">
        <v>0.91666666666666663</v>
      </c>
      <c r="Z279" s="257">
        <f>SUM( tabConsumo[[#This Row],[QTD.PENDENTE]]:tabConsumo[[#This Row],[07_23]] )</f>
        <v>12</v>
      </c>
      <c r="AA279" s="257">
        <f>LARGE(tabConsumo[[#This Row],[08_22]:[07_23]],1)</f>
        <v>6</v>
      </c>
      <c r="AB279" s="175" t="s">
        <v>2214</v>
      </c>
      <c r="AC279" s="3" t="s">
        <v>2064</v>
      </c>
    </row>
    <row r="280" spans="1:29" x14ac:dyDescent="0.3">
      <c r="A280" s="4" t="s">
        <v>1663</v>
      </c>
      <c r="B280" s="3" t="s">
        <v>256</v>
      </c>
      <c r="C280" s="2">
        <v>110771</v>
      </c>
      <c r="D280" s="2">
        <v>52</v>
      </c>
      <c r="F280" s="2">
        <v>23</v>
      </c>
      <c r="G280" s="2">
        <v>4</v>
      </c>
      <c r="H280" s="2">
        <v>10</v>
      </c>
      <c r="I280" s="2">
        <v>0</v>
      </c>
      <c r="J280" s="2">
        <v>27</v>
      </c>
      <c r="K280" s="2">
        <v>4</v>
      </c>
      <c r="L280" s="2">
        <v>3</v>
      </c>
      <c r="M280" s="2">
        <v>0</v>
      </c>
      <c r="N280" s="2">
        <v>15</v>
      </c>
      <c r="O280" s="2">
        <v>0</v>
      </c>
      <c r="P280" s="2">
        <v>0</v>
      </c>
      <c r="Q280" s="2">
        <v>0</v>
      </c>
      <c r="R280" s="274">
        <v>39933</v>
      </c>
      <c r="S280" s="253">
        <v>12</v>
      </c>
      <c r="T280" s="254">
        <f>SUM( tabConsumo[[#This Row],[QTD.PENDENTE]]:tabConsumo[[#This Row],[07_23]] ) / tabConsumo[[#This Row],[Div]]</f>
        <v>7.166666666666667</v>
      </c>
      <c r="U280" s="255">
        <f xml:space="preserve"> tabConsumo[[#This Row],[Média.A]] + (_xlfn.STDEV.S( tabConsumo[[#This Row],[QTD.PENDENTE]]:tabConsumo[[#This Row],[07_23]] ) * 1)</f>
        <v>16.737772172618453</v>
      </c>
      <c r="V280" s="255">
        <f xml:space="preserve"> tabConsumo[[#This Row],[Média.A]] + (_xlfn.STDEV.S( tabConsumo[[#This Row],[QTD.PENDENTE]]:tabConsumo[[#This Row],[07_23]] ) * 2)</f>
        <v>26.308877678570241</v>
      </c>
      <c r="W280" s="255">
        <f xml:space="preserve"> tabConsumo[[#This Row],[Média.A]] + (_xlfn.STDEV.S( tabConsumo[[#This Row],[QTD.PENDENTE]]:tabConsumo[[#This Row],[07_23]] ) * 3)</f>
        <v>35.879983184522025</v>
      </c>
      <c r="X280" s="5">
        <f t="shared" si="10"/>
        <v>2</v>
      </c>
      <c r="Y280">
        <v>7.083333333333333</v>
      </c>
      <c r="Z280" s="257">
        <f>SUM( tabConsumo[[#This Row],[QTD.PENDENTE]]:tabConsumo[[#This Row],[07_23]] )</f>
        <v>86</v>
      </c>
      <c r="AA280" s="257">
        <f>LARGE(tabConsumo[[#This Row],[08_22]:[07_23]],1)</f>
        <v>27</v>
      </c>
      <c r="AB280" s="175" t="s">
        <v>2213</v>
      </c>
      <c r="AC280" s="3" t="s">
        <v>2064</v>
      </c>
    </row>
    <row r="281" spans="1:29" x14ac:dyDescent="0.3">
      <c r="A281" s="4" t="s">
        <v>1492</v>
      </c>
      <c r="B281" s="3" t="s">
        <v>256</v>
      </c>
      <c r="C281" s="2">
        <v>88726</v>
      </c>
      <c r="D281" s="2">
        <v>150</v>
      </c>
      <c r="F281" s="2">
        <v>0</v>
      </c>
      <c r="G281" s="2">
        <v>3</v>
      </c>
      <c r="H281" s="2">
        <v>2</v>
      </c>
      <c r="I281" s="2">
        <v>4</v>
      </c>
      <c r="J281" s="2">
        <v>2</v>
      </c>
      <c r="K281" s="2">
        <v>4</v>
      </c>
      <c r="L281" s="2">
        <v>1</v>
      </c>
      <c r="M281" s="2">
        <v>0</v>
      </c>
      <c r="N281" s="2">
        <v>12</v>
      </c>
      <c r="O281" s="2">
        <v>4</v>
      </c>
      <c r="P281" s="2">
        <v>0</v>
      </c>
      <c r="Q281" s="2">
        <v>0</v>
      </c>
      <c r="R281" s="274">
        <v>38656</v>
      </c>
      <c r="S281" s="253">
        <v>12</v>
      </c>
      <c r="T281" s="254">
        <f>SUM( tabConsumo[[#This Row],[QTD.PENDENTE]]:tabConsumo[[#This Row],[07_23]] ) / tabConsumo[[#This Row],[Div]]</f>
        <v>2.6666666666666665</v>
      </c>
      <c r="U281" s="255">
        <f xml:space="preserve"> tabConsumo[[#This Row],[Média.A]] + (_xlfn.STDEV.S( tabConsumo[[#This Row],[QTD.PENDENTE]]:tabConsumo[[#This Row],[07_23]] ) * 1)</f>
        <v>6.0331683127873594</v>
      </c>
      <c r="V281" s="255">
        <f xml:space="preserve"> tabConsumo[[#This Row],[Média.A]] + (_xlfn.STDEV.S( tabConsumo[[#This Row],[QTD.PENDENTE]]:tabConsumo[[#This Row],[07_23]] ) * 2)</f>
        <v>9.3996699589080528</v>
      </c>
      <c r="W281" s="255">
        <f xml:space="preserve"> tabConsumo[[#This Row],[Média.A]] + (_xlfn.STDEV.S( tabConsumo[[#This Row],[QTD.PENDENTE]]:tabConsumo[[#This Row],[07_23]] ) * 3)</f>
        <v>12.766171605028745</v>
      </c>
      <c r="X281" s="5">
        <f t="shared" si="10"/>
        <v>2</v>
      </c>
      <c r="Y281">
        <v>2.4166666666666665</v>
      </c>
      <c r="Z281" s="257">
        <f>SUM( tabConsumo[[#This Row],[QTD.PENDENTE]]:tabConsumo[[#This Row],[07_23]] )</f>
        <v>32</v>
      </c>
      <c r="AA281" s="257">
        <f>LARGE(tabConsumo[[#This Row],[08_22]:[07_23]],1)</f>
        <v>12</v>
      </c>
      <c r="AB281" s="175" t="s">
        <v>2214</v>
      </c>
      <c r="AC281" s="3" t="s">
        <v>2064</v>
      </c>
    </row>
    <row r="282" spans="1:29" x14ac:dyDescent="0.3">
      <c r="A282" s="4" t="s">
        <v>1493</v>
      </c>
      <c r="B282" s="3" t="s">
        <v>256</v>
      </c>
      <c r="C282" s="2">
        <v>88727</v>
      </c>
      <c r="D282" s="2">
        <v>248</v>
      </c>
      <c r="F282" s="2">
        <v>2</v>
      </c>
      <c r="G282" s="2">
        <v>32</v>
      </c>
      <c r="H282" s="2">
        <v>18</v>
      </c>
      <c r="I282" s="2">
        <v>2</v>
      </c>
      <c r="J282" s="2">
        <v>32</v>
      </c>
      <c r="K282" s="2">
        <v>51</v>
      </c>
      <c r="L282" s="2">
        <v>14</v>
      </c>
      <c r="M282" s="2">
        <v>8</v>
      </c>
      <c r="N282" s="2">
        <v>20</v>
      </c>
      <c r="O282" s="2">
        <v>0</v>
      </c>
      <c r="P282" s="2">
        <v>10</v>
      </c>
      <c r="Q282" s="2">
        <v>0</v>
      </c>
      <c r="R282" s="274">
        <v>38656</v>
      </c>
      <c r="S282" s="253">
        <v>12</v>
      </c>
      <c r="T282" s="254">
        <f>SUM( tabConsumo[[#This Row],[QTD.PENDENTE]]:tabConsumo[[#This Row],[07_23]] ) / tabConsumo[[#This Row],[Div]]</f>
        <v>15.75</v>
      </c>
      <c r="U282" s="255">
        <f xml:space="preserve"> tabConsumo[[#This Row],[Média.A]] + (_xlfn.STDEV.S( tabConsumo[[#This Row],[QTD.PENDENTE]]:tabConsumo[[#This Row],[07_23]] ) * 1)</f>
        <v>31.602301238162696</v>
      </c>
      <c r="V282" s="255">
        <f xml:space="preserve"> tabConsumo[[#This Row],[Média.A]] + (_xlfn.STDEV.S( tabConsumo[[#This Row],[QTD.PENDENTE]]:tabConsumo[[#This Row],[07_23]] ) * 2)</f>
        <v>47.454602476325391</v>
      </c>
      <c r="W282" s="255">
        <f xml:space="preserve"> tabConsumo[[#This Row],[Média.A]] + (_xlfn.STDEV.S( tabConsumo[[#This Row],[QTD.PENDENTE]]:tabConsumo[[#This Row],[07_23]] ) * 3)</f>
        <v>63.306903714488087</v>
      </c>
      <c r="X282" s="5">
        <f t="shared" si="10"/>
        <v>2</v>
      </c>
      <c r="Y282">
        <v>15.416666666666666</v>
      </c>
      <c r="Z282" s="257">
        <f>SUM( tabConsumo[[#This Row],[QTD.PENDENTE]]:tabConsumo[[#This Row],[07_23]] )</f>
        <v>189</v>
      </c>
      <c r="AA282" s="257">
        <f>LARGE(tabConsumo[[#This Row],[08_22]:[07_23]],1)</f>
        <v>51</v>
      </c>
      <c r="AB282" s="175" t="s">
        <v>2212</v>
      </c>
      <c r="AC282" s="3" t="s">
        <v>2064</v>
      </c>
    </row>
    <row r="283" spans="1:29" x14ac:dyDescent="0.3">
      <c r="A283" s="4" t="s">
        <v>1494</v>
      </c>
      <c r="B283" s="3" t="s">
        <v>256</v>
      </c>
      <c r="C283" s="2">
        <v>88728</v>
      </c>
      <c r="D283" s="2">
        <v>186</v>
      </c>
      <c r="F283" s="2">
        <v>7</v>
      </c>
      <c r="G283" s="2">
        <v>8</v>
      </c>
      <c r="H283" s="2">
        <v>14</v>
      </c>
      <c r="I283" s="2">
        <v>5</v>
      </c>
      <c r="J283" s="2">
        <v>11</v>
      </c>
      <c r="K283" s="2">
        <v>5</v>
      </c>
      <c r="L283" s="2">
        <v>11</v>
      </c>
      <c r="M283" s="2">
        <v>7</v>
      </c>
      <c r="N283" s="2">
        <v>24</v>
      </c>
      <c r="O283" s="2">
        <v>0</v>
      </c>
      <c r="P283" s="2">
        <v>0</v>
      </c>
      <c r="Q283" s="2">
        <v>20</v>
      </c>
      <c r="R283" s="274">
        <v>38656</v>
      </c>
      <c r="S283" s="253">
        <v>12</v>
      </c>
      <c r="T283" s="254">
        <f>SUM( tabConsumo[[#This Row],[QTD.PENDENTE]]:tabConsumo[[#This Row],[07_23]] ) / tabConsumo[[#This Row],[Div]]</f>
        <v>9.3333333333333339</v>
      </c>
      <c r="U283" s="255">
        <f xml:space="preserve"> tabConsumo[[#This Row],[Média.A]] + (_xlfn.STDEV.S( tabConsumo[[#This Row],[QTD.PENDENTE]]:tabConsumo[[#This Row],[07_23]] ) * 1)</f>
        <v>16.598860071834736</v>
      </c>
      <c r="V283" s="255">
        <f xml:space="preserve"> tabConsumo[[#This Row],[Média.A]] + (_xlfn.STDEV.S( tabConsumo[[#This Row],[QTD.PENDENTE]]:tabConsumo[[#This Row],[07_23]] ) * 2)</f>
        <v>23.864386810336136</v>
      </c>
      <c r="W283" s="255">
        <f xml:space="preserve"> tabConsumo[[#This Row],[Média.A]] + (_xlfn.STDEV.S( tabConsumo[[#This Row],[QTD.PENDENTE]]:tabConsumo[[#This Row],[07_23]] ) * 3)</f>
        <v>31.129913548837536</v>
      </c>
      <c r="X283" s="5">
        <f t="shared" si="10"/>
        <v>2</v>
      </c>
      <c r="Y283">
        <v>9.25</v>
      </c>
      <c r="Z283" s="257">
        <f>SUM( tabConsumo[[#This Row],[QTD.PENDENTE]]:tabConsumo[[#This Row],[07_23]] )</f>
        <v>112</v>
      </c>
      <c r="AA283" s="257">
        <f>LARGE(tabConsumo[[#This Row],[08_22]:[07_23]],1)</f>
        <v>24</v>
      </c>
      <c r="AB283" s="175" t="s">
        <v>2211</v>
      </c>
      <c r="AC283" s="3" t="s">
        <v>2064</v>
      </c>
    </row>
    <row r="284" spans="1:29" x14ac:dyDescent="0.3">
      <c r="A284" s="4" t="s">
        <v>1495</v>
      </c>
      <c r="B284" s="3" t="s">
        <v>256</v>
      </c>
      <c r="C284" s="2">
        <v>88729</v>
      </c>
      <c r="D284" s="2">
        <v>17</v>
      </c>
      <c r="F284" s="2">
        <v>5</v>
      </c>
      <c r="G284" s="2">
        <v>0</v>
      </c>
      <c r="H284" s="2">
        <v>5</v>
      </c>
      <c r="I284" s="2">
        <v>2</v>
      </c>
      <c r="J284" s="2">
        <v>6</v>
      </c>
      <c r="K284" s="2">
        <v>0</v>
      </c>
      <c r="L284" s="2">
        <v>3</v>
      </c>
      <c r="M284" s="2">
        <v>3</v>
      </c>
      <c r="N284" s="2">
        <v>10</v>
      </c>
      <c r="O284" s="2">
        <v>0</v>
      </c>
      <c r="P284" s="2">
        <v>20</v>
      </c>
      <c r="Q284" s="2">
        <v>0</v>
      </c>
      <c r="R284" s="274">
        <v>38656</v>
      </c>
      <c r="S284" s="253">
        <v>12</v>
      </c>
      <c r="T284" s="254">
        <f>SUM( tabConsumo[[#This Row],[QTD.PENDENTE]]:tabConsumo[[#This Row],[07_23]] ) / tabConsumo[[#This Row],[Div]]</f>
        <v>4.5</v>
      </c>
      <c r="U284" s="255">
        <f xml:space="preserve"> tabConsumo[[#This Row],[Média.A]] + (_xlfn.STDEV.S( tabConsumo[[#This Row],[QTD.PENDENTE]]:tabConsumo[[#This Row],[07_23]] ) * 1)</f>
        <v>10.260366149978505</v>
      </c>
      <c r="V284" s="255">
        <f xml:space="preserve"> tabConsumo[[#This Row],[Média.A]] + (_xlfn.STDEV.S( tabConsumo[[#This Row],[QTD.PENDENTE]]:tabConsumo[[#This Row],[07_23]] ) * 2)</f>
        <v>16.020732299957011</v>
      </c>
      <c r="W284" s="255">
        <f xml:space="preserve"> tabConsumo[[#This Row],[Média.A]] + (_xlfn.STDEV.S( tabConsumo[[#This Row],[QTD.PENDENTE]]:tabConsumo[[#This Row],[07_23]] ) * 3)</f>
        <v>21.781098449935513</v>
      </c>
      <c r="X284" s="5">
        <f t="shared" si="10"/>
        <v>2</v>
      </c>
      <c r="Y284">
        <v>4.166666666666667</v>
      </c>
      <c r="Z284" s="257">
        <f>SUM( tabConsumo[[#This Row],[QTD.PENDENTE]]:tabConsumo[[#This Row],[07_23]] )</f>
        <v>54</v>
      </c>
      <c r="AA284" s="257">
        <f>LARGE(tabConsumo[[#This Row],[08_22]:[07_23]],1)</f>
        <v>20</v>
      </c>
      <c r="AB284" s="175" t="s">
        <v>2212</v>
      </c>
      <c r="AC284" s="3" t="s">
        <v>2064</v>
      </c>
    </row>
    <row r="285" spans="1:29" x14ac:dyDescent="0.3">
      <c r="A285" s="4" t="s">
        <v>1496</v>
      </c>
      <c r="B285" s="3" t="s">
        <v>256</v>
      </c>
      <c r="C285" s="2">
        <v>88730</v>
      </c>
      <c r="D285" s="2">
        <v>18</v>
      </c>
      <c r="F285" s="2">
        <v>0</v>
      </c>
      <c r="G285" s="2">
        <v>4</v>
      </c>
      <c r="H285" s="2">
        <v>6</v>
      </c>
      <c r="I285" s="2">
        <v>2</v>
      </c>
      <c r="J285" s="2">
        <v>4</v>
      </c>
      <c r="K285" s="2">
        <v>0</v>
      </c>
      <c r="L285" s="2">
        <v>1</v>
      </c>
      <c r="M285" s="2">
        <v>2</v>
      </c>
      <c r="N285" s="2">
        <v>0</v>
      </c>
      <c r="O285" s="2">
        <v>0</v>
      </c>
      <c r="P285" s="2">
        <v>0</v>
      </c>
      <c r="Q285" s="2">
        <v>0</v>
      </c>
      <c r="R285" s="274">
        <v>38656</v>
      </c>
      <c r="S285" s="253">
        <v>12</v>
      </c>
      <c r="T285" s="254">
        <f>SUM( tabConsumo[[#This Row],[QTD.PENDENTE]]:tabConsumo[[#This Row],[07_23]] ) / tabConsumo[[#This Row],[Div]]</f>
        <v>1.5833333333333333</v>
      </c>
      <c r="U285" s="255">
        <f xml:space="preserve"> tabConsumo[[#This Row],[Média.A]] + (_xlfn.STDEV.S( tabConsumo[[#This Row],[QTD.PENDENTE]]:tabConsumo[[#This Row],[07_23]] ) * 1)</f>
        <v>3.6485576589579169</v>
      </c>
      <c r="V285" s="255">
        <f xml:space="preserve"> tabConsumo[[#This Row],[Média.A]] + (_xlfn.STDEV.S( tabConsumo[[#This Row],[QTD.PENDENTE]]:tabConsumo[[#This Row],[07_23]] ) * 2)</f>
        <v>5.7137819845825</v>
      </c>
      <c r="W285" s="255">
        <f xml:space="preserve"> tabConsumo[[#This Row],[Média.A]] + (_xlfn.STDEV.S( tabConsumo[[#This Row],[QTD.PENDENTE]]:tabConsumo[[#This Row],[07_23]] ) * 3)</f>
        <v>7.779006310207083</v>
      </c>
      <c r="X285" s="5">
        <f t="shared" si="10"/>
        <v>2</v>
      </c>
      <c r="Y285">
        <v>1.5</v>
      </c>
      <c r="Z285" s="257">
        <f>SUM( tabConsumo[[#This Row],[QTD.PENDENTE]]:tabConsumo[[#This Row],[07_23]] )</f>
        <v>19</v>
      </c>
      <c r="AA285" s="257">
        <f>LARGE(tabConsumo[[#This Row],[08_22]:[07_23]],1)</f>
        <v>6</v>
      </c>
      <c r="AB285" s="175" t="s">
        <v>2217</v>
      </c>
      <c r="AC285" s="3" t="s">
        <v>2064</v>
      </c>
    </row>
    <row r="286" spans="1:29" x14ac:dyDescent="0.3">
      <c r="A286" s="4" t="s">
        <v>1502</v>
      </c>
      <c r="B286" s="3" t="s">
        <v>256</v>
      </c>
      <c r="C286" s="2">
        <v>88740</v>
      </c>
      <c r="D286" s="2">
        <v>76</v>
      </c>
      <c r="F286" s="2">
        <v>2</v>
      </c>
      <c r="G286" s="2">
        <v>3</v>
      </c>
      <c r="H286" s="2">
        <v>5</v>
      </c>
      <c r="I286" s="2">
        <v>0</v>
      </c>
      <c r="J286" s="2">
        <v>3</v>
      </c>
      <c r="K286" s="2">
        <v>0</v>
      </c>
      <c r="L286" s="2">
        <v>1</v>
      </c>
      <c r="M286" s="2">
        <v>2</v>
      </c>
      <c r="N286" s="2">
        <v>63</v>
      </c>
      <c r="O286" s="2">
        <v>0</v>
      </c>
      <c r="P286" s="2">
        <v>0</v>
      </c>
      <c r="Q286" s="2">
        <v>0</v>
      </c>
      <c r="R286" s="274">
        <v>38656</v>
      </c>
      <c r="S286" s="253">
        <v>12</v>
      </c>
      <c r="T286" s="254">
        <f>SUM( tabConsumo[[#This Row],[QTD.PENDENTE]]:tabConsumo[[#This Row],[07_23]] ) / tabConsumo[[#This Row],[Div]]</f>
        <v>6.583333333333333</v>
      </c>
      <c r="U286" s="255">
        <f xml:space="preserve"> tabConsumo[[#This Row],[Média.A]] + (_xlfn.STDEV.S( tabConsumo[[#This Row],[QTD.PENDENTE]]:tabConsumo[[#This Row],[07_23]] ) * 1)</f>
        <v>24.423320763686288</v>
      </c>
      <c r="V286" s="255">
        <f xml:space="preserve"> tabConsumo[[#This Row],[Média.A]] + (_xlfn.STDEV.S( tabConsumo[[#This Row],[QTD.PENDENTE]]:tabConsumo[[#This Row],[07_23]] ) * 2)</f>
        <v>42.263308194039247</v>
      </c>
      <c r="W286" s="255">
        <f xml:space="preserve"> tabConsumo[[#This Row],[Média.A]] + (_xlfn.STDEV.S( tabConsumo[[#This Row],[QTD.PENDENTE]]:tabConsumo[[#This Row],[07_23]] ) * 3)</f>
        <v>60.103295624392203</v>
      </c>
      <c r="X286" s="5">
        <f t="shared" si="10"/>
        <v>2</v>
      </c>
      <c r="Y286">
        <v>4.833333333333333</v>
      </c>
      <c r="Z286" s="257">
        <f>SUM( tabConsumo[[#This Row],[QTD.PENDENTE]]:tabConsumo[[#This Row],[07_23]] )</f>
        <v>79</v>
      </c>
      <c r="AA286" s="257">
        <f>LARGE(tabConsumo[[#This Row],[08_22]:[07_23]],1)</f>
        <v>63</v>
      </c>
      <c r="AB286" s="175" t="s">
        <v>2213</v>
      </c>
      <c r="AC286" s="3" t="s">
        <v>2064</v>
      </c>
    </row>
    <row r="287" spans="1:29" x14ac:dyDescent="0.3">
      <c r="A287" s="4" t="s">
        <v>1497</v>
      </c>
      <c r="B287" s="3" t="s">
        <v>256</v>
      </c>
      <c r="C287" s="2">
        <v>88731</v>
      </c>
      <c r="D287" s="2">
        <v>40</v>
      </c>
      <c r="F287" s="2">
        <v>0</v>
      </c>
      <c r="G287" s="2">
        <v>0</v>
      </c>
      <c r="H287" s="2">
        <v>0</v>
      </c>
      <c r="I287" s="2">
        <v>0</v>
      </c>
      <c r="J287" s="2">
        <v>0</v>
      </c>
      <c r="K287" s="2">
        <v>0</v>
      </c>
      <c r="L287" s="2">
        <v>1</v>
      </c>
      <c r="M287" s="2">
        <v>0</v>
      </c>
      <c r="N287" s="2">
        <v>0</v>
      </c>
      <c r="O287" s="2">
        <v>0</v>
      </c>
      <c r="P287" s="2">
        <v>0</v>
      </c>
      <c r="Q287" s="2">
        <v>0</v>
      </c>
      <c r="R287" s="274">
        <v>38656</v>
      </c>
      <c r="S287" s="253">
        <v>12</v>
      </c>
      <c r="T287" s="254">
        <f>SUM( tabConsumo[[#This Row],[QTD.PENDENTE]]:tabConsumo[[#This Row],[07_23]] ) / tabConsumo[[#This Row],[Div]]</f>
        <v>8.3333333333333329E-2</v>
      </c>
      <c r="U287" s="255">
        <f xml:space="preserve"> tabConsumo[[#This Row],[Média.A]] + (_xlfn.STDEV.S( tabConsumo[[#This Row],[QTD.PENDENTE]]:tabConsumo[[#This Row],[07_23]] ) * 1)</f>
        <v>0.37200846792814618</v>
      </c>
      <c r="V287" s="255">
        <f xml:space="preserve"> tabConsumo[[#This Row],[Média.A]] + (_xlfn.STDEV.S( tabConsumo[[#This Row],[QTD.PENDENTE]]:tabConsumo[[#This Row],[07_23]] ) * 2)</f>
        <v>0.6606836025229591</v>
      </c>
      <c r="W287" s="255">
        <f xml:space="preserve"> tabConsumo[[#This Row],[Média.A]] + (_xlfn.STDEV.S( tabConsumo[[#This Row],[QTD.PENDENTE]]:tabConsumo[[#This Row],[07_23]] ) * 3)</f>
        <v>0.94935873711777197</v>
      </c>
      <c r="X287" s="5">
        <f t="shared" si="10"/>
        <v>2</v>
      </c>
      <c r="Y287">
        <v>0</v>
      </c>
      <c r="Z287" s="257">
        <f>SUM( tabConsumo[[#This Row],[QTD.PENDENTE]]:tabConsumo[[#This Row],[07_23]] )</f>
        <v>1</v>
      </c>
      <c r="AA287" s="257">
        <f>LARGE(tabConsumo[[#This Row],[08_22]:[07_23]],1)</f>
        <v>1</v>
      </c>
      <c r="AB287" s="175" t="s">
        <v>2221</v>
      </c>
      <c r="AC287" s="3" t="s">
        <v>2064</v>
      </c>
    </row>
    <row r="288" spans="1:29" x14ac:dyDescent="0.3">
      <c r="A288" s="4" t="s">
        <v>1505</v>
      </c>
      <c r="B288" s="3" t="s">
        <v>256</v>
      </c>
      <c r="C288" s="2">
        <v>88746</v>
      </c>
      <c r="D288" s="2">
        <v>42</v>
      </c>
      <c r="F288" s="2">
        <v>1</v>
      </c>
      <c r="G288" s="2">
        <v>0</v>
      </c>
      <c r="H288" s="2">
        <v>0</v>
      </c>
      <c r="I288" s="2">
        <v>0</v>
      </c>
      <c r="J288" s="2">
        <v>0</v>
      </c>
      <c r="K288" s="2">
        <v>2</v>
      </c>
      <c r="L288" s="2">
        <v>1</v>
      </c>
      <c r="M288" s="2">
        <v>1</v>
      </c>
      <c r="N288" s="2">
        <v>5</v>
      </c>
      <c r="O288" s="2">
        <v>0</v>
      </c>
      <c r="P288" s="2">
        <v>0</v>
      </c>
      <c r="Q288" s="2">
        <v>0</v>
      </c>
      <c r="R288" s="274">
        <v>38656</v>
      </c>
      <c r="S288" s="253">
        <v>12</v>
      </c>
      <c r="T288" s="254">
        <f>SUM( tabConsumo[[#This Row],[QTD.PENDENTE]]:tabConsumo[[#This Row],[07_23]] ) / tabConsumo[[#This Row],[Div]]</f>
        <v>0.83333333333333337</v>
      </c>
      <c r="U288" s="255">
        <f xml:space="preserve"> tabConsumo[[#This Row],[Média.A]] + (_xlfn.STDEV.S( tabConsumo[[#This Row],[QTD.PENDENTE]]:tabConsumo[[#This Row],[07_23]] ) * 1)</f>
        <v>2.3001377345795087</v>
      </c>
      <c r="V288" s="255">
        <f xml:space="preserve"> tabConsumo[[#This Row],[Média.A]] + (_xlfn.STDEV.S( tabConsumo[[#This Row],[QTD.PENDENTE]]:tabConsumo[[#This Row],[07_23]] ) * 2)</f>
        <v>3.7669421358256843</v>
      </c>
      <c r="W288" s="255">
        <f xml:space="preserve"> tabConsumo[[#This Row],[Média.A]] + (_xlfn.STDEV.S( tabConsumo[[#This Row],[QTD.PENDENTE]]:tabConsumo[[#This Row],[07_23]] ) * 3)</f>
        <v>5.233746537071859</v>
      </c>
      <c r="X288" s="5">
        <f t="shared" si="10"/>
        <v>2</v>
      </c>
      <c r="Y288">
        <v>0.66666666666666663</v>
      </c>
      <c r="Z288" s="257">
        <f>SUM( tabConsumo[[#This Row],[QTD.PENDENTE]]:tabConsumo[[#This Row],[07_23]] )</f>
        <v>10</v>
      </c>
      <c r="AA288" s="257">
        <f>LARGE(tabConsumo[[#This Row],[08_22]:[07_23]],1)</f>
        <v>5</v>
      </c>
      <c r="AB288" s="175" t="s">
        <v>2213</v>
      </c>
      <c r="AC288" s="3" t="s">
        <v>2064</v>
      </c>
    </row>
    <row r="289" spans="1:29" x14ac:dyDescent="0.3">
      <c r="A289" s="4" t="s">
        <v>1506</v>
      </c>
      <c r="B289" s="3" t="s">
        <v>256</v>
      </c>
      <c r="C289" s="2">
        <v>88747</v>
      </c>
      <c r="D289" s="2">
        <v>7</v>
      </c>
      <c r="F289" s="2">
        <v>0</v>
      </c>
      <c r="G289" s="2">
        <v>1</v>
      </c>
      <c r="H289" s="2">
        <v>0</v>
      </c>
      <c r="I289" s="2">
        <v>0</v>
      </c>
      <c r="J289" s="2">
        <v>0</v>
      </c>
      <c r="K289" s="2">
        <v>0</v>
      </c>
      <c r="L289" s="2">
        <v>1</v>
      </c>
      <c r="M289" s="2">
        <v>1</v>
      </c>
      <c r="N289" s="2">
        <v>3</v>
      </c>
      <c r="O289" s="2">
        <v>0</v>
      </c>
      <c r="P289" s="2">
        <v>0</v>
      </c>
      <c r="Q289" s="2">
        <v>0</v>
      </c>
      <c r="R289" s="274">
        <v>38656</v>
      </c>
      <c r="S289" s="253">
        <v>12</v>
      </c>
      <c r="T289" s="254">
        <f>SUM( tabConsumo[[#This Row],[QTD.PENDENTE]]:tabConsumo[[#This Row],[07_23]] ) / tabConsumo[[#This Row],[Div]]</f>
        <v>0.5</v>
      </c>
      <c r="U289" s="255">
        <f xml:space="preserve"> tabConsumo[[#This Row],[Média.A]] + (_xlfn.STDEV.S( tabConsumo[[#This Row],[QTD.PENDENTE]]:tabConsumo[[#This Row],[07_23]] ) * 1)</f>
        <v>1.4045340337332908</v>
      </c>
      <c r="V289" s="255">
        <f xml:space="preserve"> tabConsumo[[#This Row],[Média.A]] + (_xlfn.STDEV.S( tabConsumo[[#This Row],[QTD.PENDENTE]]:tabConsumo[[#This Row],[07_23]] ) * 2)</f>
        <v>2.3090680674665816</v>
      </c>
      <c r="W289" s="255">
        <f xml:space="preserve"> tabConsumo[[#This Row],[Média.A]] + (_xlfn.STDEV.S( tabConsumo[[#This Row],[QTD.PENDENTE]]:tabConsumo[[#This Row],[07_23]] ) * 3)</f>
        <v>3.2136021011998728</v>
      </c>
      <c r="X289" s="5">
        <f t="shared" si="10"/>
        <v>2</v>
      </c>
      <c r="Y289">
        <v>0.41666666666666669</v>
      </c>
      <c r="Z289" s="257">
        <f>SUM( tabConsumo[[#This Row],[QTD.PENDENTE]]:tabConsumo[[#This Row],[07_23]] )</f>
        <v>6</v>
      </c>
      <c r="AA289" s="257">
        <f>LARGE(tabConsumo[[#This Row],[08_22]:[07_23]],1)</f>
        <v>3</v>
      </c>
      <c r="AB289" s="175" t="s">
        <v>2213</v>
      </c>
      <c r="AC289" s="3" t="s">
        <v>2064</v>
      </c>
    </row>
    <row r="290" spans="1:29" x14ac:dyDescent="0.3">
      <c r="A290" s="4" t="s">
        <v>1498</v>
      </c>
      <c r="B290" s="3" t="s">
        <v>256</v>
      </c>
      <c r="C290" s="2">
        <v>88732</v>
      </c>
      <c r="D290" s="2">
        <v>24</v>
      </c>
      <c r="F290" s="2">
        <v>0</v>
      </c>
      <c r="G290" s="2">
        <v>4</v>
      </c>
      <c r="H290" s="2">
        <v>7</v>
      </c>
      <c r="I290" s="2">
        <v>0</v>
      </c>
      <c r="J290" s="2">
        <v>7</v>
      </c>
      <c r="K290" s="2">
        <v>6</v>
      </c>
      <c r="L290" s="2">
        <v>2</v>
      </c>
      <c r="M290" s="2">
        <v>0</v>
      </c>
      <c r="N290" s="2">
        <v>10</v>
      </c>
      <c r="O290" s="2">
        <v>0</v>
      </c>
      <c r="P290" s="2">
        <v>0</v>
      </c>
      <c r="Q290" s="2">
        <v>0</v>
      </c>
      <c r="R290" s="274">
        <v>38656</v>
      </c>
      <c r="S290" s="253">
        <v>12</v>
      </c>
      <c r="T290" s="254">
        <f>SUM( tabConsumo[[#This Row],[QTD.PENDENTE]]:tabConsumo[[#This Row],[07_23]] ) / tabConsumo[[#This Row],[Div]]</f>
        <v>3</v>
      </c>
      <c r="U290" s="255">
        <f xml:space="preserve"> tabConsumo[[#This Row],[Média.A]] + (_xlfn.STDEV.S( tabConsumo[[#This Row],[QTD.PENDENTE]]:tabConsumo[[#This Row],[07_23]] ) * 1)</f>
        <v>6.6431754380934329</v>
      </c>
      <c r="V290" s="255">
        <f xml:space="preserve"> tabConsumo[[#This Row],[Média.A]] + (_xlfn.STDEV.S( tabConsumo[[#This Row],[QTD.PENDENTE]]:tabConsumo[[#This Row],[07_23]] ) * 2)</f>
        <v>10.286350876186866</v>
      </c>
      <c r="W290" s="255">
        <f xml:space="preserve"> tabConsumo[[#This Row],[Média.A]] + (_xlfn.STDEV.S( tabConsumo[[#This Row],[QTD.PENDENTE]]:tabConsumo[[#This Row],[07_23]] ) * 3)</f>
        <v>13.929526314280297</v>
      </c>
      <c r="X290" s="5">
        <f t="shared" si="10"/>
        <v>2</v>
      </c>
      <c r="Y290">
        <v>3</v>
      </c>
      <c r="Z290" s="257">
        <f>SUM( tabConsumo[[#This Row],[QTD.PENDENTE]]:tabConsumo[[#This Row],[07_23]] )</f>
        <v>36</v>
      </c>
      <c r="AA290" s="257">
        <f>LARGE(tabConsumo[[#This Row],[08_22]:[07_23]],1)</f>
        <v>10</v>
      </c>
      <c r="AB290" s="175" t="s">
        <v>2213</v>
      </c>
      <c r="AC290" s="3" t="s">
        <v>2064</v>
      </c>
    </row>
    <row r="291" spans="1:29" x14ac:dyDescent="0.3">
      <c r="A291" s="4" t="s">
        <v>1499</v>
      </c>
      <c r="B291" s="3" t="s">
        <v>256</v>
      </c>
      <c r="C291" s="2">
        <v>88733</v>
      </c>
      <c r="D291" s="2">
        <v>0</v>
      </c>
      <c r="E291" s="2">
        <v>2</v>
      </c>
      <c r="F291" s="2">
        <v>0</v>
      </c>
      <c r="G291" s="2">
        <v>3</v>
      </c>
      <c r="H291" s="2">
        <v>3</v>
      </c>
      <c r="I291" s="2">
        <v>0</v>
      </c>
      <c r="J291" s="2">
        <v>5</v>
      </c>
      <c r="K291" s="2">
        <v>20</v>
      </c>
      <c r="L291" s="2">
        <v>7</v>
      </c>
      <c r="M291" s="2">
        <v>12</v>
      </c>
      <c r="N291" s="2">
        <v>9</v>
      </c>
      <c r="O291" s="2">
        <v>0</v>
      </c>
      <c r="P291" s="2">
        <v>0</v>
      </c>
      <c r="Q291" s="2">
        <v>0</v>
      </c>
      <c r="R291" s="274">
        <v>38656</v>
      </c>
      <c r="S291" s="253">
        <v>12</v>
      </c>
      <c r="T291" s="254">
        <f>SUM( tabConsumo[[#This Row],[QTD.PENDENTE]]:tabConsumo[[#This Row],[07_23]] ) / tabConsumo[[#This Row],[Div]]</f>
        <v>5.083333333333333</v>
      </c>
      <c r="U291" s="255">
        <f xml:space="preserve"> tabConsumo[[#This Row],[Média.A]] + (_xlfn.STDEV.S( tabConsumo[[#This Row],[QTD.PENDENTE]]:tabConsumo[[#This Row],[07_23]] ) * 1)</f>
        <v>11.102533382407067</v>
      </c>
      <c r="V291" s="255">
        <f xml:space="preserve"> tabConsumo[[#This Row],[Média.A]] + (_xlfn.STDEV.S( tabConsumo[[#This Row],[QTD.PENDENTE]]:tabConsumo[[#This Row],[07_23]] ) * 2)</f>
        <v>17.121733431480799</v>
      </c>
      <c r="W291" s="255">
        <f xml:space="preserve"> tabConsumo[[#This Row],[Média.A]] + (_xlfn.STDEV.S( tabConsumo[[#This Row],[QTD.PENDENTE]]:tabConsumo[[#This Row],[07_23]] ) * 3)</f>
        <v>23.140933480554533</v>
      </c>
      <c r="X291" s="5">
        <f t="shared" si="10"/>
        <v>2</v>
      </c>
      <c r="Y291">
        <v>4.833333333333333</v>
      </c>
      <c r="Z291" s="257">
        <f>SUM( tabConsumo[[#This Row],[QTD.PENDENTE]]:tabConsumo[[#This Row],[07_23]] )</f>
        <v>61</v>
      </c>
      <c r="AA291" s="257">
        <f>LARGE(tabConsumo[[#This Row],[08_22]:[07_23]],1)</f>
        <v>20</v>
      </c>
      <c r="AB291" s="175" t="s">
        <v>2213</v>
      </c>
      <c r="AC291" s="3" t="s">
        <v>2064</v>
      </c>
    </row>
    <row r="292" spans="1:29" x14ac:dyDescent="0.3">
      <c r="A292" s="4" t="s">
        <v>1500</v>
      </c>
      <c r="B292" s="3" t="s">
        <v>256</v>
      </c>
      <c r="C292" s="2">
        <v>88734</v>
      </c>
      <c r="D292" s="2">
        <v>44</v>
      </c>
      <c r="F292" s="2">
        <v>0</v>
      </c>
      <c r="G292" s="2">
        <v>0</v>
      </c>
      <c r="H292" s="2">
        <v>3</v>
      </c>
      <c r="I292" s="2">
        <v>1</v>
      </c>
      <c r="J292" s="2">
        <v>0</v>
      </c>
      <c r="K292" s="2">
        <v>1</v>
      </c>
      <c r="L292" s="2">
        <v>3</v>
      </c>
      <c r="M292" s="2">
        <v>0</v>
      </c>
      <c r="N292" s="2">
        <v>0</v>
      </c>
      <c r="O292" s="2">
        <v>0</v>
      </c>
      <c r="P292" s="2">
        <v>0</v>
      </c>
      <c r="Q292" s="2">
        <v>0</v>
      </c>
      <c r="R292" s="274">
        <v>38656</v>
      </c>
      <c r="S292" s="253">
        <v>12</v>
      </c>
      <c r="T292" s="254">
        <f>SUM( tabConsumo[[#This Row],[QTD.PENDENTE]]:tabConsumo[[#This Row],[07_23]] ) / tabConsumo[[#This Row],[Div]]</f>
        <v>0.66666666666666663</v>
      </c>
      <c r="U292" s="255">
        <f xml:space="preserve"> tabConsumo[[#This Row],[Média.A]] + (_xlfn.STDEV.S( tabConsumo[[#This Row],[QTD.PENDENTE]]:tabConsumo[[#This Row],[07_23]] ) * 1)</f>
        <v>1.8213672050459184</v>
      </c>
      <c r="V292" s="255">
        <f xml:space="preserve"> tabConsumo[[#This Row],[Média.A]] + (_xlfn.STDEV.S( tabConsumo[[#This Row],[QTD.PENDENTE]]:tabConsumo[[#This Row],[07_23]] ) * 2)</f>
        <v>2.9760677434251699</v>
      </c>
      <c r="W292" s="255">
        <f xml:space="preserve"> tabConsumo[[#This Row],[Média.A]] + (_xlfn.STDEV.S( tabConsumo[[#This Row],[QTD.PENDENTE]]:tabConsumo[[#This Row],[07_23]] ) * 3)</f>
        <v>4.1307682818044222</v>
      </c>
      <c r="X292" s="5">
        <f t="shared" si="10"/>
        <v>2</v>
      </c>
      <c r="Y292">
        <v>0.5</v>
      </c>
      <c r="Z292" s="257">
        <f>SUM( tabConsumo[[#This Row],[QTD.PENDENTE]]:tabConsumo[[#This Row],[07_23]] )</f>
        <v>8</v>
      </c>
      <c r="AA292" s="257">
        <f>LARGE(tabConsumo[[#This Row],[08_22]:[07_23]],1)</f>
        <v>3</v>
      </c>
      <c r="AB292" s="175" t="s">
        <v>2221</v>
      </c>
      <c r="AC292" s="3" t="s">
        <v>2064</v>
      </c>
    </row>
    <row r="293" spans="1:29" x14ac:dyDescent="0.3">
      <c r="A293" s="4" t="s">
        <v>1501</v>
      </c>
      <c r="B293" s="3" t="s">
        <v>256</v>
      </c>
      <c r="C293" s="2">
        <v>88735</v>
      </c>
      <c r="D293" s="2">
        <v>91</v>
      </c>
      <c r="F293" s="2">
        <v>0</v>
      </c>
      <c r="G293" s="2">
        <v>0</v>
      </c>
      <c r="H293" s="2">
        <v>3</v>
      </c>
      <c r="I293" s="2">
        <v>1</v>
      </c>
      <c r="J293" s="2">
        <v>3</v>
      </c>
      <c r="K293" s="2">
        <v>5</v>
      </c>
      <c r="L293" s="2">
        <v>1</v>
      </c>
      <c r="M293" s="2">
        <v>0</v>
      </c>
      <c r="N293" s="2">
        <v>5</v>
      </c>
      <c r="O293" s="2">
        <v>0</v>
      </c>
      <c r="P293" s="2">
        <v>5</v>
      </c>
      <c r="Q293" s="2">
        <v>0</v>
      </c>
      <c r="R293" s="274">
        <v>38656</v>
      </c>
      <c r="S293" s="253">
        <v>12</v>
      </c>
      <c r="T293" s="254">
        <f>SUM( tabConsumo[[#This Row],[QTD.PENDENTE]]:tabConsumo[[#This Row],[07_23]] ) / tabConsumo[[#This Row],[Div]]</f>
        <v>1.9166666666666667</v>
      </c>
      <c r="U293" s="255">
        <f xml:space="preserve"> tabConsumo[[#This Row],[Média.A]] + (_xlfn.STDEV.S( tabConsumo[[#This Row],[QTD.PENDENTE]]:tabConsumo[[#This Row],[07_23]] ) * 1)</f>
        <v>4.0681284671148825</v>
      </c>
      <c r="V293" s="255">
        <f xml:space="preserve"> tabConsumo[[#This Row],[Média.A]] + (_xlfn.STDEV.S( tabConsumo[[#This Row],[QTD.PENDENTE]]:tabConsumo[[#This Row],[07_23]] ) * 2)</f>
        <v>6.219590267563099</v>
      </c>
      <c r="W293" s="255">
        <f xml:space="preserve"> tabConsumo[[#This Row],[Média.A]] + (_xlfn.STDEV.S( tabConsumo[[#This Row],[QTD.PENDENTE]]:tabConsumo[[#This Row],[07_23]] ) * 3)</f>
        <v>8.3710520680113145</v>
      </c>
      <c r="X293" s="5">
        <f t="shared" si="10"/>
        <v>2</v>
      </c>
      <c r="Y293">
        <v>1.9166666666666667</v>
      </c>
      <c r="Z293" s="257">
        <f>SUM( tabConsumo[[#This Row],[QTD.PENDENTE]]:tabConsumo[[#This Row],[07_23]] )</f>
        <v>23</v>
      </c>
      <c r="AA293" s="257">
        <f>LARGE(tabConsumo[[#This Row],[08_22]:[07_23]],1)</f>
        <v>5</v>
      </c>
      <c r="AB293" s="175" t="s">
        <v>2212</v>
      </c>
      <c r="AC293" s="3" t="s">
        <v>2064</v>
      </c>
    </row>
    <row r="294" spans="1:29" x14ac:dyDescent="0.3">
      <c r="A294" s="4" t="s">
        <v>1503</v>
      </c>
      <c r="B294" s="3" t="s">
        <v>256</v>
      </c>
      <c r="C294" s="2">
        <v>88744</v>
      </c>
      <c r="D294" s="2">
        <v>32</v>
      </c>
      <c r="F294" s="2">
        <v>0</v>
      </c>
      <c r="G294" s="2">
        <v>0</v>
      </c>
      <c r="H294" s="2">
        <v>4</v>
      </c>
      <c r="I294" s="2">
        <v>1</v>
      </c>
      <c r="J294" s="2">
        <v>3</v>
      </c>
      <c r="K294" s="2">
        <v>1</v>
      </c>
      <c r="L294" s="2">
        <v>3</v>
      </c>
      <c r="M294" s="2">
        <v>1</v>
      </c>
      <c r="N294" s="2">
        <v>5</v>
      </c>
      <c r="O294" s="2">
        <v>0</v>
      </c>
      <c r="P294" s="2">
        <v>0</v>
      </c>
      <c r="Q294" s="2">
        <v>0</v>
      </c>
      <c r="R294" s="274">
        <v>38656</v>
      </c>
      <c r="S294" s="253">
        <v>12</v>
      </c>
      <c r="T294" s="254">
        <f>SUM( tabConsumo[[#This Row],[QTD.PENDENTE]]:tabConsumo[[#This Row],[07_23]] ) / tabConsumo[[#This Row],[Div]]</f>
        <v>1.5</v>
      </c>
      <c r="U294" s="255">
        <f xml:space="preserve"> tabConsumo[[#This Row],[Média.A]] + (_xlfn.STDEV.S( tabConsumo[[#This Row],[QTD.PENDENTE]]:tabConsumo[[#This Row],[07_23]] ) * 1)</f>
        <v>3.2837651700316894</v>
      </c>
      <c r="V294" s="255">
        <f xml:space="preserve"> tabConsumo[[#This Row],[Média.A]] + (_xlfn.STDEV.S( tabConsumo[[#This Row],[QTD.PENDENTE]]:tabConsumo[[#This Row],[07_23]] ) * 2)</f>
        <v>5.0675303400633789</v>
      </c>
      <c r="W294" s="255">
        <f xml:space="preserve"> tabConsumo[[#This Row],[Média.A]] + (_xlfn.STDEV.S( tabConsumo[[#This Row],[QTD.PENDENTE]]:tabConsumo[[#This Row],[07_23]] ) * 3)</f>
        <v>6.8512955100950688</v>
      </c>
      <c r="X294" s="5">
        <f t="shared" si="10"/>
        <v>2</v>
      </c>
      <c r="Y294">
        <v>1.5</v>
      </c>
      <c r="Z294" s="257">
        <f>SUM( tabConsumo[[#This Row],[QTD.PENDENTE]]:tabConsumo[[#This Row],[07_23]] )</f>
        <v>18</v>
      </c>
      <c r="AA294" s="257">
        <f>LARGE(tabConsumo[[#This Row],[08_22]:[07_23]],1)</f>
        <v>5</v>
      </c>
      <c r="AB294" s="175" t="s">
        <v>2213</v>
      </c>
      <c r="AC294" s="3" t="s">
        <v>2064</v>
      </c>
    </row>
    <row r="295" spans="1:29" x14ac:dyDescent="0.3">
      <c r="A295" s="4" t="s">
        <v>1504</v>
      </c>
      <c r="B295" s="3" t="s">
        <v>256</v>
      </c>
      <c r="C295" s="2">
        <v>88745</v>
      </c>
      <c r="D295" s="2">
        <v>17</v>
      </c>
      <c r="F295" s="2">
        <v>0</v>
      </c>
      <c r="G295" s="2">
        <v>3</v>
      </c>
      <c r="H295" s="2">
        <v>1</v>
      </c>
      <c r="I295" s="2">
        <v>0</v>
      </c>
      <c r="J295" s="2">
        <v>1</v>
      </c>
      <c r="K295" s="2">
        <v>4</v>
      </c>
      <c r="L295" s="2">
        <v>1</v>
      </c>
      <c r="M295" s="2">
        <v>0</v>
      </c>
      <c r="N295" s="2">
        <v>5</v>
      </c>
      <c r="O295" s="2">
        <v>0</v>
      </c>
      <c r="P295" s="2">
        <v>0</v>
      </c>
      <c r="Q295" s="2">
        <v>0</v>
      </c>
      <c r="R295" s="274">
        <v>38656</v>
      </c>
      <c r="S295" s="253">
        <v>12</v>
      </c>
      <c r="T295" s="254">
        <f>SUM( tabConsumo[[#This Row],[QTD.PENDENTE]]:tabConsumo[[#This Row],[07_23]] ) / tabConsumo[[#This Row],[Div]]</f>
        <v>1.25</v>
      </c>
      <c r="U295" s="255">
        <f xml:space="preserve"> tabConsumo[[#This Row],[Média.A]] + (_xlfn.STDEV.S( tabConsumo[[#This Row],[QTD.PENDENTE]]:tabConsumo[[#This Row],[07_23]] ) * 1)</f>
        <v>3.0145499039801518</v>
      </c>
      <c r="V295" s="255">
        <f xml:space="preserve"> tabConsumo[[#This Row],[Média.A]] + (_xlfn.STDEV.S( tabConsumo[[#This Row],[QTD.PENDENTE]]:tabConsumo[[#This Row],[07_23]] ) * 2)</f>
        <v>4.7790998079603035</v>
      </c>
      <c r="W295" s="255">
        <f xml:space="preserve"> tabConsumo[[#This Row],[Média.A]] + (_xlfn.STDEV.S( tabConsumo[[#This Row],[QTD.PENDENTE]]:tabConsumo[[#This Row],[07_23]] ) * 3)</f>
        <v>6.5436497119404562</v>
      </c>
      <c r="X295" s="5">
        <f t="shared" si="10"/>
        <v>2</v>
      </c>
      <c r="Y295">
        <v>1.1666666666666667</v>
      </c>
      <c r="Z295" s="257">
        <f>SUM( tabConsumo[[#This Row],[QTD.PENDENTE]]:tabConsumo[[#This Row],[07_23]] )</f>
        <v>15</v>
      </c>
      <c r="AA295" s="257">
        <f>LARGE(tabConsumo[[#This Row],[08_22]:[07_23]],1)</f>
        <v>5</v>
      </c>
      <c r="AB295" s="175" t="s">
        <v>2213</v>
      </c>
      <c r="AC295" s="3" t="s">
        <v>2064</v>
      </c>
    </row>
    <row r="296" spans="1:29" x14ac:dyDescent="0.3">
      <c r="A296" s="4" t="s">
        <v>1583</v>
      </c>
      <c r="B296" s="3" t="s">
        <v>256</v>
      </c>
      <c r="C296" s="2">
        <v>102820</v>
      </c>
      <c r="D296" s="2">
        <v>0</v>
      </c>
      <c r="F296" s="2">
        <v>0</v>
      </c>
      <c r="G296" s="2">
        <v>0</v>
      </c>
      <c r="H296" s="2">
        <v>0</v>
      </c>
      <c r="I296" s="2">
        <v>0</v>
      </c>
      <c r="J296" s="2">
        <v>2</v>
      </c>
      <c r="K296" s="2">
        <v>3</v>
      </c>
      <c r="L296" s="2">
        <v>0</v>
      </c>
      <c r="M296" s="2">
        <v>0</v>
      </c>
      <c r="N296" s="2">
        <v>0</v>
      </c>
      <c r="O296" s="2">
        <v>0</v>
      </c>
      <c r="P296" s="2">
        <v>0</v>
      </c>
      <c r="Q296" s="2">
        <v>0</v>
      </c>
      <c r="R296" s="274">
        <v>39374</v>
      </c>
      <c r="S296" s="253">
        <v>12</v>
      </c>
      <c r="T296" s="254">
        <f>SUM( tabConsumo[[#This Row],[QTD.PENDENTE]]:tabConsumo[[#This Row],[07_23]] ) / tabConsumo[[#This Row],[Div]]</f>
        <v>0.41666666666666669</v>
      </c>
      <c r="U296" s="255">
        <f xml:space="preserve"> tabConsumo[[#This Row],[Média.A]] + (_xlfn.STDEV.S( tabConsumo[[#This Row],[QTD.PENDENTE]]:tabConsumo[[#This Row],[07_23]] ) * 1)</f>
        <v>1.4128715865622885</v>
      </c>
      <c r="V296" s="255">
        <f xml:space="preserve"> tabConsumo[[#This Row],[Média.A]] + (_xlfn.STDEV.S( tabConsumo[[#This Row],[QTD.PENDENTE]]:tabConsumo[[#This Row],[07_23]] ) * 2)</f>
        <v>2.4090765064579105</v>
      </c>
      <c r="W296" s="255">
        <f xml:space="preserve"> tabConsumo[[#This Row],[Média.A]] + (_xlfn.STDEV.S( tabConsumo[[#This Row],[QTD.PENDENTE]]:tabConsumo[[#This Row],[07_23]] ) * 3)</f>
        <v>3.405281426353532</v>
      </c>
      <c r="X296" s="5">
        <f t="shared" si="10"/>
        <v>2</v>
      </c>
      <c r="Y296">
        <v>0.33333333333333331</v>
      </c>
      <c r="Z296" s="257">
        <f>SUM( tabConsumo[[#This Row],[QTD.PENDENTE]]:tabConsumo[[#This Row],[07_23]] )</f>
        <v>5</v>
      </c>
      <c r="AA296" s="257">
        <f>LARGE(tabConsumo[[#This Row],[08_22]:[07_23]],1)</f>
        <v>3</v>
      </c>
      <c r="AB296" s="175" t="s">
        <v>2220</v>
      </c>
      <c r="AC296" s="3" t="s">
        <v>2064</v>
      </c>
    </row>
    <row r="297" spans="1:29" x14ac:dyDescent="0.3">
      <c r="A297" s="4" t="s">
        <v>1582</v>
      </c>
      <c r="B297" s="3" t="s">
        <v>256</v>
      </c>
      <c r="C297" s="2">
        <v>102819</v>
      </c>
      <c r="D297" s="2">
        <v>3</v>
      </c>
      <c r="F297" s="2">
        <v>2</v>
      </c>
      <c r="G297" s="2">
        <v>0</v>
      </c>
      <c r="H297" s="2">
        <v>0</v>
      </c>
      <c r="I297" s="2">
        <v>0</v>
      </c>
      <c r="J297" s="2">
        <v>0</v>
      </c>
      <c r="K297" s="2">
        <v>4</v>
      </c>
      <c r="L297" s="2">
        <v>0</v>
      </c>
      <c r="M297" s="2">
        <v>0</v>
      </c>
      <c r="N297" s="2">
        <v>0</v>
      </c>
      <c r="O297" s="2">
        <v>0</v>
      </c>
      <c r="P297" s="2">
        <v>2</v>
      </c>
      <c r="Q297" s="2">
        <v>3</v>
      </c>
      <c r="R297" s="274">
        <v>39374</v>
      </c>
      <c r="S297" s="253">
        <v>12</v>
      </c>
      <c r="T297" s="254">
        <f>SUM( tabConsumo[[#This Row],[QTD.PENDENTE]]:tabConsumo[[#This Row],[07_23]] ) / tabConsumo[[#This Row],[Div]]</f>
        <v>0.91666666666666663</v>
      </c>
      <c r="U297" s="255">
        <f xml:space="preserve"> tabConsumo[[#This Row],[Média.A]] + (_xlfn.STDEV.S( tabConsumo[[#This Row],[QTD.PENDENTE]]:tabConsumo[[#This Row],[07_23]] ) * 1)</f>
        <v>2.3600423396407311</v>
      </c>
      <c r="V297" s="255">
        <f xml:space="preserve"> tabConsumo[[#This Row],[Média.A]] + (_xlfn.STDEV.S( tabConsumo[[#This Row],[QTD.PENDENTE]]:tabConsumo[[#This Row],[07_23]] ) * 2)</f>
        <v>3.8034180126147952</v>
      </c>
      <c r="W297" s="255">
        <f xml:space="preserve"> tabConsumo[[#This Row],[Média.A]] + (_xlfn.STDEV.S( tabConsumo[[#This Row],[QTD.PENDENTE]]:tabConsumo[[#This Row],[07_23]] ) * 3)</f>
        <v>5.2467936855888597</v>
      </c>
      <c r="X297" s="5">
        <f t="shared" si="10"/>
        <v>2</v>
      </c>
      <c r="Y297">
        <v>0.83333333333333337</v>
      </c>
      <c r="Z297" s="257">
        <f>SUM( tabConsumo[[#This Row],[QTD.PENDENTE]]:tabConsumo[[#This Row],[07_23]] )</f>
        <v>11</v>
      </c>
      <c r="AA297" s="257">
        <f>LARGE(tabConsumo[[#This Row],[08_22]:[07_23]],1)</f>
        <v>4</v>
      </c>
      <c r="AB297" s="175" t="s">
        <v>2211</v>
      </c>
      <c r="AC297" s="3" t="s">
        <v>2064</v>
      </c>
    </row>
    <row r="298" spans="1:29" x14ac:dyDescent="0.3">
      <c r="A298" s="4" t="s">
        <v>1664</v>
      </c>
      <c r="B298" s="3" t="s">
        <v>256</v>
      </c>
      <c r="C298" s="2">
        <v>110888</v>
      </c>
      <c r="D298" s="2">
        <v>1</v>
      </c>
      <c r="F298" s="2">
        <v>0</v>
      </c>
      <c r="G298" s="2">
        <v>0</v>
      </c>
      <c r="H298" s="2">
        <v>0</v>
      </c>
      <c r="I298" s="2">
        <v>0</v>
      </c>
      <c r="J298" s="2">
        <v>0</v>
      </c>
      <c r="K298" s="2">
        <v>2</v>
      </c>
      <c r="L298" s="2">
        <v>0</v>
      </c>
      <c r="M298" s="2">
        <v>0</v>
      </c>
      <c r="N298" s="2">
        <v>1</v>
      </c>
      <c r="O298" s="2">
        <v>0</v>
      </c>
      <c r="P298" s="2">
        <v>0</v>
      </c>
      <c r="Q298" s="2">
        <v>0</v>
      </c>
      <c r="R298" s="274">
        <v>39944</v>
      </c>
      <c r="S298" s="253">
        <v>12</v>
      </c>
      <c r="T298" s="254">
        <f>SUM( tabConsumo[[#This Row],[QTD.PENDENTE]]:tabConsumo[[#This Row],[07_23]] ) / tabConsumo[[#This Row],[Div]]</f>
        <v>0.25</v>
      </c>
      <c r="U298" s="255">
        <f xml:space="preserve"> tabConsumo[[#This Row],[Média.A]] + (_xlfn.STDEV.S( tabConsumo[[#This Row],[QTD.PENDENTE]]:tabConsumo[[#This Row],[07_23]] ) * 1)</f>
        <v>0.87158156050806102</v>
      </c>
      <c r="V298" s="255">
        <f xml:space="preserve"> tabConsumo[[#This Row],[Média.A]] + (_xlfn.STDEV.S( tabConsumo[[#This Row],[QTD.PENDENTE]]:tabConsumo[[#This Row],[07_23]] ) * 2)</f>
        <v>1.493163121016122</v>
      </c>
      <c r="W298" s="255">
        <f xml:space="preserve"> tabConsumo[[#This Row],[Média.A]] + (_xlfn.STDEV.S( tabConsumo[[#This Row],[QTD.PENDENTE]]:tabConsumo[[#This Row],[07_23]] ) * 3)</f>
        <v>2.1147446815241828</v>
      </c>
      <c r="X298" s="5">
        <f t="shared" si="10"/>
        <v>2</v>
      </c>
      <c r="Y298">
        <v>0.16666666666666666</v>
      </c>
      <c r="Z298" s="257">
        <f>SUM( tabConsumo[[#This Row],[QTD.PENDENTE]]:tabConsumo[[#This Row],[07_23]] )</f>
        <v>3</v>
      </c>
      <c r="AA298" s="257">
        <f>LARGE(tabConsumo[[#This Row],[08_22]:[07_23]],1)</f>
        <v>2</v>
      </c>
      <c r="AB298" s="175" t="s">
        <v>2213</v>
      </c>
      <c r="AC298" s="3" t="s">
        <v>2064</v>
      </c>
    </row>
    <row r="299" spans="1:29" x14ac:dyDescent="0.3">
      <c r="A299" s="4" t="s">
        <v>1789</v>
      </c>
      <c r="B299" s="3" t="s">
        <v>256</v>
      </c>
      <c r="C299" s="2">
        <v>129962</v>
      </c>
      <c r="D299" s="2">
        <v>7</v>
      </c>
      <c r="F299" s="2">
        <v>0</v>
      </c>
      <c r="G299" s="2">
        <v>0</v>
      </c>
      <c r="H299" s="2">
        <v>0</v>
      </c>
      <c r="I299" s="2">
        <v>0</v>
      </c>
      <c r="J299" s="2">
        <v>1</v>
      </c>
      <c r="K299" s="2">
        <v>2</v>
      </c>
      <c r="L299" s="2">
        <v>0</v>
      </c>
      <c r="M299" s="2">
        <v>0</v>
      </c>
      <c r="N299" s="2">
        <v>0</v>
      </c>
      <c r="O299" s="2">
        <v>0</v>
      </c>
      <c r="P299" s="2">
        <v>0</v>
      </c>
      <c r="Q299" s="2">
        <v>0</v>
      </c>
      <c r="R299" s="274">
        <v>42046</v>
      </c>
      <c r="S299" s="253">
        <v>12</v>
      </c>
      <c r="T299" s="254">
        <f>SUM( tabConsumo[[#This Row],[QTD.PENDENTE]]:tabConsumo[[#This Row],[07_23]] ) / tabConsumo[[#This Row],[Div]]</f>
        <v>0.25</v>
      </c>
      <c r="U299" s="255">
        <f xml:space="preserve"> tabConsumo[[#This Row],[Média.A]] + (_xlfn.STDEV.S( tabConsumo[[#This Row],[QTD.PENDENTE]]:tabConsumo[[#This Row],[07_23]] ) * 1)</f>
        <v>0.87158156050806102</v>
      </c>
      <c r="V299" s="255">
        <f xml:space="preserve"> tabConsumo[[#This Row],[Média.A]] + (_xlfn.STDEV.S( tabConsumo[[#This Row],[QTD.PENDENTE]]:tabConsumo[[#This Row],[07_23]] ) * 2)</f>
        <v>1.493163121016122</v>
      </c>
      <c r="W299" s="255">
        <f xml:space="preserve"> tabConsumo[[#This Row],[Média.A]] + (_xlfn.STDEV.S( tabConsumo[[#This Row],[QTD.PENDENTE]]:tabConsumo[[#This Row],[07_23]] ) * 3)</f>
        <v>2.1147446815241828</v>
      </c>
      <c r="X299" s="5">
        <f t="shared" si="10"/>
        <v>2</v>
      </c>
      <c r="Y299">
        <v>0.16666666666666666</v>
      </c>
      <c r="Z299" s="257">
        <f>SUM( tabConsumo[[#This Row],[QTD.PENDENTE]]:tabConsumo[[#This Row],[07_23]] )</f>
        <v>3</v>
      </c>
      <c r="AA299" s="257">
        <f>LARGE(tabConsumo[[#This Row],[08_22]:[07_23]],1)</f>
        <v>2</v>
      </c>
      <c r="AB299" s="175" t="s">
        <v>2220</v>
      </c>
      <c r="AC299" s="3" t="s">
        <v>2064</v>
      </c>
    </row>
    <row r="300" spans="1:29" x14ac:dyDescent="0.3">
      <c r="A300" s="4" t="s">
        <v>1788</v>
      </c>
      <c r="B300" s="3" t="s">
        <v>256</v>
      </c>
      <c r="C300" s="2">
        <v>129961</v>
      </c>
      <c r="D300" s="2">
        <v>5</v>
      </c>
      <c r="F300" s="2">
        <v>1</v>
      </c>
      <c r="G300" s="2">
        <v>0</v>
      </c>
      <c r="H300" s="2">
        <v>0</v>
      </c>
      <c r="I300" s="2">
        <v>0</v>
      </c>
      <c r="J300" s="2">
        <v>0</v>
      </c>
      <c r="K300" s="2">
        <v>0</v>
      </c>
      <c r="L300" s="2">
        <v>0</v>
      </c>
      <c r="M300" s="2">
        <v>0</v>
      </c>
      <c r="N300" s="2">
        <v>0</v>
      </c>
      <c r="O300" s="2">
        <v>0</v>
      </c>
      <c r="P300" s="2">
        <v>0</v>
      </c>
      <c r="Q300" s="2">
        <v>0</v>
      </c>
      <c r="R300" s="274">
        <v>42046</v>
      </c>
      <c r="S300" s="253">
        <v>12</v>
      </c>
      <c r="T300" s="254">
        <f>SUM( tabConsumo[[#This Row],[QTD.PENDENTE]]:tabConsumo[[#This Row],[07_23]] ) / tabConsumo[[#This Row],[Div]]</f>
        <v>8.3333333333333329E-2</v>
      </c>
      <c r="U300" s="255">
        <f xml:space="preserve"> tabConsumo[[#This Row],[Média.A]] + (_xlfn.STDEV.S( tabConsumo[[#This Row],[QTD.PENDENTE]]:tabConsumo[[#This Row],[07_23]] ) * 1)</f>
        <v>0.37200846792814618</v>
      </c>
      <c r="V300" s="255">
        <f xml:space="preserve"> tabConsumo[[#This Row],[Média.A]] + (_xlfn.STDEV.S( tabConsumo[[#This Row],[QTD.PENDENTE]]:tabConsumo[[#This Row],[07_23]] ) * 2)</f>
        <v>0.6606836025229591</v>
      </c>
      <c r="W300" s="255">
        <f xml:space="preserve"> tabConsumo[[#This Row],[Média.A]] + (_xlfn.STDEV.S( tabConsumo[[#This Row],[QTD.PENDENTE]]:tabConsumo[[#This Row],[07_23]] ) * 3)</f>
        <v>0.94935873711777197</v>
      </c>
      <c r="X300" s="5">
        <f t="shared" si="10"/>
        <v>2</v>
      </c>
      <c r="Y300">
        <v>0</v>
      </c>
      <c r="Z300" s="257">
        <f>SUM( tabConsumo[[#This Row],[QTD.PENDENTE]]:tabConsumo[[#This Row],[07_23]] )</f>
        <v>1</v>
      </c>
      <c r="AA300" s="257">
        <f>LARGE(tabConsumo[[#This Row],[08_22]:[07_23]],1)</f>
        <v>1</v>
      </c>
      <c r="AB300" s="175" t="s">
        <v>2218</v>
      </c>
      <c r="AC300" s="3" t="s">
        <v>2064</v>
      </c>
    </row>
    <row r="301" spans="1:29" x14ac:dyDescent="0.3">
      <c r="A301" s="4" t="s">
        <v>1568</v>
      </c>
      <c r="B301" s="3" t="s">
        <v>256</v>
      </c>
      <c r="C301" s="2">
        <v>101891</v>
      </c>
      <c r="D301" s="2">
        <v>29</v>
      </c>
      <c r="F301" s="2">
        <v>0</v>
      </c>
      <c r="G301" s="2">
        <v>0</v>
      </c>
      <c r="H301" s="2">
        <v>0</v>
      </c>
      <c r="I301" s="2">
        <v>0</v>
      </c>
      <c r="J301" s="2">
        <v>16</v>
      </c>
      <c r="K301" s="2">
        <v>0</v>
      </c>
      <c r="L301" s="2">
        <v>0</v>
      </c>
      <c r="M301" s="2">
        <v>0</v>
      </c>
      <c r="N301" s="2">
        <v>10</v>
      </c>
      <c r="O301" s="2">
        <v>0</v>
      </c>
      <c r="P301" s="2">
        <v>0</v>
      </c>
      <c r="Q301" s="2">
        <v>0</v>
      </c>
      <c r="R301" s="274">
        <v>39330</v>
      </c>
      <c r="S301" s="253">
        <v>12</v>
      </c>
      <c r="T301" s="254">
        <f>SUM( tabConsumo[[#This Row],[QTD.PENDENTE]]:tabConsumo[[#This Row],[07_23]] ) / tabConsumo[[#This Row],[Div]]</f>
        <v>2.1666666666666665</v>
      </c>
      <c r="U301" s="255">
        <f xml:space="preserve"> tabConsumo[[#This Row],[Média.A]] + (_xlfn.STDEV.S( tabConsumo[[#This Row],[QTD.PENDENTE]]:tabConsumo[[#This Row],[07_23]] ) * 1)</f>
        <v>7.3860942447085574</v>
      </c>
      <c r="V301" s="255">
        <f xml:space="preserve"> tabConsumo[[#This Row],[Média.A]] + (_xlfn.STDEV.S( tabConsumo[[#This Row],[QTD.PENDENTE]]:tabConsumo[[#This Row],[07_23]] ) * 2)</f>
        <v>12.605521822750449</v>
      </c>
      <c r="W301" s="255">
        <f xml:space="preserve"> tabConsumo[[#This Row],[Média.A]] + (_xlfn.STDEV.S( tabConsumo[[#This Row],[QTD.PENDENTE]]:tabConsumo[[#This Row],[07_23]] ) * 3)</f>
        <v>17.824949400792342</v>
      </c>
      <c r="X301" s="5">
        <f t="shared" si="10"/>
        <v>2</v>
      </c>
      <c r="Y301">
        <v>1.8333333333333333</v>
      </c>
      <c r="Z301" s="257">
        <f>SUM( tabConsumo[[#This Row],[QTD.PENDENTE]]:tabConsumo[[#This Row],[07_23]] )</f>
        <v>26</v>
      </c>
      <c r="AA301" s="257">
        <f>LARGE(tabConsumo[[#This Row],[08_22]:[07_23]],1)</f>
        <v>16</v>
      </c>
      <c r="AB301" s="175" t="s">
        <v>2213</v>
      </c>
      <c r="AC301" s="3" t="s">
        <v>2064</v>
      </c>
    </row>
    <row r="302" spans="1:29" x14ac:dyDescent="0.3">
      <c r="A302" s="4" t="s">
        <v>1025</v>
      </c>
      <c r="B302" s="3" t="s">
        <v>256</v>
      </c>
      <c r="C302" s="2">
        <v>13197</v>
      </c>
      <c r="D302" s="2">
        <v>269</v>
      </c>
      <c r="F302" s="2">
        <v>0</v>
      </c>
      <c r="G302" s="2">
        <v>0</v>
      </c>
      <c r="H302" s="2">
        <v>0</v>
      </c>
      <c r="I302" s="2">
        <v>0</v>
      </c>
      <c r="J302" s="2">
        <v>0</v>
      </c>
      <c r="K302" s="2">
        <v>0</v>
      </c>
      <c r="L302" s="2">
        <v>0</v>
      </c>
      <c r="M302" s="2">
        <v>55</v>
      </c>
      <c r="N302" s="2">
        <v>48</v>
      </c>
      <c r="O302" s="2">
        <v>0</v>
      </c>
      <c r="P302" s="2">
        <v>0</v>
      </c>
      <c r="Q302" s="2">
        <v>0</v>
      </c>
      <c r="R302" s="274">
        <v>367</v>
      </c>
      <c r="S302" s="253">
        <f xml:space="preserve"> 12</f>
        <v>12</v>
      </c>
      <c r="T302" s="254">
        <f>SUM( tabConsumo[[#This Row],[QTD.PENDENTE]]:tabConsumo[[#This Row],[07_23]] ) / tabConsumo[[#This Row],[Div]]</f>
        <v>8.5833333333333339</v>
      </c>
      <c r="U302" s="255">
        <f xml:space="preserve"> tabConsumo[[#This Row],[Média.A]] + (_xlfn.STDEV.S( tabConsumo[[#This Row],[QTD.PENDENTE]]:tabConsumo[[#This Row],[07_23]] ) * 1)</f>
        <v>28.685157462832962</v>
      </c>
      <c r="V302" s="255">
        <f xml:space="preserve"> tabConsumo[[#This Row],[Média.A]] + (_xlfn.STDEV.S( tabConsumo[[#This Row],[QTD.PENDENTE]]:tabConsumo[[#This Row],[07_23]] ) * 2)</f>
        <v>48.786981592332587</v>
      </c>
      <c r="W302" s="255">
        <f xml:space="preserve"> tabConsumo[[#This Row],[Média.A]] + (_xlfn.STDEV.S( tabConsumo[[#This Row],[QTD.PENDENTE]]:tabConsumo[[#This Row],[07_23]] ) * 3)</f>
        <v>68.888805721832213</v>
      </c>
      <c r="X302" s="5">
        <f t="shared" si="10"/>
        <v>2</v>
      </c>
      <c r="Y302">
        <v>8</v>
      </c>
      <c r="Z302" s="257">
        <f>SUM( tabConsumo[[#This Row],[QTD.PENDENTE]]:tabConsumo[[#This Row],[07_23]] )</f>
        <v>103</v>
      </c>
      <c r="AA302" s="257">
        <f>LARGE(tabConsumo[[#This Row],[08_22]:[07_23]],1)</f>
        <v>55</v>
      </c>
      <c r="AB302" s="175" t="s">
        <v>2213</v>
      </c>
      <c r="AC302" s="3" t="s">
        <v>2064</v>
      </c>
    </row>
    <row r="303" spans="1:29" x14ac:dyDescent="0.3">
      <c r="A303" s="4" t="s">
        <v>1027</v>
      </c>
      <c r="B303" s="3" t="s">
        <v>256</v>
      </c>
      <c r="C303" s="2">
        <v>13199</v>
      </c>
      <c r="D303" s="2">
        <v>47</v>
      </c>
      <c r="F303" s="2">
        <v>0</v>
      </c>
      <c r="G303" s="2">
        <v>4</v>
      </c>
      <c r="H303" s="2">
        <v>0</v>
      </c>
      <c r="I303" s="2">
        <v>0</v>
      </c>
      <c r="J303" s="2">
        <v>0</v>
      </c>
      <c r="K303" s="2">
        <v>0</v>
      </c>
      <c r="L303" s="2">
        <v>50</v>
      </c>
      <c r="M303" s="2">
        <v>0</v>
      </c>
      <c r="N303" s="2">
        <v>0</v>
      </c>
      <c r="O303" s="2">
        <v>70</v>
      </c>
      <c r="P303" s="2">
        <v>0</v>
      </c>
      <c r="Q303" s="2">
        <v>0</v>
      </c>
      <c r="R303" s="274">
        <v>367</v>
      </c>
      <c r="S303" s="253">
        <f xml:space="preserve"> 12</f>
        <v>12</v>
      </c>
      <c r="T303" s="254">
        <f>SUM( tabConsumo[[#This Row],[QTD.PENDENTE]]:tabConsumo[[#This Row],[07_23]] ) / tabConsumo[[#This Row],[Div]]</f>
        <v>10.333333333333334</v>
      </c>
      <c r="U303" s="255">
        <f xml:space="preserve"> tabConsumo[[#This Row],[Média.A]] + (_xlfn.STDEV.S( tabConsumo[[#This Row],[QTD.PENDENTE]]:tabConsumo[[#This Row],[07_23]] ) * 1)</f>
        <v>33.948941936479045</v>
      </c>
      <c r="V303" s="255">
        <f xml:space="preserve"> tabConsumo[[#This Row],[Média.A]] + (_xlfn.STDEV.S( tabConsumo[[#This Row],[QTD.PENDENTE]]:tabConsumo[[#This Row],[07_23]] ) * 2)</f>
        <v>57.564550539624761</v>
      </c>
      <c r="W303" s="255">
        <f xml:space="preserve"> tabConsumo[[#This Row],[Média.A]] + (_xlfn.STDEV.S( tabConsumo[[#This Row],[QTD.PENDENTE]]:tabConsumo[[#This Row],[07_23]] ) * 3)</f>
        <v>81.180159142770464</v>
      </c>
      <c r="X303" s="5">
        <f t="shared" si="10"/>
        <v>2</v>
      </c>
      <c r="Y303">
        <v>9.25</v>
      </c>
      <c r="Z303" s="257">
        <f>SUM( tabConsumo[[#This Row],[QTD.PENDENTE]]:tabConsumo[[#This Row],[07_23]] )</f>
        <v>124</v>
      </c>
      <c r="AA303" s="257">
        <f>LARGE(tabConsumo[[#This Row],[08_22]:[07_23]],1)</f>
        <v>70</v>
      </c>
      <c r="AB303" s="175" t="s">
        <v>2214</v>
      </c>
      <c r="AC303" s="3" t="s">
        <v>2064</v>
      </c>
    </row>
    <row r="304" spans="1:29" x14ac:dyDescent="0.3">
      <c r="A304" s="4" t="s">
        <v>1913</v>
      </c>
      <c r="B304" s="3" t="s">
        <v>256</v>
      </c>
      <c r="C304" s="2">
        <v>136553</v>
      </c>
      <c r="D304" s="2">
        <v>0</v>
      </c>
      <c r="E304" s="2">
        <v>200</v>
      </c>
      <c r="F304" s="2">
        <v>295</v>
      </c>
      <c r="G304" s="2">
        <v>580</v>
      </c>
      <c r="H304" s="2">
        <v>440</v>
      </c>
      <c r="I304" s="2">
        <v>100</v>
      </c>
      <c r="J304" s="2">
        <v>90</v>
      </c>
      <c r="K304" s="2">
        <v>320</v>
      </c>
      <c r="L304" s="2">
        <v>105</v>
      </c>
      <c r="M304" s="2">
        <v>504</v>
      </c>
      <c r="N304" s="2">
        <v>330</v>
      </c>
      <c r="O304" s="2">
        <v>48</v>
      </c>
      <c r="P304" s="2">
        <v>0</v>
      </c>
      <c r="Q304" s="2">
        <v>0</v>
      </c>
      <c r="R304" s="274">
        <v>43518</v>
      </c>
      <c r="S304" s="253">
        <v>12</v>
      </c>
      <c r="T304" s="254">
        <f>SUM( tabConsumo[[#This Row],[QTD.PENDENTE]]:tabConsumo[[#This Row],[07_23]] ) / tabConsumo[[#This Row],[Div]]</f>
        <v>251</v>
      </c>
      <c r="U304" s="255">
        <f xml:space="preserve"> tabConsumo[[#This Row],[Média.A]] + (_xlfn.STDEV.S( tabConsumo[[#This Row],[QTD.PENDENTE]]:tabConsumo[[#This Row],[07_23]] ) * 1)</f>
        <v>445.91724082089502</v>
      </c>
      <c r="V304" s="255">
        <f xml:space="preserve"> tabConsumo[[#This Row],[Média.A]] + (_xlfn.STDEV.S( tabConsumo[[#This Row],[QTD.PENDENTE]]:tabConsumo[[#This Row],[07_23]] ) * 2)</f>
        <v>640.83448164179003</v>
      </c>
      <c r="W304" s="255">
        <f xml:space="preserve"> tabConsumo[[#This Row],[Média.A]] + (_xlfn.STDEV.S( tabConsumo[[#This Row],[QTD.PENDENTE]]:tabConsumo[[#This Row],[07_23]] ) * 3)</f>
        <v>835.75172246268494</v>
      </c>
      <c r="X304" s="5">
        <f t="shared" si="10"/>
        <v>2</v>
      </c>
      <c r="Y304">
        <v>251</v>
      </c>
      <c r="Z304" s="257">
        <f>SUM( tabConsumo[[#This Row],[QTD.PENDENTE]]:tabConsumo[[#This Row],[07_23]] )</f>
        <v>3012</v>
      </c>
      <c r="AA304" s="257">
        <f>LARGE(tabConsumo[[#This Row],[08_22]:[07_23]],1)</f>
        <v>580</v>
      </c>
      <c r="AB304" s="175" t="s">
        <v>2214</v>
      </c>
      <c r="AC304" s="3" t="s">
        <v>2064</v>
      </c>
    </row>
    <row r="305" spans="1:29" x14ac:dyDescent="0.3">
      <c r="A305" s="4" t="s">
        <v>1917</v>
      </c>
      <c r="B305" s="3" t="s">
        <v>256</v>
      </c>
      <c r="C305" s="2">
        <v>136556</v>
      </c>
      <c r="D305" s="2">
        <v>0</v>
      </c>
      <c r="E305" s="2">
        <v>97</v>
      </c>
      <c r="F305" s="2">
        <v>133</v>
      </c>
      <c r="G305" s="2">
        <v>66</v>
      </c>
      <c r="H305" s="2">
        <v>105</v>
      </c>
      <c r="I305" s="2">
        <v>48</v>
      </c>
      <c r="J305" s="2">
        <v>12</v>
      </c>
      <c r="K305" s="2">
        <v>139</v>
      </c>
      <c r="L305" s="2">
        <v>112</v>
      </c>
      <c r="M305" s="2">
        <v>134</v>
      </c>
      <c r="N305" s="2">
        <v>144</v>
      </c>
      <c r="O305" s="2">
        <v>0</v>
      </c>
      <c r="P305" s="2">
        <v>0</v>
      </c>
      <c r="Q305" s="2">
        <v>0</v>
      </c>
      <c r="R305" s="274">
        <v>43518</v>
      </c>
      <c r="S305" s="253">
        <v>12</v>
      </c>
      <c r="T305" s="254">
        <f>SUM( tabConsumo[[#This Row],[QTD.PENDENTE]]:tabConsumo[[#This Row],[07_23]] ) / tabConsumo[[#This Row],[Div]]</f>
        <v>82.5</v>
      </c>
      <c r="U305" s="255">
        <f xml:space="preserve"> tabConsumo[[#This Row],[Média.A]] + (_xlfn.STDEV.S( tabConsumo[[#This Row],[QTD.PENDENTE]]:tabConsumo[[#This Row],[07_23]] ) * 1)</f>
        <v>140.30116226317909</v>
      </c>
      <c r="V305" s="255">
        <f xml:space="preserve"> tabConsumo[[#This Row],[Média.A]] + (_xlfn.STDEV.S( tabConsumo[[#This Row],[QTD.PENDENTE]]:tabConsumo[[#This Row],[07_23]] ) * 2)</f>
        <v>198.10232452635819</v>
      </c>
      <c r="W305" s="255">
        <f xml:space="preserve"> tabConsumo[[#This Row],[Média.A]] + (_xlfn.STDEV.S( tabConsumo[[#This Row],[QTD.PENDENTE]]:tabConsumo[[#This Row],[07_23]] ) * 3)</f>
        <v>255.90348678953728</v>
      </c>
      <c r="X305" s="5">
        <f t="shared" si="10"/>
        <v>2</v>
      </c>
      <c r="Y305">
        <v>82.5</v>
      </c>
      <c r="Z305" s="257">
        <f>SUM( tabConsumo[[#This Row],[QTD.PENDENTE]]:tabConsumo[[#This Row],[07_23]] )</f>
        <v>990</v>
      </c>
      <c r="AA305" s="257">
        <f>LARGE(tabConsumo[[#This Row],[08_22]:[07_23]],1)</f>
        <v>144</v>
      </c>
      <c r="AB305" s="175" t="s">
        <v>2213</v>
      </c>
      <c r="AC305" s="3" t="s">
        <v>2064</v>
      </c>
    </row>
    <row r="306" spans="1:29" x14ac:dyDescent="0.3">
      <c r="A306" s="4" t="s">
        <v>1123</v>
      </c>
      <c r="B306" s="3" t="s">
        <v>268</v>
      </c>
      <c r="C306" s="2">
        <v>17132</v>
      </c>
      <c r="D306" s="2">
        <v>1580</v>
      </c>
      <c r="F306" s="2">
        <v>34</v>
      </c>
      <c r="G306" s="2">
        <v>46</v>
      </c>
      <c r="H306" s="2">
        <v>30</v>
      </c>
      <c r="I306" s="2">
        <v>56</v>
      </c>
      <c r="J306" s="2">
        <v>35</v>
      </c>
      <c r="K306" s="2">
        <v>27</v>
      </c>
      <c r="L306" s="2">
        <v>35</v>
      </c>
      <c r="M306" s="2">
        <v>519</v>
      </c>
      <c r="N306" s="2">
        <v>46</v>
      </c>
      <c r="O306" s="2">
        <v>42</v>
      </c>
      <c r="P306" s="2">
        <v>65</v>
      </c>
      <c r="Q306" s="2">
        <v>45</v>
      </c>
      <c r="R306" s="274">
        <v>367</v>
      </c>
      <c r="S306" s="253">
        <f xml:space="preserve"> 12</f>
        <v>12</v>
      </c>
      <c r="T306" s="254">
        <f>SUM( tabConsumo[[#This Row],[QTD.PENDENTE]]:tabConsumo[[#This Row],[07_23]] ) / tabConsumo[[#This Row],[Div]]</f>
        <v>81.666666666666671</v>
      </c>
      <c r="U306" s="255">
        <f xml:space="preserve"> tabConsumo[[#This Row],[Média.A]] + (_xlfn.STDEV.S( tabConsumo[[#This Row],[QTD.PENDENTE]]:tabConsumo[[#This Row],[07_23]] ) * 1)</f>
        <v>219.8183180787247</v>
      </c>
      <c r="V306" s="255">
        <f xml:space="preserve"> tabConsumo[[#This Row],[Média.A]] + (_xlfn.STDEV.S( tabConsumo[[#This Row],[QTD.PENDENTE]]:tabConsumo[[#This Row],[07_23]] ) * 2)</f>
        <v>357.96996949078272</v>
      </c>
      <c r="W306" s="255">
        <f xml:space="preserve"> tabConsumo[[#This Row],[Média.A]] + (_xlfn.STDEV.S( tabConsumo[[#This Row],[QTD.PENDENTE]]:tabConsumo[[#This Row],[07_23]] ) * 3)</f>
        <v>496.12162090284073</v>
      </c>
      <c r="X306" s="5">
        <f t="shared" si="10"/>
        <v>2</v>
      </c>
      <c r="Y306">
        <v>68.166666666666671</v>
      </c>
      <c r="Z306" s="257">
        <f>SUM( tabConsumo[[#This Row],[QTD.PENDENTE]]:tabConsumo[[#This Row],[07_23]] )</f>
        <v>980</v>
      </c>
      <c r="AA306" s="257">
        <f>LARGE(tabConsumo[[#This Row],[08_22]:[07_23]],1)</f>
        <v>519</v>
      </c>
      <c r="AB306" s="175" t="s">
        <v>2211</v>
      </c>
      <c r="AC306" s="3" t="s">
        <v>2064</v>
      </c>
    </row>
    <row r="307" spans="1:29" x14ac:dyDescent="0.3">
      <c r="A307" s="4" t="s">
        <v>1651</v>
      </c>
      <c r="B307" s="3" t="s">
        <v>31</v>
      </c>
      <c r="C307" s="2">
        <v>108711</v>
      </c>
      <c r="D307" s="2">
        <v>108</v>
      </c>
      <c r="F307" s="2">
        <v>0</v>
      </c>
      <c r="G307" s="2">
        <v>6</v>
      </c>
      <c r="H307" s="2">
        <v>0</v>
      </c>
      <c r="I307" s="2">
        <v>1</v>
      </c>
      <c r="J307" s="2">
        <v>0</v>
      </c>
      <c r="K307" s="2">
        <v>0</v>
      </c>
      <c r="L307" s="2">
        <v>0</v>
      </c>
      <c r="M307" s="2">
        <v>0</v>
      </c>
      <c r="N307" s="2">
        <v>0</v>
      </c>
      <c r="O307" s="2">
        <v>0</v>
      </c>
      <c r="P307" s="2">
        <v>0</v>
      </c>
      <c r="Q307" s="2">
        <v>0</v>
      </c>
      <c r="R307" s="274">
        <v>39762</v>
      </c>
      <c r="S307" s="253">
        <v>12</v>
      </c>
      <c r="T307" s="254">
        <f>SUM( tabConsumo[[#This Row],[QTD.PENDENTE]]:tabConsumo[[#This Row],[07_23]] ) / tabConsumo[[#This Row],[Div]]</f>
        <v>0.58333333333333337</v>
      </c>
      <c r="U307" s="255">
        <f xml:space="preserve"> tabConsumo[[#This Row],[Média.A]] + (_xlfn.STDEV.S( tabConsumo[[#This Row],[QTD.PENDENTE]]:tabConsumo[[#This Row],[07_23]] ) * 1)</f>
        <v>2.3131958256789655</v>
      </c>
      <c r="V307" s="255">
        <f xml:space="preserve"> tabConsumo[[#This Row],[Média.A]] + (_xlfn.STDEV.S( tabConsumo[[#This Row],[QTD.PENDENTE]]:tabConsumo[[#This Row],[07_23]] ) * 2)</f>
        <v>4.0430583180245971</v>
      </c>
      <c r="W307" s="255">
        <f xml:space="preserve"> tabConsumo[[#This Row],[Média.A]] + (_xlfn.STDEV.S( tabConsumo[[#This Row],[QTD.PENDENTE]]:tabConsumo[[#This Row],[07_23]] ) * 3)</f>
        <v>5.7729208103702296</v>
      </c>
      <c r="X307" s="5">
        <f t="shared" si="10"/>
        <v>2</v>
      </c>
      <c r="Y307">
        <v>0.41666666666666669</v>
      </c>
      <c r="Z307" s="257">
        <f>SUM( tabConsumo[[#This Row],[QTD.PENDENTE]]:tabConsumo[[#This Row],[07_23]] )</f>
        <v>7</v>
      </c>
      <c r="AA307" s="257">
        <f>LARGE(tabConsumo[[#This Row],[08_22]:[07_23]],1)</f>
        <v>6</v>
      </c>
      <c r="AB307" s="175" t="s">
        <v>2216</v>
      </c>
      <c r="AC307" s="3" t="s">
        <v>2064</v>
      </c>
    </row>
    <row r="308" spans="1:29" x14ac:dyDescent="0.3">
      <c r="A308" s="4" t="s">
        <v>1579</v>
      </c>
      <c r="B308" s="3" t="s">
        <v>256</v>
      </c>
      <c r="C308" s="2">
        <v>102723</v>
      </c>
      <c r="D308" s="2">
        <v>245</v>
      </c>
      <c r="F308" s="2">
        <v>0</v>
      </c>
      <c r="G308" s="2">
        <v>15</v>
      </c>
      <c r="H308" s="2">
        <v>27</v>
      </c>
      <c r="I308" s="2">
        <v>29</v>
      </c>
      <c r="J308" s="2">
        <v>0</v>
      </c>
      <c r="K308" s="2">
        <v>0</v>
      </c>
      <c r="L308" s="2">
        <v>15</v>
      </c>
      <c r="M308" s="2">
        <v>0</v>
      </c>
      <c r="N308" s="2">
        <v>0</v>
      </c>
      <c r="O308" s="2">
        <v>0</v>
      </c>
      <c r="P308" s="2">
        <v>20</v>
      </c>
      <c r="Q308" s="2">
        <v>20</v>
      </c>
      <c r="R308" s="274">
        <v>39371</v>
      </c>
      <c r="S308" s="253">
        <v>12</v>
      </c>
      <c r="T308" s="254">
        <f>SUM( tabConsumo[[#This Row],[QTD.PENDENTE]]:tabConsumo[[#This Row],[07_23]] ) / tabConsumo[[#This Row],[Div]]</f>
        <v>10.5</v>
      </c>
      <c r="U308" s="255">
        <f xml:space="preserve"> tabConsumo[[#This Row],[Média.A]] + (_xlfn.STDEV.S( tabConsumo[[#This Row],[QTD.PENDENTE]]:tabConsumo[[#This Row],[07_23]] ) * 1)</f>
        <v>22.165800833672289</v>
      </c>
      <c r="V308" s="255">
        <f xml:space="preserve"> tabConsumo[[#This Row],[Média.A]] + (_xlfn.STDEV.S( tabConsumo[[#This Row],[QTD.PENDENTE]]:tabConsumo[[#This Row],[07_23]] ) * 2)</f>
        <v>33.831601667344579</v>
      </c>
      <c r="W308" s="255">
        <f xml:space="preserve"> tabConsumo[[#This Row],[Média.A]] + (_xlfn.STDEV.S( tabConsumo[[#This Row],[QTD.PENDENTE]]:tabConsumo[[#This Row],[07_23]] ) * 3)</f>
        <v>45.497402501016865</v>
      </c>
      <c r="X308" s="5">
        <f t="shared" si="10"/>
        <v>2</v>
      </c>
      <c r="Y308">
        <v>10.5</v>
      </c>
      <c r="Z308" s="257">
        <f>SUM( tabConsumo[[#This Row],[QTD.PENDENTE]]:tabConsumo[[#This Row],[07_23]] )</f>
        <v>126</v>
      </c>
      <c r="AA308" s="257">
        <f>LARGE(tabConsumo[[#This Row],[08_22]:[07_23]],1)</f>
        <v>29</v>
      </c>
      <c r="AB308" s="175" t="s">
        <v>2211</v>
      </c>
      <c r="AC308" s="3" t="s">
        <v>2064</v>
      </c>
    </row>
    <row r="309" spans="1:29" x14ac:dyDescent="0.3">
      <c r="A309" s="4" t="s">
        <v>1576</v>
      </c>
      <c r="B309" s="3" t="s">
        <v>256</v>
      </c>
      <c r="C309" s="2">
        <v>102690</v>
      </c>
      <c r="D309" s="2">
        <v>412</v>
      </c>
      <c r="E309" s="2">
        <v>7</v>
      </c>
      <c r="F309" s="2">
        <v>10</v>
      </c>
      <c r="G309" s="2">
        <v>0</v>
      </c>
      <c r="H309" s="2">
        <v>0</v>
      </c>
      <c r="I309" s="2">
        <v>8</v>
      </c>
      <c r="J309" s="2">
        <v>20</v>
      </c>
      <c r="K309" s="2">
        <v>26</v>
      </c>
      <c r="L309" s="2">
        <v>12</v>
      </c>
      <c r="M309" s="2">
        <v>0</v>
      </c>
      <c r="N309" s="2">
        <v>10</v>
      </c>
      <c r="O309" s="2">
        <v>0</v>
      </c>
      <c r="P309" s="2">
        <v>0</v>
      </c>
      <c r="Q309" s="2">
        <v>0</v>
      </c>
      <c r="R309" s="274">
        <v>39371</v>
      </c>
      <c r="S309" s="253">
        <v>12</v>
      </c>
      <c r="T309" s="254">
        <f>SUM( tabConsumo[[#This Row],[QTD.PENDENTE]]:tabConsumo[[#This Row],[07_23]] ) / tabConsumo[[#This Row],[Div]]</f>
        <v>7.75</v>
      </c>
      <c r="U309" s="255">
        <f xml:space="preserve"> tabConsumo[[#This Row],[Média.A]] + (_xlfn.STDEV.S( tabConsumo[[#This Row],[QTD.PENDENTE]]:tabConsumo[[#This Row],[07_23]] ) * 1)</f>
        <v>16.253392987960297</v>
      </c>
      <c r="V309" s="255">
        <f xml:space="preserve"> tabConsumo[[#This Row],[Média.A]] + (_xlfn.STDEV.S( tabConsumo[[#This Row],[QTD.PENDENTE]]:tabConsumo[[#This Row],[07_23]] ) * 2)</f>
        <v>24.756785975920589</v>
      </c>
      <c r="W309" s="255">
        <f xml:space="preserve"> tabConsumo[[#This Row],[Média.A]] + (_xlfn.STDEV.S( tabConsumo[[#This Row],[QTD.PENDENTE]]:tabConsumo[[#This Row],[07_23]] ) * 3)</f>
        <v>33.260178963880882</v>
      </c>
      <c r="X309" s="5">
        <f t="shared" si="10"/>
        <v>2</v>
      </c>
      <c r="Y309">
        <v>7.583333333333333</v>
      </c>
      <c r="Z309" s="257">
        <f>SUM( tabConsumo[[#This Row],[QTD.PENDENTE]]:tabConsumo[[#This Row],[07_23]] )</f>
        <v>93</v>
      </c>
      <c r="AA309" s="257">
        <f>LARGE(tabConsumo[[#This Row],[08_22]:[07_23]],1)</f>
        <v>26</v>
      </c>
      <c r="AB309" s="175" t="s">
        <v>2213</v>
      </c>
      <c r="AC309" s="3" t="s">
        <v>2064</v>
      </c>
    </row>
    <row r="310" spans="1:29" x14ac:dyDescent="0.3">
      <c r="A310" s="4" t="s">
        <v>1842</v>
      </c>
      <c r="B310" s="3" t="s">
        <v>400</v>
      </c>
      <c r="C310" s="2">
        <v>133371</v>
      </c>
      <c r="D310" s="2">
        <v>220</v>
      </c>
      <c r="F310" s="2">
        <v>20</v>
      </c>
      <c r="G310" s="2">
        <v>60</v>
      </c>
      <c r="H310" s="2">
        <v>20</v>
      </c>
      <c r="I310" s="2">
        <v>60</v>
      </c>
      <c r="J310" s="2">
        <v>0</v>
      </c>
      <c r="K310" s="2">
        <v>60</v>
      </c>
      <c r="L310" s="2">
        <v>40</v>
      </c>
      <c r="M310" s="2">
        <v>40</v>
      </c>
      <c r="N310" s="2">
        <v>0</v>
      </c>
      <c r="O310" s="2">
        <v>200</v>
      </c>
      <c r="P310" s="2">
        <v>0</v>
      </c>
      <c r="Q310" s="2">
        <v>0</v>
      </c>
      <c r="R310" s="274">
        <v>42983</v>
      </c>
      <c r="S310" s="253">
        <v>12</v>
      </c>
      <c r="T310" s="254">
        <f>SUM( tabConsumo[[#This Row],[QTD.PENDENTE]]:tabConsumo[[#This Row],[07_23]] ) / tabConsumo[[#This Row],[Div]]</f>
        <v>41.666666666666664</v>
      </c>
      <c r="U310" s="255">
        <f xml:space="preserve"> tabConsumo[[#This Row],[Média.A]] + (_xlfn.STDEV.S( tabConsumo[[#This Row],[QTD.PENDENTE]]:tabConsumo[[#This Row],[07_23]] ) * 1)</f>
        <v>97.235351983837774</v>
      </c>
      <c r="V310" s="255">
        <f xml:space="preserve"> tabConsumo[[#This Row],[Média.A]] + (_xlfn.STDEV.S( tabConsumo[[#This Row],[QTD.PENDENTE]]:tabConsumo[[#This Row],[07_23]] ) * 2)</f>
        <v>152.80403730100889</v>
      </c>
      <c r="W310" s="255">
        <f xml:space="preserve"> tabConsumo[[#This Row],[Média.A]] + (_xlfn.STDEV.S( tabConsumo[[#This Row],[QTD.PENDENTE]]:tabConsumo[[#This Row],[07_23]] ) * 3)</f>
        <v>208.37272261818001</v>
      </c>
      <c r="X310" s="5">
        <f t="shared" si="10"/>
        <v>2</v>
      </c>
      <c r="Y310">
        <v>37.666666666666664</v>
      </c>
      <c r="Z310" s="257">
        <f>SUM( tabConsumo[[#This Row],[QTD.PENDENTE]]:tabConsumo[[#This Row],[07_23]] )</f>
        <v>500</v>
      </c>
      <c r="AA310" s="257">
        <f>LARGE(tabConsumo[[#This Row],[08_22]:[07_23]],1)</f>
        <v>200</v>
      </c>
      <c r="AB310" s="175" t="s">
        <v>2214</v>
      </c>
      <c r="AC310" s="3" t="s">
        <v>2064</v>
      </c>
    </row>
    <row r="311" spans="1:29" x14ac:dyDescent="0.3">
      <c r="A311" s="4" t="s">
        <v>1790</v>
      </c>
      <c r="B311" s="3" t="s">
        <v>331</v>
      </c>
      <c r="C311" s="2">
        <v>129991</v>
      </c>
      <c r="D311" s="2">
        <v>374</v>
      </c>
      <c r="F311" s="2">
        <v>0</v>
      </c>
      <c r="G311" s="2">
        <v>150</v>
      </c>
      <c r="H311" s="2">
        <v>50</v>
      </c>
      <c r="I311" s="2">
        <v>26</v>
      </c>
      <c r="J311" s="2">
        <v>0</v>
      </c>
      <c r="K311" s="2">
        <v>0</v>
      </c>
      <c r="L311" s="2">
        <v>0</v>
      </c>
      <c r="M311" s="2">
        <v>0</v>
      </c>
      <c r="N311" s="2">
        <v>0</v>
      </c>
      <c r="O311" s="2">
        <v>0</v>
      </c>
      <c r="P311" s="2">
        <v>0</v>
      </c>
      <c r="Q311" s="2">
        <v>2</v>
      </c>
      <c r="R311" s="274">
        <v>42055</v>
      </c>
      <c r="S311" s="253">
        <v>12</v>
      </c>
      <c r="T311" s="254">
        <f>SUM( tabConsumo[[#This Row],[QTD.PENDENTE]]:tabConsumo[[#This Row],[07_23]] ) / tabConsumo[[#This Row],[Div]]</f>
        <v>19</v>
      </c>
      <c r="U311" s="255">
        <f xml:space="preserve"> tabConsumo[[#This Row],[Média.A]] + (_xlfn.STDEV.S( tabConsumo[[#This Row],[QTD.PENDENTE]]:tabConsumo[[#This Row],[07_23]] ) * 1)</f>
        <v>63.053686255831906</v>
      </c>
      <c r="V311" s="255">
        <f xml:space="preserve"> tabConsumo[[#This Row],[Média.A]] + (_xlfn.STDEV.S( tabConsumo[[#This Row],[QTD.PENDENTE]]:tabConsumo[[#This Row],[07_23]] ) * 2)</f>
        <v>107.10737251166381</v>
      </c>
      <c r="W311" s="255">
        <f xml:space="preserve"> tabConsumo[[#This Row],[Média.A]] + (_xlfn.STDEV.S( tabConsumo[[#This Row],[QTD.PENDENTE]]:tabConsumo[[#This Row],[07_23]] ) * 3)</f>
        <v>151.16105876749572</v>
      </c>
      <c r="X311" s="5">
        <f t="shared" si="10"/>
        <v>2</v>
      </c>
      <c r="Y311">
        <v>15.416666666666666</v>
      </c>
      <c r="Z311" s="257">
        <f>SUM( tabConsumo[[#This Row],[QTD.PENDENTE]]:tabConsumo[[#This Row],[07_23]] )</f>
        <v>228</v>
      </c>
      <c r="AA311" s="257">
        <f>LARGE(tabConsumo[[#This Row],[08_22]:[07_23]],1)</f>
        <v>150</v>
      </c>
      <c r="AB311" s="175" t="s">
        <v>2211</v>
      </c>
      <c r="AC311" s="3" t="s">
        <v>2064</v>
      </c>
    </row>
    <row r="312" spans="1:29" x14ac:dyDescent="0.3">
      <c r="A312" s="4" t="s">
        <v>1737</v>
      </c>
      <c r="B312" s="3" t="s">
        <v>331</v>
      </c>
      <c r="C312" s="2">
        <v>120995</v>
      </c>
      <c r="D312" s="2">
        <v>80</v>
      </c>
      <c r="F312" s="2">
        <v>6</v>
      </c>
      <c r="G312" s="2">
        <v>10</v>
      </c>
      <c r="H312" s="2">
        <v>0</v>
      </c>
      <c r="I312" s="2">
        <v>30</v>
      </c>
      <c r="J312" s="2">
        <v>0</v>
      </c>
      <c r="K312" s="2">
        <v>40</v>
      </c>
      <c r="L312" s="2">
        <v>0</v>
      </c>
      <c r="M312" s="2">
        <v>20</v>
      </c>
      <c r="N312" s="2">
        <v>0</v>
      </c>
      <c r="O312" s="2">
        <v>0</v>
      </c>
      <c r="P312" s="2">
        <v>50</v>
      </c>
      <c r="Q312" s="2">
        <v>0</v>
      </c>
      <c r="R312" s="274">
        <v>40794</v>
      </c>
      <c r="S312" s="253">
        <v>12</v>
      </c>
      <c r="T312" s="254">
        <f>SUM( tabConsumo[[#This Row],[QTD.PENDENTE]]:tabConsumo[[#This Row],[07_23]] ) / tabConsumo[[#This Row],[Div]]</f>
        <v>13</v>
      </c>
      <c r="U312" s="255">
        <f xml:space="preserve"> tabConsumo[[#This Row],[Média.A]] + (_xlfn.STDEV.S( tabConsumo[[#This Row],[QTD.PENDENTE]]:tabConsumo[[#This Row],[07_23]] ) * 1)</f>
        <v>30.858025952189983</v>
      </c>
      <c r="V312" s="255">
        <f xml:space="preserve"> tabConsumo[[#This Row],[Média.A]] + (_xlfn.STDEV.S( tabConsumo[[#This Row],[QTD.PENDENTE]]:tabConsumo[[#This Row],[07_23]] ) * 2)</f>
        <v>48.716051904379967</v>
      </c>
      <c r="W312" s="255">
        <f xml:space="preserve"> tabConsumo[[#This Row],[Média.A]] + (_xlfn.STDEV.S( tabConsumo[[#This Row],[QTD.PENDENTE]]:tabConsumo[[#This Row],[07_23]] ) * 3)</f>
        <v>66.574077856569943</v>
      </c>
      <c r="X312" s="5">
        <f t="shared" si="10"/>
        <v>2</v>
      </c>
      <c r="Y312">
        <v>12.833333333333334</v>
      </c>
      <c r="Z312" s="257">
        <f>SUM( tabConsumo[[#This Row],[QTD.PENDENTE]]:tabConsumo[[#This Row],[07_23]] )</f>
        <v>156</v>
      </c>
      <c r="AA312" s="257">
        <f>LARGE(tabConsumo[[#This Row],[08_22]:[07_23]],1)</f>
        <v>50</v>
      </c>
      <c r="AB312" s="175" t="s">
        <v>2212</v>
      </c>
      <c r="AC312" s="3" t="s">
        <v>2064</v>
      </c>
    </row>
    <row r="313" spans="1:29" x14ac:dyDescent="0.3">
      <c r="A313" s="4" t="s">
        <v>1560</v>
      </c>
      <c r="B313" s="3" t="s">
        <v>256</v>
      </c>
      <c r="C313" s="2">
        <v>99787</v>
      </c>
      <c r="D313" s="2">
        <v>16</v>
      </c>
      <c r="F313" s="2">
        <v>2</v>
      </c>
      <c r="G313" s="2">
        <v>3</v>
      </c>
      <c r="H313" s="2">
        <v>0</v>
      </c>
      <c r="I313" s="2">
        <v>2</v>
      </c>
      <c r="J313" s="2">
        <v>5</v>
      </c>
      <c r="K313" s="2">
        <v>35</v>
      </c>
      <c r="L313" s="2">
        <v>12</v>
      </c>
      <c r="M313" s="2">
        <v>0</v>
      </c>
      <c r="N313" s="2">
        <v>0</v>
      </c>
      <c r="O313" s="2">
        <v>4</v>
      </c>
      <c r="P313" s="2">
        <v>4</v>
      </c>
      <c r="Q313" s="2">
        <v>2</v>
      </c>
      <c r="R313" s="274">
        <v>39227</v>
      </c>
      <c r="S313" s="253">
        <v>12</v>
      </c>
      <c r="T313" s="254">
        <f>SUM( tabConsumo[[#This Row],[QTD.PENDENTE]]:tabConsumo[[#This Row],[07_23]] ) / tabConsumo[[#This Row],[Div]]</f>
        <v>5.75</v>
      </c>
      <c r="U313" s="255">
        <f xml:space="preserve"> tabConsumo[[#This Row],[Média.A]] + (_xlfn.STDEV.S( tabConsumo[[#This Row],[QTD.PENDENTE]]:tabConsumo[[#This Row],[07_23]] ) * 1)</f>
        <v>15.521247245222726</v>
      </c>
      <c r="V313" s="255">
        <f xml:space="preserve"> tabConsumo[[#This Row],[Média.A]] + (_xlfn.STDEV.S( tabConsumo[[#This Row],[QTD.PENDENTE]]:tabConsumo[[#This Row],[07_23]] ) * 2)</f>
        <v>25.292494490445453</v>
      </c>
      <c r="W313" s="255">
        <f xml:space="preserve"> tabConsumo[[#This Row],[Média.A]] + (_xlfn.STDEV.S( tabConsumo[[#This Row],[QTD.PENDENTE]]:tabConsumo[[#This Row],[07_23]] ) * 3)</f>
        <v>35.063741735668181</v>
      </c>
      <c r="X313" s="5">
        <f t="shared" si="10"/>
        <v>2</v>
      </c>
      <c r="Y313">
        <v>4.916666666666667</v>
      </c>
      <c r="Z313" s="257">
        <f>SUM( tabConsumo[[#This Row],[QTD.PENDENTE]]:tabConsumo[[#This Row],[07_23]] )</f>
        <v>69</v>
      </c>
      <c r="AA313" s="257">
        <f>LARGE(tabConsumo[[#This Row],[08_22]:[07_23]],1)</f>
        <v>35</v>
      </c>
      <c r="AB313" s="175" t="s">
        <v>2211</v>
      </c>
      <c r="AC313" s="3" t="s">
        <v>2064</v>
      </c>
    </row>
    <row r="314" spans="1:29" x14ac:dyDescent="0.3">
      <c r="A314" s="4" t="s">
        <v>1348</v>
      </c>
      <c r="B314" s="3" t="s">
        <v>294</v>
      </c>
      <c r="C314" s="2">
        <v>60889</v>
      </c>
      <c r="D314" s="2">
        <v>918</v>
      </c>
      <c r="F314" s="2">
        <v>234</v>
      </c>
      <c r="G314" s="2">
        <v>86</v>
      </c>
      <c r="H314" s="2">
        <v>156</v>
      </c>
      <c r="I314" s="2">
        <v>107</v>
      </c>
      <c r="J314" s="2">
        <v>158</v>
      </c>
      <c r="K314" s="2">
        <v>320</v>
      </c>
      <c r="L314" s="2">
        <v>130</v>
      </c>
      <c r="M314" s="2">
        <v>161</v>
      </c>
      <c r="N314" s="2">
        <v>163</v>
      </c>
      <c r="O314" s="2">
        <v>40</v>
      </c>
      <c r="P314" s="2">
        <v>190</v>
      </c>
      <c r="Q314" s="2">
        <v>190</v>
      </c>
      <c r="R314" s="274">
        <v>367</v>
      </c>
      <c r="S314" s="253">
        <f xml:space="preserve"> 12</f>
        <v>12</v>
      </c>
      <c r="T314" s="254">
        <f>SUM( tabConsumo[[#This Row],[QTD.PENDENTE]]:tabConsumo[[#This Row],[07_23]] ) / tabConsumo[[#This Row],[Div]]</f>
        <v>161.25</v>
      </c>
      <c r="U314" s="255">
        <f xml:space="preserve"> tabConsumo[[#This Row],[Média.A]] + (_xlfn.STDEV.S( tabConsumo[[#This Row],[QTD.PENDENTE]]:tabConsumo[[#This Row],[07_23]] ) * 1)</f>
        <v>232.90082629733524</v>
      </c>
      <c r="V314" s="255">
        <f xml:space="preserve"> tabConsumo[[#This Row],[Média.A]] + (_xlfn.STDEV.S( tabConsumo[[#This Row],[QTD.PENDENTE]]:tabConsumo[[#This Row],[07_23]] ) * 2)</f>
        <v>304.55165259467049</v>
      </c>
      <c r="W314" s="255">
        <f xml:space="preserve"> tabConsumo[[#This Row],[Média.A]] + (_xlfn.STDEV.S( tabConsumo[[#This Row],[QTD.PENDENTE]]:tabConsumo[[#This Row],[07_23]] ) * 3)</f>
        <v>376.20247889200579</v>
      </c>
      <c r="X314" s="5">
        <f t="shared" si="10"/>
        <v>2</v>
      </c>
      <c r="Y314">
        <v>159.91666666666666</v>
      </c>
      <c r="Z314" s="257">
        <f>SUM( tabConsumo[[#This Row],[QTD.PENDENTE]]:tabConsumo[[#This Row],[07_23]] )</f>
        <v>1935</v>
      </c>
      <c r="AA314" s="257">
        <f>LARGE(tabConsumo[[#This Row],[08_22]:[07_23]],1)</f>
        <v>320</v>
      </c>
      <c r="AB314" s="175" t="s">
        <v>2211</v>
      </c>
      <c r="AC314" s="3" t="s">
        <v>2064</v>
      </c>
    </row>
    <row r="315" spans="1:29" x14ac:dyDescent="0.3">
      <c r="A315" s="4" t="s">
        <v>1074</v>
      </c>
      <c r="B315" s="3" t="s">
        <v>331</v>
      </c>
      <c r="C315" s="2">
        <v>14885</v>
      </c>
      <c r="D315" s="2">
        <v>0</v>
      </c>
      <c r="E315" s="2">
        <v>35</v>
      </c>
      <c r="F315" s="2">
        <v>0</v>
      </c>
      <c r="G315" s="2">
        <v>0</v>
      </c>
      <c r="H315" s="2">
        <v>0</v>
      </c>
      <c r="I315" s="2">
        <v>0</v>
      </c>
      <c r="J315" s="2">
        <v>0</v>
      </c>
      <c r="K315" s="2">
        <v>35</v>
      </c>
      <c r="L315" s="2">
        <v>0</v>
      </c>
      <c r="M315" s="2">
        <v>0</v>
      </c>
      <c r="N315" s="2">
        <v>165</v>
      </c>
      <c r="O315" s="2">
        <v>0</v>
      </c>
      <c r="P315" s="2">
        <v>0</v>
      </c>
      <c r="Q315" s="2">
        <v>0</v>
      </c>
      <c r="R315" s="274">
        <v>367</v>
      </c>
      <c r="S315" s="253">
        <f xml:space="preserve"> 12</f>
        <v>12</v>
      </c>
      <c r="T315" s="254">
        <f>SUM( tabConsumo[[#This Row],[QTD.PENDENTE]]:tabConsumo[[#This Row],[07_23]] ) / tabConsumo[[#This Row],[Div]]</f>
        <v>19.583333333333332</v>
      </c>
      <c r="U315" s="255">
        <f xml:space="preserve"> tabConsumo[[#This Row],[Média.A]] + (_xlfn.STDEV.S( tabConsumo[[#This Row],[QTD.PENDENTE]]:tabConsumo[[#This Row],[07_23]] ) * 1)</f>
        <v>65.614955685910218</v>
      </c>
      <c r="V315" s="255">
        <f xml:space="preserve"> tabConsumo[[#This Row],[Média.A]] + (_xlfn.STDEV.S( tabConsumo[[#This Row],[QTD.PENDENTE]]:tabConsumo[[#This Row],[07_23]] ) * 2)</f>
        <v>111.64657803848711</v>
      </c>
      <c r="W315" s="255">
        <f xml:space="preserve"> tabConsumo[[#This Row],[Média.A]] + (_xlfn.STDEV.S( tabConsumo[[#This Row],[QTD.PENDENTE]]:tabConsumo[[#This Row],[07_23]] ) * 3)</f>
        <v>157.678200391064</v>
      </c>
      <c r="X315" s="5">
        <f t="shared" si="10"/>
        <v>2</v>
      </c>
      <c r="Y315">
        <v>15.083333333333334</v>
      </c>
      <c r="Z315" s="257">
        <f>SUM( tabConsumo[[#This Row],[QTD.PENDENTE]]:tabConsumo[[#This Row],[07_23]] )</f>
        <v>235</v>
      </c>
      <c r="AA315" s="257">
        <f>LARGE(tabConsumo[[#This Row],[08_22]:[07_23]],1)</f>
        <v>165</v>
      </c>
      <c r="AB315" s="175" t="s">
        <v>2213</v>
      </c>
      <c r="AC315" s="3" t="s">
        <v>2064</v>
      </c>
    </row>
    <row r="316" spans="1:29" x14ac:dyDescent="0.3">
      <c r="A316" s="4" t="s">
        <v>1075</v>
      </c>
      <c r="B316" s="3" t="s">
        <v>331</v>
      </c>
      <c r="C316" s="2">
        <v>14887</v>
      </c>
      <c r="D316" s="2">
        <v>0</v>
      </c>
      <c r="E316" s="2">
        <v>100</v>
      </c>
      <c r="F316" s="2">
        <v>0</v>
      </c>
      <c r="G316" s="2">
        <v>0</v>
      </c>
      <c r="H316" s="2">
        <v>0</v>
      </c>
      <c r="I316" s="2">
        <v>0</v>
      </c>
      <c r="J316" s="2">
        <v>100</v>
      </c>
      <c r="K316" s="2">
        <v>0</v>
      </c>
      <c r="L316" s="2">
        <v>0</v>
      </c>
      <c r="M316" s="2">
        <v>0</v>
      </c>
      <c r="N316" s="2">
        <v>100</v>
      </c>
      <c r="O316" s="2">
        <v>0</v>
      </c>
      <c r="P316" s="2">
        <v>0</v>
      </c>
      <c r="Q316" s="2">
        <v>0</v>
      </c>
      <c r="R316" s="274">
        <v>367</v>
      </c>
      <c r="S316" s="253">
        <f xml:space="preserve"> 12</f>
        <v>12</v>
      </c>
      <c r="T316" s="254">
        <f>SUM( tabConsumo[[#This Row],[QTD.PENDENTE]]:tabConsumo[[#This Row],[07_23]] ) / tabConsumo[[#This Row],[Div]]</f>
        <v>25</v>
      </c>
      <c r="U316" s="255">
        <f xml:space="preserve"> tabConsumo[[#This Row],[Média.A]] + (_xlfn.STDEV.S( tabConsumo[[#This Row],[QTD.PENDENTE]]:tabConsumo[[#This Row],[07_23]] ) * 1)</f>
        <v>68.852900965351466</v>
      </c>
      <c r="V316" s="255">
        <f xml:space="preserve"> tabConsumo[[#This Row],[Média.A]] + (_xlfn.STDEV.S( tabConsumo[[#This Row],[QTD.PENDENTE]]:tabConsumo[[#This Row],[07_23]] ) * 2)</f>
        <v>112.70580193070292</v>
      </c>
      <c r="W316" s="255">
        <f xml:space="preserve"> tabConsumo[[#This Row],[Média.A]] + (_xlfn.STDEV.S( tabConsumo[[#This Row],[QTD.PENDENTE]]:tabConsumo[[#This Row],[07_23]] ) * 3)</f>
        <v>156.55870289605437</v>
      </c>
      <c r="X316" s="5">
        <f t="shared" si="10"/>
        <v>2</v>
      </c>
      <c r="Y316">
        <v>25</v>
      </c>
      <c r="Z316" s="257">
        <f>SUM( tabConsumo[[#This Row],[QTD.PENDENTE]]:tabConsumo[[#This Row],[07_23]] )</f>
        <v>300</v>
      </c>
      <c r="AA316" s="257">
        <f>LARGE(tabConsumo[[#This Row],[08_22]:[07_23]],1)</f>
        <v>100</v>
      </c>
      <c r="AB316" s="175" t="s">
        <v>2213</v>
      </c>
      <c r="AC316" s="3" t="s">
        <v>2064</v>
      </c>
    </row>
    <row r="317" spans="1:29" x14ac:dyDescent="0.3">
      <c r="A317" s="4" t="s">
        <v>987</v>
      </c>
      <c r="B317" s="3" t="s">
        <v>331</v>
      </c>
      <c r="C317" s="2">
        <v>13009</v>
      </c>
      <c r="D317" s="2">
        <v>606</v>
      </c>
      <c r="F317" s="2">
        <v>0</v>
      </c>
      <c r="G317" s="2">
        <v>15</v>
      </c>
      <c r="H317" s="2">
        <v>20</v>
      </c>
      <c r="I317" s="2">
        <v>50</v>
      </c>
      <c r="J317" s="2">
        <v>60</v>
      </c>
      <c r="K317" s="2">
        <v>0</v>
      </c>
      <c r="L317" s="2">
        <v>0</v>
      </c>
      <c r="M317" s="2">
        <v>50</v>
      </c>
      <c r="N317" s="2">
        <v>0</v>
      </c>
      <c r="O317" s="2">
        <v>150</v>
      </c>
      <c r="P317" s="2">
        <v>0</v>
      </c>
      <c r="Q317" s="2">
        <v>0</v>
      </c>
      <c r="R317" s="274">
        <v>367</v>
      </c>
      <c r="S317" s="253">
        <f xml:space="preserve"> 12</f>
        <v>12</v>
      </c>
      <c r="T317" s="254">
        <f>SUM( tabConsumo[[#This Row],[QTD.PENDENTE]]:tabConsumo[[#This Row],[07_23]] ) / tabConsumo[[#This Row],[Div]]</f>
        <v>28.75</v>
      </c>
      <c r="U317" s="255">
        <f xml:space="preserve"> tabConsumo[[#This Row],[Média.A]] + (_xlfn.STDEV.S( tabConsumo[[#This Row],[QTD.PENDENTE]]:tabConsumo[[#This Row],[07_23]] ) * 1)</f>
        <v>73.273997615177862</v>
      </c>
      <c r="V317" s="255">
        <f xml:space="preserve"> tabConsumo[[#This Row],[Média.A]] + (_xlfn.STDEV.S( tabConsumo[[#This Row],[QTD.PENDENTE]]:tabConsumo[[#This Row],[07_23]] ) * 2)</f>
        <v>117.79799523035572</v>
      </c>
      <c r="W317" s="255">
        <f xml:space="preserve"> tabConsumo[[#This Row],[Média.A]] + (_xlfn.STDEV.S( tabConsumo[[#This Row],[QTD.PENDENTE]]:tabConsumo[[#This Row],[07_23]] ) * 3)</f>
        <v>162.3219928455336</v>
      </c>
      <c r="X317" s="5">
        <f t="shared" si="10"/>
        <v>2</v>
      </c>
      <c r="Y317">
        <v>26</v>
      </c>
      <c r="Z317" s="257">
        <f>SUM( tabConsumo[[#This Row],[QTD.PENDENTE]]:tabConsumo[[#This Row],[07_23]] )</f>
        <v>345</v>
      </c>
      <c r="AA317" s="257">
        <f>LARGE(tabConsumo[[#This Row],[08_22]:[07_23]],1)</f>
        <v>150</v>
      </c>
      <c r="AB317" s="175" t="s">
        <v>2214</v>
      </c>
      <c r="AC317" s="3" t="s">
        <v>2064</v>
      </c>
    </row>
    <row r="318" spans="1:29" x14ac:dyDescent="0.3">
      <c r="A318" s="4" t="s">
        <v>1662</v>
      </c>
      <c r="B318" s="3" t="s">
        <v>256</v>
      </c>
      <c r="C318" s="2">
        <v>110702</v>
      </c>
      <c r="D318" s="2">
        <v>136</v>
      </c>
      <c r="F318" s="2">
        <v>0</v>
      </c>
      <c r="G318" s="2">
        <v>10</v>
      </c>
      <c r="H318" s="2">
        <v>10</v>
      </c>
      <c r="I318" s="2">
        <v>3</v>
      </c>
      <c r="J318" s="2">
        <v>0</v>
      </c>
      <c r="K318" s="2">
        <v>0</v>
      </c>
      <c r="L318" s="2">
        <v>0</v>
      </c>
      <c r="M318" s="2">
        <v>0</v>
      </c>
      <c r="N318" s="2">
        <v>0</v>
      </c>
      <c r="O318" s="2">
        <v>4</v>
      </c>
      <c r="P318" s="2">
        <v>0</v>
      </c>
      <c r="Q318" s="2">
        <v>0</v>
      </c>
      <c r="R318" s="274">
        <v>39927</v>
      </c>
      <c r="S318" s="253">
        <v>12</v>
      </c>
      <c r="T318" s="254">
        <f>SUM( tabConsumo[[#This Row],[QTD.PENDENTE]]:tabConsumo[[#This Row],[07_23]] ) / tabConsumo[[#This Row],[Div]]</f>
        <v>2.25</v>
      </c>
      <c r="U318" s="255">
        <f xml:space="preserve"> tabConsumo[[#This Row],[Média.A]] + (_xlfn.STDEV.S( tabConsumo[[#This Row],[QTD.PENDENTE]]:tabConsumo[[#This Row],[07_23]] ) * 1)</f>
        <v>6.114171085992206</v>
      </c>
      <c r="V318" s="255">
        <f xml:space="preserve"> tabConsumo[[#This Row],[Média.A]] + (_xlfn.STDEV.S( tabConsumo[[#This Row],[QTD.PENDENTE]]:tabConsumo[[#This Row],[07_23]] ) * 2)</f>
        <v>9.9783421719844121</v>
      </c>
      <c r="W318" s="255">
        <f xml:space="preserve"> tabConsumo[[#This Row],[Média.A]] + (_xlfn.STDEV.S( tabConsumo[[#This Row],[QTD.PENDENTE]]:tabConsumo[[#This Row],[07_23]] ) * 3)</f>
        <v>13.842513257976616</v>
      </c>
      <c r="X318" s="5">
        <f t="shared" si="10"/>
        <v>2</v>
      </c>
      <c r="Y318">
        <v>2.0833333333333335</v>
      </c>
      <c r="Z318" s="257">
        <f>SUM( tabConsumo[[#This Row],[QTD.PENDENTE]]:tabConsumo[[#This Row],[07_23]] )</f>
        <v>27</v>
      </c>
      <c r="AA318" s="257">
        <f>LARGE(tabConsumo[[#This Row],[08_22]:[07_23]],1)</f>
        <v>10</v>
      </c>
      <c r="AB318" s="175" t="s">
        <v>2214</v>
      </c>
      <c r="AC318" s="3" t="s">
        <v>2064</v>
      </c>
    </row>
    <row r="319" spans="1:29" x14ac:dyDescent="0.3">
      <c r="A319" s="4" t="s">
        <v>1578</v>
      </c>
      <c r="B319" s="3" t="s">
        <v>256</v>
      </c>
      <c r="C319" s="2">
        <v>102694</v>
      </c>
      <c r="D319" s="2">
        <v>215</v>
      </c>
      <c r="E319" s="2">
        <v>3</v>
      </c>
      <c r="F319" s="2">
        <v>5</v>
      </c>
      <c r="G319" s="2">
        <v>0</v>
      </c>
      <c r="H319" s="2">
        <v>0</v>
      </c>
      <c r="I319" s="2">
        <v>0</v>
      </c>
      <c r="J319" s="2">
        <v>0</v>
      </c>
      <c r="K319" s="2">
        <v>27</v>
      </c>
      <c r="L319" s="2">
        <v>20</v>
      </c>
      <c r="M319" s="2">
        <v>0</v>
      </c>
      <c r="N319" s="2">
        <v>5</v>
      </c>
      <c r="O319" s="2">
        <v>10</v>
      </c>
      <c r="P319" s="2">
        <v>0</v>
      </c>
      <c r="Q319" s="2">
        <v>0</v>
      </c>
      <c r="R319" s="274">
        <v>39371</v>
      </c>
      <c r="S319" s="253">
        <v>12</v>
      </c>
      <c r="T319" s="254">
        <f>SUM( tabConsumo[[#This Row],[QTD.PENDENTE]]:tabConsumo[[#This Row],[07_23]] ) / tabConsumo[[#This Row],[Div]]</f>
        <v>5.833333333333333</v>
      </c>
      <c r="U319" s="255">
        <f xml:space="preserve"> tabConsumo[[#This Row],[Média.A]] + (_xlfn.STDEV.S( tabConsumo[[#This Row],[QTD.PENDENTE]]:tabConsumo[[#This Row],[07_23]] ) * 1)</f>
        <v>14.546718262456857</v>
      </c>
      <c r="V319" s="255">
        <f xml:space="preserve"> tabConsumo[[#This Row],[Média.A]] + (_xlfn.STDEV.S( tabConsumo[[#This Row],[QTD.PENDENTE]]:tabConsumo[[#This Row],[07_23]] ) * 2)</f>
        <v>23.260103191580377</v>
      </c>
      <c r="W319" s="255">
        <f xml:space="preserve"> tabConsumo[[#This Row],[Média.A]] + (_xlfn.STDEV.S( tabConsumo[[#This Row],[QTD.PENDENTE]]:tabConsumo[[#This Row],[07_23]] ) * 3)</f>
        <v>31.973488120703902</v>
      </c>
      <c r="X319" s="5">
        <f t="shared" si="10"/>
        <v>2</v>
      </c>
      <c r="Y319">
        <v>5.5</v>
      </c>
      <c r="Z319" s="257">
        <f>SUM( tabConsumo[[#This Row],[QTD.PENDENTE]]:tabConsumo[[#This Row],[07_23]] )</f>
        <v>70</v>
      </c>
      <c r="AA319" s="257">
        <f>LARGE(tabConsumo[[#This Row],[08_22]:[07_23]],1)</f>
        <v>27</v>
      </c>
      <c r="AB319" s="175" t="s">
        <v>2214</v>
      </c>
      <c r="AC319" s="3" t="s">
        <v>2064</v>
      </c>
    </row>
    <row r="320" spans="1:29" x14ac:dyDescent="0.3">
      <c r="A320" s="4" t="s">
        <v>1948</v>
      </c>
      <c r="B320" s="3" t="s">
        <v>256</v>
      </c>
      <c r="C320" s="2">
        <v>138055</v>
      </c>
      <c r="D320" s="2">
        <v>446</v>
      </c>
      <c r="F320" s="2">
        <v>54</v>
      </c>
      <c r="G320" s="2">
        <v>62</v>
      </c>
      <c r="H320" s="2">
        <v>31</v>
      </c>
      <c r="I320" s="2">
        <v>24</v>
      </c>
      <c r="J320" s="2">
        <v>18</v>
      </c>
      <c r="K320" s="2">
        <v>26</v>
      </c>
      <c r="L320" s="2">
        <v>41</v>
      </c>
      <c r="M320" s="2">
        <v>95</v>
      </c>
      <c r="N320" s="2">
        <v>82</v>
      </c>
      <c r="O320" s="2">
        <v>156</v>
      </c>
      <c r="P320" s="2">
        <v>0</v>
      </c>
      <c r="Q320" s="2">
        <v>0</v>
      </c>
      <c r="R320" s="274">
        <v>43656</v>
      </c>
      <c r="S320" s="253">
        <v>12</v>
      </c>
      <c r="T320" s="254">
        <f>SUM( tabConsumo[[#This Row],[QTD.PENDENTE]]:tabConsumo[[#This Row],[07_23]] ) / tabConsumo[[#This Row],[Div]]</f>
        <v>49.083333333333336</v>
      </c>
      <c r="U320" s="255">
        <f xml:space="preserve"> tabConsumo[[#This Row],[Média.A]] + (_xlfn.STDEV.S( tabConsumo[[#This Row],[QTD.PENDENTE]]:tabConsumo[[#This Row],[07_23]] ) * 1)</f>
        <v>93.95984740418686</v>
      </c>
      <c r="V320" s="255">
        <f xml:space="preserve"> tabConsumo[[#This Row],[Média.A]] + (_xlfn.STDEV.S( tabConsumo[[#This Row],[QTD.PENDENTE]]:tabConsumo[[#This Row],[07_23]] ) * 2)</f>
        <v>138.83636147504041</v>
      </c>
      <c r="W320" s="255">
        <f xml:space="preserve"> tabConsumo[[#This Row],[Média.A]] + (_xlfn.STDEV.S( tabConsumo[[#This Row],[QTD.PENDENTE]]:tabConsumo[[#This Row],[07_23]] ) * 3)</f>
        <v>183.71287554589392</v>
      </c>
      <c r="X320" s="5">
        <f t="shared" si="10"/>
        <v>2</v>
      </c>
      <c r="Y320">
        <v>47.583333333333336</v>
      </c>
      <c r="Z320" s="257">
        <f>SUM( tabConsumo[[#This Row],[QTD.PENDENTE]]:tabConsumo[[#This Row],[07_23]] )</f>
        <v>589</v>
      </c>
      <c r="AA320" s="257">
        <f>LARGE(tabConsumo[[#This Row],[08_22]:[07_23]],1)</f>
        <v>156</v>
      </c>
      <c r="AB320" s="175" t="s">
        <v>2214</v>
      </c>
      <c r="AC320" s="3" t="s">
        <v>2064</v>
      </c>
    </row>
    <row r="321" spans="1:29" x14ac:dyDescent="0.3">
      <c r="A321" s="4" t="s">
        <v>488</v>
      </c>
      <c r="B321" s="3" t="s">
        <v>31</v>
      </c>
      <c r="C321" s="2">
        <v>11980</v>
      </c>
      <c r="D321" s="2">
        <v>0</v>
      </c>
      <c r="E321" s="2">
        <v>1882</v>
      </c>
      <c r="F321" s="2">
        <v>435</v>
      </c>
      <c r="G321" s="2">
        <v>1006</v>
      </c>
      <c r="H321" s="2">
        <v>430</v>
      </c>
      <c r="I321" s="2">
        <v>725</v>
      </c>
      <c r="J321" s="2">
        <v>575</v>
      </c>
      <c r="K321" s="2">
        <v>560</v>
      </c>
      <c r="L321" s="2">
        <v>570</v>
      </c>
      <c r="M321" s="2">
        <v>2354</v>
      </c>
      <c r="N321" s="2">
        <v>0</v>
      </c>
      <c r="O321" s="2">
        <v>0</v>
      </c>
      <c r="P321" s="2">
        <v>0</v>
      </c>
      <c r="Q321" s="2">
        <v>0</v>
      </c>
      <c r="R321" s="274">
        <v>367</v>
      </c>
      <c r="S321" s="253">
        <f xml:space="preserve"> 12</f>
        <v>12</v>
      </c>
      <c r="T321" s="254">
        <f>SUM( tabConsumo[[#This Row],[QTD.PENDENTE]]:tabConsumo[[#This Row],[07_23]] ) / tabConsumo[[#This Row],[Div]]</f>
        <v>711.41666666666663</v>
      </c>
      <c r="U321" s="255">
        <f xml:space="preserve"> tabConsumo[[#This Row],[Média.A]] + (_xlfn.STDEV.S( tabConsumo[[#This Row],[QTD.PENDENTE]]:tabConsumo[[#This Row],[07_23]] ) * 1)</f>
        <v>1439.3113917260193</v>
      </c>
      <c r="V321" s="255">
        <f xml:space="preserve"> tabConsumo[[#This Row],[Média.A]] + (_xlfn.STDEV.S( tabConsumo[[#This Row],[QTD.PENDENTE]]:tabConsumo[[#This Row],[07_23]] ) * 2)</f>
        <v>2167.2061167853722</v>
      </c>
      <c r="W321" s="255">
        <f xml:space="preserve"> tabConsumo[[#This Row],[Média.A]] + (_xlfn.STDEV.S( tabConsumo[[#This Row],[QTD.PENDENTE]]:tabConsumo[[#This Row],[07_23]] ) * 3)</f>
        <v>2895.1008418447245</v>
      </c>
      <c r="X321" s="5">
        <f t="shared" si="10"/>
        <v>2</v>
      </c>
      <c r="Y321">
        <v>695.83333333333337</v>
      </c>
      <c r="Z321" s="257">
        <f>SUM( tabConsumo[[#This Row],[QTD.PENDENTE]]:tabConsumo[[#This Row],[07_23]] )</f>
        <v>8537</v>
      </c>
      <c r="AA321" s="257">
        <f>LARGE(tabConsumo[[#This Row],[08_22]:[07_23]],1)</f>
        <v>2354</v>
      </c>
      <c r="AB321" s="175" t="s">
        <v>2217</v>
      </c>
      <c r="AC321" s="3" t="s">
        <v>2064</v>
      </c>
    </row>
    <row r="322" spans="1:29" x14ac:dyDescent="0.3">
      <c r="A322" s="4" t="s">
        <v>1176</v>
      </c>
      <c r="B322" s="3" t="s">
        <v>31</v>
      </c>
      <c r="C322" s="2">
        <v>23581</v>
      </c>
      <c r="D322" s="2">
        <v>15851</v>
      </c>
      <c r="F322" s="2">
        <v>755</v>
      </c>
      <c r="G322" s="2">
        <v>1905</v>
      </c>
      <c r="H322" s="2">
        <v>975</v>
      </c>
      <c r="I322" s="2">
        <v>1317</v>
      </c>
      <c r="J322" s="2">
        <v>745</v>
      </c>
      <c r="K322" s="2">
        <v>630</v>
      </c>
      <c r="L322" s="2">
        <v>905</v>
      </c>
      <c r="M322" s="2">
        <v>5409</v>
      </c>
      <c r="N322" s="2">
        <v>815</v>
      </c>
      <c r="O322" s="2">
        <v>1390</v>
      </c>
      <c r="P322" s="2">
        <v>890</v>
      </c>
      <c r="Q322" s="2">
        <v>885</v>
      </c>
      <c r="R322" s="274">
        <v>367</v>
      </c>
      <c r="S322" s="253">
        <f xml:space="preserve"> 12</f>
        <v>12</v>
      </c>
      <c r="T322" s="254">
        <f>SUM( tabConsumo[[#This Row],[QTD.PENDENTE]]:tabConsumo[[#This Row],[07_23]] ) / tabConsumo[[#This Row],[Div]]</f>
        <v>1385.0833333333333</v>
      </c>
      <c r="U322" s="255">
        <f xml:space="preserve"> tabConsumo[[#This Row],[Média.A]] + (_xlfn.STDEV.S( tabConsumo[[#This Row],[QTD.PENDENTE]]:tabConsumo[[#This Row],[07_23]] ) * 1)</f>
        <v>2701.503234451744</v>
      </c>
      <c r="V322" s="255">
        <f xml:space="preserve"> tabConsumo[[#This Row],[Média.A]] + (_xlfn.STDEV.S( tabConsumo[[#This Row],[QTD.PENDENTE]]:tabConsumo[[#This Row],[07_23]] ) * 2)</f>
        <v>4017.923135570155</v>
      </c>
      <c r="W322" s="255">
        <f xml:space="preserve"> tabConsumo[[#This Row],[Média.A]] + (_xlfn.STDEV.S( tabConsumo[[#This Row],[QTD.PENDENTE]]:tabConsumo[[#This Row],[07_23]] ) * 3)</f>
        <v>5334.343036688565</v>
      </c>
      <c r="X322" s="5">
        <f t="shared" si="10"/>
        <v>2</v>
      </c>
      <c r="Y322">
        <v>1269.0833333333333</v>
      </c>
      <c r="Z322" s="257">
        <f>SUM( tabConsumo[[#This Row],[QTD.PENDENTE]]:tabConsumo[[#This Row],[07_23]] )</f>
        <v>16621</v>
      </c>
      <c r="AA322" s="257">
        <f>LARGE(tabConsumo[[#This Row],[08_22]:[07_23]],1)</f>
        <v>5409</v>
      </c>
      <c r="AB322" s="175" t="s">
        <v>2211</v>
      </c>
      <c r="AC322" s="3" t="s">
        <v>2064</v>
      </c>
    </row>
    <row r="323" spans="1:29" x14ac:dyDescent="0.3">
      <c r="A323" s="4" t="s">
        <v>1483</v>
      </c>
      <c r="B323" s="3" t="s">
        <v>31</v>
      </c>
      <c r="C323" s="2">
        <v>84878</v>
      </c>
      <c r="D323" s="2">
        <v>59886</v>
      </c>
      <c r="E323" s="2">
        <v>1519</v>
      </c>
      <c r="F323" s="2">
        <v>3290</v>
      </c>
      <c r="G323" s="2">
        <v>3545</v>
      </c>
      <c r="H323" s="2">
        <v>2950</v>
      </c>
      <c r="I323" s="2">
        <v>409</v>
      </c>
      <c r="J323" s="2">
        <v>0</v>
      </c>
      <c r="K323" s="2">
        <v>1740</v>
      </c>
      <c r="L323" s="2">
        <v>3580</v>
      </c>
      <c r="M323" s="2">
        <v>41878</v>
      </c>
      <c r="N323" s="2">
        <v>3715</v>
      </c>
      <c r="O323" s="2">
        <v>5220</v>
      </c>
      <c r="P323" s="2">
        <v>3200</v>
      </c>
      <c r="Q323" s="2">
        <v>2845</v>
      </c>
      <c r="R323" s="274">
        <v>38448</v>
      </c>
      <c r="S323" s="253">
        <v>12</v>
      </c>
      <c r="T323" s="254">
        <f>SUM( tabConsumo[[#This Row],[QTD.PENDENTE]]:tabConsumo[[#This Row],[07_23]] ) / tabConsumo[[#This Row],[Div]]</f>
        <v>6157.583333333333</v>
      </c>
      <c r="U323" s="255">
        <f xml:space="preserve"> tabConsumo[[#This Row],[Média.A]] + (_xlfn.STDEV.S( tabConsumo[[#This Row],[QTD.PENDENTE]]:tabConsumo[[#This Row],[07_23]] ) * 1)</f>
        <v>17125.612786107569</v>
      </c>
      <c r="V323" s="255">
        <f xml:space="preserve"> tabConsumo[[#This Row],[Média.A]] + (_xlfn.STDEV.S( tabConsumo[[#This Row],[QTD.PENDENTE]]:tabConsumo[[#This Row],[07_23]] ) * 2)</f>
        <v>28093.642238881803</v>
      </c>
      <c r="W323" s="255">
        <f xml:space="preserve"> tabConsumo[[#This Row],[Média.A]] + (_xlfn.STDEV.S( tabConsumo[[#This Row],[QTD.PENDENTE]]:tabConsumo[[#This Row],[07_23]] ) * 3)</f>
        <v>39061.67169165604</v>
      </c>
      <c r="X323" s="5">
        <f t="shared" ref="X323:X386" si="11" xml:space="preserve"> 2</f>
        <v>2</v>
      </c>
      <c r="Y323">
        <v>5008.833333333333</v>
      </c>
      <c r="Z323" s="257">
        <f>SUM( tabConsumo[[#This Row],[QTD.PENDENTE]]:tabConsumo[[#This Row],[07_23]] )</f>
        <v>73891</v>
      </c>
      <c r="AA323" s="257">
        <f>LARGE(tabConsumo[[#This Row],[08_22]:[07_23]],1)</f>
        <v>41878</v>
      </c>
      <c r="AB323" s="175" t="s">
        <v>2211</v>
      </c>
      <c r="AC323" s="3" t="s">
        <v>2064</v>
      </c>
    </row>
    <row r="324" spans="1:29" x14ac:dyDescent="0.3">
      <c r="A324" s="4" t="s">
        <v>934</v>
      </c>
      <c r="B324" s="3" t="s">
        <v>31</v>
      </c>
      <c r="C324" s="2">
        <v>11857</v>
      </c>
      <c r="D324" s="2">
        <v>24790</v>
      </c>
      <c r="F324" s="2">
        <v>1425</v>
      </c>
      <c r="G324" s="2">
        <v>1680</v>
      </c>
      <c r="H324" s="2">
        <v>1295</v>
      </c>
      <c r="I324" s="2">
        <v>1705</v>
      </c>
      <c r="J324" s="2">
        <v>1095</v>
      </c>
      <c r="K324" s="2">
        <v>730</v>
      </c>
      <c r="L324" s="2">
        <v>1105</v>
      </c>
      <c r="M324" s="2">
        <v>3197</v>
      </c>
      <c r="N324" s="2">
        <v>2015</v>
      </c>
      <c r="O324" s="2">
        <v>2025</v>
      </c>
      <c r="P324" s="2">
        <v>1605</v>
      </c>
      <c r="Q324" s="2">
        <v>1435</v>
      </c>
      <c r="R324" s="274">
        <v>367</v>
      </c>
      <c r="S324" s="253">
        <f t="shared" ref="S324:S329" si="12" xml:space="preserve"> 12</f>
        <v>12</v>
      </c>
      <c r="T324" s="254">
        <f>SUM( tabConsumo[[#This Row],[QTD.PENDENTE]]:tabConsumo[[#This Row],[07_23]] ) / tabConsumo[[#This Row],[Div]]</f>
        <v>1609.3333333333333</v>
      </c>
      <c r="U324" s="255">
        <f xml:space="preserve"> tabConsumo[[#This Row],[Média.A]] + (_xlfn.STDEV.S( tabConsumo[[#This Row],[QTD.PENDENTE]]:tabConsumo[[#This Row],[07_23]] ) * 1)</f>
        <v>2236.555830224238</v>
      </c>
      <c r="V324" s="255">
        <f xml:space="preserve"> tabConsumo[[#This Row],[Média.A]] + (_xlfn.STDEV.S( tabConsumo[[#This Row],[QTD.PENDENTE]]:tabConsumo[[#This Row],[07_23]] ) * 2)</f>
        <v>2863.778327115142</v>
      </c>
      <c r="W324" s="255">
        <f xml:space="preserve"> tabConsumo[[#This Row],[Média.A]] + (_xlfn.STDEV.S( tabConsumo[[#This Row],[QTD.PENDENTE]]:tabConsumo[[#This Row],[07_23]] ) * 3)</f>
        <v>3491.000824006047</v>
      </c>
      <c r="X324" s="5">
        <f t="shared" si="11"/>
        <v>2</v>
      </c>
      <c r="Y324">
        <v>1581.5</v>
      </c>
      <c r="Z324" s="257">
        <f>SUM( tabConsumo[[#This Row],[QTD.PENDENTE]]:tabConsumo[[#This Row],[07_23]] )</f>
        <v>19312</v>
      </c>
      <c r="AA324" s="257">
        <f>LARGE(tabConsumo[[#This Row],[08_22]:[07_23]],1)</f>
        <v>3197</v>
      </c>
      <c r="AB324" s="175" t="s">
        <v>2211</v>
      </c>
      <c r="AC324" s="3" t="s">
        <v>2064</v>
      </c>
    </row>
    <row r="325" spans="1:29" x14ac:dyDescent="0.3">
      <c r="A325" s="4" t="s">
        <v>937</v>
      </c>
      <c r="B325" s="3" t="s">
        <v>31</v>
      </c>
      <c r="C325" s="2">
        <v>12613</v>
      </c>
      <c r="D325" s="2">
        <v>439</v>
      </c>
      <c r="E325" s="2">
        <v>3262</v>
      </c>
      <c r="F325" s="2">
        <v>0</v>
      </c>
      <c r="G325" s="2">
        <v>0</v>
      </c>
      <c r="H325" s="2">
        <v>0</v>
      </c>
      <c r="I325" s="2">
        <v>0</v>
      </c>
      <c r="J325" s="2">
        <v>120</v>
      </c>
      <c r="K325" s="2">
        <v>1850</v>
      </c>
      <c r="L325" s="2">
        <v>5897</v>
      </c>
      <c r="M325" s="2">
        <v>8747</v>
      </c>
      <c r="N325" s="2">
        <v>5980</v>
      </c>
      <c r="O325" s="2">
        <v>6445</v>
      </c>
      <c r="P325" s="2">
        <v>5539</v>
      </c>
      <c r="Q325" s="2">
        <v>5424</v>
      </c>
      <c r="R325" s="274">
        <v>367</v>
      </c>
      <c r="S325" s="253">
        <f t="shared" si="12"/>
        <v>12</v>
      </c>
      <c r="T325" s="254">
        <f>SUM( tabConsumo[[#This Row],[QTD.PENDENTE]]:tabConsumo[[#This Row],[07_23]] ) / tabConsumo[[#This Row],[Div]]</f>
        <v>3605.3333333333335</v>
      </c>
      <c r="U325" s="255">
        <f xml:space="preserve"> tabConsumo[[#This Row],[Média.A]] + (_xlfn.STDEV.S( tabConsumo[[#This Row],[QTD.PENDENTE]]:tabConsumo[[#This Row],[07_23]] ) * 1)</f>
        <v>6751.4723957398255</v>
      </c>
      <c r="V325" s="255">
        <f xml:space="preserve"> tabConsumo[[#This Row],[Média.A]] + (_xlfn.STDEV.S( tabConsumo[[#This Row],[QTD.PENDENTE]]:tabConsumo[[#This Row],[07_23]] ) * 2)</f>
        <v>9897.6114581463171</v>
      </c>
      <c r="W325" s="255">
        <f xml:space="preserve"> tabConsumo[[#This Row],[Média.A]] + (_xlfn.STDEV.S( tabConsumo[[#This Row],[QTD.PENDENTE]]:tabConsumo[[#This Row],[07_23]] ) * 3)</f>
        <v>13043.75052055281</v>
      </c>
      <c r="X325" s="5">
        <f t="shared" si="11"/>
        <v>2</v>
      </c>
      <c r="Y325">
        <v>3605.3333333333335</v>
      </c>
      <c r="Z325" s="257">
        <f>SUM( tabConsumo[[#This Row],[QTD.PENDENTE]]:tabConsumo[[#This Row],[07_23]] )</f>
        <v>43264</v>
      </c>
      <c r="AA325" s="257">
        <f>LARGE(tabConsumo[[#This Row],[08_22]:[07_23]],1)</f>
        <v>8747</v>
      </c>
      <c r="AB325" s="175" t="s">
        <v>2211</v>
      </c>
      <c r="AC325" s="3" t="s">
        <v>2064</v>
      </c>
    </row>
    <row r="326" spans="1:29" x14ac:dyDescent="0.3">
      <c r="A326" s="4" t="s">
        <v>938</v>
      </c>
      <c r="B326" s="3" t="s">
        <v>31</v>
      </c>
      <c r="C326" s="2">
        <v>12614</v>
      </c>
      <c r="D326" s="2">
        <v>356</v>
      </c>
      <c r="E326" s="2">
        <v>487</v>
      </c>
      <c r="F326" s="2">
        <v>2735</v>
      </c>
      <c r="G326" s="2">
        <v>3315</v>
      </c>
      <c r="H326" s="2">
        <v>3415</v>
      </c>
      <c r="I326" s="2">
        <v>3705</v>
      </c>
      <c r="J326" s="2">
        <v>2418</v>
      </c>
      <c r="K326" s="2">
        <v>1000</v>
      </c>
      <c r="L326" s="2">
        <v>2260</v>
      </c>
      <c r="M326" s="2">
        <v>8884</v>
      </c>
      <c r="N326" s="2">
        <v>3310</v>
      </c>
      <c r="O326" s="2">
        <v>3690</v>
      </c>
      <c r="P326" s="2">
        <v>1977</v>
      </c>
      <c r="Q326" s="2">
        <v>1138</v>
      </c>
      <c r="R326" s="274">
        <v>367</v>
      </c>
      <c r="S326" s="253">
        <f t="shared" si="12"/>
        <v>12</v>
      </c>
      <c r="T326" s="254">
        <f>SUM( tabConsumo[[#This Row],[QTD.PENDENTE]]:tabConsumo[[#This Row],[07_23]] ) / tabConsumo[[#This Row],[Div]]</f>
        <v>3194.5</v>
      </c>
      <c r="U326" s="255">
        <f xml:space="preserve"> tabConsumo[[#This Row],[Média.A]] + (_xlfn.STDEV.S( tabConsumo[[#This Row],[QTD.PENDENTE]]:tabConsumo[[#This Row],[07_23]] ) * 1)</f>
        <v>5270.4195213144367</v>
      </c>
      <c r="V326" s="255">
        <f xml:space="preserve"> tabConsumo[[#This Row],[Média.A]] + (_xlfn.STDEV.S( tabConsumo[[#This Row],[QTD.PENDENTE]]:tabConsumo[[#This Row],[07_23]] ) * 2)</f>
        <v>7346.3390426288734</v>
      </c>
      <c r="W326" s="255">
        <f xml:space="preserve"> tabConsumo[[#This Row],[Média.A]] + (_xlfn.STDEV.S( tabConsumo[[#This Row],[QTD.PENDENTE]]:tabConsumo[[#This Row],[07_23]] ) * 3)</f>
        <v>9422.2585639433091</v>
      </c>
      <c r="X326" s="5">
        <f t="shared" si="11"/>
        <v>2</v>
      </c>
      <c r="Y326">
        <v>3066.3333333333335</v>
      </c>
      <c r="Z326" s="257">
        <f>SUM( tabConsumo[[#This Row],[QTD.PENDENTE]]:tabConsumo[[#This Row],[07_23]] )</f>
        <v>38334</v>
      </c>
      <c r="AA326" s="257">
        <f>LARGE(tabConsumo[[#This Row],[08_22]:[07_23]],1)</f>
        <v>8884</v>
      </c>
      <c r="AB326" s="175" t="s">
        <v>2211</v>
      </c>
      <c r="AC326" s="3" t="s">
        <v>2064</v>
      </c>
    </row>
    <row r="327" spans="1:29" x14ac:dyDescent="0.3">
      <c r="A327" s="4" t="s">
        <v>493</v>
      </c>
      <c r="B327" s="3" t="s">
        <v>256</v>
      </c>
      <c r="C327" s="2">
        <v>16737</v>
      </c>
      <c r="D327" s="2">
        <v>0</v>
      </c>
      <c r="F327" s="2">
        <v>0</v>
      </c>
      <c r="G327" s="2">
        <v>0</v>
      </c>
      <c r="H327" s="2">
        <v>0</v>
      </c>
      <c r="I327" s="2">
        <v>2</v>
      </c>
      <c r="J327" s="2">
        <v>0</v>
      </c>
      <c r="K327" s="2">
        <v>0</v>
      </c>
      <c r="L327" s="2">
        <v>0</v>
      </c>
      <c r="M327" s="2">
        <v>0</v>
      </c>
      <c r="N327" s="2">
        <v>0</v>
      </c>
      <c r="O327" s="2">
        <v>0</v>
      </c>
      <c r="P327" s="2">
        <v>0</v>
      </c>
      <c r="Q327" s="2">
        <v>0</v>
      </c>
      <c r="R327" s="274">
        <v>367</v>
      </c>
      <c r="S327" s="253">
        <f t="shared" si="12"/>
        <v>12</v>
      </c>
      <c r="T327" s="254">
        <f>SUM( tabConsumo[[#This Row],[QTD.PENDENTE]]:tabConsumo[[#This Row],[07_23]] ) / tabConsumo[[#This Row],[Div]]</f>
        <v>0.16666666666666666</v>
      </c>
      <c r="U327" s="255">
        <f xml:space="preserve"> tabConsumo[[#This Row],[Média.A]] + (_xlfn.STDEV.S( tabConsumo[[#This Row],[QTD.PENDENTE]]:tabConsumo[[#This Row],[07_23]] ) * 1)</f>
        <v>0.74401693585629236</v>
      </c>
      <c r="V327" s="255">
        <f xml:space="preserve"> tabConsumo[[#This Row],[Média.A]] + (_xlfn.STDEV.S( tabConsumo[[#This Row],[QTD.PENDENTE]]:tabConsumo[[#This Row],[07_23]] ) * 2)</f>
        <v>1.3213672050459182</v>
      </c>
      <c r="W327" s="255">
        <f xml:space="preserve"> tabConsumo[[#This Row],[Média.A]] + (_xlfn.STDEV.S( tabConsumo[[#This Row],[QTD.PENDENTE]]:tabConsumo[[#This Row],[07_23]] ) * 3)</f>
        <v>1.8987174742355439</v>
      </c>
      <c r="X327" s="5">
        <f t="shared" si="11"/>
        <v>2</v>
      </c>
      <c r="Y327">
        <v>8.3333333333333329E-2</v>
      </c>
      <c r="Z327" s="257">
        <f>SUM( tabConsumo[[#This Row],[QTD.PENDENTE]]:tabConsumo[[#This Row],[07_23]] )</f>
        <v>2</v>
      </c>
      <c r="AA327" s="257">
        <f>LARGE(tabConsumo[[#This Row],[08_22]:[07_23]],1)</f>
        <v>2</v>
      </c>
      <c r="AB327" s="175" t="s">
        <v>2216</v>
      </c>
      <c r="AC327" s="3" t="s">
        <v>2064</v>
      </c>
    </row>
    <row r="328" spans="1:29" x14ac:dyDescent="0.3">
      <c r="A328" s="4" t="s">
        <v>494</v>
      </c>
      <c r="B328" s="3" t="s">
        <v>256</v>
      </c>
      <c r="C328" s="2">
        <v>16736</v>
      </c>
      <c r="D328" s="2">
        <v>0</v>
      </c>
      <c r="F328" s="2">
        <v>0</v>
      </c>
      <c r="G328" s="2">
        <v>0</v>
      </c>
      <c r="H328" s="2">
        <v>0</v>
      </c>
      <c r="I328" s="2">
        <v>1</v>
      </c>
      <c r="J328" s="2">
        <v>0</v>
      </c>
      <c r="K328" s="2">
        <v>0</v>
      </c>
      <c r="L328" s="2">
        <v>0</v>
      </c>
      <c r="M328" s="2">
        <v>0</v>
      </c>
      <c r="N328" s="2">
        <v>0</v>
      </c>
      <c r="O328" s="2">
        <v>0</v>
      </c>
      <c r="P328" s="2">
        <v>0</v>
      </c>
      <c r="Q328" s="2">
        <v>0</v>
      </c>
      <c r="R328" s="274">
        <v>367</v>
      </c>
      <c r="S328" s="253">
        <f t="shared" si="12"/>
        <v>12</v>
      </c>
      <c r="T328" s="254">
        <f>SUM( tabConsumo[[#This Row],[QTD.PENDENTE]]:tabConsumo[[#This Row],[07_23]] ) / tabConsumo[[#This Row],[Div]]</f>
        <v>8.3333333333333329E-2</v>
      </c>
      <c r="U328" s="255">
        <f xml:space="preserve"> tabConsumo[[#This Row],[Média.A]] + (_xlfn.STDEV.S( tabConsumo[[#This Row],[QTD.PENDENTE]]:tabConsumo[[#This Row],[07_23]] ) * 1)</f>
        <v>0.37200846792814618</v>
      </c>
      <c r="V328" s="255">
        <f xml:space="preserve"> tabConsumo[[#This Row],[Média.A]] + (_xlfn.STDEV.S( tabConsumo[[#This Row],[QTD.PENDENTE]]:tabConsumo[[#This Row],[07_23]] ) * 2)</f>
        <v>0.6606836025229591</v>
      </c>
      <c r="W328" s="255">
        <f xml:space="preserve"> tabConsumo[[#This Row],[Média.A]] + (_xlfn.STDEV.S( tabConsumo[[#This Row],[QTD.PENDENTE]]:tabConsumo[[#This Row],[07_23]] ) * 3)</f>
        <v>0.94935873711777197</v>
      </c>
      <c r="X328" s="5">
        <f t="shared" si="11"/>
        <v>2</v>
      </c>
      <c r="Y328">
        <v>0</v>
      </c>
      <c r="Z328" s="257">
        <f>SUM( tabConsumo[[#This Row],[QTD.PENDENTE]]:tabConsumo[[#This Row],[07_23]] )</f>
        <v>1</v>
      </c>
      <c r="AA328" s="257">
        <f>LARGE(tabConsumo[[#This Row],[08_22]:[07_23]],1)</f>
        <v>1</v>
      </c>
      <c r="AB328" s="175" t="s">
        <v>2216</v>
      </c>
      <c r="AC328" s="3" t="s">
        <v>2064</v>
      </c>
    </row>
    <row r="329" spans="1:29" x14ac:dyDescent="0.3">
      <c r="A329" s="4" t="s">
        <v>1401</v>
      </c>
      <c r="B329" s="3" t="s">
        <v>268</v>
      </c>
      <c r="C329" s="2">
        <v>72222</v>
      </c>
      <c r="D329" s="2">
        <v>1624</v>
      </c>
      <c r="F329" s="2">
        <v>11</v>
      </c>
      <c r="G329" s="2">
        <v>10</v>
      </c>
      <c r="H329" s="2">
        <v>7</v>
      </c>
      <c r="I329" s="2">
        <v>21</v>
      </c>
      <c r="J329" s="2">
        <v>12</v>
      </c>
      <c r="K329" s="2">
        <v>12</v>
      </c>
      <c r="L329" s="2">
        <v>18</v>
      </c>
      <c r="M329" s="2">
        <v>44</v>
      </c>
      <c r="N329" s="2">
        <v>27</v>
      </c>
      <c r="O329" s="2">
        <v>23</v>
      </c>
      <c r="P329" s="2">
        <v>16</v>
      </c>
      <c r="Q329" s="2">
        <v>15</v>
      </c>
      <c r="R329" s="274">
        <v>367</v>
      </c>
      <c r="S329" s="253">
        <f t="shared" si="12"/>
        <v>12</v>
      </c>
      <c r="T329" s="254">
        <f>SUM( tabConsumo[[#This Row],[QTD.PENDENTE]]:tabConsumo[[#This Row],[07_23]] ) / tabConsumo[[#This Row],[Div]]</f>
        <v>18</v>
      </c>
      <c r="U329" s="255">
        <f xml:space="preserve"> tabConsumo[[#This Row],[Média.A]] + (_xlfn.STDEV.S( tabConsumo[[#This Row],[QTD.PENDENTE]]:tabConsumo[[#This Row],[07_23]] ) * 1)</f>
        <v>28.045351706590012</v>
      </c>
      <c r="V329" s="255">
        <f xml:space="preserve"> tabConsumo[[#This Row],[Média.A]] + (_xlfn.STDEV.S( tabConsumo[[#This Row],[QTD.PENDENTE]]:tabConsumo[[#This Row],[07_23]] ) * 2)</f>
        <v>38.090703413180023</v>
      </c>
      <c r="W329" s="255">
        <f xml:space="preserve"> tabConsumo[[#This Row],[Média.A]] + (_xlfn.STDEV.S( tabConsumo[[#This Row],[QTD.PENDENTE]]:tabConsumo[[#This Row],[07_23]] ) * 3)</f>
        <v>48.136055119770042</v>
      </c>
      <c r="X329" s="5">
        <f t="shared" si="11"/>
        <v>2</v>
      </c>
      <c r="Y329">
        <v>17.5</v>
      </c>
      <c r="Z329" s="257">
        <f>SUM( tabConsumo[[#This Row],[QTD.PENDENTE]]:tabConsumo[[#This Row],[07_23]] )</f>
        <v>216</v>
      </c>
      <c r="AA329" s="257">
        <f>LARGE(tabConsumo[[#This Row],[08_22]:[07_23]],1)</f>
        <v>44</v>
      </c>
      <c r="AB329" s="175" t="s">
        <v>2211</v>
      </c>
      <c r="AC329" s="3" t="s">
        <v>2064</v>
      </c>
    </row>
    <row r="330" spans="1:29" x14ac:dyDescent="0.3">
      <c r="A330" s="4" t="s">
        <v>1824</v>
      </c>
      <c r="B330" s="3" t="s">
        <v>268</v>
      </c>
      <c r="C330" s="2">
        <v>132407</v>
      </c>
      <c r="D330" s="2">
        <v>2290</v>
      </c>
      <c r="F330" s="2">
        <v>7</v>
      </c>
      <c r="G330" s="2">
        <v>8</v>
      </c>
      <c r="H330" s="2">
        <v>6</v>
      </c>
      <c r="I330" s="2">
        <v>17</v>
      </c>
      <c r="J330" s="2">
        <v>4</v>
      </c>
      <c r="K330" s="2">
        <v>10</v>
      </c>
      <c r="L330" s="2">
        <v>18</v>
      </c>
      <c r="M330" s="2">
        <v>36</v>
      </c>
      <c r="N330" s="2">
        <v>22</v>
      </c>
      <c r="O330" s="2">
        <v>19</v>
      </c>
      <c r="P330" s="2">
        <v>14</v>
      </c>
      <c r="Q330" s="2">
        <v>12</v>
      </c>
      <c r="R330" s="274">
        <v>42773</v>
      </c>
      <c r="S330" s="253">
        <v>12</v>
      </c>
      <c r="T330" s="254">
        <f>SUM( tabConsumo[[#This Row],[QTD.PENDENTE]]:tabConsumo[[#This Row],[07_23]] ) / tabConsumo[[#This Row],[Div]]</f>
        <v>14.416666666666666</v>
      </c>
      <c r="U330" s="255">
        <f xml:space="preserve"> tabConsumo[[#This Row],[Média.A]] + (_xlfn.STDEV.S( tabConsumo[[#This Row],[QTD.PENDENTE]]:tabConsumo[[#This Row],[07_23]] ) * 1)</f>
        <v>23.283954181954972</v>
      </c>
      <c r="V330" s="255">
        <f xml:space="preserve"> tabConsumo[[#This Row],[Média.A]] + (_xlfn.STDEV.S( tabConsumo[[#This Row],[QTD.PENDENTE]]:tabConsumo[[#This Row],[07_23]] ) * 2)</f>
        <v>32.151241697243279</v>
      </c>
      <c r="W330" s="255">
        <f xml:space="preserve"> tabConsumo[[#This Row],[Média.A]] + (_xlfn.STDEV.S( tabConsumo[[#This Row],[QTD.PENDENTE]]:tabConsumo[[#This Row],[07_23]] ) * 3)</f>
        <v>41.018529212531583</v>
      </c>
      <c r="X330" s="5">
        <f t="shared" si="11"/>
        <v>2</v>
      </c>
      <c r="Y330">
        <v>14.083333333333334</v>
      </c>
      <c r="Z330" s="257">
        <f>SUM( tabConsumo[[#This Row],[QTD.PENDENTE]]:tabConsumo[[#This Row],[07_23]] )</f>
        <v>173</v>
      </c>
      <c r="AA330" s="257">
        <f>LARGE(tabConsumo[[#This Row],[08_22]:[07_23]],1)</f>
        <v>36</v>
      </c>
      <c r="AB330" s="175" t="s">
        <v>2211</v>
      </c>
      <c r="AC330" s="3" t="s">
        <v>2064</v>
      </c>
    </row>
    <row r="331" spans="1:29" x14ac:dyDescent="0.3">
      <c r="A331" s="4" t="s">
        <v>1823</v>
      </c>
      <c r="B331" s="3" t="s">
        <v>268</v>
      </c>
      <c r="C331" s="2">
        <v>132405</v>
      </c>
      <c r="D331" s="2">
        <v>2281</v>
      </c>
      <c r="F331" s="2">
        <v>7</v>
      </c>
      <c r="G331" s="2">
        <v>8</v>
      </c>
      <c r="H331" s="2">
        <v>7</v>
      </c>
      <c r="I331" s="2">
        <v>18</v>
      </c>
      <c r="J331" s="2">
        <v>7</v>
      </c>
      <c r="K331" s="2">
        <v>12</v>
      </c>
      <c r="L331" s="2">
        <v>15</v>
      </c>
      <c r="M331" s="2">
        <v>31</v>
      </c>
      <c r="N331" s="2">
        <v>23</v>
      </c>
      <c r="O331" s="2">
        <v>21</v>
      </c>
      <c r="P331" s="2">
        <v>16</v>
      </c>
      <c r="Q331" s="2">
        <v>17</v>
      </c>
      <c r="R331" s="274">
        <v>42773</v>
      </c>
      <c r="S331" s="253">
        <v>12</v>
      </c>
      <c r="T331" s="254">
        <f>SUM( tabConsumo[[#This Row],[QTD.PENDENTE]]:tabConsumo[[#This Row],[07_23]] ) / tabConsumo[[#This Row],[Div]]</f>
        <v>15.166666666666666</v>
      </c>
      <c r="U331" s="255">
        <f xml:space="preserve"> tabConsumo[[#This Row],[Média.A]] + (_xlfn.STDEV.S( tabConsumo[[#This Row],[QTD.PENDENTE]]:tabConsumo[[#This Row],[07_23]] ) * 1)</f>
        <v>22.672220166131801</v>
      </c>
      <c r="V331" s="255">
        <f xml:space="preserve"> tabConsumo[[#This Row],[Média.A]] + (_xlfn.STDEV.S( tabConsumo[[#This Row],[QTD.PENDENTE]]:tabConsumo[[#This Row],[07_23]] ) * 2)</f>
        <v>30.177773665596934</v>
      </c>
      <c r="W331" s="255">
        <f xml:space="preserve"> tabConsumo[[#This Row],[Média.A]] + (_xlfn.STDEV.S( tabConsumo[[#This Row],[QTD.PENDENTE]]:tabConsumo[[#This Row],[07_23]] ) * 3)</f>
        <v>37.683327165062067</v>
      </c>
      <c r="X331" s="5">
        <f t="shared" si="11"/>
        <v>2</v>
      </c>
      <c r="Y331">
        <v>15.083333333333334</v>
      </c>
      <c r="Z331" s="257">
        <f>SUM( tabConsumo[[#This Row],[QTD.PENDENTE]]:tabConsumo[[#This Row],[07_23]] )</f>
        <v>182</v>
      </c>
      <c r="AA331" s="257">
        <f>LARGE(tabConsumo[[#This Row],[08_22]:[07_23]],1)</f>
        <v>31</v>
      </c>
      <c r="AB331" s="175" t="s">
        <v>2211</v>
      </c>
      <c r="AC331" s="3" t="s">
        <v>2064</v>
      </c>
    </row>
    <row r="332" spans="1:29" x14ac:dyDescent="0.3">
      <c r="A332" s="4" t="s">
        <v>1059</v>
      </c>
      <c r="B332" s="3" t="s">
        <v>256</v>
      </c>
      <c r="C332" s="2">
        <v>14154</v>
      </c>
      <c r="D332" s="2">
        <v>1670</v>
      </c>
      <c r="E332" s="2">
        <v>624</v>
      </c>
      <c r="F332" s="2">
        <v>869</v>
      </c>
      <c r="G332" s="2">
        <v>949</v>
      </c>
      <c r="H332" s="2">
        <v>902</v>
      </c>
      <c r="I332" s="2">
        <v>839</v>
      </c>
      <c r="J332" s="2">
        <v>615</v>
      </c>
      <c r="K332" s="2">
        <v>434</v>
      </c>
      <c r="L332" s="2">
        <v>734</v>
      </c>
      <c r="M332" s="2">
        <v>3714</v>
      </c>
      <c r="N332" s="2">
        <v>177</v>
      </c>
      <c r="O332" s="2">
        <v>0</v>
      </c>
      <c r="P332" s="2">
        <v>537</v>
      </c>
      <c r="Q332" s="2">
        <v>1024</v>
      </c>
      <c r="R332" s="274">
        <v>367</v>
      </c>
      <c r="S332" s="253">
        <f xml:space="preserve"> 12</f>
        <v>12</v>
      </c>
      <c r="T332" s="254">
        <f>SUM( tabConsumo[[#This Row],[QTD.PENDENTE]]:tabConsumo[[#This Row],[07_23]] ) / tabConsumo[[#This Row],[Div]]</f>
        <v>951.5</v>
      </c>
      <c r="U332" s="255">
        <f xml:space="preserve"> tabConsumo[[#This Row],[Média.A]] + (_xlfn.STDEV.S( tabConsumo[[#This Row],[QTD.PENDENTE]]:tabConsumo[[#This Row],[07_23]] ) * 1)</f>
        <v>1855.2677047242637</v>
      </c>
      <c r="V332" s="255">
        <f xml:space="preserve"> tabConsumo[[#This Row],[Média.A]] + (_xlfn.STDEV.S( tabConsumo[[#This Row],[QTD.PENDENTE]]:tabConsumo[[#This Row],[07_23]] ) * 2)</f>
        <v>2759.0354094485274</v>
      </c>
      <c r="W332" s="255">
        <f xml:space="preserve"> tabConsumo[[#This Row],[Média.A]] + (_xlfn.STDEV.S( tabConsumo[[#This Row],[QTD.PENDENTE]]:tabConsumo[[#This Row],[07_23]] ) * 3)</f>
        <v>3662.8031141727915</v>
      </c>
      <c r="X332" s="5">
        <f t="shared" si="11"/>
        <v>2</v>
      </c>
      <c r="Y332">
        <v>871.91666666666663</v>
      </c>
      <c r="Z332" s="257">
        <f>SUM( tabConsumo[[#This Row],[QTD.PENDENTE]]:tabConsumo[[#This Row],[07_23]] )</f>
        <v>11418</v>
      </c>
      <c r="AA332" s="257">
        <f>LARGE(tabConsumo[[#This Row],[08_22]:[07_23]],1)</f>
        <v>3714</v>
      </c>
      <c r="AB332" s="175" t="s">
        <v>2211</v>
      </c>
      <c r="AC332" s="3" t="s">
        <v>2064</v>
      </c>
    </row>
    <row r="333" spans="1:29" x14ac:dyDescent="0.3">
      <c r="A333" s="4" t="s">
        <v>1850</v>
      </c>
      <c r="B333" s="3" t="s">
        <v>256</v>
      </c>
      <c r="C333" s="2">
        <v>133819</v>
      </c>
      <c r="D333" s="2">
        <v>128</v>
      </c>
      <c r="F333" s="2">
        <v>35</v>
      </c>
      <c r="G333" s="2">
        <v>80</v>
      </c>
      <c r="H333" s="2">
        <v>32</v>
      </c>
      <c r="I333" s="2">
        <v>9</v>
      </c>
      <c r="J333" s="2">
        <v>33</v>
      </c>
      <c r="K333" s="2">
        <v>19</v>
      </c>
      <c r="L333" s="2">
        <v>30</v>
      </c>
      <c r="M333" s="2">
        <v>55</v>
      </c>
      <c r="N333" s="2">
        <v>61</v>
      </c>
      <c r="O333" s="2">
        <v>20</v>
      </c>
      <c r="P333" s="2">
        <v>15</v>
      </c>
      <c r="Q333" s="2">
        <v>50</v>
      </c>
      <c r="R333" s="274">
        <v>43052</v>
      </c>
      <c r="S333" s="253">
        <v>12</v>
      </c>
      <c r="T333" s="254">
        <f>SUM( tabConsumo[[#This Row],[QTD.PENDENTE]]:tabConsumo[[#This Row],[07_23]] ) / tabConsumo[[#This Row],[Div]]</f>
        <v>36.583333333333336</v>
      </c>
      <c r="U333" s="255">
        <f xml:space="preserve"> tabConsumo[[#This Row],[Média.A]] + (_xlfn.STDEV.S( tabConsumo[[#This Row],[QTD.PENDENTE]]:tabConsumo[[#This Row],[07_23]] ) * 1)</f>
        <v>57.669556036292434</v>
      </c>
      <c r="V333" s="255">
        <f xml:space="preserve"> tabConsumo[[#This Row],[Média.A]] + (_xlfn.STDEV.S( tabConsumo[[#This Row],[QTD.PENDENTE]]:tabConsumo[[#This Row],[07_23]] ) * 2)</f>
        <v>78.755778739251539</v>
      </c>
      <c r="W333" s="255">
        <f xml:space="preserve"> tabConsumo[[#This Row],[Média.A]] + (_xlfn.STDEV.S( tabConsumo[[#This Row],[QTD.PENDENTE]]:tabConsumo[[#This Row],[07_23]] ) * 3)</f>
        <v>99.842001442210631</v>
      </c>
      <c r="X333" s="5">
        <f t="shared" si="11"/>
        <v>2</v>
      </c>
      <c r="Y333">
        <v>36.416666666666664</v>
      </c>
      <c r="Z333" s="257">
        <f>SUM( tabConsumo[[#This Row],[QTD.PENDENTE]]:tabConsumo[[#This Row],[07_23]] )</f>
        <v>439</v>
      </c>
      <c r="AA333" s="257">
        <f>LARGE(tabConsumo[[#This Row],[08_22]:[07_23]],1)</f>
        <v>80</v>
      </c>
      <c r="AB333" s="175" t="s">
        <v>2211</v>
      </c>
      <c r="AC333" s="3" t="s">
        <v>2064</v>
      </c>
    </row>
    <row r="334" spans="1:29" x14ac:dyDescent="0.3">
      <c r="A334" s="4" t="s">
        <v>1847</v>
      </c>
      <c r="B334" s="3" t="s">
        <v>31</v>
      </c>
      <c r="C334" s="2">
        <v>133788</v>
      </c>
      <c r="D334" s="2">
        <v>636</v>
      </c>
      <c r="F334" s="2">
        <v>20</v>
      </c>
      <c r="G334" s="2">
        <v>15</v>
      </c>
      <c r="H334" s="2">
        <v>35</v>
      </c>
      <c r="I334" s="2">
        <v>34</v>
      </c>
      <c r="J334" s="2">
        <v>61</v>
      </c>
      <c r="K334" s="2">
        <v>20</v>
      </c>
      <c r="L334" s="2">
        <v>718</v>
      </c>
      <c r="M334" s="2">
        <v>227</v>
      </c>
      <c r="N334" s="2">
        <v>200</v>
      </c>
      <c r="O334" s="2">
        <v>112</v>
      </c>
      <c r="P334" s="2">
        <v>123</v>
      </c>
      <c r="Q334" s="2">
        <v>50</v>
      </c>
      <c r="R334" s="274">
        <v>43038</v>
      </c>
      <c r="S334" s="253">
        <v>12</v>
      </c>
      <c r="T334" s="254">
        <f>SUM( tabConsumo[[#This Row],[QTD.PENDENTE]]:tabConsumo[[#This Row],[07_23]] ) / tabConsumo[[#This Row],[Div]]</f>
        <v>134.58333333333334</v>
      </c>
      <c r="U334" s="255">
        <f xml:space="preserve"> tabConsumo[[#This Row],[Média.A]] + (_xlfn.STDEV.S( tabConsumo[[#This Row],[QTD.PENDENTE]]:tabConsumo[[#This Row],[07_23]] ) * 1)</f>
        <v>331.60684754297063</v>
      </c>
      <c r="V334" s="255">
        <f xml:space="preserve"> tabConsumo[[#This Row],[Média.A]] + (_xlfn.STDEV.S( tabConsumo[[#This Row],[QTD.PENDENTE]]:tabConsumo[[#This Row],[07_23]] ) * 2)</f>
        <v>528.63036175260788</v>
      </c>
      <c r="W334" s="255">
        <f xml:space="preserve"> tabConsumo[[#This Row],[Média.A]] + (_xlfn.STDEV.S( tabConsumo[[#This Row],[QTD.PENDENTE]]:tabConsumo[[#This Row],[07_23]] ) * 3)</f>
        <v>725.65387596224525</v>
      </c>
      <c r="X334" s="5">
        <f t="shared" si="11"/>
        <v>2</v>
      </c>
      <c r="Y334">
        <v>118.75</v>
      </c>
      <c r="Z334" s="257">
        <f>SUM( tabConsumo[[#This Row],[QTD.PENDENTE]]:tabConsumo[[#This Row],[07_23]] )</f>
        <v>1615</v>
      </c>
      <c r="AA334" s="257">
        <f>LARGE(tabConsumo[[#This Row],[08_22]:[07_23]],1)</f>
        <v>718</v>
      </c>
      <c r="AB334" s="175" t="s">
        <v>2211</v>
      </c>
      <c r="AC334" s="3" t="s">
        <v>2064</v>
      </c>
    </row>
    <row r="335" spans="1:29" x14ac:dyDescent="0.3">
      <c r="A335" s="4" t="s">
        <v>1848</v>
      </c>
      <c r="B335" s="3" t="s">
        <v>31</v>
      </c>
      <c r="C335" s="2">
        <v>133790</v>
      </c>
      <c r="D335" s="2">
        <v>1754</v>
      </c>
      <c r="F335" s="2">
        <v>20</v>
      </c>
      <c r="G335" s="2">
        <v>47</v>
      </c>
      <c r="H335" s="2">
        <v>35</v>
      </c>
      <c r="I335" s="2">
        <v>34</v>
      </c>
      <c r="J335" s="2">
        <v>61</v>
      </c>
      <c r="K335" s="2">
        <v>20</v>
      </c>
      <c r="L335" s="2">
        <v>114</v>
      </c>
      <c r="M335" s="2">
        <v>245</v>
      </c>
      <c r="N335" s="2">
        <v>190</v>
      </c>
      <c r="O335" s="2">
        <v>115</v>
      </c>
      <c r="P335" s="2">
        <v>123</v>
      </c>
      <c r="Q335" s="2">
        <v>50</v>
      </c>
      <c r="R335" s="274">
        <v>43038</v>
      </c>
      <c r="S335" s="253">
        <v>12</v>
      </c>
      <c r="T335" s="254">
        <f>SUM( tabConsumo[[#This Row],[QTD.PENDENTE]]:tabConsumo[[#This Row],[07_23]] ) / tabConsumo[[#This Row],[Div]]</f>
        <v>87.833333333333329</v>
      </c>
      <c r="U335" s="255">
        <f xml:space="preserve"> tabConsumo[[#This Row],[Média.A]] + (_xlfn.STDEV.S( tabConsumo[[#This Row],[QTD.PENDENTE]]:tabConsumo[[#This Row],[07_23]] ) * 1)</f>
        <v>159.507892447725</v>
      </c>
      <c r="V335" s="255">
        <f xml:space="preserve"> tabConsumo[[#This Row],[Média.A]] + (_xlfn.STDEV.S( tabConsumo[[#This Row],[QTD.PENDENTE]]:tabConsumo[[#This Row],[07_23]] ) * 2)</f>
        <v>231.18245156211663</v>
      </c>
      <c r="W335" s="255">
        <f xml:space="preserve"> tabConsumo[[#This Row],[Média.A]] + (_xlfn.STDEV.S( tabConsumo[[#This Row],[QTD.PENDENTE]]:tabConsumo[[#This Row],[07_23]] ) * 3)</f>
        <v>302.85701067650831</v>
      </c>
      <c r="X335" s="5">
        <f t="shared" si="11"/>
        <v>2</v>
      </c>
      <c r="Y335">
        <v>86.666666666666671</v>
      </c>
      <c r="Z335" s="257">
        <f>SUM( tabConsumo[[#This Row],[QTD.PENDENTE]]:tabConsumo[[#This Row],[07_23]] )</f>
        <v>1054</v>
      </c>
      <c r="AA335" s="257">
        <f>LARGE(tabConsumo[[#This Row],[08_22]:[07_23]],1)</f>
        <v>245</v>
      </c>
      <c r="AB335" s="175" t="s">
        <v>2211</v>
      </c>
      <c r="AC335" s="3" t="s">
        <v>2064</v>
      </c>
    </row>
    <row r="336" spans="1:29" x14ac:dyDescent="0.3">
      <c r="A336" s="4" t="s">
        <v>1286</v>
      </c>
      <c r="B336" s="3" t="s">
        <v>256</v>
      </c>
      <c r="C336" s="2">
        <v>46420</v>
      </c>
      <c r="D336" s="2">
        <v>140</v>
      </c>
      <c r="E336" s="2">
        <v>3</v>
      </c>
      <c r="F336" s="2">
        <v>129</v>
      </c>
      <c r="G336" s="2">
        <v>159</v>
      </c>
      <c r="H336" s="2">
        <v>134</v>
      </c>
      <c r="I336" s="2">
        <v>128</v>
      </c>
      <c r="J336" s="2">
        <v>151</v>
      </c>
      <c r="K336" s="2">
        <v>109</v>
      </c>
      <c r="L336" s="2">
        <v>168</v>
      </c>
      <c r="M336" s="2">
        <v>259</v>
      </c>
      <c r="N336" s="2">
        <v>173</v>
      </c>
      <c r="O336" s="2">
        <v>173</v>
      </c>
      <c r="P336" s="2">
        <v>159</v>
      </c>
      <c r="Q336" s="2">
        <v>151</v>
      </c>
      <c r="R336" s="274">
        <v>367</v>
      </c>
      <c r="S336" s="253">
        <f xml:space="preserve"> 12</f>
        <v>12</v>
      </c>
      <c r="T336" s="254">
        <f>SUM( tabConsumo[[#This Row],[QTD.PENDENTE]]:tabConsumo[[#This Row],[07_23]] ) / tabConsumo[[#This Row],[Div]]</f>
        <v>158</v>
      </c>
      <c r="U336" s="255">
        <f xml:space="preserve"> tabConsumo[[#This Row],[Média.A]] + (_xlfn.STDEV.S( tabConsumo[[#This Row],[QTD.PENDENTE]]:tabConsumo[[#This Row],[07_23]] ) * 1)</f>
        <v>214.03101247500672</v>
      </c>
      <c r="V336" s="255">
        <f xml:space="preserve"> tabConsumo[[#This Row],[Média.A]] + (_xlfn.STDEV.S( tabConsumo[[#This Row],[QTD.PENDENTE]]:tabConsumo[[#This Row],[07_23]] ) * 2)</f>
        <v>270.06202495001344</v>
      </c>
      <c r="W336" s="255">
        <f xml:space="preserve"> tabConsumo[[#This Row],[Média.A]] + (_xlfn.STDEV.S( tabConsumo[[#This Row],[QTD.PENDENTE]]:tabConsumo[[#This Row],[07_23]] ) * 3)</f>
        <v>326.09303742502016</v>
      </c>
      <c r="X336" s="5">
        <f t="shared" si="11"/>
        <v>2</v>
      </c>
      <c r="Y336">
        <v>158</v>
      </c>
      <c r="Z336" s="257">
        <f>SUM( tabConsumo[[#This Row],[QTD.PENDENTE]]:tabConsumo[[#This Row],[07_23]] )</f>
        <v>1896</v>
      </c>
      <c r="AA336" s="257">
        <f>LARGE(tabConsumo[[#This Row],[08_22]:[07_23]],1)</f>
        <v>259</v>
      </c>
      <c r="AB336" s="175" t="s">
        <v>2211</v>
      </c>
      <c r="AC336" s="3" t="s">
        <v>2064</v>
      </c>
    </row>
    <row r="337" spans="1:29" x14ac:dyDescent="0.3">
      <c r="A337" s="4" t="s">
        <v>2013</v>
      </c>
      <c r="B337" s="3" t="s">
        <v>256</v>
      </c>
      <c r="C337" s="2">
        <v>140933</v>
      </c>
      <c r="D337" s="2">
        <v>924</v>
      </c>
      <c r="F337" s="2">
        <v>0</v>
      </c>
      <c r="G337" s="2">
        <v>0</v>
      </c>
      <c r="H337" s="2">
        <v>0</v>
      </c>
      <c r="I337" s="2">
        <v>0</v>
      </c>
      <c r="J337" s="2">
        <v>0</v>
      </c>
      <c r="K337" s="2">
        <v>0</v>
      </c>
      <c r="L337" s="2">
        <v>0</v>
      </c>
      <c r="M337" s="2">
        <v>3</v>
      </c>
      <c r="N337" s="2">
        <v>24</v>
      </c>
      <c r="O337" s="2">
        <v>10</v>
      </c>
      <c r="P337" s="2">
        <v>29</v>
      </c>
      <c r="Q337" s="2">
        <v>0</v>
      </c>
      <c r="R337" s="274">
        <v>44294</v>
      </c>
      <c r="S337" s="253">
        <v>12</v>
      </c>
      <c r="T337" s="254">
        <f>SUM( tabConsumo[[#This Row],[QTD.PENDENTE]]:tabConsumo[[#This Row],[07_23]] ) / tabConsumo[[#This Row],[Div]]</f>
        <v>5.5</v>
      </c>
      <c r="U337" s="255">
        <f xml:space="preserve"> tabConsumo[[#This Row],[Média.A]] + (_xlfn.STDEV.S( tabConsumo[[#This Row],[QTD.PENDENTE]]:tabConsumo[[#This Row],[07_23]] ) * 1)</f>
        <v>15.782376803408477</v>
      </c>
      <c r="V337" s="255">
        <f xml:space="preserve"> tabConsumo[[#This Row],[Média.A]] + (_xlfn.STDEV.S( tabConsumo[[#This Row],[QTD.PENDENTE]]:tabConsumo[[#This Row],[07_23]] ) * 2)</f>
        <v>26.064753606816954</v>
      </c>
      <c r="W337" s="255">
        <f xml:space="preserve"> tabConsumo[[#This Row],[Média.A]] + (_xlfn.STDEV.S( tabConsumo[[#This Row],[QTD.PENDENTE]]:tabConsumo[[#This Row],[07_23]] ) * 3)</f>
        <v>36.347130410225432</v>
      </c>
      <c r="X337" s="5">
        <f t="shared" si="11"/>
        <v>2</v>
      </c>
      <c r="Y337">
        <v>5.25</v>
      </c>
      <c r="Z337" s="257">
        <f>SUM( tabConsumo[[#This Row],[QTD.PENDENTE]]:tabConsumo[[#This Row],[07_23]] )</f>
        <v>66</v>
      </c>
      <c r="AA337" s="257">
        <f>LARGE(tabConsumo[[#This Row],[08_22]:[07_23]],1)</f>
        <v>29</v>
      </c>
      <c r="AB337" s="175" t="s">
        <v>2212</v>
      </c>
      <c r="AC337" s="3" t="s">
        <v>2064</v>
      </c>
    </row>
    <row r="338" spans="1:29" x14ac:dyDescent="0.3">
      <c r="A338" s="4" t="s">
        <v>1237</v>
      </c>
      <c r="B338" s="3" t="s">
        <v>268</v>
      </c>
      <c r="C338" s="2">
        <v>29296</v>
      </c>
      <c r="D338" s="2">
        <v>313</v>
      </c>
      <c r="F338" s="2">
        <v>21</v>
      </c>
      <c r="G338" s="2">
        <v>12</v>
      </c>
      <c r="H338" s="2">
        <v>18</v>
      </c>
      <c r="I338" s="2">
        <v>26</v>
      </c>
      <c r="J338" s="2">
        <v>9</v>
      </c>
      <c r="K338" s="2">
        <v>27</v>
      </c>
      <c r="L338" s="2">
        <v>4</v>
      </c>
      <c r="M338" s="2">
        <v>41</v>
      </c>
      <c r="N338" s="2">
        <v>22</v>
      </c>
      <c r="O338" s="2">
        <v>27</v>
      </c>
      <c r="P338" s="2">
        <v>22</v>
      </c>
      <c r="Q338" s="2">
        <v>6</v>
      </c>
      <c r="R338" s="274">
        <v>367</v>
      </c>
      <c r="S338" s="253">
        <f xml:space="preserve"> 12</f>
        <v>12</v>
      </c>
      <c r="T338" s="254">
        <f>SUM( tabConsumo[[#This Row],[QTD.PENDENTE]]:tabConsumo[[#This Row],[07_23]] ) / tabConsumo[[#This Row],[Div]]</f>
        <v>19.583333333333332</v>
      </c>
      <c r="U338" s="255">
        <f xml:space="preserve"> tabConsumo[[#This Row],[Média.A]] + (_xlfn.STDEV.S( tabConsumo[[#This Row],[QTD.PENDENTE]]:tabConsumo[[#This Row],[07_23]] ) * 1)</f>
        <v>30.127253023099676</v>
      </c>
      <c r="V338" s="255">
        <f xml:space="preserve"> tabConsumo[[#This Row],[Média.A]] + (_xlfn.STDEV.S( tabConsumo[[#This Row],[QTD.PENDENTE]]:tabConsumo[[#This Row],[07_23]] ) * 2)</f>
        <v>40.671172712866024</v>
      </c>
      <c r="W338" s="255">
        <f xml:space="preserve"> tabConsumo[[#This Row],[Média.A]] + (_xlfn.STDEV.S( tabConsumo[[#This Row],[QTD.PENDENTE]]:tabConsumo[[#This Row],[07_23]] ) * 3)</f>
        <v>51.215092402632365</v>
      </c>
      <c r="X338" s="5">
        <f t="shared" si="11"/>
        <v>2</v>
      </c>
      <c r="Y338">
        <v>19.5</v>
      </c>
      <c r="Z338" s="257">
        <f>SUM( tabConsumo[[#This Row],[QTD.PENDENTE]]:tabConsumo[[#This Row],[07_23]] )</f>
        <v>235</v>
      </c>
      <c r="AA338" s="257">
        <f>LARGE(tabConsumo[[#This Row],[08_22]:[07_23]],1)</f>
        <v>41</v>
      </c>
      <c r="AB338" s="175" t="s">
        <v>2211</v>
      </c>
      <c r="AC338" s="3" t="s">
        <v>2064</v>
      </c>
    </row>
    <row r="339" spans="1:29" x14ac:dyDescent="0.3">
      <c r="A339" s="4" t="s">
        <v>999</v>
      </c>
      <c r="B339" s="3" t="s">
        <v>569</v>
      </c>
      <c r="C339" s="2">
        <v>13091</v>
      </c>
      <c r="D339" s="2">
        <v>0</v>
      </c>
      <c r="E339" s="2">
        <v>848</v>
      </c>
      <c r="F339" s="2">
        <v>275</v>
      </c>
      <c r="G339" s="2">
        <v>0</v>
      </c>
      <c r="H339" s="2">
        <v>0</v>
      </c>
      <c r="I339" s="2">
        <v>37</v>
      </c>
      <c r="J339" s="2">
        <v>0</v>
      </c>
      <c r="K339" s="2">
        <v>84</v>
      </c>
      <c r="L339" s="2">
        <v>528</v>
      </c>
      <c r="M339" s="2">
        <v>915</v>
      </c>
      <c r="N339" s="2">
        <v>484</v>
      </c>
      <c r="O339" s="2">
        <v>0</v>
      </c>
      <c r="P339" s="2">
        <v>0</v>
      </c>
      <c r="Q339" s="2">
        <v>0</v>
      </c>
      <c r="R339" s="274">
        <v>367</v>
      </c>
      <c r="S339" s="253">
        <f xml:space="preserve"> 12</f>
        <v>12</v>
      </c>
      <c r="T339" s="254">
        <f>SUM( tabConsumo[[#This Row],[QTD.PENDENTE]]:tabConsumo[[#This Row],[07_23]] ) / tabConsumo[[#This Row],[Div]]</f>
        <v>264.25</v>
      </c>
      <c r="U339" s="255">
        <f xml:space="preserve"> tabConsumo[[#This Row],[Média.A]] + (_xlfn.STDEV.S( tabConsumo[[#This Row],[QTD.PENDENTE]]:tabConsumo[[#This Row],[07_23]] ) * 1)</f>
        <v>603.35899465571572</v>
      </c>
      <c r="V339" s="255">
        <f xml:space="preserve"> tabConsumo[[#This Row],[Média.A]] + (_xlfn.STDEV.S( tabConsumo[[#This Row],[QTD.PENDENTE]]:tabConsumo[[#This Row],[07_23]] ) * 2)</f>
        <v>942.46798931143144</v>
      </c>
      <c r="W339" s="255">
        <f xml:space="preserve"> tabConsumo[[#This Row],[Média.A]] + (_xlfn.STDEV.S( tabConsumo[[#This Row],[QTD.PENDENTE]]:tabConsumo[[#This Row],[07_23]] ) * 3)</f>
        <v>1281.576983967147</v>
      </c>
      <c r="X339" s="5">
        <f t="shared" si="11"/>
        <v>2</v>
      </c>
      <c r="Y339">
        <v>264.25</v>
      </c>
      <c r="Z339" s="257">
        <f>SUM( tabConsumo[[#This Row],[QTD.PENDENTE]]:tabConsumo[[#This Row],[07_23]] )</f>
        <v>3171</v>
      </c>
      <c r="AA339" s="257">
        <f>LARGE(tabConsumo[[#This Row],[08_22]:[07_23]],1)</f>
        <v>915</v>
      </c>
      <c r="AB339" s="175" t="s">
        <v>2213</v>
      </c>
      <c r="AC339" s="3" t="s">
        <v>2064</v>
      </c>
    </row>
    <row r="340" spans="1:29" x14ac:dyDescent="0.3">
      <c r="A340" s="4" t="s">
        <v>924</v>
      </c>
      <c r="B340" s="3" t="s">
        <v>256</v>
      </c>
      <c r="C340" s="2">
        <v>11072</v>
      </c>
      <c r="D340" s="2">
        <v>465</v>
      </c>
      <c r="F340" s="2">
        <v>49</v>
      </c>
      <c r="G340" s="2">
        <v>69</v>
      </c>
      <c r="H340" s="2">
        <v>31</v>
      </c>
      <c r="I340" s="2">
        <v>41</v>
      </c>
      <c r="J340" s="2">
        <v>29</v>
      </c>
      <c r="K340" s="2">
        <v>59</v>
      </c>
      <c r="L340" s="2">
        <v>47</v>
      </c>
      <c r="M340" s="2">
        <v>73</v>
      </c>
      <c r="N340" s="2">
        <v>59</v>
      </c>
      <c r="O340" s="2">
        <v>59</v>
      </c>
      <c r="P340" s="2">
        <v>50</v>
      </c>
      <c r="Q340" s="2">
        <v>52</v>
      </c>
      <c r="R340" s="274">
        <v>367</v>
      </c>
      <c r="S340" s="253">
        <f xml:space="preserve"> 12</f>
        <v>12</v>
      </c>
      <c r="T340" s="254">
        <f>SUM( tabConsumo[[#This Row],[QTD.PENDENTE]]:tabConsumo[[#This Row],[07_23]] ) / tabConsumo[[#This Row],[Div]]</f>
        <v>51.5</v>
      </c>
      <c r="U340" s="255">
        <f xml:space="preserve"> tabConsumo[[#This Row],[Média.A]] + (_xlfn.STDEV.S( tabConsumo[[#This Row],[QTD.PENDENTE]]:tabConsumo[[#This Row],[07_23]] ) * 1)</f>
        <v>64.994106457669176</v>
      </c>
      <c r="V340" s="255">
        <f xml:space="preserve"> tabConsumo[[#This Row],[Média.A]] + (_xlfn.STDEV.S( tabConsumo[[#This Row],[QTD.PENDENTE]]:tabConsumo[[#This Row],[07_23]] ) * 2)</f>
        <v>78.488212915338366</v>
      </c>
      <c r="W340" s="255">
        <f xml:space="preserve"> tabConsumo[[#This Row],[Média.A]] + (_xlfn.STDEV.S( tabConsumo[[#This Row],[QTD.PENDENTE]]:tabConsumo[[#This Row],[07_23]] ) * 3)</f>
        <v>91.982319373007542</v>
      </c>
      <c r="X340" s="5">
        <f t="shared" si="11"/>
        <v>2</v>
      </c>
      <c r="Y340">
        <v>51.5</v>
      </c>
      <c r="Z340" s="257">
        <f>SUM( tabConsumo[[#This Row],[QTD.PENDENTE]]:tabConsumo[[#This Row],[07_23]] )</f>
        <v>618</v>
      </c>
      <c r="AA340" s="257">
        <f>LARGE(tabConsumo[[#This Row],[08_22]:[07_23]],1)</f>
        <v>73</v>
      </c>
      <c r="AB340" s="175" t="s">
        <v>2211</v>
      </c>
      <c r="AC340" s="3" t="s">
        <v>2064</v>
      </c>
    </row>
    <row r="341" spans="1:29" x14ac:dyDescent="0.3">
      <c r="A341" s="4" t="s">
        <v>1089</v>
      </c>
      <c r="B341" s="3" t="s">
        <v>256</v>
      </c>
      <c r="C341" s="2">
        <v>15436</v>
      </c>
      <c r="D341" s="2">
        <v>0</v>
      </c>
      <c r="E341" s="2">
        <v>103</v>
      </c>
      <c r="F341" s="2">
        <v>115</v>
      </c>
      <c r="G341" s="2">
        <v>183</v>
      </c>
      <c r="H341" s="2">
        <v>102</v>
      </c>
      <c r="I341" s="2">
        <v>58</v>
      </c>
      <c r="J341" s="2">
        <v>97</v>
      </c>
      <c r="K341" s="2">
        <v>126</v>
      </c>
      <c r="L341" s="2">
        <v>123</v>
      </c>
      <c r="M341" s="2">
        <v>157</v>
      </c>
      <c r="N341" s="2">
        <v>45</v>
      </c>
      <c r="O341" s="2">
        <v>0</v>
      </c>
      <c r="P341" s="2">
        <v>0</v>
      </c>
      <c r="Q341" s="2">
        <v>0</v>
      </c>
      <c r="R341" s="274">
        <v>367</v>
      </c>
      <c r="S341" s="253">
        <f xml:space="preserve"> 12</f>
        <v>12</v>
      </c>
      <c r="T341" s="254">
        <f>SUM( tabConsumo[[#This Row],[QTD.PENDENTE]]:tabConsumo[[#This Row],[07_23]] ) / tabConsumo[[#This Row],[Div]]</f>
        <v>92.416666666666671</v>
      </c>
      <c r="U341" s="255">
        <f xml:space="preserve"> tabConsumo[[#This Row],[Média.A]] + (_xlfn.STDEV.S( tabConsumo[[#This Row],[QTD.PENDENTE]]:tabConsumo[[#This Row],[07_23]] ) * 1)</f>
        <v>152.67497814785656</v>
      </c>
      <c r="V341" s="255">
        <f xml:space="preserve"> tabConsumo[[#This Row],[Média.A]] + (_xlfn.STDEV.S( tabConsumo[[#This Row],[QTD.PENDENTE]]:tabConsumo[[#This Row],[07_23]] ) * 2)</f>
        <v>212.9332896290465</v>
      </c>
      <c r="W341" s="255">
        <f xml:space="preserve"> tabConsumo[[#This Row],[Média.A]] + (_xlfn.STDEV.S( tabConsumo[[#This Row],[QTD.PENDENTE]]:tabConsumo[[#This Row],[07_23]] ) * 3)</f>
        <v>273.19160111023638</v>
      </c>
      <c r="X341" s="5">
        <f t="shared" si="11"/>
        <v>2</v>
      </c>
      <c r="Y341">
        <v>92.416666666666671</v>
      </c>
      <c r="Z341" s="257">
        <f>SUM( tabConsumo[[#This Row],[QTD.PENDENTE]]:tabConsumo[[#This Row],[07_23]] )</f>
        <v>1109</v>
      </c>
      <c r="AA341" s="257">
        <f>LARGE(tabConsumo[[#This Row],[08_22]:[07_23]],1)</f>
        <v>183</v>
      </c>
      <c r="AB341" s="175" t="s">
        <v>2213</v>
      </c>
      <c r="AC341" s="3" t="s">
        <v>2064</v>
      </c>
    </row>
    <row r="342" spans="1:29" x14ac:dyDescent="0.3">
      <c r="A342" s="4" t="s">
        <v>1915</v>
      </c>
      <c r="B342" s="3" t="s">
        <v>256</v>
      </c>
      <c r="C342" s="2">
        <v>136554</v>
      </c>
      <c r="D342" s="2">
        <v>0</v>
      </c>
      <c r="E342" s="2">
        <v>214</v>
      </c>
      <c r="F342" s="2">
        <v>97</v>
      </c>
      <c r="G342" s="2">
        <v>152</v>
      </c>
      <c r="H342" s="2">
        <v>180</v>
      </c>
      <c r="I342" s="2">
        <v>61</v>
      </c>
      <c r="J342" s="2">
        <v>88</v>
      </c>
      <c r="K342" s="2">
        <v>51</v>
      </c>
      <c r="L342" s="2">
        <v>100</v>
      </c>
      <c r="M342" s="2">
        <v>16</v>
      </c>
      <c r="N342" s="2">
        <v>0</v>
      </c>
      <c r="O342" s="2">
        <v>0</v>
      </c>
      <c r="P342" s="2">
        <v>0</v>
      </c>
      <c r="Q342" s="2">
        <v>0</v>
      </c>
      <c r="R342" s="274">
        <v>43518</v>
      </c>
      <c r="S342" s="253">
        <v>12</v>
      </c>
      <c r="T342" s="254">
        <f>SUM( tabConsumo[[#This Row],[QTD.PENDENTE]]:tabConsumo[[#This Row],[07_23]] ) / tabConsumo[[#This Row],[Div]]</f>
        <v>79.916666666666671</v>
      </c>
      <c r="U342" s="255">
        <f xml:space="preserve"> tabConsumo[[#This Row],[Média.A]] + (_xlfn.STDEV.S( tabConsumo[[#This Row],[QTD.PENDENTE]]:tabConsumo[[#This Row],[07_23]] ) * 1)</f>
        <v>153.10950994859081</v>
      </c>
      <c r="V342" s="255">
        <f xml:space="preserve"> tabConsumo[[#This Row],[Média.A]] + (_xlfn.STDEV.S( tabConsumo[[#This Row],[QTD.PENDENTE]]:tabConsumo[[#This Row],[07_23]] ) * 2)</f>
        <v>226.30235323051494</v>
      </c>
      <c r="W342" s="255">
        <f xml:space="preserve"> tabConsumo[[#This Row],[Média.A]] + (_xlfn.STDEV.S( tabConsumo[[#This Row],[QTD.PENDENTE]]:tabConsumo[[#This Row],[07_23]] ) * 3)</f>
        <v>299.49519651243912</v>
      </c>
      <c r="X342" s="5">
        <f t="shared" si="11"/>
        <v>2</v>
      </c>
      <c r="Y342">
        <v>79.916666666666671</v>
      </c>
      <c r="Z342" s="257">
        <f>SUM( tabConsumo[[#This Row],[QTD.PENDENTE]]:tabConsumo[[#This Row],[07_23]] )</f>
        <v>959</v>
      </c>
      <c r="AA342" s="257">
        <f>LARGE(tabConsumo[[#This Row],[08_22]:[07_23]],1)</f>
        <v>180</v>
      </c>
      <c r="AB342" s="175" t="s">
        <v>2217</v>
      </c>
      <c r="AC342" s="3" t="s">
        <v>2064</v>
      </c>
    </row>
    <row r="343" spans="1:29" x14ac:dyDescent="0.3">
      <c r="A343" s="4" t="s">
        <v>1916</v>
      </c>
      <c r="B343" s="3" t="s">
        <v>256</v>
      </c>
      <c r="C343" s="2">
        <v>136555</v>
      </c>
      <c r="D343" s="2">
        <v>0</v>
      </c>
      <c r="E343" s="2">
        <v>252</v>
      </c>
      <c r="F343" s="2">
        <v>15</v>
      </c>
      <c r="G343" s="2">
        <v>12</v>
      </c>
      <c r="H343" s="2">
        <v>44</v>
      </c>
      <c r="I343" s="2">
        <v>0</v>
      </c>
      <c r="J343" s="2">
        <v>0</v>
      </c>
      <c r="K343" s="2">
        <v>32</v>
      </c>
      <c r="L343" s="2">
        <v>80</v>
      </c>
      <c r="M343" s="2">
        <v>78</v>
      </c>
      <c r="N343" s="2">
        <v>310</v>
      </c>
      <c r="O343" s="2">
        <v>0</v>
      </c>
      <c r="P343" s="2">
        <v>500</v>
      </c>
      <c r="Q343" s="2">
        <v>0</v>
      </c>
      <c r="R343" s="274">
        <v>43518</v>
      </c>
      <c r="S343" s="253">
        <v>12</v>
      </c>
      <c r="T343" s="254">
        <f>SUM( tabConsumo[[#This Row],[QTD.PENDENTE]]:tabConsumo[[#This Row],[07_23]] ) / tabConsumo[[#This Row],[Div]]</f>
        <v>110.25</v>
      </c>
      <c r="U343" s="255">
        <f xml:space="preserve"> tabConsumo[[#This Row],[Média.A]] + (_xlfn.STDEV.S( tabConsumo[[#This Row],[QTD.PENDENTE]]:tabConsumo[[#This Row],[07_23]] ) * 1)</f>
        <v>265.91425079111445</v>
      </c>
      <c r="V343" s="255">
        <f xml:space="preserve"> tabConsumo[[#This Row],[Média.A]] + (_xlfn.STDEV.S( tabConsumo[[#This Row],[QTD.PENDENTE]]:tabConsumo[[#This Row],[07_23]] ) * 2)</f>
        <v>421.57850158222891</v>
      </c>
      <c r="W343" s="255">
        <f xml:space="preserve"> tabConsumo[[#This Row],[Média.A]] + (_xlfn.STDEV.S( tabConsumo[[#This Row],[QTD.PENDENTE]]:tabConsumo[[#This Row],[07_23]] ) * 3)</f>
        <v>577.24275237334336</v>
      </c>
      <c r="X343" s="5">
        <f t="shared" si="11"/>
        <v>2</v>
      </c>
      <c r="Y343">
        <v>103.66666666666667</v>
      </c>
      <c r="Z343" s="257">
        <f>SUM( tabConsumo[[#This Row],[QTD.PENDENTE]]:tabConsumo[[#This Row],[07_23]] )</f>
        <v>1323</v>
      </c>
      <c r="AA343" s="257">
        <f>LARGE(tabConsumo[[#This Row],[08_22]:[07_23]],1)</f>
        <v>500</v>
      </c>
      <c r="AB343" s="175" t="s">
        <v>2212</v>
      </c>
      <c r="AC343" s="3" t="s">
        <v>2064</v>
      </c>
    </row>
    <row r="344" spans="1:29" x14ac:dyDescent="0.3">
      <c r="A344" s="4" t="s">
        <v>1825</v>
      </c>
      <c r="B344" s="3" t="s">
        <v>31</v>
      </c>
      <c r="C344" s="2">
        <v>132465</v>
      </c>
      <c r="D344" s="2">
        <v>25</v>
      </c>
      <c r="F344" s="2">
        <v>0</v>
      </c>
      <c r="G344" s="2">
        <v>0</v>
      </c>
      <c r="H344" s="2">
        <v>12</v>
      </c>
      <c r="I344" s="2">
        <v>0</v>
      </c>
      <c r="J344" s="2">
        <v>2</v>
      </c>
      <c r="K344" s="2">
        <v>12</v>
      </c>
      <c r="L344" s="2">
        <v>12</v>
      </c>
      <c r="M344" s="2">
        <v>60</v>
      </c>
      <c r="N344" s="2">
        <v>0</v>
      </c>
      <c r="O344" s="2">
        <v>0</v>
      </c>
      <c r="P344" s="2">
        <v>0</v>
      </c>
      <c r="Q344" s="2">
        <v>0</v>
      </c>
      <c r="R344" s="274">
        <v>42796</v>
      </c>
      <c r="S344" s="253">
        <v>12</v>
      </c>
      <c r="T344" s="254">
        <f>SUM( tabConsumo[[#This Row],[QTD.PENDENTE]]:tabConsumo[[#This Row],[07_23]] ) / tabConsumo[[#This Row],[Div]]</f>
        <v>8.1666666666666661</v>
      </c>
      <c r="U344" s="255">
        <f xml:space="preserve"> tabConsumo[[#This Row],[Média.A]] + (_xlfn.STDEV.S( tabConsumo[[#This Row],[QTD.PENDENTE]]:tabConsumo[[#This Row],[07_23]] ) * 1)</f>
        <v>25.317512568589848</v>
      </c>
      <c r="V344" s="255">
        <f xml:space="preserve"> tabConsumo[[#This Row],[Média.A]] + (_xlfn.STDEV.S( tabConsumo[[#This Row],[QTD.PENDENTE]]:tabConsumo[[#This Row],[07_23]] ) * 2)</f>
        <v>42.468358470513024</v>
      </c>
      <c r="W344" s="255">
        <f xml:space="preserve"> tabConsumo[[#This Row],[Média.A]] + (_xlfn.STDEV.S( tabConsumo[[#This Row],[QTD.PENDENTE]]:tabConsumo[[#This Row],[07_23]] ) * 3)</f>
        <v>59.619204372436208</v>
      </c>
      <c r="X344" s="5">
        <f t="shared" si="11"/>
        <v>2</v>
      </c>
      <c r="Y344">
        <v>6.666666666666667</v>
      </c>
      <c r="Z344" s="257">
        <f>SUM( tabConsumo[[#This Row],[QTD.PENDENTE]]:tabConsumo[[#This Row],[07_23]] )</f>
        <v>98</v>
      </c>
      <c r="AA344" s="257">
        <f>LARGE(tabConsumo[[#This Row],[08_22]:[07_23]],1)</f>
        <v>60</v>
      </c>
      <c r="AB344" s="175" t="s">
        <v>2217</v>
      </c>
      <c r="AC344" s="3" t="s">
        <v>2064</v>
      </c>
    </row>
    <row r="345" spans="1:29" x14ac:dyDescent="0.3">
      <c r="A345" s="4" t="s">
        <v>1375</v>
      </c>
      <c r="B345" s="3" t="s">
        <v>294</v>
      </c>
      <c r="C345" s="2">
        <v>64625</v>
      </c>
      <c r="D345" s="2">
        <v>677</v>
      </c>
      <c r="F345" s="2">
        <v>15</v>
      </c>
      <c r="G345" s="2">
        <v>0</v>
      </c>
      <c r="H345" s="2">
        <v>0</v>
      </c>
      <c r="I345" s="2">
        <v>0</v>
      </c>
      <c r="J345" s="2">
        <v>0</v>
      </c>
      <c r="K345" s="2">
        <v>35</v>
      </c>
      <c r="L345" s="2">
        <v>25</v>
      </c>
      <c r="M345" s="2">
        <v>0</v>
      </c>
      <c r="N345" s="2">
        <v>0</v>
      </c>
      <c r="O345" s="2">
        <v>0</v>
      </c>
      <c r="P345" s="2">
        <v>0</v>
      </c>
      <c r="Q345" s="2">
        <v>0</v>
      </c>
      <c r="R345" s="274">
        <v>367</v>
      </c>
      <c r="S345" s="253">
        <f xml:space="preserve"> 12</f>
        <v>12</v>
      </c>
      <c r="T345" s="254">
        <f>SUM( tabConsumo[[#This Row],[QTD.PENDENTE]]:tabConsumo[[#This Row],[07_23]] ) / tabConsumo[[#This Row],[Div]]</f>
        <v>6.25</v>
      </c>
      <c r="U345" s="255">
        <f xml:space="preserve"> tabConsumo[[#This Row],[Média.A]] + (_xlfn.STDEV.S( tabConsumo[[#This Row],[QTD.PENDENTE]]:tabConsumo[[#This Row],[07_23]] ) * 1)</f>
        <v>18.333986398234948</v>
      </c>
      <c r="V345" s="255">
        <f xml:space="preserve"> tabConsumo[[#This Row],[Média.A]] + (_xlfn.STDEV.S( tabConsumo[[#This Row],[QTD.PENDENTE]]:tabConsumo[[#This Row],[07_23]] ) * 2)</f>
        <v>30.4179727964699</v>
      </c>
      <c r="W345" s="255">
        <f xml:space="preserve"> tabConsumo[[#This Row],[Média.A]] + (_xlfn.STDEV.S( tabConsumo[[#This Row],[QTD.PENDENTE]]:tabConsumo[[#This Row],[07_23]] ) * 3)</f>
        <v>42.501959194704853</v>
      </c>
      <c r="X345" s="5">
        <f t="shared" si="11"/>
        <v>2</v>
      </c>
      <c r="Y345">
        <v>5.833333333333333</v>
      </c>
      <c r="Z345" s="257">
        <f>SUM( tabConsumo[[#This Row],[QTD.PENDENTE]]:tabConsumo[[#This Row],[07_23]] )</f>
        <v>75</v>
      </c>
      <c r="AA345" s="257">
        <f>LARGE(tabConsumo[[#This Row],[08_22]:[07_23]],1)</f>
        <v>35</v>
      </c>
      <c r="AB345" s="175" t="s">
        <v>2221</v>
      </c>
      <c r="AC345" s="3" t="s">
        <v>2064</v>
      </c>
    </row>
    <row r="346" spans="1:29" x14ac:dyDescent="0.3">
      <c r="A346" s="4" t="s">
        <v>1376</v>
      </c>
      <c r="B346" s="3" t="s">
        <v>294</v>
      </c>
      <c r="C346" s="2">
        <v>64626</v>
      </c>
      <c r="D346" s="2">
        <v>2103</v>
      </c>
      <c r="F346" s="2">
        <v>0</v>
      </c>
      <c r="G346" s="2">
        <v>0</v>
      </c>
      <c r="H346" s="2">
        <v>0</v>
      </c>
      <c r="I346" s="2">
        <v>0</v>
      </c>
      <c r="J346" s="2">
        <v>0</v>
      </c>
      <c r="K346" s="2">
        <v>0</v>
      </c>
      <c r="L346" s="2">
        <v>0</v>
      </c>
      <c r="M346" s="2">
        <v>0</v>
      </c>
      <c r="N346" s="2">
        <v>0</v>
      </c>
      <c r="O346" s="2">
        <v>307</v>
      </c>
      <c r="P346" s="2">
        <v>0</v>
      </c>
      <c r="Q346" s="2">
        <v>200</v>
      </c>
      <c r="R346" s="274">
        <v>367</v>
      </c>
      <c r="S346" s="253">
        <f xml:space="preserve"> 12</f>
        <v>12</v>
      </c>
      <c r="T346" s="254">
        <f>SUM( tabConsumo[[#This Row],[QTD.PENDENTE]]:tabConsumo[[#This Row],[07_23]] ) / tabConsumo[[#This Row],[Div]]</f>
        <v>42.25</v>
      </c>
      <c r="U346" s="255">
        <f xml:space="preserve"> tabConsumo[[#This Row],[Média.A]] + (_xlfn.STDEV.S( tabConsumo[[#This Row],[QTD.PENDENTE]]:tabConsumo[[#This Row],[07_23]] ) * 1)</f>
        <v>143.52740930910326</v>
      </c>
      <c r="V346" s="255">
        <f xml:space="preserve"> tabConsumo[[#This Row],[Média.A]] + (_xlfn.STDEV.S( tabConsumo[[#This Row],[QTD.PENDENTE]]:tabConsumo[[#This Row],[07_23]] ) * 2)</f>
        <v>244.80481861820653</v>
      </c>
      <c r="W346" s="255">
        <f xml:space="preserve"> tabConsumo[[#This Row],[Média.A]] + (_xlfn.STDEV.S( tabConsumo[[#This Row],[QTD.PENDENTE]]:tabConsumo[[#This Row],[07_23]] ) * 3)</f>
        <v>346.08222792730976</v>
      </c>
      <c r="X346" s="5">
        <f t="shared" si="11"/>
        <v>2</v>
      </c>
      <c r="Y346">
        <v>37</v>
      </c>
      <c r="Z346" s="257">
        <f>SUM( tabConsumo[[#This Row],[QTD.PENDENTE]]:tabConsumo[[#This Row],[07_23]] )</f>
        <v>507</v>
      </c>
      <c r="AA346" s="257">
        <f>LARGE(tabConsumo[[#This Row],[08_22]:[07_23]],1)</f>
        <v>307</v>
      </c>
      <c r="AB346" s="175" t="s">
        <v>2211</v>
      </c>
      <c r="AC346" s="3" t="s">
        <v>2064</v>
      </c>
    </row>
    <row r="347" spans="1:29" x14ac:dyDescent="0.3">
      <c r="A347" s="4" t="s">
        <v>1223</v>
      </c>
      <c r="B347" s="3" t="s">
        <v>294</v>
      </c>
      <c r="C347" s="2">
        <v>27287</v>
      </c>
      <c r="D347" s="2">
        <v>1114</v>
      </c>
      <c r="F347" s="2">
        <v>15</v>
      </c>
      <c r="G347" s="2">
        <v>10</v>
      </c>
      <c r="H347" s="2">
        <v>0</v>
      </c>
      <c r="I347" s="2">
        <v>0</v>
      </c>
      <c r="J347" s="2">
        <v>10</v>
      </c>
      <c r="K347" s="2">
        <v>5</v>
      </c>
      <c r="L347" s="2">
        <v>10</v>
      </c>
      <c r="M347" s="2">
        <v>20</v>
      </c>
      <c r="N347" s="2">
        <v>0</v>
      </c>
      <c r="O347" s="2">
        <v>40</v>
      </c>
      <c r="P347" s="2">
        <v>0</v>
      </c>
      <c r="Q347" s="2">
        <v>0</v>
      </c>
      <c r="R347" s="274">
        <v>367</v>
      </c>
      <c r="S347" s="253">
        <f xml:space="preserve"> 12</f>
        <v>12</v>
      </c>
      <c r="T347" s="254">
        <f>SUM( tabConsumo[[#This Row],[QTD.PENDENTE]]:tabConsumo[[#This Row],[07_23]] ) / tabConsumo[[#This Row],[Div]]</f>
        <v>9.1666666666666661</v>
      </c>
      <c r="U347" s="255">
        <f xml:space="preserve"> tabConsumo[[#This Row],[Média.A]] + (_xlfn.STDEV.S( tabConsumo[[#This Row],[QTD.PENDENTE]]:tabConsumo[[#This Row],[07_23]] ) * 1)</f>
        <v>21.005227185222758</v>
      </c>
      <c r="V347" s="255">
        <f xml:space="preserve"> tabConsumo[[#This Row],[Média.A]] + (_xlfn.STDEV.S( tabConsumo[[#This Row],[QTD.PENDENTE]]:tabConsumo[[#This Row],[07_23]] ) * 2)</f>
        <v>32.843787703778851</v>
      </c>
      <c r="W347" s="255">
        <f xml:space="preserve"> tabConsumo[[#This Row],[Média.A]] + (_xlfn.STDEV.S( tabConsumo[[#This Row],[QTD.PENDENTE]]:tabConsumo[[#This Row],[07_23]] ) * 3)</f>
        <v>44.682348222334944</v>
      </c>
      <c r="X347" s="5">
        <f t="shared" si="11"/>
        <v>2</v>
      </c>
      <c r="Y347">
        <v>8.5</v>
      </c>
      <c r="Z347" s="257">
        <f>SUM( tabConsumo[[#This Row],[QTD.PENDENTE]]:tabConsumo[[#This Row],[07_23]] )</f>
        <v>110</v>
      </c>
      <c r="AA347" s="257">
        <f>LARGE(tabConsumo[[#This Row],[08_22]:[07_23]],1)</f>
        <v>40</v>
      </c>
      <c r="AB347" s="175" t="s">
        <v>2214</v>
      </c>
      <c r="AC347" s="3" t="s">
        <v>2064</v>
      </c>
    </row>
    <row r="348" spans="1:29" x14ac:dyDescent="0.3">
      <c r="A348" s="4" t="s">
        <v>1387</v>
      </c>
      <c r="B348" s="3" t="s">
        <v>294</v>
      </c>
      <c r="C348" s="2">
        <v>64860</v>
      </c>
      <c r="D348" s="2">
        <v>56</v>
      </c>
      <c r="F348" s="2">
        <v>10</v>
      </c>
      <c r="G348" s="2">
        <v>0</v>
      </c>
      <c r="H348" s="2">
        <v>0</v>
      </c>
      <c r="I348" s="2">
        <v>0</v>
      </c>
      <c r="J348" s="2">
        <v>0</v>
      </c>
      <c r="K348" s="2">
        <v>200</v>
      </c>
      <c r="L348" s="2">
        <v>1</v>
      </c>
      <c r="M348" s="2">
        <v>0</v>
      </c>
      <c r="N348" s="2">
        <v>0</v>
      </c>
      <c r="O348" s="2">
        <v>0</v>
      </c>
      <c r="P348" s="2">
        <v>0</v>
      </c>
      <c r="Q348" s="2">
        <v>0</v>
      </c>
      <c r="R348" s="274">
        <v>367</v>
      </c>
      <c r="S348" s="253">
        <f xml:space="preserve"> 12</f>
        <v>12</v>
      </c>
      <c r="T348" s="254">
        <f>SUM( tabConsumo[[#This Row],[QTD.PENDENTE]]:tabConsumo[[#This Row],[07_23]] ) / tabConsumo[[#This Row],[Div]]</f>
        <v>17.583333333333332</v>
      </c>
      <c r="U348" s="255">
        <f xml:space="preserve"> tabConsumo[[#This Row],[Média.A]] + (_xlfn.STDEV.S( tabConsumo[[#This Row],[QTD.PENDENTE]]:tabConsumo[[#This Row],[07_23]] ) * 1)</f>
        <v>75.100853720734875</v>
      </c>
      <c r="V348" s="255">
        <f xml:space="preserve"> tabConsumo[[#This Row],[Média.A]] + (_xlfn.STDEV.S( tabConsumo[[#This Row],[QTD.PENDENTE]]:tabConsumo[[#This Row],[07_23]] ) * 2)</f>
        <v>132.61837410813641</v>
      </c>
      <c r="W348" s="255">
        <f xml:space="preserve"> tabConsumo[[#This Row],[Média.A]] + (_xlfn.STDEV.S( tabConsumo[[#This Row],[QTD.PENDENTE]]:tabConsumo[[#This Row],[07_23]] ) * 3)</f>
        <v>190.13589449553797</v>
      </c>
      <c r="X348" s="5">
        <f t="shared" si="11"/>
        <v>2</v>
      </c>
      <c r="Y348">
        <v>11.916666666666666</v>
      </c>
      <c r="Z348" s="257">
        <f>SUM( tabConsumo[[#This Row],[QTD.PENDENTE]]:tabConsumo[[#This Row],[07_23]] )</f>
        <v>211</v>
      </c>
      <c r="AA348" s="257">
        <f>LARGE(tabConsumo[[#This Row],[08_22]:[07_23]],1)</f>
        <v>200</v>
      </c>
      <c r="AB348" s="175" t="s">
        <v>2221</v>
      </c>
      <c r="AC348" s="3" t="s">
        <v>2064</v>
      </c>
    </row>
    <row r="349" spans="1:29" x14ac:dyDescent="0.3">
      <c r="A349" s="4" t="s">
        <v>1485</v>
      </c>
      <c r="B349" s="3" t="s">
        <v>294</v>
      </c>
      <c r="C349" s="2">
        <v>87348</v>
      </c>
      <c r="D349" s="2">
        <v>832</v>
      </c>
      <c r="F349" s="2">
        <v>6</v>
      </c>
      <c r="G349" s="2">
        <v>5</v>
      </c>
      <c r="H349" s="2">
        <v>0</v>
      </c>
      <c r="I349" s="2">
        <v>10</v>
      </c>
      <c r="J349" s="2">
        <v>0</v>
      </c>
      <c r="K349" s="2">
        <v>5</v>
      </c>
      <c r="L349" s="2">
        <v>0</v>
      </c>
      <c r="M349" s="2">
        <v>20</v>
      </c>
      <c r="N349" s="2">
        <v>0</v>
      </c>
      <c r="O349" s="2">
        <v>0</v>
      </c>
      <c r="P349" s="2">
        <v>0</v>
      </c>
      <c r="Q349" s="2">
        <v>0</v>
      </c>
      <c r="R349" s="274">
        <v>38583</v>
      </c>
      <c r="S349" s="253">
        <v>12</v>
      </c>
      <c r="T349" s="254">
        <f>SUM( tabConsumo[[#This Row],[QTD.PENDENTE]]:tabConsumo[[#This Row],[07_23]] ) / tabConsumo[[#This Row],[Div]]</f>
        <v>3.8333333333333335</v>
      </c>
      <c r="U349" s="255">
        <f xml:space="preserve"> tabConsumo[[#This Row],[Média.A]] + (_xlfn.STDEV.S( tabConsumo[[#This Row],[QTD.PENDENTE]]:tabConsumo[[#This Row],[07_23]] ) * 1)</f>
        <v>9.9359904793988285</v>
      </c>
      <c r="V349" s="255">
        <f xml:space="preserve"> tabConsumo[[#This Row],[Média.A]] + (_xlfn.STDEV.S( tabConsumo[[#This Row],[QTD.PENDENTE]]:tabConsumo[[#This Row],[07_23]] ) * 2)</f>
        <v>16.038647625464321</v>
      </c>
      <c r="W349" s="255">
        <f xml:space="preserve"> tabConsumo[[#This Row],[Média.A]] + (_xlfn.STDEV.S( tabConsumo[[#This Row],[QTD.PENDENTE]]:tabConsumo[[#This Row],[07_23]] ) * 3)</f>
        <v>22.141304771529814</v>
      </c>
      <c r="X349" s="5">
        <f t="shared" si="11"/>
        <v>2</v>
      </c>
      <c r="Y349">
        <v>3.5</v>
      </c>
      <c r="Z349" s="257">
        <f>SUM( tabConsumo[[#This Row],[QTD.PENDENTE]]:tabConsumo[[#This Row],[07_23]] )</f>
        <v>46</v>
      </c>
      <c r="AA349" s="257">
        <f>LARGE(tabConsumo[[#This Row],[08_22]:[07_23]],1)</f>
        <v>20</v>
      </c>
      <c r="AB349" s="175" t="s">
        <v>2217</v>
      </c>
      <c r="AC349" s="3" t="s">
        <v>2064</v>
      </c>
    </row>
    <row r="350" spans="1:29" x14ac:dyDescent="0.3">
      <c r="A350" s="4" t="s">
        <v>1388</v>
      </c>
      <c r="B350" s="3" t="s">
        <v>294</v>
      </c>
      <c r="C350" s="2">
        <v>64861</v>
      </c>
      <c r="D350" s="2">
        <v>1790</v>
      </c>
      <c r="F350" s="2">
        <v>10</v>
      </c>
      <c r="G350" s="2">
        <v>0</v>
      </c>
      <c r="H350" s="2">
        <v>0</v>
      </c>
      <c r="I350" s="2">
        <v>0</v>
      </c>
      <c r="J350" s="2">
        <v>0</v>
      </c>
      <c r="K350" s="2">
        <v>0</v>
      </c>
      <c r="L350" s="2">
        <v>0</v>
      </c>
      <c r="M350" s="2">
        <v>0</v>
      </c>
      <c r="N350" s="2">
        <v>0</v>
      </c>
      <c r="O350" s="2">
        <v>0</v>
      </c>
      <c r="P350" s="2">
        <v>0</v>
      </c>
      <c r="Q350" s="2">
        <v>0</v>
      </c>
      <c r="R350" s="274">
        <v>367</v>
      </c>
      <c r="S350" s="253">
        <f t="shared" ref="S350:S355" si="13" xml:space="preserve"> 12</f>
        <v>12</v>
      </c>
      <c r="T350" s="254">
        <f>SUM( tabConsumo[[#This Row],[QTD.PENDENTE]]:tabConsumo[[#This Row],[07_23]] ) / tabConsumo[[#This Row],[Div]]</f>
        <v>0.83333333333333337</v>
      </c>
      <c r="U350" s="255">
        <f xml:space="preserve"> tabConsumo[[#This Row],[Média.A]] + (_xlfn.STDEV.S( tabConsumo[[#This Row],[QTD.PENDENTE]]:tabConsumo[[#This Row],[07_23]] ) * 1)</f>
        <v>3.7200846792814626</v>
      </c>
      <c r="V350" s="255">
        <f xml:space="preserve"> tabConsumo[[#This Row],[Média.A]] + (_xlfn.STDEV.S( tabConsumo[[#This Row],[QTD.PENDENTE]]:tabConsumo[[#This Row],[07_23]] ) * 2)</f>
        <v>6.6068360252295912</v>
      </c>
      <c r="W350" s="255">
        <f xml:space="preserve"> tabConsumo[[#This Row],[Média.A]] + (_xlfn.STDEV.S( tabConsumo[[#This Row],[QTD.PENDENTE]]:tabConsumo[[#This Row],[07_23]] ) * 3)</f>
        <v>9.4935873711777212</v>
      </c>
      <c r="X350" s="5">
        <f t="shared" si="11"/>
        <v>2</v>
      </c>
      <c r="Y350">
        <v>0.5</v>
      </c>
      <c r="Z350" s="257">
        <f>SUM( tabConsumo[[#This Row],[QTD.PENDENTE]]:tabConsumo[[#This Row],[07_23]] )</f>
        <v>10</v>
      </c>
      <c r="AA350" s="257">
        <f>LARGE(tabConsumo[[#This Row],[08_22]:[07_23]],1)</f>
        <v>10</v>
      </c>
      <c r="AB350" s="175" t="s">
        <v>2218</v>
      </c>
      <c r="AC350" s="3" t="s">
        <v>2064</v>
      </c>
    </row>
    <row r="351" spans="1:29" x14ac:dyDescent="0.3">
      <c r="A351" s="4" t="s">
        <v>1377</v>
      </c>
      <c r="B351" s="3" t="s">
        <v>294</v>
      </c>
      <c r="C351" s="2">
        <v>64627</v>
      </c>
      <c r="D351" s="2">
        <v>2221</v>
      </c>
      <c r="F351" s="2">
        <v>15</v>
      </c>
      <c r="G351" s="2">
        <v>0</v>
      </c>
      <c r="H351" s="2">
        <v>0</v>
      </c>
      <c r="I351" s="2">
        <v>0</v>
      </c>
      <c r="J351" s="2">
        <v>0</v>
      </c>
      <c r="K351" s="2">
        <v>0</v>
      </c>
      <c r="L351" s="2">
        <v>0</v>
      </c>
      <c r="M351" s="2">
        <v>0</v>
      </c>
      <c r="N351" s="2">
        <v>0</v>
      </c>
      <c r="O351" s="2">
        <v>40</v>
      </c>
      <c r="P351" s="2">
        <v>0</v>
      </c>
      <c r="Q351" s="2">
        <v>0</v>
      </c>
      <c r="R351" s="274">
        <v>367</v>
      </c>
      <c r="S351" s="253">
        <f t="shared" si="13"/>
        <v>12</v>
      </c>
      <c r="T351" s="254">
        <f>SUM( tabConsumo[[#This Row],[QTD.PENDENTE]]:tabConsumo[[#This Row],[07_23]] ) / tabConsumo[[#This Row],[Div]]</f>
        <v>4.583333333333333</v>
      </c>
      <c r="U351" s="255">
        <f xml:space="preserve"> tabConsumo[[#This Row],[Média.A]] + (_xlfn.STDEV.S( tabConsumo[[#This Row],[QTD.PENDENTE]]:tabConsumo[[#This Row],[07_23]] ) * 1)</f>
        <v>16.541277313902246</v>
      </c>
      <c r="V351" s="255">
        <f xml:space="preserve"> tabConsumo[[#This Row],[Média.A]] + (_xlfn.STDEV.S( tabConsumo[[#This Row],[QTD.PENDENTE]]:tabConsumo[[#This Row],[07_23]] ) * 2)</f>
        <v>28.499221294471155</v>
      </c>
      <c r="W351" s="255">
        <f xml:space="preserve"> tabConsumo[[#This Row],[Média.A]] + (_xlfn.STDEV.S( tabConsumo[[#This Row],[QTD.PENDENTE]]:tabConsumo[[#This Row],[07_23]] ) * 3)</f>
        <v>40.457165275040069</v>
      </c>
      <c r="X351" s="5">
        <f t="shared" si="11"/>
        <v>2</v>
      </c>
      <c r="Y351">
        <v>3.5833333333333335</v>
      </c>
      <c r="Z351" s="257">
        <f>SUM( tabConsumo[[#This Row],[QTD.PENDENTE]]:tabConsumo[[#This Row],[07_23]] )</f>
        <v>55</v>
      </c>
      <c r="AA351" s="257">
        <f>LARGE(tabConsumo[[#This Row],[08_22]:[07_23]],1)</f>
        <v>40</v>
      </c>
      <c r="AB351" s="175" t="s">
        <v>2214</v>
      </c>
      <c r="AC351" s="3" t="s">
        <v>2064</v>
      </c>
    </row>
    <row r="352" spans="1:29" x14ac:dyDescent="0.3">
      <c r="A352" s="4" t="s">
        <v>1346</v>
      </c>
      <c r="B352" s="3" t="s">
        <v>294</v>
      </c>
      <c r="C352" s="2">
        <v>60517</v>
      </c>
      <c r="D352" s="2">
        <v>1781</v>
      </c>
      <c r="F352" s="2">
        <v>0</v>
      </c>
      <c r="G352" s="2">
        <v>0</v>
      </c>
      <c r="H352" s="2">
        <v>2</v>
      </c>
      <c r="I352" s="2">
        <v>0</v>
      </c>
      <c r="J352" s="2">
        <v>0</v>
      </c>
      <c r="K352" s="2">
        <v>0</v>
      </c>
      <c r="L352" s="2">
        <v>0</v>
      </c>
      <c r="M352" s="2">
        <v>0</v>
      </c>
      <c r="N352" s="2">
        <v>0</v>
      </c>
      <c r="O352" s="2">
        <v>10</v>
      </c>
      <c r="P352" s="2">
        <v>0</v>
      </c>
      <c r="Q352" s="2">
        <v>0</v>
      </c>
      <c r="R352" s="274">
        <v>367</v>
      </c>
      <c r="S352" s="253">
        <f t="shared" si="13"/>
        <v>12</v>
      </c>
      <c r="T352" s="254">
        <f>SUM( tabConsumo[[#This Row],[QTD.PENDENTE]]:tabConsumo[[#This Row],[07_23]] ) / tabConsumo[[#This Row],[Div]]</f>
        <v>1</v>
      </c>
      <c r="U352" s="255">
        <f xml:space="preserve"> tabConsumo[[#This Row],[Média.A]] + (_xlfn.STDEV.S( tabConsumo[[#This Row],[QTD.PENDENTE]]:tabConsumo[[#This Row],[07_23]] ) * 1)</f>
        <v>3.8919952219248848</v>
      </c>
      <c r="V352" s="255">
        <f xml:space="preserve"> tabConsumo[[#This Row],[Média.A]] + (_xlfn.STDEV.S( tabConsumo[[#This Row],[QTD.PENDENTE]]:tabConsumo[[#This Row],[07_23]] ) * 2)</f>
        <v>6.7839904438497696</v>
      </c>
      <c r="W352" s="255">
        <f xml:space="preserve"> tabConsumo[[#This Row],[Média.A]] + (_xlfn.STDEV.S( tabConsumo[[#This Row],[QTD.PENDENTE]]:tabConsumo[[#This Row],[07_23]] ) * 3)</f>
        <v>9.6759856657746539</v>
      </c>
      <c r="X352" s="5">
        <f t="shared" si="11"/>
        <v>2</v>
      </c>
      <c r="Y352">
        <v>0.66666666666666663</v>
      </c>
      <c r="Z352" s="257">
        <f>SUM( tabConsumo[[#This Row],[QTD.PENDENTE]]:tabConsumo[[#This Row],[07_23]] )</f>
        <v>12</v>
      </c>
      <c r="AA352" s="257">
        <f>LARGE(tabConsumo[[#This Row],[08_22]:[07_23]],1)</f>
        <v>10</v>
      </c>
      <c r="AB352" s="175" t="s">
        <v>2214</v>
      </c>
      <c r="AC352" s="3" t="s">
        <v>2064</v>
      </c>
    </row>
    <row r="353" spans="1:29" x14ac:dyDescent="0.3">
      <c r="A353" s="4" t="s">
        <v>1385</v>
      </c>
      <c r="B353" s="3" t="s">
        <v>294</v>
      </c>
      <c r="C353" s="2">
        <v>64817</v>
      </c>
      <c r="D353" s="2">
        <v>86</v>
      </c>
      <c r="F353" s="2">
        <v>0</v>
      </c>
      <c r="G353" s="2">
        <v>2</v>
      </c>
      <c r="H353" s="2">
        <v>0</v>
      </c>
      <c r="I353" s="2">
        <v>0</v>
      </c>
      <c r="J353" s="2">
        <v>0</v>
      </c>
      <c r="K353" s="2">
        <v>2</v>
      </c>
      <c r="L353" s="2">
        <v>0</v>
      </c>
      <c r="M353" s="2">
        <v>0</v>
      </c>
      <c r="N353" s="2">
        <v>0</v>
      </c>
      <c r="O353" s="2">
        <v>0</v>
      </c>
      <c r="P353" s="2">
        <v>0</v>
      </c>
      <c r="Q353" s="2">
        <v>0</v>
      </c>
      <c r="R353" s="274">
        <v>367</v>
      </c>
      <c r="S353" s="253">
        <f t="shared" si="13"/>
        <v>12</v>
      </c>
      <c r="T353" s="254">
        <f>SUM( tabConsumo[[#This Row],[QTD.PENDENTE]]:tabConsumo[[#This Row],[07_23]] ) / tabConsumo[[#This Row],[Div]]</f>
        <v>0.33333333333333331</v>
      </c>
      <c r="U353" s="255">
        <f xml:space="preserve"> tabConsumo[[#This Row],[Média.A]] + (_xlfn.STDEV.S( tabConsumo[[#This Row],[QTD.PENDENTE]]:tabConsumo[[#This Row],[07_23]] ) * 1)</f>
        <v>1.1118322774948564</v>
      </c>
      <c r="V353" s="255">
        <f xml:space="preserve"> tabConsumo[[#This Row],[Média.A]] + (_xlfn.STDEV.S( tabConsumo[[#This Row],[QTD.PENDENTE]]:tabConsumo[[#This Row],[07_23]] ) * 2)</f>
        <v>1.8903312216563792</v>
      </c>
      <c r="W353" s="255">
        <f xml:space="preserve"> tabConsumo[[#This Row],[Média.A]] + (_xlfn.STDEV.S( tabConsumo[[#This Row],[QTD.PENDENTE]]:tabConsumo[[#This Row],[07_23]] ) * 3)</f>
        <v>2.6688301658179023</v>
      </c>
      <c r="X353" s="5">
        <f t="shared" si="11"/>
        <v>2</v>
      </c>
      <c r="Y353">
        <v>0.16666666666666666</v>
      </c>
      <c r="Z353" s="257">
        <f>SUM( tabConsumo[[#This Row],[QTD.PENDENTE]]:tabConsumo[[#This Row],[07_23]] )</f>
        <v>4</v>
      </c>
      <c r="AA353" s="257">
        <f>LARGE(tabConsumo[[#This Row],[08_22]:[07_23]],1)</f>
        <v>2</v>
      </c>
      <c r="AB353" s="175" t="s">
        <v>2220</v>
      </c>
      <c r="AC353" s="3" t="s">
        <v>2064</v>
      </c>
    </row>
    <row r="354" spans="1:29" x14ac:dyDescent="0.3">
      <c r="A354" s="4" t="s">
        <v>1306</v>
      </c>
      <c r="B354" s="3" t="s">
        <v>294</v>
      </c>
      <c r="C354" s="2">
        <v>53813</v>
      </c>
      <c r="D354" s="2">
        <v>184</v>
      </c>
      <c r="F354" s="2">
        <v>90</v>
      </c>
      <c r="G354" s="2">
        <v>0</v>
      </c>
      <c r="H354" s="2">
        <v>0</v>
      </c>
      <c r="I354" s="2">
        <v>1</v>
      </c>
      <c r="J354" s="2">
        <v>4</v>
      </c>
      <c r="K354" s="2">
        <v>4</v>
      </c>
      <c r="L354" s="2">
        <v>0</v>
      </c>
      <c r="M354" s="2">
        <v>0</v>
      </c>
      <c r="N354" s="2">
        <v>0</v>
      </c>
      <c r="O354" s="2">
        <v>0</v>
      </c>
      <c r="P354" s="2">
        <v>0</v>
      </c>
      <c r="Q354" s="2">
        <v>0</v>
      </c>
      <c r="R354" s="274">
        <v>367</v>
      </c>
      <c r="S354" s="253">
        <f t="shared" si="13"/>
        <v>12</v>
      </c>
      <c r="T354" s="254">
        <f>SUM( tabConsumo[[#This Row],[QTD.PENDENTE]]:tabConsumo[[#This Row],[07_23]] ) / tabConsumo[[#This Row],[Div]]</f>
        <v>8.25</v>
      </c>
      <c r="U354" s="255">
        <f xml:space="preserve"> tabConsumo[[#This Row],[Média.A]] + (_xlfn.STDEV.S( tabConsumo[[#This Row],[QTD.PENDENTE]]:tabConsumo[[#This Row],[07_23]] ) * 1)</f>
        <v>34.0397971369229</v>
      </c>
      <c r="V354" s="255">
        <f xml:space="preserve"> tabConsumo[[#This Row],[Média.A]] + (_xlfn.STDEV.S( tabConsumo[[#This Row],[QTD.PENDENTE]]:tabConsumo[[#This Row],[07_23]] ) * 2)</f>
        <v>59.829594273845792</v>
      </c>
      <c r="W354" s="255">
        <f xml:space="preserve"> tabConsumo[[#This Row],[Média.A]] + (_xlfn.STDEV.S( tabConsumo[[#This Row],[QTD.PENDENTE]]:tabConsumo[[#This Row],[07_23]] ) * 3)</f>
        <v>85.619391410768685</v>
      </c>
      <c r="X354" s="5">
        <f t="shared" si="11"/>
        <v>2</v>
      </c>
      <c r="Y354">
        <v>5.666666666666667</v>
      </c>
      <c r="Z354" s="257">
        <f>SUM( tabConsumo[[#This Row],[QTD.PENDENTE]]:tabConsumo[[#This Row],[07_23]] )</f>
        <v>99</v>
      </c>
      <c r="AA354" s="257">
        <f>LARGE(tabConsumo[[#This Row],[08_22]:[07_23]],1)</f>
        <v>90</v>
      </c>
      <c r="AB354" s="175" t="s">
        <v>2220</v>
      </c>
      <c r="AC354" s="3" t="s">
        <v>2064</v>
      </c>
    </row>
    <row r="355" spans="1:29" x14ac:dyDescent="0.3">
      <c r="A355" s="4" t="s">
        <v>1307</v>
      </c>
      <c r="B355" s="3" t="s">
        <v>294</v>
      </c>
      <c r="C355" s="2">
        <v>53814</v>
      </c>
      <c r="D355" s="2">
        <v>359</v>
      </c>
      <c r="E355" s="2">
        <v>4</v>
      </c>
      <c r="F355" s="2">
        <v>172</v>
      </c>
      <c r="G355" s="2">
        <v>35</v>
      </c>
      <c r="H355" s="2">
        <v>0</v>
      </c>
      <c r="I355" s="2">
        <v>32</v>
      </c>
      <c r="J355" s="2">
        <v>0</v>
      </c>
      <c r="K355" s="2">
        <v>201</v>
      </c>
      <c r="L355" s="2">
        <v>0</v>
      </c>
      <c r="M355" s="2">
        <v>0</v>
      </c>
      <c r="N355" s="2">
        <v>0</v>
      </c>
      <c r="O355" s="2">
        <v>0</v>
      </c>
      <c r="P355" s="2">
        <v>60</v>
      </c>
      <c r="Q355" s="2">
        <v>0</v>
      </c>
      <c r="R355" s="274">
        <v>367</v>
      </c>
      <c r="S355" s="253">
        <f t="shared" si="13"/>
        <v>12</v>
      </c>
      <c r="T355" s="254">
        <f>SUM( tabConsumo[[#This Row],[QTD.PENDENTE]]:tabConsumo[[#This Row],[07_23]] ) / tabConsumo[[#This Row],[Div]]</f>
        <v>42</v>
      </c>
      <c r="U355" s="255">
        <f xml:space="preserve"> tabConsumo[[#This Row],[Média.A]] + (_xlfn.STDEV.S( tabConsumo[[#This Row],[QTD.PENDENTE]]:tabConsumo[[#This Row],[07_23]] ) * 1)</f>
        <v>110.50201194874235</v>
      </c>
      <c r="V355" s="255">
        <f xml:space="preserve"> tabConsumo[[#This Row],[Média.A]] + (_xlfn.STDEV.S( tabConsumo[[#This Row],[QTD.PENDENTE]]:tabConsumo[[#This Row],[07_23]] ) * 2)</f>
        <v>179.0040238974847</v>
      </c>
      <c r="W355" s="255">
        <f xml:space="preserve"> tabConsumo[[#This Row],[Média.A]] + (_xlfn.STDEV.S( tabConsumo[[#This Row],[QTD.PENDENTE]]:tabConsumo[[#This Row],[07_23]] ) * 3)</f>
        <v>247.50603584622706</v>
      </c>
      <c r="X355" s="5">
        <f t="shared" si="11"/>
        <v>2</v>
      </c>
      <c r="Y355">
        <v>40.166666666666664</v>
      </c>
      <c r="Z355" s="257">
        <f>SUM( tabConsumo[[#This Row],[QTD.PENDENTE]]:tabConsumo[[#This Row],[07_23]] )</f>
        <v>504</v>
      </c>
      <c r="AA355" s="257">
        <f>LARGE(tabConsumo[[#This Row],[08_22]:[07_23]],1)</f>
        <v>201</v>
      </c>
      <c r="AB355" s="175" t="s">
        <v>2212</v>
      </c>
      <c r="AC355" s="3" t="s">
        <v>2064</v>
      </c>
    </row>
    <row r="356" spans="1:29" x14ac:dyDescent="0.3">
      <c r="A356" s="4" t="s">
        <v>1813</v>
      </c>
      <c r="B356" s="3" t="s">
        <v>294</v>
      </c>
      <c r="C356" s="2">
        <v>132232</v>
      </c>
      <c r="D356" s="2">
        <v>44</v>
      </c>
      <c r="F356" s="2">
        <v>0</v>
      </c>
      <c r="G356" s="2">
        <v>6</v>
      </c>
      <c r="H356" s="2">
        <v>0</v>
      </c>
      <c r="I356" s="2">
        <v>0</v>
      </c>
      <c r="J356" s="2">
        <v>9</v>
      </c>
      <c r="K356" s="2">
        <v>6</v>
      </c>
      <c r="L356" s="2">
        <v>0</v>
      </c>
      <c r="M356" s="2">
        <v>0</v>
      </c>
      <c r="N356" s="2">
        <v>0</v>
      </c>
      <c r="O356" s="2">
        <v>0</v>
      </c>
      <c r="P356" s="2">
        <v>0</v>
      </c>
      <c r="Q356" s="2">
        <v>15</v>
      </c>
      <c r="R356" s="274">
        <v>42656</v>
      </c>
      <c r="S356" s="253">
        <v>12</v>
      </c>
      <c r="T356" s="254">
        <f>SUM( tabConsumo[[#This Row],[QTD.PENDENTE]]:tabConsumo[[#This Row],[07_23]] ) / tabConsumo[[#This Row],[Div]]</f>
        <v>3</v>
      </c>
      <c r="U356" s="255">
        <f xml:space="preserve"> tabConsumo[[#This Row],[Média.A]] + (_xlfn.STDEV.S( tabConsumo[[#This Row],[QTD.PENDENTE]]:tabConsumo[[#This Row],[07_23]] ) * 1)</f>
        <v>7.9543369430686228</v>
      </c>
      <c r="V356" s="255">
        <f xml:space="preserve"> tabConsumo[[#This Row],[Média.A]] + (_xlfn.STDEV.S( tabConsumo[[#This Row],[QTD.PENDENTE]]:tabConsumo[[#This Row],[07_23]] ) * 2)</f>
        <v>12.908673886137246</v>
      </c>
      <c r="W356" s="255">
        <f xml:space="preserve"> tabConsumo[[#This Row],[Média.A]] + (_xlfn.STDEV.S( tabConsumo[[#This Row],[QTD.PENDENTE]]:tabConsumo[[#This Row],[07_23]] ) * 3)</f>
        <v>17.863010829205869</v>
      </c>
      <c r="X356" s="5">
        <f t="shared" si="11"/>
        <v>2</v>
      </c>
      <c r="Y356">
        <v>2.75</v>
      </c>
      <c r="Z356" s="257">
        <f>SUM( tabConsumo[[#This Row],[QTD.PENDENTE]]:tabConsumo[[#This Row],[07_23]] )</f>
        <v>36</v>
      </c>
      <c r="AA356" s="257">
        <f>LARGE(tabConsumo[[#This Row],[08_22]:[07_23]],1)</f>
        <v>15</v>
      </c>
      <c r="AB356" s="175" t="s">
        <v>2211</v>
      </c>
      <c r="AC356" s="3" t="s">
        <v>2064</v>
      </c>
    </row>
    <row r="357" spans="1:29" x14ac:dyDescent="0.3">
      <c r="A357" s="4" t="s">
        <v>1705</v>
      </c>
      <c r="B357" s="3" t="s">
        <v>616</v>
      </c>
      <c r="C357" s="2">
        <v>115282</v>
      </c>
      <c r="D357" s="2">
        <v>1137</v>
      </c>
      <c r="E357" s="2">
        <v>3</v>
      </c>
      <c r="F357" s="2">
        <v>12</v>
      </c>
      <c r="G357" s="2">
        <v>167</v>
      </c>
      <c r="H357" s="2">
        <v>15</v>
      </c>
      <c r="I357" s="2">
        <v>29</v>
      </c>
      <c r="J357" s="2">
        <v>6</v>
      </c>
      <c r="K357" s="2">
        <v>25</v>
      </c>
      <c r="L357" s="2">
        <v>105</v>
      </c>
      <c r="M357" s="2">
        <v>250</v>
      </c>
      <c r="N357" s="2">
        <v>26</v>
      </c>
      <c r="O357" s="2">
        <v>27</v>
      </c>
      <c r="P357" s="2">
        <v>33</v>
      </c>
      <c r="Q357" s="2">
        <v>32</v>
      </c>
      <c r="R357" s="274">
        <v>40312</v>
      </c>
      <c r="S357" s="253">
        <v>12</v>
      </c>
      <c r="T357" s="254">
        <f>SUM( tabConsumo[[#This Row],[QTD.PENDENTE]]:tabConsumo[[#This Row],[07_23]] ) / tabConsumo[[#This Row],[Div]]</f>
        <v>60.833333333333336</v>
      </c>
      <c r="U357" s="255">
        <f xml:space="preserve"> tabConsumo[[#This Row],[Média.A]] + (_xlfn.STDEV.S( tabConsumo[[#This Row],[QTD.PENDENTE]]:tabConsumo[[#This Row],[07_23]] ) * 1)</f>
        <v>134.89394607029601</v>
      </c>
      <c r="V357" s="255">
        <f xml:space="preserve"> tabConsumo[[#This Row],[Média.A]] + (_xlfn.STDEV.S( tabConsumo[[#This Row],[QTD.PENDENTE]]:tabConsumo[[#This Row],[07_23]] ) * 2)</f>
        <v>208.95455880725871</v>
      </c>
      <c r="W357" s="255">
        <f xml:space="preserve"> tabConsumo[[#This Row],[Média.A]] + (_xlfn.STDEV.S( tabConsumo[[#This Row],[QTD.PENDENTE]]:tabConsumo[[#This Row],[07_23]] ) * 3)</f>
        <v>283.01517154422135</v>
      </c>
      <c r="X357" s="5">
        <f t="shared" si="11"/>
        <v>2</v>
      </c>
      <c r="Y357">
        <v>57.333333333333336</v>
      </c>
      <c r="Z357" s="257">
        <f>SUM( tabConsumo[[#This Row],[QTD.PENDENTE]]:tabConsumo[[#This Row],[07_23]] )</f>
        <v>730</v>
      </c>
      <c r="AA357" s="257">
        <f>LARGE(tabConsumo[[#This Row],[08_22]:[07_23]],1)</f>
        <v>250</v>
      </c>
      <c r="AB357" s="175" t="s">
        <v>2211</v>
      </c>
      <c r="AC357" s="3" t="s">
        <v>2064</v>
      </c>
    </row>
    <row r="358" spans="1:29" x14ac:dyDescent="0.3">
      <c r="A358" s="4" t="s">
        <v>1903</v>
      </c>
      <c r="B358" s="3" t="s">
        <v>256</v>
      </c>
      <c r="C358" s="2">
        <v>135303</v>
      </c>
      <c r="D358" s="2">
        <v>106</v>
      </c>
      <c r="F358" s="2">
        <v>6</v>
      </c>
      <c r="G358" s="2">
        <v>1</v>
      </c>
      <c r="H358" s="2">
        <v>8</v>
      </c>
      <c r="I358" s="2">
        <v>6</v>
      </c>
      <c r="J358" s="2">
        <v>3</v>
      </c>
      <c r="K358" s="2">
        <v>3</v>
      </c>
      <c r="L358" s="2">
        <v>2</v>
      </c>
      <c r="M358" s="2">
        <v>6</v>
      </c>
      <c r="N358" s="2">
        <v>7</v>
      </c>
      <c r="O358" s="2">
        <v>1</v>
      </c>
      <c r="P358" s="2">
        <v>3</v>
      </c>
      <c r="Q358" s="2">
        <v>4</v>
      </c>
      <c r="R358" s="274">
        <v>43277</v>
      </c>
      <c r="S358" s="253">
        <v>12</v>
      </c>
      <c r="T358" s="254">
        <f>SUM( tabConsumo[[#This Row],[QTD.PENDENTE]]:tabConsumo[[#This Row],[07_23]] ) / tabConsumo[[#This Row],[Div]]</f>
        <v>4.166666666666667</v>
      </c>
      <c r="U358" s="255">
        <f xml:space="preserve"> tabConsumo[[#This Row],[Média.A]] + (_xlfn.STDEV.S( tabConsumo[[#This Row],[QTD.PENDENTE]]:tabConsumo[[#This Row],[07_23]] ) * 1)</f>
        <v>6.5343787703778862</v>
      </c>
      <c r="V358" s="255">
        <f xml:space="preserve"> tabConsumo[[#This Row],[Média.A]] + (_xlfn.STDEV.S( tabConsumo[[#This Row],[QTD.PENDENTE]]:tabConsumo[[#This Row],[07_23]] ) * 2)</f>
        <v>8.9020908740891045</v>
      </c>
      <c r="W358" s="255">
        <f xml:space="preserve"> tabConsumo[[#This Row],[Média.A]] + (_xlfn.STDEV.S( tabConsumo[[#This Row],[QTD.PENDENTE]]:tabConsumo[[#This Row],[07_23]] ) * 3)</f>
        <v>11.269802977800325</v>
      </c>
      <c r="X358" s="5">
        <f t="shared" si="11"/>
        <v>2</v>
      </c>
      <c r="Y358">
        <v>4.166666666666667</v>
      </c>
      <c r="Z358" s="257">
        <f>SUM( tabConsumo[[#This Row],[QTD.PENDENTE]]:tabConsumo[[#This Row],[07_23]] )</f>
        <v>50</v>
      </c>
      <c r="AA358" s="257">
        <f>LARGE(tabConsumo[[#This Row],[08_22]:[07_23]],1)</f>
        <v>8</v>
      </c>
      <c r="AB358" s="175" t="s">
        <v>2211</v>
      </c>
      <c r="AC358" s="3" t="s">
        <v>2064</v>
      </c>
    </row>
    <row r="359" spans="1:29" x14ac:dyDescent="0.3">
      <c r="A359" s="4" t="s">
        <v>871</v>
      </c>
      <c r="B359" s="3" t="s">
        <v>281</v>
      </c>
      <c r="C359" s="2">
        <v>100383</v>
      </c>
      <c r="D359" s="2">
        <v>74</v>
      </c>
      <c r="F359" s="2">
        <v>0</v>
      </c>
      <c r="G359" s="2">
        <v>0</v>
      </c>
      <c r="H359" s="2">
        <v>0</v>
      </c>
      <c r="I359" s="2">
        <v>0</v>
      </c>
      <c r="J359" s="2">
        <v>0</v>
      </c>
      <c r="K359" s="2">
        <v>0</v>
      </c>
      <c r="L359" s="2">
        <v>0</v>
      </c>
      <c r="M359" s="2">
        <v>0</v>
      </c>
      <c r="N359" s="2">
        <v>3</v>
      </c>
      <c r="O359" s="2">
        <v>0</v>
      </c>
      <c r="P359" s="2">
        <v>0</v>
      </c>
      <c r="Q359" s="2">
        <v>0</v>
      </c>
      <c r="R359" s="274">
        <v>39260</v>
      </c>
      <c r="S359" s="253">
        <v>12</v>
      </c>
      <c r="T359" s="254">
        <f>SUM( tabConsumo[[#This Row],[QTD.PENDENTE]]:tabConsumo[[#This Row],[07_23]] ) / tabConsumo[[#This Row],[Div]]</f>
        <v>0.25</v>
      </c>
      <c r="U359" s="255">
        <f xml:space="preserve"> tabConsumo[[#This Row],[Média.A]] + (_xlfn.STDEV.S( tabConsumo[[#This Row],[QTD.PENDENTE]]:tabConsumo[[#This Row],[07_23]] ) * 1)</f>
        <v>1.1160254037844386</v>
      </c>
      <c r="V359" s="255">
        <f xml:space="preserve"> tabConsumo[[#This Row],[Média.A]] + (_xlfn.STDEV.S( tabConsumo[[#This Row],[QTD.PENDENTE]]:tabConsumo[[#This Row],[07_23]] ) * 2)</f>
        <v>1.9820508075688772</v>
      </c>
      <c r="W359" s="255">
        <f xml:space="preserve"> tabConsumo[[#This Row],[Média.A]] + (_xlfn.STDEV.S( tabConsumo[[#This Row],[QTD.PENDENTE]]:tabConsumo[[#This Row],[07_23]] ) * 3)</f>
        <v>2.848076211353316</v>
      </c>
      <c r="X359" s="5">
        <f t="shared" si="11"/>
        <v>2</v>
      </c>
      <c r="Y359">
        <v>8.3333333333333329E-2</v>
      </c>
      <c r="Z359" s="257">
        <f>SUM( tabConsumo[[#This Row],[QTD.PENDENTE]]:tabConsumo[[#This Row],[07_23]] )</f>
        <v>3</v>
      </c>
      <c r="AA359" s="257">
        <f>LARGE(tabConsumo[[#This Row],[08_22]:[07_23]],1)</f>
        <v>3</v>
      </c>
      <c r="AB359" s="175" t="s">
        <v>2213</v>
      </c>
      <c r="AC359" s="3" t="s">
        <v>2064</v>
      </c>
    </row>
    <row r="360" spans="1:29" x14ac:dyDescent="0.3">
      <c r="A360" s="4" t="s">
        <v>1820</v>
      </c>
      <c r="B360" s="3" t="s">
        <v>281</v>
      </c>
      <c r="C360" s="2">
        <v>132394</v>
      </c>
      <c r="D360" s="2">
        <v>3860</v>
      </c>
      <c r="E360" s="2">
        <v>2</v>
      </c>
      <c r="F360" s="2">
        <v>365</v>
      </c>
      <c r="G360" s="2">
        <v>429</v>
      </c>
      <c r="H360" s="2">
        <v>439</v>
      </c>
      <c r="I360" s="2">
        <v>503</v>
      </c>
      <c r="J360" s="2">
        <v>303</v>
      </c>
      <c r="K360" s="2">
        <v>153</v>
      </c>
      <c r="L360" s="2">
        <v>320</v>
      </c>
      <c r="M360" s="2">
        <v>3897</v>
      </c>
      <c r="N360" s="2">
        <v>321</v>
      </c>
      <c r="O360" s="2">
        <v>430</v>
      </c>
      <c r="P360" s="2">
        <v>376</v>
      </c>
      <c r="Q360" s="2">
        <v>368</v>
      </c>
      <c r="R360" s="274">
        <v>42765</v>
      </c>
      <c r="S360" s="253">
        <v>12</v>
      </c>
      <c r="T360" s="254">
        <f>SUM( tabConsumo[[#This Row],[QTD.PENDENTE]]:tabConsumo[[#This Row],[07_23]] ) / tabConsumo[[#This Row],[Div]]</f>
        <v>658.83333333333337</v>
      </c>
      <c r="U360" s="255">
        <f xml:space="preserve"> tabConsumo[[#This Row],[Média.A]] + (_xlfn.STDEV.S( tabConsumo[[#This Row],[QTD.PENDENTE]]:tabConsumo[[#This Row],[07_23]] ) * 1)</f>
        <v>1655.6576112407492</v>
      </c>
      <c r="V360" s="255">
        <f xml:space="preserve"> tabConsumo[[#This Row],[Média.A]] + (_xlfn.STDEV.S( tabConsumo[[#This Row],[QTD.PENDENTE]]:tabConsumo[[#This Row],[07_23]] ) * 2)</f>
        <v>2652.481889148165</v>
      </c>
      <c r="W360" s="255">
        <f xml:space="preserve"> tabConsumo[[#This Row],[Média.A]] + (_xlfn.STDEV.S( tabConsumo[[#This Row],[QTD.PENDENTE]]:tabConsumo[[#This Row],[07_23]] ) * 3)</f>
        <v>3649.3061670555812</v>
      </c>
      <c r="X360" s="5">
        <f t="shared" si="11"/>
        <v>2</v>
      </c>
      <c r="Y360">
        <v>555.08333333333337</v>
      </c>
      <c r="Z360" s="257">
        <f>SUM( tabConsumo[[#This Row],[QTD.PENDENTE]]:tabConsumo[[#This Row],[07_23]] )</f>
        <v>7906</v>
      </c>
      <c r="AA360" s="257">
        <f>LARGE(tabConsumo[[#This Row],[08_22]:[07_23]],1)</f>
        <v>3897</v>
      </c>
      <c r="AB360" s="175" t="s">
        <v>2211</v>
      </c>
      <c r="AC360" s="3" t="s">
        <v>2064</v>
      </c>
    </row>
    <row r="361" spans="1:29" x14ac:dyDescent="0.3">
      <c r="A361" s="4" t="s">
        <v>1821</v>
      </c>
      <c r="B361" s="3" t="s">
        <v>281</v>
      </c>
      <c r="C361" s="2">
        <v>132395</v>
      </c>
      <c r="D361" s="2">
        <v>3687</v>
      </c>
      <c r="E361" s="2">
        <v>2</v>
      </c>
      <c r="F361" s="2">
        <v>380</v>
      </c>
      <c r="G361" s="2">
        <v>446</v>
      </c>
      <c r="H361" s="2">
        <v>441</v>
      </c>
      <c r="I361" s="2">
        <v>499</v>
      </c>
      <c r="J361" s="2">
        <v>315</v>
      </c>
      <c r="K361" s="2">
        <v>153</v>
      </c>
      <c r="L361" s="2">
        <v>323</v>
      </c>
      <c r="M361" s="2">
        <v>3929</v>
      </c>
      <c r="N361" s="2">
        <v>331</v>
      </c>
      <c r="O361" s="2">
        <v>430</v>
      </c>
      <c r="P361" s="2">
        <v>383</v>
      </c>
      <c r="Q361" s="2">
        <v>368</v>
      </c>
      <c r="R361" s="274">
        <v>42765</v>
      </c>
      <c r="S361" s="253">
        <v>12</v>
      </c>
      <c r="T361" s="254">
        <f>SUM( tabConsumo[[#This Row],[QTD.PENDENTE]]:tabConsumo[[#This Row],[07_23]] ) / tabConsumo[[#This Row],[Div]]</f>
        <v>666.66666666666663</v>
      </c>
      <c r="U361" s="255">
        <f xml:space="preserve"> tabConsumo[[#This Row],[Média.A]] + (_xlfn.STDEV.S( tabConsumo[[#This Row],[QTD.PENDENTE]]:tabConsumo[[#This Row],[07_23]] ) * 1)</f>
        <v>1671.003225334588</v>
      </c>
      <c r="V361" s="255">
        <f xml:space="preserve"> tabConsumo[[#This Row],[Média.A]] + (_xlfn.STDEV.S( tabConsumo[[#This Row],[QTD.PENDENTE]]:tabConsumo[[#This Row],[07_23]] ) * 2)</f>
        <v>2675.3397840025095</v>
      </c>
      <c r="W361" s="255">
        <f xml:space="preserve"> tabConsumo[[#This Row],[Média.A]] + (_xlfn.STDEV.S( tabConsumo[[#This Row],[QTD.PENDENTE]]:tabConsumo[[#This Row],[07_23]] ) * 3)</f>
        <v>3679.6763426704306</v>
      </c>
      <c r="X361" s="5">
        <f t="shared" si="11"/>
        <v>2</v>
      </c>
      <c r="Y361">
        <v>562.16666666666663</v>
      </c>
      <c r="Z361" s="257">
        <f>SUM( tabConsumo[[#This Row],[QTD.PENDENTE]]:tabConsumo[[#This Row],[07_23]] )</f>
        <v>8000</v>
      </c>
      <c r="AA361" s="257">
        <f>LARGE(tabConsumo[[#This Row],[08_22]:[07_23]],1)</f>
        <v>3929</v>
      </c>
      <c r="AB361" s="175" t="s">
        <v>2211</v>
      </c>
      <c r="AC361" s="3" t="s">
        <v>2064</v>
      </c>
    </row>
    <row r="362" spans="1:29" x14ac:dyDescent="0.3">
      <c r="A362" s="4" t="s">
        <v>1814</v>
      </c>
      <c r="B362" s="3" t="s">
        <v>281</v>
      </c>
      <c r="C362" s="2">
        <v>132290</v>
      </c>
      <c r="D362" s="2">
        <v>3536</v>
      </c>
      <c r="E362" s="2">
        <v>2</v>
      </c>
      <c r="F362" s="2">
        <v>372</v>
      </c>
      <c r="G362" s="2">
        <v>437</v>
      </c>
      <c r="H362" s="2">
        <v>441</v>
      </c>
      <c r="I362" s="2">
        <v>482</v>
      </c>
      <c r="J362" s="2">
        <v>308</v>
      </c>
      <c r="K362" s="2">
        <v>149</v>
      </c>
      <c r="L362" s="2">
        <v>323</v>
      </c>
      <c r="M362" s="2">
        <v>3921</v>
      </c>
      <c r="N362" s="2">
        <v>331</v>
      </c>
      <c r="O362" s="2">
        <v>442</v>
      </c>
      <c r="P362" s="2">
        <v>364</v>
      </c>
      <c r="Q362" s="2">
        <v>379</v>
      </c>
      <c r="R362" s="274">
        <v>42685</v>
      </c>
      <c r="S362" s="253">
        <v>12</v>
      </c>
      <c r="T362" s="254">
        <f>SUM( tabConsumo[[#This Row],[QTD.PENDENTE]]:tabConsumo[[#This Row],[07_23]] ) / tabConsumo[[#This Row],[Div]]</f>
        <v>662.58333333333337</v>
      </c>
      <c r="U362" s="255">
        <f xml:space="preserve"> tabConsumo[[#This Row],[Média.A]] + (_xlfn.STDEV.S( tabConsumo[[#This Row],[QTD.PENDENTE]]:tabConsumo[[#This Row],[07_23]] ) * 1)</f>
        <v>1665.4918152382991</v>
      </c>
      <c r="V362" s="255">
        <f xml:space="preserve"> tabConsumo[[#This Row],[Média.A]] + (_xlfn.STDEV.S( tabConsumo[[#This Row],[QTD.PENDENTE]]:tabConsumo[[#This Row],[07_23]] ) * 2)</f>
        <v>2668.4002971432647</v>
      </c>
      <c r="W362" s="255">
        <f xml:space="preserve"> tabConsumo[[#This Row],[Média.A]] + (_xlfn.STDEV.S( tabConsumo[[#This Row],[QTD.PENDENTE]]:tabConsumo[[#This Row],[07_23]] ) * 3)</f>
        <v>3671.3087790482305</v>
      </c>
      <c r="X362" s="5">
        <f t="shared" si="11"/>
        <v>2</v>
      </c>
      <c r="Y362">
        <v>558.16666666666663</v>
      </c>
      <c r="Z362" s="257">
        <f>SUM( tabConsumo[[#This Row],[QTD.PENDENTE]]:tabConsumo[[#This Row],[07_23]] )</f>
        <v>7951</v>
      </c>
      <c r="AA362" s="257">
        <f>LARGE(tabConsumo[[#This Row],[08_22]:[07_23]],1)</f>
        <v>3921</v>
      </c>
      <c r="AB362" s="175" t="s">
        <v>2211</v>
      </c>
      <c r="AC362" s="3" t="s">
        <v>2064</v>
      </c>
    </row>
    <row r="363" spans="1:29" x14ac:dyDescent="0.3">
      <c r="A363" s="4" t="s">
        <v>910</v>
      </c>
      <c r="B363" s="3" t="s">
        <v>281</v>
      </c>
      <c r="C363" s="2">
        <v>10547</v>
      </c>
      <c r="D363" s="2">
        <v>0</v>
      </c>
      <c r="E363" s="2">
        <v>1670</v>
      </c>
      <c r="F363" s="2">
        <v>0</v>
      </c>
      <c r="G363" s="2">
        <v>0</v>
      </c>
      <c r="H363" s="2">
        <v>0</v>
      </c>
      <c r="I363" s="2">
        <v>0</v>
      </c>
      <c r="J363" s="2">
        <v>4</v>
      </c>
      <c r="K363" s="2">
        <v>653</v>
      </c>
      <c r="L363" s="2">
        <v>1227</v>
      </c>
      <c r="M363" s="2">
        <v>11820</v>
      </c>
      <c r="N363" s="2">
        <v>1295</v>
      </c>
      <c r="O363" s="2">
        <v>114</v>
      </c>
      <c r="P363" s="2">
        <v>0</v>
      </c>
      <c r="Q363" s="2">
        <v>0</v>
      </c>
      <c r="R363" s="274">
        <v>367</v>
      </c>
      <c r="S363" s="253">
        <f xml:space="preserve"> 12</f>
        <v>12</v>
      </c>
      <c r="T363" s="254">
        <f>SUM( tabConsumo[[#This Row],[QTD.PENDENTE]]:tabConsumo[[#This Row],[07_23]] ) / tabConsumo[[#This Row],[Div]]</f>
        <v>1398.5833333333333</v>
      </c>
      <c r="U363" s="255">
        <f xml:space="preserve"> tabConsumo[[#This Row],[Média.A]] + (_xlfn.STDEV.S( tabConsumo[[#This Row],[QTD.PENDENTE]]:tabConsumo[[#This Row],[07_23]] ) * 1)</f>
        <v>4619.0442475504269</v>
      </c>
      <c r="V363" s="255">
        <f xml:space="preserve"> tabConsumo[[#This Row],[Média.A]] + (_xlfn.STDEV.S( tabConsumo[[#This Row],[QTD.PENDENTE]]:tabConsumo[[#This Row],[07_23]] ) * 2)</f>
        <v>7839.5051617675208</v>
      </c>
      <c r="W363" s="255">
        <f xml:space="preserve"> tabConsumo[[#This Row],[Média.A]] + (_xlfn.STDEV.S( tabConsumo[[#This Row],[QTD.PENDENTE]]:tabConsumo[[#This Row],[07_23]] ) * 3)</f>
        <v>11059.966075984616</v>
      </c>
      <c r="X363" s="5">
        <f t="shared" si="11"/>
        <v>2</v>
      </c>
      <c r="Y363">
        <v>1066.8333333333333</v>
      </c>
      <c r="Z363" s="257">
        <f>SUM( tabConsumo[[#This Row],[QTD.PENDENTE]]:tabConsumo[[#This Row],[07_23]] )</f>
        <v>16783</v>
      </c>
      <c r="AA363" s="257">
        <f>LARGE(tabConsumo[[#This Row],[08_22]:[07_23]],1)</f>
        <v>11820</v>
      </c>
      <c r="AB363" s="175" t="s">
        <v>2214</v>
      </c>
      <c r="AC363" s="3" t="s">
        <v>2064</v>
      </c>
    </row>
    <row r="364" spans="1:29" x14ac:dyDescent="0.3">
      <c r="A364" s="4" t="s">
        <v>1809</v>
      </c>
      <c r="B364" s="3" t="s">
        <v>31</v>
      </c>
      <c r="C364" s="2">
        <v>131930</v>
      </c>
      <c r="D364" s="2">
        <v>11504</v>
      </c>
      <c r="E364" s="2">
        <v>53</v>
      </c>
      <c r="F364" s="2">
        <v>1164</v>
      </c>
      <c r="G364" s="2">
        <v>1205</v>
      </c>
      <c r="H364" s="2">
        <v>1194</v>
      </c>
      <c r="I364" s="2">
        <v>1216</v>
      </c>
      <c r="J364" s="2">
        <v>852</v>
      </c>
      <c r="K364" s="2">
        <v>413</v>
      </c>
      <c r="L364" s="2">
        <v>867</v>
      </c>
      <c r="M364" s="2">
        <v>5008</v>
      </c>
      <c r="N364" s="2">
        <v>1131</v>
      </c>
      <c r="O364" s="2">
        <v>1286</v>
      </c>
      <c r="P364" s="2">
        <v>1148</v>
      </c>
      <c r="Q364" s="2">
        <v>1127</v>
      </c>
      <c r="R364" s="274">
        <v>42590</v>
      </c>
      <c r="S364" s="253">
        <v>12</v>
      </c>
      <c r="T364" s="254">
        <f>SUM( tabConsumo[[#This Row],[QTD.PENDENTE]]:tabConsumo[[#This Row],[07_23]] ) / tabConsumo[[#This Row],[Div]]</f>
        <v>1388.6666666666667</v>
      </c>
      <c r="U364" s="255">
        <f xml:space="preserve"> tabConsumo[[#This Row],[Média.A]] + (_xlfn.STDEV.S( tabConsumo[[#This Row],[QTD.PENDENTE]]:tabConsumo[[#This Row],[07_23]] ) * 1)</f>
        <v>2564.9090485870092</v>
      </c>
      <c r="V364" s="255">
        <f xml:space="preserve"> tabConsumo[[#This Row],[Média.A]] + (_xlfn.STDEV.S( tabConsumo[[#This Row],[QTD.PENDENTE]]:tabConsumo[[#This Row],[07_23]] ) * 2)</f>
        <v>3741.1514305073515</v>
      </c>
      <c r="W364" s="255">
        <f xml:space="preserve"> tabConsumo[[#This Row],[Média.A]] + (_xlfn.STDEV.S( tabConsumo[[#This Row],[QTD.PENDENTE]]:tabConsumo[[#This Row],[07_23]] ) * 3)</f>
        <v>4917.3938124276947</v>
      </c>
      <c r="X364" s="5">
        <f t="shared" si="11"/>
        <v>2</v>
      </c>
      <c r="Y364">
        <v>1283.0833333333333</v>
      </c>
      <c r="Z364" s="257">
        <f>SUM( tabConsumo[[#This Row],[QTD.PENDENTE]]:tabConsumo[[#This Row],[07_23]] )</f>
        <v>16664</v>
      </c>
      <c r="AA364" s="257">
        <f>LARGE(tabConsumo[[#This Row],[08_22]:[07_23]],1)</f>
        <v>5008</v>
      </c>
      <c r="AB364" s="175" t="s">
        <v>2211</v>
      </c>
      <c r="AC364" s="3" t="s">
        <v>2064</v>
      </c>
    </row>
    <row r="365" spans="1:29" x14ac:dyDescent="0.3">
      <c r="A365" s="4" t="s">
        <v>1815</v>
      </c>
      <c r="B365" s="3" t="s">
        <v>281</v>
      </c>
      <c r="C365" s="2">
        <v>132296</v>
      </c>
      <c r="D365" s="2">
        <v>5620</v>
      </c>
      <c r="E365" s="2">
        <v>569</v>
      </c>
      <c r="F365" s="2">
        <v>476</v>
      </c>
      <c r="G365" s="2">
        <v>0</v>
      </c>
      <c r="H365" s="2">
        <v>0</v>
      </c>
      <c r="I365" s="2">
        <v>0</v>
      </c>
      <c r="J365" s="2">
        <v>0</v>
      </c>
      <c r="K365" s="2">
        <v>0</v>
      </c>
      <c r="L365" s="2">
        <v>0</v>
      </c>
      <c r="M365" s="2">
        <v>588</v>
      </c>
      <c r="N365" s="2">
        <v>863</v>
      </c>
      <c r="O365" s="2">
        <v>1018</v>
      </c>
      <c r="P365" s="2">
        <v>1039</v>
      </c>
      <c r="Q365" s="2">
        <v>858</v>
      </c>
      <c r="R365" s="274">
        <v>42685</v>
      </c>
      <c r="S365" s="253">
        <v>12</v>
      </c>
      <c r="T365" s="254">
        <f>SUM( tabConsumo[[#This Row],[QTD.PENDENTE]]:tabConsumo[[#This Row],[07_23]] ) / tabConsumo[[#This Row],[Div]]</f>
        <v>450.91666666666669</v>
      </c>
      <c r="U365" s="255">
        <f xml:space="preserve"> tabConsumo[[#This Row],[Média.A]] + (_xlfn.STDEV.S( tabConsumo[[#This Row],[QTD.PENDENTE]]:tabConsumo[[#This Row],[07_23]] ) * 1)</f>
        <v>883.02721460668818</v>
      </c>
      <c r="V365" s="255">
        <f xml:space="preserve"> tabConsumo[[#This Row],[Média.A]] + (_xlfn.STDEV.S( tabConsumo[[#This Row],[QTD.PENDENTE]]:tabConsumo[[#This Row],[07_23]] ) * 2)</f>
        <v>1315.1377625467096</v>
      </c>
      <c r="W365" s="255">
        <f xml:space="preserve"> tabConsumo[[#This Row],[Média.A]] + (_xlfn.STDEV.S( tabConsumo[[#This Row],[QTD.PENDENTE]]:tabConsumo[[#This Row],[07_23]] ) * 3)</f>
        <v>1747.2483104867313</v>
      </c>
      <c r="X365" s="5">
        <f t="shared" si="11"/>
        <v>2</v>
      </c>
      <c r="Y365">
        <v>450.91666666666669</v>
      </c>
      <c r="Z365" s="257">
        <f>SUM( tabConsumo[[#This Row],[QTD.PENDENTE]]:tabConsumo[[#This Row],[07_23]] )</f>
        <v>5411</v>
      </c>
      <c r="AA365" s="257">
        <f>LARGE(tabConsumo[[#This Row],[08_22]:[07_23]],1)</f>
        <v>1039</v>
      </c>
      <c r="AB365" s="175" t="s">
        <v>2211</v>
      </c>
      <c r="AC365" s="3" t="s">
        <v>2064</v>
      </c>
    </row>
    <row r="366" spans="1:29" x14ac:dyDescent="0.3">
      <c r="A366" s="4" t="s">
        <v>1816</v>
      </c>
      <c r="B366" s="3" t="s">
        <v>281</v>
      </c>
      <c r="C366" s="2">
        <v>132297</v>
      </c>
      <c r="D366" s="2">
        <v>3707</v>
      </c>
      <c r="E366" s="2">
        <v>831</v>
      </c>
      <c r="F366" s="2">
        <v>1387</v>
      </c>
      <c r="G366" s="2">
        <v>1421</v>
      </c>
      <c r="H366" s="2">
        <v>1621</v>
      </c>
      <c r="I366" s="2">
        <v>1631</v>
      </c>
      <c r="J366" s="2">
        <v>1125</v>
      </c>
      <c r="K366" s="2">
        <v>677</v>
      </c>
      <c r="L366" s="2">
        <v>1240</v>
      </c>
      <c r="M366" s="2">
        <v>7873</v>
      </c>
      <c r="N366" s="2">
        <v>1451</v>
      </c>
      <c r="O366" s="2">
        <v>1639</v>
      </c>
      <c r="P366" s="2">
        <v>1557</v>
      </c>
      <c r="Q366" s="2">
        <v>1543</v>
      </c>
      <c r="R366" s="274">
        <v>42685</v>
      </c>
      <c r="S366" s="253">
        <v>12</v>
      </c>
      <c r="T366" s="254">
        <f>SUM( tabConsumo[[#This Row],[QTD.PENDENTE]]:tabConsumo[[#This Row],[07_23]] ) / tabConsumo[[#This Row],[Div]]</f>
        <v>1999.6666666666667</v>
      </c>
      <c r="U366" s="255">
        <f xml:space="preserve"> tabConsumo[[#This Row],[Média.A]] + (_xlfn.STDEV.S( tabConsumo[[#This Row],[QTD.PENDENTE]]:tabConsumo[[#This Row],[07_23]] ) * 1)</f>
        <v>3836.1250265791118</v>
      </c>
      <c r="V366" s="255">
        <f xml:space="preserve"> tabConsumo[[#This Row],[Média.A]] + (_xlfn.STDEV.S( tabConsumo[[#This Row],[QTD.PENDENTE]]:tabConsumo[[#This Row],[07_23]] ) * 2)</f>
        <v>5672.5833864915567</v>
      </c>
      <c r="W366" s="255">
        <f xml:space="preserve"> tabConsumo[[#This Row],[Média.A]] + (_xlfn.STDEV.S( tabConsumo[[#This Row],[QTD.PENDENTE]]:tabConsumo[[#This Row],[07_23]] ) * 3)</f>
        <v>7509.041746404002</v>
      </c>
      <c r="X366" s="5">
        <f t="shared" si="11"/>
        <v>2</v>
      </c>
      <c r="Y366">
        <v>1816.25</v>
      </c>
      <c r="Z366" s="257">
        <f>SUM( tabConsumo[[#This Row],[QTD.PENDENTE]]:tabConsumo[[#This Row],[07_23]] )</f>
        <v>23996</v>
      </c>
      <c r="AA366" s="257">
        <f>LARGE(tabConsumo[[#This Row],[08_22]:[07_23]],1)</f>
        <v>7873</v>
      </c>
      <c r="AB366" s="175" t="s">
        <v>2211</v>
      </c>
      <c r="AC366" s="3" t="s">
        <v>2064</v>
      </c>
    </row>
    <row r="367" spans="1:29" x14ac:dyDescent="0.3">
      <c r="A367" s="4" t="s">
        <v>1877</v>
      </c>
      <c r="B367" s="3" t="s">
        <v>281</v>
      </c>
      <c r="C367" s="2">
        <v>134556</v>
      </c>
      <c r="D367" s="2">
        <v>0</v>
      </c>
      <c r="E367" s="2">
        <v>9</v>
      </c>
      <c r="F367" s="2">
        <v>40</v>
      </c>
      <c r="G367" s="2">
        <v>50</v>
      </c>
      <c r="H367" s="2">
        <v>60</v>
      </c>
      <c r="I367" s="2">
        <v>10</v>
      </c>
      <c r="J367" s="2">
        <v>23</v>
      </c>
      <c r="K367" s="2">
        <v>0</v>
      </c>
      <c r="L367" s="2">
        <v>0</v>
      </c>
      <c r="M367" s="2">
        <v>0</v>
      </c>
      <c r="N367" s="2">
        <v>0</v>
      </c>
      <c r="O367" s="2">
        <v>0</v>
      </c>
      <c r="P367" s="2">
        <v>0</v>
      </c>
      <c r="Q367" s="2">
        <v>0</v>
      </c>
      <c r="R367" s="274">
        <v>43174</v>
      </c>
      <c r="S367" s="253">
        <v>12</v>
      </c>
      <c r="T367" s="254">
        <f>SUM( tabConsumo[[#This Row],[QTD.PENDENTE]]:tabConsumo[[#This Row],[07_23]] ) / tabConsumo[[#This Row],[Div]]</f>
        <v>16</v>
      </c>
      <c r="U367" s="255">
        <f xml:space="preserve"> tabConsumo[[#This Row],[Média.A]] + (_xlfn.STDEV.S( tabConsumo[[#This Row],[QTD.PENDENTE]]:tabConsumo[[#This Row],[07_23]] ) * 1)</f>
        <v>37.552856910990734</v>
      </c>
      <c r="V367" s="255">
        <f xml:space="preserve"> tabConsumo[[#This Row],[Média.A]] + (_xlfn.STDEV.S( tabConsumo[[#This Row],[QTD.PENDENTE]]:tabConsumo[[#This Row],[07_23]] ) * 2)</f>
        <v>59.105713821981468</v>
      </c>
      <c r="W367" s="255">
        <f xml:space="preserve"> tabConsumo[[#This Row],[Média.A]] + (_xlfn.STDEV.S( tabConsumo[[#This Row],[QTD.PENDENTE]]:tabConsumo[[#This Row],[07_23]] ) * 3)</f>
        <v>80.658570732972208</v>
      </c>
      <c r="X367" s="5">
        <f t="shared" si="11"/>
        <v>2</v>
      </c>
      <c r="Y367">
        <v>15.916666666666666</v>
      </c>
      <c r="Z367" s="257">
        <f>SUM( tabConsumo[[#This Row],[QTD.PENDENTE]]:tabConsumo[[#This Row],[07_23]] )</f>
        <v>192</v>
      </c>
      <c r="AA367" s="257">
        <f>LARGE(tabConsumo[[#This Row],[08_22]:[07_23]],1)</f>
        <v>60</v>
      </c>
      <c r="AB367" s="175" t="s">
        <v>2222</v>
      </c>
      <c r="AC367" s="3" t="s">
        <v>2064</v>
      </c>
    </row>
    <row r="368" spans="1:29" x14ac:dyDescent="0.3">
      <c r="A368" s="4" t="s">
        <v>1795</v>
      </c>
      <c r="B368" s="3" t="s">
        <v>281</v>
      </c>
      <c r="C368" s="2">
        <v>130618</v>
      </c>
      <c r="D368" s="2">
        <v>0</v>
      </c>
      <c r="E368" s="2">
        <v>29</v>
      </c>
      <c r="F368" s="2">
        <v>10</v>
      </c>
      <c r="G368" s="2">
        <v>0</v>
      </c>
      <c r="H368" s="2">
        <v>20</v>
      </c>
      <c r="I368" s="2">
        <v>0</v>
      </c>
      <c r="J368" s="2">
        <v>0</v>
      </c>
      <c r="K368" s="2">
        <v>20</v>
      </c>
      <c r="L368" s="2">
        <v>31</v>
      </c>
      <c r="M368" s="2">
        <v>0</v>
      </c>
      <c r="N368" s="2">
        <v>0</v>
      </c>
      <c r="O368" s="2">
        <v>0</v>
      </c>
      <c r="P368" s="2">
        <v>0</v>
      </c>
      <c r="Q368" s="2">
        <v>0</v>
      </c>
      <c r="R368" s="274">
        <v>42201</v>
      </c>
      <c r="S368" s="253">
        <v>12</v>
      </c>
      <c r="T368" s="254">
        <f>SUM( tabConsumo[[#This Row],[QTD.PENDENTE]]:tabConsumo[[#This Row],[07_23]] ) / tabConsumo[[#This Row],[Div]]</f>
        <v>9.1666666666666661</v>
      </c>
      <c r="U368" s="255">
        <f xml:space="preserve"> tabConsumo[[#This Row],[Média.A]] + (_xlfn.STDEV.S( tabConsumo[[#This Row],[QTD.PENDENTE]]:tabConsumo[[#This Row],[07_23]] ) * 1)</f>
        <v>21.315846231664629</v>
      </c>
      <c r="V368" s="255">
        <f xml:space="preserve"> tabConsumo[[#This Row],[Média.A]] + (_xlfn.STDEV.S( tabConsumo[[#This Row],[QTD.PENDENTE]]:tabConsumo[[#This Row],[07_23]] ) * 2)</f>
        <v>33.465025796662594</v>
      </c>
      <c r="W368" s="255">
        <f xml:space="preserve"> tabConsumo[[#This Row],[Média.A]] + (_xlfn.STDEV.S( tabConsumo[[#This Row],[QTD.PENDENTE]]:tabConsumo[[#This Row],[07_23]] ) * 3)</f>
        <v>45.614205361660552</v>
      </c>
      <c r="X368" s="5">
        <f t="shared" si="11"/>
        <v>2</v>
      </c>
      <c r="Y368">
        <v>9.1666666666666661</v>
      </c>
      <c r="Z368" s="257">
        <f>SUM( tabConsumo[[#This Row],[QTD.PENDENTE]]:tabConsumo[[#This Row],[07_23]] )</f>
        <v>110</v>
      </c>
      <c r="AA368" s="257">
        <f>LARGE(tabConsumo[[#This Row],[08_22]:[07_23]],1)</f>
        <v>31</v>
      </c>
      <c r="AB368" s="175" t="s">
        <v>2221</v>
      </c>
      <c r="AC368" s="3" t="s">
        <v>2064</v>
      </c>
    </row>
    <row r="369" spans="1:29" x14ac:dyDescent="0.3">
      <c r="A369" s="4" t="s">
        <v>1551</v>
      </c>
      <c r="B369" s="3" t="s">
        <v>281</v>
      </c>
      <c r="C369" s="2">
        <v>98359</v>
      </c>
      <c r="D369" s="2">
        <v>66</v>
      </c>
      <c r="F369" s="2">
        <v>6</v>
      </c>
      <c r="G369" s="2">
        <v>3</v>
      </c>
      <c r="H369" s="2">
        <v>0</v>
      </c>
      <c r="I369" s="2">
        <v>1</v>
      </c>
      <c r="J369" s="2">
        <v>2</v>
      </c>
      <c r="K369" s="2">
        <v>8</v>
      </c>
      <c r="L369" s="2">
        <v>0</v>
      </c>
      <c r="M369" s="2">
        <v>0</v>
      </c>
      <c r="N369" s="2">
        <v>0</v>
      </c>
      <c r="O369" s="2">
        <v>0</v>
      </c>
      <c r="P369" s="2">
        <v>0</v>
      </c>
      <c r="Q369" s="2">
        <v>10</v>
      </c>
      <c r="R369" s="274">
        <v>39168</v>
      </c>
      <c r="S369" s="253">
        <v>12</v>
      </c>
      <c r="T369" s="254">
        <f>SUM( tabConsumo[[#This Row],[QTD.PENDENTE]]:tabConsumo[[#This Row],[07_23]] ) / tabConsumo[[#This Row],[Div]]</f>
        <v>2.5</v>
      </c>
      <c r="U369" s="255">
        <f xml:space="preserve"> tabConsumo[[#This Row],[Média.A]] + (_xlfn.STDEV.S( tabConsumo[[#This Row],[QTD.PENDENTE]]:tabConsumo[[#This Row],[07_23]] ) * 1)</f>
        <v>6.0547663265485729</v>
      </c>
      <c r="V369" s="255">
        <f xml:space="preserve"> tabConsumo[[#This Row],[Média.A]] + (_xlfn.STDEV.S( tabConsumo[[#This Row],[QTD.PENDENTE]]:tabConsumo[[#This Row],[07_23]] ) * 2)</f>
        <v>9.6095326530971459</v>
      </c>
      <c r="W369" s="255">
        <f xml:space="preserve"> tabConsumo[[#This Row],[Média.A]] + (_xlfn.STDEV.S( tabConsumo[[#This Row],[QTD.PENDENTE]]:tabConsumo[[#This Row],[07_23]] ) * 3)</f>
        <v>13.164298979645718</v>
      </c>
      <c r="X369" s="5">
        <f t="shared" si="11"/>
        <v>2</v>
      </c>
      <c r="Y369">
        <v>2.4166666666666665</v>
      </c>
      <c r="Z369" s="257">
        <f>SUM( tabConsumo[[#This Row],[QTD.PENDENTE]]:tabConsumo[[#This Row],[07_23]] )</f>
        <v>30</v>
      </c>
      <c r="AA369" s="257">
        <f>LARGE(tabConsumo[[#This Row],[08_22]:[07_23]],1)</f>
        <v>10</v>
      </c>
      <c r="AB369" s="175" t="s">
        <v>2211</v>
      </c>
      <c r="AC369" s="3" t="s">
        <v>2064</v>
      </c>
    </row>
    <row r="370" spans="1:29" x14ac:dyDescent="0.3">
      <c r="A370" s="4" t="s">
        <v>992</v>
      </c>
      <c r="B370" s="3" t="s">
        <v>281</v>
      </c>
      <c r="C370" s="2">
        <v>13064</v>
      </c>
      <c r="D370" s="2">
        <v>877</v>
      </c>
      <c r="F370" s="2">
        <v>169</v>
      </c>
      <c r="G370" s="2">
        <v>195</v>
      </c>
      <c r="H370" s="2">
        <v>156</v>
      </c>
      <c r="I370" s="2">
        <v>108</v>
      </c>
      <c r="J370" s="2">
        <v>104</v>
      </c>
      <c r="K370" s="2">
        <v>100</v>
      </c>
      <c r="L370" s="2">
        <v>153</v>
      </c>
      <c r="M370" s="2">
        <v>316</v>
      </c>
      <c r="N370" s="2">
        <v>158</v>
      </c>
      <c r="O370" s="2">
        <v>199</v>
      </c>
      <c r="P370" s="2">
        <v>180</v>
      </c>
      <c r="Q370" s="2">
        <v>122</v>
      </c>
      <c r="R370" s="274">
        <v>367</v>
      </c>
      <c r="S370" s="253">
        <f xml:space="preserve"> 12</f>
        <v>12</v>
      </c>
      <c r="T370" s="254">
        <f>SUM( tabConsumo[[#This Row],[QTD.PENDENTE]]:tabConsumo[[#This Row],[07_23]] ) / tabConsumo[[#This Row],[Div]]</f>
        <v>163.33333333333334</v>
      </c>
      <c r="U370" s="255">
        <f xml:space="preserve"> tabConsumo[[#This Row],[Média.A]] + (_xlfn.STDEV.S( tabConsumo[[#This Row],[QTD.PENDENTE]]:tabConsumo[[#This Row],[07_23]] ) * 1)</f>
        <v>222.40391258674288</v>
      </c>
      <c r="V370" s="255">
        <f xml:space="preserve"> tabConsumo[[#This Row],[Média.A]] + (_xlfn.STDEV.S( tabConsumo[[#This Row],[QTD.PENDENTE]]:tabConsumo[[#This Row],[07_23]] ) * 2)</f>
        <v>281.47449184015238</v>
      </c>
      <c r="W370" s="255">
        <f xml:space="preserve"> tabConsumo[[#This Row],[Média.A]] + (_xlfn.STDEV.S( tabConsumo[[#This Row],[QTD.PENDENTE]]:tabConsumo[[#This Row],[07_23]] ) * 3)</f>
        <v>340.54507109356189</v>
      </c>
      <c r="X370" s="5">
        <f t="shared" si="11"/>
        <v>2</v>
      </c>
      <c r="Y370">
        <v>160.41666666666666</v>
      </c>
      <c r="Z370" s="257">
        <f>SUM( tabConsumo[[#This Row],[QTD.PENDENTE]]:tabConsumo[[#This Row],[07_23]] )</f>
        <v>1960</v>
      </c>
      <c r="AA370" s="257">
        <f>LARGE(tabConsumo[[#This Row],[08_22]:[07_23]],1)</f>
        <v>316</v>
      </c>
      <c r="AB370" s="175" t="s">
        <v>2211</v>
      </c>
      <c r="AC370" s="3" t="s">
        <v>2064</v>
      </c>
    </row>
    <row r="371" spans="1:29" x14ac:dyDescent="0.3">
      <c r="A371" s="4" t="s">
        <v>1069</v>
      </c>
      <c r="B371" s="3" t="s">
        <v>281</v>
      </c>
      <c r="C371" s="2">
        <v>14754</v>
      </c>
      <c r="D371" s="2">
        <v>61</v>
      </c>
      <c r="F371" s="2">
        <v>1</v>
      </c>
      <c r="G371" s="2">
        <v>1</v>
      </c>
      <c r="H371" s="2">
        <v>3</v>
      </c>
      <c r="I371" s="2">
        <v>2</v>
      </c>
      <c r="J371" s="2">
        <v>1</v>
      </c>
      <c r="K371" s="2">
        <v>2</v>
      </c>
      <c r="L371" s="2">
        <v>3</v>
      </c>
      <c r="M371" s="2">
        <v>3</v>
      </c>
      <c r="N371" s="2">
        <v>4</v>
      </c>
      <c r="O371" s="2">
        <v>2</v>
      </c>
      <c r="P371" s="2">
        <v>0</v>
      </c>
      <c r="Q371" s="2">
        <v>10</v>
      </c>
      <c r="R371" s="274">
        <v>367</v>
      </c>
      <c r="S371" s="253">
        <f xml:space="preserve"> 12</f>
        <v>12</v>
      </c>
      <c r="T371" s="254">
        <f>SUM( tabConsumo[[#This Row],[QTD.PENDENTE]]:tabConsumo[[#This Row],[07_23]] ) / tabConsumo[[#This Row],[Div]]</f>
        <v>2.6666666666666665</v>
      </c>
      <c r="U371" s="255">
        <f xml:space="preserve"> tabConsumo[[#This Row],[Média.A]] + (_xlfn.STDEV.S( tabConsumo[[#This Row],[QTD.PENDENTE]]:tabConsumo[[#This Row],[07_23]] ) * 1)</f>
        <v>5.2368924555927308</v>
      </c>
      <c r="V371" s="255">
        <f xml:space="preserve"> tabConsumo[[#This Row],[Média.A]] + (_xlfn.STDEV.S( tabConsumo[[#This Row],[QTD.PENDENTE]]:tabConsumo[[#This Row],[07_23]] ) * 2)</f>
        <v>7.8071182445187937</v>
      </c>
      <c r="W371" s="255">
        <f xml:space="preserve"> tabConsumo[[#This Row],[Média.A]] + (_xlfn.STDEV.S( tabConsumo[[#This Row],[QTD.PENDENTE]]:tabConsumo[[#This Row],[07_23]] ) * 3)</f>
        <v>10.377344033444858</v>
      </c>
      <c r="X371" s="5">
        <f t="shared" si="11"/>
        <v>2</v>
      </c>
      <c r="Y371">
        <v>2.4166666666666665</v>
      </c>
      <c r="Z371" s="257">
        <f>SUM( tabConsumo[[#This Row],[QTD.PENDENTE]]:tabConsumo[[#This Row],[07_23]] )</f>
        <v>32</v>
      </c>
      <c r="AA371" s="257">
        <f>LARGE(tabConsumo[[#This Row],[08_22]:[07_23]],1)</f>
        <v>10</v>
      </c>
      <c r="AB371" s="175" t="s">
        <v>2211</v>
      </c>
      <c r="AC371" s="3" t="s">
        <v>2064</v>
      </c>
    </row>
    <row r="372" spans="1:29" x14ac:dyDescent="0.3">
      <c r="A372" s="4" t="s">
        <v>1076</v>
      </c>
      <c r="B372" s="3" t="s">
        <v>281</v>
      </c>
      <c r="C372" s="2">
        <v>14921</v>
      </c>
      <c r="D372" s="2">
        <v>616</v>
      </c>
      <c r="F372" s="2">
        <v>97</v>
      </c>
      <c r="G372" s="2">
        <v>124</v>
      </c>
      <c r="H372" s="2">
        <v>95</v>
      </c>
      <c r="I372" s="2">
        <v>87</v>
      </c>
      <c r="J372" s="2">
        <v>114</v>
      </c>
      <c r="K372" s="2">
        <v>117</v>
      </c>
      <c r="L372" s="2">
        <v>91</v>
      </c>
      <c r="M372" s="2">
        <v>125</v>
      </c>
      <c r="N372" s="2">
        <v>155</v>
      </c>
      <c r="O372" s="2">
        <v>39</v>
      </c>
      <c r="P372" s="2">
        <v>100</v>
      </c>
      <c r="Q372" s="2">
        <v>129</v>
      </c>
      <c r="R372" s="274">
        <v>367</v>
      </c>
      <c r="S372" s="253">
        <f xml:space="preserve"> 12</f>
        <v>12</v>
      </c>
      <c r="T372" s="254">
        <f>SUM( tabConsumo[[#This Row],[QTD.PENDENTE]]:tabConsumo[[#This Row],[07_23]] ) / tabConsumo[[#This Row],[Div]]</f>
        <v>106.08333333333333</v>
      </c>
      <c r="U372" s="255">
        <f xml:space="preserve"> tabConsumo[[#This Row],[Média.A]] + (_xlfn.STDEV.S( tabConsumo[[#This Row],[QTD.PENDENTE]]:tabConsumo[[#This Row],[07_23]] ) * 1)</f>
        <v>134.86608806072121</v>
      </c>
      <c r="V372" s="255">
        <f xml:space="preserve"> tabConsumo[[#This Row],[Média.A]] + (_xlfn.STDEV.S( tabConsumo[[#This Row],[QTD.PENDENTE]]:tabConsumo[[#This Row],[07_23]] ) * 2)</f>
        <v>163.64884278810908</v>
      </c>
      <c r="W372" s="255">
        <f xml:space="preserve"> tabConsumo[[#This Row],[Média.A]] + (_xlfn.STDEV.S( tabConsumo[[#This Row],[QTD.PENDENTE]]:tabConsumo[[#This Row],[07_23]] ) * 3)</f>
        <v>192.43159751549695</v>
      </c>
      <c r="X372" s="5">
        <f t="shared" si="11"/>
        <v>2</v>
      </c>
      <c r="Y372">
        <v>106.08333333333333</v>
      </c>
      <c r="Z372" s="257">
        <f>SUM( tabConsumo[[#This Row],[QTD.PENDENTE]]:tabConsumo[[#This Row],[07_23]] )</f>
        <v>1273</v>
      </c>
      <c r="AA372" s="257">
        <f>LARGE(tabConsumo[[#This Row],[08_22]:[07_23]],1)</f>
        <v>155</v>
      </c>
      <c r="AB372" s="175" t="s">
        <v>2211</v>
      </c>
      <c r="AC372" s="3" t="s">
        <v>2064</v>
      </c>
    </row>
    <row r="373" spans="1:29" x14ac:dyDescent="0.3">
      <c r="A373" s="4" t="s">
        <v>1834</v>
      </c>
      <c r="B373" s="3" t="s">
        <v>281</v>
      </c>
      <c r="C373" s="2">
        <v>132751</v>
      </c>
      <c r="D373" s="2">
        <v>3</v>
      </c>
      <c r="F373" s="2">
        <v>1</v>
      </c>
      <c r="G373" s="2">
        <v>0</v>
      </c>
      <c r="H373" s="2">
        <v>0</v>
      </c>
      <c r="I373" s="2">
        <v>0</v>
      </c>
      <c r="J373" s="2">
        <v>0</v>
      </c>
      <c r="K373" s="2">
        <v>1</v>
      </c>
      <c r="L373" s="2">
        <v>0</v>
      </c>
      <c r="M373" s="2">
        <v>0</v>
      </c>
      <c r="N373" s="2">
        <v>0</v>
      </c>
      <c r="O373" s="2">
        <v>0</v>
      </c>
      <c r="P373" s="2">
        <v>0</v>
      </c>
      <c r="Q373" s="2">
        <v>0</v>
      </c>
      <c r="R373" s="274">
        <v>42892</v>
      </c>
      <c r="S373" s="253">
        <v>12</v>
      </c>
      <c r="T373" s="254">
        <f>SUM( tabConsumo[[#This Row],[QTD.PENDENTE]]:tabConsumo[[#This Row],[07_23]] ) / tabConsumo[[#This Row],[Div]]</f>
        <v>0.16666666666666666</v>
      </c>
      <c r="U373" s="255">
        <f xml:space="preserve"> tabConsumo[[#This Row],[Média.A]] + (_xlfn.STDEV.S( tabConsumo[[#This Row],[QTD.PENDENTE]]:tabConsumo[[#This Row],[07_23]] ) * 1)</f>
        <v>0.55591613874742818</v>
      </c>
      <c r="V373" s="255">
        <f xml:space="preserve"> tabConsumo[[#This Row],[Média.A]] + (_xlfn.STDEV.S( tabConsumo[[#This Row],[QTD.PENDENTE]]:tabConsumo[[#This Row],[07_23]] ) * 2)</f>
        <v>0.94516561082818962</v>
      </c>
      <c r="W373" s="255">
        <f xml:space="preserve"> tabConsumo[[#This Row],[Média.A]] + (_xlfn.STDEV.S( tabConsumo[[#This Row],[QTD.PENDENTE]]:tabConsumo[[#This Row],[07_23]] ) * 3)</f>
        <v>1.3344150829089512</v>
      </c>
      <c r="X373" s="5">
        <f t="shared" si="11"/>
        <v>2</v>
      </c>
      <c r="Y373">
        <v>0</v>
      </c>
      <c r="Z373" s="257">
        <f>SUM( tabConsumo[[#This Row],[QTD.PENDENTE]]:tabConsumo[[#This Row],[07_23]] )</f>
        <v>2</v>
      </c>
      <c r="AA373" s="257">
        <f>LARGE(tabConsumo[[#This Row],[08_22]:[07_23]],1)</f>
        <v>1</v>
      </c>
      <c r="AB373" s="175" t="s">
        <v>2220</v>
      </c>
      <c r="AC373" s="3" t="s">
        <v>2064</v>
      </c>
    </row>
    <row r="374" spans="1:29" x14ac:dyDescent="0.3">
      <c r="A374" s="4" t="s">
        <v>1526</v>
      </c>
      <c r="B374" s="3" t="s">
        <v>281</v>
      </c>
      <c r="C374" s="2">
        <v>93139</v>
      </c>
      <c r="D374" s="2">
        <v>138</v>
      </c>
      <c r="F374" s="2">
        <v>9</v>
      </c>
      <c r="G374" s="2">
        <v>16</v>
      </c>
      <c r="H374" s="2">
        <v>12</v>
      </c>
      <c r="I374" s="2">
        <v>12</v>
      </c>
      <c r="J374" s="2">
        <v>5</v>
      </c>
      <c r="K374" s="2">
        <v>12</v>
      </c>
      <c r="L374" s="2">
        <v>4</v>
      </c>
      <c r="M374" s="2">
        <v>8</v>
      </c>
      <c r="N374" s="2">
        <v>11</v>
      </c>
      <c r="O374" s="2">
        <v>61</v>
      </c>
      <c r="P374" s="2">
        <v>3</v>
      </c>
      <c r="Q374" s="2">
        <v>0</v>
      </c>
      <c r="R374" s="274">
        <v>38912</v>
      </c>
      <c r="S374" s="253">
        <v>12</v>
      </c>
      <c r="T374" s="254">
        <f>SUM( tabConsumo[[#This Row],[QTD.PENDENTE]]:tabConsumo[[#This Row],[07_23]] ) / tabConsumo[[#This Row],[Div]]</f>
        <v>12.75</v>
      </c>
      <c r="U374" s="255">
        <f xml:space="preserve"> tabConsumo[[#This Row],[Média.A]] + (_xlfn.STDEV.S( tabConsumo[[#This Row],[QTD.PENDENTE]]:tabConsumo[[#This Row],[07_23]] ) * 1)</f>
        <v>28.630949135821368</v>
      </c>
      <c r="V374" s="255">
        <f xml:space="preserve"> tabConsumo[[#This Row],[Média.A]] + (_xlfn.STDEV.S( tabConsumo[[#This Row],[QTD.PENDENTE]]:tabConsumo[[#This Row],[07_23]] ) * 2)</f>
        <v>44.511898271642735</v>
      </c>
      <c r="W374" s="255">
        <f xml:space="preserve"> tabConsumo[[#This Row],[Média.A]] + (_xlfn.STDEV.S( tabConsumo[[#This Row],[QTD.PENDENTE]]:tabConsumo[[#This Row],[07_23]] ) * 3)</f>
        <v>60.392847407464103</v>
      </c>
      <c r="X374" s="5">
        <f t="shared" si="11"/>
        <v>2</v>
      </c>
      <c r="Y374">
        <v>11.333333333333334</v>
      </c>
      <c r="Z374" s="257">
        <f>SUM( tabConsumo[[#This Row],[QTD.PENDENTE]]:tabConsumo[[#This Row],[07_23]] )</f>
        <v>153</v>
      </c>
      <c r="AA374" s="257">
        <f>LARGE(tabConsumo[[#This Row],[08_22]:[07_23]],1)</f>
        <v>61</v>
      </c>
      <c r="AB374" s="175" t="s">
        <v>2212</v>
      </c>
      <c r="AC374" s="3" t="s">
        <v>2064</v>
      </c>
    </row>
    <row r="375" spans="1:29" x14ac:dyDescent="0.3">
      <c r="A375" s="4" t="s">
        <v>1277</v>
      </c>
      <c r="B375" s="3" t="s">
        <v>31</v>
      </c>
      <c r="C375" s="2">
        <v>42566</v>
      </c>
      <c r="D375" s="2">
        <v>49</v>
      </c>
      <c r="F375" s="2">
        <v>1</v>
      </c>
      <c r="G375" s="2">
        <v>1</v>
      </c>
      <c r="H375" s="2">
        <v>0</v>
      </c>
      <c r="I375" s="2">
        <v>1</v>
      </c>
      <c r="J375" s="2">
        <v>0</v>
      </c>
      <c r="K375" s="2">
        <v>2</v>
      </c>
      <c r="L375" s="2">
        <v>14</v>
      </c>
      <c r="M375" s="2">
        <v>0</v>
      </c>
      <c r="N375" s="2">
        <v>1</v>
      </c>
      <c r="O375" s="2">
        <v>0</v>
      </c>
      <c r="P375" s="2">
        <v>0</v>
      </c>
      <c r="Q375" s="2">
        <v>0</v>
      </c>
      <c r="R375" s="274">
        <v>367</v>
      </c>
      <c r="S375" s="253">
        <f xml:space="preserve"> 12</f>
        <v>12</v>
      </c>
      <c r="T375" s="254">
        <f>SUM( tabConsumo[[#This Row],[QTD.PENDENTE]]:tabConsumo[[#This Row],[07_23]] ) / tabConsumo[[#This Row],[Div]]</f>
        <v>1.6666666666666667</v>
      </c>
      <c r="U375" s="255">
        <f xml:space="preserve"> tabConsumo[[#This Row],[Média.A]] + (_xlfn.STDEV.S( tabConsumo[[#This Row],[QTD.PENDENTE]]:tabConsumo[[#This Row],[07_23]] ) * 1)</f>
        <v>5.6055943780053141</v>
      </c>
      <c r="V375" s="255">
        <f xml:space="preserve"> tabConsumo[[#This Row],[Média.A]] + (_xlfn.STDEV.S( tabConsumo[[#This Row],[QTD.PENDENTE]]:tabConsumo[[#This Row],[07_23]] ) * 2)</f>
        <v>9.5445220893439604</v>
      </c>
      <c r="W375" s="255">
        <f xml:space="preserve"> tabConsumo[[#This Row],[Média.A]] + (_xlfn.STDEV.S( tabConsumo[[#This Row],[QTD.PENDENTE]]:tabConsumo[[#This Row],[07_23]] ) * 3)</f>
        <v>13.483449800682608</v>
      </c>
      <c r="X375" s="5">
        <f t="shared" si="11"/>
        <v>2</v>
      </c>
      <c r="Y375">
        <v>1.25</v>
      </c>
      <c r="Z375" s="257">
        <f>SUM( tabConsumo[[#This Row],[QTD.PENDENTE]]:tabConsumo[[#This Row],[07_23]] )</f>
        <v>20</v>
      </c>
      <c r="AA375" s="257">
        <f>LARGE(tabConsumo[[#This Row],[08_22]:[07_23]],1)</f>
        <v>14</v>
      </c>
      <c r="AB375" s="175" t="s">
        <v>2213</v>
      </c>
      <c r="AC375" s="3" t="s">
        <v>2064</v>
      </c>
    </row>
    <row r="376" spans="1:29" x14ac:dyDescent="0.3">
      <c r="A376" s="4" t="s">
        <v>1295</v>
      </c>
      <c r="B376" s="3" t="s">
        <v>256</v>
      </c>
      <c r="C376" s="2">
        <v>50591</v>
      </c>
      <c r="D376" s="2">
        <v>30</v>
      </c>
      <c r="F376" s="2">
        <v>2</v>
      </c>
      <c r="G376" s="2">
        <v>4</v>
      </c>
      <c r="H376" s="2">
        <v>2</v>
      </c>
      <c r="I376" s="2">
        <v>1</v>
      </c>
      <c r="J376" s="2">
        <v>0</v>
      </c>
      <c r="K376" s="2">
        <v>2</v>
      </c>
      <c r="L376" s="2">
        <v>4</v>
      </c>
      <c r="M376" s="2">
        <v>3</v>
      </c>
      <c r="N376" s="2">
        <v>0</v>
      </c>
      <c r="O376" s="2">
        <v>0</v>
      </c>
      <c r="P376" s="2">
        <v>0</v>
      </c>
      <c r="Q376" s="2">
        <v>0</v>
      </c>
      <c r="R376" s="274">
        <v>367</v>
      </c>
      <c r="S376" s="253">
        <f xml:space="preserve"> 12</f>
        <v>12</v>
      </c>
      <c r="T376" s="254">
        <f>SUM( tabConsumo[[#This Row],[QTD.PENDENTE]]:tabConsumo[[#This Row],[07_23]] ) / tabConsumo[[#This Row],[Div]]</f>
        <v>1.5</v>
      </c>
      <c r="U376" s="255">
        <f xml:space="preserve"> tabConsumo[[#This Row],[Média.A]] + (_xlfn.STDEV.S( tabConsumo[[#This Row],[QTD.PENDENTE]]:tabConsumo[[#This Row],[07_23]] ) * 1)</f>
        <v>3.0666989036012806</v>
      </c>
      <c r="V376" s="255">
        <f xml:space="preserve"> tabConsumo[[#This Row],[Média.A]] + (_xlfn.STDEV.S( tabConsumo[[#This Row],[QTD.PENDENTE]]:tabConsumo[[#This Row],[07_23]] ) * 2)</f>
        <v>4.6333978072025612</v>
      </c>
      <c r="W376" s="255">
        <f xml:space="preserve"> tabConsumo[[#This Row],[Média.A]] + (_xlfn.STDEV.S( tabConsumo[[#This Row],[QTD.PENDENTE]]:tabConsumo[[#This Row],[07_23]] ) * 3)</f>
        <v>6.2000967108038418</v>
      </c>
      <c r="X376" s="5">
        <f t="shared" si="11"/>
        <v>2</v>
      </c>
      <c r="Y376">
        <v>1.5</v>
      </c>
      <c r="Z376" s="257">
        <f>SUM( tabConsumo[[#This Row],[QTD.PENDENTE]]:tabConsumo[[#This Row],[07_23]] )</f>
        <v>18</v>
      </c>
      <c r="AA376" s="257">
        <f>LARGE(tabConsumo[[#This Row],[08_22]:[07_23]],1)</f>
        <v>4</v>
      </c>
      <c r="AB376" s="175" t="s">
        <v>2217</v>
      </c>
      <c r="AC376" s="3" t="s">
        <v>2064</v>
      </c>
    </row>
    <row r="377" spans="1:29" x14ac:dyDescent="0.3">
      <c r="A377" s="4" t="s">
        <v>1290</v>
      </c>
      <c r="B377" s="3" t="s">
        <v>256</v>
      </c>
      <c r="C377" s="2">
        <v>49033</v>
      </c>
      <c r="D377" s="2">
        <v>32</v>
      </c>
      <c r="E377" s="2">
        <v>1</v>
      </c>
      <c r="F377" s="2">
        <v>1</v>
      </c>
      <c r="G377" s="2">
        <v>2</v>
      </c>
      <c r="H377" s="2">
        <v>2</v>
      </c>
      <c r="I377" s="2">
        <v>0</v>
      </c>
      <c r="J377" s="2">
        <v>2</v>
      </c>
      <c r="K377" s="2">
        <v>1</v>
      </c>
      <c r="L377" s="2">
        <v>4</v>
      </c>
      <c r="M377" s="2">
        <v>3</v>
      </c>
      <c r="N377" s="2">
        <v>0</v>
      </c>
      <c r="O377" s="2">
        <v>0</v>
      </c>
      <c r="P377" s="2">
        <v>0</v>
      </c>
      <c r="Q377" s="2">
        <v>0</v>
      </c>
      <c r="R377" s="274">
        <v>367</v>
      </c>
      <c r="S377" s="253">
        <f xml:space="preserve"> 12</f>
        <v>12</v>
      </c>
      <c r="T377" s="254">
        <f>SUM( tabConsumo[[#This Row],[QTD.PENDENTE]]:tabConsumo[[#This Row],[07_23]] ) / tabConsumo[[#This Row],[Div]]</f>
        <v>1.3333333333333333</v>
      </c>
      <c r="U377" s="255">
        <f xml:space="preserve"> tabConsumo[[#This Row],[Média.A]] + (_xlfn.STDEV.S( tabConsumo[[#This Row],[QTD.PENDENTE]]:tabConsumo[[#This Row],[07_23]] ) * 1)</f>
        <v>2.6342206045093151</v>
      </c>
      <c r="V377" s="255">
        <f xml:space="preserve"> tabConsumo[[#This Row],[Média.A]] + (_xlfn.STDEV.S( tabConsumo[[#This Row],[QTD.PENDENTE]]:tabConsumo[[#This Row],[07_23]] ) * 2)</f>
        <v>3.9351078756852971</v>
      </c>
      <c r="W377" s="255">
        <f xml:space="preserve"> tabConsumo[[#This Row],[Média.A]] + (_xlfn.STDEV.S( tabConsumo[[#This Row],[QTD.PENDENTE]]:tabConsumo[[#This Row],[07_23]] ) * 3)</f>
        <v>5.2359951468612786</v>
      </c>
      <c r="X377" s="5">
        <f t="shared" si="11"/>
        <v>2</v>
      </c>
      <c r="Y377">
        <v>1.25</v>
      </c>
      <c r="Z377" s="257">
        <f>SUM( tabConsumo[[#This Row],[QTD.PENDENTE]]:tabConsumo[[#This Row],[07_23]] )</f>
        <v>16</v>
      </c>
      <c r="AA377" s="257">
        <f>LARGE(tabConsumo[[#This Row],[08_22]:[07_23]],1)</f>
        <v>4</v>
      </c>
      <c r="AB377" s="175" t="s">
        <v>2217</v>
      </c>
      <c r="AC377" s="3" t="s">
        <v>2064</v>
      </c>
    </row>
    <row r="378" spans="1:29" x14ac:dyDescent="0.3">
      <c r="A378" s="4" t="s">
        <v>1326</v>
      </c>
      <c r="B378" s="3" t="s">
        <v>256</v>
      </c>
      <c r="C378" s="2">
        <v>56519</v>
      </c>
      <c r="D378" s="2">
        <v>41</v>
      </c>
      <c r="F378" s="2">
        <v>9</v>
      </c>
      <c r="G378" s="2">
        <v>8</v>
      </c>
      <c r="H378" s="2">
        <v>1</v>
      </c>
      <c r="I378" s="2">
        <v>4</v>
      </c>
      <c r="J378" s="2">
        <v>0</v>
      </c>
      <c r="K378" s="2">
        <v>2</v>
      </c>
      <c r="L378" s="2">
        <v>2</v>
      </c>
      <c r="M378" s="2">
        <v>0</v>
      </c>
      <c r="N378" s="2">
        <v>1</v>
      </c>
      <c r="O378" s="2">
        <v>0</v>
      </c>
      <c r="P378" s="2">
        <v>0</v>
      </c>
      <c r="Q378" s="2">
        <v>6</v>
      </c>
      <c r="R378" s="274">
        <v>367</v>
      </c>
      <c r="S378" s="253">
        <f xml:space="preserve"> 12</f>
        <v>12</v>
      </c>
      <c r="T378" s="254">
        <f>SUM( tabConsumo[[#This Row],[QTD.PENDENTE]]:tabConsumo[[#This Row],[07_23]] ) / tabConsumo[[#This Row],[Div]]</f>
        <v>2.75</v>
      </c>
      <c r="U378" s="255">
        <f xml:space="preserve"> tabConsumo[[#This Row],[Média.A]] + (_xlfn.STDEV.S( tabConsumo[[#This Row],[QTD.PENDENTE]]:tabConsumo[[#This Row],[07_23]] ) * 1)</f>
        <v>6.0008740083524952</v>
      </c>
      <c r="V378" s="255">
        <f xml:space="preserve"> tabConsumo[[#This Row],[Média.A]] + (_xlfn.STDEV.S( tabConsumo[[#This Row],[QTD.PENDENTE]]:tabConsumo[[#This Row],[07_23]] ) * 2)</f>
        <v>9.2517480167049904</v>
      </c>
      <c r="W378" s="255">
        <f xml:space="preserve"> tabConsumo[[#This Row],[Média.A]] + (_xlfn.STDEV.S( tabConsumo[[#This Row],[QTD.PENDENTE]]:tabConsumo[[#This Row],[07_23]] ) * 3)</f>
        <v>12.502622025057486</v>
      </c>
      <c r="X378" s="5">
        <f t="shared" si="11"/>
        <v>2</v>
      </c>
      <c r="Y378">
        <v>2.75</v>
      </c>
      <c r="Z378" s="257">
        <f>SUM( tabConsumo[[#This Row],[QTD.PENDENTE]]:tabConsumo[[#This Row],[07_23]] )</f>
        <v>33</v>
      </c>
      <c r="AA378" s="257">
        <f>LARGE(tabConsumo[[#This Row],[08_22]:[07_23]],1)</f>
        <v>9</v>
      </c>
      <c r="AB378" s="175" t="s">
        <v>2211</v>
      </c>
      <c r="AC378" s="3" t="s">
        <v>2064</v>
      </c>
    </row>
    <row r="379" spans="1:29" x14ac:dyDescent="0.3">
      <c r="A379" s="4" t="s">
        <v>1327</v>
      </c>
      <c r="B379" s="3" t="s">
        <v>256</v>
      </c>
      <c r="C379" s="2">
        <v>56520</v>
      </c>
      <c r="D379" s="2">
        <v>13</v>
      </c>
      <c r="E379" s="2">
        <v>22</v>
      </c>
      <c r="F379" s="2">
        <v>1</v>
      </c>
      <c r="G379" s="2">
        <v>12</v>
      </c>
      <c r="H379" s="2">
        <v>12</v>
      </c>
      <c r="I379" s="2">
        <v>9</v>
      </c>
      <c r="J379" s="2">
        <v>2</v>
      </c>
      <c r="K379" s="2">
        <v>4</v>
      </c>
      <c r="L379" s="2">
        <v>3</v>
      </c>
      <c r="M379" s="2">
        <v>7</v>
      </c>
      <c r="N379" s="2">
        <v>0</v>
      </c>
      <c r="O379" s="2">
        <v>0</v>
      </c>
      <c r="P379" s="2">
        <v>0</v>
      </c>
      <c r="Q379" s="2">
        <v>0</v>
      </c>
      <c r="R379" s="274">
        <v>367</v>
      </c>
      <c r="S379" s="253">
        <f xml:space="preserve"> 12</f>
        <v>12</v>
      </c>
      <c r="T379" s="254">
        <f>SUM( tabConsumo[[#This Row],[QTD.PENDENTE]]:tabConsumo[[#This Row],[07_23]] ) / tabConsumo[[#This Row],[Div]]</f>
        <v>6</v>
      </c>
      <c r="U379" s="255">
        <f xml:space="preserve"> tabConsumo[[#This Row],[Média.A]] + (_xlfn.STDEV.S( tabConsumo[[#This Row],[QTD.PENDENTE]]:tabConsumo[[#This Row],[07_23]] ) * 1)</f>
        <v>12.666025610204137</v>
      </c>
      <c r="V379" s="255">
        <f xml:space="preserve"> tabConsumo[[#This Row],[Média.A]] + (_xlfn.STDEV.S( tabConsumo[[#This Row],[QTD.PENDENTE]]:tabConsumo[[#This Row],[07_23]] ) * 2)</f>
        <v>19.332051220408275</v>
      </c>
      <c r="W379" s="255">
        <f xml:space="preserve"> tabConsumo[[#This Row],[Média.A]] + (_xlfn.STDEV.S( tabConsumo[[#This Row],[QTD.PENDENTE]]:tabConsumo[[#This Row],[07_23]] ) * 3)</f>
        <v>25.998076830612412</v>
      </c>
      <c r="X379" s="5">
        <f t="shared" si="11"/>
        <v>2</v>
      </c>
      <c r="Y379">
        <v>6</v>
      </c>
      <c r="Z379" s="257">
        <f>SUM( tabConsumo[[#This Row],[QTD.PENDENTE]]:tabConsumo[[#This Row],[07_23]] )</f>
        <v>72</v>
      </c>
      <c r="AA379" s="257">
        <f>LARGE(tabConsumo[[#This Row],[08_22]:[07_23]],1)</f>
        <v>12</v>
      </c>
      <c r="AB379" s="175" t="s">
        <v>2217</v>
      </c>
      <c r="AC379" s="3" t="s">
        <v>2064</v>
      </c>
    </row>
    <row r="380" spans="1:29" x14ac:dyDescent="0.3">
      <c r="A380" s="4" t="s">
        <v>1553</v>
      </c>
      <c r="B380" s="3" t="s">
        <v>629</v>
      </c>
      <c r="C380" s="2">
        <v>98702</v>
      </c>
      <c r="D380" s="2">
        <v>401.6</v>
      </c>
      <c r="F380" s="2">
        <v>1008</v>
      </c>
      <c r="G380" s="2">
        <v>995</v>
      </c>
      <c r="H380" s="2">
        <v>684</v>
      </c>
      <c r="I380" s="2">
        <v>351</v>
      </c>
      <c r="J380" s="2">
        <v>418</v>
      </c>
      <c r="K380" s="2">
        <v>602</v>
      </c>
      <c r="L380" s="2">
        <v>124</v>
      </c>
      <c r="M380" s="2">
        <v>437</v>
      </c>
      <c r="N380" s="2">
        <v>264</v>
      </c>
      <c r="O380" s="2">
        <v>957</v>
      </c>
      <c r="P380" s="2">
        <v>0</v>
      </c>
      <c r="Q380" s="2">
        <v>360</v>
      </c>
      <c r="R380" s="274">
        <v>39183</v>
      </c>
      <c r="S380" s="253">
        <v>12</v>
      </c>
      <c r="T380" s="254">
        <f>SUM( tabConsumo[[#This Row],[QTD.PENDENTE]]:tabConsumo[[#This Row],[07_23]] ) / tabConsumo[[#This Row],[Div]]</f>
        <v>516.66666666666663</v>
      </c>
      <c r="U380" s="255">
        <f xml:space="preserve"> tabConsumo[[#This Row],[Média.A]] + (_xlfn.STDEV.S( tabConsumo[[#This Row],[QTD.PENDENTE]]:tabConsumo[[#This Row],[07_23]] ) * 1)</f>
        <v>854.09418974878463</v>
      </c>
      <c r="V380" s="255">
        <f xml:space="preserve"> tabConsumo[[#This Row],[Média.A]] + (_xlfn.STDEV.S( tabConsumo[[#This Row],[QTD.PENDENTE]]:tabConsumo[[#This Row],[07_23]] ) * 2)</f>
        <v>1191.5217128309027</v>
      </c>
      <c r="W380" s="255">
        <f xml:space="preserve"> tabConsumo[[#This Row],[Média.A]] + (_xlfn.STDEV.S( tabConsumo[[#This Row],[QTD.PENDENTE]]:tabConsumo[[#This Row],[07_23]] ) * 3)</f>
        <v>1528.9492359130209</v>
      </c>
      <c r="X380" s="5">
        <f t="shared" si="11"/>
        <v>2</v>
      </c>
      <c r="Y380">
        <v>516.66666666666663</v>
      </c>
      <c r="Z380" s="257">
        <f>SUM( tabConsumo[[#This Row],[QTD.PENDENTE]]:tabConsumo[[#This Row],[07_23]] )</f>
        <v>6200</v>
      </c>
      <c r="AA380" s="257">
        <f>LARGE(tabConsumo[[#This Row],[08_22]:[07_23]],1)</f>
        <v>1008</v>
      </c>
      <c r="AB380" s="175" t="s">
        <v>2211</v>
      </c>
      <c r="AC380" s="3" t="s">
        <v>2064</v>
      </c>
    </row>
    <row r="381" spans="1:29" x14ac:dyDescent="0.3">
      <c r="A381" s="4" t="s">
        <v>512</v>
      </c>
      <c r="B381" s="3" t="s">
        <v>256</v>
      </c>
      <c r="C381" s="2">
        <v>16427</v>
      </c>
      <c r="D381" s="2">
        <v>0</v>
      </c>
      <c r="F381" s="2">
        <v>0</v>
      </c>
      <c r="G381" s="2">
        <v>0</v>
      </c>
      <c r="H381" s="2">
        <v>0</v>
      </c>
      <c r="I381" s="2">
        <v>1</v>
      </c>
      <c r="J381" s="2">
        <v>0</v>
      </c>
      <c r="K381" s="2">
        <v>0</v>
      </c>
      <c r="L381" s="2">
        <v>0</v>
      </c>
      <c r="M381" s="2">
        <v>0</v>
      </c>
      <c r="N381" s="2">
        <v>0</v>
      </c>
      <c r="O381" s="2">
        <v>0</v>
      </c>
      <c r="P381" s="2">
        <v>0</v>
      </c>
      <c r="Q381" s="2">
        <v>0</v>
      </c>
      <c r="R381" s="274">
        <v>367</v>
      </c>
      <c r="S381" s="253">
        <f xml:space="preserve"> 12</f>
        <v>12</v>
      </c>
      <c r="T381" s="254">
        <f>SUM( tabConsumo[[#This Row],[QTD.PENDENTE]]:tabConsumo[[#This Row],[07_23]] ) / tabConsumo[[#This Row],[Div]]</f>
        <v>8.3333333333333329E-2</v>
      </c>
      <c r="U381" s="255">
        <f xml:space="preserve"> tabConsumo[[#This Row],[Média.A]] + (_xlfn.STDEV.S( tabConsumo[[#This Row],[QTD.PENDENTE]]:tabConsumo[[#This Row],[07_23]] ) * 1)</f>
        <v>0.37200846792814618</v>
      </c>
      <c r="V381" s="255">
        <f xml:space="preserve"> tabConsumo[[#This Row],[Média.A]] + (_xlfn.STDEV.S( tabConsumo[[#This Row],[QTD.PENDENTE]]:tabConsumo[[#This Row],[07_23]] ) * 2)</f>
        <v>0.6606836025229591</v>
      </c>
      <c r="W381" s="255">
        <f xml:space="preserve"> tabConsumo[[#This Row],[Média.A]] + (_xlfn.STDEV.S( tabConsumo[[#This Row],[QTD.PENDENTE]]:tabConsumo[[#This Row],[07_23]] ) * 3)</f>
        <v>0.94935873711777197</v>
      </c>
      <c r="X381" s="5">
        <f t="shared" si="11"/>
        <v>2</v>
      </c>
      <c r="Y381">
        <v>0</v>
      </c>
      <c r="Z381" s="257">
        <f>SUM( tabConsumo[[#This Row],[QTD.PENDENTE]]:tabConsumo[[#This Row],[07_23]] )</f>
        <v>1</v>
      </c>
      <c r="AA381" s="257">
        <f>LARGE(tabConsumo[[#This Row],[08_22]:[07_23]],1)</f>
        <v>1</v>
      </c>
      <c r="AB381" s="175" t="s">
        <v>2216</v>
      </c>
      <c r="AC381" s="3" t="s">
        <v>2064</v>
      </c>
    </row>
    <row r="382" spans="1:29" x14ac:dyDescent="0.3">
      <c r="A382" s="4" t="s">
        <v>2014</v>
      </c>
      <c r="B382" s="3" t="s">
        <v>596</v>
      </c>
      <c r="C382" s="2">
        <v>141253</v>
      </c>
      <c r="D382" s="2">
        <v>0</v>
      </c>
      <c r="E382" s="2">
        <v>8</v>
      </c>
      <c r="F382" s="2">
        <v>6</v>
      </c>
      <c r="G382" s="2">
        <v>57</v>
      </c>
      <c r="H382" s="2">
        <v>21</v>
      </c>
      <c r="I382" s="2">
        <v>26</v>
      </c>
      <c r="J382" s="2">
        <v>23</v>
      </c>
      <c r="K382" s="2">
        <v>10</v>
      </c>
      <c r="L382" s="2">
        <v>0</v>
      </c>
      <c r="M382" s="2">
        <v>22</v>
      </c>
      <c r="N382" s="2">
        <v>11</v>
      </c>
      <c r="O382" s="2">
        <v>27</v>
      </c>
      <c r="P382" s="2">
        <v>38</v>
      </c>
      <c r="Q382" s="2">
        <v>0</v>
      </c>
      <c r="R382" s="274">
        <v>44355</v>
      </c>
      <c r="S382" s="253">
        <v>12</v>
      </c>
      <c r="T382" s="254">
        <f>SUM( tabConsumo[[#This Row],[QTD.PENDENTE]]:tabConsumo[[#This Row],[07_23]] ) / tabConsumo[[#This Row],[Div]]</f>
        <v>20.75</v>
      </c>
      <c r="U382" s="255">
        <f xml:space="preserve"> tabConsumo[[#This Row],[Média.A]] + (_xlfn.STDEV.S( tabConsumo[[#This Row],[QTD.PENDENTE]]:tabConsumo[[#This Row],[07_23]] ) * 1)</f>
        <v>36.832320281633045</v>
      </c>
      <c r="V382" s="255">
        <f xml:space="preserve"> tabConsumo[[#This Row],[Média.A]] + (_xlfn.STDEV.S( tabConsumo[[#This Row],[QTD.PENDENTE]]:tabConsumo[[#This Row],[07_23]] ) * 2)</f>
        <v>52.91464056326609</v>
      </c>
      <c r="W382" s="255">
        <f xml:space="preserve"> tabConsumo[[#This Row],[Média.A]] + (_xlfn.STDEV.S( tabConsumo[[#This Row],[QTD.PENDENTE]]:tabConsumo[[#This Row],[07_23]] ) * 3)</f>
        <v>68.996960844899135</v>
      </c>
      <c r="X382" s="5">
        <f t="shared" si="11"/>
        <v>2</v>
      </c>
      <c r="Y382">
        <v>20.333333333333332</v>
      </c>
      <c r="Z382" s="257">
        <f>SUM( tabConsumo[[#This Row],[QTD.PENDENTE]]:tabConsumo[[#This Row],[07_23]] )</f>
        <v>249</v>
      </c>
      <c r="AA382" s="257">
        <f>LARGE(tabConsumo[[#This Row],[08_22]:[07_23]],1)</f>
        <v>57</v>
      </c>
      <c r="AB382" s="175" t="s">
        <v>2212</v>
      </c>
      <c r="AC382" s="3" t="s">
        <v>2064</v>
      </c>
    </row>
    <row r="383" spans="1:29" x14ac:dyDescent="0.3">
      <c r="A383" s="4" t="s">
        <v>1580</v>
      </c>
      <c r="B383" s="3" t="s">
        <v>256</v>
      </c>
      <c r="C383" s="2">
        <v>102728</v>
      </c>
      <c r="D383" s="2">
        <v>224</v>
      </c>
      <c r="F383" s="2">
        <v>0</v>
      </c>
      <c r="G383" s="2">
        <v>8</v>
      </c>
      <c r="H383" s="2">
        <v>150</v>
      </c>
      <c r="I383" s="2">
        <v>20</v>
      </c>
      <c r="J383" s="2">
        <v>40</v>
      </c>
      <c r="K383" s="2">
        <v>30</v>
      </c>
      <c r="L383" s="2">
        <v>0</v>
      </c>
      <c r="M383" s="2">
        <v>0</v>
      </c>
      <c r="N383" s="2">
        <v>100</v>
      </c>
      <c r="O383" s="2">
        <v>0</v>
      </c>
      <c r="P383" s="2">
        <v>0</v>
      </c>
      <c r="Q383" s="2">
        <v>20</v>
      </c>
      <c r="R383" s="274">
        <v>39371</v>
      </c>
      <c r="S383" s="253">
        <v>12</v>
      </c>
      <c r="T383" s="254">
        <f>SUM( tabConsumo[[#This Row],[QTD.PENDENTE]]:tabConsumo[[#This Row],[07_23]] ) / tabConsumo[[#This Row],[Div]]</f>
        <v>30.666666666666668</v>
      </c>
      <c r="U383" s="255">
        <f xml:space="preserve"> tabConsumo[[#This Row],[Média.A]] + (_xlfn.STDEV.S( tabConsumo[[#This Row],[QTD.PENDENTE]]:tabConsumo[[#This Row],[07_23]] ) * 1)</f>
        <v>77.936363539232303</v>
      </c>
      <c r="V383" s="255">
        <f xml:space="preserve"> tabConsumo[[#This Row],[Média.A]] + (_xlfn.STDEV.S( tabConsumo[[#This Row],[QTD.PENDENTE]]:tabConsumo[[#This Row],[07_23]] ) * 2)</f>
        <v>125.20606041179795</v>
      </c>
      <c r="W383" s="255">
        <f xml:space="preserve"> tabConsumo[[#This Row],[Média.A]] + (_xlfn.STDEV.S( tabConsumo[[#This Row],[QTD.PENDENTE]]:tabConsumo[[#This Row],[07_23]] ) * 3)</f>
        <v>172.47575728436357</v>
      </c>
      <c r="X383" s="5">
        <f t="shared" si="11"/>
        <v>2</v>
      </c>
      <c r="Y383">
        <v>28.583333333333332</v>
      </c>
      <c r="Z383" s="257">
        <f>SUM( tabConsumo[[#This Row],[QTD.PENDENTE]]:tabConsumo[[#This Row],[07_23]] )</f>
        <v>368</v>
      </c>
      <c r="AA383" s="257">
        <f>LARGE(tabConsumo[[#This Row],[08_22]:[07_23]],1)</f>
        <v>150</v>
      </c>
      <c r="AB383" s="175" t="s">
        <v>2211</v>
      </c>
      <c r="AC383" s="3" t="s">
        <v>2064</v>
      </c>
    </row>
    <row r="384" spans="1:29" x14ac:dyDescent="0.3">
      <c r="A384" s="4" t="s">
        <v>878</v>
      </c>
      <c r="B384" s="3" t="s">
        <v>256</v>
      </c>
      <c r="C384" s="2">
        <v>16528</v>
      </c>
      <c r="D384" s="2">
        <v>0</v>
      </c>
      <c r="E384" s="2">
        <v>3</v>
      </c>
      <c r="F384" s="2">
        <v>62</v>
      </c>
      <c r="G384" s="2">
        <v>0</v>
      </c>
      <c r="H384" s="2">
        <v>0</v>
      </c>
      <c r="I384" s="2">
        <v>0</v>
      </c>
      <c r="J384" s="2">
        <v>0</v>
      </c>
      <c r="K384" s="2">
        <v>0</v>
      </c>
      <c r="L384" s="2">
        <v>0</v>
      </c>
      <c r="M384" s="2">
        <v>0</v>
      </c>
      <c r="N384" s="2">
        <v>0</v>
      </c>
      <c r="O384" s="2">
        <v>0</v>
      </c>
      <c r="P384" s="2">
        <v>0</v>
      </c>
      <c r="Q384" s="2">
        <v>0</v>
      </c>
      <c r="R384" s="274">
        <v>367</v>
      </c>
      <c r="S384" s="253">
        <f xml:space="preserve"> 12</f>
        <v>12</v>
      </c>
      <c r="T384" s="254">
        <f>SUM( tabConsumo[[#This Row],[QTD.PENDENTE]]:tabConsumo[[#This Row],[07_23]] ) / tabConsumo[[#This Row],[Div]]</f>
        <v>5.416666666666667</v>
      </c>
      <c r="U384" s="255">
        <f xml:space="preserve"> tabConsumo[[#This Row],[Média.A]] + (_xlfn.STDEV.S( tabConsumo[[#This Row],[QTD.PENDENTE]]:tabConsumo[[#This Row],[07_23]] ) * 1)</f>
        <v>22.563094866148916</v>
      </c>
      <c r="V384" s="255">
        <f xml:space="preserve"> tabConsumo[[#This Row],[Média.A]] + (_xlfn.STDEV.S( tabConsumo[[#This Row],[QTD.PENDENTE]]:tabConsumo[[#This Row],[07_23]] ) * 2)</f>
        <v>39.70952306563116</v>
      </c>
      <c r="W384" s="255">
        <f xml:space="preserve"> tabConsumo[[#This Row],[Média.A]] + (_xlfn.STDEV.S( tabConsumo[[#This Row],[QTD.PENDENTE]]:tabConsumo[[#This Row],[07_23]] ) * 3)</f>
        <v>56.855951265113411</v>
      </c>
      <c r="X384" s="5">
        <f t="shared" si="11"/>
        <v>2</v>
      </c>
      <c r="Y384">
        <v>3.5</v>
      </c>
      <c r="Z384" s="257">
        <f>SUM( tabConsumo[[#This Row],[QTD.PENDENTE]]:tabConsumo[[#This Row],[07_23]] )</f>
        <v>65</v>
      </c>
      <c r="AA384" s="257">
        <f>LARGE(tabConsumo[[#This Row],[08_22]:[07_23]],1)</f>
        <v>62</v>
      </c>
      <c r="AB384" s="175" t="s">
        <v>2218</v>
      </c>
      <c r="AC384" s="3" t="s">
        <v>2064</v>
      </c>
    </row>
    <row r="385" spans="1:29" x14ac:dyDescent="0.3">
      <c r="A385" s="4" t="s">
        <v>1513</v>
      </c>
      <c r="B385" s="3" t="s">
        <v>256</v>
      </c>
      <c r="C385" s="2">
        <v>89194</v>
      </c>
      <c r="D385" s="2">
        <v>0</v>
      </c>
      <c r="E385" s="2">
        <v>32</v>
      </c>
      <c r="F385" s="2">
        <v>83</v>
      </c>
      <c r="G385" s="2">
        <v>117</v>
      </c>
      <c r="H385" s="2">
        <v>140</v>
      </c>
      <c r="I385" s="2">
        <v>98</v>
      </c>
      <c r="J385" s="2">
        <v>66</v>
      </c>
      <c r="K385" s="2">
        <v>85</v>
      </c>
      <c r="L385" s="2">
        <v>98</v>
      </c>
      <c r="M385" s="2">
        <v>147</v>
      </c>
      <c r="N385" s="2">
        <v>127</v>
      </c>
      <c r="O385" s="2">
        <v>101</v>
      </c>
      <c r="P385" s="2">
        <v>29</v>
      </c>
      <c r="Q385" s="2">
        <v>0</v>
      </c>
      <c r="R385" s="274">
        <v>38688</v>
      </c>
      <c r="S385" s="253">
        <v>12</v>
      </c>
      <c r="T385" s="254">
        <f>SUM( tabConsumo[[#This Row],[QTD.PENDENTE]]:tabConsumo[[#This Row],[07_23]] ) / tabConsumo[[#This Row],[Div]]</f>
        <v>93.583333333333329</v>
      </c>
      <c r="U385" s="255">
        <f xml:space="preserve"> tabConsumo[[#This Row],[Média.A]] + (_xlfn.STDEV.S( tabConsumo[[#This Row],[QTD.PENDENTE]]:tabConsumo[[#This Row],[07_23]] ) * 1)</f>
        <v>138.0815326630786</v>
      </c>
      <c r="V385" s="255">
        <f xml:space="preserve"> tabConsumo[[#This Row],[Média.A]] + (_xlfn.STDEV.S( tabConsumo[[#This Row],[QTD.PENDENTE]]:tabConsumo[[#This Row],[07_23]] ) * 2)</f>
        <v>182.57973199282389</v>
      </c>
      <c r="W385" s="255">
        <f xml:space="preserve"> tabConsumo[[#This Row],[Média.A]] + (_xlfn.STDEV.S( tabConsumo[[#This Row],[QTD.PENDENTE]]:tabConsumo[[#This Row],[07_23]] ) * 3)</f>
        <v>227.07793132256916</v>
      </c>
      <c r="X385" s="5">
        <f t="shared" si="11"/>
        <v>2</v>
      </c>
      <c r="Y385">
        <v>93.583333333333329</v>
      </c>
      <c r="Z385" s="257">
        <f>SUM( tabConsumo[[#This Row],[QTD.PENDENTE]]:tabConsumo[[#This Row],[07_23]] )</f>
        <v>1123</v>
      </c>
      <c r="AA385" s="257">
        <f>LARGE(tabConsumo[[#This Row],[08_22]:[07_23]],1)</f>
        <v>147</v>
      </c>
      <c r="AB385" s="175" t="s">
        <v>2212</v>
      </c>
      <c r="AC385" s="3" t="s">
        <v>2064</v>
      </c>
    </row>
    <row r="386" spans="1:29" x14ac:dyDescent="0.3">
      <c r="A386" s="4" t="s">
        <v>1225</v>
      </c>
      <c r="B386" s="3" t="s">
        <v>411</v>
      </c>
      <c r="C386" s="2">
        <v>27353</v>
      </c>
      <c r="D386" s="2">
        <v>0</v>
      </c>
      <c r="F386" s="2">
        <v>18</v>
      </c>
      <c r="G386" s="2">
        <v>24</v>
      </c>
      <c r="H386" s="2">
        <v>30</v>
      </c>
      <c r="I386" s="2">
        <v>16</v>
      </c>
      <c r="J386" s="2">
        <v>26</v>
      </c>
      <c r="K386" s="2">
        <v>39</v>
      </c>
      <c r="L386" s="2">
        <v>12</v>
      </c>
      <c r="M386" s="2">
        <v>17</v>
      </c>
      <c r="N386" s="2">
        <v>103</v>
      </c>
      <c r="O386" s="2">
        <v>154</v>
      </c>
      <c r="P386" s="2">
        <v>0</v>
      </c>
      <c r="Q386" s="2">
        <v>0</v>
      </c>
      <c r="R386" s="274">
        <v>367</v>
      </c>
      <c r="S386" s="253">
        <f xml:space="preserve"> 12</f>
        <v>12</v>
      </c>
      <c r="T386" s="254">
        <f>SUM( tabConsumo[[#This Row],[QTD.PENDENTE]]:tabConsumo[[#This Row],[07_23]] ) / tabConsumo[[#This Row],[Div]]</f>
        <v>36.583333333333336</v>
      </c>
      <c r="U386" s="255">
        <f xml:space="preserve"> tabConsumo[[#This Row],[Média.A]] + (_xlfn.STDEV.S( tabConsumo[[#This Row],[QTD.PENDENTE]]:tabConsumo[[#This Row],[07_23]] ) * 1)</f>
        <v>82.260975235000828</v>
      </c>
      <c r="V386" s="255">
        <f xml:space="preserve"> tabConsumo[[#This Row],[Média.A]] + (_xlfn.STDEV.S( tabConsumo[[#This Row],[QTD.PENDENTE]]:tabConsumo[[#This Row],[07_23]] ) * 2)</f>
        <v>127.93861713666831</v>
      </c>
      <c r="W386" s="255">
        <f xml:space="preserve"> tabConsumo[[#This Row],[Média.A]] + (_xlfn.STDEV.S( tabConsumo[[#This Row],[QTD.PENDENTE]]:tabConsumo[[#This Row],[07_23]] ) * 3)</f>
        <v>173.61625903833581</v>
      </c>
      <c r="X386" s="5">
        <f t="shared" si="11"/>
        <v>2</v>
      </c>
      <c r="Y386">
        <v>34.333333333333336</v>
      </c>
      <c r="Z386" s="257">
        <f>SUM( tabConsumo[[#This Row],[QTD.PENDENTE]]:tabConsumo[[#This Row],[07_23]] )</f>
        <v>439</v>
      </c>
      <c r="AA386" s="257">
        <f>LARGE(tabConsumo[[#This Row],[08_22]:[07_23]],1)</f>
        <v>154</v>
      </c>
      <c r="AB386" s="175" t="s">
        <v>2214</v>
      </c>
      <c r="AC386" s="3" t="s">
        <v>2064</v>
      </c>
    </row>
    <row r="387" spans="1:29" x14ac:dyDescent="0.3">
      <c r="A387" s="4" t="s">
        <v>1961</v>
      </c>
      <c r="B387" s="3" t="s">
        <v>1960</v>
      </c>
      <c r="C387" s="2">
        <v>138462</v>
      </c>
      <c r="D387" s="2">
        <v>8597</v>
      </c>
      <c r="E387" s="2">
        <v>130</v>
      </c>
      <c r="F387" s="2">
        <v>534</v>
      </c>
      <c r="G387" s="2">
        <v>301</v>
      </c>
      <c r="H387" s="2">
        <v>448</v>
      </c>
      <c r="I387" s="2">
        <v>348</v>
      </c>
      <c r="J387" s="2">
        <v>239</v>
      </c>
      <c r="K387" s="2">
        <v>124</v>
      </c>
      <c r="L387" s="2">
        <v>751</v>
      </c>
      <c r="M387" s="2">
        <v>5715</v>
      </c>
      <c r="N387" s="2">
        <v>295</v>
      </c>
      <c r="O387" s="2">
        <v>311</v>
      </c>
      <c r="P387" s="2">
        <v>359</v>
      </c>
      <c r="Q387" s="2">
        <v>800</v>
      </c>
      <c r="R387" s="274">
        <v>43720</v>
      </c>
      <c r="S387" s="253">
        <v>12</v>
      </c>
      <c r="T387" s="254">
        <f>SUM( tabConsumo[[#This Row],[QTD.PENDENTE]]:tabConsumo[[#This Row],[07_23]] ) / tabConsumo[[#This Row],[Div]]</f>
        <v>862.91666666666663</v>
      </c>
      <c r="U387" s="255">
        <f xml:space="preserve"> tabConsumo[[#This Row],[Média.A]] + (_xlfn.STDEV.S( tabConsumo[[#This Row],[QTD.PENDENTE]]:tabConsumo[[#This Row],[07_23]] ) * 1)</f>
        <v>2355.0253320227689</v>
      </c>
      <c r="V387" s="255">
        <f xml:space="preserve"> tabConsumo[[#This Row],[Média.A]] + (_xlfn.STDEV.S( tabConsumo[[#This Row],[QTD.PENDENTE]]:tabConsumo[[#This Row],[07_23]] ) * 2)</f>
        <v>3847.1339973788713</v>
      </c>
      <c r="W387" s="255">
        <f xml:space="preserve"> tabConsumo[[#This Row],[Média.A]] + (_xlfn.STDEV.S( tabConsumo[[#This Row],[QTD.PENDENTE]]:tabConsumo[[#This Row],[07_23]] ) * 3)</f>
        <v>5339.2426627349741</v>
      </c>
      <c r="X387" s="5">
        <f t="shared" ref="X387:X450" si="14" xml:space="preserve"> 2</f>
        <v>2</v>
      </c>
      <c r="Y387">
        <v>707.25</v>
      </c>
      <c r="Z387" s="257">
        <f>SUM( tabConsumo[[#This Row],[QTD.PENDENTE]]:tabConsumo[[#This Row],[07_23]] )</f>
        <v>10355</v>
      </c>
      <c r="AA387" s="257">
        <f>LARGE(tabConsumo[[#This Row],[08_22]:[07_23]],1)</f>
        <v>5715</v>
      </c>
      <c r="AB387" s="175" t="s">
        <v>2211</v>
      </c>
      <c r="AC387" s="3" t="s">
        <v>2064</v>
      </c>
    </row>
    <row r="388" spans="1:29" x14ac:dyDescent="0.3">
      <c r="A388" s="4" t="s">
        <v>1114</v>
      </c>
      <c r="B388" s="3" t="s">
        <v>413</v>
      </c>
      <c r="C388" s="2">
        <v>16512</v>
      </c>
      <c r="D388" s="2">
        <v>0</v>
      </c>
      <c r="E388" s="2">
        <v>380</v>
      </c>
      <c r="F388" s="2">
        <v>310</v>
      </c>
      <c r="G388" s="2">
        <v>122</v>
      </c>
      <c r="H388" s="2">
        <v>0</v>
      </c>
      <c r="I388" s="2">
        <v>18</v>
      </c>
      <c r="J388" s="2">
        <v>3</v>
      </c>
      <c r="K388" s="2">
        <v>49</v>
      </c>
      <c r="L388" s="2">
        <v>225</v>
      </c>
      <c r="M388" s="2">
        <v>474</v>
      </c>
      <c r="N388" s="2">
        <v>231</v>
      </c>
      <c r="O388" s="2">
        <v>38</v>
      </c>
      <c r="P388" s="2">
        <v>3</v>
      </c>
      <c r="Q388" s="2">
        <v>46</v>
      </c>
      <c r="R388" s="274">
        <v>367</v>
      </c>
      <c r="S388" s="253">
        <f xml:space="preserve"> 12</f>
        <v>12</v>
      </c>
      <c r="T388" s="254">
        <f>SUM( tabConsumo[[#This Row],[QTD.PENDENTE]]:tabConsumo[[#This Row],[07_23]] ) / tabConsumo[[#This Row],[Div]]</f>
        <v>158.25</v>
      </c>
      <c r="U388" s="255">
        <f xml:space="preserve"> tabConsumo[[#This Row],[Média.A]] + (_xlfn.STDEV.S( tabConsumo[[#This Row],[QTD.PENDENTE]]:tabConsumo[[#This Row],[07_23]] ) * 1)</f>
        <v>319.74017593363669</v>
      </c>
      <c r="V388" s="255">
        <f xml:space="preserve"> tabConsumo[[#This Row],[Média.A]] + (_xlfn.STDEV.S( tabConsumo[[#This Row],[QTD.PENDENTE]]:tabConsumo[[#This Row],[07_23]] ) * 2)</f>
        <v>481.23035186727333</v>
      </c>
      <c r="W388" s="255">
        <f xml:space="preserve"> tabConsumo[[#This Row],[Média.A]] + (_xlfn.STDEV.S( tabConsumo[[#This Row],[QTD.PENDENTE]]:tabConsumo[[#This Row],[07_23]] ) * 3)</f>
        <v>642.72052780090996</v>
      </c>
      <c r="X388" s="5">
        <f t="shared" si="14"/>
        <v>2</v>
      </c>
      <c r="Y388">
        <v>158.25</v>
      </c>
      <c r="Z388" s="257">
        <f>SUM( tabConsumo[[#This Row],[QTD.PENDENTE]]:tabConsumo[[#This Row],[07_23]] )</f>
        <v>1899</v>
      </c>
      <c r="AA388" s="257">
        <f>LARGE(tabConsumo[[#This Row],[08_22]:[07_23]],1)</f>
        <v>474</v>
      </c>
      <c r="AB388" s="175" t="s">
        <v>2211</v>
      </c>
      <c r="AC388" s="3" t="s">
        <v>2064</v>
      </c>
    </row>
    <row r="389" spans="1:29" x14ac:dyDescent="0.3">
      <c r="A389" s="4" t="s">
        <v>1817</v>
      </c>
      <c r="B389" s="3" t="s">
        <v>413</v>
      </c>
      <c r="C389" s="2">
        <v>132299</v>
      </c>
      <c r="D389" s="2">
        <v>2653</v>
      </c>
      <c r="E389" s="2">
        <v>4</v>
      </c>
      <c r="F389" s="2">
        <v>118</v>
      </c>
      <c r="G389" s="2">
        <v>120</v>
      </c>
      <c r="H389" s="2">
        <v>175</v>
      </c>
      <c r="I389" s="2">
        <v>164</v>
      </c>
      <c r="J389" s="2">
        <v>113</v>
      </c>
      <c r="K389" s="2">
        <v>66</v>
      </c>
      <c r="L389" s="2">
        <v>112</v>
      </c>
      <c r="M389" s="2">
        <v>2639</v>
      </c>
      <c r="N389" s="2">
        <v>76</v>
      </c>
      <c r="O389" s="2">
        <v>94</v>
      </c>
      <c r="P389" s="2">
        <v>104</v>
      </c>
      <c r="Q389" s="2">
        <v>116</v>
      </c>
      <c r="R389" s="274">
        <v>42685</v>
      </c>
      <c r="S389" s="253">
        <v>12</v>
      </c>
      <c r="T389" s="254">
        <f>SUM( tabConsumo[[#This Row],[QTD.PENDENTE]]:tabConsumo[[#This Row],[07_23]] ) / tabConsumo[[#This Row],[Div]]</f>
        <v>325.08333333333331</v>
      </c>
      <c r="U389" s="255">
        <f xml:space="preserve"> tabConsumo[[#This Row],[Média.A]] + (_xlfn.STDEV.S( tabConsumo[[#This Row],[QTD.PENDENTE]]:tabConsumo[[#This Row],[07_23]] ) * 1)</f>
        <v>1029.1273023128356</v>
      </c>
      <c r="V389" s="255">
        <f xml:space="preserve"> tabConsumo[[#This Row],[Média.A]] + (_xlfn.STDEV.S( tabConsumo[[#This Row],[QTD.PENDENTE]]:tabConsumo[[#This Row],[07_23]] ) * 2)</f>
        <v>1733.1712712923377</v>
      </c>
      <c r="W389" s="255">
        <f xml:space="preserve"> tabConsumo[[#This Row],[Média.A]] + (_xlfn.STDEV.S( tabConsumo[[#This Row],[QTD.PENDENTE]]:tabConsumo[[#This Row],[07_23]] ) * 3)</f>
        <v>2437.2152402718402</v>
      </c>
      <c r="X389" s="5">
        <f t="shared" si="14"/>
        <v>2</v>
      </c>
      <c r="Y389">
        <v>249.58333333333334</v>
      </c>
      <c r="Z389" s="257">
        <f>SUM( tabConsumo[[#This Row],[QTD.PENDENTE]]:tabConsumo[[#This Row],[07_23]] )</f>
        <v>3901</v>
      </c>
      <c r="AA389" s="257">
        <f>LARGE(tabConsumo[[#This Row],[08_22]:[07_23]],1)</f>
        <v>2639</v>
      </c>
      <c r="AB389" s="175" t="s">
        <v>2211</v>
      </c>
      <c r="AC389" s="3" t="s">
        <v>2064</v>
      </c>
    </row>
    <row r="390" spans="1:29" x14ac:dyDescent="0.3">
      <c r="A390" s="4" t="s">
        <v>1477</v>
      </c>
      <c r="B390" s="3" t="s">
        <v>256</v>
      </c>
      <c r="C390" s="2">
        <v>82995</v>
      </c>
      <c r="D390" s="2">
        <v>0</v>
      </c>
      <c r="E390" s="2">
        <v>260</v>
      </c>
      <c r="F390" s="2">
        <v>50</v>
      </c>
      <c r="G390" s="2">
        <v>0</v>
      </c>
      <c r="H390" s="2">
        <v>75</v>
      </c>
      <c r="I390" s="2">
        <v>0</v>
      </c>
      <c r="J390" s="2">
        <v>25</v>
      </c>
      <c r="K390" s="2">
        <v>105</v>
      </c>
      <c r="L390" s="2">
        <v>0</v>
      </c>
      <c r="M390" s="2">
        <v>125</v>
      </c>
      <c r="N390" s="2">
        <v>0</v>
      </c>
      <c r="O390" s="2">
        <v>0</v>
      </c>
      <c r="P390" s="2">
        <v>340</v>
      </c>
      <c r="Q390" s="2">
        <v>0</v>
      </c>
      <c r="R390" s="274">
        <v>38317</v>
      </c>
      <c r="S390" s="253">
        <v>12</v>
      </c>
      <c r="T390" s="254">
        <f>SUM( tabConsumo[[#This Row],[QTD.PENDENTE]]:tabConsumo[[#This Row],[07_23]] ) / tabConsumo[[#This Row],[Div]]</f>
        <v>81.666666666666671</v>
      </c>
      <c r="U390" s="255">
        <f xml:space="preserve"> tabConsumo[[#This Row],[Média.A]] + (_xlfn.STDEV.S( tabConsumo[[#This Row],[QTD.PENDENTE]]:tabConsumo[[#This Row],[07_23]] ) * 1)</f>
        <v>191.48586539920348</v>
      </c>
      <c r="V390" s="255">
        <f xml:space="preserve"> tabConsumo[[#This Row],[Média.A]] + (_xlfn.STDEV.S( tabConsumo[[#This Row],[QTD.PENDENTE]]:tabConsumo[[#This Row],[07_23]] ) * 2)</f>
        <v>301.30506413174027</v>
      </c>
      <c r="W390" s="255">
        <f xml:space="preserve"> tabConsumo[[#This Row],[Média.A]] + (_xlfn.STDEV.S( tabConsumo[[#This Row],[QTD.PENDENTE]]:tabConsumo[[#This Row],[07_23]] ) * 3)</f>
        <v>411.12426286427711</v>
      </c>
      <c r="X390" s="5">
        <f t="shared" si="14"/>
        <v>2</v>
      </c>
      <c r="Y390">
        <v>78.416666666666671</v>
      </c>
      <c r="Z390" s="257">
        <f>SUM( tabConsumo[[#This Row],[QTD.PENDENTE]]:tabConsumo[[#This Row],[07_23]] )</f>
        <v>980</v>
      </c>
      <c r="AA390" s="257">
        <f>LARGE(tabConsumo[[#This Row],[08_22]:[07_23]],1)</f>
        <v>340</v>
      </c>
      <c r="AB390" s="175" t="s">
        <v>2212</v>
      </c>
      <c r="AC390" s="3" t="s">
        <v>2064</v>
      </c>
    </row>
    <row r="391" spans="1:29" x14ac:dyDescent="0.3">
      <c r="A391" s="4" t="s">
        <v>1478</v>
      </c>
      <c r="B391" s="3" t="s">
        <v>256</v>
      </c>
      <c r="C391" s="2">
        <v>82996</v>
      </c>
      <c r="D391" s="2">
        <v>480</v>
      </c>
      <c r="F391" s="2">
        <v>0</v>
      </c>
      <c r="G391" s="2">
        <v>0</v>
      </c>
      <c r="H391" s="2">
        <v>0</v>
      </c>
      <c r="I391" s="2">
        <v>0</v>
      </c>
      <c r="J391" s="2">
        <v>0</v>
      </c>
      <c r="K391" s="2">
        <v>0</v>
      </c>
      <c r="L391" s="2">
        <v>0</v>
      </c>
      <c r="M391" s="2">
        <v>100</v>
      </c>
      <c r="N391" s="2">
        <v>0</v>
      </c>
      <c r="O391" s="2">
        <v>0</v>
      </c>
      <c r="P391" s="2">
        <v>0</v>
      </c>
      <c r="Q391" s="2">
        <v>0</v>
      </c>
      <c r="R391" s="274">
        <v>38317</v>
      </c>
      <c r="S391" s="253">
        <v>12</v>
      </c>
      <c r="T391" s="254">
        <f>SUM( tabConsumo[[#This Row],[QTD.PENDENTE]]:tabConsumo[[#This Row],[07_23]] ) / tabConsumo[[#This Row],[Div]]</f>
        <v>8.3333333333333339</v>
      </c>
      <c r="U391" s="255">
        <f xml:space="preserve"> tabConsumo[[#This Row],[Média.A]] + (_xlfn.STDEV.S( tabConsumo[[#This Row],[QTD.PENDENTE]]:tabConsumo[[#This Row],[07_23]] ) * 1)</f>
        <v>37.200846792814623</v>
      </c>
      <c r="V391" s="255">
        <f xml:space="preserve"> tabConsumo[[#This Row],[Média.A]] + (_xlfn.STDEV.S( tabConsumo[[#This Row],[QTD.PENDENTE]]:tabConsumo[[#This Row],[07_23]] ) * 2)</f>
        <v>66.068360252295903</v>
      </c>
      <c r="W391" s="255">
        <f xml:space="preserve"> tabConsumo[[#This Row],[Média.A]] + (_xlfn.STDEV.S( tabConsumo[[#This Row],[QTD.PENDENTE]]:tabConsumo[[#This Row],[07_23]] ) * 3)</f>
        <v>94.935873711777191</v>
      </c>
      <c r="X391" s="5">
        <f t="shared" si="14"/>
        <v>2</v>
      </c>
      <c r="Y391">
        <v>5.5</v>
      </c>
      <c r="Z391" s="257">
        <f>SUM( tabConsumo[[#This Row],[QTD.PENDENTE]]:tabConsumo[[#This Row],[07_23]] )</f>
        <v>100</v>
      </c>
      <c r="AA391" s="257">
        <f>LARGE(tabConsumo[[#This Row],[08_22]:[07_23]],1)</f>
        <v>100</v>
      </c>
      <c r="AB391" s="175" t="s">
        <v>2217</v>
      </c>
      <c r="AC391" s="3" t="s">
        <v>2064</v>
      </c>
    </row>
    <row r="392" spans="1:29" x14ac:dyDescent="0.3">
      <c r="A392" s="4" t="s">
        <v>1299</v>
      </c>
      <c r="B392" s="3" t="s">
        <v>256</v>
      </c>
      <c r="C392" s="2">
        <v>51579</v>
      </c>
      <c r="D392" s="2">
        <v>653</v>
      </c>
      <c r="E392" s="2">
        <v>1</v>
      </c>
      <c r="F392" s="2">
        <v>74</v>
      </c>
      <c r="G392" s="2">
        <v>88</v>
      </c>
      <c r="H392" s="2">
        <v>70</v>
      </c>
      <c r="I392" s="2">
        <v>96</v>
      </c>
      <c r="J392" s="2">
        <v>49</v>
      </c>
      <c r="K392" s="2">
        <v>47</v>
      </c>
      <c r="L392" s="2">
        <v>62</v>
      </c>
      <c r="M392" s="2">
        <v>119</v>
      </c>
      <c r="N392" s="2">
        <v>89</v>
      </c>
      <c r="O392" s="2">
        <v>86</v>
      </c>
      <c r="P392" s="2">
        <v>92</v>
      </c>
      <c r="Q392" s="2">
        <v>80</v>
      </c>
      <c r="R392" s="274">
        <v>367</v>
      </c>
      <c r="S392" s="253">
        <f xml:space="preserve"> 12</f>
        <v>12</v>
      </c>
      <c r="T392" s="254">
        <f>SUM( tabConsumo[[#This Row],[QTD.PENDENTE]]:tabConsumo[[#This Row],[07_23]] ) / tabConsumo[[#This Row],[Div]]</f>
        <v>79.416666666666671</v>
      </c>
      <c r="U392" s="255">
        <f xml:space="preserve"> tabConsumo[[#This Row],[Média.A]] + (_xlfn.STDEV.S( tabConsumo[[#This Row],[QTD.PENDENTE]]:tabConsumo[[#This Row],[07_23]] ) * 1)</f>
        <v>108.67239150638713</v>
      </c>
      <c r="V392" s="255">
        <f xml:space="preserve"> tabConsumo[[#This Row],[Média.A]] + (_xlfn.STDEV.S( tabConsumo[[#This Row],[QTD.PENDENTE]]:tabConsumo[[#This Row],[07_23]] ) * 2)</f>
        <v>137.92811634610757</v>
      </c>
      <c r="W392" s="255">
        <f xml:space="preserve"> tabConsumo[[#This Row],[Média.A]] + (_xlfn.STDEV.S( tabConsumo[[#This Row],[QTD.PENDENTE]]:tabConsumo[[#This Row],[07_23]] ) * 3)</f>
        <v>167.18384118582804</v>
      </c>
      <c r="X392" s="5">
        <f t="shared" si="14"/>
        <v>2</v>
      </c>
      <c r="Y392">
        <v>79.416666666666671</v>
      </c>
      <c r="Z392" s="257">
        <f>SUM( tabConsumo[[#This Row],[QTD.PENDENTE]]:tabConsumo[[#This Row],[07_23]] )</f>
        <v>953</v>
      </c>
      <c r="AA392" s="257">
        <f>LARGE(tabConsumo[[#This Row],[08_22]:[07_23]],1)</f>
        <v>119</v>
      </c>
      <c r="AB392" s="175" t="s">
        <v>2211</v>
      </c>
      <c r="AC392" s="3" t="s">
        <v>2064</v>
      </c>
    </row>
    <row r="393" spans="1:29" x14ac:dyDescent="0.3">
      <c r="A393" s="4" t="s">
        <v>927</v>
      </c>
      <c r="B393" s="3" t="s">
        <v>413</v>
      </c>
      <c r="C393" s="2">
        <v>11116</v>
      </c>
      <c r="D393" s="2">
        <v>1479</v>
      </c>
      <c r="F393" s="2">
        <v>50</v>
      </c>
      <c r="G393" s="2">
        <v>46</v>
      </c>
      <c r="H393" s="2">
        <v>55</v>
      </c>
      <c r="I393" s="2">
        <v>47</v>
      </c>
      <c r="J393" s="2">
        <v>31</v>
      </c>
      <c r="K393" s="2">
        <v>44</v>
      </c>
      <c r="L393" s="2">
        <v>40</v>
      </c>
      <c r="M393" s="2">
        <v>78</v>
      </c>
      <c r="N393" s="2">
        <v>60</v>
      </c>
      <c r="O393" s="2">
        <v>65</v>
      </c>
      <c r="P393" s="2">
        <v>67</v>
      </c>
      <c r="Q393" s="2">
        <v>45</v>
      </c>
      <c r="R393" s="274">
        <v>367</v>
      </c>
      <c r="S393" s="253">
        <f xml:space="preserve"> 12</f>
        <v>12</v>
      </c>
      <c r="T393" s="254">
        <f>SUM( tabConsumo[[#This Row],[QTD.PENDENTE]]:tabConsumo[[#This Row],[07_23]] ) / tabConsumo[[#This Row],[Div]]</f>
        <v>52.333333333333336</v>
      </c>
      <c r="U393" s="255">
        <f xml:space="preserve"> tabConsumo[[#This Row],[Média.A]] + (_xlfn.STDEV.S( tabConsumo[[#This Row],[QTD.PENDENTE]]:tabConsumo[[#This Row],[07_23]] ) * 1)</f>
        <v>65.492038252568932</v>
      </c>
      <c r="V393" s="255">
        <f xml:space="preserve"> tabConsumo[[#This Row],[Média.A]] + (_xlfn.STDEV.S( tabConsumo[[#This Row],[QTD.PENDENTE]]:tabConsumo[[#This Row],[07_23]] ) * 2)</f>
        <v>78.650743171804521</v>
      </c>
      <c r="W393" s="255">
        <f xml:space="preserve"> tabConsumo[[#This Row],[Média.A]] + (_xlfn.STDEV.S( tabConsumo[[#This Row],[QTD.PENDENTE]]:tabConsumo[[#This Row],[07_23]] ) * 3)</f>
        <v>91.80944809104011</v>
      </c>
      <c r="X393" s="5">
        <f t="shared" si="14"/>
        <v>2</v>
      </c>
      <c r="Y393">
        <v>52.333333333333336</v>
      </c>
      <c r="Z393" s="257">
        <f>SUM( tabConsumo[[#This Row],[QTD.PENDENTE]]:tabConsumo[[#This Row],[07_23]] )</f>
        <v>628</v>
      </c>
      <c r="AA393" s="257">
        <f>LARGE(tabConsumo[[#This Row],[08_22]:[07_23]],1)</f>
        <v>78</v>
      </c>
      <c r="AB393" s="175" t="s">
        <v>2211</v>
      </c>
      <c r="AC393" s="3" t="s">
        <v>2064</v>
      </c>
    </row>
    <row r="394" spans="1:29" x14ac:dyDescent="0.3">
      <c r="A394" s="4" t="s">
        <v>1124</v>
      </c>
      <c r="B394" s="3" t="s">
        <v>256</v>
      </c>
      <c r="C394" s="2">
        <v>17135</v>
      </c>
      <c r="D394" s="2">
        <v>1580</v>
      </c>
      <c r="E394" s="2">
        <v>132</v>
      </c>
      <c r="F394" s="2">
        <v>445</v>
      </c>
      <c r="G394" s="2">
        <v>552</v>
      </c>
      <c r="H394" s="2">
        <v>225</v>
      </c>
      <c r="I394" s="2">
        <v>305</v>
      </c>
      <c r="J394" s="2">
        <v>225</v>
      </c>
      <c r="K394" s="2">
        <v>359</v>
      </c>
      <c r="L394" s="2">
        <v>705</v>
      </c>
      <c r="M394" s="2">
        <v>3802</v>
      </c>
      <c r="N394" s="2">
        <v>345</v>
      </c>
      <c r="O394" s="2">
        <v>440</v>
      </c>
      <c r="P394" s="2">
        <v>340</v>
      </c>
      <c r="Q394" s="2">
        <v>340</v>
      </c>
      <c r="R394" s="274">
        <v>367</v>
      </c>
      <c r="S394" s="253">
        <f xml:space="preserve"> 12</f>
        <v>12</v>
      </c>
      <c r="T394" s="254">
        <f>SUM( tabConsumo[[#This Row],[QTD.PENDENTE]]:tabConsumo[[#This Row],[07_23]] ) / tabConsumo[[#This Row],[Div]]</f>
        <v>684.58333333333337</v>
      </c>
      <c r="U394" s="255">
        <f xml:space="preserve"> tabConsumo[[#This Row],[Média.A]] + (_xlfn.STDEV.S( tabConsumo[[#This Row],[QTD.PENDENTE]]:tabConsumo[[#This Row],[07_23]] ) * 1)</f>
        <v>1648.4347621972829</v>
      </c>
      <c r="V394" s="255">
        <f xml:space="preserve"> tabConsumo[[#This Row],[Média.A]] + (_xlfn.STDEV.S( tabConsumo[[#This Row],[QTD.PENDENTE]]:tabConsumo[[#This Row],[07_23]] ) * 2)</f>
        <v>2612.2861910612323</v>
      </c>
      <c r="W394" s="255">
        <f xml:space="preserve"> tabConsumo[[#This Row],[Média.A]] + (_xlfn.STDEV.S( tabConsumo[[#This Row],[QTD.PENDENTE]]:tabConsumo[[#This Row],[07_23]] ) * 3)</f>
        <v>3576.1376199251818</v>
      </c>
      <c r="X394" s="5">
        <f t="shared" si="14"/>
        <v>2</v>
      </c>
      <c r="Y394">
        <v>585.41666666666663</v>
      </c>
      <c r="Z394" s="257">
        <f>SUM( tabConsumo[[#This Row],[QTD.PENDENTE]]:tabConsumo[[#This Row],[07_23]] )</f>
        <v>8215</v>
      </c>
      <c r="AA394" s="257">
        <f>LARGE(tabConsumo[[#This Row],[08_22]:[07_23]],1)</f>
        <v>3802</v>
      </c>
      <c r="AB394" s="175" t="s">
        <v>2211</v>
      </c>
      <c r="AC394" s="3" t="s">
        <v>2064</v>
      </c>
    </row>
    <row r="395" spans="1:29" x14ac:dyDescent="0.3">
      <c r="A395" s="4" t="s">
        <v>1125</v>
      </c>
      <c r="B395" s="3" t="s">
        <v>413</v>
      </c>
      <c r="C395" s="2">
        <v>17136</v>
      </c>
      <c r="D395" s="2">
        <v>639</v>
      </c>
      <c r="E395" s="2">
        <v>72</v>
      </c>
      <c r="F395" s="2">
        <v>96</v>
      </c>
      <c r="G395" s="2">
        <v>94</v>
      </c>
      <c r="H395" s="2">
        <v>85</v>
      </c>
      <c r="I395" s="2">
        <v>131</v>
      </c>
      <c r="J395" s="2">
        <v>37</v>
      </c>
      <c r="K395" s="2">
        <v>1</v>
      </c>
      <c r="L395" s="2">
        <v>0</v>
      </c>
      <c r="M395" s="2">
        <v>0</v>
      </c>
      <c r="N395" s="2">
        <v>27</v>
      </c>
      <c r="O395" s="2">
        <v>117</v>
      </c>
      <c r="P395" s="2">
        <v>112</v>
      </c>
      <c r="Q395" s="2">
        <v>105</v>
      </c>
      <c r="R395" s="274">
        <v>367</v>
      </c>
      <c r="S395" s="253">
        <f xml:space="preserve"> 12</f>
        <v>12</v>
      </c>
      <c r="T395" s="254">
        <f>SUM( tabConsumo[[#This Row],[QTD.PENDENTE]]:tabConsumo[[#This Row],[07_23]] ) / tabConsumo[[#This Row],[Div]]</f>
        <v>73.083333333333329</v>
      </c>
      <c r="U395" s="255">
        <f xml:space="preserve"> tabConsumo[[#This Row],[Média.A]] + (_xlfn.STDEV.S( tabConsumo[[#This Row],[QTD.PENDENTE]]:tabConsumo[[#This Row],[07_23]] ) * 1)</f>
        <v>121.228280082041</v>
      </c>
      <c r="V395" s="255">
        <f xml:space="preserve"> tabConsumo[[#This Row],[Média.A]] + (_xlfn.STDEV.S( tabConsumo[[#This Row],[QTD.PENDENTE]]:tabConsumo[[#This Row],[07_23]] ) * 2)</f>
        <v>169.37322683074865</v>
      </c>
      <c r="W395" s="255">
        <f xml:space="preserve"> tabConsumo[[#This Row],[Média.A]] + (_xlfn.STDEV.S( tabConsumo[[#This Row],[QTD.PENDENTE]]:tabConsumo[[#This Row],[07_23]] ) * 3)</f>
        <v>217.51817357945635</v>
      </c>
      <c r="X395" s="5">
        <f t="shared" si="14"/>
        <v>2</v>
      </c>
      <c r="Y395">
        <v>73.083333333333329</v>
      </c>
      <c r="Z395" s="257">
        <f>SUM( tabConsumo[[#This Row],[QTD.PENDENTE]]:tabConsumo[[#This Row],[07_23]] )</f>
        <v>877</v>
      </c>
      <c r="AA395" s="257">
        <f>LARGE(tabConsumo[[#This Row],[08_22]:[07_23]],1)</f>
        <v>131</v>
      </c>
      <c r="AB395" s="175" t="s">
        <v>2211</v>
      </c>
      <c r="AC395" s="3" t="s">
        <v>2064</v>
      </c>
    </row>
    <row r="396" spans="1:29" x14ac:dyDescent="0.3">
      <c r="A396" s="4" t="s">
        <v>1575</v>
      </c>
      <c r="B396" s="3" t="s">
        <v>256</v>
      </c>
      <c r="C396" s="2">
        <v>102588</v>
      </c>
      <c r="D396" s="2">
        <v>0</v>
      </c>
      <c r="E396" s="2">
        <v>65</v>
      </c>
      <c r="F396" s="2">
        <v>0</v>
      </c>
      <c r="G396" s="2">
        <v>0</v>
      </c>
      <c r="H396" s="2">
        <v>0</v>
      </c>
      <c r="I396" s="2">
        <v>20</v>
      </c>
      <c r="J396" s="2">
        <v>10</v>
      </c>
      <c r="K396" s="2">
        <v>8</v>
      </c>
      <c r="L396" s="2">
        <v>15</v>
      </c>
      <c r="M396" s="2">
        <v>45</v>
      </c>
      <c r="N396" s="2">
        <v>4</v>
      </c>
      <c r="O396" s="2">
        <v>5</v>
      </c>
      <c r="P396" s="2">
        <v>0</v>
      </c>
      <c r="Q396" s="2">
        <v>0</v>
      </c>
      <c r="R396" s="274">
        <v>39365</v>
      </c>
      <c r="S396" s="253">
        <v>12</v>
      </c>
      <c r="T396" s="254">
        <f>SUM( tabConsumo[[#This Row],[QTD.PENDENTE]]:tabConsumo[[#This Row],[07_23]] ) / tabConsumo[[#This Row],[Div]]</f>
        <v>14.333333333333334</v>
      </c>
      <c r="U396" s="255">
        <f xml:space="preserve"> tabConsumo[[#This Row],[Média.A]] + (_xlfn.STDEV.S( tabConsumo[[#This Row],[QTD.PENDENTE]]:tabConsumo[[#This Row],[07_23]] ) * 1)</f>
        <v>34.342305679732696</v>
      </c>
      <c r="V396" s="255">
        <f xml:space="preserve"> tabConsumo[[#This Row],[Média.A]] + (_xlfn.STDEV.S( tabConsumo[[#This Row],[QTD.PENDENTE]]:tabConsumo[[#This Row],[07_23]] ) * 2)</f>
        <v>54.351278026132057</v>
      </c>
      <c r="W396" s="255">
        <f xml:space="preserve"> tabConsumo[[#This Row],[Média.A]] + (_xlfn.STDEV.S( tabConsumo[[#This Row],[QTD.PENDENTE]]:tabConsumo[[#This Row],[07_23]] ) * 3)</f>
        <v>74.360250372531411</v>
      </c>
      <c r="X396" s="5">
        <f t="shared" si="14"/>
        <v>2</v>
      </c>
      <c r="Y396">
        <v>14.333333333333334</v>
      </c>
      <c r="Z396" s="257">
        <f>SUM( tabConsumo[[#This Row],[QTD.PENDENTE]]:tabConsumo[[#This Row],[07_23]] )</f>
        <v>172</v>
      </c>
      <c r="AA396" s="257">
        <f>LARGE(tabConsumo[[#This Row],[08_22]:[07_23]],1)</f>
        <v>45</v>
      </c>
      <c r="AB396" s="175" t="s">
        <v>2214</v>
      </c>
      <c r="AC396" s="3" t="s">
        <v>2064</v>
      </c>
    </row>
    <row r="397" spans="1:29" x14ac:dyDescent="0.3">
      <c r="A397" s="4" t="s">
        <v>1613</v>
      </c>
      <c r="B397" s="3" t="s">
        <v>256</v>
      </c>
      <c r="C397" s="2">
        <v>105294</v>
      </c>
      <c r="D397" s="2">
        <v>175</v>
      </c>
      <c r="E397" s="2">
        <v>2</v>
      </c>
      <c r="F397" s="2">
        <v>0</v>
      </c>
      <c r="G397" s="2">
        <v>0</v>
      </c>
      <c r="H397" s="2">
        <v>0</v>
      </c>
      <c r="I397" s="2">
        <v>0</v>
      </c>
      <c r="J397" s="2">
        <v>0</v>
      </c>
      <c r="K397" s="2">
        <v>0</v>
      </c>
      <c r="L397" s="2">
        <v>20</v>
      </c>
      <c r="M397" s="2">
        <v>10</v>
      </c>
      <c r="N397" s="2">
        <v>5</v>
      </c>
      <c r="O397" s="2">
        <v>50</v>
      </c>
      <c r="P397" s="2">
        <v>0</v>
      </c>
      <c r="Q397" s="2">
        <v>0</v>
      </c>
      <c r="R397" s="274">
        <v>39506</v>
      </c>
      <c r="S397" s="253">
        <v>12</v>
      </c>
      <c r="T397" s="254">
        <f>SUM( tabConsumo[[#This Row],[QTD.PENDENTE]]:tabConsumo[[#This Row],[07_23]] ) / tabConsumo[[#This Row],[Div]]</f>
        <v>7.25</v>
      </c>
      <c r="U397" s="255">
        <f xml:space="preserve"> tabConsumo[[#This Row],[Média.A]] + (_xlfn.STDEV.S( tabConsumo[[#This Row],[QTD.PENDENTE]]:tabConsumo[[#This Row],[07_23]] ) * 1)</f>
        <v>21.529265943928486</v>
      </c>
      <c r="V397" s="255">
        <f xml:space="preserve"> tabConsumo[[#This Row],[Média.A]] + (_xlfn.STDEV.S( tabConsumo[[#This Row],[QTD.PENDENTE]]:tabConsumo[[#This Row],[07_23]] ) * 2)</f>
        <v>35.808531887856972</v>
      </c>
      <c r="W397" s="255">
        <f xml:space="preserve"> tabConsumo[[#This Row],[Média.A]] + (_xlfn.STDEV.S( tabConsumo[[#This Row],[QTD.PENDENTE]]:tabConsumo[[#This Row],[07_23]] ) * 3)</f>
        <v>50.087797831785458</v>
      </c>
      <c r="X397" s="5">
        <f t="shared" si="14"/>
        <v>2</v>
      </c>
      <c r="Y397">
        <v>6</v>
      </c>
      <c r="Z397" s="257">
        <f>SUM( tabConsumo[[#This Row],[QTD.PENDENTE]]:tabConsumo[[#This Row],[07_23]] )</f>
        <v>87</v>
      </c>
      <c r="AA397" s="257">
        <f>LARGE(tabConsumo[[#This Row],[08_22]:[07_23]],1)</f>
        <v>50</v>
      </c>
      <c r="AB397" s="175" t="s">
        <v>2214</v>
      </c>
      <c r="AC397" s="3" t="s">
        <v>2064</v>
      </c>
    </row>
    <row r="398" spans="1:29" x14ac:dyDescent="0.3">
      <c r="A398" s="4" t="s">
        <v>1119</v>
      </c>
      <c r="B398" s="3" t="s">
        <v>268</v>
      </c>
      <c r="C398" s="2">
        <v>17115</v>
      </c>
      <c r="D398" s="2">
        <v>0</v>
      </c>
      <c r="E398" s="2">
        <v>629</v>
      </c>
      <c r="F398" s="2">
        <v>567</v>
      </c>
      <c r="G398" s="2">
        <v>546</v>
      </c>
      <c r="H398" s="2">
        <v>625</v>
      </c>
      <c r="I398" s="2">
        <v>705</v>
      </c>
      <c r="J398" s="2">
        <v>510</v>
      </c>
      <c r="K398" s="2">
        <v>210</v>
      </c>
      <c r="L398" s="2">
        <v>310</v>
      </c>
      <c r="M398" s="2">
        <v>410</v>
      </c>
      <c r="N398" s="2">
        <v>1118</v>
      </c>
      <c r="O398" s="2">
        <v>802</v>
      </c>
      <c r="P398" s="2">
        <v>681</v>
      </c>
      <c r="Q398" s="2">
        <v>60</v>
      </c>
      <c r="R398" s="274">
        <v>367</v>
      </c>
      <c r="S398" s="253">
        <f xml:space="preserve"> 12</f>
        <v>12</v>
      </c>
      <c r="T398" s="254">
        <f>SUM( tabConsumo[[#This Row],[QTD.PENDENTE]]:tabConsumo[[#This Row],[07_23]] ) / tabConsumo[[#This Row],[Div]]</f>
        <v>597.75</v>
      </c>
      <c r="U398" s="255">
        <f xml:space="preserve"> tabConsumo[[#This Row],[Média.A]] + (_xlfn.STDEV.S( tabConsumo[[#This Row],[QTD.PENDENTE]]:tabConsumo[[#This Row],[07_23]] ) * 1)</f>
        <v>867.61791641040304</v>
      </c>
      <c r="V398" s="255">
        <f xml:space="preserve"> tabConsumo[[#This Row],[Média.A]] + (_xlfn.STDEV.S( tabConsumo[[#This Row],[QTD.PENDENTE]]:tabConsumo[[#This Row],[07_23]] ) * 2)</f>
        <v>1137.4858328208061</v>
      </c>
      <c r="W398" s="255">
        <f xml:space="preserve"> tabConsumo[[#This Row],[Média.A]] + (_xlfn.STDEV.S( tabConsumo[[#This Row],[QTD.PENDENTE]]:tabConsumo[[#This Row],[07_23]] ) * 3)</f>
        <v>1407.3537492312091</v>
      </c>
      <c r="X398" s="5">
        <f t="shared" si="14"/>
        <v>2</v>
      </c>
      <c r="Y398">
        <v>597.75</v>
      </c>
      <c r="Z398" s="257">
        <f>SUM( tabConsumo[[#This Row],[QTD.PENDENTE]]:tabConsumo[[#This Row],[07_23]] )</f>
        <v>7173</v>
      </c>
      <c r="AA398" s="257">
        <f>LARGE(tabConsumo[[#This Row],[08_22]:[07_23]],1)</f>
        <v>1118</v>
      </c>
      <c r="AB398" s="175" t="s">
        <v>2211</v>
      </c>
      <c r="AC398" s="3" t="s">
        <v>2064</v>
      </c>
    </row>
    <row r="399" spans="1:29" x14ac:dyDescent="0.3">
      <c r="A399" s="4" t="s">
        <v>1393</v>
      </c>
      <c r="B399" s="3" t="s">
        <v>297</v>
      </c>
      <c r="C399" s="2">
        <v>67939</v>
      </c>
      <c r="D399" s="2">
        <v>30</v>
      </c>
      <c r="F399" s="2">
        <v>45</v>
      </c>
      <c r="G399" s="2">
        <v>20</v>
      </c>
      <c r="H399" s="2">
        <v>0</v>
      </c>
      <c r="I399" s="2">
        <v>30</v>
      </c>
      <c r="J399" s="2">
        <v>0</v>
      </c>
      <c r="K399" s="2">
        <v>18</v>
      </c>
      <c r="L399" s="2">
        <v>12</v>
      </c>
      <c r="M399" s="2">
        <v>30</v>
      </c>
      <c r="N399" s="2">
        <v>25</v>
      </c>
      <c r="O399" s="2">
        <v>0</v>
      </c>
      <c r="P399" s="2">
        <v>0</v>
      </c>
      <c r="Q399" s="2">
        <v>11</v>
      </c>
      <c r="R399" s="274">
        <v>367</v>
      </c>
      <c r="S399" s="253">
        <f xml:space="preserve"> 12</f>
        <v>12</v>
      </c>
      <c r="T399" s="254">
        <f>SUM( tabConsumo[[#This Row],[QTD.PENDENTE]]:tabConsumo[[#This Row],[07_23]] ) / tabConsumo[[#This Row],[Div]]</f>
        <v>15.916666666666666</v>
      </c>
      <c r="U399" s="255">
        <f xml:space="preserve"> tabConsumo[[#This Row],[Média.A]] + (_xlfn.STDEV.S( tabConsumo[[#This Row],[QTD.PENDENTE]]:tabConsumo[[#This Row],[07_23]] ) * 1)</f>
        <v>30.684311480019041</v>
      </c>
      <c r="V399" s="255">
        <f xml:space="preserve"> tabConsumo[[#This Row],[Média.A]] + (_xlfn.STDEV.S( tabConsumo[[#This Row],[QTD.PENDENTE]]:tabConsumo[[#This Row],[07_23]] ) * 2)</f>
        <v>45.451956293371417</v>
      </c>
      <c r="W399" s="255">
        <f xml:space="preserve"> tabConsumo[[#This Row],[Média.A]] + (_xlfn.STDEV.S( tabConsumo[[#This Row],[QTD.PENDENTE]]:tabConsumo[[#This Row],[07_23]] ) * 3)</f>
        <v>60.219601106723786</v>
      </c>
      <c r="X399" s="5">
        <f t="shared" si="14"/>
        <v>2</v>
      </c>
      <c r="Y399">
        <v>15.916666666666666</v>
      </c>
      <c r="Z399" s="257">
        <f>SUM( tabConsumo[[#This Row],[QTD.PENDENTE]]:tabConsumo[[#This Row],[07_23]] )</f>
        <v>191</v>
      </c>
      <c r="AA399" s="257">
        <f>LARGE(tabConsumo[[#This Row],[08_22]:[07_23]],1)</f>
        <v>45</v>
      </c>
      <c r="AB399" s="175" t="s">
        <v>2211</v>
      </c>
      <c r="AC399" s="3" t="s">
        <v>2064</v>
      </c>
    </row>
    <row r="400" spans="1:29" x14ac:dyDescent="0.3">
      <c r="A400" s="4" t="s">
        <v>1115</v>
      </c>
      <c r="B400" s="3" t="s">
        <v>275</v>
      </c>
      <c r="C400" s="2">
        <v>16571</v>
      </c>
      <c r="D400" s="2">
        <v>1334</v>
      </c>
      <c r="F400" s="2">
        <v>165</v>
      </c>
      <c r="G400" s="2">
        <v>146</v>
      </c>
      <c r="H400" s="2">
        <v>158</v>
      </c>
      <c r="I400" s="2">
        <v>180</v>
      </c>
      <c r="J400" s="2">
        <v>155</v>
      </c>
      <c r="K400" s="2">
        <v>155</v>
      </c>
      <c r="L400" s="2">
        <v>219</v>
      </c>
      <c r="M400" s="2">
        <v>395</v>
      </c>
      <c r="N400" s="2">
        <v>256</v>
      </c>
      <c r="O400" s="2">
        <v>237</v>
      </c>
      <c r="P400" s="2">
        <v>191</v>
      </c>
      <c r="Q400" s="2">
        <v>154</v>
      </c>
      <c r="R400" s="274">
        <v>367</v>
      </c>
      <c r="S400" s="253">
        <f xml:space="preserve"> 12</f>
        <v>12</v>
      </c>
      <c r="T400" s="254">
        <f>SUM( tabConsumo[[#This Row],[QTD.PENDENTE]]:tabConsumo[[#This Row],[07_23]] ) / tabConsumo[[#This Row],[Div]]</f>
        <v>200.91666666666666</v>
      </c>
      <c r="U400" s="255">
        <f xml:space="preserve"> tabConsumo[[#This Row],[Média.A]] + (_xlfn.STDEV.S( tabConsumo[[#This Row],[QTD.PENDENTE]]:tabConsumo[[#This Row],[07_23]] ) * 1)</f>
        <v>271.90508868466941</v>
      </c>
      <c r="V400" s="255">
        <f xml:space="preserve"> tabConsumo[[#This Row],[Média.A]] + (_xlfn.STDEV.S( tabConsumo[[#This Row],[QTD.PENDENTE]]:tabConsumo[[#This Row],[07_23]] ) * 2)</f>
        <v>342.89351070267219</v>
      </c>
      <c r="W400" s="255">
        <f xml:space="preserve"> tabConsumo[[#This Row],[Média.A]] + (_xlfn.STDEV.S( tabConsumo[[#This Row],[QTD.PENDENTE]]:tabConsumo[[#This Row],[07_23]] ) * 3)</f>
        <v>413.88193272067497</v>
      </c>
      <c r="X400" s="5">
        <f t="shared" si="14"/>
        <v>2</v>
      </c>
      <c r="Y400">
        <v>196.5</v>
      </c>
      <c r="Z400" s="257">
        <f>SUM( tabConsumo[[#This Row],[QTD.PENDENTE]]:tabConsumo[[#This Row],[07_23]] )</f>
        <v>2411</v>
      </c>
      <c r="AA400" s="257">
        <f>LARGE(tabConsumo[[#This Row],[08_22]:[07_23]],1)</f>
        <v>395</v>
      </c>
      <c r="AB400" s="175" t="s">
        <v>2211</v>
      </c>
      <c r="AC400" s="3" t="s">
        <v>2064</v>
      </c>
    </row>
    <row r="401" spans="1:29" x14ac:dyDescent="0.3">
      <c r="A401" s="4" t="s">
        <v>1646</v>
      </c>
      <c r="B401" s="3" t="s">
        <v>256</v>
      </c>
      <c r="C401" s="2">
        <v>108393</v>
      </c>
      <c r="D401" s="2">
        <v>161</v>
      </c>
      <c r="F401" s="2">
        <v>6</v>
      </c>
      <c r="G401" s="2">
        <v>0</v>
      </c>
      <c r="H401" s="2">
        <v>0</v>
      </c>
      <c r="I401" s="2">
        <v>0</v>
      </c>
      <c r="J401" s="2">
        <v>18</v>
      </c>
      <c r="K401" s="2">
        <v>0</v>
      </c>
      <c r="L401" s="2">
        <v>5</v>
      </c>
      <c r="M401" s="2">
        <v>10</v>
      </c>
      <c r="N401" s="2">
        <v>11</v>
      </c>
      <c r="O401" s="2">
        <v>0</v>
      </c>
      <c r="P401" s="2">
        <v>0</v>
      </c>
      <c r="Q401" s="2">
        <v>0</v>
      </c>
      <c r="R401" s="274">
        <v>39737</v>
      </c>
      <c r="S401" s="253">
        <v>12</v>
      </c>
      <c r="T401" s="254">
        <f>SUM( tabConsumo[[#This Row],[QTD.PENDENTE]]:tabConsumo[[#This Row],[07_23]] ) / tabConsumo[[#This Row],[Div]]</f>
        <v>4.166666666666667</v>
      </c>
      <c r="U401" s="255">
        <f xml:space="preserve"> tabConsumo[[#This Row],[Média.A]] + (_xlfn.STDEV.S( tabConsumo[[#This Row],[QTD.PENDENTE]]:tabConsumo[[#This Row],[07_23]] ) * 1)</f>
        <v>10.179279671967702</v>
      </c>
      <c r="V401" s="255">
        <f xml:space="preserve"> tabConsumo[[#This Row],[Média.A]] + (_xlfn.STDEV.S( tabConsumo[[#This Row],[QTD.PENDENTE]]:tabConsumo[[#This Row],[07_23]] ) * 2)</f>
        <v>16.191892677268736</v>
      </c>
      <c r="W401" s="255">
        <f xml:space="preserve"> tabConsumo[[#This Row],[Média.A]] + (_xlfn.STDEV.S( tabConsumo[[#This Row],[QTD.PENDENTE]]:tabConsumo[[#This Row],[07_23]] ) * 3)</f>
        <v>22.204505682569774</v>
      </c>
      <c r="X401" s="5">
        <f t="shared" si="14"/>
        <v>2</v>
      </c>
      <c r="Y401">
        <v>4</v>
      </c>
      <c r="Z401" s="257">
        <f>SUM( tabConsumo[[#This Row],[QTD.PENDENTE]]:tabConsumo[[#This Row],[07_23]] )</f>
        <v>50</v>
      </c>
      <c r="AA401" s="257">
        <f>LARGE(tabConsumo[[#This Row],[08_22]:[07_23]],1)</f>
        <v>18</v>
      </c>
      <c r="AB401" s="175" t="s">
        <v>2213</v>
      </c>
      <c r="AC401" s="3" t="s">
        <v>2064</v>
      </c>
    </row>
    <row r="402" spans="1:29" x14ac:dyDescent="0.3">
      <c r="A402" s="4" t="s">
        <v>1539</v>
      </c>
      <c r="B402" s="3" t="s">
        <v>256</v>
      </c>
      <c r="C402" s="2">
        <v>93486</v>
      </c>
      <c r="D402" s="2">
        <v>87</v>
      </c>
      <c r="F402" s="2">
        <v>0</v>
      </c>
      <c r="G402" s="2">
        <v>0</v>
      </c>
      <c r="H402" s="2">
        <v>0</v>
      </c>
      <c r="I402" s="2">
        <v>0</v>
      </c>
      <c r="J402" s="2">
        <v>0</v>
      </c>
      <c r="K402" s="2">
        <v>0</v>
      </c>
      <c r="L402" s="2">
        <v>2</v>
      </c>
      <c r="M402" s="2">
        <v>0</v>
      </c>
      <c r="N402" s="2">
        <v>1</v>
      </c>
      <c r="O402" s="2">
        <v>0</v>
      </c>
      <c r="P402" s="2">
        <v>0</v>
      </c>
      <c r="Q402" s="2">
        <v>0</v>
      </c>
      <c r="R402" s="274">
        <v>38930</v>
      </c>
      <c r="S402" s="253">
        <v>12</v>
      </c>
      <c r="T402" s="254">
        <f>SUM( tabConsumo[[#This Row],[QTD.PENDENTE]]:tabConsumo[[#This Row],[07_23]] ) / tabConsumo[[#This Row],[Div]]</f>
        <v>0.25</v>
      </c>
      <c r="U402" s="255">
        <f xml:space="preserve"> tabConsumo[[#This Row],[Média.A]] + (_xlfn.STDEV.S( tabConsumo[[#This Row],[QTD.PENDENTE]]:tabConsumo[[#This Row],[07_23]] ) * 1)</f>
        <v>0.87158156050806102</v>
      </c>
      <c r="V402" s="255">
        <f xml:space="preserve"> tabConsumo[[#This Row],[Média.A]] + (_xlfn.STDEV.S( tabConsumo[[#This Row],[QTD.PENDENTE]]:tabConsumo[[#This Row],[07_23]] ) * 2)</f>
        <v>1.493163121016122</v>
      </c>
      <c r="W402" s="255">
        <f xml:space="preserve"> tabConsumo[[#This Row],[Média.A]] + (_xlfn.STDEV.S( tabConsumo[[#This Row],[QTD.PENDENTE]]:tabConsumo[[#This Row],[07_23]] ) * 3)</f>
        <v>2.1147446815241828</v>
      </c>
      <c r="X402" s="5">
        <f t="shared" si="14"/>
        <v>2</v>
      </c>
      <c r="Y402">
        <v>0.16666666666666666</v>
      </c>
      <c r="Z402" s="257">
        <f>SUM( tabConsumo[[#This Row],[QTD.PENDENTE]]:tabConsumo[[#This Row],[07_23]] )</f>
        <v>3</v>
      </c>
      <c r="AA402" s="257">
        <f>LARGE(tabConsumo[[#This Row],[08_22]:[07_23]],1)</f>
        <v>2</v>
      </c>
      <c r="AB402" s="175" t="s">
        <v>2213</v>
      </c>
      <c r="AC402" s="3" t="s">
        <v>2064</v>
      </c>
    </row>
    <row r="403" spans="1:29" x14ac:dyDescent="0.3">
      <c r="A403" s="4" t="s">
        <v>1541</v>
      </c>
      <c r="B403" s="3" t="s">
        <v>256</v>
      </c>
      <c r="C403" s="2">
        <v>93488</v>
      </c>
      <c r="D403" s="2">
        <v>17</v>
      </c>
      <c r="F403" s="2">
        <v>0</v>
      </c>
      <c r="G403" s="2">
        <v>0</v>
      </c>
      <c r="H403" s="2">
        <v>0</v>
      </c>
      <c r="I403" s="2">
        <v>0</v>
      </c>
      <c r="J403" s="2">
        <v>0</v>
      </c>
      <c r="K403" s="2">
        <v>0</v>
      </c>
      <c r="L403" s="2">
        <v>0</v>
      </c>
      <c r="M403" s="2">
        <v>1</v>
      </c>
      <c r="N403" s="2">
        <v>4</v>
      </c>
      <c r="O403" s="2">
        <v>0</v>
      </c>
      <c r="P403" s="2">
        <v>0</v>
      </c>
      <c r="Q403" s="2">
        <v>0</v>
      </c>
      <c r="R403" s="274">
        <v>38930</v>
      </c>
      <c r="S403" s="253">
        <v>12</v>
      </c>
      <c r="T403" s="254">
        <f>SUM( tabConsumo[[#This Row],[QTD.PENDENTE]]:tabConsumo[[#This Row],[07_23]] ) / tabConsumo[[#This Row],[Div]]</f>
        <v>0.41666666666666669</v>
      </c>
      <c r="U403" s="255">
        <f xml:space="preserve"> tabConsumo[[#This Row],[Média.A]] + (_xlfn.STDEV.S( tabConsumo[[#This Row],[QTD.PENDENTE]]:tabConsumo[[#This Row],[07_23]] ) * 1)</f>
        <v>1.5811668195479818</v>
      </c>
      <c r="V403" s="255">
        <f xml:space="preserve"> tabConsumo[[#This Row],[Média.A]] + (_xlfn.STDEV.S( tabConsumo[[#This Row],[QTD.PENDENTE]]:tabConsumo[[#This Row],[07_23]] ) * 2)</f>
        <v>2.7456669724292966</v>
      </c>
      <c r="W403" s="255">
        <f xml:space="preserve"> tabConsumo[[#This Row],[Média.A]] + (_xlfn.STDEV.S( tabConsumo[[#This Row],[QTD.PENDENTE]]:tabConsumo[[#This Row],[07_23]] ) * 3)</f>
        <v>3.9101671253106116</v>
      </c>
      <c r="X403" s="5">
        <f t="shared" si="14"/>
        <v>2</v>
      </c>
      <c r="Y403">
        <v>0.25</v>
      </c>
      <c r="Z403" s="257">
        <f>SUM( tabConsumo[[#This Row],[QTD.PENDENTE]]:tabConsumo[[#This Row],[07_23]] )</f>
        <v>5</v>
      </c>
      <c r="AA403" s="257">
        <f>LARGE(tabConsumo[[#This Row],[08_22]:[07_23]],1)</f>
        <v>4</v>
      </c>
      <c r="AB403" s="175" t="s">
        <v>2213</v>
      </c>
      <c r="AC403" s="3" t="s">
        <v>2064</v>
      </c>
    </row>
    <row r="404" spans="1:29" x14ac:dyDescent="0.3">
      <c r="A404" s="4" t="s">
        <v>1681</v>
      </c>
      <c r="B404" s="3" t="s">
        <v>31</v>
      </c>
      <c r="C404" s="2">
        <v>112158</v>
      </c>
      <c r="D404" s="2">
        <v>248</v>
      </c>
      <c r="F404" s="2">
        <v>0</v>
      </c>
      <c r="G404" s="2">
        <v>18</v>
      </c>
      <c r="H404" s="2">
        <v>13</v>
      </c>
      <c r="I404" s="2">
        <v>14</v>
      </c>
      <c r="J404" s="2">
        <v>20</v>
      </c>
      <c r="K404" s="2">
        <v>19</v>
      </c>
      <c r="L404" s="2">
        <v>12</v>
      </c>
      <c r="M404" s="2">
        <v>25</v>
      </c>
      <c r="N404" s="2">
        <v>20</v>
      </c>
      <c r="O404" s="2">
        <v>0</v>
      </c>
      <c r="P404" s="2">
        <v>20</v>
      </c>
      <c r="Q404" s="2">
        <v>0</v>
      </c>
      <c r="R404" s="274">
        <v>40045</v>
      </c>
      <c r="S404" s="253">
        <v>12</v>
      </c>
      <c r="T404" s="254">
        <f>SUM( tabConsumo[[#This Row],[QTD.PENDENTE]]:tabConsumo[[#This Row],[07_23]] ) / tabConsumo[[#This Row],[Div]]</f>
        <v>13.416666666666666</v>
      </c>
      <c r="U404" s="255">
        <f xml:space="preserve"> tabConsumo[[#This Row],[Média.A]] + (_xlfn.STDEV.S( tabConsumo[[#This Row],[QTD.PENDENTE]]:tabConsumo[[#This Row],[07_23]] ) * 1)</f>
        <v>22.253144094541042</v>
      </c>
      <c r="V404" s="255">
        <f xml:space="preserve"> tabConsumo[[#This Row],[Média.A]] + (_xlfn.STDEV.S( tabConsumo[[#This Row],[QTD.PENDENTE]]:tabConsumo[[#This Row],[07_23]] ) * 2)</f>
        <v>31.089621522415413</v>
      </c>
      <c r="W404" s="255">
        <f xml:space="preserve"> tabConsumo[[#This Row],[Média.A]] + (_xlfn.STDEV.S( tabConsumo[[#This Row],[QTD.PENDENTE]]:tabConsumo[[#This Row],[07_23]] ) * 3)</f>
        <v>39.926098950289791</v>
      </c>
      <c r="X404" s="5">
        <f t="shared" si="14"/>
        <v>2</v>
      </c>
      <c r="Y404">
        <v>13.416666666666666</v>
      </c>
      <c r="Z404" s="257">
        <f>SUM( tabConsumo[[#This Row],[QTD.PENDENTE]]:tabConsumo[[#This Row],[07_23]] )</f>
        <v>161</v>
      </c>
      <c r="AA404" s="257">
        <f>LARGE(tabConsumo[[#This Row],[08_22]:[07_23]],1)</f>
        <v>25</v>
      </c>
      <c r="AB404" s="175" t="s">
        <v>2212</v>
      </c>
      <c r="AC404" s="3" t="s">
        <v>2064</v>
      </c>
    </row>
    <row r="405" spans="1:29" x14ac:dyDescent="0.3">
      <c r="A405" s="4" t="s">
        <v>1682</v>
      </c>
      <c r="B405" s="3" t="s">
        <v>31</v>
      </c>
      <c r="C405" s="2">
        <v>112159</v>
      </c>
      <c r="D405" s="2">
        <v>306</v>
      </c>
      <c r="F405" s="2">
        <v>0</v>
      </c>
      <c r="G405" s="2">
        <v>0</v>
      </c>
      <c r="H405" s="2">
        <v>4</v>
      </c>
      <c r="I405" s="2">
        <v>0</v>
      </c>
      <c r="J405" s="2">
        <v>3</v>
      </c>
      <c r="K405" s="2">
        <v>0</v>
      </c>
      <c r="L405" s="2">
        <v>4</v>
      </c>
      <c r="M405" s="2">
        <v>1</v>
      </c>
      <c r="N405" s="2">
        <v>20</v>
      </c>
      <c r="O405" s="2">
        <v>20</v>
      </c>
      <c r="P405" s="2">
        <v>0</v>
      </c>
      <c r="Q405" s="2">
        <v>0</v>
      </c>
      <c r="R405" s="274">
        <v>40045</v>
      </c>
      <c r="S405" s="253">
        <v>12</v>
      </c>
      <c r="T405" s="254">
        <f>SUM( tabConsumo[[#This Row],[QTD.PENDENTE]]:tabConsumo[[#This Row],[07_23]] ) / tabConsumo[[#This Row],[Div]]</f>
        <v>4.333333333333333</v>
      </c>
      <c r="U405" s="255">
        <f xml:space="preserve"> tabConsumo[[#This Row],[Média.A]] + (_xlfn.STDEV.S( tabConsumo[[#This Row],[QTD.PENDENTE]]:tabConsumo[[#This Row],[07_23]] ) * 1)</f>
        <v>11.820696424609597</v>
      </c>
      <c r="V405" s="255">
        <f xml:space="preserve"> tabConsumo[[#This Row],[Média.A]] + (_xlfn.STDEV.S( tabConsumo[[#This Row],[QTD.PENDENTE]]:tabConsumo[[#This Row],[07_23]] ) * 2)</f>
        <v>19.308059515885862</v>
      </c>
      <c r="W405" s="255">
        <f xml:space="preserve"> tabConsumo[[#This Row],[Média.A]] + (_xlfn.STDEV.S( tabConsumo[[#This Row],[QTD.PENDENTE]]:tabConsumo[[#This Row],[07_23]] ) * 3)</f>
        <v>26.795422607162124</v>
      </c>
      <c r="X405" s="5">
        <f t="shared" si="14"/>
        <v>2</v>
      </c>
      <c r="Y405">
        <v>4.166666666666667</v>
      </c>
      <c r="Z405" s="257">
        <f>SUM( tabConsumo[[#This Row],[QTD.PENDENTE]]:tabConsumo[[#This Row],[07_23]] )</f>
        <v>52</v>
      </c>
      <c r="AA405" s="257">
        <f>LARGE(tabConsumo[[#This Row],[08_22]:[07_23]],1)</f>
        <v>20</v>
      </c>
      <c r="AB405" s="175" t="s">
        <v>2214</v>
      </c>
      <c r="AC405" s="3" t="s">
        <v>2064</v>
      </c>
    </row>
    <row r="406" spans="1:29" x14ac:dyDescent="0.3">
      <c r="A406" s="4" t="s">
        <v>1669</v>
      </c>
      <c r="B406" s="3" t="s">
        <v>256</v>
      </c>
      <c r="C406" s="2">
        <v>110895</v>
      </c>
      <c r="D406" s="2">
        <v>223</v>
      </c>
      <c r="F406" s="2">
        <v>34</v>
      </c>
      <c r="G406" s="2">
        <v>3</v>
      </c>
      <c r="H406" s="2">
        <v>16</v>
      </c>
      <c r="I406" s="2">
        <v>0</v>
      </c>
      <c r="J406" s="2">
        <v>8</v>
      </c>
      <c r="K406" s="2">
        <v>10</v>
      </c>
      <c r="L406" s="2">
        <v>12</v>
      </c>
      <c r="M406" s="2">
        <v>29</v>
      </c>
      <c r="N406" s="2">
        <v>20</v>
      </c>
      <c r="O406" s="2">
        <v>0</v>
      </c>
      <c r="P406" s="2">
        <v>30</v>
      </c>
      <c r="Q406" s="2">
        <v>75</v>
      </c>
      <c r="R406" s="274">
        <v>39944</v>
      </c>
      <c r="S406" s="253">
        <v>12</v>
      </c>
      <c r="T406" s="254">
        <f>SUM( tabConsumo[[#This Row],[QTD.PENDENTE]]:tabConsumo[[#This Row],[07_23]] ) / tabConsumo[[#This Row],[Div]]</f>
        <v>19.75</v>
      </c>
      <c r="U406" s="255">
        <f xml:space="preserve"> tabConsumo[[#This Row],[Média.A]] + (_xlfn.STDEV.S( tabConsumo[[#This Row],[QTD.PENDENTE]]:tabConsumo[[#This Row],[07_23]] ) * 1)</f>
        <v>40.670303317808063</v>
      </c>
      <c r="V406" s="255">
        <f xml:space="preserve"> tabConsumo[[#This Row],[Média.A]] + (_xlfn.STDEV.S( tabConsumo[[#This Row],[QTD.PENDENTE]]:tabConsumo[[#This Row],[07_23]] ) * 2)</f>
        <v>61.590606635616119</v>
      </c>
      <c r="W406" s="255">
        <f xml:space="preserve"> tabConsumo[[#This Row],[Média.A]] + (_xlfn.STDEV.S( tabConsumo[[#This Row],[QTD.PENDENTE]]:tabConsumo[[#This Row],[07_23]] ) * 3)</f>
        <v>82.510909953424175</v>
      </c>
      <c r="X406" s="5">
        <f t="shared" si="14"/>
        <v>2</v>
      </c>
      <c r="Y406">
        <v>18.583333333333332</v>
      </c>
      <c r="Z406" s="257">
        <f>SUM( tabConsumo[[#This Row],[QTD.PENDENTE]]:tabConsumo[[#This Row],[07_23]] )</f>
        <v>237</v>
      </c>
      <c r="AA406" s="257">
        <f>LARGE(tabConsumo[[#This Row],[08_22]:[07_23]],1)</f>
        <v>75</v>
      </c>
      <c r="AB406" s="175" t="s">
        <v>2211</v>
      </c>
      <c r="AC406" s="3" t="s">
        <v>2064</v>
      </c>
    </row>
    <row r="407" spans="1:29" x14ac:dyDescent="0.3">
      <c r="A407" s="4" t="s">
        <v>984</v>
      </c>
      <c r="B407" s="3" t="s">
        <v>256</v>
      </c>
      <c r="C407" s="2">
        <v>12989</v>
      </c>
      <c r="D407" s="2">
        <v>0</v>
      </c>
      <c r="E407" s="2">
        <v>100</v>
      </c>
      <c r="F407" s="2">
        <v>20</v>
      </c>
      <c r="G407" s="2">
        <v>55</v>
      </c>
      <c r="H407" s="2">
        <v>10</v>
      </c>
      <c r="I407" s="2">
        <v>7</v>
      </c>
      <c r="J407" s="2">
        <v>0</v>
      </c>
      <c r="K407" s="2">
        <v>68</v>
      </c>
      <c r="L407" s="2">
        <v>13</v>
      </c>
      <c r="M407" s="2">
        <v>13</v>
      </c>
      <c r="N407" s="2">
        <v>4</v>
      </c>
      <c r="O407" s="2">
        <v>0</v>
      </c>
      <c r="P407" s="2">
        <v>0</v>
      </c>
      <c r="Q407" s="2">
        <v>16</v>
      </c>
      <c r="R407" s="274">
        <v>367</v>
      </c>
      <c r="S407" s="253">
        <f xml:space="preserve"> 12</f>
        <v>12</v>
      </c>
      <c r="T407" s="254">
        <f>SUM( tabConsumo[[#This Row],[QTD.PENDENTE]]:tabConsumo[[#This Row],[07_23]] ) / tabConsumo[[#This Row],[Div]]</f>
        <v>25.5</v>
      </c>
      <c r="U407" s="255">
        <f xml:space="preserve"> tabConsumo[[#This Row],[Média.A]] + (_xlfn.STDEV.S( tabConsumo[[#This Row],[QTD.PENDENTE]]:tabConsumo[[#This Row],[07_23]] ) * 1)</f>
        <v>56.598272686799888</v>
      </c>
      <c r="V407" s="255">
        <f xml:space="preserve"> tabConsumo[[#This Row],[Média.A]] + (_xlfn.STDEV.S( tabConsumo[[#This Row],[QTD.PENDENTE]]:tabConsumo[[#This Row],[07_23]] ) * 2)</f>
        <v>87.696545373599776</v>
      </c>
      <c r="W407" s="255">
        <f xml:space="preserve"> tabConsumo[[#This Row],[Média.A]] + (_xlfn.STDEV.S( tabConsumo[[#This Row],[QTD.PENDENTE]]:tabConsumo[[#This Row],[07_23]] ) * 3)</f>
        <v>118.79481806039968</v>
      </c>
      <c r="X407" s="5">
        <f t="shared" si="14"/>
        <v>2</v>
      </c>
      <c r="Y407">
        <v>25.5</v>
      </c>
      <c r="Z407" s="257">
        <f>SUM( tabConsumo[[#This Row],[QTD.PENDENTE]]:tabConsumo[[#This Row],[07_23]] )</f>
        <v>306</v>
      </c>
      <c r="AA407" s="257">
        <f>LARGE(tabConsumo[[#This Row],[08_22]:[07_23]],1)</f>
        <v>68</v>
      </c>
      <c r="AB407" s="175" t="s">
        <v>2211</v>
      </c>
      <c r="AC407" s="3" t="s">
        <v>2064</v>
      </c>
    </row>
    <row r="408" spans="1:29" x14ac:dyDescent="0.3">
      <c r="A408" s="4" t="s">
        <v>1670</v>
      </c>
      <c r="B408" s="3" t="s">
        <v>256</v>
      </c>
      <c r="C408" s="2">
        <v>110896</v>
      </c>
      <c r="D408" s="2">
        <v>42</v>
      </c>
      <c r="F408" s="2">
        <v>0</v>
      </c>
      <c r="G408" s="2">
        <v>2</v>
      </c>
      <c r="H408" s="2">
        <v>0</v>
      </c>
      <c r="I408" s="2">
        <v>2</v>
      </c>
      <c r="J408" s="2">
        <v>0</v>
      </c>
      <c r="K408" s="2">
        <v>0</v>
      </c>
      <c r="L408" s="2">
        <v>0</v>
      </c>
      <c r="M408" s="2">
        <v>10</v>
      </c>
      <c r="N408" s="2">
        <v>0</v>
      </c>
      <c r="O408" s="2">
        <v>0</v>
      </c>
      <c r="P408" s="2">
        <v>0</v>
      </c>
      <c r="Q408" s="2">
        <v>0</v>
      </c>
      <c r="R408" s="274">
        <v>39944</v>
      </c>
      <c r="S408" s="253">
        <v>12</v>
      </c>
      <c r="T408" s="254">
        <f>SUM( tabConsumo[[#This Row],[QTD.PENDENTE]]:tabConsumo[[#This Row],[07_23]] ) / tabConsumo[[#This Row],[Div]]</f>
        <v>1.1666666666666667</v>
      </c>
      <c r="U408" s="255">
        <f xml:space="preserve"> tabConsumo[[#This Row],[Média.A]] + (_xlfn.STDEV.S( tabConsumo[[#This Row],[QTD.PENDENTE]]:tabConsumo[[#This Row],[07_23]] ) * 1)</f>
        <v>4.0534180126147961</v>
      </c>
      <c r="V408" s="255">
        <f xml:space="preserve"> tabConsumo[[#This Row],[Média.A]] + (_xlfn.STDEV.S( tabConsumo[[#This Row],[QTD.PENDENTE]]:tabConsumo[[#This Row],[07_23]] ) * 2)</f>
        <v>6.9401693585629252</v>
      </c>
      <c r="W408" s="255">
        <f xml:space="preserve"> tabConsumo[[#This Row],[Média.A]] + (_xlfn.STDEV.S( tabConsumo[[#This Row],[QTD.PENDENTE]]:tabConsumo[[#This Row],[07_23]] ) * 3)</f>
        <v>9.8269207045110534</v>
      </c>
      <c r="X408" s="5">
        <f t="shared" si="14"/>
        <v>2</v>
      </c>
      <c r="Y408">
        <v>0.83333333333333337</v>
      </c>
      <c r="Z408" s="257">
        <f>SUM( tabConsumo[[#This Row],[QTD.PENDENTE]]:tabConsumo[[#This Row],[07_23]] )</f>
        <v>14</v>
      </c>
      <c r="AA408" s="257">
        <f>LARGE(tabConsumo[[#This Row],[08_22]:[07_23]],1)</f>
        <v>10</v>
      </c>
      <c r="AB408" s="175" t="s">
        <v>2217</v>
      </c>
      <c r="AC408" s="3" t="s">
        <v>2064</v>
      </c>
    </row>
    <row r="409" spans="1:29" x14ac:dyDescent="0.3">
      <c r="A409" s="4" t="s">
        <v>1088</v>
      </c>
      <c r="B409" s="3" t="s">
        <v>256</v>
      </c>
      <c r="C409" s="2">
        <v>15299</v>
      </c>
      <c r="D409" s="2">
        <v>46</v>
      </c>
      <c r="F409" s="2">
        <v>66</v>
      </c>
      <c r="G409" s="2">
        <v>54</v>
      </c>
      <c r="H409" s="2">
        <v>4</v>
      </c>
      <c r="I409" s="2">
        <v>16</v>
      </c>
      <c r="J409" s="2">
        <v>48</v>
      </c>
      <c r="K409" s="2">
        <v>56</v>
      </c>
      <c r="L409" s="2">
        <v>15</v>
      </c>
      <c r="M409" s="2">
        <v>50</v>
      </c>
      <c r="N409" s="2">
        <v>20</v>
      </c>
      <c r="O409" s="2">
        <v>4</v>
      </c>
      <c r="P409" s="2">
        <v>20</v>
      </c>
      <c r="Q409" s="2">
        <v>50</v>
      </c>
      <c r="R409" s="274">
        <v>367</v>
      </c>
      <c r="S409" s="253">
        <f xml:space="preserve"> 12</f>
        <v>12</v>
      </c>
      <c r="T409" s="254">
        <f>SUM( tabConsumo[[#This Row],[QTD.PENDENTE]]:tabConsumo[[#This Row],[07_23]] ) / tabConsumo[[#This Row],[Div]]</f>
        <v>33.583333333333336</v>
      </c>
      <c r="U409" s="255">
        <f xml:space="preserve"> tabConsumo[[#This Row],[Média.A]] + (_xlfn.STDEV.S( tabConsumo[[#This Row],[QTD.PENDENTE]]:tabConsumo[[#This Row],[07_23]] ) * 1)</f>
        <v>55.925540977705509</v>
      </c>
      <c r="V409" s="255">
        <f xml:space="preserve"> tabConsumo[[#This Row],[Média.A]] + (_xlfn.STDEV.S( tabConsumo[[#This Row],[QTD.PENDENTE]]:tabConsumo[[#This Row],[07_23]] ) * 2)</f>
        <v>78.267748622077676</v>
      </c>
      <c r="W409" s="255">
        <f xml:space="preserve"> tabConsumo[[#This Row],[Média.A]] + (_xlfn.STDEV.S( tabConsumo[[#This Row],[QTD.PENDENTE]]:tabConsumo[[#This Row],[07_23]] ) * 3)</f>
        <v>100.60995626644987</v>
      </c>
      <c r="X409" s="5">
        <f t="shared" si="14"/>
        <v>2</v>
      </c>
      <c r="Y409">
        <v>33.583333333333336</v>
      </c>
      <c r="Z409" s="257">
        <f>SUM( tabConsumo[[#This Row],[QTD.PENDENTE]]:tabConsumo[[#This Row],[07_23]] )</f>
        <v>403</v>
      </c>
      <c r="AA409" s="257">
        <f>LARGE(tabConsumo[[#This Row],[08_22]:[07_23]],1)</f>
        <v>66</v>
      </c>
      <c r="AB409" s="175" t="s">
        <v>2211</v>
      </c>
      <c r="AC409" s="3" t="s">
        <v>2064</v>
      </c>
    </row>
    <row r="410" spans="1:29" x14ac:dyDescent="0.3">
      <c r="A410" s="4" t="s">
        <v>986</v>
      </c>
      <c r="B410" s="3" t="s">
        <v>256</v>
      </c>
      <c r="C410" s="2">
        <v>12992</v>
      </c>
      <c r="D410" s="2">
        <v>0</v>
      </c>
      <c r="E410" s="2">
        <v>44</v>
      </c>
      <c r="F410" s="2">
        <v>5</v>
      </c>
      <c r="G410" s="2">
        <v>7</v>
      </c>
      <c r="H410" s="2">
        <v>1</v>
      </c>
      <c r="I410" s="2">
        <v>2</v>
      </c>
      <c r="J410" s="2">
        <v>2</v>
      </c>
      <c r="K410" s="2">
        <v>18</v>
      </c>
      <c r="L410" s="2">
        <v>0</v>
      </c>
      <c r="M410" s="2">
        <v>10</v>
      </c>
      <c r="N410" s="2">
        <v>18</v>
      </c>
      <c r="O410" s="2">
        <v>0</v>
      </c>
      <c r="P410" s="2">
        <v>0</v>
      </c>
      <c r="Q410" s="2">
        <v>8</v>
      </c>
      <c r="R410" s="274">
        <v>367</v>
      </c>
      <c r="S410" s="253">
        <f xml:space="preserve"> 12</f>
        <v>12</v>
      </c>
      <c r="T410" s="254">
        <f>SUM( tabConsumo[[#This Row],[QTD.PENDENTE]]:tabConsumo[[#This Row],[07_23]] ) / tabConsumo[[#This Row],[Div]]</f>
        <v>9.5833333333333339</v>
      </c>
      <c r="U410" s="255">
        <f xml:space="preserve"> tabConsumo[[#This Row],[Média.A]] + (_xlfn.STDEV.S( tabConsumo[[#This Row],[QTD.PENDENTE]]:tabConsumo[[#This Row],[07_23]] ) * 1)</f>
        <v>21.877275973553584</v>
      </c>
      <c r="V410" s="255">
        <f xml:space="preserve"> tabConsumo[[#This Row],[Média.A]] + (_xlfn.STDEV.S( tabConsumo[[#This Row],[QTD.PENDENTE]]:tabConsumo[[#This Row],[07_23]] ) * 2)</f>
        <v>34.171218613773831</v>
      </c>
      <c r="W410" s="255">
        <f xml:space="preserve"> tabConsumo[[#This Row],[Média.A]] + (_xlfn.STDEV.S( tabConsumo[[#This Row],[QTD.PENDENTE]]:tabConsumo[[#This Row],[07_23]] ) * 3)</f>
        <v>46.465161253994083</v>
      </c>
      <c r="X410" s="5">
        <f t="shared" si="14"/>
        <v>2</v>
      </c>
      <c r="Y410">
        <v>9.5833333333333339</v>
      </c>
      <c r="Z410" s="257">
        <f>SUM( tabConsumo[[#This Row],[QTD.PENDENTE]]:tabConsumo[[#This Row],[07_23]] )</f>
        <v>115</v>
      </c>
      <c r="AA410" s="257">
        <f>LARGE(tabConsumo[[#This Row],[08_22]:[07_23]],1)</f>
        <v>18</v>
      </c>
      <c r="AB410" s="175" t="s">
        <v>2211</v>
      </c>
      <c r="AC410" s="3" t="s">
        <v>2064</v>
      </c>
    </row>
    <row r="411" spans="1:29" x14ac:dyDescent="0.3">
      <c r="A411" s="4" t="s">
        <v>1725</v>
      </c>
      <c r="B411" s="3" t="s">
        <v>31</v>
      </c>
      <c r="C411" s="2">
        <v>119180</v>
      </c>
      <c r="D411" s="2">
        <v>157</v>
      </c>
      <c r="F411" s="2">
        <v>0</v>
      </c>
      <c r="G411" s="2">
        <v>0</v>
      </c>
      <c r="H411" s="2">
        <v>12</v>
      </c>
      <c r="I411" s="2">
        <v>3</v>
      </c>
      <c r="J411" s="2">
        <v>0</v>
      </c>
      <c r="K411" s="2">
        <v>0</v>
      </c>
      <c r="L411" s="2">
        <v>0</v>
      </c>
      <c r="M411" s="2">
        <v>0</v>
      </c>
      <c r="N411" s="2">
        <v>20</v>
      </c>
      <c r="O411" s="2">
        <v>24</v>
      </c>
      <c r="P411" s="2">
        <v>0</v>
      </c>
      <c r="Q411" s="2">
        <v>0</v>
      </c>
      <c r="R411" s="274">
        <v>40581</v>
      </c>
      <c r="S411" s="253">
        <v>12</v>
      </c>
      <c r="T411" s="254">
        <f>SUM( tabConsumo[[#This Row],[QTD.PENDENTE]]:tabConsumo[[#This Row],[07_23]] ) / tabConsumo[[#This Row],[Div]]</f>
        <v>4.916666666666667</v>
      </c>
      <c r="U411" s="255">
        <f xml:space="preserve"> tabConsumo[[#This Row],[Média.A]] + (_xlfn.STDEV.S( tabConsumo[[#This Row],[QTD.PENDENTE]]:tabConsumo[[#This Row],[07_23]] ) * 1)</f>
        <v>13.649658795092726</v>
      </c>
      <c r="V411" s="255">
        <f xml:space="preserve"> tabConsumo[[#This Row],[Média.A]] + (_xlfn.STDEV.S( tabConsumo[[#This Row],[QTD.PENDENTE]]:tabConsumo[[#This Row],[07_23]] ) * 2)</f>
        <v>22.382650923518785</v>
      </c>
      <c r="W411" s="255">
        <f xml:space="preserve"> tabConsumo[[#This Row],[Média.A]] + (_xlfn.STDEV.S( tabConsumo[[#This Row],[QTD.PENDENTE]]:tabConsumo[[#This Row],[07_23]] ) * 3)</f>
        <v>31.115643051944843</v>
      </c>
      <c r="X411" s="5">
        <f t="shared" si="14"/>
        <v>2</v>
      </c>
      <c r="Y411">
        <v>4.75</v>
      </c>
      <c r="Z411" s="257">
        <f>SUM( tabConsumo[[#This Row],[QTD.PENDENTE]]:tabConsumo[[#This Row],[07_23]] )</f>
        <v>59</v>
      </c>
      <c r="AA411" s="257">
        <f>LARGE(tabConsumo[[#This Row],[08_22]:[07_23]],1)</f>
        <v>24</v>
      </c>
      <c r="AB411" s="175" t="s">
        <v>2214</v>
      </c>
      <c r="AC411" s="3" t="s">
        <v>2064</v>
      </c>
    </row>
    <row r="412" spans="1:29" x14ac:dyDescent="0.3">
      <c r="A412" s="4" t="s">
        <v>1798</v>
      </c>
      <c r="B412" s="3" t="s">
        <v>256</v>
      </c>
      <c r="C412" s="2">
        <v>130634</v>
      </c>
      <c r="D412" s="2">
        <v>1077</v>
      </c>
      <c r="F412" s="2">
        <v>54</v>
      </c>
      <c r="G412" s="2">
        <v>81</v>
      </c>
      <c r="H412" s="2">
        <v>78</v>
      </c>
      <c r="I412" s="2">
        <v>4</v>
      </c>
      <c r="J412" s="2">
        <v>31</v>
      </c>
      <c r="K412" s="2">
        <v>10</v>
      </c>
      <c r="L412" s="2">
        <v>76</v>
      </c>
      <c r="M412" s="2">
        <v>209</v>
      </c>
      <c r="N412" s="2">
        <v>409</v>
      </c>
      <c r="O412" s="2">
        <v>54</v>
      </c>
      <c r="P412" s="2">
        <v>251</v>
      </c>
      <c r="Q412" s="2">
        <v>0</v>
      </c>
      <c r="R412" s="274">
        <v>42208</v>
      </c>
      <c r="S412" s="253">
        <v>12</v>
      </c>
      <c r="T412" s="254">
        <f>SUM( tabConsumo[[#This Row],[QTD.PENDENTE]]:tabConsumo[[#This Row],[07_23]] ) / tabConsumo[[#This Row],[Div]]</f>
        <v>104.75</v>
      </c>
      <c r="U412" s="255">
        <f xml:space="preserve"> tabConsumo[[#This Row],[Média.A]] + (_xlfn.STDEV.S( tabConsumo[[#This Row],[QTD.PENDENTE]]:tabConsumo[[#This Row],[07_23]] ) * 1)</f>
        <v>228.19385915725564</v>
      </c>
      <c r="V412" s="255">
        <f xml:space="preserve"> tabConsumo[[#This Row],[Média.A]] + (_xlfn.STDEV.S( tabConsumo[[#This Row],[QTD.PENDENTE]]:tabConsumo[[#This Row],[07_23]] ) * 2)</f>
        <v>351.63771831451129</v>
      </c>
      <c r="W412" s="255">
        <f xml:space="preserve"> tabConsumo[[#This Row],[Média.A]] + (_xlfn.STDEV.S( tabConsumo[[#This Row],[QTD.PENDENTE]]:tabConsumo[[#This Row],[07_23]] ) * 3)</f>
        <v>475.08157747176688</v>
      </c>
      <c r="X412" s="5">
        <f t="shared" si="14"/>
        <v>2</v>
      </c>
      <c r="Y412">
        <v>99.916666666666671</v>
      </c>
      <c r="Z412" s="257">
        <f>SUM( tabConsumo[[#This Row],[QTD.PENDENTE]]:tabConsumo[[#This Row],[07_23]] )</f>
        <v>1257</v>
      </c>
      <c r="AA412" s="257">
        <f>LARGE(tabConsumo[[#This Row],[08_22]:[07_23]],1)</f>
        <v>409</v>
      </c>
      <c r="AB412" s="175" t="s">
        <v>2212</v>
      </c>
      <c r="AC412" s="3" t="s">
        <v>2064</v>
      </c>
    </row>
    <row r="413" spans="1:29" x14ac:dyDescent="0.3">
      <c r="A413" s="4" t="s">
        <v>1542</v>
      </c>
      <c r="B413" s="3" t="s">
        <v>256</v>
      </c>
      <c r="C413" s="2">
        <v>95121</v>
      </c>
      <c r="D413" s="2">
        <v>0</v>
      </c>
      <c r="E413" s="2">
        <v>50</v>
      </c>
      <c r="F413" s="2">
        <v>10</v>
      </c>
      <c r="G413" s="2">
        <v>18</v>
      </c>
      <c r="H413" s="2">
        <v>40</v>
      </c>
      <c r="I413" s="2">
        <v>11</v>
      </c>
      <c r="J413" s="2">
        <v>49</v>
      </c>
      <c r="K413" s="2">
        <v>39</v>
      </c>
      <c r="L413" s="2">
        <v>20</v>
      </c>
      <c r="M413" s="2">
        <v>31</v>
      </c>
      <c r="N413" s="2">
        <v>65</v>
      </c>
      <c r="O413" s="2">
        <v>19</v>
      </c>
      <c r="P413" s="2">
        <v>21</v>
      </c>
      <c r="Q413" s="2">
        <v>0</v>
      </c>
      <c r="R413" s="274">
        <v>39001</v>
      </c>
      <c r="S413" s="253">
        <v>12</v>
      </c>
      <c r="T413" s="254">
        <f>SUM( tabConsumo[[#This Row],[QTD.PENDENTE]]:tabConsumo[[#This Row],[07_23]] ) / tabConsumo[[#This Row],[Div]]</f>
        <v>31.083333333333332</v>
      </c>
      <c r="U413" s="255">
        <f xml:space="preserve"> tabConsumo[[#This Row],[Média.A]] + (_xlfn.STDEV.S( tabConsumo[[#This Row],[QTD.PENDENTE]]:tabConsumo[[#This Row],[07_23]] ) * 1)</f>
        <v>49.908779832618173</v>
      </c>
      <c r="V413" s="255">
        <f xml:space="preserve"> tabConsumo[[#This Row],[Média.A]] + (_xlfn.STDEV.S( tabConsumo[[#This Row],[QTD.PENDENTE]]:tabConsumo[[#This Row],[07_23]] ) * 2)</f>
        <v>68.734226331903017</v>
      </c>
      <c r="W413" s="255">
        <f xml:space="preserve"> tabConsumo[[#This Row],[Média.A]] + (_xlfn.STDEV.S( tabConsumo[[#This Row],[QTD.PENDENTE]]:tabConsumo[[#This Row],[07_23]] ) * 3)</f>
        <v>87.559672831187854</v>
      </c>
      <c r="X413" s="5">
        <f t="shared" si="14"/>
        <v>2</v>
      </c>
      <c r="Y413">
        <v>31.083333333333332</v>
      </c>
      <c r="Z413" s="257">
        <f>SUM( tabConsumo[[#This Row],[QTD.PENDENTE]]:tabConsumo[[#This Row],[07_23]] )</f>
        <v>373</v>
      </c>
      <c r="AA413" s="257">
        <f>LARGE(tabConsumo[[#This Row],[08_22]:[07_23]],1)</f>
        <v>65</v>
      </c>
      <c r="AB413" s="175" t="s">
        <v>2212</v>
      </c>
      <c r="AC413" s="3" t="s">
        <v>2064</v>
      </c>
    </row>
    <row r="414" spans="1:29" x14ac:dyDescent="0.3">
      <c r="A414" s="4" t="s">
        <v>1316</v>
      </c>
      <c r="B414" s="3" t="s">
        <v>256</v>
      </c>
      <c r="C414" s="2">
        <v>54144</v>
      </c>
      <c r="D414" s="2">
        <v>381</v>
      </c>
      <c r="F414" s="2">
        <v>0</v>
      </c>
      <c r="G414" s="2">
        <v>16</v>
      </c>
      <c r="H414" s="2">
        <v>90</v>
      </c>
      <c r="I414" s="2">
        <v>35</v>
      </c>
      <c r="J414" s="2">
        <v>20</v>
      </c>
      <c r="K414" s="2">
        <v>20</v>
      </c>
      <c r="L414" s="2">
        <v>33</v>
      </c>
      <c r="M414" s="2">
        <v>0</v>
      </c>
      <c r="N414" s="2">
        <v>10</v>
      </c>
      <c r="O414" s="2">
        <v>0</v>
      </c>
      <c r="P414" s="2">
        <v>6</v>
      </c>
      <c r="Q414" s="2">
        <v>0</v>
      </c>
      <c r="R414" s="274">
        <v>367</v>
      </c>
      <c r="S414" s="253">
        <f xml:space="preserve"> 12</f>
        <v>12</v>
      </c>
      <c r="T414" s="254">
        <f>SUM( tabConsumo[[#This Row],[QTD.PENDENTE]]:tabConsumo[[#This Row],[07_23]] ) / tabConsumo[[#This Row],[Div]]</f>
        <v>19.166666666666668</v>
      </c>
      <c r="U414" s="255">
        <f xml:space="preserve"> tabConsumo[[#This Row],[Média.A]] + (_xlfn.STDEV.S( tabConsumo[[#This Row],[QTD.PENDENTE]]:tabConsumo[[#This Row],[07_23]] ) * 1)</f>
        <v>44.746606723932899</v>
      </c>
      <c r="V414" s="255">
        <f xml:space="preserve"> tabConsumo[[#This Row],[Média.A]] + (_xlfn.STDEV.S( tabConsumo[[#This Row],[QTD.PENDENTE]]:tabConsumo[[#This Row],[07_23]] ) * 2)</f>
        <v>70.326546781199127</v>
      </c>
      <c r="W414" s="255">
        <f xml:space="preserve"> tabConsumo[[#This Row],[Média.A]] + (_xlfn.STDEV.S( tabConsumo[[#This Row],[QTD.PENDENTE]]:tabConsumo[[#This Row],[07_23]] ) * 3)</f>
        <v>95.906486838465355</v>
      </c>
      <c r="X414" s="5">
        <f t="shared" si="14"/>
        <v>2</v>
      </c>
      <c r="Y414">
        <v>17.5</v>
      </c>
      <c r="Z414" s="257">
        <f>SUM( tabConsumo[[#This Row],[QTD.PENDENTE]]:tabConsumo[[#This Row],[07_23]] )</f>
        <v>230</v>
      </c>
      <c r="AA414" s="257">
        <f>LARGE(tabConsumo[[#This Row],[08_22]:[07_23]],1)</f>
        <v>90</v>
      </c>
      <c r="AB414" s="175" t="s">
        <v>2212</v>
      </c>
      <c r="AC414" s="3" t="s">
        <v>2064</v>
      </c>
    </row>
    <row r="415" spans="1:29" x14ac:dyDescent="0.3">
      <c r="A415" s="4" t="s">
        <v>1310</v>
      </c>
      <c r="B415" s="3" t="s">
        <v>31</v>
      </c>
      <c r="C415" s="2">
        <v>54018</v>
      </c>
      <c r="D415" s="2">
        <v>480</v>
      </c>
      <c r="F415" s="2">
        <v>10</v>
      </c>
      <c r="G415" s="2">
        <v>0</v>
      </c>
      <c r="H415" s="2">
        <v>50</v>
      </c>
      <c r="I415" s="2">
        <v>20</v>
      </c>
      <c r="J415" s="2">
        <v>0</v>
      </c>
      <c r="K415" s="2">
        <v>10</v>
      </c>
      <c r="L415" s="2">
        <v>10</v>
      </c>
      <c r="M415" s="2">
        <v>0</v>
      </c>
      <c r="N415" s="2">
        <v>10</v>
      </c>
      <c r="O415" s="2">
        <v>0</v>
      </c>
      <c r="P415" s="2">
        <v>0</v>
      </c>
      <c r="Q415" s="2">
        <v>0</v>
      </c>
      <c r="R415" s="274">
        <v>367</v>
      </c>
      <c r="S415" s="253">
        <f xml:space="preserve"> 12</f>
        <v>12</v>
      </c>
      <c r="T415" s="254">
        <f>SUM( tabConsumo[[#This Row],[QTD.PENDENTE]]:tabConsumo[[#This Row],[07_23]] ) / tabConsumo[[#This Row],[Div]]</f>
        <v>9.1666666666666661</v>
      </c>
      <c r="U415" s="255">
        <f xml:space="preserve"> tabConsumo[[#This Row],[Média.A]] + (_xlfn.STDEV.S( tabConsumo[[#This Row],[QTD.PENDENTE]]:tabConsumo[[#This Row],[07_23]] ) * 1)</f>
        <v>23.600423396407308</v>
      </c>
      <c r="V415" s="255">
        <f xml:space="preserve"> tabConsumo[[#This Row],[Média.A]] + (_xlfn.STDEV.S( tabConsumo[[#This Row],[QTD.PENDENTE]]:tabConsumo[[#This Row],[07_23]] ) * 2)</f>
        <v>38.034180126147952</v>
      </c>
      <c r="W415" s="255">
        <f xml:space="preserve"> tabConsumo[[#This Row],[Média.A]] + (_xlfn.STDEV.S( tabConsumo[[#This Row],[QTD.PENDENTE]]:tabConsumo[[#This Row],[07_23]] ) * 3)</f>
        <v>52.467936855888595</v>
      </c>
      <c r="X415" s="5">
        <f t="shared" si="14"/>
        <v>2</v>
      </c>
      <c r="Y415">
        <v>8.1666666666666661</v>
      </c>
      <c r="Z415" s="257">
        <f>SUM( tabConsumo[[#This Row],[QTD.PENDENTE]]:tabConsumo[[#This Row],[07_23]] )</f>
        <v>110</v>
      </c>
      <c r="AA415" s="257">
        <f>LARGE(tabConsumo[[#This Row],[08_22]:[07_23]],1)</f>
        <v>50</v>
      </c>
      <c r="AB415" s="175" t="s">
        <v>2213</v>
      </c>
      <c r="AC415" s="3" t="s">
        <v>2064</v>
      </c>
    </row>
    <row r="416" spans="1:29" x14ac:dyDescent="0.3">
      <c r="A416" s="4" t="s">
        <v>1309</v>
      </c>
      <c r="B416" s="3" t="s">
        <v>31</v>
      </c>
      <c r="C416" s="2">
        <v>54017</v>
      </c>
      <c r="D416" s="2">
        <v>0</v>
      </c>
      <c r="E416" s="2">
        <v>6</v>
      </c>
      <c r="F416" s="2">
        <v>0</v>
      </c>
      <c r="G416" s="2">
        <v>2</v>
      </c>
      <c r="H416" s="2">
        <v>50</v>
      </c>
      <c r="I416" s="2">
        <v>20</v>
      </c>
      <c r="J416" s="2">
        <v>10</v>
      </c>
      <c r="K416" s="2">
        <v>50</v>
      </c>
      <c r="L416" s="2">
        <v>40</v>
      </c>
      <c r="M416" s="2">
        <v>0</v>
      </c>
      <c r="N416" s="2">
        <v>4</v>
      </c>
      <c r="O416" s="2">
        <v>0</v>
      </c>
      <c r="P416" s="2">
        <v>0</v>
      </c>
      <c r="Q416" s="2">
        <v>0</v>
      </c>
      <c r="R416" s="274">
        <v>367</v>
      </c>
      <c r="S416" s="253">
        <f xml:space="preserve"> 12</f>
        <v>12</v>
      </c>
      <c r="T416" s="254">
        <f>SUM( tabConsumo[[#This Row],[QTD.PENDENTE]]:tabConsumo[[#This Row],[07_23]] ) / tabConsumo[[#This Row],[Div]]</f>
        <v>15.166666666666666</v>
      </c>
      <c r="U416" s="255">
        <f xml:space="preserve"> tabConsumo[[#This Row],[Média.A]] + (_xlfn.STDEV.S( tabConsumo[[#This Row],[QTD.PENDENTE]]:tabConsumo[[#This Row],[07_23]] ) * 1)</f>
        <v>34.762584608932087</v>
      </c>
      <c r="V416" s="255">
        <f xml:space="preserve"> tabConsumo[[#This Row],[Média.A]] + (_xlfn.STDEV.S( tabConsumo[[#This Row],[QTD.PENDENTE]]:tabConsumo[[#This Row],[07_23]] ) * 2)</f>
        <v>54.35850255119751</v>
      </c>
      <c r="W416" s="255">
        <f xml:space="preserve"> tabConsumo[[#This Row],[Média.A]] + (_xlfn.STDEV.S( tabConsumo[[#This Row],[QTD.PENDENTE]]:tabConsumo[[#This Row],[07_23]] ) * 3)</f>
        <v>73.954420493462933</v>
      </c>
      <c r="X416" s="5">
        <f t="shared" si="14"/>
        <v>2</v>
      </c>
      <c r="Y416">
        <v>15.166666666666666</v>
      </c>
      <c r="Z416" s="257">
        <f>SUM( tabConsumo[[#This Row],[QTD.PENDENTE]]:tabConsumo[[#This Row],[07_23]] )</f>
        <v>182</v>
      </c>
      <c r="AA416" s="257">
        <f>LARGE(tabConsumo[[#This Row],[08_22]:[07_23]],1)</f>
        <v>50</v>
      </c>
      <c r="AB416" s="175" t="s">
        <v>2213</v>
      </c>
      <c r="AC416" s="3" t="s">
        <v>2064</v>
      </c>
    </row>
    <row r="417" spans="1:29" x14ac:dyDescent="0.3">
      <c r="A417" s="4" t="s">
        <v>1594</v>
      </c>
      <c r="B417" s="3" t="s">
        <v>1595</v>
      </c>
      <c r="C417" s="2">
        <v>104665</v>
      </c>
      <c r="D417" s="2">
        <v>108</v>
      </c>
      <c r="F417" s="2">
        <v>0</v>
      </c>
      <c r="G417" s="2">
        <v>0</v>
      </c>
      <c r="H417" s="2">
        <v>2</v>
      </c>
      <c r="I417" s="2">
        <v>1</v>
      </c>
      <c r="J417" s="2">
        <v>1</v>
      </c>
      <c r="K417" s="2">
        <v>1</v>
      </c>
      <c r="L417" s="2">
        <v>1</v>
      </c>
      <c r="M417" s="2">
        <v>0</v>
      </c>
      <c r="N417" s="2">
        <v>0</v>
      </c>
      <c r="O417" s="2">
        <v>0</v>
      </c>
      <c r="P417" s="2">
        <v>7</v>
      </c>
      <c r="Q417" s="2">
        <v>0</v>
      </c>
      <c r="R417" s="274">
        <v>39472</v>
      </c>
      <c r="S417" s="253">
        <v>12</v>
      </c>
      <c r="T417" s="254">
        <f>SUM( tabConsumo[[#This Row],[QTD.PENDENTE]]:tabConsumo[[#This Row],[07_23]] ) / tabConsumo[[#This Row],[Div]]</f>
        <v>1.0833333333333333</v>
      </c>
      <c r="U417" s="255">
        <f xml:space="preserve"> tabConsumo[[#This Row],[Média.A]] + (_xlfn.STDEV.S( tabConsumo[[#This Row],[QTD.PENDENTE]]:tabConsumo[[#This Row],[07_23]] ) * 1)</f>
        <v>3.0585586752918532</v>
      </c>
      <c r="V417" s="255">
        <f xml:space="preserve"> tabConsumo[[#This Row],[Média.A]] + (_xlfn.STDEV.S( tabConsumo[[#This Row],[QTD.PENDENTE]]:tabConsumo[[#This Row],[07_23]] ) * 2)</f>
        <v>5.0337840172503725</v>
      </c>
      <c r="W417" s="255">
        <f xml:space="preserve"> tabConsumo[[#This Row],[Média.A]] + (_xlfn.STDEV.S( tabConsumo[[#This Row],[QTD.PENDENTE]]:tabConsumo[[#This Row],[07_23]] ) * 3)</f>
        <v>7.0090093592088918</v>
      </c>
      <c r="X417" s="5">
        <f t="shared" si="14"/>
        <v>2</v>
      </c>
      <c r="Y417">
        <v>0.91666666666666663</v>
      </c>
      <c r="Z417" s="257">
        <f>SUM( tabConsumo[[#This Row],[QTD.PENDENTE]]:tabConsumo[[#This Row],[07_23]] )</f>
        <v>13</v>
      </c>
      <c r="AA417" s="257">
        <f>LARGE(tabConsumo[[#This Row],[08_22]:[07_23]],1)</f>
        <v>7</v>
      </c>
      <c r="AB417" s="175" t="s">
        <v>2212</v>
      </c>
      <c r="AC417" s="3" t="s">
        <v>2064</v>
      </c>
    </row>
    <row r="418" spans="1:29" x14ac:dyDescent="0.3">
      <c r="A418" s="4" t="s">
        <v>1686</v>
      </c>
      <c r="B418" s="3" t="s">
        <v>1595</v>
      </c>
      <c r="C418" s="2">
        <v>113238</v>
      </c>
      <c r="D418" s="2">
        <v>49</v>
      </c>
      <c r="F418" s="2">
        <v>0</v>
      </c>
      <c r="G418" s="2">
        <v>0</v>
      </c>
      <c r="H418" s="2">
        <v>1</v>
      </c>
      <c r="I418" s="2">
        <v>1</v>
      </c>
      <c r="J418" s="2">
        <v>1</v>
      </c>
      <c r="K418" s="2">
        <v>4</v>
      </c>
      <c r="L418" s="2">
        <v>0</v>
      </c>
      <c r="M418" s="2">
        <v>0</v>
      </c>
      <c r="N418" s="2">
        <v>0</v>
      </c>
      <c r="O418" s="2">
        <v>1</v>
      </c>
      <c r="P418" s="2">
        <v>4</v>
      </c>
      <c r="Q418" s="2">
        <v>1</v>
      </c>
      <c r="R418" s="274">
        <v>40113</v>
      </c>
      <c r="S418" s="253">
        <v>12</v>
      </c>
      <c r="T418" s="254">
        <f>SUM( tabConsumo[[#This Row],[QTD.PENDENTE]]:tabConsumo[[#This Row],[07_23]] ) / tabConsumo[[#This Row],[Div]]</f>
        <v>1.0833333333333333</v>
      </c>
      <c r="U418" s="255">
        <f xml:space="preserve"> tabConsumo[[#This Row],[Média.A]] + (_xlfn.STDEV.S( tabConsumo[[#This Row],[QTD.PENDENTE]]:tabConsumo[[#This Row],[07_23]] ) * 1)</f>
        <v>2.5267090063073976</v>
      </c>
      <c r="V418" s="255">
        <f xml:space="preserve"> tabConsumo[[#This Row],[Média.A]] + (_xlfn.STDEV.S( tabConsumo[[#This Row],[QTD.PENDENTE]]:tabConsumo[[#This Row],[07_23]] ) * 2)</f>
        <v>3.9700846792814621</v>
      </c>
      <c r="W418" s="255">
        <f xml:space="preserve"> tabConsumo[[#This Row],[Média.A]] + (_xlfn.STDEV.S( tabConsumo[[#This Row],[QTD.PENDENTE]]:tabConsumo[[#This Row],[07_23]] ) * 3)</f>
        <v>5.4134603522555258</v>
      </c>
      <c r="X418" s="5">
        <f t="shared" si="14"/>
        <v>2</v>
      </c>
      <c r="Y418">
        <v>0.91666666666666663</v>
      </c>
      <c r="Z418" s="257">
        <f>SUM( tabConsumo[[#This Row],[QTD.PENDENTE]]:tabConsumo[[#This Row],[07_23]] )</f>
        <v>13</v>
      </c>
      <c r="AA418" s="257">
        <f>LARGE(tabConsumo[[#This Row],[08_22]:[07_23]],1)</f>
        <v>4</v>
      </c>
      <c r="AB418" s="175" t="s">
        <v>2211</v>
      </c>
      <c r="AC418" s="3" t="s">
        <v>2064</v>
      </c>
    </row>
    <row r="419" spans="1:29" x14ac:dyDescent="0.3">
      <c r="A419" s="4" t="s">
        <v>959</v>
      </c>
      <c r="B419" s="3" t="s">
        <v>268</v>
      </c>
      <c r="C419" s="2">
        <v>12754</v>
      </c>
      <c r="D419" s="2">
        <v>641</v>
      </c>
      <c r="F419" s="2">
        <v>78</v>
      </c>
      <c r="G419" s="2">
        <v>99</v>
      </c>
      <c r="H419" s="2">
        <v>115</v>
      </c>
      <c r="I419" s="2">
        <v>81</v>
      </c>
      <c r="J419" s="2">
        <v>48</v>
      </c>
      <c r="K419" s="2">
        <v>48</v>
      </c>
      <c r="L419" s="2">
        <v>74</v>
      </c>
      <c r="M419" s="2">
        <v>192</v>
      </c>
      <c r="N419" s="2">
        <v>125</v>
      </c>
      <c r="O419" s="2">
        <v>138</v>
      </c>
      <c r="P419" s="2">
        <v>140</v>
      </c>
      <c r="Q419" s="2">
        <v>137</v>
      </c>
      <c r="R419" s="274">
        <v>367</v>
      </c>
      <c r="S419" s="253">
        <f xml:space="preserve"> 12</f>
        <v>12</v>
      </c>
      <c r="T419" s="254">
        <f>SUM( tabConsumo[[#This Row],[QTD.PENDENTE]]:tabConsumo[[#This Row],[07_23]] ) / tabConsumo[[#This Row],[Div]]</f>
        <v>106.25</v>
      </c>
      <c r="U419" s="255">
        <f xml:space="preserve"> tabConsumo[[#This Row],[Média.A]] + (_xlfn.STDEV.S( tabConsumo[[#This Row],[QTD.PENDENTE]]:tabConsumo[[#This Row],[07_23]] ) * 1)</f>
        <v>149.09034844099023</v>
      </c>
      <c r="V419" s="255">
        <f xml:space="preserve"> tabConsumo[[#This Row],[Média.A]] + (_xlfn.STDEV.S( tabConsumo[[#This Row],[QTD.PENDENTE]]:tabConsumo[[#This Row],[07_23]] ) * 2)</f>
        <v>191.93069688198045</v>
      </c>
      <c r="W419" s="255">
        <f xml:space="preserve"> tabConsumo[[#This Row],[Média.A]] + (_xlfn.STDEV.S( tabConsumo[[#This Row],[QTD.PENDENTE]]:tabConsumo[[#This Row],[07_23]] ) * 3)</f>
        <v>234.77104532297071</v>
      </c>
      <c r="X419" s="5">
        <f t="shared" si="14"/>
        <v>2</v>
      </c>
      <c r="Y419">
        <v>106.16666666666667</v>
      </c>
      <c r="Z419" s="257">
        <f>SUM( tabConsumo[[#This Row],[QTD.PENDENTE]]:tabConsumo[[#This Row],[07_23]] )</f>
        <v>1275</v>
      </c>
      <c r="AA419" s="257">
        <f>LARGE(tabConsumo[[#This Row],[08_22]:[07_23]],1)</f>
        <v>192</v>
      </c>
      <c r="AB419" s="175" t="s">
        <v>2211</v>
      </c>
      <c r="AC419" s="3" t="s">
        <v>2064</v>
      </c>
    </row>
    <row r="420" spans="1:29" x14ac:dyDescent="0.3">
      <c r="A420" s="4" t="s">
        <v>1881</v>
      </c>
      <c r="B420" s="3" t="s">
        <v>256</v>
      </c>
      <c r="C420" s="2">
        <v>134560</v>
      </c>
      <c r="D420" s="2">
        <v>0</v>
      </c>
      <c r="F420" s="2">
        <v>25</v>
      </c>
      <c r="G420" s="2">
        <v>17</v>
      </c>
      <c r="H420" s="2">
        <v>26</v>
      </c>
      <c r="I420" s="2">
        <v>23</v>
      </c>
      <c r="J420" s="2">
        <v>52</v>
      </c>
      <c r="K420" s="2">
        <v>33</v>
      </c>
      <c r="L420" s="2">
        <v>11</v>
      </c>
      <c r="M420" s="2">
        <v>70</v>
      </c>
      <c r="N420" s="2">
        <v>65</v>
      </c>
      <c r="O420" s="2">
        <v>0</v>
      </c>
      <c r="P420" s="2">
        <v>50</v>
      </c>
      <c r="Q420" s="2">
        <v>200</v>
      </c>
      <c r="R420" s="274">
        <v>43174</v>
      </c>
      <c r="S420" s="253">
        <v>12</v>
      </c>
      <c r="T420" s="254">
        <f>SUM( tabConsumo[[#This Row],[QTD.PENDENTE]]:tabConsumo[[#This Row],[07_23]] ) / tabConsumo[[#This Row],[Div]]</f>
        <v>47.666666666666664</v>
      </c>
      <c r="U420" s="255">
        <f xml:space="preserve"> tabConsumo[[#This Row],[Média.A]] + (_xlfn.STDEV.S( tabConsumo[[#This Row],[QTD.PENDENTE]]:tabConsumo[[#This Row],[07_23]] ) * 1)</f>
        <v>100.23062482213376</v>
      </c>
      <c r="V420" s="255">
        <f xml:space="preserve"> tabConsumo[[#This Row],[Média.A]] + (_xlfn.STDEV.S( tabConsumo[[#This Row],[QTD.PENDENTE]]:tabConsumo[[#This Row],[07_23]] ) * 2)</f>
        <v>152.79458297760087</v>
      </c>
      <c r="W420" s="255">
        <f xml:space="preserve"> tabConsumo[[#This Row],[Média.A]] + (_xlfn.STDEV.S( tabConsumo[[#This Row],[QTD.PENDENTE]]:tabConsumo[[#This Row],[07_23]] ) * 3)</f>
        <v>205.35854113306797</v>
      </c>
      <c r="X420" s="5">
        <f t="shared" si="14"/>
        <v>2</v>
      </c>
      <c r="Y420">
        <v>43.666666666666664</v>
      </c>
      <c r="Z420" s="257">
        <f>SUM( tabConsumo[[#This Row],[QTD.PENDENTE]]:tabConsumo[[#This Row],[07_23]] )</f>
        <v>572</v>
      </c>
      <c r="AA420" s="257">
        <f>LARGE(tabConsumo[[#This Row],[08_22]:[07_23]],1)</f>
        <v>200</v>
      </c>
      <c r="AB420" s="175" t="s">
        <v>2211</v>
      </c>
      <c r="AC420" s="3" t="s">
        <v>2064</v>
      </c>
    </row>
    <row r="421" spans="1:29" x14ac:dyDescent="0.3">
      <c r="A421" s="4" t="s">
        <v>1938</v>
      </c>
      <c r="B421" s="3" t="s">
        <v>31</v>
      </c>
      <c r="C421" s="2">
        <v>136895</v>
      </c>
      <c r="D421" s="2">
        <v>165</v>
      </c>
      <c r="F421" s="2">
        <v>30</v>
      </c>
      <c r="G421" s="2">
        <v>69</v>
      </c>
      <c r="H421" s="2">
        <v>8</v>
      </c>
      <c r="I421" s="2">
        <v>5</v>
      </c>
      <c r="J421" s="2">
        <v>13</v>
      </c>
      <c r="K421" s="2">
        <v>9</v>
      </c>
      <c r="L421" s="2">
        <v>40</v>
      </c>
      <c r="M421" s="2">
        <v>24</v>
      </c>
      <c r="N421" s="2">
        <v>94</v>
      </c>
      <c r="O421" s="2">
        <v>50</v>
      </c>
      <c r="P421" s="2">
        <v>140</v>
      </c>
      <c r="Q421" s="2">
        <v>50</v>
      </c>
      <c r="R421" s="274">
        <v>43584</v>
      </c>
      <c r="S421" s="253">
        <v>12</v>
      </c>
      <c r="T421" s="254">
        <f>SUM( tabConsumo[[#This Row],[QTD.PENDENTE]]:tabConsumo[[#This Row],[07_23]] ) / tabConsumo[[#This Row],[Div]]</f>
        <v>44.333333333333336</v>
      </c>
      <c r="U421" s="255">
        <f xml:space="preserve"> tabConsumo[[#This Row],[Média.A]] + (_xlfn.STDEV.S( tabConsumo[[#This Row],[QTD.PENDENTE]]:tabConsumo[[#This Row],[07_23]] ) * 1)</f>
        <v>84.81527842973253</v>
      </c>
      <c r="V421" s="255">
        <f xml:space="preserve"> tabConsumo[[#This Row],[Média.A]] + (_xlfn.STDEV.S( tabConsumo[[#This Row],[QTD.PENDENTE]]:tabConsumo[[#This Row],[07_23]] ) * 2)</f>
        <v>125.29722352613172</v>
      </c>
      <c r="W421" s="255">
        <f xml:space="preserve"> tabConsumo[[#This Row],[Média.A]] + (_xlfn.STDEV.S( tabConsumo[[#This Row],[QTD.PENDENTE]]:tabConsumo[[#This Row],[07_23]] ) * 3)</f>
        <v>165.77916862253093</v>
      </c>
      <c r="X421" s="5">
        <f t="shared" si="14"/>
        <v>2</v>
      </c>
      <c r="Y421">
        <v>43.083333333333336</v>
      </c>
      <c r="Z421" s="257">
        <f>SUM( tabConsumo[[#This Row],[QTD.PENDENTE]]:tabConsumo[[#This Row],[07_23]] )</f>
        <v>532</v>
      </c>
      <c r="AA421" s="257">
        <f>LARGE(tabConsumo[[#This Row],[08_22]:[07_23]],1)</f>
        <v>140</v>
      </c>
      <c r="AB421" s="175" t="s">
        <v>2211</v>
      </c>
      <c r="AC421" s="3" t="s">
        <v>2064</v>
      </c>
    </row>
    <row r="422" spans="1:29" x14ac:dyDescent="0.3">
      <c r="A422" s="4" t="s">
        <v>1939</v>
      </c>
      <c r="B422" s="3" t="s">
        <v>31</v>
      </c>
      <c r="C422" s="2">
        <v>136896</v>
      </c>
      <c r="D422" s="2">
        <v>197</v>
      </c>
      <c r="F422" s="2">
        <v>60</v>
      </c>
      <c r="G422" s="2">
        <v>181</v>
      </c>
      <c r="H422" s="2">
        <v>71</v>
      </c>
      <c r="I422" s="2">
        <v>35</v>
      </c>
      <c r="J422" s="2">
        <v>32</v>
      </c>
      <c r="K422" s="2">
        <v>65</v>
      </c>
      <c r="L422" s="2">
        <v>115</v>
      </c>
      <c r="M422" s="2">
        <v>42</v>
      </c>
      <c r="N422" s="2">
        <v>224</v>
      </c>
      <c r="O422" s="2">
        <v>0</v>
      </c>
      <c r="P422" s="2">
        <v>170</v>
      </c>
      <c r="Q422" s="2">
        <v>150</v>
      </c>
      <c r="R422" s="274">
        <v>43584</v>
      </c>
      <c r="S422" s="253">
        <v>12</v>
      </c>
      <c r="T422" s="254">
        <f>SUM( tabConsumo[[#This Row],[QTD.PENDENTE]]:tabConsumo[[#This Row],[07_23]] ) / tabConsumo[[#This Row],[Div]]</f>
        <v>95.416666666666671</v>
      </c>
      <c r="U422" s="255">
        <f xml:space="preserve"> tabConsumo[[#This Row],[Média.A]] + (_xlfn.STDEV.S( tabConsumo[[#This Row],[QTD.PENDENTE]]:tabConsumo[[#This Row],[07_23]] ) * 1)</f>
        <v>166.24868091463398</v>
      </c>
      <c r="V422" s="255">
        <f xml:space="preserve"> tabConsumo[[#This Row],[Média.A]] + (_xlfn.STDEV.S( tabConsumo[[#This Row],[QTD.PENDENTE]]:tabConsumo[[#This Row],[07_23]] ) * 2)</f>
        <v>237.08069516260127</v>
      </c>
      <c r="W422" s="255">
        <f xml:space="preserve"> tabConsumo[[#This Row],[Média.A]] + (_xlfn.STDEV.S( tabConsumo[[#This Row],[QTD.PENDENTE]]:tabConsumo[[#This Row],[07_23]] ) * 3)</f>
        <v>307.9127094105686</v>
      </c>
      <c r="X422" s="5">
        <f t="shared" si="14"/>
        <v>2</v>
      </c>
      <c r="Y422">
        <v>95.416666666666671</v>
      </c>
      <c r="Z422" s="257">
        <f>SUM( tabConsumo[[#This Row],[QTD.PENDENTE]]:tabConsumo[[#This Row],[07_23]] )</f>
        <v>1145</v>
      </c>
      <c r="AA422" s="257">
        <f>LARGE(tabConsumo[[#This Row],[08_22]:[07_23]],1)</f>
        <v>224</v>
      </c>
      <c r="AB422" s="175" t="s">
        <v>2211</v>
      </c>
      <c r="AC422" s="3" t="s">
        <v>2064</v>
      </c>
    </row>
    <row r="423" spans="1:29" x14ac:dyDescent="0.3">
      <c r="A423" s="4" t="s">
        <v>1869</v>
      </c>
      <c r="B423" s="3" t="s">
        <v>31</v>
      </c>
      <c r="C423" s="2">
        <v>134373</v>
      </c>
      <c r="D423" s="2">
        <v>898</v>
      </c>
      <c r="F423" s="2">
        <v>277</v>
      </c>
      <c r="G423" s="2">
        <v>900</v>
      </c>
      <c r="H423" s="2">
        <v>550</v>
      </c>
      <c r="I423" s="2">
        <v>135</v>
      </c>
      <c r="J423" s="2">
        <v>400</v>
      </c>
      <c r="K423" s="2">
        <v>820</v>
      </c>
      <c r="L423" s="2">
        <v>475</v>
      </c>
      <c r="M423" s="2">
        <v>526</v>
      </c>
      <c r="N423" s="2">
        <v>925</v>
      </c>
      <c r="O423" s="2">
        <v>50</v>
      </c>
      <c r="P423" s="2">
        <v>375</v>
      </c>
      <c r="Q423" s="2">
        <v>650</v>
      </c>
      <c r="R423" s="274">
        <v>43154</v>
      </c>
      <c r="S423" s="253">
        <v>12</v>
      </c>
      <c r="T423" s="254">
        <f>SUM( tabConsumo[[#This Row],[QTD.PENDENTE]]:tabConsumo[[#This Row],[07_23]] ) / tabConsumo[[#This Row],[Div]]</f>
        <v>506.91666666666669</v>
      </c>
      <c r="U423" s="255">
        <f xml:space="preserve"> tabConsumo[[#This Row],[Média.A]] + (_xlfn.STDEV.S( tabConsumo[[#This Row],[QTD.PENDENTE]]:tabConsumo[[#This Row],[07_23]] ) * 1)</f>
        <v>789.73220511510272</v>
      </c>
      <c r="V423" s="255">
        <f xml:space="preserve"> tabConsumo[[#This Row],[Média.A]] + (_xlfn.STDEV.S( tabConsumo[[#This Row],[QTD.PENDENTE]]:tabConsumo[[#This Row],[07_23]] ) * 2)</f>
        <v>1072.5477435635387</v>
      </c>
      <c r="W423" s="255">
        <f xml:space="preserve"> tabConsumo[[#This Row],[Média.A]] + (_xlfn.STDEV.S( tabConsumo[[#This Row],[QTD.PENDENTE]]:tabConsumo[[#This Row],[07_23]] ) * 3)</f>
        <v>1355.3632820119747</v>
      </c>
      <c r="X423" s="5">
        <f t="shared" si="14"/>
        <v>2</v>
      </c>
      <c r="Y423">
        <v>506.91666666666669</v>
      </c>
      <c r="Z423" s="257">
        <f>SUM( tabConsumo[[#This Row],[QTD.PENDENTE]]:tabConsumo[[#This Row],[07_23]] )</f>
        <v>6083</v>
      </c>
      <c r="AA423" s="257">
        <f>LARGE(tabConsumo[[#This Row],[08_22]:[07_23]],1)</f>
        <v>925</v>
      </c>
      <c r="AB423" s="175" t="s">
        <v>2211</v>
      </c>
      <c r="AC423" s="3" t="s">
        <v>2064</v>
      </c>
    </row>
    <row r="424" spans="1:29" x14ac:dyDescent="0.3">
      <c r="A424" s="4" t="s">
        <v>1897</v>
      </c>
      <c r="B424" s="3" t="s">
        <v>31</v>
      </c>
      <c r="C424" s="2">
        <v>135088</v>
      </c>
      <c r="D424" s="2">
        <v>404</v>
      </c>
      <c r="F424" s="2">
        <v>0</v>
      </c>
      <c r="G424" s="2">
        <v>50</v>
      </c>
      <c r="H424" s="2">
        <v>50</v>
      </c>
      <c r="I424" s="2">
        <v>0</v>
      </c>
      <c r="J424" s="2">
        <v>75</v>
      </c>
      <c r="K424" s="2">
        <v>125</v>
      </c>
      <c r="L424" s="2">
        <v>3</v>
      </c>
      <c r="M424" s="2">
        <v>0</v>
      </c>
      <c r="N424" s="2">
        <v>0</v>
      </c>
      <c r="O424" s="2">
        <v>2</v>
      </c>
      <c r="P424" s="2">
        <v>2</v>
      </c>
      <c r="Q424" s="2">
        <v>0</v>
      </c>
      <c r="R424" s="274">
        <v>43238</v>
      </c>
      <c r="S424" s="253">
        <v>12</v>
      </c>
      <c r="T424" s="254">
        <f>SUM( tabConsumo[[#This Row],[QTD.PENDENTE]]:tabConsumo[[#This Row],[07_23]] ) / tabConsumo[[#This Row],[Div]]</f>
        <v>25.583333333333332</v>
      </c>
      <c r="U424" s="255">
        <f xml:space="preserve"> tabConsumo[[#This Row],[Média.A]] + (_xlfn.STDEV.S( tabConsumo[[#This Row],[QTD.PENDENTE]]:tabConsumo[[#This Row],[07_23]] ) * 1)</f>
        <v>66.496674863346684</v>
      </c>
      <c r="V424" s="255">
        <f xml:space="preserve"> tabConsumo[[#This Row],[Média.A]] + (_xlfn.STDEV.S( tabConsumo[[#This Row],[QTD.PENDENTE]]:tabConsumo[[#This Row],[07_23]] ) * 2)</f>
        <v>107.41001639336004</v>
      </c>
      <c r="W424" s="255">
        <f xml:space="preserve"> tabConsumo[[#This Row],[Média.A]] + (_xlfn.STDEV.S( tabConsumo[[#This Row],[QTD.PENDENTE]]:tabConsumo[[#This Row],[07_23]] ) * 3)</f>
        <v>148.32335792337341</v>
      </c>
      <c r="X424" s="5">
        <f t="shared" si="14"/>
        <v>2</v>
      </c>
      <c r="Y424">
        <v>24.083333333333332</v>
      </c>
      <c r="Z424" s="257">
        <f>SUM( tabConsumo[[#This Row],[QTD.PENDENTE]]:tabConsumo[[#This Row],[07_23]] )</f>
        <v>307</v>
      </c>
      <c r="AA424" s="257">
        <f>LARGE(tabConsumo[[#This Row],[08_22]:[07_23]],1)</f>
        <v>125</v>
      </c>
      <c r="AB424" s="175" t="s">
        <v>2212</v>
      </c>
      <c r="AC424" s="3" t="s">
        <v>2064</v>
      </c>
    </row>
    <row r="425" spans="1:29" x14ac:dyDescent="0.3">
      <c r="A425" s="4" t="s">
        <v>1818</v>
      </c>
      <c r="B425" s="3" t="s">
        <v>413</v>
      </c>
      <c r="C425" s="2">
        <v>132300</v>
      </c>
      <c r="D425" s="2">
        <v>3984</v>
      </c>
      <c r="E425" s="2">
        <v>250</v>
      </c>
      <c r="F425" s="2">
        <v>228</v>
      </c>
      <c r="G425" s="2">
        <v>217</v>
      </c>
      <c r="H425" s="2">
        <v>264</v>
      </c>
      <c r="I425" s="2">
        <v>294</v>
      </c>
      <c r="J425" s="2">
        <v>174</v>
      </c>
      <c r="K425" s="2">
        <v>90</v>
      </c>
      <c r="L425" s="2">
        <v>217</v>
      </c>
      <c r="M425" s="2">
        <v>9919</v>
      </c>
      <c r="N425" s="2">
        <v>211</v>
      </c>
      <c r="O425" s="2">
        <v>211</v>
      </c>
      <c r="P425" s="2">
        <v>274</v>
      </c>
      <c r="Q425" s="2">
        <v>341</v>
      </c>
      <c r="R425" s="274">
        <v>42685</v>
      </c>
      <c r="S425" s="253">
        <v>12</v>
      </c>
      <c r="T425" s="254">
        <f>SUM( tabConsumo[[#This Row],[QTD.PENDENTE]]:tabConsumo[[#This Row],[07_23]] ) / tabConsumo[[#This Row],[Div]]</f>
        <v>1057.5</v>
      </c>
      <c r="U425" s="255">
        <f xml:space="preserve"> tabConsumo[[#This Row],[Média.A]] + (_xlfn.STDEV.S( tabConsumo[[#This Row],[QTD.PENDENTE]]:tabConsumo[[#This Row],[07_23]] ) * 1)</f>
        <v>3745.1684085576803</v>
      </c>
      <c r="V425" s="255">
        <f xml:space="preserve"> tabConsumo[[#This Row],[Média.A]] + (_xlfn.STDEV.S( tabConsumo[[#This Row],[QTD.PENDENTE]]:tabConsumo[[#This Row],[07_23]] ) * 2)</f>
        <v>6432.8368171153606</v>
      </c>
      <c r="W425" s="255">
        <f xml:space="preserve"> tabConsumo[[#This Row],[Média.A]] + (_xlfn.STDEV.S( tabConsumo[[#This Row],[QTD.PENDENTE]]:tabConsumo[[#This Row],[07_23]] ) * 3)</f>
        <v>9120.5052256730414</v>
      </c>
      <c r="X425" s="5">
        <f t="shared" si="14"/>
        <v>2</v>
      </c>
      <c r="Y425">
        <v>766.91666666666663</v>
      </c>
      <c r="Z425" s="257">
        <f>SUM( tabConsumo[[#This Row],[QTD.PENDENTE]]:tabConsumo[[#This Row],[07_23]] )</f>
        <v>12690</v>
      </c>
      <c r="AA425" s="257">
        <f>LARGE(tabConsumo[[#This Row],[08_22]:[07_23]],1)</f>
        <v>9919</v>
      </c>
      <c r="AB425" s="175" t="s">
        <v>2211</v>
      </c>
      <c r="AC425" s="3" t="s">
        <v>2064</v>
      </c>
    </row>
    <row r="426" spans="1:29" x14ac:dyDescent="0.3">
      <c r="A426" s="4" t="s">
        <v>1898</v>
      </c>
      <c r="B426" s="3" t="s">
        <v>413</v>
      </c>
      <c r="C426" s="2">
        <v>135297</v>
      </c>
      <c r="D426" s="2">
        <v>1867</v>
      </c>
      <c r="E426" s="2">
        <v>29</v>
      </c>
      <c r="F426" s="2">
        <v>145</v>
      </c>
      <c r="G426" s="2">
        <v>122</v>
      </c>
      <c r="H426" s="2">
        <v>130</v>
      </c>
      <c r="I426" s="2">
        <v>176</v>
      </c>
      <c r="J426" s="2">
        <v>53</v>
      </c>
      <c r="K426" s="2">
        <v>75</v>
      </c>
      <c r="L426" s="2">
        <v>0</v>
      </c>
      <c r="M426" s="2">
        <v>12925</v>
      </c>
      <c r="N426" s="2">
        <v>69</v>
      </c>
      <c r="O426" s="2">
        <v>99</v>
      </c>
      <c r="P426" s="2">
        <v>122</v>
      </c>
      <c r="Q426" s="2">
        <v>110</v>
      </c>
      <c r="R426" s="274">
        <v>43277</v>
      </c>
      <c r="S426" s="253">
        <v>12</v>
      </c>
      <c r="T426" s="254">
        <f>SUM( tabConsumo[[#This Row],[QTD.PENDENTE]]:tabConsumo[[#This Row],[07_23]] ) / tabConsumo[[#This Row],[Div]]</f>
        <v>1171.25</v>
      </c>
      <c r="U426" s="255">
        <f xml:space="preserve"> tabConsumo[[#This Row],[Média.A]] + (_xlfn.STDEV.S( tabConsumo[[#This Row],[QTD.PENDENTE]]:tabConsumo[[#This Row],[07_23]] ) * 1)</f>
        <v>4730.2130242097637</v>
      </c>
      <c r="V426" s="255">
        <f xml:space="preserve"> tabConsumo[[#This Row],[Média.A]] + (_xlfn.STDEV.S( tabConsumo[[#This Row],[QTD.PENDENTE]]:tabConsumo[[#This Row],[07_23]] ) * 2)</f>
        <v>8289.1760484195274</v>
      </c>
      <c r="W426" s="255">
        <f xml:space="preserve"> tabConsumo[[#This Row],[Média.A]] + (_xlfn.STDEV.S( tabConsumo[[#This Row],[QTD.PENDENTE]]:tabConsumo[[#This Row],[07_23]] ) * 3)</f>
        <v>11848.139072629292</v>
      </c>
      <c r="X426" s="5">
        <f t="shared" si="14"/>
        <v>2</v>
      </c>
      <c r="Y426">
        <v>784.91666666666663</v>
      </c>
      <c r="Z426" s="257">
        <f>SUM( tabConsumo[[#This Row],[QTD.PENDENTE]]:tabConsumo[[#This Row],[07_23]] )</f>
        <v>14055</v>
      </c>
      <c r="AA426" s="257">
        <f>LARGE(tabConsumo[[#This Row],[08_22]:[07_23]],1)</f>
        <v>12925</v>
      </c>
      <c r="AB426" s="175" t="s">
        <v>2211</v>
      </c>
      <c r="AC426" s="3" t="s">
        <v>2064</v>
      </c>
    </row>
    <row r="427" spans="1:29" x14ac:dyDescent="0.3">
      <c r="A427" s="4" t="s">
        <v>1962</v>
      </c>
      <c r="B427" s="3" t="s">
        <v>1960</v>
      </c>
      <c r="C427" s="2">
        <v>138463</v>
      </c>
      <c r="D427" s="2">
        <v>23964</v>
      </c>
      <c r="E427" s="2">
        <v>71</v>
      </c>
      <c r="F427" s="2">
        <v>636</v>
      </c>
      <c r="G427" s="2">
        <v>359</v>
      </c>
      <c r="H427" s="2">
        <v>485</v>
      </c>
      <c r="I427" s="2">
        <v>408</v>
      </c>
      <c r="J427" s="2">
        <v>166</v>
      </c>
      <c r="K427" s="2">
        <v>139</v>
      </c>
      <c r="L427" s="2">
        <v>8245</v>
      </c>
      <c r="M427" s="2">
        <v>13385</v>
      </c>
      <c r="N427" s="2">
        <v>593</v>
      </c>
      <c r="O427" s="2">
        <v>364</v>
      </c>
      <c r="P427" s="2">
        <v>388</v>
      </c>
      <c r="Q427" s="2">
        <v>366</v>
      </c>
      <c r="R427" s="274">
        <v>43720</v>
      </c>
      <c r="S427" s="253">
        <v>12</v>
      </c>
      <c r="T427" s="254">
        <f>SUM( tabConsumo[[#This Row],[QTD.PENDENTE]]:tabConsumo[[#This Row],[07_23]] ) / tabConsumo[[#This Row],[Div]]</f>
        <v>2133.75</v>
      </c>
      <c r="U427" s="255">
        <f xml:space="preserve"> tabConsumo[[#This Row],[Média.A]] + (_xlfn.STDEV.S( tabConsumo[[#This Row],[QTD.PENDENTE]]:tabConsumo[[#This Row],[07_23]] ) * 1)</f>
        <v>6200.5042040809712</v>
      </c>
      <c r="V427" s="255">
        <f xml:space="preserve"> tabConsumo[[#This Row],[Média.A]] + (_xlfn.STDEV.S( tabConsumo[[#This Row],[QTD.PENDENTE]]:tabConsumo[[#This Row],[07_23]] ) * 2)</f>
        <v>10267.258408161942</v>
      </c>
      <c r="W427" s="255">
        <f xml:space="preserve"> tabConsumo[[#This Row],[Média.A]] + (_xlfn.STDEV.S( tabConsumo[[#This Row],[QTD.PENDENTE]]:tabConsumo[[#This Row],[07_23]] ) * 3)</f>
        <v>14334.012612242916</v>
      </c>
      <c r="X427" s="5">
        <f t="shared" si="14"/>
        <v>2</v>
      </c>
      <c r="Y427">
        <v>1873.9166666666667</v>
      </c>
      <c r="Z427" s="257">
        <f>SUM( tabConsumo[[#This Row],[QTD.PENDENTE]]:tabConsumo[[#This Row],[07_23]] )</f>
        <v>25605</v>
      </c>
      <c r="AA427" s="257">
        <f>LARGE(tabConsumo[[#This Row],[08_22]:[07_23]],1)</f>
        <v>13385</v>
      </c>
      <c r="AB427" s="175" t="s">
        <v>2211</v>
      </c>
      <c r="AC427" s="3" t="s">
        <v>2064</v>
      </c>
    </row>
    <row r="428" spans="1:29" x14ac:dyDescent="0.3">
      <c r="A428" s="4" t="s">
        <v>1963</v>
      </c>
      <c r="B428" s="3" t="s">
        <v>31</v>
      </c>
      <c r="C428" s="2">
        <v>138464</v>
      </c>
      <c r="D428" s="2">
        <v>74640</v>
      </c>
      <c r="E428" s="2">
        <v>155</v>
      </c>
      <c r="F428" s="2">
        <v>7474</v>
      </c>
      <c r="G428" s="2">
        <v>5015</v>
      </c>
      <c r="H428" s="2">
        <v>5505</v>
      </c>
      <c r="I428" s="2">
        <v>6268</v>
      </c>
      <c r="J428" s="2">
        <v>3056</v>
      </c>
      <c r="K428" s="2">
        <v>471</v>
      </c>
      <c r="L428" s="2">
        <v>5228</v>
      </c>
      <c r="M428" s="2">
        <v>14402</v>
      </c>
      <c r="N428" s="2">
        <v>5318</v>
      </c>
      <c r="O428" s="2">
        <v>4895</v>
      </c>
      <c r="P428" s="2">
        <v>4763</v>
      </c>
      <c r="Q428" s="2">
        <v>4754</v>
      </c>
      <c r="R428" s="274">
        <v>43720</v>
      </c>
      <c r="S428" s="253">
        <v>12</v>
      </c>
      <c r="T428" s="254">
        <f>SUM( tabConsumo[[#This Row],[QTD.PENDENTE]]:tabConsumo[[#This Row],[07_23]] ) / tabConsumo[[#This Row],[Div]]</f>
        <v>5608.666666666667</v>
      </c>
      <c r="U428" s="255">
        <f xml:space="preserve"> tabConsumo[[#This Row],[Média.A]] + (_xlfn.STDEV.S( tabConsumo[[#This Row],[QTD.PENDENTE]]:tabConsumo[[#This Row],[07_23]] ) * 1)</f>
        <v>9072.9948159101859</v>
      </c>
      <c r="V428" s="255">
        <f xml:space="preserve"> tabConsumo[[#This Row],[Média.A]] + (_xlfn.STDEV.S( tabConsumo[[#This Row],[QTD.PENDENTE]]:tabConsumo[[#This Row],[07_23]] ) * 2)</f>
        <v>12537.322965153704</v>
      </c>
      <c r="W428" s="255">
        <f xml:space="preserve"> tabConsumo[[#This Row],[Média.A]] + (_xlfn.STDEV.S( tabConsumo[[#This Row],[QTD.PENDENTE]]:tabConsumo[[#This Row],[07_23]] ) * 3)</f>
        <v>16001.651114397224</v>
      </c>
      <c r="X428" s="5">
        <f t="shared" si="14"/>
        <v>2</v>
      </c>
      <c r="Y428">
        <v>5453.25</v>
      </c>
      <c r="Z428" s="257">
        <f>SUM( tabConsumo[[#This Row],[QTD.PENDENTE]]:tabConsumo[[#This Row],[07_23]] )</f>
        <v>67304</v>
      </c>
      <c r="AA428" s="257">
        <f>LARGE(tabConsumo[[#This Row],[08_22]:[07_23]],1)</f>
        <v>14402</v>
      </c>
      <c r="AB428" s="175" t="s">
        <v>2211</v>
      </c>
      <c r="AC428" s="3" t="s">
        <v>2064</v>
      </c>
    </row>
    <row r="429" spans="1:29" x14ac:dyDescent="0.3">
      <c r="A429" s="4" t="s">
        <v>1808</v>
      </c>
      <c r="B429" s="3" t="s">
        <v>31</v>
      </c>
      <c r="C429" s="2">
        <v>131927</v>
      </c>
      <c r="D429" s="2">
        <v>0</v>
      </c>
      <c r="E429" s="2">
        <v>405</v>
      </c>
      <c r="F429" s="2">
        <v>208</v>
      </c>
      <c r="G429" s="2">
        <v>191</v>
      </c>
      <c r="H429" s="2">
        <v>255</v>
      </c>
      <c r="I429" s="2">
        <v>278</v>
      </c>
      <c r="J429" s="2">
        <v>493</v>
      </c>
      <c r="K429" s="2">
        <v>203</v>
      </c>
      <c r="L429" s="2">
        <v>223</v>
      </c>
      <c r="M429" s="2">
        <v>3575</v>
      </c>
      <c r="N429" s="2">
        <v>15</v>
      </c>
      <c r="O429" s="2">
        <v>0</v>
      </c>
      <c r="P429" s="2">
        <v>76</v>
      </c>
      <c r="Q429" s="2">
        <v>0</v>
      </c>
      <c r="R429" s="274">
        <v>42590</v>
      </c>
      <c r="S429" s="253">
        <v>12</v>
      </c>
      <c r="T429" s="254">
        <f>SUM( tabConsumo[[#This Row],[QTD.PENDENTE]]:tabConsumo[[#This Row],[07_23]] ) / tabConsumo[[#This Row],[Div]]</f>
        <v>493.5</v>
      </c>
      <c r="U429" s="255">
        <f xml:space="preserve"> tabConsumo[[#This Row],[Média.A]] + (_xlfn.STDEV.S( tabConsumo[[#This Row],[QTD.PENDENTE]]:tabConsumo[[#This Row],[07_23]] ) * 1)</f>
        <v>1442.5782032569477</v>
      </c>
      <c r="V429" s="255">
        <f xml:space="preserve"> tabConsumo[[#This Row],[Média.A]] + (_xlfn.STDEV.S( tabConsumo[[#This Row],[QTD.PENDENTE]]:tabConsumo[[#This Row],[07_23]] ) * 2)</f>
        <v>2391.6564065138955</v>
      </c>
      <c r="W429" s="255">
        <f xml:space="preserve"> tabConsumo[[#This Row],[Média.A]] + (_xlfn.STDEV.S( tabConsumo[[#This Row],[QTD.PENDENTE]]:tabConsumo[[#This Row],[07_23]] ) * 3)</f>
        <v>3340.7346097708428</v>
      </c>
      <c r="X429" s="5">
        <f t="shared" si="14"/>
        <v>2</v>
      </c>
      <c r="Y429">
        <v>394.83333333333331</v>
      </c>
      <c r="Z429" s="257">
        <f>SUM( tabConsumo[[#This Row],[QTD.PENDENTE]]:tabConsumo[[#This Row],[07_23]] )</f>
        <v>5922</v>
      </c>
      <c r="AA429" s="257">
        <f>LARGE(tabConsumo[[#This Row],[08_22]:[07_23]],1)</f>
        <v>3575</v>
      </c>
      <c r="AB429" s="175" t="s">
        <v>2212</v>
      </c>
      <c r="AC429" s="3" t="s">
        <v>2064</v>
      </c>
    </row>
    <row r="430" spans="1:29" x14ac:dyDescent="0.3">
      <c r="A430" s="4" t="s">
        <v>1807</v>
      </c>
      <c r="B430" s="3" t="s">
        <v>31</v>
      </c>
      <c r="C430" s="2">
        <v>131926</v>
      </c>
      <c r="D430" s="2">
        <v>11393</v>
      </c>
      <c r="E430" s="2">
        <v>546</v>
      </c>
      <c r="F430" s="2">
        <v>546</v>
      </c>
      <c r="G430" s="2">
        <v>255</v>
      </c>
      <c r="H430" s="2">
        <v>0</v>
      </c>
      <c r="I430" s="2">
        <v>58</v>
      </c>
      <c r="J430" s="2">
        <v>0</v>
      </c>
      <c r="K430" s="2">
        <v>0</v>
      </c>
      <c r="L430" s="2">
        <v>0</v>
      </c>
      <c r="M430" s="2">
        <v>0</v>
      </c>
      <c r="N430" s="2">
        <v>0</v>
      </c>
      <c r="O430" s="2">
        <v>0</v>
      </c>
      <c r="P430" s="2">
        <v>137</v>
      </c>
      <c r="Q430" s="2">
        <v>466</v>
      </c>
      <c r="R430" s="274">
        <v>42590</v>
      </c>
      <c r="S430" s="253">
        <v>12</v>
      </c>
      <c r="T430" s="254">
        <f>SUM( tabConsumo[[#This Row],[QTD.PENDENTE]]:tabConsumo[[#This Row],[07_23]] ) / tabConsumo[[#This Row],[Div]]</f>
        <v>167.33333333333334</v>
      </c>
      <c r="U430" s="255">
        <f xml:space="preserve"> tabConsumo[[#This Row],[Média.A]] + (_xlfn.STDEV.S( tabConsumo[[#This Row],[QTD.PENDENTE]]:tabConsumo[[#This Row],[07_23]] ) * 1)</f>
        <v>389.14166477612628</v>
      </c>
      <c r="V430" s="255">
        <f xml:space="preserve"> tabConsumo[[#This Row],[Média.A]] + (_xlfn.STDEV.S( tabConsumo[[#This Row],[QTD.PENDENTE]]:tabConsumo[[#This Row],[07_23]] ) * 2)</f>
        <v>610.9499962189193</v>
      </c>
      <c r="W430" s="255">
        <f xml:space="preserve"> tabConsumo[[#This Row],[Média.A]] + (_xlfn.STDEV.S( tabConsumo[[#This Row],[QTD.PENDENTE]]:tabConsumo[[#This Row],[07_23]] ) * 3)</f>
        <v>832.75832766171231</v>
      </c>
      <c r="X430" s="5">
        <f t="shared" si="14"/>
        <v>2</v>
      </c>
      <c r="Y430">
        <v>167.33333333333334</v>
      </c>
      <c r="Z430" s="257">
        <f>SUM( tabConsumo[[#This Row],[QTD.PENDENTE]]:tabConsumo[[#This Row],[07_23]] )</f>
        <v>2008</v>
      </c>
      <c r="AA430" s="257">
        <f>LARGE(tabConsumo[[#This Row],[08_22]:[07_23]],1)</f>
        <v>546</v>
      </c>
      <c r="AB430" s="175" t="s">
        <v>2211</v>
      </c>
      <c r="AC430" s="3" t="s">
        <v>2064</v>
      </c>
    </row>
    <row r="431" spans="1:29" x14ac:dyDescent="0.3">
      <c r="A431" s="4" t="s">
        <v>2010</v>
      </c>
      <c r="B431" s="3" t="s">
        <v>31</v>
      </c>
      <c r="C431" s="2">
        <v>140283</v>
      </c>
      <c r="D431" s="2">
        <v>0</v>
      </c>
      <c r="F431" s="2">
        <v>13</v>
      </c>
      <c r="G431" s="2">
        <v>4</v>
      </c>
      <c r="H431" s="2">
        <v>2</v>
      </c>
      <c r="I431" s="2">
        <v>1</v>
      </c>
      <c r="J431" s="2">
        <v>2</v>
      </c>
      <c r="K431" s="2">
        <v>5</v>
      </c>
      <c r="L431" s="2">
        <v>12</v>
      </c>
      <c r="M431" s="2">
        <v>3</v>
      </c>
      <c r="N431" s="2">
        <v>13</v>
      </c>
      <c r="O431" s="2">
        <v>1</v>
      </c>
      <c r="P431" s="2">
        <v>0</v>
      </c>
      <c r="Q431" s="2">
        <v>0</v>
      </c>
      <c r="R431" s="274">
        <v>44155</v>
      </c>
      <c r="S431" s="253">
        <v>12</v>
      </c>
      <c r="T431" s="254">
        <f>SUM( tabConsumo[[#This Row],[QTD.PENDENTE]]:tabConsumo[[#This Row],[07_23]] ) / tabConsumo[[#This Row],[Div]]</f>
        <v>4.666666666666667</v>
      </c>
      <c r="U431" s="255">
        <f xml:space="preserve"> tabConsumo[[#This Row],[Média.A]] + (_xlfn.STDEV.S( tabConsumo[[#This Row],[QTD.PENDENTE]]:tabConsumo[[#This Row],[07_23]] ) * 1)</f>
        <v>9.7179191366142454</v>
      </c>
      <c r="V431" s="255">
        <f xml:space="preserve"> tabConsumo[[#This Row],[Média.A]] + (_xlfn.STDEV.S( tabConsumo[[#This Row],[QTD.PENDENTE]]:tabConsumo[[#This Row],[07_23]] ) * 2)</f>
        <v>14.769171606561823</v>
      </c>
      <c r="W431" s="255">
        <f xml:space="preserve"> tabConsumo[[#This Row],[Média.A]] + (_xlfn.STDEV.S( tabConsumo[[#This Row],[QTD.PENDENTE]]:tabConsumo[[#This Row],[07_23]] ) * 3)</f>
        <v>19.820424076509404</v>
      </c>
      <c r="X431" s="5">
        <f t="shared" si="14"/>
        <v>2</v>
      </c>
      <c r="Y431">
        <v>4.666666666666667</v>
      </c>
      <c r="Z431" s="257">
        <f>SUM( tabConsumo[[#This Row],[QTD.PENDENTE]]:tabConsumo[[#This Row],[07_23]] )</f>
        <v>56</v>
      </c>
      <c r="AA431" s="257">
        <f>LARGE(tabConsumo[[#This Row],[08_22]:[07_23]],1)</f>
        <v>13</v>
      </c>
      <c r="AB431" s="175" t="s">
        <v>2214</v>
      </c>
      <c r="AC431" s="3" t="s">
        <v>2064</v>
      </c>
    </row>
    <row r="432" spans="1:29" x14ac:dyDescent="0.3">
      <c r="A432" s="4" t="s">
        <v>1827</v>
      </c>
      <c r="B432" s="3" t="s">
        <v>31</v>
      </c>
      <c r="C432" s="2">
        <v>132624</v>
      </c>
      <c r="D432" s="2">
        <v>92</v>
      </c>
      <c r="F432" s="2">
        <v>3</v>
      </c>
      <c r="G432" s="2">
        <v>0</v>
      </c>
      <c r="H432" s="2">
        <v>0</v>
      </c>
      <c r="I432" s="2">
        <v>2</v>
      </c>
      <c r="J432" s="2">
        <v>0</v>
      </c>
      <c r="K432" s="2">
        <v>4</v>
      </c>
      <c r="L432" s="2">
        <v>0</v>
      </c>
      <c r="M432" s="2">
        <v>1</v>
      </c>
      <c r="N432" s="2">
        <v>0</v>
      </c>
      <c r="O432" s="2">
        <v>1</v>
      </c>
      <c r="P432" s="2">
        <v>1</v>
      </c>
      <c r="Q432" s="2">
        <v>0</v>
      </c>
      <c r="R432" s="274">
        <v>42850</v>
      </c>
      <c r="S432" s="253">
        <v>12</v>
      </c>
      <c r="T432" s="254">
        <f>SUM( tabConsumo[[#This Row],[QTD.PENDENTE]]:tabConsumo[[#This Row],[07_23]] ) / tabConsumo[[#This Row],[Div]]</f>
        <v>1</v>
      </c>
      <c r="U432" s="255">
        <f xml:space="preserve"> tabConsumo[[#This Row],[Média.A]] + (_xlfn.STDEV.S( tabConsumo[[#This Row],[QTD.PENDENTE]]:tabConsumo[[#This Row],[07_23]] ) * 1)</f>
        <v>2.3483997249264839</v>
      </c>
      <c r="V432" s="255">
        <f xml:space="preserve"> tabConsumo[[#This Row],[Média.A]] + (_xlfn.STDEV.S( tabConsumo[[#This Row],[QTD.PENDENTE]]:tabConsumo[[#This Row],[07_23]] ) * 2)</f>
        <v>3.6967994498529682</v>
      </c>
      <c r="W432" s="255">
        <f xml:space="preserve"> tabConsumo[[#This Row],[Média.A]] + (_xlfn.STDEV.S( tabConsumo[[#This Row],[QTD.PENDENTE]]:tabConsumo[[#This Row],[07_23]] ) * 3)</f>
        <v>5.0451991747794525</v>
      </c>
      <c r="X432" s="5">
        <f t="shared" si="14"/>
        <v>2</v>
      </c>
      <c r="Y432">
        <v>0.91666666666666663</v>
      </c>
      <c r="Z432" s="257">
        <f>SUM( tabConsumo[[#This Row],[QTD.PENDENTE]]:tabConsumo[[#This Row],[07_23]] )</f>
        <v>12</v>
      </c>
      <c r="AA432" s="257">
        <f>LARGE(tabConsumo[[#This Row],[08_22]:[07_23]],1)</f>
        <v>4</v>
      </c>
      <c r="AB432" s="175" t="s">
        <v>2212</v>
      </c>
      <c r="AC432" s="3" t="s">
        <v>2064</v>
      </c>
    </row>
    <row r="433" spans="1:29" x14ac:dyDescent="0.3">
      <c r="A433" s="4" t="s">
        <v>896</v>
      </c>
      <c r="B433" s="3" t="s">
        <v>400</v>
      </c>
      <c r="C433" s="2">
        <v>10359</v>
      </c>
      <c r="D433" s="2">
        <v>914</v>
      </c>
      <c r="F433" s="2">
        <v>180</v>
      </c>
      <c r="G433" s="2">
        <v>219</v>
      </c>
      <c r="H433" s="2">
        <v>200</v>
      </c>
      <c r="I433" s="2">
        <v>172</v>
      </c>
      <c r="J433" s="2">
        <v>218</v>
      </c>
      <c r="K433" s="2">
        <v>243</v>
      </c>
      <c r="L433" s="2">
        <v>178</v>
      </c>
      <c r="M433" s="2">
        <v>237</v>
      </c>
      <c r="N433" s="2">
        <v>239</v>
      </c>
      <c r="O433" s="2">
        <v>260</v>
      </c>
      <c r="P433" s="2">
        <v>235</v>
      </c>
      <c r="Q433" s="2">
        <v>216</v>
      </c>
      <c r="R433" s="274">
        <v>367</v>
      </c>
      <c r="S433" s="253">
        <f xml:space="preserve"> 12</f>
        <v>12</v>
      </c>
      <c r="T433" s="254">
        <f>SUM( tabConsumo[[#This Row],[QTD.PENDENTE]]:tabConsumo[[#This Row],[07_23]] ) / tabConsumo[[#This Row],[Div]]</f>
        <v>216.41666666666666</v>
      </c>
      <c r="U433" s="255">
        <f xml:space="preserve"> tabConsumo[[#This Row],[Média.A]] + (_xlfn.STDEV.S( tabConsumo[[#This Row],[QTD.PENDENTE]]:tabConsumo[[#This Row],[07_23]] ) * 1)</f>
        <v>244.92331129346874</v>
      </c>
      <c r="V433" s="255">
        <f xml:space="preserve"> tabConsumo[[#This Row],[Média.A]] + (_xlfn.STDEV.S( tabConsumo[[#This Row],[QTD.PENDENTE]]:tabConsumo[[#This Row],[07_23]] ) * 2)</f>
        <v>273.42995592027086</v>
      </c>
      <c r="W433" s="255">
        <f xml:space="preserve"> tabConsumo[[#This Row],[Média.A]] + (_xlfn.STDEV.S( tabConsumo[[#This Row],[QTD.PENDENTE]]:tabConsumo[[#This Row],[07_23]] ) * 3)</f>
        <v>301.93660054707294</v>
      </c>
      <c r="X433" s="5">
        <f t="shared" si="14"/>
        <v>2</v>
      </c>
      <c r="Y433">
        <v>216.41666666666666</v>
      </c>
      <c r="Z433" s="257">
        <f>SUM( tabConsumo[[#This Row],[QTD.PENDENTE]]:tabConsumo[[#This Row],[07_23]] )</f>
        <v>2597</v>
      </c>
      <c r="AA433" s="257">
        <f>LARGE(tabConsumo[[#This Row],[08_22]:[07_23]],1)</f>
        <v>260</v>
      </c>
      <c r="AB433" s="175" t="s">
        <v>2211</v>
      </c>
      <c r="AC433" s="3" t="s">
        <v>2064</v>
      </c>
    </row>
    <row r="434" spans="1:29" x14ac:dyDescent="0.3">
      <c r="A434" s="4" t="s">
        <v>885</v>
      </c>
      <c r="B434" s="3" t="s">
        <v>281</v>
      </c>
      <c r="C434" s="2">
        <v>4680</v>
      </c>
      <c r="D434" s="2">
        <v>27050</v>
      </c>
      <c r="E434" s="2">
        <v>44</v>
      </c>
      <c r="F434" s="2">
        <v>1831</v>
      </c>
      <c r="G434" s="2">
        <v>1796</v>
      </c>
      <c r="H434" s="2">
        <v>1781</v>
      </c>
      <c r="I434" s="2">
        <v>1754</v>
      </c>
      <c r="J434" s="2">
        <v>1378</v>
      </c>
      <c r="K434" s="2">
        <v>303</v>
      </c>
      <c r="L434" s="2">
        <v>1316</v>
      </c>
      <c r="M434" s="2">
        <v>2517</v>
      </c>
      <c r="N434" s="2">
        <v>1508</v>
      </c>
      <c r="O434" s="2">
        <v>2019</v>
      </c>
      <c r="P434" s="2">
        <v>2078</v>
      </c>
      <c r="Q434" s="2">
        <v>1881</v>
      </c>
      <c r="R434" s="274">
        <v>367</v>
      </c>
      <c r="S434" s="253">
        <f xml:space="preserve"> 12</f>
        <v>12</v>
      </c>
      <c r="T434" s="254">
        <f>SUM( tabConsumo[[#This Row],[QTD.PENDENTE]]:tabConsumo[[#This Row],[07_23]] ) / tabConsumo[[#This Row],[Div]]</f>
        <v>1683.8333333333333</v>
      </c>
      <c r="U434" s="255">
        <f xml:space="preserve"> tabConsumo[[#This Row],[Média.A]] + (_xlfn.STDEV.S( tabConsumo[[#This Row],[QTD.PENDENTE]]:tabConsumo[[#This Row],[07_23]] ) * 1)</f>
        <v>2372.2346679019824</v>
      </c>
      <c r="V434" s="255">
        <f xml:space="preserve"> tabConsumo[[#This Row],[Média.A]] + (_xlfn.STDEV.S( tabConsumo[[#This Row],[QTD.PENDENTE]]:tabConsumo[[#This Row],[07_23]] ) * 2)</f>
        <v>3060.6360024706319</v>
      </c>
      <c r="W434" s="255">
        <f xml:space="preserve"> tabConsumo[[#This Row],[Média.A]] + (_xlfn.STDEV.S( tabConsumo[[#This Row],[QTD.PENDENTE]]:tabConsumo[[#This Row],[07_23]] ) * 3)</f>
        <v>3749.0373370392808</v>
      </c>
      <c r="X434" s="5">
        <f t="shared" si="14"/>
        <v>2</v>
      </c>
      <c r="Y434">
        <v>1683.8333333333333</v>
      </c>
      <c r="Z434" s="257">
        <f>SUM( tabConsumo[[#This Row],[QTD.PENDENTE]]:tabConsumo[[#This Row],[07_23]] )</f>
        <v>20206</v>
      </c>
      <c r="AA434" s="257">
        <f>LARGE(tabConsumo[[#This Row],[08_22]:[07_23]],1)</f>
        <v>2517</v>
      </c>
      <c r="AB434" s="175" t="s">
        <v>2211</v>
      </c>
      <c r="AC434" s="3" t="s">
        <v>2064</v>
      </c>
    </row>
    <row r="435" spans="1:29" x14ac:dyDescent="0.3">
      <c r="A435" s="4" t="s">
        <v>875</v>
      </c>
      <c r="B435" s="3" t="s">
        <v>281</v>
      </c>
      <c r="C435" s="2">
        <v>2278</v>
      </c>
      <c r="D435" s="2">
        <v>208</v>
      </c>
      <c r="F435" s="2">
        <v>0</v>
      </c>
      <c r="G435" s="2">
        <v>0</v>
      </c>
      <c r="H435" s="2">
        <v>1</v>
      </c>
      <c r="I435" s="2">
        <v>0</v>
      </c>
      <c r="J435" s="2">
        <v>0</v>
      </c>
      <c r="K435" s="2">
        <v>0</v>
      </c>
      <c r="L435" s="2">
        <v>0</v>
      </c>
      <c r="M435" s="2">
        <v>0</v>
      </c>
      <c r="N435" s="2">
        <v>0</v>
      </c>
      <c r="O435" s="2">
        <v>0</v>
      </c>
      <c r="P435" s="2">
        <v>0</v>
      </c>
      <c r="Q435" s="2">
        <v>0</v>
      </c>
      <c r="R435" s="274">
        <v>367</v>
      </c>
      <c r="S435" s="253">
        <f xml:space="preserve"> 12</f>
        <v>12</v>
      </c>
      <c r="T435" s="254">
        <f>SUM( tabConsumo[[#This Row],[QTD.PENDENTE]]:tabConsumo[[#This Row],[07_23]] ) / tabConsumo[[#This Row],[Div]]</f>
        <v>8.3333333333333329E-2</v>
      </c>
      <c r="U435" s="255">
        <f xml:space="preserve"> tabConsumo[[#This Row],[Média.A]] + (_xlfn.STDEV.S( tabConsumo[[#This Row],[QTD.PENDENTE]]:tabConsumo[[#This Row],[07_23]] ) * 1)</f>
        <v>0.37200846792814618</v>
      </c>
      <c r="V435" s="255">
        <f xml:space="preserve"> tabConsumo[[#This Row],[Média.A]] + (_xlfn.STDEV.S( tabConsumo[[#This Row],[QTD.PENDENTE]]:tabConsumo[[#This Row],[07_23]] ) * 2)</f>
        <v>0.6606836025229591</v>
      </c>
      <c r="W435" s="255">
        <f xml:space="preserve"> tabConsumo[[#This Row],[Média.A]] + (_xlfn.STDEV.S( tabConsumo[[#This Row],[QTD.PENDENTE]]:tabConsumo[[#This Row],[07_23]] ) * 3)</f>
        <v>0.94935873711777197</v>
      </c>
      <c r="X435" s="5">
        <f t="shared" si="14"/>
        <v>2</v>
      </c>
      <c r="Y435">
        <v>0</v>
      </c>
      <c r="Z435" s="257">
        <f>SUM( tabConsumo[[#This Row],[QTD.PENDENTE]]:tabConsumo[[#This Row],[07_23]] )</f>
        <v>1</v>
      </c>
      <c r="AA435" s="257">
        <f>LARGE(tabConsumo[[#This Row],[08_22]:[07_23]],1)</f>
        <v>1</v>
      </c>
      <c r="AB435" s="175" t="s">
        <v>2215</v>
      </c>
      <c r="AC435" s="3" t="s">
        <v>2064</v>
      </c>
    </row>
    <row r="436" spans="1:29" x14ac:dyDescent="0.3">
      <c r="A436" s="4" t="s">
        <v>1846</v>
      </c>
      <c r="B436" s="3" t="s">
        <v>31</v>
      </c>
      <c r="C436" s="2">
        <v>133451</v>
      </c>
      <c r="D436" s="2">
        <v>2339</v>
      </c>
      <c r="F436" s="2">
        <v>47</v>
      </c>
      <c r="G436" s="2">
        <v>65</v>
      </c>
      <c r="H436" s="2">
        <v>347</v>
      </c>
      <c r="I436" s="2">
        <v>71</v>
      </c>
      <c r="J436" s="2">
        <v>30</v>
      </c>
      <c r="K436" s="2">
        <v>112</v>
      </c>
      <c r="L436" s="2">
        <v>90</v>
      </c>
      <c r="M436" s="2">
        <v>133</v>
      </c>
      <c r="N436" s="2">
        <v>71</v>
      </c>
      <c r="O436" s="2">
        <v>72</v>
      </c>
      <c r="P436" s="2">
        <v>65</v>
      </c>
      <c r="Q436" s="2">
        <v>42</v>
      </c>
      <c r="R436" s="274">
        <v>42998</v>
      </c>
      <c r="S436" s="253">
        <v>12</v>
      </c>
      <c r="T436" s="254">
        <f>SUM( tabConsumo[[#This Row],[QTD.PENDENTE]]:tabConsumo[[#This Row],[07_23]] ) / tabConsumo[[#This Row],[Div]]</f>
        <v>95.416666666666671</v>
      </c>
      <c r="U436" s="255">
        <f xml:space="preserve"> tabConsumo[[#This Row],[Média.A]] + (_xlfn.STDEV.S( tabConsumo[[#This Row],[QTD.PENDENTE]]:tabConsumo[[#This Row],[07_23]] ) * 1)</f>
        <v>179.66679030653637</v>
      </c>
      <c r="V436" s="255">
        <f xml:space="preserve"> tabConsumo[[#This Row],[Média.A]] + (_xlfn.STDEV.S( tabConsumo[[#This Row],[QTD.PENDENTE]]:tabConsumo[[#This Row],[07_23]] ) * 2)</f>
        <v>263.91691394640611</v>
      </c>
      <c r="W436" s="255">
        <f xml:space="preserve"> tabConsumo[[#This Row],[Média.A]] + (_xlfn.STDEV.S( tabConsumo[[#This Row],[QTD.PENDENTE]]:tabConsumo[[#This Row],[07_23]] ) * 3)</f>
        <v>348.1670375862758</v>
      </c>
      <c r="X436" s="5">
        <f t="shared" si="14"/>
        <v>2</v>
      </c>
      <c r="Y436">
        <v>88.416666666666671</v>
      </c>
      <c r="Z436" s="257">
        <f>SUM( tabConsumo[[#This Row],[QTD.PENDENTE]]:tabConsumo[[#This Row],[07_23]] )</f>
        <v>1145</v>
      </c>
      <c r="AA436" s="257">
        <f>LARGE(tabConsumo[[#This Row],[08_22]:[07_23]],1)</f>
        <v>347</v>
      </c>
      <c r="AB436" s="175" t="s">
        <v>2211</v>
      </c>
      <c r="AC436" s="3" t="s">
        <v>2064</v>
      </c>
    </row>
    <row r="437" spans="1:29" x14ac:dyDescent="0.3">
      <c r="A437" s="4" t="s">
        <v>1845</v>
      </c>
      <c r="B437" s="3" t="s">
        <v>31</v>
      </c>
      <c r="C437" s="2">
        <v>133450</v>
      </c>
      <c r="D437" s="2">
        <v>3179</v>
      </c>
      <c r="F437" s="2">
        <v>40</v>
      </c>
      <c r="G437" s="2">
        <v>41</v>
      </c>
      <c r="H437" s="2">
        <v>40</v>
      </c>
      <c r="I437" s="2">
        <v>55</v>
      </c>
      <c r="J437" s="2">
        <v>36</v>
      </c>
      <c r="K437" s="2">
        <v>90</v>
      </c>
      <c r="L437" s="2">
        <v>72</v>
      </c>
      <c r="M437" s="2">
        <v>98</v>
      </c>
      <c r="N437" s="2">
        <v>58</v>
      </c>
      <c r="O437" s="2">
        <v>58</v>
      </c>
      <c r="P437" s="2">
        <v>58</v>
      </c>
      <c r="Q437" s="2">
        <v>35</v>
      </c>
      <c r="R437" s="274">
        <v>42998</v>
      </c>
      <c r="S437" s="253">
        <v>12</v>
      </c>
      <c r="T437" s="254">
        <f>SUM( tabConsumo[[#This Row],[QTD.PENDENTE]]:tabConsumo[[#This Row],[07_23]] ) / tabConsumo[[#This Row],[Div]]</f>
        <v>56.75</v>
      </c>
      <c r="U437" s="255">
        <f xml:space="preserve"> tabConsumo[[#This Row],[Média.A]] + (_xlfn.STDEV.S( tabConsumo[[#This Row],[QTD.PENDENTE]]:tabConsumo[[#This Row],[07_23]] ) * 1)</f>
        <v>77.55264406271472</v>
      </c>
      <c r="V437" s="255">
        <f xml:space="preserve"> tabConsumo[[#This Row],[Média.A]] + (_xlfn.STDEV.S( tabConsumo[[#This Row],[QTD.PENDENTE]]:tabConsumo[[#This Row],[07_23]] ) * 2)</f>
        <v>98.355288125429439</v>
      </c>
      <c r="W437" s="255">
        <f xml:space="preserve"> tabConsumo[[#This Row],[Média.A]] + (_xlfn.STDEV.S( tabConsumo[[#This Row],[QTD.PENDENTE]]:tabConsumo[[#This Row],[07_23]] ) * 3)</f>
        <v>119.15793218814416</v>
      </c>
      <c r="X437" s="5">
        <f t="shared" si="14"/>
        <v>2</v>
      </c>
      <c r="Y437">
        <v>56.75</v>
      </c>
      <c r="Z437" s="257">
        <f>SUM( tabConsumo[[#This Row],[QTD.PENDENTE]]:tabConsumo[[#This Row],[07_23]] )</f>
        <v>681</v>
      </c>
      <c r="AA437" s="257">
        <f>LARGE(tabConsumo[[#This Row],[08_22]:[07_23]],1)</f>
        <v>98</v>
      </c>
      <c r="AB437" s="175" t="s">
        <v>2211</v>
      </c>
      <c r="AC437" s="3" t="s">
        <v>2064</v>
      </c>
    </row>
    <row r="438" spans="1:29" x14ac:dyDescent="0.3">
      <c r="A438" s="4" t="s">
        <v>936</v>
      </c>
      <c r="B438" s="3" t="s">
        <v>31</v>
      </c>
      <c r="C438" s="2">
        <v>12018</v>
      </c>
      <c r="D438" s="2">
        <v>2898</v>
      </c>
      <c r="F438" s="2">
        <v>9</v>
      </c>
      <c r="G438" s="2">
        <v>7</v>
      </c>
      <c r="H438" s="2">
        <v>5</v>
      </c>
      <c r="I438" s="2">
        <v>17</v>
      </c>
      <c r="J438" s="2">
        <v>7</v>
      </c>
      <c r="K438" s="2">
        <v>17</v>
      </c>
      <c r="L438" s="2">
        <v>15</v>
      </c>
      <c r="M438" s="2">
        <v>27</v>
      </c>
      <c r="N438" s="2">
        <v>14</v>
      </c>
      <c r="O438" s="2">
        <v>17</v>
      </c>
      <c r="P438" s="2">
        <v>23</v>
      </c>
      <c r="Q438" s="2">
        <v>12</v>
      </c>
      <c r="R438" s="274">
        <v>367</v>
      </c>
      <c r="S438" s="253">
        <f t="shared" ref="S438:S452" si="15" xml:space="preserve"> 12</f>
        <v>12</v>
      </c>
      <c r="T438" s="254">
        <f>SUM( tabConsumo[[#This Row],[QTD.PENDENTE]]:tabConsumo[[#This Row],[07_23]] ) / tabConsumo[[#This Row],[Div]]</f>
        <v>14.166666666666666</v>
      </c>
      <c r="U438" s="255">
        <f xml:space="preserve"> tabConsumo[[#This Row],[Média.A]] + (_xlfn.STDEV.S( tabConsumo[[#This Row],[QTD.PENDENTE]]:tabConsumo[[#This Row],[07_23]] ) * 1)</f>
        <v>20.811327316505388</v>
      </c>
      <c r="V438" s="255">
        <f xml:space="preserve"> tabConsumo[[#This Row],[Média.A]] + (_xlfn.STDEV.S( tabConsumo[[#This Row],[QTD.PENDENTE]]:tabConsumo[[#This Row],[07_23]] ) * 2)</f>
        <v>27.455987966344107</v>
      </c>
      <c r="W438" s="255">
        <f xml:space="preserve"> tabConsumo[[#This Row],[Média.A]] + (_xlfn.STDEV.S( tabConsumo[[#This Row],[QTD.PENDENTE]]:tabConsumo[[#This Row],[07_23]] ) * 3)</f>
        <v>34.100648616182831</v>
      </c>
      <c r="X438" s="5">
        <f t="shared" si="14"/>
        <v>2</v>
      </c>
      <c r="Y438">
        <v>14.166666666666666</v>
      </c>
      <c r="Z438" s="257">
        <f>SUM( tabConsumo[[#This Row],[QTD.PENDENTE]]:tabConsumo[[#This Row],[07_23]] )</f>
        <v>170</v>
      </c>
      <c r="AA438" s="257">
        <f>LARGE(tabConsumo[[#This Row],[08_22]:[07_23]],1)</f>
        <v>27</v>
      </c>
      <c r="AB438" s="175" t="s">
        <v>2211</v>
      </c>
      <c r="AC438" s="3" t="s">
        <v>2064</v>
      </c>
    </row>
    <row r="439" spans="1:29" x14ac:dyDescent="0.3">
      <c r="A439" s="4" t="s">
        <v>1349</v>
      </c>
      <c r="B439" s="3" t="s">
        <v>256</v>
      </c>
      <c r="C439" s="2">
        <v>60973</v>
      </c>
      <c r="D439" s="2">
        <v>0</v>
      </c>
      <c r="E439" s="2">
        <v>5</v>
      </c>
      <c r="F439" s="2">
        <v>10</v>
      </c>
      <c r="G439" s="2">
        <v>10</v>
      </c>
      <c r="H439" s="2">
        <v>6</v>
      </c>
      <c r="I439" s="2">
        <v>0</v>
      </c>
      <c r="J439" s="2">
        <v>10</v>
      </c>
      <c r="K439" s="2">
        <v>20</v>
      </c>
      <c r="L439" s="2">
        <v>27</v>
      </c>
      <c r="M439" s="2">
        <v>0</v>
      </c>
      <c r="N439" s="2">
        <v>0</v>
      </c>
      <c r="O439" s="2">
        <v>0</v>
      </c>
      <c r="P439" s="2">
        <v>0</v>
      </c>
      <c r="Q439" s="2">
        <v>0</v>
      </c>
      <c r="R439" s="274">
        <v>367</v>
      </c>
      <c r="S439" s="253">
        <f t="shared" si="15"/>
        <v>12</v>
      </c>
      <c r="T439" s="254">
        <f>SUM( tabConsumo[[#This Row],[QTD.PENDENTE]]:tabConsumo[[#This Row],[07_23]] ) / tabConsumo[[#This Row],[Div]]</f>
        <v>7.333333333333333</v>
      </c>
      <c r="U439" s="255">
        <f xml:space="preserve"> tabConsumo[[#This Row],[Média.A]] + (_xlfn.STDEV.S( tabConsumo[[#This Row],[QTD.PENDENTE]]:tabConsumo[[#This Row],[07_23]] ) * 1)</f>
        <v>15.96615680110105</v>
      </c>
      <c r="V439" s="255">
        <f xml:space="preserve"> tabConsumo[[#This Row],[Média.A]] + (_xlfn.STDEV.S( tabConsumo[[#This Row],[QTD.PENDENTE]]:tabConsumo[[#This Row],[07_23]] ) * 2)</f>
        <v>24.598980268868765</v>
      </c>
      <c r="W439" s="255">
        <f xml:space="preserve"> tabConsumo[[#This Row],[Média.A]] + (_xlfn.STDEV.S( tabConsumo[[#This Row],[QTD.PENDENTE]]:tabConsumo[[#This Row],[07_23]] ) * 3)</f>
        <v>33.231803736636486</v>
      </c>
      <c r="X439" s="5">
        <f t="shared" si="14"/>
        <v>2</v>
      </c>
      <c r="Y439">
        <v>7.083333333333333</v>
      </c>
      <c r="Z439" s="257">
        <f>SUM( tabConsumo[[#This Row],[QTD.PENDENTE]]:tabConsumo[[#This Row],[07_23]] )</f>
        <v>88</v>
      </c>
      <c r="AA439" s="257">
        <f>LARGE(tabConsumo[[#This Row],[08_22]:[07_23]],1)</f>
        <v>27</v>
      </c>
      <c r="AB439" s="175" t="s">
        <v>2221</v>
      </c>
      <c r="AC439" s="3" t="s">
        <v>2064</v>
      </c>
    </row>
    <row r="440" spans="1:29" x14ac:dyDescent="0.3">
      <c r="A440" s="4" t="s">
        <v>1201</v>
      </c>
      <c r="B440" s="3" t="s">
        <v>256</v>
      </c>
      <c r="C440" s="2">
        <v>24551</v>
      </c>
      <c r="D440" s="2">
        <v>0</v>
      </c>
      <c r="E440" s="2">
        <v>22</v>
      </c>
      <c r="F440" s="2">
        <v>10</v>
      </c>
      <c r="G440" s="2">
        <v>0</v>
      </c>
      <c r="H440" s="2">
        <v>6</v>
      </c>
      <c r="I440" s="2">
        <v>0</v>
      </c>
      <c r="J440" s="2">
        <v>10</v>
      </c>
      <c r="K440" s="2">
        <v>18</v>
      </c>
      <c r="L440" s="2">
        <v>0</v>
      </c>
      <c r="M440" s="2">
        <v>0</v>
      </c>
      <c r="N440" s="2">
        <v>0</v>
      </c>
      <c r="O440" s="2">
        <v>0</v>
      </c>
      <c r="P440" s="2">
        <v>0</v>
      </c>
      <c r="Q440" s="2">
        <v>0</v>
      </c>
      <c r="R440" s="274">
        <v>367</v>
      </c>
      <c r="S440" s="253">
        <f t="shared" si="15"/>
        <v>12</v>
      </c>
      <c r="T440" s="254">
        <f>SUM( tabConsumo[[#This Row],[QTD.PENDENTE]]:tabConsumo[[#This Row],[07_23]] ) / tabConsumo[[#This Row],[Div]]</f>
        <v>5.5</v>
      </c>
      <c r="U440" s="255">
        <f xml:space="preserve"> tabConsumo[[#This Row],[Média.A]] + (_xlfn.STDEV.S( tabConsumo[[#This Row],[QTD.PENDENTE]]:tabConsumo[[#This Row],[07_23]] ) * 1)</f>
        <v>13.186151382644182</v>
      </c>
      <c r="V440" s="255">
        <f xml:space="preserve"> tabConsumo[[#This Row],[Média.A]] + (_xlfn.STDEV.S( tabConsumo[[#This Row],[QTD.PENDENTE]]:tabConsumo[[#This Row],[07_23]] ) * 2)</f>
        <v>20.872302765288364</v>
      </c>
      <c r="W440" s="255">
        <f xml:space="preserve"> tabConsumo[[#This Row],[Média.A]] + (_xlfn.STDEV.S( tabConsumo[[#This Row],[QTD.PENDENTE]]:tabConsumo[[#This Row],[07_23]] ) * 3)</f>
        <v>28.558454147932544</v>
      </c>
      <c r="X440" s="5">
        <f t="shared" si="14"/>
        <v>2</v>
      </c>
      <c r="Y440">
        <v>5.5</v>
      </c>
      <c r="Z440" s="257">
        <f>SUM( tabConsumo[[#This Row],[QTD.PENDENTE]]:tabConsumo[[#This Row],[07_23]] )</f>
        <v>66</v>
      </c>
      <c r="AA440" s="257">
        <f>LARGE(tabConsumo[[#This Row],[08_22]:[07_23]],1)</f>
        <v>18</v>
      </c>
      <c r="AB440" s="175" t="s">
        <v>2220</v>
      </c>
      <c r="AC440" s="3" t="s">
        <v>2064</v>
      </c>
    </row>
    <row r="441" spans="1:29" x14ac:dyDescent="0.3">
      <c r="A441" s="4" t="s">
        <v>1028</v>
      </c>
      <c r="B441" s="3" t="s">
        <v>569</v>
      </c>
      <c r="C441" s="2">
        <v>13218</v>
      </c>
      <c r="D441" s="2">
        <v>204</v>
      </c>
      <c r="F441" s="2">
        <v>0</v>
      </c>
      <c r="G441" s="2">
        <v>0</v>
      </c>
      <c r="H441" s="2">
        <v>0</v>
      </c>
      <c r="I441" s="2">
        <v>0</v>
      </c>
      <c r="J441" s="2">
        <v>0</v>
      </c>
      <c r="K441" s="2">
        <v>0</v>
      </c>
      <c r="L441" s="2">
        <v>0</v>
      </c>
      <c r="M441" s="2">
        <v>0</v>
      </c>
      <c r="N441" s="2">
        <v>1</v>
      </c>
      <c r="O441" s="2">
        <v>0</v>
      </c>
      <c r="P441" s="2">
        <v>0</v>
      </c>
      <c r="Q441" s="2">
        <v>0</v>
      </c>
      <c r="R441" s="274">
        <v>367</v>
      </c>
      <c r="S441" s="253">
        <f t="shared" si="15"/>
        <v>12</v>
      </c>
      <c r="T441" s="254">
        <f>SUM( tabConsumo[[#This Row],[QTD.PENDENTE]]:tabConsumo[[#This Row],[07_23]] ) / tabConsumo[[#This Row],[Div]]</f>
        <v>8.3333333333333329E-2</v>
      </c>
      <c r="U441" s="255">
        <f xml:space="preserve"> tabConsumo[[#This Row],[Média.A]] + (_xlfn.STDEV.S( tabConsumo[[#This Row],[QTD.PENDENTE]]:tabConsumo[[#This Row],[07_23]] ) * 1)</f>
        <v>0.37200846792814618</v>
      </c>
      <c r="V441" s="255">
        <f xml:space="preserve"> tabConsumo[[#This Row],[Média.A]] + (_xlfn.STDEV.S( tabConsumo[[#This Row],[QTD.PENDENTE]]:tabConsumo[[#This Row],[07_23]] ) * 2)</f>
        <v>0.6606836025229591</v>
      </c>
      <c r="W441" s="255">
        <f xml:space="preserve"> tabConsumo[[#This Row],[Média.A]] + (_xlfn.STDEV.S( tabConsumo[[#This Row],[QTD.PENDENTE]]:tabConsumo[[#This Row],[07_23]] ) * 3)</f>
        <v>0.94935873711777197</v>
      </c>
      <c r="X441" s="5">
        <f t="shared" si="14"/>
        <v>2</v>
      </c>
      <c r="Y441">
        <v>0</v>
      </c>
      <c r="Z441" s="257">
        <f>SUM( tabConsumo[[#This Row],[QTD.PENDENTE]]:tabConsumo[[#This Row],[07_23]] )</f>
        <v>1</v>
      </c>
      <c r="AA441" s="257">
        <f>LARGE(tabConsumo[[#This Row],[08_22]:[07_23]],1)</f>
        <v>1</v>
      </c>
      <c r="AB441" s="175" t="s">
        <v>2213</v>
      </c>
      <c r="AC441" s="3" t="s">
        <v>2064</v>
      </c>
    </row>
    <row r="442" spans="1:29" x14ac:dyDescent="0.3">
      <c r="A442" s="4" t="s">
        <v>1138</v>
      </c>
      <c r="B442" s="3" t="s">
        <v>569</v>
      </c>
      <c r="C442" s="2">
        <v>17662</v>
      </c>
      <c r="D442" s="2">
        <v>1410</v>
      </c>
      <c r="F442" s="2">
        <v>0</v>
      </c>
      <c r="G442" s="2">
        <v>0</v>
      </c>
      <c r="H442" s="2">
        <v>0</v>
      </c>
      <c r="I442" s="2">
        <v>10</v>
      </c>
      <c r="J442" s="2">
        <v>0</v>
      </c>
      <c r="K442" s="2">
        <v>0</v>
      </c>
      <c r="L442" s="2">
        <v>0</v>
      </c>
      <c r="M442" s="2">
        <v>0</v>
      </c>
      <c r="N442" s="2">
        <v>0</v>
      </c>
      <c r="O442" s="2">
        <v>0</v>
      </c>
      <c r="P442" s="2">
        <v>0</v>
      </c>
      <c r="Q442" s="2">
        <v>0</v>
      </c>
      <c r="R442" s="274">
        <v>367</v>
      </c>
      <c r="S442" s="253">
        <f t="shared" si="15"/>
        <v>12</v>
      </c>
      <c r="T442" s="254">
        <f>SUM( tabConsumo[[#This Row],[QTD.PENDENTE]]:tabConsumo[[#This Row],[07_23]] ) / tabConsumo[[#This Row],[Div]]</f>
        <v>0.83333333333333337</v>
      </c>
      <c r="U442" s="255">
        <f xml:space="preserve"> tabConsumo[[#This Row],[Média.A]] + (_xlfn.STDEV.S( tabConsumo[[#This Row],[QTD.PENDENTE]]:tabConsumo[[#This Row],[07_23]] ) * 1)</f>
        <v>3.7200846792814626</v>
      </c>
      <c r="V442" s="255">
        <f xml:space="preserve"> tabConsumo[[#This Row],[Média.A]] + (_xlfn.STDEV.S( tabConsumo[[#This Row],[QTD.PENDENTE]]:tabConsumo[[#This Row],[07_23]] ) * 2)</f>
        <v>6.6068360252295912</v>
      </c>
      <c r="W442" s="255">
        <f xml:space="preserve"> tabConsumo[[#This Row],[Média.A]] + (_xlfn.STDEV.S( tabConsumo[[#This Row],[QTD.PENDENTE]]:tabConsumo[[#This Row],[07_23]] ) * 3)</f>
        <v>9.4935873711777212</v>
      </c>
      <c r="X442" s="5">
        <f t="shared" si="14"/>
        <v>2</v>
      </c>
      <c r="Y442">
        <v>0.5</v>
      </c>
      <c r="Z442" s="257">
        <f>SUM( tabConsumo[[#This Row],[QTD.PENDENTE]]:tabConsumo[[#This Row],[07_23]] )</f>
        <v>10</v>
      </c>
      <c r="AA442" s="257">
        <f>LARGE(tabConsumo[[#This Row],[08_22]:[07_23]],1)</f>
        <v>10</v>
      </c>
      <c r="AB442" s="175" t="s">
        <v>2216</v>
      </c>
      <c r="AC442" s="3" t="s">
        <v>2064</v>
      </c>
    </row>
    <row r="443" spans="1:29" x14ac:dyDescent="0.3">
      <c r="A443" s="4" t="s">
        <v>993</v>
      </c>
      <c r="B443" s="3" t="s">
        <v>569</v>
      </c>
      <c r="C443" s="2">
        <v>13066</v>
      </c>
      <c r="D443" s="2">
        <v>855</v>
      </c>
      <c r="F443" s="2">
        <v>0</v>
      </c>
      <c r="G443" s="2">
        <v>0</v>
      </c>
      <c r="H443" s="2">
        <v>0</v>
      </c>
      <c r="I443" s="2">
        <v>0</v>
      </c>
      <c r="J443" s="2">
        <v>0</v>
      </c>
      <c r="K443" s="2">
        <v>0</v>
      </c>
      <c r="L443" s="2">
        <v>0</v>
      </c>
      <c r="M443" s="2">
        <v>0</v>
      </c>
      <c r="N443" s="2">
        <v>0</v>
      </c>
      <c r="O443" s="2">
        <v>10</v>
      </c>
      <c r="P443" s="2">
        <v>0</v>
      </c>
      <c r="Q443" s="2">
        <v>0</v>
      </c>
      <c r="R443" s="274">
        <v>367</v>
      </c>
      <c r="S443" s="253">
        <f t="shared" si="15"/>
        <v>12</v>
      </c>
      <c r="T443" s="254">
        <f>SUM( tabConsumo[[#This Row],[QTD.PENDENTE]]:tabConsumo[[#This Row],[07_23]] ) / tabConsumo[[#This Row],[Div]]</f>
        <v>0.83333333333333337</v>
      </c>
      <c r="U443" s="255">
        <f xml:space="preserve"> tabConsumo[[#This Row],[Média.A]] + (_xlfn.STDEV.S( tabConsumo[[#This Row],[QTD.PENDENTE]]:tabConsumo[[#This Row],[07_23]] ) * 1)</f>
        <v>3.7200846792814626</v>
      </c>
      <c r="V443" s="255">
        <f xml:space="preserve"> tabConsumo[[#This Row],[Média.A]] + (_xlfn.STDEV.S( tabConsumo[[#This Row],[QTD.PENDENTE]]:tabConsumo[[#This Row],[07_23]] ) * 2)</f>
        <v>6.6068360252295912</v>
      </c>
      <c r="W443" s="255">
        <f xml:space="preserve"> tabConsumo[[#This Row],[Média.A]] + (_xlfn.STDEV.S( tabConsumo[[#This Row],[QTD.PENDENTE]]:tabConsumo[[#This Row],[07_23]] ) * 3)</f>
        <v>9.4935873711777212</v>
      </c>
      <c r="X443" s="5">
        <f t="shared" si="14"/>
        <v>2</v>
      </c>
      <c r="Y443">
        <v>0.5</v>
      </c>
      <c r="Z443" s="257">
        <f>SUM( tabConsumo[[#This Row],[QTD.PENDENTE]]:tabConsumo[[#This Row],[07_23]] )</f>
        <v>10</v>
      </c>
      <c r="AA443" s="257">
        <f>LARGE(tabConsumo[[#This Row],[08_22]:[07_23]],1)</f>
        <v>10</v>
      </c>
      <c r="AB443" s="175" t="s">
        <v>2214</v>
      </c>
      <c r="AC443" s="3" t="s">
        <v>2064</v>
      </c>
    </row>
    <row r="444" spans="1:29" x14ac:dyDescent="0.3">
      <c r="A444" s="4" t="s">
        <v>997</v>
      </c>
      <c r="B444" s="3" t="s">
        <v>569</v>
      </c>
      <c r="C444" s="2">
        <v>13087</v>
      </c>
      <c r="D444" s="2">
        <v>222</v>
      </c>
      <c r="F444" s="2">
        <v>0</v>
      </c>
      <c r="G444" s="2">
        <v>0</v>
      </c>
      <c r="H444" s="2">
        <v>10</v>
      </c>
      <c r="I444" s="2">
        <v>10</v>
      </c>
      <c r="J444" s="2">
        <v>0</v>
      </c>
      <c r="K444" s="2">
        <v>0</v>
      </c>
      <c r="L444" s="2">
        <v>20</v>
      </c>
      <c r="M444" s="2">
        <v>0</v>
      </c>
      <c r="N444" s="2">
        <v>0</v>
      </c>
      <c r="O444" s="2">
        <v>15</v>
      </c>
      <c r="P444" s="2">
        <v>0</v>
      </c>
      <c r="Q444" s="2">
        <v>0</v>
      </c>
      <c r="R444" s="274">
        <v>367</v>
      </c>
      <c r="S444" s="253">
        <f t="shared" si="15"/>
        <v>12</v>
      </c>
      <c r="T444" s="254">
        <f>SUM( tabConsumo[[#This Row],[QTD.PENDENTE]]:tabConsumo[[#This Row],[07_23]] ) / tabConsumo[[#This Row],[Div]]</f>
        <v>4.583333333333333</v>
      </c>
      <c r="U444" s="255">
        <f xml:space="preserve"> tabConsumo[[#This Row],[Média.A]] + (_xlfn.STDEV.S( tabConsumo[[#This Row],[QTD.PENDENTE]]:tabConsumo[[#This Row],[07_23]] ) * 1)</f>
        <v>11.800211698203654</v>
      </c>
      <c r="V444" s="255">
        <f xml:space="preserve"> tabConsumo[[#This Row],[Média.A]] + (_xlfn.STDEV.S( tabConsumo[[#This Row],[QTD.PENDENTE]]:tabConsumo[[#This Row],[07_23]] ) * 2)</f>
        <v>19.017090063073976</v>
      </c>
      <c r="W444" s="255">
        <f xml:space="preserve"> tabConsumo[[#This Row],[Média.A]] + (_xlfn.STDEV.S( tabConsumo[[#This Row],[QTD.PENDENTE]]:tabConsumo[[#This Row],[07_23]] ) * 3)</f>
        <v>26.233968427944298</v>
      </c>
      <c r="X444" s="5">
        <f t="shared" si="14"/>
        <v>2</v>
      </c>
      <c r="Y444">
        <v>4.5</v>
      </c>
      <c r="Z444" s="257">
        <f>SUM( tabConsumo[[#This Row],[QTD.PENDENTE]]:tabConsumo[[#This Row],[07_23]] )</f>
        <v>55</v>
      </c>
      <c r="AA444" s="257">
        <f>LARGE(tabConsumo[[#This Row],[08_22]:[07_23]],1)</f>
        <v>20</v>
      </c>
      <c r="AB444" s="175" t="s">
        <v>2214</v>
      </c>
      <c r="AC444" s="3" t="s">
        <v>2064</v>
      </c>
    </row>
    <row r="445" spans="1:29" x14ac:dyDescent="0.3">
      <c r="A445" s="4" t="s">
        <v>998</v>
      </c>
      <c r="B445" s="3" t="s">
        <v>569</v>
      </c>
      <c r="C445" s="2">
        <v>13088</v>
      </c>
      <c r="D445" s="2">
        <v>0</v>
      </c>
      <c r="F445" s="2">
        <v>0</v>
      </c>
      <c r="G445" s="2">
        <v>0</v>
      </c>
      <c r="H445" s="2">
        <v>0</v>
      </c>
      <c r="I445" s="2">
        <v>0</v>
      </c>
      <c r="J445" s="2">
        <v>0</v>
      </c>
      <c r="K445" s="2">
        <v>0</v>
      </c>
      <c r="L445" s="2">
        <v>15</v>
      </c>
      <c r="M445" s="2">
        <v>0</v>
      </c>
      <c r="N445" s="2">
        <v>0</v>
      </c>
      <c r="O445" s="2">
        <v>29</v>
      </c>
      <c r="P445" s="2">
        <v>0</v>
      </c>
      <c r="Q445" s="2">
        <v>0</v>
      </c>
      <c r="R445" s="274">
        <v>367</v>
      </c>
      <c r="S445" s="253">
        <f t="shared" si="15"/>
        <v>12</v>
      </c>
      <c r="T445" s="254">
        <f>SUM( tabConsumo[[#This Row],[QTD.PENDENTE]]:tabConsumo[[#This Row],[07_23]] ) / tabConsumo[[#This Row],[Div]]</f>
        <v>3.6666666666666665</v>
      </c>
      <c r="U445" s="255">
        <f xml:space="preserve"> tabConsumo[[#This Row],[Média.A]] + (_xlfn.STDEV.S( tabConsumo[[#This Row],[QTD.PENDENTE]]:tabConsumo[[#This Row],[07_23]] ) * 1)</f>
        <v>12.735427565622169</v>
      </c>
      <c r="V445" s="255">
        <f xml:space="preserve"> tabConsumo[[#This Row],[Média.A]] + (_xlfn.STDEV.S( tabConsumo[[#This Row],[QTD.PENDENTE]]:tabConsumo[[#This Row],[07_23]] ) * 2)</f>
        <v>21.804188464577674</v>
      </c>
      <c r="W445" s="255">
        <f xml:space="preserve"> tabConsumo[[#This Row],[Média.A]] + (_xlfn.STDEV.S( tabConsumo[[#This Row],[QTD.PENDENTE]]:tabConsumo[[#This Row],[07_23]] ) * 3)</f>
        <v>30.872949363533177</v>
      </c>
      <c r="X445" s="5">
        <f t="shared" si="14"/>
        <v>2</v>
      </c>
      <c r="Y445">
        <v>3</v>
      </c>
      <c r="Z445" s="257">
        <f>SUM( tabConsumo[[#This Row],[QTD.PENDENTE]]:tabConsumo[[#This Row],[07_23]] )</f>
        <v>44</v>
      </c>
      <c r="AA445" s="257">
        <f>LARGE(tabConsumo[[#This Row],[08_22]:[07_23]],1)</f>
        <v>29</v>
      </c>
      <c r="AB445" s="175" t="s">
        <v>2214</v>
      </c>
      <c r="AC445" s="3" t="s">
        <v>2064</v>
      </c>
    </row>
    <row r="446" spans="1:29" x14ac:dyDescent="0.3">
      <c r="A446" s="4" t="s">
        <v>1261</v>
      </c>
      <c r="B446" s="3" t="s">
        <v>569</v>
      </c>
      <c r="C446" s="2">
        <v>35555</v>
      </c>
      <c r="D446" s="2">
        <v>63</v>
      </c>
      <c r="F446" s="2">
        <v>0</v>
      </c>
      <c r="G446" s="2">
        <v>0</v>
      </c>
      <c r="H446" s="2">
        <v>0</v>
      </c>
      <c r="I446" s="2">
        <v>0</v>
      </c>
      <c r="J446" s="2">
        <v>0</v>
      </c>
      <c r="K446" s="2">
        <v>0</v>
      </c>
      <c r="L446" s="2">
        <v>0</v>
      </c>
      <c r="M446" s="2">
        <v>20</v>
      </c>
      <c r="N446" s="2">
        <v>55</v>
      </c>
      <c r="O446" s="2">
        <v>0</v>
      </c>
      <c r="P446" s="2">
        <v>0</v>
      </c>
      <c r="Q446" s="2">
        <v>0</v>
      </c>
      <c r="R446" s="274">
        <v>367</v>
      </c>
      <c r="S446" s="253">
        <f t="shared" si="15"/>
        <v>12</v>
      </c>
      <c r="T446" s="254">
        <f>SUM( tabConsumo[[#This Row],[QTD.PENDENTE]]:tabConsumo[[#This Row],[07_23]] ) / tabConsumo[[#This Row],[Div]]</f>
        <v>6.25</v>
      </c>
      <c r="U446" s="255">
        <f xml:space="preserve"> tabConsumo[[#This Row],[Média.A]] + (_xlfn.STDEV.S( tabConsumo[[#This Row],[QTD.PENDENTE]]:tabConsumo[[#This Row],[07_23]] ) * 1)</f>
        <v>22.643596310755001</v>
      </c>
      <c r="V446" s="255">
        <f xml:space="preserve"> tabConsumo[[#This Row],[Média.A]] + (_xlfn.STDEV.S( tabConsumo[[#This Row],[QTD.PENDENTE]]:tabConsumo[[#This Row],[07_23]] ) * 2)</f>
        <v>39.037192621510002</v>
      </c>
      <c r="W446" s="255">
        <f xml:space="preserve"> tabConsumo[[#This Row],[Média.A]] + (_xlfn.STDEV.S( tabConsumo[[#This Row],[QTD.PENDENTE]]:tabConsumo[[#This Row],[07_23]] ) * 3)</f>
        <v>55.430788932265003</v>
      </c>
      <c r="X446" s="5">
        <f t="shared" si="14"/>
        <v>2</v>
      </c>
      <c r="Y446">
        <v>4.916666666666667</v>
      </c>
      <c r="Z446" s="257">
        <f>SUM( tabConsumo[[#This Row],[QTD.PENDENTE]]:tabConsumo[[#This Row],[07_23]] )</f>
        <v>75</v>
      </c>
      <c r="AA446" s="257">
        <f>LARGE(tabConsumo[[#This Row],[08_22]:[07_23]],1)</f>
        <v>55</v>
      </c>
      <c r="AB446" s="175" t="s">
        <v>2213</v>
      </c>
      <c r="AC446" s="3" t="s">
        <v>2064</v>
      </c>
    </row>
    <row r="447" spans="1:29" x14ac:dyDescent="0.3">
      <c r="A447" s="4" t="s">
        <v>1260</v>
      </c>
      <c r="B447" s="3" t="s">
        <v>569</v>
      </c>
      <c r="C447" s="2">
        <v>35554</v>
      </c>
      <c r="D447" s="2">
        <v>0</v>
      </c>
      <c r="E447" s="2">
        <v>35</v>
      </c>
      <c r="F447" s="2">
        <v>10</v>
      </c>
      <c r="G447" s="2">
        <v>0</v>
      </c>
      <c r="H447" s="2">
        <v>0</v>
      </c>
      <c r="I447" s="2">
        <v>0</v>
      </c>
      <c r="J447" s="2">
        <v>0</v>
      </c>
      <c r="K447" s="2">
        <v>0</v>
      </c>
      <c r="L447" s="2">
        <v>11</v>
      </c>
      <c r="M447" s="2">
        <v>22</v>
      </c>
      <c r="N447" s="2">
        <v>5</v>
      </c>
      <c r="O447" s="2">
        <v>0</v>
      </c>
      <c r="P447" s="2">
        <v>0</v>
      </c>
      <c r="Q447" s="2">
        <v>0</v>
      </c>
      <c r="R447" s="274">
        <v>367</v>
      </c>
      <c r="S447" s="253">
        <f t="shared" si="15"/>
        <v>12</v>
      </c>
      <c r="T447" s="254">
        <f>SUM( tabConsumo[[#This Row],[QTD.PENDENTE]]:tabConsumo[[#This Row],[07_23]] ) / tabConsumo[[#This Row],[Div]]</f>
        <v>6.916666666666667</v>
      </c>
      <c r="U447" s="255">
        <f xml:space="preserve"> tabConsumo[[#This Row],[Média.A]] + (_xlfn.STDEV.S( tabConsumo[[#This Row],[QTD.PENDENTE]]:tabConsumo[[#This Row],[07_23]] ) * 1)</f>
        <v>17.814208144284922</v>
      </c>
      <c r="V447" s="255">
        <f xml:space="preserve"> tabConsumo[[#This Row],[Média.A]] + (_xlfn.STDEV.S( tabConsumo[[#This Row],[QTD.PENDENTE]]:tabConsumo[[#This Row],[07_23]] ) * 2)</f>
        <v>28.711749621903177</v>
      </c>
      <c r="W447" s="255">
        <f xml:space="preserve"> tabConsumo[[#This Row],[Média.A]] + (_xlfn.STDEV.S( tabConsumo[[#This Row],[QTD.PENDENTE]]:tabConsumo[[#This Row],[07_23]] ) * 3)</f>
        <v>39.609291099521428</v>
      </c>
      <c r="X447" s="5">
        <f t="shared" si="14"/>
        <v>2</v>
      </c>
      <c r="Y447">
        <v>6.916666666666667</v>
      </c>
      <c r="Z447" s="257">
        <f>SUM( tabConsumo[[#This Row],[QTD.PENDENTE]]:tabConsumo[[#This Row],[07_23]] )</f>
        <v>83</v>
      </c>
      <c r="AA447" s="257">
        <f>LARGE(tabConsumo[[#This Row],[08_22]:[07_23]],1)</f>
        <v>22</v>
      </c>
      <c r="AB447" s="175" t="s">
        <v>2213</v>
      </c>
      <c r="AC447" s="3" t="s">
        <v>2064</v>
      </c>
    </row>
    <row r="448" spans="1:29" x14ac:dyDescent="0.3">
      <c r="A448" s="4" t="s">
        <v>1259</v>
      </c>
      <c r="B448" s="3" t="s">
        <v>569</v>
      </c>
      <c r="C448" s="2">
        <v>35550</v>
      </c>
      <c r="D448" s="2">
        <v>39</v>
      </c>
      <c r="F448" s="2">
        <v>0</v>
      </c>
      <c r="G448" s="2">
        <v>0</v>
      </c>
      <c r="H448" s="2">
        <v>0</v>
      </c>
      <c r="I448" s="2">
        <v>0</v>
      </c>
      <c r="J448" s="2">
        <v>0</v>
      </c>
      <c r="K448" s="2">
        <v>0</v>
      </c>
      <c r="L448" s="2">
        <v>10</v>
      </c>
      <c r="M448" s="2">
        <v>1</v>
      </c>
      <c r="N448" s="2">
        <v>65</v>
      </c>
      <c r="O448" s="2">
        <v>0</v>
      </c>
      <c r="P448" s="2">
        <v>0</v>
      </c>
      <c r="Q448" s="2">
        <v>0</v>
      </c>
      <c r="R448" s="274">
        <v>367</v>
      </c>
      <c r="S448" s="253">
        <f t="shared" si="15"/>
        <v>12</v>
      </c>
      <c r="T448" s="254">
        <f>SUM( tabConsumo[[#This Row],[QTD.PENDENTE]]:tabConsumo[[#This Row],[07_23]] ) / tabConsumo[[#This Row],[Div]]</f>
        <v>6.333333333333333</v>
      </c>
      <c r="U448" s="255">
        <f xml:space="preserve"> tabConsumo[[#This Row],[Média.A]] + (_xlfn.STDEV.S( tabConsumo[[#This Row],[QTD.PENDENTE]]:tabConsumo[[#This Row],[07_23]] ) * 1)</f>
        <v>25.028657655611124</v>
      </c>
      <c r="V448" s="255">
        <f xml:space="preserve"> tabConsumo[[#This Row],[Média.A]] + (_xlfn.STDEV.S( tabConsumo[[#This Row],[QTD.PENDENTE]]:tabConsumo[[#This Row],[07_23]] ) * 2)</f>
        <v>43.723981977888918</v>
      </c>
      <c r="W448" s="255">
        <f xml:space="preserve"> tabConsumo[[#This Row],[Média.A]] + (_xlfn.STDEV.S( tabConsumo[[#This Row],[QTD.PENDENTE]]:tabConsumo[[#This Row],[07_23]] ) * 3)</f>
        <v>62.41930630016671</v>
      </c>
      <c r="X448" s="5">
        <f t="shared" si="14"/>
        <v>2</v>
      </c>
      <c r="Y448">
        <v>4.5</v>
      </c>
      <c r="Z448" s="257">
        <f>SUM( tabConsumo[[#This Row],[QTD.PENDENTE]]:tabConsumo[[#This Row],[07_23]] )</f>
        <v>76</v>
      </c>
      <c r="AA448" s="257">
        <f>LARGE(tabConsumo[[#This Row],[08_22]:[07_23]],1)</f>
        <v>65</v>
      </c>
      <c r="AB448" s="175" t="s">
        <v>2213</v>
      </c>
      <c r="AC448" s="3" t="s">
        <v>2064</v>
      </c>
    </row>
    <row r="449" spans="1:29" x14ac:dyDescent="0.3">
      <c r="A449" s="4" t="s">
        <v>1140</v>
      </c>
      <c r="B449" s="3" t="s">
        <v>569</v>
      </c>
      <c r="C449" s="2">
        <v>17698</v>
      </c>
      <c r="D449" s="2">
        <v>146</v>
      </c>
      <c r="E449" s="2">
        <v>72</v>
      </c>
      <c r="F449" s="2">
        <v>11</v>
      </c>
      <c r="G449" s="2">
        <v>0</v>
      </c>
      <c r="H449" s="2">
        <v>0</v>
      </c>
      <c r="I449" s="2">
        <v>0</v>
      </c>
      <c r="J449" s="2">
        <v>0</v>
      </c>
      <c r="K449" s="2">
        <v>60</v>
      </c>
      <c r="L449" s="2">
        <v>4</v>
      </c>
      <c r="M449" s="2">
        <v>78</v>
      </c>
      <c r="N449" s="2">
        <v>3</v>
      </c>
      <c r="O449" s="2">
        <v>76</v>
      </c>
      <c r="P449" s="2">
        <v>60</v>
      </c>
      <c r="Q449" s="2">
        <v>23</v>
      </c>
      <c r="R449" s="274">
        <v>367</v>
      </c>
      <c r="S449" s="253">
        <f t="shared" si="15"/>
        <v>12</v>
      </c>
      <c r="T449" s="254">
        <f>SUM( tabConsumo[[#This Row],[QTD.PENDENTE]]:tabConsumo[[#This Row],[07_23]] ) / tabConsumo[[#This Row],[Div]]</f>
        <v>32.25</v>
      </c>
      <c r="U449" s="255">
        <f xml:space="preserve"> tabConsumo[[#This Row],[Média.A]] + (_xlfn.STDEV.S( tabConsumo[[#This Row],[QTD.PENDENTE]]:tabConsumo[[#This Row],[07_23]] ) * 1)</f>
        <v>65.664452577075707</v>
      </c>
      <c r="V449" s="255">
        <f xml:space="preserve"> tabConsumo[[#This Row],[Média.A]] + (_xlfn.STDEV.S( tabConsumo[[#This Row],[QTD.PENDENTE]]:tabConsumo[[#This Row],[07_23]] ) * 2)</f>
        <v>99.0789051541514</v>
      </c>
      <c r="W449" s="255">
        <f xml:space="preserve"> tabConsumo[[#This Row],[Média.A]] + (_xlfn.STDEV.S( tabConsumo[[#This Row],[QTD.PENDENTE]]:tabConsumo[[#This Row],[07_23]] ) * 3)</f>
        <v>132.49335773122709</v>
      </c>
      <c r="X449" s="5">
        <f t="shared" si="14"/>
        <v>2</v>
      </c>
      <c r="Y449">
        <v>32.25</v>
      </c>
      <c r="Z449" s="257">
        <f>SUM( tabConsumo[[#This Row],[QTD.PENDENTE]]:tabConsumo[[#This Row],[07_23]] )</f>
        <v>387</v>
      </c>
      <c r="AA449" s="257">
        <f>LARGE(tabConsumo[[#This Row],[08_22]:[07_23]],1)</f>
        <v>78</v>
      </c>
      <c r="AB449" s="175" t="s">
        <v>2211</v>
      </c>
      <c r="AC449" s="3" t="s">
        <v>2064</v>
      </c>
    </row>
    <row r="450" spans="1:29" x14ac:dyDescent="0.3">
      <c r="A450" s="4" t="s">
        <v>1139</v>
      </c>
      <c r="B450" s="3" t="s">
        <v>569</v>
      </c>
      <c r="C450" s="2">
        <v>17696</v>
      </c>
      <c r="D450" s="2">
        <v>0</v>
      </c>
      <c r="E450" s="2">
        <v>27</v>
      </c>
      <c r="F450" s="2">
        <v>5</v>
      </c>
      <c r="G450" s="2">
        <v>55</v>
      </c>
      <c r="H450" s="2">
        <v>29</v>
      </c>
      <c r="I450" s="2">
        <v>0</v>
      </c>
      <c r="J450" s="2">
        <v>0</v>
      </c>
      <c r="K450" s="2">
        <v>0</v>
      </c>
      <c r="L450" s="2">
        <v>0</v>
      </c>
      <c r="M450" s="2">
        <v>0</v>
      </c>
      <c r="N450" s="2">
        <v>0</v>
      </c>
      <c r="O450" s="2">
        <v>0</v>
      </c>
      <c r="P450" s="2">
        <v>0</v>
      </c>
      <c r="Q450" s="2">
        <v>0</v>
      </c>
      <c r="R450" s="274">
        <v>367</v>
      </c>
      <c r="S450" s="253">
        <f t="shared" si="15"/>
        <v>12</v>
      </c>
      <c r="T450" s="254">
        <f>SUM( tabConsumo[[#This Row],[QTD.PENDENTE]]:tabConsumo[[#This Row],[07_23]] ) / tabConsumo[[#This Row],[Div]]</f>
        <v>9.6666666666666661</v>
      </c>
      <c r="U450" s="255">
        <f xml:space="preserve"> tabConsumo[[#This Row],[Média.A]] + (_xlfn.STDEV.S( tabConsumo[[#This Row],[QTD.PENDENTE]]:tabConsumo[[#This Row],[07_23]] ) * 1)</f>
        <v>26.950867248226395</v>
      </c>
      <c r="V450" s="255">
        <f xml:space="preserve"> tabConsumo[[#This Row],[Média.A]] + (_xlfn.STDEV.S( tabConsumo[[#This Row],[QTD.PENDENTE]]:tabConsumo[[#This Row],[07_23]] ) * 2)</f>
        <v>44.235067829786125</v>
      </c>
      <c r="W450" s="255">
        <f xml:space="preserve"> tabConsumo[[#This Row],[Média.A]] + (_xlfn.STDEV.S( tabConsumo[[#This Row],[QTD.PENDENTE]]:tabConsumo[[#This Row],[07_23]] ) * 3)</f>
        <v>61.519268411345855</v>
      </c>
      <c r="X450" s="5">
        <f t="shared" si="14"/>
        <v>2</v>
      </c>
      <c r="Y450">
        <v>8.75</v>
      </c>
      <c r="Z450" s="257">
        <f>SUM( tabConsumo[[#This Row],[QTD.PENDENTE]]:tabConsumo[[#This Row],[07_23]] )</f>
        <v>116</v>
      </c>
      <c r="AA450" s="257">
        <f>LARGE(tabConsumo[[#This Row],[08_22]:[07_23]],1)</f>
        <v>55</v>
      </c>
      <c r="AB450" s="175" t="s">
        <v>2215</v>
      </c>
      <c r="AC450" s="3" t="s">
        <v>2064</v>
      </c>
    </row>
    <row r="451" spans="1:29" x14ac:dyDescent="0.3">
      <c r="A451" s="4" t="s">
        <v>1005</v>
      </c>
      <c r="B451" s="3" t="s">
        <v>569</v>
      </c>
      <c r="C451" s="2">
        <v>13101</v>
      </c>
      <c r="D451" s="2">
        <v>45</v>
      </c>
      <c r="F451" s="2">
        <v>0</v>
      </c>
      <c r="G451" s="2">
        <v>0</v>
      </c>
      <c r="H451" s="2">
        <v>0</v>
      </c>
      <c r="I451" s="2">
        <v>30</v>
      </c>
      <c r="J451" s="2">
        <v>20</v>
      </c>
      <c r="K451" s="2">
        <v>11</v>
      </c>
      <c r="L451" s="2">
        <v>5</v>
      </c>
      <c r="M451" s="2">
        <v>20</v>
      </c>
      <c r="N451" s="2">
        <v>10</v>
      </c>
      <c r="O451" s="2">
        <v>1</v>
      </c>
      <c r="P451" s="2">
        <v>0</v>
      </c>
      <c r="Q451" s="2">
        <v>0</v>
      </c>
      <c r="R451" s="274">
        <v>367</v>
      </c>
      <c r="S451" s="253">
        <f t="shared" si="15"/>
        <v>12</v>
      </c>
      <c r="T451" s="254">
        <f>SUM( tabConsumo[[#This Row],[QTD.PENDENTE]]:tabConsumo[[#This Row],[07_23]] ) / tabConsumo[[#This Row],[Div]]</f>
        <v>8.0833333333333339</v>
      </c>
      <c r="U451" s="255">
        <f xml:space="preserve"> tabConsumo[[#This Row],[Média.A]] + (_xlfn.STDEV.S( tabConsumo[[#This Row],[QTD.PENDENTE]]:tabConsumo[[#This Row],[07_23]] ) * 1)</f>
        <v>18.365341744616458</v>
      </c>
      <c r="V451" s="255">
        <f xml:space="preserve"> tabConsumo[[#This Row],[Média.A]] + (_xlfn.STDEV.S( tabConsumo[[#This Row],[QTD.PENDENTE]]:tabConsumo[[#This Row],[07_23]] ) * 2)</f>
        <v>28.647350155899588</v>
      </c>
      <c r="W451" s="255">
        <f xml:space="preserve"> tabConsumo[[#This Row],[Média.A]] + (_xlfn.STDEV.S( tabConsumo[[#This Row],[QTD.PENDENTE]]:tabConsumo[[#This Row],[07_23]] ) * 3)</f>
        <v>38.92935856718271</v>
      </c>
      <c r="X451" s="5">
        <f t="shared" ref="X451:X514" si="16" xml:space="preserve"> 2</f>
        <v>2</v>
      </c>
      <c r="Y451">
        <v>7.916666666666667</v>
      </c>
      <c r="Z451" s="257">
        <f>SUM( tabConsumo[[#This Row],[QTD.PENDENTE]]:tabConsumo[[#This Row],[07_23]] )</f>
        <v>97</v>
      </c>
      <c r="AA451" s="257">
        <f>LARGE(tabConsumo[[#This Row],[08_22]:[07_23]],1)</f>
        <v>30</v>
      </c>
      <c r="AB451" s="175" t="s">
        <v>2214</v>
      </c>
      <c r="AC451" s="3" t="s">
        <v>2064</v>
      </c>
    </row>
    <row r="452" spans="1:29" x14ac:dyDescent="0.3">
      <c r="A452" s="4" t="s">
        <v>1007</v>
      </c>
      <c r="B452" s="3" t="s">
        <v>569</v>
      </c>
      <c r="C452" s="2">
        <v>13109</v>
      </c>
      <c r="D452" s="2">
        <v>0</v>
      </c>
      <c r="E452" s="2">
        <v>29</v>
      </c>
      <c r="F452" s="2">
        <v>31</v>
      </c>
      <c r="G452" s="2">
        <v>94</v>
      </c>
      <c r="H452" s="2">
        <v>12</v>
      </c>
      <c r="I452" s="2">
        <v>102</v>
      </c>
      <c r="J452" s="2">
        <v>14</v>
      </c>
      <c r="K452" s="2">
        <v>24</v>
      </c>
      <c r="L452" s="2">
        <v>0</v>
      </c>
      <c r="M452" s="2">
        <v>0</v>
      </c>
      <c r="N452" s="2">
        <v>0</v>
      </c>
      <c r="O452" s="2">
        <v>0</v>
      </c>
      <c r="P452" s="2">
        <v>0</v>
      </c>
      <c r="Q452" s="2">
        <v>12</v>
      </c>
      <c r="R452" s="274">
        <v>367</v>
      </c>
      <c r="S452" s="253">
        <f t="shared" si="15"/>
        <v>12</v>
      </c>
      <c r="T452" s="254">
        <f>SUM( tabConsumo[[#This Row],[QTD.PENDENTE]]:tabConsumo[[#This Row],[07_23]] ) / tabConsumo[[#This Row],[Div]]</f>
        <v>26.5</v>
      </c>
      <c r="U452" s="255">
        <f xml:space="preserve"> tabConsumo[[#This Row],[Média.A]] + (_xlfn.STDEV.S( tabConsumo[[#This Row],[QTD.PENDENTE]]:tabConsumo[[#This Row],[07_23]] ) * 1)</f>
        <v>61.048553719404296</v>
      </c>
      <c r="V452" s="255">
        <f xml:space="preserve"> tabConsumo[[#This Row],[Média.A]] + (_xlfn.STDEV.S( tabConsumo[[#This Row],[QTD.PENDENTE]]:tabConsumo[[#This Row],[07_23]] ) * 2)</f>
        <v>95.597107438808592</v>
      </c>
      <c r="W452" s="255">
        <f xml:space="preserve"> tabConsumo[[#This Row],[Média.A]] + (_xlfn.STDEV.S( tabConsumo[[#This Row],[QTD.PENDENTE]]:tabConsumo[[#This Row],[07_23]] ) * 3)</f>
        <v>130.14566115821287</v>
      </c>
      <c r="X452" s="5">
        <f t="shared" si="16"/>
        <v>2</v>
      </c>
      <c r="Y452">
        <v>25.916666666666668</v>
      </c>
      <c r="Z452" s="257">
        <f>SUM( tabConsumo[[#This Row],[QTD.PENDENTE]]:tabConsumo[[#This Row],[07_23]] )</f>
        <v>318</v>
      </c>
      <c r="AA452" s="257">
        <f>LARGE(tabConsumo[[#This Row],[08_22]:[07_23]],1)</f>
        <v>102</v>
      </c>
      <c r="AB452" s="175" t="s">
        <v>2211</v>
      </c>
      <c r="AC452" s="3" t="s">
        <v>2064</v>
      </c>
    </row>
    <row r="453" spans="1:29" x14ac:dyDescent="0.3">
      <c r="A453" s="4" t="s">
        <v>1507</v>
      </c>
      <c r="B453" s="3" t="s">
        <v>569</v>
      </c>
      <c r="C453" s="2">
        <v>88838</v>
      </c>
      <c r="D453" s="2">
        <v>1091</v>
      </c>
      <c r="F453" s="2">
        <v>453</v>
      </c>
      <c r="G453" s="2">
        <v>295</v>
      </c>
      <c r="H453" s="2">
        <v>448</v>
      </c>
      <c r="I453" s="2">
        <v>342</v>
      </c>
      <c r="J453" s="2">
        <v>273</v>
      </c>
      <c r="K453" s="2">
        <v>133</v>
      </c>
      <c r="L453" s="2">
        <v>175</v>
      </c>
      <c r="M453" s="2">
        <v>403</v>
      </c>
      <c r="N453" s="2">
        <v>197</v>
      </c>
      <c r="O453" s="2">
        <v>251</v>
      </c>
      <c r="P453" s="2">
        <v>229</v>
      </c>
      <c r="Q453" s="2">
        <v>271</v>
      </c>
      <c r="R453" s="274">
        <v>38663</v>
      </c>
      <c r="S453" s="253">
        <v>12</v>
      </c>
      <c r="T453" s="254">
        <f>SUM( tabConsumo[[#This Row],[QTD.PENDENTE]]:tabConsumo[[#This Row],[07_23]] ) / tabConsumo[[#This Row],[Div]]</f>
        <v>289.16666666666669</v>
      </c>
      <c r="U453" s="255">
        <f xml:space="preserve"> tabConsumo[[#This Row],[Média.A]] + (_xlfn.STDEV.S( tabConsumo[[#This Row],[QTD.PENDENTE]]:tabConsumo[[#This Row],[07_23]] ) * 1)</f>
        <v>393.36824869385902</v>
      </c>
      <c r="V453" s="255">
        <f xml:space="preserve"> tabConsumo[[#This Row],[Média.A]] + (_xlfn.STDEV.S( tabConsumo[[#This Row],[QTD.PENDENTE]]:tabConsumo[[#This Row],[07_23]] ) * 2)</f>
        <v>497.5698307210514</v>
      </c>
      <c r="W453" s="255">
        <f xml:space="preserve"> tabConsumo[[#This Row],[Média.A]] + (_xlfn.STDEV.S( tabConsumo[[#This Row],[QTD.PENDENTE]]:tabConsumo[[#This Row],[07_23]] ) * 3)</f>
        <v>601.77141274824373</v>
      </c>
      <c r="X453" s="5">
        <f t="shared" si="16"/>
        <v>2</v>
      </c>
      <c r="Y453">
        <v>289.16666666666669</v>
      </c>
      <c r="Z453" s="257">
        <f>SUM( tabConsumo[[#This Row],[QTD.PENDENTE]]:tabConsumo[[#This Row],[07_23]] )</f>
        <v>3470</v>
      </c>
      <c r="AA453" s="257">
        <f>LARGE(tabConsumo[[#This Row],[08_22]:[07_23]],1)</f>
        <v>453</v>
      </c>
      <c r="AB453" s="175" t="s">
        <v>2211</v>
      </c>
      <c r="AC453" s="3" t="s">
        <v>2064</v>
      </c>
    </row>
    <row r="454" spans="1:29" x14ac:dyDescent="0.3">
      <c r="A454" s="4" t="s">
        <v>1397</v>
      </c>
      <c r="B454" s="3" t="s">
        <v>569</v>
      </c>
      <c r="C454" s="2">
        <v>71697</v>
      </c>
      <c r="D454" s="2">
        <v>142</v>
      </c>
      <c r="F454" s="2">
        <v>254</v>
      </c>
      <c r="G454" s="2">
        <v>233</v>
      </c>
      <c r="H454" s="2">
        <v>276</v>
      </c>
      <c r="I454" s="2">
        <v>270</v>
      </c>
      <c r="J454" s="2">
        <v>250</v>
      </c>
      <c r="K454" s="2">
        <v>88</v>
      </c>
      <c r="L454" s="2">
        <v>144</v>
      </c>
      <c r="M454" s="2">
        <v>358</v>
      </c>
      <c r="N454" s="2">
        <v>177</v>
      </c>
      <c r="O454" s="2">
        <v>196</v>
      </c>
      <c r="P454" s="2">
        <v>199</v>
      </c>
      <c r="Q454" s="2">
        <v>256</v>
      </c>
      <c r="R454" s="274">
        <v>367</v>
      </c>
      <c r="S454" s="253">
        <f xml:space="preserve"> 12</f>
        <v>12</v>
      </c>
      <c r="T454" s="254">
        <f>SUM( tabConsumo[[#This Row],[QTD.PENDENTE]]:tabConsumo[[#This Row],[07_23]] ) / tabConsumo[[#This Row],[Div]]</f>
        <v>225.08333333333334</v>
      </c>
      <c r="U454" s="255">
        <f xml:space="preserve"> tabConsumo[[#This Row],[Média.A]] + (_xlfn.STDEV.S( tabConsumo[[#This Row],[QTD.PENDENTE]]:tabConsumo[[#This Row],[07_23]] ) * 1)</f>
        <v>295.12028245609451</v>
      </c>
      <c r="V454" s="255">
        <f xml:space="preserve"> tabConsumo[[#This Row],[Média.A]] + (_xlfn.STDEV.S( tabConsumo[[#This Row],[QTD.PENDENTE]]:tabConsumo[[#This Row],[07_23]] ) * 2)</f>
        <v>365.15723157885571</v>
      </c>
      <c r="W454" s="255">
        <f xml:space="preserve"> tabConsumo[[#This Row],[Média.A]] + (_xlfn.STDEV.S( tabConsumo[[#This Row],[QTD.PENDENTE]]:tabConsumo[[#This Row],[07_23]] ) * 3)</f>
        <v>435.19418070161692</v>
      </c>
      <c r="X454" s="5">
        <f t="shared" si="16"/>
        <v>2</v>
      </c>
      <c r="Y454">
        <v>225.08333333333334</v>
      </c>
      <c r="Z454" s="257">
        <f>SUM( tabConsumo[[#This Row],[QTD.PENDENTE]]:tabConsumo[[#This Row],[07_23]] )</f>
        <v>2701</v>
      </c>
      <c r="AA454" s="257">
        <f>LARGE(tabConsumo[[#This Row],[08_22]:[07_23]],1)</f>
        <v>358</v>
      </c>
      <c r="AB454" s="175" t="s">
        <v>2211</v>
      </c>
      <c r="AC454" s="3" t="s">
        <v>2064</v>
      </c>
    </row>
    <row r="455" spans="1:29" x14ac:dyDescent="0.3">
      <c r="A455" s="4" t="s">
        <v>1164</v>
      </c>
      <c r="B455" s="3" t="s">
        <v>256</v>
      </c>
      <c r="C455" s="2">
        <v>20167</v>
      </c>
      <c r="D455" s="2">
        <v>0</v>
      </c>
      <c r="E455" s="2">
        <v>2</v>
      </c>
      <c r="F455" s="2">
        <v>2</v>
      </c>
      <c r="G455" s="2">
        <v>2</v>
      </c>
      <c r="H455" s="2">
        <v>0</v>
      </c>
      <c r="I455" s="2">
        <v>2</v>
      </c>
      <c r="J455" s="2">
        <v>0</v>
      </c>
      <c r="K455" s="2">
        <v>5</v>
      </c>
      <c r="L455" s="2">
        <v>1</v>
      </c>
      <c r="M455" s="2">
        <v>3</v>
      </c>
      <c r="N455" s="2">
        <v>0</v>
      </c>
      <c r="O455" s="2">
        <v>2</v>
      </c>
      <c r="P455" s="2">
        <v>0</v>
      </c>
      <c r="Q455" s="2">
        <v>0</v>
      </c>
      <c r="R455" s="274">
        <v>367</v>
      </c>
      <c r="S455" s="253">
        <f xml:space="preserve"> 12</f>
        <v>12</v>
      </c>
      <c r="T455" s="254">
        <f>SUM( tabConsumo[[#This Row],[QTD.PENDENTE]]:tabConsumo[[#This Row],[07_23]] ) / tabConsumo[[#This Row],[Div]]</f>
        <v>1.5833333333333333</v>
      </c>
      <c r="U455" s="255">
        <f xml:space="preserve"> tabConsumo[[#This Row],[Média.A]] + (_xlfn.STDEV.S( tabConsumo[[#This Row],[QTD.PENDENTE]]:tabConsumo[[#This Row],[07_23]] ) * 1)</f>
        <v>3.0897299508384206</v>
      </c>
      <c r="V455" s="255">
        <f xml:space="preserve"> tabConsumo[[#This Row],[Média.A]] + (_xlfn.STDEV.S( tabConsumo[[#This Row],[QTD.PENDENTE]]:tabConsumo[[#This Row],[07_23]] ) * 2)</f>
        <v>4.5961265683435082</v>
      </c>
      <c r="W455" s="255">
        <f xml:space="preserve"> tabConsumo[[#This Row],[Média.A]] + (_xlfn.STDEV.S( tabConsumo[[#This Row],[QTD.PENDENTE]]:tabConsumo[[#This Row],[07_23]] ) * 3)</f>
        <v>6.1025231858485958</v>
      </c>
      <c r="X455" s="5">
        <f t="shared" si="16"/>
        <v>2</v>
      </c>
      <c r="Y455">
        <v>1.5</v>
      </c>
      <c r="Z455" s="257">
        <f>SUM( tabConsumo[[#This Row],[QTD.PENDENTE]]:tabConsumo[[#This Row],[07_23]] )</f>
        <v>19</v>
      </c>
      <c r="AA455" s="257">
        <f>LARGE(tabConsumo[[#This Row],[08_22]:[07_23]],1)</f>
        <v>5</v>
      </c>
      <c r="AB455" s="175" t="s">
        <v>2214</v>
      </c>
      <c r="AC455" s="3" t="s">
        <v>2064</v>
      </c>
    </row>
    <row r="456" spans="1:29" x14ac:dyDescent="0.3">
      <c r="A456" s="4" t="s">
        <v>1940</v>
      </c>
      <c r="B456" s="3" t="s">
        <v>31</v>
      </c>
      <c r="C456" s="2">
        <v>136898</v>
      </c>
      <c r="D456" s="2">
        <v>0</v>
      </c>
      <c r="E456" s="2">
        <v>22</v>
      </c>
      <c r="F456" s="2">
        <v>20</v>
      </c>
      <c r="G456" s="2">
        <v>5</v>
      </c>
      <c r="H456" s="2">
        <v>30</v>
      </c>
      <c r="I456" s="2">
        <v>42</v>
      </c>
      <c r="J456" s="2">
        <v>0</v>
      </c>
      <c r="K456" s="2">
        <v>0</v>
      </c>
      <c r="L456" s="2">
        <v>50</v>
      </c>
      <c r="M456" s="2">
        <v>0</v>
      </c>
      <c r="N456" s="2">
        <v>0</v>
      </c>
      <c r="O456" s="2">
        <v>0</v>
      </c>
      <c r="P456" s="2">
        <v>0</v>
      </c>
      <c r="Q456" s="2">
        <v>0</v>
      </c>
      <c r="R456" s="274">
        <v>43584</v>
      </c>
      <c r="S456" s="253">
        <v>12</v>
      </c>
      <c r="T456" s="254">
        <f>SUM( tabConsumo[[#This Row],[QTD.PENDENTE]]:tabConsumo[[#This Row],[07_23]] ) / tabConsumo[[#This Row],[Div]]</f>
        <v>14.083333333333334</v>
      </c>
      <c r="U456" s="255">
        <f xml:space="preserve"> tabConsumo[[#This Row],[Média.A]] + (_xlfn.STDEV.S( tabConsumo[[#This Row],[QTD.PENDENTE]]:tabConsumo[[#This Row],[07_23]] ) * 1)</f>
        <v>32.055534088944761</v>
      </c>
      <c r="V456" s="255">
        <f xml:space="preserve"> tabConsumo[[#This Row],[Média.A]] + (_xlfn.STDEV.S( tabConsumo[[#This Row],[QTD.PENDENTE]]:tabConsumo[[#This Row],[07_23]] ) * 2)</f>
        <v>50.027734844556193</v>
      </c>
      <c r="W456" s="255">
        <f xml:space="preserve"> tabConsumo[[#This Row],[Média.A]] + (_xlfn.STDEV.S( tabConsumo[[#This Row],[QTD.PENDENTE]]:tabConsumo[[#This Row],[07_23]] ) * 3)</f>
        <v>67.999935600167618</v>
      </c>
      <c r="X456" s="5">
        <f t="shared" si="16"/>
        <v>2</v>
      </c>
      <c r="Y456">
        <v>14.083333333333334</v>
      </c>
      <c r="Z456" s="257">
        <f>SUM( tabConsumo[[#This Row],[QTD.PENDENTE]]:tabConsumo[[#This Row],[07_23]] )</f>
        <v>169</v>
      </c>
      <c r="AA456" s="257">
        <f>LARGE(tabConsumo[[#This Row],[08_22]:[07_23]],1)</f>
        <v>50</v>
      </c>
      <c r="AB456" s="175" t="s">
        <v>2221</v>
      </c>
      <c r="AC456" s="3" t="s">
        <v>2064</v>
      </c>
    </row>
    <row r="457" spans="1:29" x14ac:dyDescent="0.3">
      <c r="A457" s="4" t="s">
        <v>1298</v>
      </c>
      <c r="B457" s="3" t="s">
        <v>256</v>
      </c>
      <c r="C457" s="2">
        <v>51222</v>
      </c>
      <c r="D457" s="2">
        <v>81</v>
      </c>
      <c r="F457" s="2">
        <v>0</v>
      </c>
      <c r="G457" s="2">
        <v>0</v>
      </c>
      <c r="H457" s="2">
        <v>0</v>
      </c>
      <c r="I457" s="2">
        <v>0</v>
      </c>
      <c r="J457" s="2">
        <v>0</v>
      </c>
      <c r="K457" s="2">
        <v>10</v>
      </c>
      <c r="L457" s="2">
        <v>0</v>
      </c>
      <c r="M457" s="2">
        <v>0</v>
      </c>
      <c r="N457" s="2">
        <v>0</v>
      </c>
      <c r="O457" s="2">
        <v>0</v>
      </c>
      <c r="P457" s="2">
        <v>0</v>
      </c>
      <c r="Q457" s="2">
        <v>0</v>
      </c>
      <c r="R457" s="274">
        <v>367</v>
      </c>
      <c r="S457" s="253">
        <f xml:space="preserve"> 12</f>
        <v>12</v>
      </c>
      <c r="T457" s="254">
        <f>SUM( tabConsumo[[#This Row],[QTD.PENDENTE]]:tabConsumo[[#This Row],[07_23]] ) / tabConsumo[[#This Row],[Div]]</f>
        <v>0.83333333333333337</v>
      </c>
      <c r="U457" s="255">
        <f xml:space="preserve"> tabConsumo[[#This Row],[Média.A]] + (_xlfn.STDEV.S( tabConsumo[[#This Row],[QTD.PENDENTE]]:tabConsumo[[#This Row],[07_23]] ) * 1)</f>
        <v>3.7200846792814626</v>
      </c>
      <c r="V457" s="255">
        <f xml:space="preserve"> tabConsumo[[#This Row],[Média.A]] + (_xlfn.STDEV.S( tabConsumo[[#This Row],[QTD.PENDENTE]]:tabConsumo[[#This Row],[07_23]] ) * 2)</f>
        <v>6.6068360252295912</v>
      </c>
      <c r="W457" s="255">
        <f xml:space="preserve"> tabConsumo[[#This Row],[Média.A]] + (_xlfn.STDEV.S( tabConsumo[[#This Row],[QTD.PENDENTE]]:tabConsumo[[#This Row],[07_23]] ) * 3)</f>
        <v>9.4935873711777212</v>
      </c>
      <c r="X457" s="5">
        <f t="shared" si="16"/>
        <v>2</v>
      </c>
      <c r="Y457">
        <v>0.5</v>
      </c>
      <c r="Z457" s="257">
        <f>SUM( tabConsumo[[#This Row],[QTD.PENDENTE]]:tabConsumo[[#This Row],[07_23]] )</f>
        <v>10</v>
      </c>
      <c r="AA457" s="257">
        <f>LARGE(tabConsumo[[#This Row],[08_22]:[07_23]],1)</f>
        <v>10</v>
      </c>
      <c r="AB457" s="175" t="s">
        <v>2220</v>
      </c>
      <c r="AC457" s="3" t="s">
        <v>2064</v>
      </c>
    </row>
    <row r="458" spans="1:29" x14ac:dyDescent="0.3">
      <c r="A458" s="4" t="s">
        <v>1082</v>
      </c>
      <c r="B458" s="3" t="s">
        <v>256</v>
      </c>
      <c r="C458" s="2">
        <v>15167</v>
      </c>
      <c r="D458" s="2">
        <v>290</v>
      </c>
      <c r="E458" s="2">
        <v>8</v>
      </c>
      <c r="F458" s="2">
        <v>30</v>
      </c>
      <c r="G458" s="2">
        <v>119</v>
      </c>
      <c r="H458" s="2">
        <v>103</v>
      </c>
      <c r="I458" s="2">
        <v>60</v>
      </c>
      <c r="J458" s="2">
        <v>20</v>
      </c>
      <c r="K458" s="2">
        <v>120</v>
      </c>
      <c r="L458" s="2">
        <v>52</v>
      </c>
      <c r="M458" s="2">
        <v>0</v>
      </c>
      <c r="N458" s="2">
        <v>110</v>
      </c>
      <c r="O458" s="2">
        <v>0</v>
      </c>
      <c r="P458" s="2">
        <v>0</v>
      </c>
      <c r="Q458" s="2">
        <v>0</v>
      </c>
      <c r="R458" s="274">
        <v>367</v>
      </c>
      <c r="S458" s="253">
        <f xml:space="preserve"> 12</f>
        <v>12</v>
      </c>
      <c r="T458" s="254">
        <f>SUM( tabConsumo[[#This Row],[QTD.PENDENTE]]:tabConsumo[[#This Row],[07_23]] ) / tabConsumo[[#This Row],[Div]]</f>
        <v>51.833333333333336</v>
      </c>
      <c r="U458" s="255">
        <f xml:space="preserve"> tabConsumo[[#This Row],[Média.A]] + (_xlfn.STDEV.S( tabConsumo[[#This Row],[QTD.PENDENTE]]:tabConsumo[[#This Row],[07_23]] ) * 1)</f>
        <v>101.14331567945021</v>
      </c>
      <c r="V458" s="255">
        <f xml:space="preserve"> tabConsumo[[#This Row],[Média.A]] + (_xlfn.STDEV.S( tabConsumo[[#This Row],[QTD.PENDENTE]]:tabConsumo[[#This Row],[07_23]] ) * 2)</f>
        <v>150.45329802556711</v>
      </c>
      <c r="W458" s="255">
        <f xml:space="preserve"> tabConsumo[[#This Row],[Média.A]] + (_xlfn.STDEV.S( tabConsumo[[#This Row],[QTD.PENDENTE]]:tabConsumo[[#This Row],[07_23]] ) * 3)</f>
        <v>199.76328037168398</v>
      </c>
      <c r="X458" s="5">
        <f t="shared" si="16"/>
        <v>2</v>
      </c>
      <c r="Y458">
        <v>51.833333333333336</v>
      </c>
      <c r="Z458" s="257">
        <f>SUM( tabConsumo[[#This Row],[QTD.PENDENTE]]:tabConsumo[[#This Row],[07_23]] )</f>
        <v>622</v>
      </c>
      <c r="AA458" s="257">
        <f>LARGE(tabConsumo[[#This Row],[08_22]:[07_23]],1)</f>
        <v>120</v>
      </c>
      <c r="AB458" s="175" t="s">
        <v>2213</v>
      </c>
      <c r="AC458" s="3" t="s">
        <v>2064</v>
      </c>
    </row>
    <row r="459" spans="1:29" x14ac:dyDescent="0.3">
      <c r="A459" s="4" t="s">
        <v>2012</v>
      </c>
      <c r="B459" s="3" t="s">
        <v>256</v>
      </c>
      <c r="C459" s="2">
        <v>140666</v>
      </c>
      <c r="D459" s="2">
        <v>18</v>
      </c>
      <c r="F459" s="2">
        <v>20</v>
      </c>
      <c r="G459" s="2">
        <v>22</v>
      </c>
      <c r="H459" s="2">
        <v>0</v>
      </c>
      <c r="I459" s="2">
        <v>0</v>
      </c>
      <c r="J459" s="2">
        <v>7</v>
      </c>
      <c r="K459" s="2">
        <v>35</v>
      </c>
      <c r="L459" s="2">
        <v>5</v>
      </c>
      <c r="M459" s="2">
        <v>3</v>
      </c>
      <c r="N459" s="2">
        <v>38</v>
      </c>
      <c r="O459" s="2">
        <v>0</v>
      </c>
      <c r="P459" s="2">
        <v>0</v>
      </c>
      <c r="Q459" s="2">
        <v>10</v>
      </c>
      <c r="R459" s="274">
        <v>44243</v>
      </c>
      <c r="S459" s="253">
        <v>12</v>
      </c>
      <c r="T459" s="254">
        <f>SUM( tabConsumo[[#This Row],[QTD.PENDENTE]]:tabConsumo[[#This Row],[07_23]] ) / tabConsumo[[#This Row],[Div]]</f>
        <v>11.666666666666666</v>
      </c>
      <c r="U459" s="255">
        <f xml:space="preserve"> tabConsumo[[#This Row],[Média.A]] + (_xlfn.STDEV.S( tabConsumo[[#This Row],[QTD.PENDENTE]]:tabConsumo[[#This Row],[07_23]] ) * 1)</f>
        <v>25.492422166874064</v>
      </c>
      <c r="V459" s="255">
        <f xml:space="preserve"> tabConsumo[[#This Row],[Média.A]] + (_xlfn.STDEV.S( tabConsumo[[#This Row],[QTD.PENDENTE]]:tabConsumo[[#This Row],[07_23]] ) * 2)</f>
        <v>39.318177667081464</v>
      </c>
      <c r="W459" s="255">
        <f xml:space="preserve"> tabConsumo[[#This Row],[Média.A]] + (_xlfn.STDEV.S( tabConsumo[[#This Row],[QTD.PENDENTE]]:tabConsumo[[#This Row],[07_23]] ) * 3)</f>
        <v>53.143933167288864</v>
      </c>
      <c r="X459" s="5">
        <f t="shared" si="16"/>
        <v>2</v>
      </c>
      <c r="Y459">
        <v>11.666666666666666</v>
      </c>
      <c r="Z459" s="257">
        <f>SUM( tabConsumo[[#This Row],[QTD.PENDENTE]]:tabConsumo[[#This Row],[07_23]] )</f>
        <v>140</v>
      </c>
      <c r="AA459" s="257">
        <f>LARGE(tabConsumo[[#This Row],[08_22]:[07_23]],1)</f>
        <v>38</v>
      </c>
      <c r="AB459" s="175" t="s">
        <v>2211</v>
      </c>
      <c r="AC459" s="3" t="s">
        <v>2064</v>
      </c>
    </row>
    <row r="460" spans="1:29" x14ac:dyDescent="0.3">
      <c r="A460" s="4" t="s">
        <v>1972</v>
      </c>
      <c r="B460" s="3" t="s">
        <v>31</v>
      </c>
      <c r="C460" s="2">
        <v>138554</v>
      </c>
      <c r="D460" s="2">
        <v>378</v>
      </c>
      <c r="F460" s="2">
        <v>0</v>
      </c>
      <c r="G460" s="2">
        <v>0</v>
      </c>
      <c r="H460" s="2">
        <v>0</v>
      </c>
      <c r="I460" s="2">
        <v>0</v>
      </c>
      <c r="J460" s="2">
        <v>0</v>
      </c>
      <c r="K460" s="2">
        <v>0</v>
      </c>
      <c r="L460" s="2">
        <v>0</v>
      </c>
      <c r="M460" s="2">
        <v>0</v>
      </c>
      <c r="N460" s="2">
        <v>0</v>
      </c>
      <c r="O460" s="2">
        <v>0</v>
      </c>
      <c r="P460" s="2">
        <v>104</v>
      </c>
      <c r="Q460" s="2">
        <v>104</v>
      </c>
      <c r="R460" s="274">
        <v>43734</v>
      </c>
      <c r="S460" s="253">
        <v>12</v>
      </c>
      <c r="T460" s="254">
        <f>SUM( tabConsumo[[#This Row],[QTD.PENDENTE]]:tabConsumo[[#This Row],[07_23]] ) / tabConsumo[[#This Row],[Div]]</f>
        <v>17.333333333333332</v>
      </c>
      <c r="U460" s="255">
        <f xml:space="preserve"> tabConsumo[[#This Row],[Média.A]] + (_xlfn.STDEV.S( tabConsumo[[#This Row],[QTD.PENDENTE]]:tabConsumo[[#This Row],[07_23]] ) * 1)</f>
        <v>57.81527842973253</v>
      </c>
      <c r="V460" s="255">
        <f xml:space="preserve"> tabConsumo[[#This Row],[Média.A]] + (_xlfn.STDEV.S( tabConsumo[[#This Row],[QTD.PENDENTE]]:tabConsumo[[#This Row],[07_23]] ) * 2)</f>
        <v>98.297223526131717</v>
      </c>
      <c r="W460" s="255">
        <f xml:space="preserve"> tabConsumo[[#This Row],[Média.A]] + (_xlfn.STDEV.S( tabConsumo[[#This Row],[QTD.PENDENTE]]:tabConsumo[[#This Row],[07_23]] ) * 3)</f>
        <v>138.77916862253093</v>
      </c>
      <c r="X460" s="5">
        <f t="shared" si="16"/>
        <v>2</v>
      </c>
      <c r="Y460">
        <v>16.333333333333332</v>
      </c>
      <c r="Z460" s="257">
        <f>SUM( tabConsumo[[#This Row],[QTD.PENDENTE]]:tabConsumo[[#This Row],[07_23]] )</f>
        <v>208</v>
      </c>
      <c r="AA460" s="257">
        <f>LARGE(tabConsumo[[#This Row],[08_22]:[07_23]],1)</f>
        <v>104</v>
      </c>
      <c r="AB460" s="175" t="s">
        <v>2211</v>
      </c>
      <c r="AC460" s="3" t="s">
        <v>2064</v>
      </c>
    </row>
    <row r="461" spans="1:29" x14ac:dyDescent="0.3">
      <c r="A461" s="4" t="s">
        <v>1970</v>
      </c>
      <c r="B461" s="3" t="s">
        <v>31</v>
      </c>
      <c r="C461" s="2">
        <v>138552</v>
      </c>
      <c r="D461" s="2">
        <v>529</v>
      </c>
      <c r="F461" s="2">
        <v>2</v>
      </c>
      <c r="G461" s="2">
        <v>10</v>
      </c>
      <c r="H461" s="2">
        <v>2</v>
      </c>
      <c r="I461" s="2">
        <v>0</v>
      </c>
      <c r="J461" s="2">
        <v>0</v>
      </c>
      <c r="K461" s="2">
        <v>2</v>
      </c>
      <c r="L461" s="2">
        <v>0</v>
      </c>
      <c r="M461" s="2">
        <v>0</v>
      </c>
      <c r="N461" s="2">
        <v>4</v>
      </c>
      <c r="O461" s="2">
        <v>35</v>
      </c>
      <c r="P461" s="2">
        <v>0</v>
      </c>
      <c r="Q461" s="2">
        <v>27</v>
      </c>
      <c r="R461" s="274">
        <v>43734</v>
      </c>
      <c r="S461" s="253">
        <v>12</v>
      </c>
      <c r="T461" s="254">
        <f>SUM( tabConsumo[[#This Row],[QTD.PENDENTE]]:tabConsumo[[#This Row],[07_23]] ) / tabConsumo[[#This Row],[Div]]</f>
        <v>6.833333333333333</v>
      </c>
      <c r="U461" s="255">
        <f xml:space="preserve"> tabConsumo[[#This Row],[Média.A]] + (_xlfn.STDEV.S( tabConsumo[[#This Row],[QTD.PENDENTE]]:tabConsumo[[#This Row],[07_23]] ) * 1)</f>
        <v>18.5948525095849</v>
      </c>
      <c r="V461" s="255">
        <f xml:space="preserve"> tabConsumo[[#This Row],[Média.A]] + (_xlfn.STDEV.S( tabConsumo[[#This Row],[QTD.PENDENTE]]:tabConsumo[[#This Row],[07_23]] ) * 2)</f>
        <v>30.356371685836464</v>
      </c>
      <c r="W461" s="255">
        <f xml:space="preserve"> tabConsumo[[#This Row],[Média.A]] + (_xlfn.STDEV.S( tabConsumo[[#This Row],[QTD.PENDENTE]]:tabConsumo[[#This Row],[07_23]] ) * 3)</f>
        <v>42.117890862088032</v>
      </c>
      <c r="X461" s="5">
        <f t="shared" si="16"/>
        <v>2</v>
      </c>
      <c r="Y461">
        <v>6.416666666666667</v>
      </c>
      <c r="Z461" s="257">
        <f>SUM( tabConsumo[[#This Row],[QTD.PENDENTE]]:tabConsumo[[#This Row],[07_23]] )</f>
        <v>82</v>
      </c>
      <c r="AA461" s="257">
        <f>LARGE(tabConsumo[[#This Row],[08_22]:[07_23]],1)</f>
        <v>35</v>
      </c>
      <c r="AB461" s="175" t="s">
        <v>2211</v>
      </c>
      <c r="AC461" s="3" t="s">
        <v>2064</v>
      </c>
    </row>
    <row r="462" spans="1:29" x14ac:dyDescent="0.3">
      <c r="A462" s="4" t="s">
        <v>1971</v>
      </c>
      <c r="B462" s="3" t="s">
        <v>31</v>
      </c>
      <c r="C462" s="2">
        <v>138553</v>
      </c>
      <c r="D462" s="2">
        <v>660</v>
      </c>
      <c r="F462" s="2">
        <v>0</v>
      </c>
      <c r="G462" s="2">
        <v>0</v>
      </c>
      <c r="H462" s="2">
        <v>0</v>
      </c>
      <c r="I462" s="2">
        <v>0</v>
      </c>
      <c r="J462" s="2">
        <v>10</v>
      </c>
      <c r="K462" s="2">
        <v>0</v>
      </c>
      <c r="L462" s="2">
        <v>0</v>
      </c>
      <c r="M462" s="2">
        <v>0</v>
      </c>
      <c r="N462" s="2">
        <v>0</v>
      </c>
      <c r="O462" s="2">
        <v>10</v>
      </c>
      <c r="P462" s="2">
        <v>0</v>
      </c>
      <c r="Q462" s="2">
        <v>0</v>
      </c>
      <c r="R462" s="274">
        <v>43734</v>
      </c>
      <c r="S462" s="253">
        <v>12</v>
      </c>
      <c r="T462" s="254">
        <f>SUM( tabConsumo[[#This Row],[QTD.PENDENTE]]:tabConsumo[[#This Row],[07_23]] ) / tabConsumo[[#This Row],[Div]]</f>
        <v>1.6666666666666667</v>
      </c>
      <c r="U462" s="255">
        <f xml:space="preserve"> tabConsumo[[#This Row],[Média.A]] + (_xlfn.STDEV.S( tabConsumo[[#This Row],[QTD.PENDENTE]]:tabConsumo[[#This Row],[07_23]] ) * 1)</f>
        <v>5.5591613874742816</v>
      </c>
      <c r="V462" s="255">
        <f xml:space="preserve"> tabConsumo[[#This Row],[Média.A]] + (_xlfn.STDEV.S( tabConsumo[[#This Row],[QTD.PENDENTE]]:tabConsumo[[#This Row],[07_23]] ) * 2)</f>
        <v>9.4516561082818953</v>
      </c>
      <c r="W462" s="255">
        <f xml:space="preserve"> tabConsumo[[#This Row],[Média.A]] + (_xlfn.STDEV.S( tabConsumo[[#This Row],[QTD.PENDENTE]]:tabConsumo[[#This Row],[07_23]] ) * 3)</f>
        <v>13.344150829089509</v>
      </c>
      <c r="X462" s="5">
        <f t="shared" si="16"/>
        <v>2</v>
      </c>
      <c r="Y462">
        <v>1.5</v>
      </c>
      <c r="Z462" s="257">
        <f>SUM( tabConsumo[[#This Row],[QTD.PENDENTE]]:tabConsumo[[#This Row],[07_23]] )</f>
        <v>20</v>
      </c>
      <c r="AA462" s="257">
        <f>LARGE(tabConsumo[[#This Row],[08_22]:[07_23]],1)</f>
        <v>10</v>
      </c>
      <c r="AB462" s="175" t="s">
        <v>2214</v>
      </c>
      <c r="AC462" s="3" t="s">
        <v>2064</v>
      </c>
    </row>
    <row r="463" spans="1:29" x14ac:dyDescent="0.3">
      <c r="A463" s="4" t="s">
        <v>1649</v>
      </c>
      <c r="B463" s="3" t="s">
        <v>256</v>
      </c>
      <c r="C463" s="2">
        <v>108697</v>
      </c>
      <c r="D463" s="2">
        <v>37</v>
      </c>
      <c r="F463" s="2">
        <v>0</v>
      </c>
      <c r="G463" s="2">
        <v>2</v>
      </c>
      <c r="H463" s="2">
        <v>0</v>
      </c>
      <c r="I463" s="2">
        <v>0</v>
      </c>
      <c r="J463" s="2">
        <v>0</v>
      </c>
      <c r="K463" s="2">
        <v>0</v>
      </c>
      <c r="L463" s="2">
        <v>0</v>
      </c>
      <c r="M463" s="2">
        <v>0</v>
      </c>
      <c r="N463" s="2">
        <v>5</v>
      </c>
      <c r="O463" s="2">
        <v>0</v>
      </c>
      <c r="P463" s="2">
        <v>6</v>
      </c>
      <c r="Q463" s="2">
        <v>0</v>
      </c>
      <c r="R463" s="274">
        <v>39759</v>
      </c>
      <c r="S463" s="253">
        <v>12</v>
      </c>
      <c r="T463" s="254">
        <f>SUM( tabConsumo[[#This Row],[QTD.PENDENTE]]:tabConsumo[[#This Row],[07_23]] ) / tabConsumo[[#This Row],[Div]]</f>
        <v>1.0833333333333333</v>
      </c>
      <c r="U463" s="255">
        <f xml:space="preserve"> tabConsumo[[#This Row],[Média.A]] + (_xlfn.STDEV.S( tabConsumo[[#This Row],[QTD.PENDENTE]]:tabConsumo[[#This Row],[07_23]] ) * 1)</f>
        <v>3.2347951337815495</v>
      </c>
      <c r="V463" s="255">
        <f xml:space="preserve"> tabConsumo[[#This Row],[Média.A]] + (_xlfn.STDEV.S( tabConsumo[[#This Row],[QTD.PENDENTE]]:tabConsumo[[#This Row],[07_23]] ) * 2)</f>
        <v>5.386256934229765</v>
      </c>
      <c r="W463" s="255">
        <f xml:space="preserve"> tabConsumo[[#This Row],[Média.A]] + (_xlfn.STDEV.S( tabConsumo[[#This Row],[QTD.PENDENTE]]:tabConsumo[[#This Row],[07_23]] ) * 3)</f>
        <v>7.5377187346779815</v>
      </c>
      <c r="X463" s="5">
        <f t="shared" si="16"/>
        <v>2</v>
      </c>
      <c r="Y463">
        <v>1</v>
      </c>
      <c r="Z463" s="257">
        <f>SUM( tabConsumo[[#This Row],[QTD.PENDENTE]]:tabConsumo[[#This Row],[07_23]] )</f>
        <v>13</v>
      </c>
      <c r="AA463" s="257">
        <f>LARGE(tabConsumo[[#This Row],[08_22]:[07_23]],1)</f>
        <v>6</v>
      </c>
      <c r="AB463" s="175" t="s">
        <v>2212</v>
      </c>
      <c r="AC463" s="3" t="s">
        <v>2064</v>
      </c>
    </row>
    <row r="464" spans="1:29" x14ac:dyDescent="0.3">
      <c r="A464" s="4" t="s">
        <v>1549</v>
      </c>
      <c r="B464" s="3" t="s">
        <v>301</v>
      </c>
      <c r="C464" s="2">
        <v>98080</v>
      </c>
      <c r="D464" s="2">
        <v>2392</v>
      </c>
      <c r="F464" s="2">
        <v>18</v>
      </c>
      <c r="G464" s="2">
        <v>20</v>
      </c>
      <c r="H464" s="2">
        <v>16</v>
      </c>
      <c r="I464" s="2">
        <v>28</v>
      </c>
      <c r="J464" s="2">
        <v>6</v>
      </c>
      <c r="K464" s="2">
        <v>6</v>
      </c>
      <c r="L464" s="2">
        <v>14</v>
      </c>
      <c r="M464" s="2">
        <v>35</v>
      </c>
      <c r="N464" s="2">
        <v>28</v>
      </c>
      <c r="O464" s="2">
        <v>33</v>
      </c>
      <c r="P464" s="2">
        <v>29</v>
      </c>
      <c r="Q464" s="2">
        <v>25</v>
      </c>
      <c r="R464" s="274">
        <v>39154</v>
      </c>
      <c r="S464" s="253">
        <v>12</v>
      </c>
      <c r="T464" s="254">
        <f>SUM( tabConsumo[[#This Row],[QTD.PENDENTE]]:tabConsumo[[#This Row],[07_23]] ) / tabConsumo[[#This Row],[Div]]</f>
        <v>21.5</v>
      </c>
      <c r="U464" s="255">
        <f xml:space="preserve"> tabConsumo[[#This Row],[Média.A]] + (_xlfn.STDEV.S( tabConsumo[[#This Row],[QTD.PENDENTE]]:tabConsumo[[#This Row],[07_23]] ) * 1)</f>
        <v>31.265430679884854</v>
      </c>
      <c r="V464" s="255">
        <f xml:space="preserve"> tabConsumo[[#This Row],[Média.A]] + (_xlfn.STDEV.S( tabConsumo[[#This Row],[QTD.PENDENTE]]:tabConsumo[[#This Row],[07_23]] ) * 2)</f>
        <v>41.030861359769709</v>
      </c>
      <c r="W464" s="255">
        <f xml:space="preserve"> tabConsumo[[#This Row],[Média.A]] + (_xlfn.STDEV.S( tabConsumo[[#This Row],[QTD.PENDENTE]]:tabConsumo[[#This Row],[07_23]] ) * 3)</f>
        <v>50.79629203965456</v>
      </c>
      <c r="X464" s="5">
        <f t="shared" si="16"/>
        <v>2</v>
      </c>
      <c r="Y464">
        <v>21.5</v>
      </c>
      <c r="Z464" s="257">
        <f>SUM( tabConsumo[[#This Row],[QTD.PENDENTE]]:tabConsumo[[#This Row],[07_23]] )</f>
        <v>258</v>
      </c>
      <c r="AA464" s="257">
        <f>LARGE(tabConsumo[[#This Row],[08_22]:[07_23]],1)</f>
        <v>35</v>
      </c>
      <c r="AB464" s="175" t="s">
        <v>2211</v>
      </c>
      <c r="AC464" s="3" t="s">
        <v>2064</v>
      </c>
    </row>
    <row r="465" spans="1:29" x14ac:dyDescent="0.3">
      <c r="A465" s="4" t="s">
        <v>1546</v>
      </c>
      <c r="B465" s="3" t="s">
        <v>301</v>
      </c>
      <c r="C465" s="2">
        <v>96516</v>
      </c>
      <c r="D465" s="2">
        <v>3054</v>
      </c>
      <c r="F465" s="2">
        <v>19</v>
      </c>
      <c r="G465" s="2">
        <v>23</v>
      </c>
      <c r="H465" s="2">
        <v>16</v>
      </c>
      <c r="I465" s="2">
        <v>21</v>
      </c>
      <c r="J465" s="2">
        <v>9</v>
      </c>
      <c r="K465" s="2">
        <v>9</v>
      </c>
      <c r="L465" s="2">
        <v>15</v>
      </c>
      <c r="M465" s="2">
        <v>40</v>
      </c>
      <c r="N465" s="2">
        <v>27</v>
      </c>
      <c r="O465" s="2">
        <v>111</v>
      </c>
      <c r="P465" s="2">
        <v>37</v>
      </c>
      <c r="Q465" s="2">
        <v>25</v>
      </c>
      <c r="R465" s="274">
        <v>39063</v>
      </c>
      <c r="S465" s="253">
        <v>12</v>
      </c>
      <c r="T465" s="254">
        <f>SUM( tabConsumo[[#This Row],[QTD.PENDENTE]]:tabConsumo[[#This Row],[07_23]] ) / tabConsumo[[#This Row],[Div]]</f>
        <v>29.333333333333332</v>
      </c>
      <c r="U465" s="255">
        <f xml:space="preserve"> tabConsumo[[#This Row],[Média.A]] + (_xlfn.STDEV.S( tabConsumo[[#This Row],[QTD.PENDENTE]]:tabConsumo[[#This Row],[07_23]] ) * 1)</f>
        <v>56.790186537566115</v>
      </c>
      <c r="V465" s="255">
        <f xml:space="preserve"> tabConsumo[[#This Row],[Média.A]] + (_xlfn.STDEV.S( tabConsumo[[#This Row],[QTD.PENDENTE]]:tabConsumo[[#This Row],[07_23]] ) * 2)</f>
        <v>84.247039741798886</v>
      </c>
      <c r="W465" s="255">
        <f xml:space="preserve"> tabConsumo[[#This Row],[Média.A]] + (_xlfn.STDEV.S( tabConsumo[[#This Row],[QTD.PENDENTE]]:tabConsumo[[#This Row],[07_23]] ) * 3)</f>
        <v>111.70389294603167</v>
      </c>
      <c r="X465" s="5">
        <f t="shared" si="16"/>
        <v>2</v>
      </c>
      <c r="Y465">
        <v>27.083333333333332</v>
      </c>
      <c r="Z465" s="257">
        <f>SUM( tabConsumo[[#This Row],[QTD.PENDENTE]]:tabConsumo[[#This Row],[07_23]] )</f>
        <v>352</v>
      </c>
      <c r="AA465" s="257">
        <f>LARGE(tabConsumo[[#This Row],[08_22]:[07_23]],1)</f>
        <v>111</v>
      </c>
      <c r="AB465" s="175" t="s">
        <v>2211</v>
      </c>
      <c r="AC465" s="3" t="s">
        <v>2064</v>
      </c>
    </row>
    <row r="466" spans="1:29" x14ac:dyDescent="0.3">
      <c r="A466" s="4" t="s">
        <v>1482</v>
      </c>
      <c r="B466" s="3" t="s">
        <v>413</v>
      </c>
      <c r="C466" s="2">
        <v>83839</v>
      </c>
      <c r="D466" s="2">
        <v>1193</v>
      </c>
      <c r="E466" s="2">
        <v>1</v>
      </c>
      <c r="F466" s="2">
        <v>439</v>
      </c>
      <c r="G466" s="2">
        <v>457</v>
      </c>
      <c r="H466" s="2">
        <v>490</v>
      </c>
      <c r="I466" s="2">
        <v>537</v>
      </c>
      <c r="J466" s="2">
        <v>370</v>
      </c>
      <c r="K466" s="2">
        <v>129</v>
      </c>
      <c r="L466" s="2">
        <v>379</v>
      </c>
      <c r="M466" s="2">
        <v>726</v>
      </c>
      <c r="N466" s="2">
        <v>426</v>
      </c>
      <c r="O466" s="2">
        <v>489</v>
      </c>
      <c r="P466" s="2">
        <v>525</v>
      </c>
      <c r="Q466" s="2">
        <v>482</v>
      </c>
      <c r="R466" s="274">
        <v>38384</v>
      </c>
      <c r="S466" s="253">
        <v>12</v>
      </c>
      <c r="T466" s="254">
        <f>SUM( tabConsumo[[#This Row],[QTD.PENDENTE]]:tabConsumo[[#This Row],[07_23]] ) / tabConsumo[[#This Row],[Div]]</f>
        <v>454.16666666666669</v>
      </c>
      <c r="U466" s="255">
        <f xml:space="preserve"> tabConsumo[[#This Row],[Média.A]] + (_xlfn.STDEV.S( tabConsumo[[#This Row],[QTD.PENDENTE]]:tabConsumo[[#This Row],[07_23]] ) * 1)</f>
        <v>636.29215172488773</v>
      </c>
      <c r="V466" s="255">
        <f xml:space="preserve"> tabConsumo[[#This Row],[Média.A]] + (_xlfn.STDEV.S( tabConsumo[[#This Row],[QTD.PENDENTE]]:tabConsumo[[#This Row],[07_23]] ) * 2)</f>
        <v>818.41763678310872</v>
      </c>
      <c r="W466" s="255">
        <f xml:space="preserve"> tabConsumo[[#This Row],[Média.A]] + (_xlfn.STDEV.S( tabConsumo[[#This Row],[QTD.PENDENTE]]:tabConsumo[[#This Row],[07_23]] ) * 3)</f>
        <v>1000.5431218413298</v>
      </c>
      <c r="X466" s="5">
        <f t="shared" si="16"/>
        <v>2</v>
      </c>
      <c r="Y466">
        <v>454.16666666666669</v>
      </c>
      <c r="Z466" s="257">
        <f>SUM( tabConsumo[[#This Row],[QTD.PENDENTE]]:tabConsumo[[#This Row],[07_23]] )</f>
        <v>5450</v>
      </c>
      <c r="AA466" s="257">
        <f>LARGE(tabConsumo[[#This Row],[08_22]:[07_23]],1)</f>
        <v>726</v>
      </c>
      <c r="AB466" s="175" t="s">
        <v>2211</v>
      </c>
      <c r="AC466" s="3" t="s">
        <v>2064</v>
      </c>
    </row>
    <row r="467" spans="1:29" x14ac:dyDescent="0.3">
      <c r="A467" s="4" t="s">
        <v>1480</v>
      </c>
      <c r="B467" s="3" t="s">
        <v>413</v>
      </c>
      <c r="C467" s="2">
        <v>83838</v>
      </c>
      <c r="D467" s="2">
        <v>9020</v>
      </c>
      <c r="E467" s="2">
        <v>35</v>
      </c>
      <c r="F467" s="2">
        <v>1854</v>
      </c>
      <c r="G467" s="2">
        <v>1739</v>
      </c>
      <c r="H467" s="2">
        <v>1811</v>
      </c>
      <c r="I467" s="2">
        <v>2019</v>
      </c>
      <c r="J467" s="2">
        <v>1451</v>
      </c>
      <c r="K467" s="2">
        <v>394</v>
      </c>
      <c r="L467" s="2">
        <v>1575</v>
      </c>
      <c r="M467" s="2">
        <v>2515</v>
      </c>
      <c r="N467" s="2">
        <v>1459</v>
      </c>
      <c r="O467" s="2">
        <v>1902</v>
      </c>
      <c r="P467" s="2">
        <v>2151</v>
      </c>
      <c r="Q467" s="2">
        <v>1997</v>
      </c>
      <c r="R467" s="274">
        <v>38384</v>
      </c>
      <c r="S467" s="253">
        <v>12</v>
      </c>
      <c r="T467" s="254">
        <f>SUM( tabConsumo[[#This Row],[QTD.PENDENTE]]:tabConsumo[[#This Row],[07_23]] ) / tabConsumo[[#This Row],[Div]]</f>
        <v>1741.8333333333333</v>
      </c>
      <c r="U467" s="255">
        <f xml:space="preserve"> tabConsumo[[#This Row],[Média.A]] + (_xlfn.STDEV.S( tabConsumo[[#This Row],[QTD.PENDENTE]]:tabConsumo[[#This Row],[07_23]] ) * 1)</f>
        <v>2427.3456534455549</v>
      </c>
      <c r="V467" s="255">
        <f xml:space="preserve"> tabConsumo[[#This Row],[Média.A]] + (_xlfn.STDEV.S( tabConsumo[[#This Row],[QTD.PENDENTE]]:tabConsumo[[#This Row],[07_23]] ) * 2)</f>
        <v>3112.8579735577769</v>
      </c>
      <c r="W467" s="255">
        <f xml:space="preserve"> tabConsumo[[#This Row],[Média.A]] + (_xlfn.STDEV.S( tabConsumo[[#This Row],[QTD.PENDENTE]]:tabConsumo[[#This Row],[07_23]] ) * 3)</f>
        <v>3798.3702936699983</v>
      </c>
      <c r="X467" s="5">
        <f t="shared" si="16"/>
        <v>2</v>
      </c>
      <c r="Y467">
        <v>1741.8333333333333</v>
      </c>
      <c r="Z467" s="257">
        <f>SUM( tabConsumo[[#This Row],[QTD.PENDENTE]]:tabConsumo[[#This Row],[07_23]] )</f>
        <v>20902</v>
      </c>
      <c r="AA467" s="257">
        <f>LARGE(tabConsumo[[#This Row],[08_22]:[07_23]],1)</f>
        <v>2515</v>
      </c>
      <c r="AB467" s="175" t="s">
        <v>2211</v>
      </c>
      <c r="AC467" s="3" t="s">
        <v>2064</v>
      </c>
    </row>
    <row r="468" spans="1:29" x14ac:dyDescent="0.3">
      <c r="A468" s="4" t="s">
        <v>1922</v>
      </c>
      <c r="B468" s="3" t="s">
        <v>301</v>
      </c>
      <c r="C468" s="2">
        <v>136819</v>
      </c>
      <c r="D468" s="2">
        <v>241</v>
      </c>
      <c r="F468" s="2">
        <v>3</v>
      </c>
      <c r="G468" s="2">
        <v>1</v>
      </c>
      <c r="H468" s="2">
        <v>4</v>
      </c>
      <c r="I468" s="2">
        <v>0</v>
      </c>
      <c r="J468" s="2">
        <v>0</v>
      </c>
      <c r="K468" s="2">
        <v>3</v>
      </c>
      <c r="L468" s="2">
        <v>0</v>
      </c>
      <c r="M468" s="2">
        <v>2</v>
      </c>
      <c r="N468" s="2">
        <v>2</v>
      </c>
      <c r="O468" s="2">
        <v>2</v>
      </c>
      <c r="P468" s="2">
        <v>3</v>
      </c>
      <c r="Q468" s="2">
        <v>2</v>
      </c>
      <c r="R468" s="274">
        <v>43572</v>
      </c>
      <c r="S468" s="253">
        <v>12</v>
      </c>
      <c r="T468" s="254">
        <f>SUM( tabConsumo[[#This Row],[QTD.PENDENTE]]:tabConsumo[[#This Row],[07_23]] ) / tabConsumo[[#This Row],[Div]]</f>
        <v>1.8333333333333333</v>
      </c>
      <c r="U468" s="255">
        <f xml:space="preserve"> tabConsumo[[#This Row],[Média.A]] + (_xlfn.STDEV.S( tabConsumo[[#This Row],[QTD.PENDENTE]]:tabConsumo[[#This Row],[07_23]] ) * 1)</f>
        <v>3.1704491801763761</v>
      </c>
      <c r="V468" s="255">
        <f xml:space="preserve"> tabConsumo[[#This Row],[Média.A]] + (_xlfn.STDEV.S( tabConsumo[[#This Row],[QTD.PENDENTE]]:tabConsumo[[#This Row],[07_23]] ) * 2)</f>
        <v>4.5075650270194192</v>
      </c>
      <c r="W468" s="255">
        <f xml:space="preserve"> tabConsumo[[#This Row],[Média.A]] + (_xlfn.STDEV.S( tabConsumo[[#This Row],[QTD.PENDENTE]]:tabConsumo[[#This Row],[07_23]] ) * 3)</f>
        <v>5.8446808738624618</v>
      </c>
      <c r="X468" s="5">
        <f t="shared" si="16"/>
        <v>2</v>
      </c>
      <c r="Y468">
        <v>1.8333333333333333</v>
      </c>
      <c r="Z468" s="257">
        <f>SUM( tabConsumo[[#This Row],[QTD.PENDENTE]]:tabConsumo[[#This Row],[07_23]] )</f>
        <v>22</v>
      </c>
      <c r="AA468" s="257">
        <f>LARGE(tabConsumo[[#This Row],[08_22]:[07_23]],1)</f>
        <v>4</v>
      </c>
      <c r="AB468" s="175" t="s">
        <v>2211</v>
      </c>
      <c r="AC468" s="3" t="s">
        <v>2064</v>
      </c>
    </row>
    <row r="469" spans="1:29" x14ac:dyDescent="0.3">
      <c r="A469" s="4" t="s">
        <v>980</v>
      </c>
      <c r="B469" s="3" t="s">
        <v>256</v>
      </c>
      <c r="C469" s="2">
        <v>12950</v>
      </c>
      <c r="D469" s="2">
        <v>151</v>
      </c>
      <c r="F469" s="2">
        <v>8</v>
      </c>
      <c r="G469" s="2">
        <v>17</v>
      </c>
      <c r="H469" s="2">
        <v>36</v>
      </c>
      <c r="I469" s="2">
        <v>6</v>
      </c>
      <c r="J469" s="2">
        <v>26</v>
      </c>
      <c r="K469" s="2">
        <v>11</v>
      </c>
      <c r="L469" s="2">
        <v>5</v>
      </c>
      <c r="M469" s="2">
        <v>18</v>
      </c>
      <c r="N469" s="2">
        <v>20</v>
      </c>
      <c r="O469" s="2">
        <v>0</v>
      </c>
      <c r="P469" s="2">
        <v>0</v>
      </c>
      <c r="Q469" s="2">
        <v>0</v>
      </c>
      <c r="R469" s="274">
        <v>367</v>
      </c>
      <c r="S469" s="253">
        <f t="shared" ref="S469:S474" si="17" xml:space="preserve"> 12</f>
        <v>12</v>
      </c>
      <c r="T469" s="254">
        <f>SUM( tabConsumo[[#This Row],[QTD.PENDENTE]]:tabConsumo[[#This Row],[07_23]] ) / tabConsumo[[#This Row],[Div]]</f>
        <v>12.25</v>
      </c>
      <c r="U469" s="255">
        <f xml:space="preserve"> tabConsumo[[#This Row],[Média.A]] + (_xlfn.STDEV.S( tabConsumo[[#This Row],[QTD.PENDENTE]]:tabConsumo[[#This Row],[07_23]] ) * 1)</f>
        <v>23.652750864275134</v>
      </c>
      <c r="V469" s="255">
        <f xml:space="preserve"> tabConsumo[[#This Row],[Média.A]] + (_xlfn.STDEV.S( tabConsumo[[#This Row],[QTD.PENDENTE]]:tabConsumo[[#This Row],[07_23]] ) * 2)</f>
        <v>35.055501728550269</v>
      </c>
      <c r="W469" s="255">
        <f xml:space="preserve"> tabConsumo[[#This Row],[Média.A]] + (_xlfn.STDEV.S( tabConsumo[[#This Row],[QTD.PENDENTE]]:tabConsumo[[#This Row],[07_23]] ) * 3)</f>
        <v>46.458252592825396</v>
      </c>
      <c r="X469" s="5">
        <f t="shared" si="16"/>
        <v>2</v>
      </c>
      <c r="Y469">
        <v>12.166666666666666</v>
      </c>
      <c r="Z469" s="257">
        <f>SUM( tabConsumo[[#This Row],[QTD.PENDENTE]]:tabConsumo[[#This Row],[07_23]] )</f>
        <v>147</v>
      </c>
      <c r="AA469" s="257">
        <f>LARGE(tabConsumo[[#This Row],[08_22]:[07_23]],1)</f>
        <v>36</v>
      </c>
      <c r="AB469" s="175" t="s">
        <v>2213</v>
      </c>
      <c r="AC469" s="3" t="s">
        <v>2064</v>
      </c>
    </row>
    <row r="470" spans="1:29" x14ac:dyDescent="0.3">
      <c r="A470" s="4" t="s">
        <v>1276</v>
      </c>
      <c r="B470" s="3" t="s">
        <v>256</v>
      </c>
      <c r="C470" s="2">
        <v>40772</v>
      </c>
      <c r="D470" s="2">
        <v>163</v>
      </c>
      <c r="F470" s="2">
        <v>0</v>
      </c>
      <c r="G470" s="2">
        <v>0</v>
      </c>
      <c r="H470" s="2">
        <v>0</v>
      </c>
      <c r="I470" s="2">
        <v>0</v>
      </c>
      <c r="J470" s="2">
        <v>0</v>
      </c>
      <c r="K470" s="2">
        <v>3</v>
      </c>
      <c r="L470" s="2">
        <v>0</v>
      </c>
      <c r="M470" s="2">
        <v>0</v>
      </c>
      <c r="N470" s="2">
        <v>10</v>
      </c>
      <c r="O470" s="2">
        <v>0</v>
      </c>
      <c r="P470" s="2">
        <v>0</v>
      </c>
      <c r="Q470" s="2">
        <v>0</v>
      </c>
      <c r="R470" s="274">
        <v>367</v>
      </c>
      <c r="S470" s="253">
        <f t="shared" si="17"/>
        <v>12</v>
      </c>
      <c r="T470" s="254">
        <f>SUM( tabConsumo[[#This Row],[QTD.PENDENTE]]:tabConsumo[[#This Row],[07_23]] ) / tabConsumo[[#This Row],[Div]]</f>
        <v>1.0833333333333333</v>
      </c>
      <c r="U470" s="255">
        <f xml:space="preserve"> tabConsumo[[#This Row],[Média.A]] + (_xlfn.STDEV.S( tabConsumo[[#This Row],[QTD.PENDENTE]]:tabConsumo[[#This Row],[07_23]] ) * 1)</f>
        <v>4.020813184972809</v>
      </c>
      <c r="V470" s="255">
        <f xml:space="preserve"> tabConsumo[[#This Row],[Média.A]] + (_xlfn.STDEV.S( tabConsumo[[#This Row],[QTD.PENDENTE]]:tabConsumo[[#This Row],[07_23]] ) * 2)</f>
        <v>6.958293036612285</v>
      </c>
      <c r="W470" s="255">
        <f xml:space="preserve"> tabConsumo[[#This Row],[Média.A]] + (_xlfn.STDEV.S( tabConsumo[[#This Row],[QTD.PENDENTE]]:tabConsumo[[#This Row],[07_23]] ) * 3)</f>
        <v>9.895772888251761</v>
      </c>
      <c r="X470" s="5">
        <f t="shared" si="16"/>
        <v>2</v>
      </c>
      <c r="Y470">
        <v>0.75</v>
      </c>
      <c r="Z470" s="257">
        <f>SUM( tabConsumo[[#This Row],[QTD.PENDENTE]]:tabConsumo[[#This Row],[07_23]] )</f>
        <v>13</v>
      </c>
      <c r="AA470" s="257">
        <f>LARGE(tabConsumo[[#This Row],[08_22]:[07_23]],1)</f>
        <v>10</v>
      </c>
      <c r="AB470" s="175" t="s">
        <v>2213</v>
      </c>
      <c r="AC470" s="3" t="s">
        <v>2064</v>
      </c>
    </row>
    <row r="471" spans="1:29" x14ac:dyDescent="0.3">
      <c r="A471" s="4" t="s">
        <v>979</v>
      </c>
      <c r="B471" s="3" t="s">
        <v>256</v>
      </c>
      <c r="C471" s="2">
        <v>12948</v>
      </c>
      <c r="D471" s="2">
        <v>30</v>
      </c>
      <c r="F471" s="2">
        <v>0</v>
      </c>
      <c r="G471" s="2">
        <v>0</v>
      </c>
      <c r="H471" s="2">
        <v>0</v>
      </c>
      <c r="I471" s="2">
        <v>0</v>
      </c>
      <c r="J471" s="2">
        <v>7</v>
      </c>
      <c r="K471" s="2">
        <v>0</v>
      </c>
      <c r="L471" s="2">
        <v>0</v>
      </c>
      <c r="M471" s="2">
        <v>0</v>
      </c>
      <c r="N471" s="2">
        <v>10</v>
      </c>
      <c r="O471" s="2">
        <v>0</v>
      </c>
      <c r="P471" s="2">
        <v>0</v>
      </c>
      <c r="Q471" s="2">
        <v>0</v>
      </c>
      <c r="R471" s="274">
        <v>367</v>
      </c>
      <c r="S471" s="253">
        <f t="shared" si="17"/>
        <v>12</v>
      </c>
      <c r="T471" s="254">
        <f>SUM( tabConsumo[[#This Row],[QTD.PENDENTE]]:tabConsumo[[#This Row],[07_23]] ) / tabConsumo[[#This Row],[Div]]</f>
        <v>1.4166666666666667</v>
      </c>
      <c r="U471" s="255">
        <f xml:space="preserve"> tabConsumo[[#This Row],[Média.A]] + (_xlfn.STDEV.S( tabConsumo[[#This Row],[QTD.PENDENTE]]:tabConsumo[[#This Row],[07_23]] ) * 1)</f>
        <v>4.7865421252052469</v>
      </c>
      <c r="V471" s="255">
        <f xml:space="preserve"> tabConsumo[[#This Row],[Média.A]] + (_xlfn.STDEV.S( tabConsumo[[#This Row],[QTD.PENDENTE]]:tabConsumo[[#This Row],[07_23]] ) * 2)</f>
        <v>8.1564175837438277</v>
      </c>
      <c r="W471" s="255">
        <f xml:space="preserve"> tabConsumo[[#This Row],[Média.A]] + (_xlfn.STDEV.S( tabConsumo[[#This Row],[QTD.PENDENTE]]:tabConsumo[[#This Row],[07_23]] ) * 3)</f>
        <v>11.526293042282408</v>
      </c>
      <c r="X471" s="5">
        <f t="shared" si="16"/>
        <v>2</v>
      </c>
      <c r="Y471">
        <v>1.25</v>
      </c>
      <c r="Z471" s="257">
        <f>SUM( tabConsumo[[#This Row],[QTD.PENDENTE]]:tabConsumo[[#This Row],[07_23]] )</f>
        <v>17</v>
      </c>
      <c r="AA471" s="257">
        <f>LARGE(tabConsumo[[#This Row],[08_22]:[07_23]],1)</f>
        <v>10</v>
      </c>
      <c r="AB471" s="175" t="s">
        <v>2213</v>
      </c>
      <c r="AC471" s="3" t="s">
        <v>2064</v>
      </c>
    </row>
    <row r="472" spans="1:29" x14ac:dyDescent="0.3">
      <c r="A472" s="4" t="s">
        <v>981</v>
      </c>
      <c r="B472" s="3" t="s">
        <v>256</v>
      </c>
      <c r="C472" s="2">
        <v>12956</v>
      </c>
      <c r="D472" s="2">
        <v>618</v>
      </c>
      <c r="F472" s="2">
        <v>103</v>
      </c>
      <c r="G472" s="2">
        <v>55</v>
      </c>
      <c r="H472" s="2">
        <v>40</v>
      </c>
      <c r="I472" s="2">
        <v>32</v>
      </c>
      <c r="J472" s="2">
        <v>75</v>
      </c>
      <c r="K472" s="2">
        <v>57</v>
      </c>
      <c r="L472" s="2">
        <v>2</v>
      </c>
      <c r="M472" s="2">
        <v>61</v>
      </c>
      <c r="N472" s="2">
        <v>80</v>
      </c>
      <c r="O472" s="2">
        <v>50</v>
      </c>
      <c r="P472" s="2">
        <v>0</v>
      </c>
      <c r="Q472" s="2">
        <v>0</v>
      </c>
      <c r="R472" s="274">
        <v>367</v>
      </c>
      <c r="S472" s="253">
        <f t="shared" si="17"/>
        <v>12</v>
      </c>
      <c r="T472" s="254">
        <f>SUM( tabConsumo[[#This Row],[QTD.PENDENTE]]:tabConsumo[[#This Row],[07_23]] ) / tabConsumo[[#This Row],[Div]]</f>
        <v>46.25</v>
      </c>
      <c r="U472" s="255">
        <f xml:space="preserve"> tabConsumo[[#This Row],[Média.A]] + (_xlfn.STDEV.S( tabConsumo[[#This Row],[QTD.PENDENTE]]:tabConsumo[[#This Row],[07_23]] ) * 1)</f>
        <v>79.400140545430844</v>
      </c>
      <c r="V472" s="255">
        <f xml:space="preserve"> tabConsumo[[#This Row],[Média.A]] + (_xlfn.STDEV.S( tabConsumo[[#This Row],[QTD.PENDENTE]]:tabConsumo[[#This Row],[07_23]] ) * 2)</f>
        <v>112.5502810908617</v>
      </c>
      <c r="W472" s="255">
        <f xml:space="preserve"> tabConsumo[[#This Row],[Média.A]] + (_xlfn.STDEV.S( tabConsumo[[#This Row],[QTD.PENDENTE]]:tabConsumo[[#This Row],[07_23]] ) * 3)</f>
        <v>145.70042163629256</v>
      </c>
      <c r="X472" s="5">
        <f t="shared" si="16"/>
        <v>2</v>
      </c>
      <c r="Y472">
        <v>46.25</v>
      </c>
      <c r="Z472" s="257">
        <f>SUM( tabConsumo[[#This Row],[QTD.PENDENTE]]:tabConsumo[[#This Row],[07_23]] )</f>
        <v>555</v>
      </c>
      <c r="AA472" s="257">
        <f>LARGE(tabConsumo[[#This Row],[08_22]:[07_23]],1)</f>
        <v>103</v>
      </c>
      <c r="AB472" s="175" t="s">
        <v>2214</v>
      </c>
      <c r="AC472" s="3" t="s">
        <v>2064</v>
      </c>
    </row>
    <row r="473" spans="1:29" x14ac:dyDescent="0.3">
      <c r="A473" s="4" t="s">
        <v>1352</v>
      </c>
      <c r="B473" s="3" t="s">
        <v>256</v>
      </c>
      <c r="C473" s="2">
        <v>61201</v>
      </c>
      <c r="D473" s="2">
        <v>1260</v>
      </c>
      <c r="F473" s="2">
        <v>13</v>
      </c>
      <c r="G473" s="2">
        <v>23</v>
      </c>
      <c r="H473" s="2">
        <v>28</v>
      </c>
      <c r="I473" s="2">
        <v>2</v>
      </c>
      <c r="J473" s="2">
        <v>6</v>
      </c>
      <c r="K473" s="2">
        <v>30</v>
      </c>
      <c r="L473" s="2">
        <v>11</v>
      </c>
      <c r="M473" s="2">
        <v>21</v>
      </c>
      <c r="N473" s="2">
        <v>44</v>
      </c>
      <c r="O473" s="2">
        <v>152</v>
      </c>
      <c r="P473" s="2">
        <v>0</v>
      </c>
      <c r="Q473" s="2">
        <v>0</v>
      </c>
      <c r="R473" s="274">
        <v>367</v>
      </c>
      <c r="S473" s="253">
        <f t="shared" si="17"/>
        <v>12</v>
      </c>
      <c r="T473" s="254">
        <f>SUM( tabConsumo[[#This Row],[QTD.PENDENTE]]:tabConsumo[[#This Row],[07_23]] ) / tabConsumo[[#This Row],[Div]]</f>
        <v>27.5</v>
      </c>
      <c r="U473" s="255">
        <f xml:space="preserve"> tabConsumo[[#This Row],[Média.A]] + (_xlfn.STDEV.S( tabConsumo[[#This Row],[QTD.PENDENTE]]:tabConsumo[[#This Row],[07_23]] ) * 1)</f>
        <v>69.004654722529182</v>
      </c>
      <c r="V473" s="255">
        <f xml:space="preserve"> tabConsumo[[#This Row],[Média.A]] + (_xlfn.STDEV.S( tabConsumo[[#This Row],[QTD.PENDENTE]]:tabConsumo[[#This Row],[07_23]] ) * 2)</f>
        <v>110.50930944505836</v>
      </c>
      <c r="W473" s="255">
        <f xml:space="preserve"> tabConsumo[[#This Row],[Média.A]] + (_xlfn.STDEV.S( tabConsumo[[#This Row],[QTD.PENDENTE]]:tabConsumo[[#This Row],[07_23]] ) * 3)</f>
        <v>152.01396416758755</v>
      </c>
      <c r="X473" s="5">
        <f t="shared" si="16"/>
        <v>2</v>
      </c>
      <c r="Y473">
        <v>24</v>
      </c>
      <c r="Z473" s="257">
        <f>SUM( tabConsumo[[#This Row],[QTD.PENDENTE]]:tabConsumo[[#This Row],[07_23]] )</f>
        <v>330</v>
      </c>
      <c r="AA473" s="257">
        <f>LARGE(tabConsumo[[#This Row],[08_22]:[07_23]],1)</f>
        <v>152</v>
      </c>
      <c r="AB473" s="175" t="s">
        <v>2214</v>
      </c>
      <c r="AC473" s="3" t="s">
        <v>2064</v>
      </c>
    </row>
    <row r="474" spans="1:29" x14ac:dyDescent="0.3">
      <c r="A474" s="4" t="s">
        <v>1340</v>
      </c>
      <c r="B474" s="3" t="s">
        <v>256</v>
      </c>
      <c r="C474" s="2">
        <v>59400</v>
      </c>
      <c r="D474" s="2">
        <v>138</v>
      </c>
      <c r="F474" s="2">
        <v>0</v>
      </c>
      <c r="G474" s="2">
        <v>12</v>
      </c>
      <c r="H474" s="2">
        <v>4</v>
      </c>
      <c r="I474" s="2">
        <v>4</v>
      </c>
      <c r="J474" s="2">
        <v>11</v>
      </c>
      <c r="K474" s="2">
        <v>10</v>
      </c>
      <c r="L474" s="2">
        <v>0</v>
      </c>
      <c r="M474" s="2">
        <v>16</v>
      </c>
      <c r="N474" s="2">
        <v>15</v>
      </c>
      <c r="O474" s="2">
        <v>0</v>
      </c>
      <c r="P474" s="2">
        <v>0</v>
      </c>
      <c r="Q474" s="2">
        <v>0</v>
      </c>
      <c r="R474" s="274">
        <v>367</v>
      </c>
      <c r="S474" s="253">
        <f t="shared" si="17"/>
        <v>12</v>
      </c>
      <c r="T474" s="254">
        <f>SUM( tabConsumo[[#This Row],[QTD.PENDENTE]]:tabConsumo[[#This Row],[07_23]] ) / tabConsumo[[#This Row],[Div]]</f>
        <v>6</v>
      </c>
      <c r="U474" s="255">
        <f xml:space="preserve"> tabConsumo[[#This Row],[Média.A]] + (_xlfn.STDEV.S( tabConsumo[[#This Row],[QTD.PENDENTE]]:tabConsumo[[#This Row],[07_23]] ) * 1)</f>
        <v>12.367531275577258</v>
      </c>
      <c r="V474" s="255">
        <f xml:space="preserve"> tabConsumo[[#This Row],[Média.A]] + (_xlfn.STDEV.S( tabConsumo[[#This Row],[QTD.PENDENTE]]:tabConsumo[[#This Row],[07_23]] ) * 2)</f>
        <v>18.735062551154517</v>
      </c>
      <c r="W474" s="255">
        <f xml:space="preserve"> tabConsumo[[#This Row],[Média.A]] + (_xlfn.STDEV.S( tabConsumo[[#This Row],[QTD.PENDENTE]]:tabConsumo[[#This Row],[07_23]] ) * 3)</f>
        <v>25.102593826731777</v>
      </c>
      <c r="X474" s="5">
        <f t="shared" si="16"/>
        <v>2</v>
      </c>
      <c r="Y474">
        <v>6</v>
      </c>
      <c r="Z474" s="257">
        <f>SUM( tabConsumo[[#This Row],[QTD.PENDENTE]]:tabConsumo[[#This Row],[07_23]] )</f>
        <v>72</v>
      </c>
      <c r="AA474" s="257">
        <f>LARGE(tabConsumo[[#This Row],[08_22]:[07_23]],1)</f>
        <v>16</v>
      </c>
      <c r="AB474" s="175" t="s">
        <v>2213</v>
      </c>
      <c r="AC474" s="3" t="s">
        <v>2064</v>
      </c>
    </row>
    <row r="475" spans="1:29" x14ac:dyDescent="0.3">
      <c r="A475" s="4" t="s">
        <v>1930</v>
      </c>
      <c r="B475" s="3" t="s">
        <v>301</v>
      </c>
      <c r="C475" s="2">
        <v>136855</v>
      </c>
      <c r="D475" s="2">
        <v>80</v>
      </c>
      <c r="F475" s="2">
        <v>0</v>
      </c>
      <c r="G475" s="2">
        <v>0</v>
      </c>
      <c r="H475" s="2">
        <v>0</v>
      </c>
      <c r="I475" s="2">
        <v>0</v>
      </c>
      <c r="J475" s="2">
        <v>0</v>
      </c>
      <c r="K475" s="2">
        <v>0</v>
      </c>
      <c r="L475" s="2">
        <v>0</v>
      </c>
      <c r="M475" s="2">
        <v>0</v>
      </c>
      <c r="N475" s="2">
        <v>0</v>
      </c>
      <c r="O475" s="2">
        <v>0</v>
      </c>
      <c r="P475" s="2">
        <v>0</v>
      </c>
      <c r="Q475" s="2">
        <v>3</v>
      </c>
      <c r="R475" s="274">
        <v>43578</v>
      </c>
      <c r="S475" s="253">
        <v>12</v>
      </c>
      <c r="T475" s="254">
        <f>SUM( tabConsumo[[#This Row],[QTD.PENDENTE]]:tabConsumo[[#This Row],[07_23]] ) / tabConsumo[[#This Row],[Div]]</f>
        <v>0.25</v>
      </c>
      <c r="U475" s="255">
        <f xml:space="preserve"> tabConsumo[[#This Row],[Média.A]] + (_xlfn.STDEV.S( tabConsumo[[#This Row],[QTD.PENDENTE]]:tabConsumo[[#This Row],[07_23]] ) * 1)</f>
        <v>1.1160254037844386</v>
      </c>
      <c r="V475" s="255">
        <f xml:space="preserve"> tabConsumo[[#This Row],[Média.A]] + (_xlfn.STDEV.S( tabConsumo[[#This Row],[QTD.PENDENTE]]:tabConsumo[[#This Row],[07_23]] ) * 2)</f>
        <v>1.9820508075688772</v>
      </c>
      <c r="W475" s="255">
        <f xml:space="preserve"> tabConsumo[[#This Row],[Média.A]] + (_xlfn.STDEV.S( tabConsumo[[#This Row],[QTD.PENDENTE]]:tabConsumo[[#This Row],[07_23]] ) * 3)</f>
        <v>2.848076211353316</v>
      </c>
      <c r="X475" s="5">
        <f t="shared" si="16"/>
        <v>2</v>
      </c>
      <c r="Y475">
        <v>8.3333333333333329E-2</v>
      </c>
      <c r="Z475" s="257">
        <f>SUM( tabConsumo[[#This Row],[QTD.PENDENTE]]:tabConsumo[[#This Row],[07_23]] )</f>
        <v>3</v>
      </c>
      <c r="AA475" s="257">
        <f>LARGE(tabConsumo[[#This Row],[08_22]:[07_23]],1)</f>
        <v>3</v>
      </c>
      <c r="AB475" s="175" t="s">
        <v>2211</v>
      </c>
      <c r="AC475" s="3" t="s">
        <v>2064</v>
      </c>
    </row>
    <row r="476" spans="1:29" x14ac:dyDescent="0.3">
      <c r="A476" s="4" t="s">
        <v>1757</v>
      </c>
      <c r="B476" s="3" t="s">
        <v>31</v>
      </c>
      <c r="C476" s="2">
        <v>125173</v>
      </c>
      <c r="D476" s="2">
        <v>200</v>
      </c>
      <c r="F476" s="2">
        <v>0</v>
      </c>
      <c r="G476" s="2">
        <v>0</v>
      </c>
      <c r="H476" s="2">
        <v>2</v>
      </c>
      <c r="I476" s="2">
        <v>4</v>
      </c>
      <c r="J476" s="2">
        <v>4</v>
      </c>
      <c r="K476" s="2">
        <v>5</v>
      </c>
      <c r="L476" s="2">
        <v>2</v>
      </c>
      <c r="M476" s="2">
        <v>1</v>
      </c>
      <c r="N476" s="2">
        <v>17</v>
      </c>
      <c r="O476" s="2">
        <v>0</v>
      </c>
      <c r="P476" s="2">
        <v>0</v>
      </c>
      <c r="Q476" s="2">
        <v>0</v>
      </c>
      <c r="R476" s="274">
        <v>41345</v>
      </c>
      <c r="S476" s="253">
        <v>12</v>
      </c>
      <c r="T476" s="254">
        <f>SUM( tabConsumo[[#This Row],[QTD.PENDENTE]]:tabConsumo[[#This Row],[07_23]] ) / tabConsumo[[#This Row],[Div]]</f>
        <v>2.9166666666666665</v>
      </c>
      <c r="U476" s="255">
        <f xml:space="preserve"> tabConsumo[[#This Row],[Média.A]] + (_xlfn.STDEV.S( tabConsumo[[#This Row],[QTD.PENDENTE]]:tabConsumo[[#This Row],[07_23]] ) * 1)</f>
        <v>7.7117082976042166</v>
      </c>
      <c r="V476" s="255">
        <f xml:space="preserve"> tabConsumo[[#This Row],[Média.A]] + (_xlfn.STDEV.S( tabConsumo[[#This Row],[QTD.PENDENTE]]:tabConsumo[[#This Row],[07_23]] ) * 2)</f>
        <v>12.506749928541767</v>
      </c>
      <c r="W476" s="255">
        <f xml:space="preserve"> tabConsumo[[#This Row],[Média.A]] + (_xlfn.STDEV.S( tabConsumo[[#This Row],[QTD.PENDENTE]]:tabConsumo[[#This Row],[07_23]] ) * 3)</f>
        <v>17.301791559479319</v>
      </c>
      <c r="X476" s="5">
        <f t="shared" si="16"/>
        <v>2</v>
      </c>
      <c r="Y476">
        <v>2.5</v>
      </c>
      <c r="Z476" s="257">
        <f>SUM( tabConsumo[[#This Row],[QTD.PENDENTE]]:tabConsumo[[#This Row],[07_23]] )</f>
        <v>35</v>
      </c>
      <c r="AA476" s="257">
        <f>LARGE(tabConsumo[[#This Row],[08_22]:[07_23]],1)</f>
        <v>17</v>
      </c>
      <c r="AB476" s="175" t="s">
        <v>2213</v>
      </c>
      <c r="AC476" s="3" t="s">
        <v>2064</v>
      </c>
    </row>
    <row r="477" spans="1:29" x14ac:dyDescent="0.3">
      <c r="A477" s="4" t="s">
        <v>1303</v>
      </c>
      <c r="B477" s="3" t="s">
        <v>256</v>
      </c>
      <c r="C477" s="2">
        <v>52994</v>
      </c>
      <c r="D477" s="2">
        <v>164</v>
      </c>
      <c r="F477" s="2">
        <v>0</v>
      </c>
      <c r="G477" s="2">
        <v>0</v>
      </c>
      <c r="H477" s="2">
        <v>0</v>
      </c>
      <c r="I477" s="2">
        <v>1</v>
      </c>
      <c r="J477" s="2">
        <v>0</v>
      </c>
      <c r="K477" s="2">
        <v>0</v>
      </c>
      <c r="L477" s="2">
        <v>0</v>
      </c>
      <c r="M477" s="2">
        <v>4</v>
      </c>
      <c r="N477" s="2">
        <v>20</v>
      </c>
      <c r="O477" s="2">
        <v>0</v>
      </c>
      <c r="P477" s="2">
        <v>0</v>
      </c>
      <c r="Q477" s="2">
        <v>0</v>
      </c>
      <c r="R477" s="274">
        <v>367</v>
      </c>
      <c r="S477" s="253">
        <f xml:space="preserve"> 12</f>
        <v>12</v>
      </c>
      <c r="T477" s="254">
        <f>SUM( tabConsumo[[#This Row],[QTD.PENDENTE]]:tabConsumo[[#This Row],[07_23]] ) / tabConsumo[[#This Row],[Div]]</f>
        <v>2.0833333333333335</v>
      </c>
      <c r="U477" s="255">
        <f xml:space="preserve"> tabConsumo[[#This Row],[Média.A]] + (_xlfn.STDEV.S( tabConsumo[[#This Row],[QTD.PENDENTE]]:tabConsumo[[#This Row],[07_23]] ) * 1)</f>
        <v>7.8430418697301558</v>
      </c>
      <c r="V477" s="255">
        <f xml:space="preserve"> tabConsumo[[#This Row],[Média.A]] + (_xlfn.STDEV.S( tabConsumo[[#This Row],[QTD.PENDENTE]]:tabConsumo[[#This Row],[07_23]] ) * 2)</f>
        <v>13.602750406126979</v>
      </c>
      <c r="W477" s="255">
        <f xml:space="preserve"> tabConsumo[[#This Row],[Média.A]] + (_xlfn.STDEV.S( tabConsumo[[#This Row],[QTD.PENDENTE]]:tabConsumo[[#This Row],[07_23]] ) * 3)</f>
        <v>19.362458942523801</v>
      </c>
      <c r="X477" s="5">
        <f t="shared" si="16"/>
        <v>2</v>
      </c>
      <c r="Y477">
        <v>1.5</v>
      </c>
      <c r="Z477" s="257">
        <f>SUM( tabConsumo[[#This Row],[QTD.PENDENTE]]:tabConsumo[[#This Row],[07_23]] )</f>
        <v>25</v>
      </c>
      <c r="AA477" s="257">
        <f>LARGE(tabConsumo[[#This Row],[08_22]:[07_23]],1)</f>
        <v>20</v>
      </c>
      <c r="AB477" s="175" t="s">
        <v>2213</v>
      </c>
      <c r="AC477" s="3" t="s">
        <v>2064</v>
      </c>
    </row>
    <row r="478" spans="1:29" x14ac:dyDescent="0.3">
      <c r="A478" s="4" t="s">
        <v>1380</v>
      </c>
      <c r="B478" s="3" t="s">
        <v>256</v>
      </c>
      <c r="C478" s="2">
        <v>64635</v>
      </c>
      <c r="D478" s="2">
        <v>70</v>
      </c>
      <c r="F478" s="2">
        <v>0</v>
      </c>
      <c r="G478" s="2">
        <v>0</v>
      </c>
      <c r="H478" s="2">
        <v>0</v>
      </c>
      <c r="I478" s="2">
        <v>0</v>
      </c>
      <c r="J478" s="2">
        <v>0</v>
      </c>
      <c r="K478" s="2">
        <v>2</v>
      </c>
      <c r="L478" s="2">
        <v>0</v>
      </c>
      <c r="M478" s="2">
        <v>0</v>
      </c>
      <c r="N478" s="2">
        <v>0</v>
      </c>
      <c r="O478" s="2">
        <v>0</v>
      </c>
      <c r="P478" s="2">
        <v>0</v>
      </c>
      <c r="Q478" s="2">
        <v>0</v>
      </c>
      <c r="R478" s="274">
        <v>367</v>
      </c>
      <c r="S478" s="253">
        <f xml:space="preserve"> 12</f>
        <v>12</v>
      </c>
      <c r="T478" s="254">
        <f>SUM( tabConsumo[[#This Row],[QTD.PENDENTE]]:tabConsumo[[#This Row],[07_23]] ) / tabConsumo[[#This Row],[Div]]</f>
        <v>0.16666666666666666</v>
      </c>
      <c r="U478" s="255">
        <f xml:space="preserve"> tabConsumo[[#This Row],[Média.A]] + (_xlfn.STDEV.S( tabConsumo[[#This Row],[QTD.PENDENTE]]:tabConsumo[[#This Row],[07_23]] ) * 1)</f>
        <v>0.74401693585629236</v>
      </c>
      <c r="V478" s="255">
        <f xml:space="preserve"> tabConsumo[[#This Row],[Média.A]] + (_xlfn.STDEV.S( tabConsumo[[#This Row],[QTD.PENDENTE]]:tabConsumo[[#This Row],[07_23]] ) * 2)</f>
        <v>1.3213672050459182</v>
      </c>
      <c r="W478" s="255">
        <f xml:space="preserve"> tabConsumo[[#This Row],[Média.A]] + (_xlfn.STDEV.S( tabConsumo[[#This Row],[QTD.PENDENTE]]:tabConsumo[[#This Row],[07_23]] ) * 3)</f>
        <v>1.8987174742355439</v>
      </c>
      <c r="X478" s="5">
        <f t="shared" si="16"/>
        <v>2</v>
      </c>
      <c r="Y478">
        <v>8.3333333333333329E-2</v>
      </c>
      <c r="Z478" s="257">
        <f>SUM( tabConsumo[[#This Row],[QTD.PENDENTE]]:tabConsumo[[#This Row],[07_23]] )</f>
        <v>2</v>
      </c>
      <c r="AA478" s="257">
        <f>LARGE(tabConsumo[[#This Row],[08_22]:[07_23]],1)</f>
        <v>2</v>
      </c>
      <c r="AB478" s="175" t="s">
        <v>2220</v>
      </c>
      <c r="AC478" s="3" t="s">
        <v>2064</v>
      </c>
    </row>
    <row r="479" spans="1:29" x14ac:dyDescent="0.3">
      <c r="A479" s="4" t="s">
        <v>1381</v>
      </c>
      <c r="B479" s="3" t="s">
        <v>256</v>
      </c>
      <c r="C479" s="2">
        <v>64636</v>
      </c>
      <c r="D479" s="2">
        <v>31</v>
      </c>
      <c r="F479" s="2">
        <v>15</v>
      </c>
      <c r="G479" s="2">
        <v>9</v>
      </c>
      <c r="H479" s="2">
        <v>4</v>
      </c>
      <c r="I479" s="2">
        <v>6</v>
      </c>
      <c r="J479" s="2">
        <v>10</v>
      </c>
      <c r="K479" s="2">
        <v>3</v>
      </c>
      <c r="L479" s="2">
        <v>3</v>
      </c>
      <c r="M479" s="2">
        <v>8</v>
      </c>
      <c r="N479" s="2">
        <v>20</v>
      </c>
      <c r="O479" s="2">
        <v>0</v>
      </c>
      <c r="P479" s="2">
        <v>0</v>
      </c>
      <c r="Q479" s="2">
        <v>0</v>
      </c>
      <c r="R479" s="274">
        <v>367</v>
      </c>
      <c r="S479" s="253">
        <f xml:space="preserve"> 12</f>
        <v>12</v>
      </c>
      <c r="T479" s="254">
        <f>SUM( tabConsumo[[#This Row],[QTD.PENDENTE]]:tabConsumo[[#This Row],[07_23]] ) / tabConsumo[[#This Row],[Div]]</f>
        <v>6.5</v>
      </c>
      <c r="U479" s="255">
        <f xml:space="preserve"> tabConsumo[[#This Row],[Média.A]] + (_xlfn.STDEV.S( tabConsumo[[#This Row],[QTD.PENDENTE]]:tabConsumo[[#This Row],[07_23]] ) * 1)</f>
        <v>12.774044657446771</v>
      </c>
      <c r="V479" s="255">
        <f xml:space="preserve"> tabConsumo[[#This Row],[Média.A]] + (_xlfn.STDEV.S( tabConsumo[[#This Row],[QTD.PENDENTE]]:tabConsumo[[#This Row],[07_23]] ) * 2)</f>
        <v>19.048089314893542</v>
      </c>
      <c r="W479" s="255">
        <f xml:space="preserve"> tabConsumo[[#This Row],[Média.A]] + (_xlfn.STDEV.S( tabConsumo[[#This Row],[QTD.PENDENTE]]:tabConsumo[[#This Row],[07_23]] ) * 3)</f>
        <v>25.32213397234031</v>
      </c>
      <c r="X479" s="5">
        <f t="shared" si="16"/>
        <v>2</v>
      </c>
      <c r="Y479">
        <v>6.416666666666667</v>
      </c>
      <c r="Z479" s="257">
        <f>SUM( tabConsumo[[#This Row],[QTD.PENDENTE]]:tabConsumo[[#This Row],[07_23]] )</f>
        <v>78</v>
      </c>
      <c r="AA479" s="257">
        <f>LARGE(tabConsumo[[#This Row],[08_22]:[07_23]],1)</f>
        <v>20</v>
      </c>
      <c r="AB479" s="175" t="s">
        <v>2213</v>
      </c>
      <c r="AC479" s="3" t="s">
        <v>2064</v>
      </c>
    </row>
    <row r="480" spans="1:29" x14ac:dyDescent="0.3">
      <c r="A480" s="4" t="s">
        <v>1282</v>
      </c>
      <c r="B480" s="3" t="s">
        <v>256</v>
      </c>
      <c r="C480" s="2">
        <v>44789</v>
      </c>
      <c r="D480" s="2">
        <v>123</v>
      </c>
      <c r="F480" s="2">
        <v>4</v>
      </c>
      <c r="G480" s="2">
        <v>0</v>
      </c>
      <c r="H480" s="2">
        <v>0</v>
      </c>
      <c r="I480" s="2">
        <v>0</v>
      </c>
      <c r="J480" s="2">
        <v>2</v>
      </c>
      <c r="K480" s="2">
        <v>0</v>
      </c>
      <c r="L480" s="2">
        <v>0</v>
      </c>
      <c r="M480" s="2">
        <v>3</v>
      </c>
      <c r="N480" s="2">
        <v>20</v>
      </c>
      <c r="O480" s="2">
        <v>0</v>
      </c>
      <c r="P480" s="2">
        <v>0</v>
      </c>
      <c r="Q480" s="2">
        <v>0</v>
      </c>
      <c r="R480" s="274">
        <v>367</v>
      </c>
      <c r="S480" s="253">
        <f xml:space="preserve"> 12</f>
        <v>12</v>
      </c>
      <c r="T480" s="254">
        <f>SUM( tabConsumo[[#This Row],[QTD.PENDENTE]]:tabConsumo[[#This Row],[07_23]] ) / tabConsumo[[#This Row],[Div]]</f>
        <v>2.4166666666666665</v>
      </c>
      <c r="U480" s="255">
        <f xml:space="preserve"> tabConsumo[[#This Row],[Média.A]] + (_xlfn.STDEV.S( tabConsumo[[#This Row],[QTD.PENDENTE]]:tabConsumo[[#This Row],[07_23]] ) * 1)</f>
        <v>8.128828068341857</v>
      </c>
      <c r="V480" s="255">
        <f xml:space="preserve"> tabConsumo[[#This Row],[Média.A]] + (_xlfn.STDEV.S( tabConsumo[[#This Row],[QTD.PENDENTE]]:tabConsumo[[#This Row],[07_23]] ) * 2)</f>
        <v>13.840989470017048</v>
      </c>
      <c r="W480" s="255">
        <f xml:space="preserve"> tabConsumo[[#This Row],[Média.A]] + (_xlfn.STDEV.S( tabConsumo[[#This Row],[QTD.PENDENTE]]:tabConsumo[[#This Row],[07_23]] ) * 3)</f>
        <v>19.553150871692242</v>
      </c>
      <c r="X480" s="5">
        <f t="shared" si="16"/>
        <v>2</v>
      </c>
      <c r="Y480">
        <v>1.8333333333333333</v>
      </c>
      <c r="Z480" s="257">
        <f>SUM( tabConsumo[[#This Row],[QTD.PENDENTE]]:tabConsumo[[#This Row],[07_23]] )</f>
        <v>29</v>
      </c>
      <c r="AA480" s="257">
        <f>LARGE(tabConsumo[[#This Row],[08_22]:[07_23]],1)</f>
        <v>20</v>
      </c>
      <c r="AB480" s="175" t="s">
        <v>2213</v>
      </c>
      <c r="AC480" s="3" t="s">
        <v>2064</v>
      </c>
    </row>
    <row r="481" spans="1:29" x14ac:dyDescent="0.3">
      <c r="A481" s="4" t="s">
        <v>978</v>
      </c>
      <c r="B481" s="3" t="s">
        <v>256</v>
      </c>
      <c r="C481" s="2">
        <v>12922</v>
      </c>
      <c r="D481" s="2">
        <v>51</v>
      </c>
      <c r="E481" s="2">
        <v>5</v>
      </c>
      <c r="F481" s="2">
        <v>0</v>
      </c>
      <c r="G481" s="2">
        <v>9</v>
      </c>
      <c r="H481" s="2">
        <v>1</v>
      </c>
      <c r="I481" s="2">
        <v>0</v>
      </c>
      <c r="J481" s="2">
        <v>0</v>
      </c>
      <c r="K481" s="2">
        <v>0</v>
      </c>
      <c r="L481" s="2">
        <v>0</v>
      </c>
      <c r="M481" s="2">
        <v>4</v>
      </c>
      <c r="N481" s="2">
        <v>15</v>
      </c>
      <c r="O481" s="2">
        <v>0</v>
      </c>
      <c r="P481" s="2">
        <v>0</v>
      </c>
      <c r="Q481" s="2">
        <v>0</v>
      </c>
      <c r="R481" s="274">
        <v>367</v>
      </c>
      <c r="S481" s="253">
        <f xml:space="preserve"> 12</f>
        <v>12</v>
      </c>
      <c r="T481" s="254">
        <f>SUM( tabConsumo[[#This Row],[QTD.PENDENTE]]:tabConsumo[[#This Row],[07_23]] ) / tabConsumo[[#This Row],[Div]]</f>
        <v>2.8333333333333335</v>
      </c>
      <c r="U481" s="255">
        <f xml:space="preserve"> tabConsumo[[#This Row],[Média.A]] + (_xlfn.STDEV.S( tabConsumo[[#This Row],[QTD.PENDENTE]]:tabConsumo[[#This Row],[07_23]] ) * 1)</f>
        <v>7.4798098037078038</v>
      </c>
      <c r="V481" s="255">
        <f xml:space="preserve"> tabConsumo[[#This Row],[Média.A]] + (_xlfn.STDEV.S( tabConsumo[[#This Row],[QTD.PENDENTE]]:tabConsumo[[#This Row],[07_23]] ) * 2)</f>
        <v>12.126286274082274</v>
      </c>
      <c r="W481" s="255">
        <f xml:space="preserve"> tabConsumo[[#This Row],[Média.A]] + (_xlfn.STDEV.S( tabConsumo[[#This Row],[QTD.PENDENTE]]:tabConsumo[[#This Row],[07_23]] ) * 3)</f>
        <v>16.772762744456742</v>
      </c>
      <c r="X481" s="5">
        <f t="shared" si="16"/>
        <v>2</v>
      </c>
      <c r="Y481">
        <v>2.5833333333333335</v>
      </c>
      <c r="Z481" s="257">
        <f>SUM( tabConsumo[[#This Row],[QTD.PENDENTE]]:tabConsumo[[#This Row],[07_23]] )</f>
        <v>34</v>
      </c>
      <c r="AA481" s="257">
        <f>LARGE(tabConsumo[[#This Row],[08_22]:[07_23]],1)</f>
        <v>15</v>
      </c>
      <c r="AB481" s="175" t="s">
        <v>2213</v>
      </c>
      <c r="AC481" s="3" t="s">
        <v>2064</v>
      </c>
    </row>
    <row r="482" spans="1:29" x14ac:dyDescent="0.3">
      <c r="A482" s="4" t="s">
        <v>1794</v>
      </c>
      <c r="B482" s="3" t="s">
        <v>301</v>
      </c>
      <c r="C482" s="2">
        <v>130572</v>
      </c>
      <c r="D482" s="2">
        <v>0</v>
      </c>
      <c r="F482" s="2">
        <v>0</v>
      </c>
      <c r="G482" s="2">
        <v>18</v>
      </c>
      <c r="H482" s="2">
        <v>0</v>
      </c>
      <c r="I482" s="2">
        <v>0</v>
      </c>
      <c r="J482" s="2">
        <v>0</v>
      </c>
      <c r="K482" s="2">
        <v>0</v>
      </c>
      <c r="L482" s="2">
        <v>0</v>
      </c>
      <c r="M482" s="2">
        <v>0</v>
      </c>
      <c r="N482" s="2">
        <v>0</v>
      </c>
      <c r="O482" s="2">
        <v>0</v>
      </c>
      <c r="P482" s="2">
        <v>0</v>
      </c>
      <c r="Q482" s="2">
        <v>0</v>
      </c>
      <c r="R482" s="274">
        <v>42188</v>
      </c>
      <c r="S482" s="253">
        <v>12</v>
      </c>
      <c r="T482" s="254">
        <f>SUM( tabConsumo[[#This Row],[QTD.PENDENTE]]:tabConsumo[[#This Row],[07_23]] ) / tabConsumo[[#This Row],[Div]]</f>
        <v>1.5</v>
      </c>
      <c r="U482" s="255">
        <f xml:space="preserve"> tabConsumo[[#This Row],[Média.A]] + (_xlfn.STDEV.S( tabConsumo[[#This Row],[QTD.PENDENTE]]:tabConsumo[[#This Row],[07_23]] ) * 1)</f>
        <v>6.696152422706632</v>
      </c>
      <c r="V482" s="255">
        <f xml:space="preserve"> tabConsumo[[#This Row],[Média.A]] + (_xlfn.STDEV.S( tabConsumo[[#This Row],[QTD.PENDENTE]]:tabConsumo[[#This Row],[07_23]] ) * 2)</f>
        <v>11.892304845413264</v>
      </c>
      <c r="W482" s="255">
        <f xml:space="preserve"> tabConsumo[[#This Row],[Média.A]] + (_xlfn.STDEV.S( tabConsumo[[#This Row],[QTD.PENDENTE]]:tabConsumo[[#This Row],[07_23]] ) * 3)</f>
        <v>17.088457268119896</v>
      </c>
      <c r="X482" s="5">
        <f t="shared" si="16"/>
        <v>2</v>
      </c>
      <c r="Y482">
        <v>0.91666666666666663</v>
      </c>
      <c r="Z482" s="257">
        <f>SUM( tabConsumo[[#This Row],[QTD.PENDENTE]]:tabConsumo[[#This Row],[07_23]] )</f>
        <v>18</v>
      </c>
      <c r="AA482" s="257">
        <f>LARGE(tabConsumo[[#This Row],[08_22]:[07_23]],1)</f>
        <v>18</v>
      </c>
      <c r="AB482" s="175" t="s">
        <v>2219</v>
      </c>
      <c r="AC482" s="3" t="s">
        <v>2064</v>
      </c>
    </row>
    <row r="483" spans="1:29" x14ac:dyDescent="0.3">
      <c r="A483" s="4" t="s">
        <v>1937</v>
      </c>
      <c r="B483" s="3" t="s">
        <v>413</v>
      </c>
      <c r="C483" s="2">
        <v>136881</v>
      </c>
      <c r="D483" s="2">
        <v>29</v>
      </c>
      <c r="F483" s="2">
        <v>22</v>
      </c>
      <c r="G483" s="2">
        <v>19</v>
      </c>
      <c r="H483" s="2">
        <v>23</v>
      </c>
      <c r="I483" s="2">
        <v>22</v>
      </c>
      <c r="J483" s="2">
        <v>19</v>
      </c>
      <c r="K483" s="2">
        <v>2</v>
      </c>
      <c r="L483" s="2">
        <v>22</v>
      </c>
      <c r="M483" s="2">
        <v>31</v>
      </c>
      <c r="N483" s="2">
        <v>15</v>
      </c>
      <c r="O483" s="2">
        <v>35</v>
      </c>
      <c r="P483" s="2">
        <v>24</v>
      </c>
      <c r="Q483" s="2">
        <v>22</v>
      </c>
      <c r="R483" s="274">
        <v>43580</v>
      </c>
      <c r="S483" s="253">
        <v>12</v>
      </c>
      <c r="T483" s="254">
        <f>SUM( tabConsumo[[#This Row],[QTD.PENDENTE]]:tabConsumo[[#This Row],[07_23]] ) / tabConsumo[[#This Row],[Div]]</f>
        <v>21.333333333333332</v>
      </c>
      <c r="U483" s="255">
        <f xml:space="preserve"> tabConsumo[[#This Row],[Média.A]] + (_xlfn.STDEV.S( tabConsumo[[#This Row],[QTD.PENDENTE]]:tabConsumo[[#This Row],[07_23]] ) * 1)</f>
        <v>29.404982182949823</v>
      </c>
      <c r="V483" s="255">
        <f xml:space="preserve"> tabConsumo[[#This Row],[Média.A]] + (_xlfn.STDEV.S( tabConsumo[[#This Row],[QTD.PENDENTE]]:tabConsumo[[#This Row],[07_23]] ) * 2)</f>
        <v>37.47663103256631</v>
      </c>
      <c r="W483" s="255">
        <f xml:space="preserve"> tabConsumo[[#This Row],[Média.A]] + (_xlfn.STDEV.S( tabConsumo[[#This Row],[QTD.PENDENTE]]:tabConsumo[[#This Row],[07_23]] ) * 3)</f>
        <v>45.548279882182797</v>
      </c>
      <c r="X483" s="5">
        <f t="shared" si="16"/>
        <v>2</v>
      </c>
      <c r="Y483">
        <v>21.333333333333332</v>
      </c>
      <c r="Z483" s="257">
        <f>SUM( tabConsumo[[#This Row],[QTD.PENDENTE]]:tabConsumo[[#This Row],[07_23]] )</f>
        <v>256</v>
      </c>
      <c r="AA483" s="257">
        <f>LARGE(tabConsumo[[#This Row],[08_22]:[07_23]],1)</f>
        <v>35</v>
      </c>
      <c r="AB483" s="175" t="s">
        <v>2211</v>
      </c>
      <c r="AC483" s="3" t="s">
        <v>2064</v>
      </c>
    </row>
    <row r="484" spans="1:29" x14ac:dyDescent="0.3">
      <c r="A484" s="4" t="s">
        <v>2032</v>
      </c>
      <c r="B484" s="3" t="s">
        <v>413</v>
      </c>
      <c r="C484" s="2">
        <v>143099</v>
      </c>
      <c r="D484" s="2">
        <v>1776</v>
      </c>
      <c r="F484" s="2">
        <v>131</v>
      </c>
      <c r="G484" s="2">
        <v>86</v>
      </c>
      <c r="H484" s="2">
        <v>90</v>
      </c>
      <c r="I484" s="2">
        <v>104</v>
      </c>
      <c r="J484" s="2">
        <v>56</v>
      </c>
      <c r="K484" s="2">
        <v>12</v>
      </c>
      <c r="L484" s="2">
        <v>136</v>
      </c>
      <c r="M484" s="2">
        <v>137</v>
      </c>
      <c r="N484" s="2">
        <v>45</v>
      </c>
      <c r="O484" s="2">
        <v>101</v>
      </c>
      <c r="P484" s="2">
        <v>79</v>
      </c>
      <c r="Q484" s="2">
        <v>86</v>
      </c>
      <c r="R484" s="274">
        <v>44438</v>
      </c>
      <c r="S484" s="253">
        <v>12</v>
      </c>
      <c r="T484" s="254">
        <f>SUM( tabConsumo[[#This Row],[QTD.PENDENTE]]:tabConsumo[[#This Row],[07_23]] ) / tabConsumo[[#This Row],[Div]]</f>
        <v>88.583333333333329</v>
      </c>
      <c r="U484" s="255">
        <f xml:space="preserve"> tabConsumo[[#This Row],[Média.A]] + (_xlfn.STDEV.S( tabConsumo[[#This Row],[QTD.PENDENTE]]:tabConsumo[[#This Row],[07_23]] ) * 1)</f>
        <v>126.38294452261154</v>
      </c>
      <c r="V484" s="255">
        <f xml:space="preserve"> tabConsumo[[#This Row],[Média.A]] + (_xlfn.STDEV.S( tabConsumo[[#This Row],[QTD.PENDENTE]]:tabConsumo[[#This Row],[07_23]] ) * 2)</f>
        <v>164.18255571188973</v>
      </c>
      <c r="W484" s="255">
        <f xml:space="preserve"> tabConsumo[[#This Row],[Média.A]] + (_xlfn.STDEV.S( tabConsumo[[#This Row],[QTD.PENDENTE]]:tabConsumo[[#This Row],[07_23]] ) * 3)</f>
        <v>201.98216690116794</v>
      </c>
      <c r="X484" s="5">
        <f t="shared" si="16"/>
        <v>2</v>
      </c>
      <c r="Y484">
        <v>88.583333333333329</v>
      </c>
      <c r="Z484" s="257">
        <f>SUM( tabConsumo[[#This Row],[QTD.PENDENTE]]:tabConsumo[[#This Row],[07_23]] )</f>
        <v>1063</v>
      </c>
      <c r="AA484" s="257">
        <f>LARGE(tabConsumo[[#This Row],[08_22]:[07_23]],1)</f>
        <v>137</v>
      </c>
      <c r="AB484" s="175" t="s">
        <v>2211</v>
      </c>
      <c r="AC484" s="3" t="s">
        <v>2064</v>
      </c>
    </row>
    <row r="485" spans="1:29" x14ac:dyDescent="0.3">
      <c r="A485" s="4" t="s">
        <v>1408</v>
      </c>
      <c r="B485" s="3" t="s">
        <v>256</v>
      </c>
      <c r="C485" s="2">
        <v>74979</v>
      </c>
      <c r="D485" s="2">
        <v>179</v>
      </c>
      <c r="F485" s="2">
        <v>2</v>
      </c>
      <c r="G485" s="2">
        <v>2</v>
      </c>
      <c r="H485" s="2">
        <v>1</v>
      </c>
      <c r="I485" s="2">
        <v>0</v>
      </c>
      <c r="J485" s="2">
        <v>8</v>
      </c>
      <c r="K485" s="2">
        <v>6</v>
      </c>
      <c r="L485" s="2">
        <v>0</v>
      </c>
      <c r="M485" s="2">
        <v>2</v>
      </c>
      <c r="N485" s="2">
        <v>10</v>
      </c>
      <c r="O485" s="2">
        <v>0</v>
      </c>
      <c r="P485" s="2">
        <v>20</v>
      </c>
      <c r="Q485" s="2">
        <v>0</v>
      </c>
      <c r="R485" s="274">
        <v>37847</v>
      </c>
      <c r="S485" s="253">
        <v>12</v>
      </c>
      <c r="T485" s="254">
        <f>SUM( tabConsumo[[#This Row],[QTD.PENDENTE]]:tabConsumo[[#This Row],[07_23]] ) / tabConsumo[[#This Row],[Div]]</f>
        <v>4.25</v>
      </c>
      <c r="U485" s="255">
        <f xml:space="preserve"> tabConsumo[[#This Row],[Média.A]] + (_xlfn.STDEV.S( tabConsumo[[#This Row],[QTD.PENDENTE]]:tabConsumo[[#This Row],[07_23]] ) * 1)</f>
        <v>10.251893640571055</v>
      </c>
      <c r="V485" s="255">
        <f xml:space="preserve"> tabConsumo[[#This Row],[Média.A]] + (_xlfn.STDEV.S( tabConsumo[[#This Row],[QTD.PENDENTE]]:tabConsumo[[#This Row],[07_23]] ) * 2)</f>
        <v>16.25378728114211</v>
      </c>
      <c r="W485" s="255">
        <f xml:space="preserve"> tabConsumo[[#This Row],[Média.A]] + (_xlfn.STDEV.S( tabConsumo[[#This Row],[QTD.PENDENTE]]:tabConsumo[[#This Row],[07_23]] ) * 3)</f>
        <v>22.255680921713164</v>
      </c>
      <c r="X485" s="5">
        <f t="shared" si="16"/>
        <v>2</v>
      </c>
      <c r="Y485">
        <v>3.9166666666666665</v>
      </c>
      <c r="Z485" s="257">
        <f>SUM( tabConsumo[[#This Row],[QTD.PENDENTE]]:tabConsumo[[#This Row],[07_23]] )</f>
        <v>51</v>
      </c>
      <c r="AA485" s="257">
        <f>LARGE(tabConsumo[[#This Row],[08_22]:[07_23]],1)</f>
        <v>20</v>
      </c>
      <c r="AB485" s="175" t="s">
        <v>2212</v>
      </c>
      <c r="AC485" s="3" t="s">
        <v>2064</v>
      </c>
    </row>
    <row r="486" spans="1:29" x14ac:dyDescent="0.3">
      <c r="A486" s="4" t="s">
        <v>1407</v>
      </c>
      <c r="B486" s="3" t="s">
        <v>256</v>
      </c>
      <c r="C486" s="2">
        <v>74976</v>
      </c>
      <c r="D486" s="2">
        <v>476</v>
      </c>
      <c r="F486" s="2">
        <v>0</v>
      </c>
      <c r="G486" s="2">
        <v>0</v>
      </c>
      <c r="H486" s="2">
        <v>0</v>
      </c>
      <c r="I486" s="2">
        <v>2</v>
      </c>
      <c r="J486" s="2">
        <v>4</v>
      </c>
      <c r="K486" s="2">
        <v>10</v>
      </c>
      <c r="L486" s="2">
        <v>0</v>
      </c>
      <c r="M486" s="2">
        <v>0</v>
      </c>
      <c r="N486" s="2">
        <v>0</v>
      </c>
      <c r="O486" s="2">
        <v>0</v>
      </c>
      <c r="P486" s="2">
        <v>0</v>
      </c>
      <c r="Q486" s="2">
        <v>0</v>
      </c>
      <c r="R486" s="274">
        <v>37847</v>
      </c>
      <c r="S486" s="253">
        <v>12</v>
      </c>
      <c r="T486" s="254">
        <f>SUM( tabConsumo[[#This Row],[QTD.PENDENTE]]:tabConsumo[[#This Row],[07_23]] ) / tabConsumo[[#This Row],[Div]]</f>
        <v>1.3333333333333333</v>
      </c>
      <c r="U486" s="255">
        <f xml:space="preserve"> tabConsumo[[#This Row],[Média.A]] + (_xlfn.STDEV.S( tabConsumo[[#This Row],[QTD.PENDENTE]]:tabConsumo[[#This Row],[07_23]] ) * 1)</f>
        <v>4.3282785698438389</v>
      </c>
      <c r="V486" s="255">
        <f xml:space="preserve"> tabConsumo[[#This Row],[Média.A]] + (_xlfn.STDEV.S( tabConsumo[[#This Row],[QTD.PENDENTE]]:tabConsumo[[#This Row],[07_23]] ) * 2)</f>
        <v>7.3232238063543447</v>
      </c>
      <c r="W486" s="255">
        <f xml:space="preserve"> tabConsumo[[#This Row],[Média.A]] + (_xlfn.STDEV.S( tabConsumo[[#This Row],[QTD.PENDENTE]]:tabConsumo[[#This Row],[07_23]] ) * 3)</f>
        <v>10.31816904286485</v>
      </c>
      <c r="X486" s="5">
        <f t="shared" si="16"/>
        <v>2</v>
      </c>
      <c r="Y486">
        <v>1.0833333333333333</v>
      </c>
      <c r="Z486" s="257">
        <f>SUM( tabConsumo[[#This Row],[QTD.PENDENTE]]:tabConsumo[[#This Row],[07_23]] )</f>
        <v>16</v>
      </c>
      <c r="AA486" s="257">
        <f>LARGE(tabConsumo[[#This Row],[08_22]:[07_23]],1)</f>
        <v>10</v>
      </c>
      <c r="AB486" s="175" t="s">
        <v>2220</v>
      </c>
      <c r="AC486" s="3" t="s">
        <v>2064</v>
      </c>
    </row>
    <row r="487" spans="1:29" x14ac:dyDescent="0.3">
      <c r="A487" s="4" t="s">
        <v>1928</v>
      </c>
      <c r="B487" s="3" t="s">
        <v>301</v>
      </c>
      <c r="C487" s="2">
        <v>136853</v>
      </c>
      <c r="D487" s="2">
        <v>55</v>
      </c>
      <c r="F487" s="2">
        <v>0</v>
      </c>
      <c r="G487" s="2">
        <v>0</v>
      </c>
      <c r="H487" s="2">
        <v>0</v>
      </c>
      <c r="I487" s="2">
        <v>0</v>
      </c>
      <c r="J487" s="2">
        <v>0</v>
      </c>
      <c r="K487" s="2">
        <v>6</v>
      </c>
      <c r="L487" s="2">
        <v>0</v>
      </c>
      <c r="M487" s="2">
        <v>3</v>
      </c>
      <c r="N487" s="2">
        <v>6</v>
      </c>
      <c r="O487" s="2">
        <v>6</v>
      </c>
      <c r="P487" s="2">
        <v>0</v>
      </c>
      <c r="Q487" s="2">
        <v>0</v>
      </c>
      <c r="R487" s="274">
        <v>43578</v>
      </c>
      <c r="S487" s="253">
        <v>12</v>
      </c>
      <c r="T487" s="254">
        <f>SUM( tabConsumo[[#This Row],[QTD.PENDENTE]]:tabConsumo[[#This Row],[07_23]] ) / tabConsumo[[#This Row],[Div]]</f>
        <v>1.75</v>
      </c>
      <c r="U487" s="255">
        <f xml:space="preserve"> tabConsumo[[#This Row],[Média.A]] + (_xlfn.STDEV.S( tabConsumo[[#This Row],[QTD.PENDENTE]]:tabConsumo[[#This Row],[07_23]] ) * 1)</f>
        <v>4.45100991213556</v>
      </c>
      <c r="V487" s="255">
        <f xml:space="preserve"> tabConsumo[[#This Row],[Média.A]] + (_xlfn.STDEV.S( tabConsumo[[#This Row],[QTD.PENDENTE]]:tabConsumo[[#This Row],[07_23]] ) * 2)</f>
        <v>7.1520198242711199</v>
      </c>
      <c r="W487" s="255">
        <f xml:space="preserve"> tabConsumo[[#This Row],[Média.A]] + (_xlfn.STDEV.S( tabConsumo[[#This Row],[QTD.PENDENTE]]:tabConsumo[[#This Row],[07_23]] ) * 3)</f>
        <v>9.853029736406679</v>
      </c>
      <c r="X487" s="5">
        <f t="shared" si="16"/>
        <v>2</v>
      </c>
      <c r="Y487">
        <v>1.75</v>
      </c>
      <c r="Z487" s="257">
        <f>SUM( tabConsumo[[#This Row],[QTD.PENDENTE]]:tabConsumo[[#This Row],[07_23]] )</f>
        <v>21</v>
      </c>
      <c r="AA487" s="257">
        <f>LARGE(tabConsumo[[#This Row],[08_22]:[07_23]],1)</f>
        <v>6</v>
      </c>
      <c r="AB487" s="175" t="s">
        <v>2214</v>
      </c>
      <c r="AC487" s="3" t="s">
        <v>2064</v>
      </c>
    </row>
    <row r="488" spans="1:29" x14ac:dyDescent="0.3">
      <c r="A488" s="4" t="s">
        <v>1292</v>
      </c>
      <c r="B488" s="3" t="s">
        <v>256</v>
      </c>
      <c r="C488" s="2">
        <v>49695</v>
      </c>
      <c r="D488" s="2">
        <v>0</v>
      </c>
      <c r="E488" s="2">
        <v>71</v>
      </c>
      <c r="F488" s="2">
        <v>52</v>
      </c>
      <c r="G488" s="2">
        <v>70</v>
      </c>
      <c r="H488" s="2">
        <v>15</v>
      </c>
      <c r="I488" s="2">
        <v>0</v>
      </c>
      <c r="J488" s="2">
        <v>30</v>
      </c>
      <c r="K488" s="2">
        <v>0</v>
      </c>
      <c r="L488" s="2">
        <v>30</v>
      </c>
      <c r="M488" s="2">
        <v>50</v>
      </c>
      <c r="N488" s="2">
        <v>60</v>
      </c>
      <c r="O488" s="2">
        <v>80</v>
      </c>
      <c r="P488" s="2">
        <v>29</v>
      </c>
      <c r="Q488" s="2">
        <v>0</v>
      </c>
      <c r="R488" s="274">
        <v>367</v>
      </c>
      <c r="S488" s="253">
        <f xml:space="preserve"> 12</f>
        <v>12</v>
      </c>
      <c r="T488" s="254">
        <f>SUM( tabConsumo[[#This Row],[QTD.PENDENTE]]:tabConsumo[[#This Row],[07_23]] ) / tabConsumo[[#This Row],[Div]]</f>
        <v>40.583333333333336</v>
      </c>
      <c r="U488" s="255">
        <f xml:space="preserve"> tabConsumo[[#This Row],[Média.A]] + (_xlfn.STDEV.S( tabConsumo[[#This Row],[QTD.PENDENTE]]:tabConsumo[[#This Row],[07_23]] ) * 1)</f>
        <v>69.112895149735238</v>
      </c>
      <c r="V488" s="255">
        <f xml:space="preserve"> tabConsumo[[#This Row],[Média.A]] + (_xlfn.STDEV.S( tabConsumo[[#This Row],[QTD.PENDENTE]]:tabConsumo[[#This Row],[07_23]] ) * 2)</f>
        <v>97.642456966137132</v>
      </c>
      <c r="W488" s="255">
        <f xml:space="preserve"> tabConsumo[[#This Row],[Média.A]] + (_xlfn.STDEV.S( tabConsumo[[#This Row],[QTD.PENDENTE]]:tabConsumo[[#This Row],[07_23]] ) * 3)</f>
        <v>126.17201878253906</v>
      </c>
      <c r="X488" s="5">
        <f t="shared" si="16"/>
        <v>2</v>
      </c>
      <c r="Y488">
        <v>40.583333333333336</v>
      </c>
      <c r="Z488" s="257">
        <f>SUM( tabConsumo[[#This Row],[QTD.PENDENTE]]:tabConsumo[[#This Row],[07_23]] )</f>
        <v>487</v>
      </c>
      <c r="AA488" s="257">
        <f>LARGE(tabConsumo[[#This Row],[08_22]:[07_23]],1)</f>
        <v>80</v>
      </c>
      <c r="AB488" s="175" t="s">
        <v>2212</v>
      </c>
      <c r="AC488" s="3" t="s">
        <v>2064</v>
      </c>
    </row>
    <row r="489" spans="1:29" x14ac:dyDescent="0.3">
      <c r="A489" s="4" t="s">
        <v>1753</v>
      </c>
      <c r="B489" s="3" t="s">
        <v>281</v>
      </c>
      <c r="C489" s="2">
        <v>123710</v>
      </c>
      <c r="D489" s="2">
        <v>0</v>
      </c>
      <c r="E489" s="2">
        <v>5</v>
      </c>
      <c r="F489" s="2">
        <v>3</v>
      </c>
      <c r="G489" s="2">
        <v>12</v>
      </c>
      <c r="H489" s="2">
        <v>7</v>
      </c>
      <c r="I489" s="2">
        <v>7</v>
      </c>
      <c r="J489" s="2">
        <v>5</v>
      </c>
      <c r="K489" s="2">
        <v>5</v>
      </c>
      <c r="L489" s="2">
        <v>11</v>
      </c>
      <c r="M489" s="2">
        <v>34</v>
      </c>
      <c r="N489" s="2">
        <v>18</v>
      </c>
      <c r="O489" s="2">
        <v>22</v>
      </c>
      <c r="P489" s="2">
        <v>19</v>
      </c>
      <c r="Q489" s="2">
        <v>16</v>
      </c>
      <c r="R489" s="274">
        <v>41143</v>
      </c>
      <c r="S489" s="253">
        <v>12</v>
      </c>
      <c r="T489" s="254">
        <f>SUM( tabConsumo[[#This Row],[QTD.PENDENTE]]:tabConsumo[[#This Row],[07_23]] ) / tabConsumo[[#This Row],[Div]]</f>
        <v>13.666666666666666</v>
      </c>
      <c r="U489" s="255">
        <f xml:space="preserve"> tabConsumo[[#This Row],[Média.A]] + (_xlfn.STDEV.S( tabConsumo[[#This Row],[QTD.PENDENTE]]:tabConsumo[[#This Row],[07_23]] ) * 1)</f>
        <v>22.60663741175733</v>
      </c>
      <c r="V489" s="255">
        <f xml:space="preserve"> tabConsumo[[#This Row],[Média.A]] + (_xlfn.STDEV.S( tabConsumo[[#This Row],[QTD.PENDENTE]]:tabConsumo[[#This Row],[07_23]] ) * 2)</f>
        <v>31.546608156847995</v>
      </c>
      <c r="W489" s="255">
        <f xml:space="preserve"> tabConsumo[[#This Row],[Média.A]] + (_xlfn.STDEV.S( tabConsumo[[#This Row],[QTD.PENDENTE]]:tabConsumo[[#This Row],[07_23]] ) * 3)</f>
        <v>40.486578901938657</v>
      </c>
      <c r="X489" s="5">
        <f t="shared" si="16"/>
        <v>2</v>
      </c>
      <c r="Y489">
        <v>13.416666666666666</v>
      </c>
      <c r="Z489" s="257">
        <f>SUM( tabConsumo[[#This Row],[QTD.PENDENTE]]:tabConsumo[[#This Row],[07_23]] )</f>
        <v>164</v>
      </c>
      <c r="AA489" s="257">
        <f>LARGE(tabConsumo[[#This Row],[08_22]:[07_23]],1)</f>
        <v>34</v>
      </c>
      <c r="AB489" s="175" t="s">
        <v>2211</v>
      </c>
      <c r="AC489" s="3" t="s">
        <v>2064</v>
      </c>
    </row>
    <row r="490" spans="1:29" x14ac:dyDescent="0.3">
      <c r="A490" s="4" t="s">
        <v>1775</v>
      </c>
      <c r="B490" s="3" t="s">
        <v>281</v>
      </c>
      <c r="C490" s="2">
        <v>127384</v>
      </c>
      <c r="D490" s="2">
        <v>218</v>
      </c>
      <c r="F490" s="2">
        <v>5</v>
      </c>
      <c r="G490" s="2">
        <v>4</v>
      </c>
      <c r="H490" s="2">
        <v>12</v>
      </c>
      <c r="I490" s="2">
        <v>18</v>
      </c>
      <c r="J490" s="2">
        <v>27</v>
      </c>
      <c r="K490" s="2">
        <v>18</v>
      </c>
      <c r="L490" s="2">
        <v>32</v>
      </c>
      <c r="M490" s="2">
        <v>53</v>
      </c>
      <c r="N490" s="2">
        <v>63</v>
      </c>
      <c r="O490" s="2">
        <v>60</v>
      </c>
      <c r="P490" s="2">
        <v>15</v>
      </c>
      <c r="Q490" s="2">
        <v>0</v>
      </c>
      <c r="R490" s="274">
        <v>41688</v>
      </c>
      <c r="S490" s="253">
        <v>12</v>
      </c>
      <c r="T490" s="254">
        <f>SUM( tabConsumo[[#This Row],[QTD.PENDENTE]]:tabConsumo[[#This Row],[07_23]] ) / tabConsumo[[#This Row],[Div]]</f>
        <v>25.583333333333332</v>
      </c>
      <c r="U490" s="255">
        <f xml:space="preserve"> tabConsumo[[#This Row],[Média.A]] + (_xlfn.STDEV.S( tabConsumo[[#This Row],[QTD.PENDENTE]]:tabConsumo[[#This Row],[07_23]] ) * 1)</f>
        <v>47.605876879491305</v>
      </c>
      <c r="V490" s="255">
        <f xml:space="preserve"> tabConsumo[[#This Row],[Média.A]] + (_xlfn.STDEV.S( tabConsumo[[#This Row],[QTD.PENDENTE]]:tabConsumo[[#This Row],[07_23]] ) * 2)</f>
        <v>69.628420425649281</v>
      </c>
      <c r="W490" s="255">
        <f xml:space="preserve"> tabConsumo[[#This Row],[Média.A]] + (_xlfn.STDEV.S( tabConsumo[[#This Row],[QTD.PENDENTE]]:tabConsumo[[#This Row],[07_23]] ) * 3)</f>
        <v>91.650963971807244</v>
      </c>
      <c r="X490" s="5">
        <f t="shared" si="16"/>
        <v>2</v>
      </c>
      <c r="Y490">
        <v>25.583333333333332</v>
      </c>
      <c r="Z490" s="257">
        <f>SUM( tabConsumo[[#This Row],[QTD.PENDENTE]]:tabConsumo[[#This Row],[07_23]] )</f>
        <v>307</v>
      </c>
      <c r="AA490" s="257">
        <f>LARGE(tabConsumo[[#This Row],[08_22]:[07_23]],1)</f>
        <v>63</v>
      </c>
      <c r="AB490" s="175" t="s">
        <v>2212</v>
      </c>
      <c r="AC490" s="3" t="s">
        <v>2064</v>
      </c>
    </row>
    <row r="491" spans="1:29" x14ac:dyDescent="0.3">
      <c r="A491" s="4" t="s">
        <v>1832</v>
      </c>
      <c r="B491" s="3" t="s">
        <v>31</v>
      </c>
      <c r="C491" s="2">
        <v>132655</v>
      </c>
      <c r="D491" s="2">
        <v>8241</v>
      </c>
      <c r="E491" s="2">
        <v>947</v>
      </c>
      <c r="F491" s="2">
        <v>2007</v>
      </c>
      <c r="G491" s="2">
        <v>2212</v>
      </c>
      <c r="H491" s="2">
        <v>0</v>
      </c>
      <c r="I491" s="2">
        <v>126</v>
      </c>
      <c r="J491" s="2">
        <v>0</v>
      </c>
      <c r="K491" s="2">
        <v>1175</v>
      </c>
      <c r="L491" s="2">
        <v>2282</v>
      </c>
      <c r="M491" s="2">
        <v>16416</v>
      </c>
      <c r="N491" s="2">
        <v>2413</v>
      </c>
      <c r="O491" s="2">
        <v>2752</v>
      </c>
      <c r="P491" s="2">
        <v>2664</v>
      </c>
      <c r="Q491" s="2">
        <v>2247</v>
      </c>
      <c r="R491" s="274">
        <v>42860</v>
      </c>
      <c r="S491" s="253">
        <v>12</v>
      </c>
      <c r="T491" s="254">
        <f>SUM( tabConsumo[[#This Row],[QTD.PENDENTE]]:tabConsumo[[#This Row],[07_23]] ) / tabConsumo[[#This Row],[Div]]</f>
        <v>2936.75</v>
      </c>
      <c r="U491" s="255">
        <f xml:space="preserve"> tabConsumo[[#This Row],[Média.A]] + (_xlfn.STDEV.S( tabConsumo[[#This Row],[QTD.PENDENTE]]:tabConsumo[[#This Row],[07_23]] ) * 1)</f>
        <v>7178.5649780126323</v>
      </c>
      <c r="V491" s="255">
        <f xml:space="preserve"> tabConsumo[[#This Row],[Média.A]] + (_xlfn.STDEV.S( tabConsumo[[#This Row],[QTD.PENDENTE]]:tabConsumo[[#This Row],[07_23]] ) * 2)</f>
        <v>11420.379956025265</v>
      </c>
      <c r="W491" s="255">
        <f xml:space="preserve"> tabConsumo[[#This Row],[Média.A]] + (_xlfn.STDEV.S( tabConsumo[[#This Row],[QTD.PENDENTE]]:tabConsumo[[#This Row],[07_23]] ) * 3)</f>
        <v>15662.194934037896</v>
      </c>
      <c r="X491" s="5">
        <f t="shared" si="16"/>
        <v>2</v>
      </c>
      <c r="Y491">
        <v>2520.4166666666665</v>
      </c>
      <c r="Z491" s="257">
        <f>SUM( tabConsumo[[#This Row],[QTD.PENDENTE]]:tabConsumo[[#This Row],[07_23]] )</f>
        <v>35241</v>
      </c>
      <c r="AA491" s="257">
        <f>LARGE(tabConsumo[[#This Row],[08_22]:[07_23]],1)</f>
        <v>16416</v>
      </c>
      <c r="AB491" s="175" t="s">
        <v>2211</v>
      </c>
      <c r="AC491" s="3" t="s">
        <v>2064</v>
      </c>
    </row>
    <row r="492" spans="1:29" x14ac:dyDescent="0.3">
      <c r="A492" s="4" t="s">
        <v>1833</v>
      </c>
      <c r="B492" s="3" t="s">
        <v>31</v>
      </c>
      <c r="C492" s="2">
        <v>132656</v>
      </c>
      <c r="D492" s="2">
        <v>3287</v>
      </c>
      <c r="E492" s="2">
        <v>1108</v>
      </c>
      <c r="F492" s="2">
        <v>1989</v>
      </c>
      <c r="G492" s="2">
        <v>2285</v>
      </c>
      <c r="H492" s="2">
        <v>170</v>
      </c>
      <c r="I492" s="2">
        <v>133</v>
      </c>
      <c r="J492" s="2">
        <v>0</v>
      </c>
      <c r="K492" s="2">
        <v>1241</v>
      </c>
      <c r="L492" s="2">
        <v>2271</v>
      </c>
      <c r="M492" s="2">
        <v>16392</v>
      </c>
      <c r="N492" s="2">
        <v>2423</v>
      </c>
      <c r="O492" s="2">
        <v>2719</v>
      </c>
      <c r="P492" s="2">
        <v>2693</v>
      </c>
      <c r="Q492" s="2">
        <v>2164</v>
      </c>
      <c r="R492" s="274">
        <v>42860</v>
      </c>
      <c r="S492" s="253">
        <v>12</v>
      </c>
      <c r="T492" s="254">
        <f>SUM( tabConsumo[[#This Row],[QTD.PENDENTE]]:tabConsumo[[#This Row],[07_23]] ) / tabConsumo[[#This Row],[Div]]</f>
        <v>2965.6666666666665</v>
      </c>
      <c r="U492" s="255">
        <f xml:space="preserve"> tabConsumo[[#This Row],[Média.A]] + (_xlfn.STDEV.S( tabConsumo[[#This Row],[QTD.PENDENTE]]:tabConsumo[[#This Row],[07_23]] ) * 1)</f>
        <v>7184.891528640419</v>
      </c>
      <c r="V492" s="255">
        <f xml:space="preserve"> tabConsumo[[#This Row],[Média.A]] + (_xlfn.STDEV.S( tabConsumo[[#This Row],[QTD.PENDENTE]]:tabConsumo[[#This Row],[07_23]] ) * 2)</f>
        <v>11404.116390614172</v>
      </c>
      <c r="W492" s="255">
        <f xml:space="preserve"> tabConsumo[[#This Row],[Média.A]] + (_xlfn.STDEV.S( tabConsumo[[#This Row],[QTD.PENDENTE]]:tabConsumo[[#This Row],[07_23]] ) * 3)</f>
        <v>15623.341252587925</v>
      </c>
      <c r="X492" s="5">
        <f t="shared" si="16"/>
        <v>2</v>
      </c>
      <c r="Y492">
        <v>2550</v>
      </c>
      <c r="Z492" s="257">
        <f>SUM( tabConsumo[[#This Row],[QTD.PENDENTE]]:tabConsumo[[#This Row],[07_23]] )</f>
        <v>35588</v>
      </c>
      <c r="AA492" s="257">
        <f>LARGE(tabConsumo[[#This Row],[08_22]:[07_23]],1)</f>
        <v>16392</v>
      </c>
      <c r="AB492" s="175" t="s">
        <v>2211</v>
      </c>
      <c r="AC492" s="3" t="s">
        <v>2064</v>
      </c>
    </row>
    <row r="493" spans="1:29" x14ac:dyDescent="0.3">
      <c r="A493" s="4" t="s">
        <v>904</v>
      </c>
      <c r="B493" s="3" t="s">
        <v>400</v>
      </c>
      <c r="C493" s="2">
        <v>10412</v>
      </c>
      <c r="D493" s="2">
        <v>52.5</v>
      </c>
      <c r="E493" s="2">
        <v>132</v>
      </c>
      <c r="F493" s="2">
        <v>92</v>
      </c>
      <c r="G493" s="2">
        <v>116</v>
      </c>
      <c r="H493" s="2">
        <v>50</v>
      </c>
      <c r="I493" s="2">
        <v>109</v>
      </c>
      <c r="J493" s="2">
        <v>98</v>
      </c>
      <c r="K493" s="2">
        <v>71</v>
      </c>
      <c r="L493" s="2">
        <v>70</v>
      </c>
      <c r="M493" s="2">
        <v>108</v>
      </c>
      <c r="N493" s="2">
        <v>121</v>
      </c>
      <c r="O493" s="2">
        <v>70</v>
      </c>
      <c r="P493" s="2">
        <v>120</v>
      </c>
      <c r="Q493" s="2">
        <v>117.5</v>
      </c>
      <c r="R493" s="274">
        <v>367</v>
      </c>
      <c r="S493" s="253">
        <f xml:space="preserve"> 12</f>
        <v>12</v>
      </c>
      <c r="T493" s="254">
        <f>SUM( tabConsumo[[#This Row],[QTD.PENDENTE]]:tabConsumo[[#This Row],[07_23]] ) / tabConsumo[[#This Row],[Div]]</f>
        <v>106.20833333333333</v>
      </c>
      <c r="U493" s="255">
        <f xml:space="preserve"> tabConsumo[[#This Row],[Média.A]] + (_xlfn.STDEV.S( tabConsumo[[#This Row],[QTD.PENDENTE]]:tabConsumo[[#This Row],[07_23]] ) * 1)</f>
        <v>131.59079244921156</v>
      </c>
      <c r="V493" s="255">
        <f xml:space="preserve"> tabConsumo[[#This Row],[Média.A]] + (_xlfn.STDEV.S( tabConsumo[[#This Row],[QTD.PENDENTE]]:tabConsumo[[#This Row],[07_23]] ) * 2)</f>
        <v>156.97325156508981</v>
      </c>
      <c r="W493" s="255">
        <f xml:space="preserve"> tabConsumo[[#This Row],[Média.A]] + (_xlfn.STDEV.S( tabConsumo[[#This Row],[QTD.PENDENTE]]:tabConsumo[[#This Row],[07_23]] ) * 3)</f>
        <v>182.35571068096806</v>
      </c>
      <c r="X493" s="5">
        <f t="shared" si="16"/>
        <v>2</v>
      </c>
      <c r="Y493">
        <v>106.20833333333333</v>
      </c>
      <c r="Z493" s="257">
        <f>SUM( tabConsumo[[#This Row],[QTD.PENDENTE]]:tabConsumo[[#This Row],[07_23]] )</f>
        <v>1274.5</v>
      </c>
      <c r="AA493" s="257">
        <f>LARGE(tabConsumo[[#This Row],[08_22]:[07_23]],1)</f>
        <v>121</v>
      </c>
      <c r="AB493" s="175" t="s">
        <v>2211</v>
      </c>
      <c r="AC493" s="3" t="s">
        <v>2064</v>
      </c>
    </row>
    <row r="494" spans="1:29" x14ac:dyDescent="0.3">
      <c r="A494" s="4" t="s">
        <v>1175</v>
      </c>
      <c r="B494" s="3" t="s">
        <v>273</v>
      </c>
      <c r="C494" s="2">
        <v>23016</v>
      </c>
      <c r="D494" s="2">
        <v>22</v>
      </c>
      <c r="F494" s="2">
        <v>3</v>
      </c>
      <c r="G494" s="2">
        <v>2</v>
      </c>
      <c r="H494" s="2">
        <v>15</v>
      </c>
      <c r="I494" s="2">
        <v>3</v>
      </c>
      <c r="J494" s="2">
        <v>0</v>
      </c>
      <c r="K494" s="2">
        <v>2</v>
      </c>
      <c r="L494" s="2">
        <v>0</v>
      </c>
      <c r="M494" s="2">
        <v>3</v>
      </c>
      <c r="N494" s="2">
        <v>2</v>
      </c>
      <c r="O494" s="2">
        <v>0</v>
      </c>
      <c r="P494" s="2">
        <v>0</v>
      </c>
      <c r="Q494" s="2">
        <v>0</v>
      </c>
      <c r="R494" s="274">
        <v>367</v>
      </c>
      <c r="S494" s="253">
        <f xml:space="preserve"> 12</f>
        <v>12</v>
      </c>
      <c r="T494" s="254">
        <f>SUM( tabConsumo[[#This Row],[QTD.PENDENTE]]:tabConsumo[[#This Row],[07_23]] ) / tabConsumo[[#This Row],[Div]]</f>
        <v>2.5</v>
      </c>
      <c r="U494" s="255">
        <f xml:space="preserve"> tabConsumo[[#This Row],[Média.A]] + (_xlfn.STDEV.S( tabConsumo[[#This Row],[QTD.PENDENTE]]:tabConsumo[[#This Row],[07_23]] ) * 1)</f>
        <v>6.6450956782465447</v>
      </c>
      <c r="V494" s="255">
        <f xml:space="preserve"> tabConsumo[[#This Row],[Média.A]] + (_xlfn.STDEV.S( tabConsumo[[#This Row],[QTD.PENDENTE]]:tabConsumo[[#This Row],[07_23]] ) * 2)</f>
        <v>10.790191356493089</v>
      </c>
      <c r="W494" s="255">
        <f xml:space="preserve"> tabConsumo[[#This Row],[Média.A]] + (_xlfn.STDEV.S( tabConsumo[[#This Row],[QTD.PENDENTE]]:tabConsumo[[#This Row],[07_23]] ) * 3)</f>
        <v>14.935287034739634</v>
      </c>
      <c r="X494" s="5">
        <f t="shared" si="16"/>
        <v>2</v>
      </c>
      <c r="Y494">
        <v>2.0833333333333335</v>
      </c>
      <c r="Z494" s="257">
        <f>SUM( tabConsumo[[#This Row],[QTD.PENDENTE]]:tabConsumo[[#This Row],[07_23]] )</f>
        <v>30</v>
      </c>
      <c r="AA494" s="257">
        <f>LARGE(tabConsumo[[#This Row],[08_22]:[07_23]],1)</f>
        <v>15</v>
      </c>
      <c r="AB494" s="175" t="s">
        <v>2213</v>
      </c>
      <c r="AC494" s="3" t="s">
        <v>2064</v>
      </c>
    </row>
    <row r="495" spans="1:29" x14ac:dyDescent="0.3">
      <c r="A495" s="4" t="s">
        <v>1048</v>
      </c>
      <c r="B495" s="3" t="s">
        <v>273</v>
      </c>
      <c r="C495" s="2">
        <v>14001</v>
      </c>
      <c r="D495" s="2">
        <v>0</v>
      </c>
      <c r="F495" s="2">
        <v>128</v>
      </c>
      <c r="G495" s="2">
        <v>80</v>
      </c>
      <c r="H495" s="2">
        <v>27</v>
      </c>
      <c r="I495" s="2">
        <v>30</v>
      </c>
      <c r="J495" s="2">
        <v>30</v>
      </c>
      <c r="K495" s="2">
        <v>34</v>
      </c>
      <c r="L495" s="2">
        <v>10</v>
      </c>
      <c r="M495" s="2">
        <v>34</v>
      </c>
      <c r="N495" s="2">
        <v>10</v>
      </c>
      <c r="O495" s="2">
        <v>40</v>
      </c>
      <c r="P495" s="2">
        <v>0</v>
      </c>
      <c r="Q495" s="2">
        <v>0</v>
      </c>
      <c r="R495" s="274">
        <v>367</v>
      </c>
      <c r="S495" s="253">
        <f xml:space="preserve"> 12</f>
        <v>12</v>
      </c>
      <c r="T495" s="254">
        <f>SUM( tabConsumo[[#This Row],[QTD.PENDENTE]]:tabConsumo[[#This Row],[07_23]] ) / tabConsumo[[#This Row],[Div]]</f>
        <v>35.25</v>
      </c>
      <c r="U495" s="255">
        <f xml:space="preserve"> tabConsumo[[#This Row],[Média.A]] + (_xlfn.STDEV.S( tabConsumo[[#This Row],[QTD.PENDENTE]]:tabConsumo[[#This Row],[07_23]] ) * 1)</f>
        <v>71.574609739504055</v>
      </c>
      <c r="V495" s="255">
        <f xml:space="preserve"> tabConsumo[[#This Row],[Média.A]] + (_xlfn.STDEV.S( tabConsumo[[#This Row],[QTD.PENDENTE]]:tabConsumo[[#This Row],[07_23]] ) * 2)</f>
        <v>107.89921947900811</v>
      </c>
      <c r="W495" s="255">
        <f xml:space="preserve"> tabConsumo[[#This Row],[Média.A]] + (_xlfn.STDEV.S( tabConsumo[[#This Row],[QTD.PENDENTE]]:tabConsumo[[#This Row],[07_23]] ) * 3)</f>
        <v>144.22382921851215</v>
      </c>
      <c r="X495" s="5">
        <f t="shared" si="16"/>
        <v>2</v>
      </c>
      <c r="Y495">
        <v>33.5</v>
      </c>
      <c r="Z495" s="257">
        <f>SUM( tabConsumo[[#This Row],[QTD.PENDENTE]]:tabConsumo[[#This Row],[07_23]] )</f>
        <v>423</v>
      </c>
      <c r="AA495" s="257">
        <f>LARGE(tabConsumo[[#This Row],[08_22]:[07_23]],1)</f>
        <v>128</v>
      </c>
      <c r="AB495" s="175" t="s">
        <v>2214</v>
      </c>
      <c r="AC495" s="3" t="s">
        <v>2064</v>
      </c>
    </row>
    <row r="496" spans="1:29" x14ac:dyDescent="0.3">
      <c r="A496" s="4" t="s">
        <v>1357</v>
      </c>
      <c r="B496" s="3" t="s">
        <v>413</v>
      </c>
      <c r="C496" s="2">
        <v>63382</v>
      </c>
      <c r="D496" s="2">
        <v>214</v>
      </c>
      <c r="F496" s="2">
        <v>2</v>
      </c>
      <c r="G496" s="2">
        <v>13</v>
      </c>
      <c r="H496" s="2">
        <v>1</v>
      </c>
      <c r="I496" s="2">
        <v>1</v>
      </c>
      <c r="J496" s="2">
        <v>0</v>
      </c>
      <c r="K496" s="2">
        <v>0</v>
      </c>
      <c r="L496" s="2">
        <v>2</v>
      </c>
      <c r="M496" s="2">
        <v>1</v>
      </c>
      <c r="N496" s="2">
        <v>32</v>
      </c>
      <c r="O496" s="2">
        <v>0</v>
      </c>
      <c r="P496" s="2">
        <v>0</v>
      </c>
      <c r="Q496" s="2">
        <v>0</v>
      </c>
      <c r="R496" s="274">
        <v>367</v>
      </c>
      <c r="S496" s="253">
        <f xml:space="preserve"> 12</f>
        <v>12</v>
      </c>
      <c r="T496" s="254">
        <f>SUM( tabConsumo[[#This Row],[QTD.PENDENTE]]:tabConsumo[[#This Row],[07_23]] ) / tabConsumo[[#This Row],[Div]]</f>
        <v>4.333333333333333</v>
      </c>
      <c r="U496" s="255">
        <f xml:space="preserve"> tabConsumo[[#This Row],[Média.A]] + (_xlfn.STDEV.S( tabConsumo[[#This Row],[QTD.PENDENTE]]:tabConsumo[[#This Row],[07_23]] ) * 1)</f>
        <v>13.765708271263705</v>
      </c>
      <c r="V496" s="255">
        <f xml:space="preserve"> tabConsumo[[#This Row],[Média.A]] + (_xlfn.STDEV.S( tabConsumo[[#This Row],[QTD.PENDENTE]]:tabConsumo[[#This Row],[07_23]] ) * 2)</f>
        <v>23.198083209194074</v>
      </c>
      <c r="W496" s="255">
        <f xml:space="preserve"> tabConsumo[[#This Row],[Média.A]] + (_xlfn.STDEV.S( tabConsumo[[#This Row],[QTD.PENDENTE]]:tabConsumo[[#This Row],[07_23]] ) * 3)</f>
        <v>32.63045814712445</v>
      </c>
      <c r="X496" s="5">
        <f t="shared" si="16"/>
        <v>2</v>
      </c>
      <c r="Y496">
        <v>3.5833333333333335</v>
      </c>
      <c r="Z496" s="257">
        <f>SUM( tabConsumo[[#This Row],[QTD.PENDENTE]]:tabConsumo[[#This Row],[07_23]] )</f>
        <v>52</v>
      </c>
      <c r="AA496" s="257">
        <f>LARGE(tabConsumo[[#This Row],[08_22]:[07_23]],1)</f>
        <v>32</v>
      </c>
      <c r="AB496" s="175" t="s">
        <v>2213</v>
      </c>
      <c r="AC496" s="3" t="s">
        <v>2064</v>
      </c>
    </row>
    <row r="497" spans="1:29" x14ac:dyDescent="0.3">
      <c r="A497" s="4" t="s">
        <v>1797</v>
      </c>
      <c r="B497" s="3" t="s">
        <v>31</v>
      </c>
      <c r="C497" s="2">
        <v>130632</v>
      </c>
      <c r="D497" s="2">
        <v>0</v>
      </c>
      <c r="E497" s="2">
        <v>1</v>
      </c>
      <c r="F497" s="2">
        <v>6</v>
      </c>
      <c r="G497" s="2">
        <v>1</v>
      </c>
      <c r="H497" s="2">
        <v>2</v>
      </c>
      <c r="I497" s="2">
        <v>2</v>
      </c>
      <c r="J497" s="2">
        <v>0</v>
      </c>
      <c r="K497" s="2">
        <v>0</v>
      </c>
      <c r="L497" s="2">
        <v>1</v>
      </c>
      <c r="M497" s="2">
        <v>3</v>
      </c>
      <c r="N497" s="2">
        <v>0</v>
      </c>
      <c r="O497" s="2">
        <v>0</v>
      </c>
      <c r="P497" s="2">
        <v>15</v>
      </c>
      <c r="Q497" s="2">
        <v>0</v>
      </c>
      <c r="R497" s="274">
        <v>42207</v>
      </c>
      <c r="S497" s="253">
        <v>12</v>
      </c>
      <c r="T497" s="254">
        <f>SUM( tabConsumo[[#This Row],[QTD.PENDENTE]]:tabConsumo[[#This Row],[07_23]] ) / tabConsumo[[#This Row],[Div]]</f>
        <v>2.5833333333333335</v>
      </c>
      <c r="U497" s="255">
        <f xml:space="preserve"> tabConsumo[[#This Row],[Média.A]] + (_xlfn.STDEV.S( tabConsumo[[#This Row],[QTD.PENDENTE]]:tabConsumo[[#This Row],[07_23]] ) * 1)</f>
        <v>6.7374168972990685</v>
      </c>
      <c r="V497" s="255">
        <f xml:space="preserve"> tabConsumo[[#This Row],[Média.A]] + (_xlfn.STDEV.S( tabConsumo[[#This Row],[QTD.PENDENTE]]:tabConsumo[[#This Row],[07_23]] ) * 2)</f>
        <v>10.891500461264803</v>
      </c>
      <c r="W497" s="255">
        <f xml:space="preserve"> tabConsumo[[#This Row],[Média.A]] + (_xlfn.STDEV.S( tabConsumo[[#This Row],[QTD.PENDENTE]]:tabConsumo[[#This Row],[07_23]] ) * 3)</f>
        <v>15.045584025230538</v>
      </c>
      <c r="X497" s="5">
        <f t="shared" si="16"/>
        <v>2</v>
      </c>
      <c r="Y497">
        <v>2.1666666666666665</v>
      </c>
      <c r="Z497" s="257">
        <f>SUM( tabConsumo[[#This Row],[QTD.PENDENTE]]:tabConsumo[[#This Row],[07_23]] )</f>
        <v>31</v>
      </c>
      <c r="AA497" s="257">
        <f>LARGE(tabConsumo[[#This Row],[08_22]:[07_23]],1)</f>
        <v>15</v>
      </c>
      <c r="AB497" s="175" t="s">
        <v>2212</v>
      </c>
      <c r="AC497" s="3" t="s">
        <v>2064</v>
      </c>
    </row>
    <row r="498" spans="1:29" x14ac:dyDescent="0.3">
      <c r="A498" s="4" t="s">
        <v>1466</v>
      </c>
      <c r="B498" s="3" t="s">
        <v>273</v>
      </c>
      <c r="C498" s="2">
        <v>81493</v>
      </c>
      <c r="D498" s="2">
        <v>2</v>
      </c>
      <c r="E498" s="2">
        <v>15</v>
      </c>
      <c r="F498" s="2">
        <v>5</v>
      </c>
      <c r="G498" s="2">
        <v>11</v>
      </c>
      <c r="H498" s="2">
        <v>7</v>
      </c>
      <c r="I498" s="2">
        <v>14</v>
      </c>
      <c r="J498" s="2">
        <v>15</v>
      </c>
      <c r="K498" s="2">
        <v>4</v>
      </c>
      <c r="L498" s="2">
        <v>13</v>
      </c>
      <c r="M498" s="2">
        <v>17</v>
      </c>
      <c r="N498" s="2">
        <v>14</v>
      </c>
      <c r="O498" s="2">
        <v>6</v>
      </c>
      <c r="P498" s="2">
        <v>23</v>
      </c>
      <c r="Q498" s="2">
        <v>0</v>
      </c>
      <c r="R498" s="274">
        <v>38225</v>
      </c>
      <c r="S498" s="253">
        <v>12</v>
      </c>
      <c r="T498" s="254">
        <f>SUM( tabConsumo[[#This Row],[QTD.PENDENTE]]:tabConsumo[[#This Row],[07_23]] ) / tabConsumo[[#This Row],[Div]]</f>
        <v>12</v>
      </c>
      <c r="U498" s="255">
        <f xml:space="preserve"> tabConsumo[[#This Row],[Média.A]] + (_xlfn.STDEV.S( tabConsumo[[#This Row],[QTD.PENDENTE]]:tabConsumo[[#This Row],[07_23]] ) * 1)</f>
        <v>18.330633702633811</v>
      </c>
      <c r="V498" s="255">
        <f xml:space="preserve"> tabConsumo[[#This Row],[Média.A]] + (_xlfn.STDEV.S( tabConsumo[[#This Row],[QTD.PENDENTE]]:tabConsumo[[#This Row],[07_23]] ) * 2)</f>
        <v>24.661267405267623</v>
      </c>
      <c r="W498" s="255">
        <f xml:space="preserve"> tabConsumo[[#This Row],[Média.A]] + (_xlfn.STDEV.S( tabConsumo[[#This Row],[QTD.PENDENTE]]:tabConsumo[[#This Row],[07_23]] ) * 3)</f>
        <v>30.99190110790143</v>
      </c>
      <c r="X498" s="5">
        <f t="shared" si="16"/>
        <v>2</v>
      </c>
      <c r="Y498">
        <v>12</v>
      </c>
      <c r="Z498" s="257">
        <f>SUM( tabConsumo[[#This Row],[QTD.PENDENTE]]:tabConsumo[[#This Row],[07_23]] )</f>
        <v>144</v>
      </c>
      <c r="AA498" s="257">
        <f>LARGE(tabConsumo[[#This Row],[08_22]:[07_23]],1)</f>
        <v>23</v>
      </c>
      <c r="AB498" s="175" t="s">
        <v>2212</v>
      </c>
      <c r="AC498" s="3" t="s">
        <v>2064</v>
      </c>
    </row>
    <row r="499" spans="1:29" x14ac:dyDescent="0.3">
      <c r="A499" s="4" t="s">
        <v>1907</v>
      </c>
      <c r="B499" s="3" t="s">
        <v>31</v>
      </c>
      <c r="C499" s="2">
        <v>135701</v>
      </c>
      <c r="D499" s="2">
        <v>2049</v>
      </c>
      <c r="E499" s="2">
        <v>3</v>
      </c>
      <c r="F499" s="2">
        <v>19</v>
      </c>
      <c r="G499" s="2">
        <v>20</v>
      </c>
      <c r="H499" s="2">
        <v>15</v>
      </c>
      <c r="I499" s="2">
        <v>12</v>
      </c>
      <c r="J499" s="2">
        <v>7</v>
      </c>
      <c r="K499" s="2">
        <v>17</v>
      </c>
      <c r="L499" s="2">
        <v>16</v>
      </c>
      <c r="M499" s="2">
        <v>32</v>
      </c>
      <c r="N499" s="2">
        <v>16</v>
      </c>
      <c r="O499" s="2">
        <v>20</v>
      </c>
      <c r="P499" s="2">
        <v>20</v>
      </c>
      <c r="Q499" s="2">
        <v>15</v>
      </c>
      <c r="R499" s="274">
        <v>43333</v>
      </c>
      <c r="S499" s="253">
        <v>12</v>
      </c>
      <c r="T499" s="254">
        <f>SUM( tabConsumo[[#This Row],[QTD.PENDENTE]]:tabConsumo[[#This Row],[07_23]] ) / tabConsumo[[#This Row],[Div]]</f>
        <v>17.666666666666668</v>
      </c>
      <c r="U499" s="255">
        <f xml:space="preserve"> tabConsumo[[#This Row],[Média.A]] + (_xlfn.STDEV.S( tabConsumo[[#This Row],[QTD.PENDENTE]]:tabConsumo[[#This Row],[07_23]] ) * 1)</f>
        <v>24.623493234681419</v>
      </c>
      <c r="V499" s="255">
        <f xml:space="preserve"> tabConsumo[[#This Row],[Média.A]] + (_xlfn.STDEV.S( tabConsumo[[#This Row],[QTD.PENDENTE]]:tabConsumo[[#This Row],[07_23]] ) * 2)</f>
        <v>31.580319802696174</v>
      </c>
      <c r="W499" s="255">
        <f xml:space="preserve"> tabConsumo[[#This Row],[Média.A]] + (_xlfn.STDEV.S( tabConsumo[[#This Row],[QTD.PENDENTE]]:tabConsumo[[#This Row],[07_23]] ) * 3)</f>
        <v>38.537146370710929</v>
      </c>
      <c r="X499" s="5">
        <f t="shared" si="16"/>
        <v>2</v>
      </c>
      <c r="Y499">
        <v>17.583333333333332</v>
      </c>
      <c r="Z499" s="257">
        <f>SUM( tabConsumo[[#This Row],[QTD.PENDENTE]]:tabConsumo[[#This Row],[07_23]] )</f>
        <v>212</v>
      </c>
      <c r="AA499" s="257">
        <f>LARGE(tabConsumo[[#This Row],[08_22]:[07_23]],1)</f>
        <v>32</v>
      </c>
      <c r="AB499" s="175" t="s">
        <v>2211</v>
      </c>
      <c r="AC499" s="3" t="s">
        <v>2064</v>
      </c>
    </row>
    <row r="500" spans="1:29" x14ac:dyDescent="0.3">
      <c r="A500" s="4" t="s">
        <v>1905</v>
      </c>
      <c r="B500" s="3" t="s">
        <v>256</v>
      </c>
      <c r="C500" s="2">
        <v>135304</v>
      </c>
      <c r="D500" s="2">
        <v>772</v>
      </c>
      <c r="F500" s="2">
        <v>8</v>
      </c>
      <c r="G500" s="2">
        <v>0</v>
      </c>
      <c r="H500" s="2">
        <v>18</v>
      </c>
      <c r="I500" s="2">
        <v>6</v>
      </c>
      <c r="J500" s="2">
        <v>6</v>
      </c>
      <c r="K500" s="2">
        <v>8</v>
      </c>
      <c r="L500" s="2">
        <v>42</v>
      </c>
      <c r="M500" s="2">
        <v>61</v>
      </c>
      <c r="N500" s="2">
        <v>15</v>
      </c>
      <c r="O500" s="2">
        <v>20</v>
      </c>
      <c r="P500" s="2">
        <v>0</v>
      </c>
      <c r="Q500" s="2">
        <v>0</v>
      </c>
      <c r="R500" s="274">
        <v>43277</v>
      </c>
      <c r="S500" s="253">
        <v>12</v>
      </c>
      <c r="T500" s="254">
        <f>SUM( tabConsumo[[#This Row],[QTD.PENDENTE]]:tabConsumo[[#This Row],[07_23]] ) / tabConsumo[[#This Row],[Div]]</f>
        <v>15.333333333333334</v>
      </c>
      <c r="U500" s="255">
        <f xml:space="preserve"> tabConsumo[[#This Row],[Média.A]] + (_xlfn.STDEV.S( tabConsumo[[#This Row],[QTD.PENDENTE]]:tabConsumo[[#This Row],[07_23]] ) * 1)</f>
        <v>33.950692453414263</v>
      </c>
      <c r="V500" s="255">
        <f xml:space="preserve"> tabConsumo[[#This Row],[Média.A]] + (_xlfn.STDEV.S( tabConsumo[[#This Row],[QTD.PENDENTE]]:tabConsumo[[#This Row],[07_23]] ) * 2)</f>
        <v>52.568051573495197</v>
      </c>
      <c r="W500" s="255">
        <f xml:space="preserve"> tabConsumo[[#This Row],[Média.A]] + (_xlfn.STDEV.S( tabConsumo[[#This Row],[QTD.PENDENTE]]:tabConsumo[[#This Row],[07_23]] ) * 3)</f>
        <v>71.185410693576117</v>
      </c>
      <c r="X500" s="5">
        <f t="shared" si="16"/>
        <v>2</v>
      </c>
      <c r="Y500">
        <v>14.583333333333334</v>
      </c>
      <c r="Z500" s="257">
        <f>SUM( tabConsumo[[#This Row],[QTD.PENDENTE]]:tabConsumo[[#This Row],[07_23]] )</f>
        <v>184</v>
      </c>
      <c r="AA500" s="257">
        <f>LARGE(tabConsumo[[#This Row],[08_22]:[07_23]],1)</f>
        <v>61</v>
      </c>
      <c r="AB500" s="175" t="s">
        <v>2214</v>
      </c>
      <c r="AC500" s="3" t="s">
        <v>2064</v>
      </c>
    </row>
    <row r="501" spans="1:29" x14ac:dyDescent="0.3">
      <c r="A501" s="4" t="s">
        <v>1929</v>
      </c>
      <c r="B501" s="3" t="s">
        <v>31</v>
      </c>
      <c r="C501" s="2">
        <v>136854</v>
      </c>
      <c r="D501" s="2">
        <v>16</v>
      </c>
      <c r="F501" s="2">
        <v>0</v>
      </c>
      <c r="G501" s="2">
        <v>0</v>
      </c>
      <c r="H501" s="2">
        <v>0</v>
      </c>
      <c r="I501" s="2">
        <v>0</v>
      </c>
      <c r="J501" s="2">
        <v>2</v>
      </c>
      <c r="K501" s="2">
        <v>2</v>
      </c>
      <c r="L501" s="2">
        <v>0</v>
      </c>
      <c r="M501" s="2">
        <v>0</v>
      </c>
      <c r="N501" s="2">
        <v>0</v>
      </c>
      <c r="O501" s="2">
        <v>0</v>
      </c>
      <c r="P501" s="2">
        <v>0</v>
      </c>
      <c r="Q501" s="2">
        <v>0</v>
      </c>
      <c r="R501" s="274">
        <v>43578</v>
      </c>
      <c r="S501" s="253">
        <v>12</v>
      </c>
      <c r="T501" s="254">
        <f>SUM( tabConsumo[[#This Row],[QTD.PENDENTE]]:tabConsumo[[#This Row],[07_23]] ) / tabConsumo[[#This Row],[Div]]</f>
        <v>0.33333333333333331</v>
      </c>
      <c r="U501" s="255">
        <f xml:space="preserve"> tabConsumo[[#This Row],[Média.A]] + (_xlfn.STDEV.S( tabConsumo[[#This Row],[QTD.PENDENTE]]:tabConsumo[[#This Row],[07_23]] ) * 1)</f>
        <v>1.1118322774948564</v>
      </c>
      <c r="V501" s="255">
        <f xml:space="preserve"> tabConsumo[[#This Row],[Média.A]] + (_xlfn.STDEV.S( tabConsumo[[#This Row],[QTD.PENDENTE]]:tabConsumo[[#This Row],[07_23]] ) * 2)</f>
        <v>1.8903312216563792</v>
      </c>
      <c r="W501" s="255">
        <f xml:space="preserve"> tabConsumo[[#This Row],[Média.A]] + (_xlfn.STDEV.S( tabConsumo[[#This Row],[QTD.PENDENTE]]:tabConsumo[[#This Row],[07_23]] ) * 3)</f>
        <v>2.6688301658179023</v>
      </c>
      <c r="X501" s="5">
        <f t="shared" si="16"/>
        <v>2</v>
      </c>
      <c r="Y501">
        <v>0.16666666666666666</v>
      </c>
      <c r="Z501" s="257">
        <f>SUM( tabConsumo[[#This Row],[QTD.PENDENTE]]:tabConsumo[[#This Row],[07_23]] )</f>
        <v>4</v>
      </c>
      <c r="AA501" s="257">
        <f>LARGE(tabConsumo[[#This Row],[08_22]:[07_23]],1)</f>
        <v>2</v>
      </c>
      <c r="AB501" s="175" t="s">
        <v>2220</v>
      </c>
      <c r="AC501" s="3" t="s">
        <v>2064</v>
      </c>
    </row>
    <row r="502" spans="1:29" x14ac:dyDescent="0.3">
      <c r="A502" s="4" t="s">
        <v>1354</v>
      </c>
      <c r="B502" s="3" t="s">
        <v>31</v>
      </c>
      <c r="C502" s="2">
        <v>63252</v>
      </c>
      <c r="D502" s="2">
        <v>0</v>
      </c>
      <c r="E502" s="2">
        <v>14</v>
      </c>
      <c r="F502" s="2">
        <v>13</v>
      </c>
      <c r="G502" s="2">
        <v>12</v>
      </c>
      <c r="H502" s="2">
        <v>17</v>
      </c>
      <c r="I502" s="2">
        <v>11</v>
      </c>
      <c r="J502" s="2">
        <v>12</v>
      </c>
      <c r="K502" s="2">
        <v>24</v>
      </c>
      <c r="L502" s="2">
        <v>15</v>
      </c>
      <c r="M502" s="2">
        <v>61</v>
      </c>
      <c r="N502" s="2">
        <v>0</v>
      </c>
      <c r="O502" s="2">
        <v>0</v>
      </c>
      <c r="P502" s="2">
        <v>0</v>
      </c>
      <c r="Q502" s="2">
        <v>0</v>
      </c>
      <c r="R502" s="274">
        <v>367</v>
      </c>
      <c r="S502" s="253">
        <f xml:space="preserve"> 12</f>
        <v>12</v>
      </c>
      <c r="T502" s="254">
        <f>SUM( tabConsumo[[#This Row],[QTD.PENDENTE]]:tabConsumo[[#This Row],[07_23]] ) / tabConsumo[[#This Row],[Div]]</f>
        <v>14.916666666666666</v>
      </c>
      <c r="U502" s="255">
        <f xml:space="preserve"> tabConsumo[[#This Row],[Média.A]] + (_xlfn.STDEV.S( tabConsumo[[#This Row],[QTD.PENDENTE]]:tabConsumo[[#This Row],[07_23]] ) * 1)</f>
        <v>31.041977238114306</v>
      </c>
      <c r="V502" s="255">
        <f xml:space="preserve"> tabConsumo[[#This Row],[Média.A]] + (_xlfn.STDEV.S( tabConsumo[[#This Row],[QTD.PENDENTE]]:tabConsumo[[#This Row],[07_23]] ) * 2)</f>
        <v>47.167287809561948</v>
      </c>
      <c r="W502" s="255">
        <f xml:space="preserve"> tabConsumo[[#This Row],[Média.A]] + (_xlfn.STDEV.S( tabConsumo[[#This Row],[QTD.PENDENTE]]:tabConsumo[[#This Row],[07_23]] ) * 3)</f>
        <v>63.29259838100959</v>
      </c>
      <c r="X502" s="5">
        <f t="shared" si="16"/>
        <v>2</v>
      </c>
      <c r="Y502">
        <v>13.75</v>
      </c>
      <c r="Z502" s="257">
        <f>SUM( tabConsumo[[#This Row],[QTD.PENDENTE]]:tabConsumo[[#This Row],[07_23]] )</f>
        <v>179</v>
      </c>
      <c r="AA502" s="257">
        <f>LARGE(tabConsumo[[#This Row],[08_22]:[07_23]],1)</f>
        <v>61</v>
      </c>
      <c r="AB502" s="175" t="s">
        <v>2217</v>
      </c>
      <c r="AC502" s="3" t="s">
        <v>2064</v>
      </c>
    </row>
    <row r="503" spans="1:29" x14ac:dyDescent="0.3">
      <c r="A503" s="4" t="s">
        <v>869</v>
      </c>
      <c r="B503" s="3" t="s">
        <v>275</v>
      </c>
      <c r="C503" s="2">
        <v>130614</v>
      </c>
      <c r="D503" s="2">
        <v>726</v>
      </c>
      <c r="F503" s="2">
        <v>0</v>
      </c>
      <c r="G503" s="2">
        <v>3</v>
      </c>
      <c r="H503" s="2">
        <v>0</v>
      </c>
      <c r="I503" s="2">
        <v>0</v>
      </c>
      <c r="J503" s="2">
        <v>0</v>
      </c>
      <c r="K503" s="2">
        <v>0</v>
      </c>
      <c r="L503" s="2">
        <v>0</v>
      </c>
      <c r="M503" s="2">
        <v>0</v>
      </c>
      <c r="N503" s="2">
        <v>24</v>
      </c>
      <c r="O503" s="2">
        <v>0</v>
      </c>
      <c r="P503" s="2">
        <v>12</v>
      </c>
      <c r="Q503" s="2">
        <v>0</v>
      </c>
      <c r="R503" s="274">
        <v>42201</v>
      </c>
      <c r="S503" s="253">
        <v>12</v>
      </c>
      <c r="T503" s="254">
        <f>SUM( tabConsumo[[#This Row],[QTD.PENDENTE]]:tabConsumo[[#This Row],[07_23]] ) / tabConsumo[[#This Row],[Div]]</f>
        <v>3.25</v>
      </c>
      <c r="U503" s="255">
        <f xml:space="preserve"> tabConsumo[[#This Row],[Média.A]] + (_xlfn.STDEV.S( tabConsumo[[#This Row],[QTD.PENDENTE]]:tabConsumo[[#This Row],[07_23]] ) * 1)</f>
        <v>10.649324293474372</v>
      </c>
      <c r="V503" s="255">
        <f xml:space="preserve"> tabConsumo[[#This Row],[Média.A]] + (_xlfn.STDEV.S( tabConsumo[[#This Row],[QTD.PENDENTE]]:tabConsumo[[#This Row],[07_23]] ) * 2)</f>
        <v>18.048648586948744</v>
      </c>
      <c r="W503" s="255">
        <f xml:space="preserve"> tabConsumo[[#This Row],[Média.A]] + (_xlfn.STDEV.S( tabConsumo[[#This Row],[QTD.PENDENTE]]:tabConsumo[[#This Row],[07_23]] ) * 3)</f>
        <v>25.447972880423112</v>
      </c>
      <c r="X503" s="5">
        <f t="shared" si="16"/>
        <v>2</v>
      </c>
      <c r="Y503">
        <v>2.75</v>
      </c>
      <c r="Z503" s="257">
        <f>SUM( tabConsumo[[#This Row],[QTD.PENDENTE]]:tabConsumo[[#This Row],[07_23]] )</f>
        <v>39</v>
      </c>
      <c r="AA503" s="257">
        <f>LARGE(tabConsumo[[#This Row],[08_22]:[07_23]],1)</f>
        <v>24</v>
      </c>
      <c r="AB503" s="175" t="s">
        <v>2212</v>
      </c>
      <c r="AC503" s="3" t="s">
        <v>2064</v>
      </c>
    </row>
    <row r="504" spans="1:29" x14ac:dyDescent="0.3">
      <c r="A504" s="4" t="s">
        <v>1739</v>
      </c>
      <c r="B504" s="3" t="s">
        <v>596</v>
      </c>
      <c r="C504" s="2">
        <v>121086</v>
      </c>
      <c r="D504" s="2">
        <v>2</v>
      </c>
      <c r="F504" s="2">
        <v>1</v>
      </c>
      <c r="G504" s="2">
        <v>0</v>
      </c>
      <c r="H504" s="2">
        <v>1</v>
      </c>
      <c r="I504" s="2">
        <v>0</v>
      </c>
      <c r="J504" s="2">
        <v>1</v>
      </c>
      <c r="K504" s="2">
        <v>1</v>
      </c>
      <c r="L504" s="2">
        <v>0</v>
      </c>
      <c r="M504" s="2">
        <v>3</v>
      </c>
      <c r="N504" s="2">
        <v>0</v>
      </c>
      <c r="O504" s="2">
        <v>2</v>
      </c>
      <c r="P504" s="2">
        <v>0</v>
      </c>
      <c r="Q504" s="2">
        <v>0</v>
      </c>
      <c r="R504" s="274">
        <v>40807</v>
      </c>
      <c r="S504" s="253">
        <v>12</v>
      </c>
      <c r="T504" s="254">
        <f>SUM( tabConsumo[[#This Row],[QTD.PENDENTE]]:tabConsumo[[#This Row],[07_23]] ) / tabConsumo[[#This Row],[Div]]</f>
        <v>0.75</v>
      </c>
      <c r="U504" s="255">
        <f xml:space="preserve"> tabConsumo[[#This Row],[Média.A]] + (_xlfn.STDEV.S( tabConsumo[[#This Row],[QTD.PENDENTE]]:tabConsumo[[#This Row],[07_23]] ) * 1)</f>
        <v>1.7153072991634226</v>
      </c>
      <c r="V504" s="255">
        <f xml:space="preserve"> tabConsumo[[#This Row],[Média.A]] + (_xlfn.STDEV.S( tabConsumo[[#This Row],[QTD.PENDENTE]]:tabConsumo[[#This Row],[07_23]] ) * 2)</f>
        <v>2.6806145983268452</v>
      </c>
      <c r="W504" s="255">
        <f xml:space="preserve"> tabConsumo[[#This Row],[Média.A]] + (_xlfn.STDEV.S( tabConsumo[[#This Row],[QTD.PENDENTE]]:tabConsumo[[#This Row],[07_23]] ) * 3)</f>
        <v>3.6459218974902683</v>
      </c>
      <c r="X504" s="5">
        <f t="shared" si="16"/>
        <v>2</v>
      </c>
      <c r="Y504">
        <v>0.66666666666666663</v>
      </c>
      <c r="Z504" s="257">
        <f>SUM( tabConsumo[[#This Row],[QTD.PENDENTE]]:tabConsumo[[#This Row],[07_23]] )</f>
        <v>9</v>
      </c>
      <c r="AA504" s="257">
        <f>LARGE(tabConsumo[[#This Row],[08_22]:[07_23]],1)</f>
        <v>3</v>
      </c>
      <c r="AB504" s="175" t="s">
        <v>2214</v>
      </c>
      <c r="AC504" s="3" t="s">
        <v>2064</v>
      </c>
    </row>
    <row r="505" spans="1:29" x14ac:dyDescent="0.3">
      <c r="A505" s="4" t="s">
        <v>1805</v>
      </c>
      <c r="B505" s="3" t="s">
        <v>31</v>
      </c>
      <c r="C505" s="2">
        <v>131482</v>
      </c>
      <c r="D505" s="2">
        <v>115</v>
      </c>
      <c r="F505" s="2">
        <v>6</v>
      </c>
      <c r="G505" s="2">
        <v>0</v>
      </c>
      <c r="H505" s="2">
        <v>0</v>
      </c>
      <c r="I505" s="2">
        <v>0</v>
      </c>
      <c r="J505" s="2">
        <v>0</v>
      </c>
      <c r="K505" s="2">
        <v>0</v>
      </c>
      <c r="L505" s="2">
        <v>1</v>
      </c>
      <c r="M505" s="2">
        <v>0</v>
      </c>
      <c r="N505" s="2">
        <v>1</v>
      </c>
      <c r="O505" s="2">
        <v>21</v>
      </c>
      <c r="P505" s="2">
        <v>0</v>
      </c>
      <c r="Q505" s="2">
        <v>0</v>
      </c>
      <c r="R505" s="274">
        <v>42464</v>
      </c>
      <c r="S505" s="253">
        <v>12</v>
      </c>
      <c r="T505" s="254">
        <f>SUM( tabConsumo[[#This Row],[QTD.PENDENTE]]:tabConsumo[[#This Row],[07_23]] ) / tabConsumo[[#This Row],[Div]]</f>
        <v>2.4166666666666665</v>
      </c>
      <c r="U505" s="255">
        <f xml:space="preserve"> tabConsumo[[#This Row],[Média.A]] + (_xlfn.STDEV.S( tabConsumo[[#This Row],[QTD.PENDENTE]]:tabConsumo[[#This Row],[07_23]] ) * 1)</f>
        <v>8.5137350133593976</v>
      </c>
      <c r="V505" s="255">
        <f xml:space="preserve"> tabConsumo[[#This Row],[Média.A]] + (_xlfn.STDEV.S( tabConsumo[[#This Row],[QTD.PENDENTE]]:tabConsumo[[#This Row],[07_23]] ) * 2)</f>
        <v>14.610803360052127</v>
      </c>
      <c r="W505" s="255">
        <f xml:space="preserve"> tabConsumo[[#This Row],[Média.A]] + (_xlfn.STDEV.S( tabConsumo[[#This Row],[QTD.PENDENTE]]:tabConsumo[[#This Row],[07_23]] ) * 3)</f>
        <v>20.707871706744861</v>
      </c>
      <c r="X505" s="5">
        <f t="shared" si="16"/>
        <v>2</v>
      </c>
      <c r="Y505">
        <v>1.8333333333333333</v>
      </c>
      <c r="Z505" s="257">
        <f>SUM( tabConsumo[[#This Row],[QTD.PENDENTE]]:tabConsumo[[#This Row],[07_23]] )</f>
        <v>29</v>
      </c>
      <c r="AA505" s="257">
        <f>LARGE(tabConsumo[[#This Row],[08_22]:[07_23]],1)</f>
        <v>21</v>
      </c>
      <c r="AB505" s="175" t="s">
        <v>2214</v>
      </c>
      <c r="AC505" s="3" t="s">
        <v>2064</v>
      </c>
    </row>
    <row r="506" spans="1:29" x14ac:dyDescent="0.3">
      <c r="A506" s="4" t="s">
        <v>1459</v>
      </c>
      <c r="B506" s="3" t="s">
        <v>268</v>
      </c>
      <c r="C506" s="2">
        <v>81131</v>
      </c>
      <c r="D506" s="2">
        <v>0</v>
      </c>
      <c r="F506" s="2">
        <v>11</v>
      </c>
      <c r="G506" s="2">
        <v>1</v>
      </c>
      <c r="H506" s="2">
        <v>6</v>
      </c>
      <c r="I506" s="2">
        <v>7</v>
      </c>
      <c r="J506" s="2">
        <v>30</v>
      </c>
      <c r="K506" s="2">
        <v>26</v>
      </c>
      <c r="L506" s="2">
        <v>16</v>
      </c>
      <c r="M506" s="2">
        <v>71</v>
      </c>
      <c r="N506" s="2">
        <v>10</v>
      </c>
      <c r="O506" s="2">
        <v>50</v>
      </c>
      <c r="P506" s="2">
        <v>17</v>
      </c>
      <c r="Q506" s="2">
        <v>0</v>
      </c>
      <c r="R506" s="274">
        <v>38205</v>
      </c>
      <c r="S506" s="253">
        <v>12</v>
      </c>
      <c r="T506" s="254">
        <f>SUM( tabConsumo[[#This Row],[QTD.PENDENTE]]:tabConsumo[[#This Row],[07_23]] ) / tabConsumo[[#This Row],[Div]]</f>
        <v>20.416666666666668</v>
      </c>
      <c r="U506" s="255">
        <f xml:space="preserve"> tabConsumo[[#This Row],[Média.A]] + (_xlfn.STDEV.S( tabConsumo[[#This Row],[QTD.PENDENTE]]:tabConsumo[[#This Row],[07_23]] ) * 1)</f>
        <v>41.66608733613149</v>
      </c>
      <c r="V506" s="255">
        <f xml:space="preserve"> tabConsumo[[#This Row],[Média.A]] + (_xlfn.STDEV.S( tabConsumo[[#This Row],[QTD.PENDENTE]]:tabConsumo[[#This Row],[07_23]] ) * 2)</f>
        <v>62.915508005596308</v>
      </c>
      <c r="W506" s="255">
        <f xml:space="preserve"> tabConsumo[[#This Row],[Média.A]] + (_xlfn.STDEV.S( tabConsumo[[#This Row],[QTD.PENDENTE]]:tabConsumo[[#This Row],[07_23]] ) * 3)</f>
        <v>84.164928675061134</v>
      </c>
      <c r="X506" s="5">
        <f t="shared" si="16"/>
        <v>2</v>
      </c>
      <c r="Y506">
        <v>19.666666666666668</v>
      </c>
      <c r="Z506" s="257">
        <f>SUM( tabConsumo[[#This Row],[QTD.PENDENTE]]:tabConsumo[[#This Row],[07_23]] )</f>
        <v>245</v>
      </c>
      <c r="AA506" s="257">
        <f>LARGE(tabConsumo[[#This Row],[08_22]:[07_23]],1)</f>
        <v>71</v>
      </c>
      <c r="AB506" s="175" t="s">
        <v>2212</v>
      </c>
      <c r="AC506" s="3" t="s">
        <v>2064</v>
      </c>
    </row>
    <row r="507" spans="1:29" x14ac:dyDescent="0.3">
      <c r="A507" s="4" t="s">
        <v>1836</v>
      </c>
      <c r="B507" s="3" t="s">
        <v>31</v>
      </c>
      <c r="C507" s="2">
        <v>133021</v>
      </c>
      <c r="D507" s="2">
        <v>185</v>
      </c>
      <c r="E507" s="2">
        <v>211</v>
      </c>
      <c r="F507" s="2">
        <v>50</v>
      </c>
      <c r="G507" s="2">
        <v>66</v>
      </c>
      <c r="H507" s="2">
        <v>53</v>
      </c>
      <c r="I507" s="2">
        <v>121</v>
      </c>
      <c r="J507" s="2">
        <v>47</v>
      </c>
      <c r="K507" s="2">
        <v>26</v>
      </c>
      <c r="L507" s="2">
        <v>70</v>
      </c>
      <c r="M507" s="2">
        <v>48</v>
      </c>
      <c r="N507" s="2">
        <v>0</v>
      </c>
      <c r="O507" s="2">
        <v>0</v>
      </c>
      <c r="P507" s="2">
        <v>0</v>
      </c>
      <c r="Q507" s="2">
        <v>58</v>
      </c>
      <c r="R507" s="274">
        <v>42926</v>
      </c>
      <c r="S507" s="253">
        <v>12</v>
      </c>
      <c r="T507" s="254">
        <f>SUM( tabConsumo[[#This Row],[QTD.PENDENTE]]:tabConsumo[[#This Row],[07_23]] ) / tabConsumo[[#This Row],[Div]]</f>
        <v>62.5</v>
      </c>
      <c r="U507" s="255">
        <f xml:space="preserve"> tabConsumo[[#This Row],[Média.A]] + (_xlfn.STDEV.S( tabConsumo[[#This Row],[QTD.PENDENTE]]:tabConsumo[[#This Row],[07_23]] ) * 1)</f>
        <v>119.51664174517327</v>
      </c>
      <c r="V507" s="255">
        <f xml:space="preserve"> tabConsumo[[#This Row],[Média.A]] + (_xlfn.STDEV.S( tabConsumo[[#This Row],[QTD.PENDENTE]]:tabConsumo[[#This Row],[07_23]] ) * 2)</f>
        <v>176.53328349034655</v>
      </c>
      <c r="W507" s="255">
        <f xml:space="preserve"> tabConsumo[[#This Row],[Média.A]] + (_xlfn.STDEV.S( tabConsumo[[#This Row],[QTD.PENDENTE]]:tabConsumo[[#This Row],[07_23]] ) * 3)</f>
        <v>233.54992523551982</v>
      </c>
      <c r="X507" s="5">
        <f t="shared" si="16"/>
        <v>2</v>
      </c>
      <c r="Y507">
        <v>62.5</v>
      </c>
      <c r="Z507" s="257">
        <f>SUM( tabConsumo[[#This Row],[QTD.PENDENTE]]:tabConsumo[[#This Row],[07_23]] )</f>
        <v>750</v>
      </c>
      <c r="AA507" s="257">
        <f>LARGE(tabConsumo[[#This Row],[08_22]:[07_23]],1)</f>
        <v>121</v>
      </c>
      <c r="AB507" s="175" t="s">
        <v>2211</v>
      </c>
      <c r="AC507" s="3" t="s">
        <v>2064</v>
      </c>
    </row>
    <row r="508" spans="1:29" x14ac:dyDescent="0.3">
      <c r="A508" s="4" t="s">
        <v>858</v>
      </c>
      <c r="B508" s="3" t="s">
        <v>31</v>
      </c>
      <c r="C508" s="2">
        <v>87465</v>
      </c>
      <c r="D508" s="2">
        <v>0</v>
      </c>
      <c r="E508" s="2">
        <v>3</v>
      </c>
      <c r="F508" s="2">
        <v>0</v>
      </c>
      <c r="G508" s="2">
        <v>0</v>
      </c>
      <c r="H508" s="2">
        <v>0</v>
      </c>
      <c r="I508" s="2">
        <v>0</v>
      </c>
      <c r="J508" s="2">
        <v>0</v>
      </c>
      <c r="K508" s="2">
        <v>0</v>
      </c>
      <c r="L508" s="2">
        <v>0</v>
      </c>
      <c r="M508" s="2">
        <v>0</v>
      </c>
      <c r="N508" s="2">
        <v>0</v>
      </c>
      <c r="O508" s="2">
        <v>0</v>
      </c>
      <c r="P508" s="2">
        <v>0</v>
      </c>
      <c r="Q508" s="2">
        <v>0</v>
      </c>
      <c r="R508" s="274">
        <v>367</v>
      </c>
      <c r="S508" s="253">
        <f xml:space="preserve"> 12</f>
        <v>12</v>
      </c>
      <c r="T508" s="254">
        <f>SUM( tabConsumo[[#This Row],[QTD.PENDENTE]]:tabConsumo[[#This Row],[07_23]] ) / tabConsumo[[#This Row],[Div]]</f>
        <v>0.25</v>
      </c>
      <c r="U508" s="255">
        <f xml:space="preserve"> tabConsumo[[#This Row],[Média.A]] + (_xlfn.STDEV.S( tabConsumo[[#This Row],[QTD.PENDENTE]]:tabConsumo[[#This Row],[07_23]] ) * 1)</f>
        <v>1.0820502943378436</v>
      </c>
      <c r="V508" s="255">
        <f xml:space="preserve"> tabConsumo[[#This Row],[Média.A]] + (_xlfn.STDEV.S( tabConsumo[[#This Row],[QTD.PENDENTE]]:tabConsumo[[#This Row],[07_23]] ) * 2)</f>
        <v>1.9141005886756874</v>
      </c>
      <c r="W508" s="255">
        <f xml:space="preserve"> tabConsumo[[#This Row],[Média.A]] + (_xlfn.STDEV.S( tabConsumo[[#This Row],[QTD.PENDENTE]]:tabConsumo[[#This Row],[07_23]] ) * 3)</f>
        <v>2.7461508830135313</v>
      </c>
      <c r="X508" s="5">
        <f t="shared" si="16"/>
        <v>2</v>
      </c>
      <c r="Y508">
        <v>0.25</v>
      </c>
      <c r="Z508" s="257">
        <f>SUM( tabConsumo[[#This Row],[QTD.PENDENTE]]:tabConsumo[[#This Row],[07_23]] )</f>
        <v>3</v>
      </c>
      <c r="AA508" s="257">
        <f>LARGE(tabConsumo[[#This Row],[08_22]:[07_23]],1)</f>
        <v>0</v>
      </c>
      <c r="AB508" s="175" t="s">
        <v>2211</v>
      </c>
      <c r="AC508" s="3" t="s">
        <v>2064</v>
      </c>
    </row>
    <row r="509" spans="1:29" x14ac:dyDescent="0.3">
      <c r="A509" s="4" t="s">
        <v>949</v>
      </c>
      <c r="B509" s="3" t="s">
        <v>31</v>
      </c>
      <c r="C509" s="2">
        <v>12659</v>
      </c>
      <c r="D509" s="2">
        <v>1371</v>
      </c>
      <c r="E509" s="2">
        <v>1</v>
      </c>
      <c r="F509" s="2">
        <v>217</v>
      </c>
      <c r="G509" s="2">
        <v>258</v>
      </c>
      <c r="H509" s="2">
        <v>267</v>
      </c>
      <c r="I509" s="2">
        <v>338</v>
      </c>
      <c r="J509" s="2">
        <v>183</v>
      </c>
      <c r="K509" s="2">
        <v>114</v>
      </c>
      <c r="L509" s="2">
        <v>217</v>
      </c>
      <c r="M509" s="2">
        <v>403</v>
      </c>
      <c r="N509" s="2">
        <v>281</v>
      </c>
      <c r="O509" s="2">
        <v>298</v>
      </c>
      <c r="P509" s="2">
        <v>541</v>
      </c>
      <c r="Q509" s="2">
        <v>425</v>
      </c>
      <c r="R509" s="274">
        <v>367</v>
      </c>
      <c r="S509" s="253">
        <f xml:space="preserve"> 12</f>
        <v>12</v>
      </c>
      <c r="T509" s="254">
        <f>SUM( tabConsumo[[#This Row],[QTD.PENDENTE]]:tabConsumo[[#This Row],[07_23]] ) / tabConsumo[[#This Row],[Div]]</f>
        <v>295.25</v>
      </c>
      <c r="U509" s="255">
        <f xml:space="preserve"> tabConsumo[[#This Row],[Média.A]] + (_xlfn.STDEV.S( tabConsumo[[#This Row],[QTD.PENDENTE]]:tabConsumo[[#This Row],[07_23]] ) * 1)</f>
        <v>433.88538231912241</v>
      </c>
      <c r="V509" s="255">
        <f xml:space="preserve"> tabConsumo[[#This Row],[Média.A]] + (_xlfn.STDEV.S( tabConsumo[[#This Row],[QTD.PENDENTE]]:tabConsumo[[#This Row],[07_23]] ) * 2)</f>
        <v>572.52076463824483</v>
      </c>
      <c r="W509" s="255">
        <f xml:space="preserve"> tabConsumo[[#This Row],[Média.A]] + (_xlfn.STDEV.S( tabConsumo[[#This Row],[QTD.PENDENTE]]:tabConsumo[[#This Row],[07_23]] ) * 3)</f>
        <v>711.15614695736713</v>
      </c>
      <c r="X509" s="5">
        <f t="shared" si="16"/>
        <v>2</v>
      </c>
      <c r="Y509">
        <v>295.25</v>
      </c>
      <c r="Z509" s="257">
        <f>SUM( tabConsumo[[#This Row],[QTD.PENDENTE]]:tabConsumo[[#This Row],[07_23]] )</f>
        <v>3543</v>
      </c>
      <c r="AA509" s="257">
        <f>LARGE(tabConsumo[[#This Row],[08_22]:[07_23]],1)</f>
        <v>541</v>
      </c>
      <c r="AB509" s="175" t="s">
        <v>2211</v>
      </c>
      <c r="AC509" s="3" t="s">
        <v>2064</v>
      </c>
    </row>
    <row r="510" spans="1:29" x14ac:dyDescent="0.3">
      <c r="A510" s="4" t="s">
        <v>1610</v>
      </c>
      <c r="B510" s="3" t="s">
        <v>281</v>
      </c>
      <c r="C510" s="2">
        <v>105259</v>
      </c>
      <c r="D510" s="2">
        <v>1323</v>
      </c>
      <c r="E510" s="2">
        <v>8</v>
      </c>
      <c r="F510" s="2">
        <v>126</v>
      </c>
      <c r="G510" s="2">
        <v>109</v>
      </c>
      <c r="H510" s="2">
        <v>114</v>
      </c>
      <c r="I510" s="2">
        <v>128</v>
      </c>
      <c r="J510" s="2">
        <v>93</v>
      </c>
      <c r="K510" s="2">
        <v>77</v>
      </c>
      <c r="L510" s="2">
        <v>107</v>
      </c>
      <c r="M510" s="2">
        <v>3007</v>
      </c>
      <c r="N510" s="2">
        <v>104</v>
      </c>
      <c r="O510" s="2">
        <v>136</v>
      </c>
      <c r="P510" s="2">
        <v>110</v>
      </c>
      <c r="Q510" s="2">
        <v>113</v>
      </c>
      <c r="R510" s="274">
        <v>39505</v>
      </c>
      <c r="S510" s="253">
        <v>12</v>
      </c>
      <c r="T510" s="254">
        <f>SUM( tabConsumo[[#This Row],[QTD.PENDENTE]]:tabConsumo[[#This Row],[07_23]] ) / tabConsumo[[#This Row],[Div]]</f>
        <v>352.66666666666669</v>
      </c>
      <c r="U510" s="255">
        <f xml:space="preserve"> tabConsumo[[#This Row],[Média.A]] + (_xlfn.STDEV.S( tabConsumo[[#This Row],[QTD.PENDENTE]]:tabConsumo[[#This Row],[07_23]] ) * 1)</f>
        <v>1158.9843889268</v>
      </c>
      <c r="V510" s="255">
        <f xml:space="preserve"> tabConsumo[[#This Row],[Média.A]] + (_xlfn.STDEV.S( tabConsumo[[#This Row],[QTD.PENDENTE]]:tabConsumo[[#This Row],[07_23]] ) * 2)</f>
        <v>1965.3021111869332</v>
      </c>
      <c r="W510" s="255">
        <f xml:space="preserve"> tabConsumo[[#This Row],[Média.A]] + (_xlfn.STDEV.S( tabConsumo[[#This Row],[QTD.PENDENTE]]:tabConsumo[[#This Row],[07_23]] ) * 3)</f>
        <v>2771.619833447066</v>
      </c>
      <c r="X510" s="5">
        <f t="shared" si="16"/>
        <v>2</v>
      </c>
      <c r="Y510">
        <v>265.83333333333331</v>
      </c>
      <c r="Z510" s="257">
        <f>SUM( tabConsumo[[#This Row],[QTD.PENDENTE]]:tabConsumo[[#This Row],[07_23]] )</f>
        <v>4232</v>
      </c>
      <c r="AA510" s="257">
        <f>LARGE(tabConsumo[[#This Row],[08_22]:[07_23]],1)</f>
        <v>3007</v>
      </c>
      <c r="AB510" s="175" t="s">
        <v>2211</v>
      </c>
      <c r="AC510" s="3" t="s">
        <v>2064</v>
      </c>
    </row>
    <row r="511" spans="1:29" x14ac:dyDescent="0.3">
      <c r="A511" s="4" t="s">
        <v>1097</v>
      </c>
      <c r="B511" s="3" t="s">
        <v>569</v>
      </c>
      <c r="C511" s="2">
        <v>15530</v>
      </c>
      <c r="D511" s="2">
        <v>28619</v>
      </c>
      <c r="E511" s="2">
        <v>50</v>
      </c>
      <c r="F511" s="2">
        <v>1940</v>
      </c>
      <c r="G511" s="2">
        <v>2190</v>
      </c>
      <c r="H511" s="2">
        <v>2350</v>
      </c>
      <c r="I511" s="2">
        <v>2280</v>
      </c>
      <c r="J511" s="2">
        <v>1430</v>
      </c>
      <c r="K511" s="2">
        <v>880</v>
      </c>
      <c r="L511" s="2">
        <v>1120</v>
      </c>
      <c r="M511" s="2">
        <v>3150</v>
      </c>
      <c r="N511" s="2">
        <v>2680</v>
      </c>
      <c r="O511" s="2">
        <v>2490</v>
      </c>
      <c r="P511" s="2">
        <v>2350</v>
      </c>
      <c r="Q511" s="2">
        <v>2080</v>
      </c>
      <c r="R511" s="274">
        <v>367</v>
      </c>
      <c r="S511" s="253">
        <f xml:space="preserve"> 12</f>
        <v>12</v>
      </c>
      <c r="T511" s="254">
        <f>SUM( tabConsumo[[#This Row],[QTD.PENDENTE]]:tabConsumo[[#This Row],[07_23]] ) / tabConsumo[[#This Row],[Div]]</f>
        <v>2082.5</v>
      </c>
      <c r="U511" s="255">
        <f xml:space="preserve"> tabConsumo[[#This Row],[Média.A]] + (_xlfn.STDEV.S( tabConsumo[[#This Row],[QTD.PENDENTE]]:tabConsumo[[#This Row],[07_23]] ) * 1)</f>
        <v>2922.749505069316</v>
      </c>
      <c r="V511" s="255">
        <f xml:space="preserve"> tabConsumo[[#This Row],[Média.A]] + (_xlfn.STDEV.S( tabConsumo[[#This Row],[QTD.PENDENTE]]:tabConsumo[[#This Row],[07_23]] ) * 2)</f>
        <v>3762.999010138632</v>
      </c>
      <c r="W511" s="255">
        <f xml:space="preserve"> tabConsumo[[#This Row],[Média.A]] + (_xlfn.STDEV.S( tabConsumo[[#This Row],[QTD.PENDENTE]]:tabConsumo[[#This Row],[07_23]] ) * 3)</f>
        <v>4603.248515207948</v>
      </c>
      <c r="X511" s="5">
        <f t="shared" si="16"/>
        <v>2</v>
      </c>
      <c r="Y511">
        <v>2082.5</v>
      </c>
      <c r="Z511" s="257">
        <f>SUM( tabConsumo[[#This Row],[QTD.PENDENTE]]:tabConsumo[[#This Row],[07_23]] )</f>
        <v>24990</v>
      </c>
      <c r="AA511" s="257">
        <f>LARGE(tabConsumo[[#This Row],[08_22]:[07_23]],1)</f>
        <v>3150</v>
      </c>
      <c r="AB511" s="175" t="s">
        <v>2211</v>
      </c>
      <c r="AC511" s="3" t="s">
        <v>2064</v>
      </c>
    </row>
    <row r="512" spans="1:29" x14ac:dyDescent="0.3">
      <c r="A512" s="4" t="s">
        <v>1243</v>
      </c>
      <c r="B512" s="3" t="s">
        <v>569</v>
      </c>
      <c r="C512" s="2">
        <v>29964</v>
      </c>
      <c r="D512" s="2">
        <v>1100</v>
      </c>
      <c r="E512" s="2">
        <v>50</v>
      </c>
      <c r="F512" s="2">
        <v>407</v>
      </c>
      <c r="G512" s="2">
        <v>416</v>
      </c>
      <c r="H512" s="2">
        <v>514</v>
      </c>
      <c r="I512" s="2">
        <v>493</v>
      </c>
      <c r="J512" s="2">
        <v>425</v>
      </c>
      <c r="K512" s="2">
        <v>290</v>
      </c>
      <c r="L512" s="2">
        <v>420</v>
      </c>
      <c r="M512" s="2">
        <v>1115</v>
      </c>
      <c r="N512" s="2">
        <v>547</v>
      </c>
      <c r="O512" s="2">
        <v>835</v>
      </c>
      <c r="P512" s="2">
        <v>775</v>
      </c>
      <c r="Q512" s="2">
        <v>633</v>
      </c>
      <c r="R512" s="274">
        <v>367</v>
      </c>
      <c r="S512" s="253">
        <f xml:space="preserve"> 12</f>
        <v>12</v>
      </c>
      <c r="T512" s="254">
        <f>SUM( tabConsumo[[#This Row],[QTD.PENDENTE]]:tabConsumo[[#This Row],[07_23]] ) / tabConsumo[[#This Row],[Div]]</f>
        <v>576.66666666666663</v>
      </c>
      <c r="U512" s="255">
        <f xml:space="preserve"> tabConsumo[[#This Row],[Média.A]] + (_xlfn.STDEV.S( tabConsumo[[#This Row],[QTD.PENDENTE]]:tabConsumo[[#This Row],[07_23]] ) * 1)</f>
        <v>842.33857730564273</v>
      </c>
      <c r="V512" s="255">
        <f xml:space="preserve"> tabConsumo[[#This Row],[Média.A]] + (_xlfn.STDEV.S( tabConsumo[[#This Row],[QTD.PENDENTE]]:tabConsumo[[#This Row],[07_23]] ) * 2)</f>
        <v>1108.0104879446187</v>
      </c>
      <c r="W512" s="255">
        <f xml:space="preserve"> tabConsumo[[#This Row],[Média.A]] + (_xlfn.STDEV.S( tabConsumo[[#This Row],[QTD.PENDENTE]]:tabConsumo[[#This Row],[07_23]] ) * 3)</f>
        <v>1373.6823985835949</v>
      </c>
      <c r="X512" s="5">
        <f t="shared" si="16"/>
        <v>2</v>
      </c>
      <c r="Y512">
        <v>576.08333333333337</v>
      </c>
      <c r="Z512" s="257">
        <f>SUM( tabConsumo[[#This Row],[QTD.PENDENTE]]:tabConsumo[[#This Row],[07_23]] )</f>
        <v>6920</v>
      </c>
      <c r="AA512" s="257">
        <f>LARGE(tabConsumo[[#This Row],[08_22]:[07_23]],1)</f>
        <v>1115</v>
      </c>
      <c r="AB512" s="175" t="s">
        <v>2211</v>
      </c>
      <c r="AC512" s="3" t="s">
        <v>2064</v>
      </c>
    </row>
    <row r="513" spans="1:29" x14ac:dyDescent="0.3">
      <c r="A513" s="4" t="s">
        <v>1755</v>
      </c>
      <c r="B513" s="3" t="s">
        <v>569</v>
      </c>
      <c r="C513" s="2">
        <v>124261</v>
      </c>
      <c r="D513" s="2">
        <v>2460</v>
      </c>
      <c r="E513" s="2">
        <v>10</v>
      </c>
      <c r="F513" s="2">
        <v>479</v>
      </c>
      <c r="G513" s="2">
        <v>496</v>
      </c>
      <c r="H513" s="2">
        <v>604</v>
      </c>
      <c r="I513" s="2">
        <v>633</v>
      </c>
      <c r="J513" s="2">
        <v>485</v>
      </c>
      <c r="K513" s="2">
        <v>300</v>
      </c>
      <c r="L513" s="2">
        <v>455</v>
      </c>
      <c r="M513" s="2">
        <v>1171</v>
      </c>
      <c r="N513" s="2">
        <v>642</v>
      </c>
      <c r="O513" s="2">
        <v>920</v>
      </c>
      <c r="P513" s="2">
        <v>820</v>
      </c>
      <c r="Q513" s="2">
        <v>716</v>
      </c>
      <c r="R513" s="274">
        <v>41170</v>
      </c>
      <c r="S513" s="253">
        <v>12</v>
      </c>
      <c r="T513" s="254">
        <f>SUM( tabConsumo[[#This Row],[QTD.PENDENTE]]:tabConsumo[[#This Row],[07_23]] ) / tabConsumo[[#This Row],[Div]]</f>
        <v>644.25</v>
      </c>
      <c r="U513" s="255">
        <f xml:space="preserve"> tabConsumo[[#This Row],[Média.A]] + (_xlfn.STDEV.S( tabConsumo[[#This Row],[QTD.PENDENTE]]:tabConsumo[[#This Row],[07_23]] ) * 1)</f>
        <v>931.56613964858298</v>
      </c>
      <c r="V513" s="255">
        <f xml:space="preserve"> tabConsumo[[#This Row],[Média.A]] + (_xlfn.STDEV.S( tabConsumo[[#This Row],[QTD.PENDENTE]]:tabConsumo[[#This Row],[07_23]] ) * 2)</f>
        <v>1218.882279297166</v>
      </c>
      <c r="W513" s="255">
        <f xml:space="preserve"> tabConsumo[[#This Row],[Média.A]] + (_xlfn.STDEV.S( tabConsumo[[#This Row],[QTD.PENDENTE]]:tabConsumo[[#This Row],[07_23]] ) * 3)</f>
        <v>1506.1984189457492</v>
      </c>
      <c r="X513" s="5">
        <f t="shared" si="16"/>
        <v>2</v>
      </c>
      <c r="Y513">
        <v>644.25</v>
      </c>
      <c r="Z513" s="257">
        <f>SUM( tabConsumo[[#This Row],[QTD.PENDENTE]]:tabConsumo[[#This Row],[07_23]] )</f>
        <v>7731</v>
      </c>
      <c r="AA513" s="257">
        <f>LARGE(tabConsumo[[#This Row],[08_22]:[07_23]],1)</f>
        <v>1171</v>
      </c>
      <c r="AB513" s="175" t="s">
        <v>2211</v>
      </c>
      <c r="AC513" s="3" t="s">
        <v>2064</v>
      </c>
    </row>
    <row r="514" spans="1:29" x14ac:dyDescent="0.3">
      <c r="A514" s="4" t="s">
        <v>1239</v>
      </c>
      <c r="B514" s="3" t="s">
        <v>569</v>
      </c>
      <c r="C514" s="2">
        <v>29956</v>
      </c>
      <c r="D514" s="2">
        <v>1870</v>
      </c>
      <c r="E514" s="2">
        <v>10</v>
      </c>
      <c r="F514" s="2">
        <v>459</v>
      </c>
      <c r="G514" s="2">
        <v>431</v>
      </c>
      <c r="H514" s="2">
        <v>554</v>
      </c>
      <c r="I514" s="2">
        <v>603</v>
      </c>
      <c r="J514" s="2">
        <v>480</v>
      </c>
      <c r="K514" s="2">
        <v>240</v>
      </c>
      <c r="L514" s="2">
        <v>455</v>
      </c>
      <c r="M514" s="2">
        <v>1120</v>
      </c>
      <c r="N514" s="2">
        <v>632</v>
      </c>
      <c r="O514" s="2">
        <v>865</v>
      </c>
      <c r="P514" s="2">
        <v>810</v>
      </c>
      <c r="Q514" s="2">
        <v>621</v>
      </c>
      <c r="R514" s="274">
        <v>367</v>
      </c>
      <c r="S514" s="253">
        <f xml:space="preserve"> 12</f>
        <v>12</v>
      </c>
      <c r="T514" s="254">
        <f>SUM( tabConsumo[[#This Row],[QTD.PENDENTE]]:tabConsumo[[#This Row],[07_23]] ) / tabConsumo[[#This Row],[Div]]</f>
        <v>606.66666666666663</v>
      </c>
      <c r="U514" s="255">
        <f xml:space="preserve"> tabConsumo[[#This Row],[Média.A]] + (_xlfn.STDEV.S( tabConsumo[[#This Row],[QTD.PENDENTE]]:tabConsumo[[#This Row],[07_23]] ) * 1)</f>
        <v>884.917452829078</v>
      </c>
      <c r="V514" s="255">
        <f xml:space="preserve"> tabConsumo[[#This Row],[Média.A]] + (_xlfn.STDEV.S( tabConsumo[[#This Row],[QTD.PENDENTE]]:tabConsumo[[#This Row],[07_23]] ) * 2)</f>
        <v>1163.1682389914895</v>
      </c>
      <c r="W514" s="255">
        <f xml:space="preserve"> tabConsumo[[#This Row],[Média.A]] + (_xlfn.STDEV.S( tabConsumo[[#This Row],[QTD.PENDENTE]]:tabConsumo[[#This Row],[07_23]] ) * 3)</f>
        <v>1441.4190251539007</v>
      </c>
      <c r="X514" s="5">
        <f t="shared" si="16"/>
        <v>2</v>
      </c>
      <c r="Y514">
        <v>606.66666666666663</v>
      </c>
      <c r="Z514" s="257">
        <f>SUM( tabConsumo[[#This Row],[QTD.PENDENTE]]:tabConsumo[[#This Row],[07_23]] )</f>
        <v>7280</v>
      </c>
      <c r="AA514" s="257">
        <f>LARGE(tabConsumo[[#This Row],[08_22]:[07_23]],1)</f>
        <v>1120</v>
      </c>
      <c r="AB514" s="175" t="s">
        <v>2211</v>
      </c>
      <c r="AC514" s="3" t="s">
        <v>2064</v>
      </c>
    </row>
    <row r="515" spans="1:29" x14ac:dyDescent="0.3">
      <c r="A515" s="4" t="s">
        <v>1242</v>
      </c>
      <c r="B515" s="3" t="s">
        <v>569</v>
      </c>
      <c r="C515" s="2">
        <v>29962</v>
      </c>
      <c r="D515" s="2">
        <v>1057</v>
      </c>
      <c r="E515" s="2">
        <v>115</v>
      </c>
      <c r="F515" s="2">
        <v>456</v>
      </c>
      <c r="G515" s="2">
        <v>491</v>
      </c>
      <c r="H515" s="2">
        <v>456</v>
      </c>
      <c r="I515" s="2">
        <v>588</v>
      </c>
      <c r="J515" s="2">
        <v>460</v>
      </c>
      <c r="K515" s="2">
        <v>0</v>
      </c>
      <c r="L515" s="2">
        <v>40</v>
      </c>
      <c r="M515" s="2">
        <v>1050</v>
      </c>
      <c r="N515" s="2">
        <v>597</v>
      </c>
      <c r="O515" s="2">
        <v>855</v>
      </c>
      <c r="P515" s="2">
        <v>815</v>
      </c>
      <c r="Q515" s="2">
        <v>651</v>
      </c>
      <c r="R515" s="274">
        <v>367</v>
      </c>
      <c r="S515" s="253">
        <f xml:space="preserve"> 12</f>
        <v>12</v>
      </c>
      <c r="T515" s="254">
        <f>SUM( tabConsumo[[#This Row],[QTD.PENDENTE]]:tabConsumo[[#This Row],[07_23]] ) / tabConsumo[[#This Row],[Div]]</f>
        <v>547.83333333333337</v>
      </c>
      <c r="U515" s="255">
        <f xml:space="preserve"> tabConsumo[[#This Row],[Média.A]] + (_xlfn.STDEV.S( tabConsumo[[#This Row],[QTD.PENDENTE]]:tabConsumo[[#This Row],[07_23]] ) * 1)</f>
        <v>861.76814201590696</v>
      </c>
      <c r="V515" s="255">
        <f xml:space="preserve"> tabConsumo[[#This Row],[Média.A]] + (_xlfn.STDEV.S( tabConsumo[[#This Row],[QTD.PENDENTE]]:tabConsumo[[#This Row],[07_23]] ) * 2)</f>
        <v>1175.7029506984804</v>
      </c>
      <c r="W515" s="255">
        <f xml:space="preserve"> tabConsumo[[#This Row],[Média.A]] + (_xlfn.STDEV.S( tabConsumo[[#This Row],[QTD.PENDENTE]]:tabConsumo[[#This Row],[07_23]] ) * 3)</f>
        <v>1489.6377593810541</v>
      </c>
      <c r="X515" s="5">
        <f t="shared" ref="X515:X578" si="18" xml:space="preserve"> 2</f>
        <v>2</v>
      </c>
      <c r="Y515">
        <v>547.83333333333337</v>
      </c>
      <c r="Z515" s="257">
        <f>SUM( tabConsumo[[#This Row],[QTD.PENDENTE]]:tabConsumo[[#This Row],[07_23]] )</f>
        <v>6574</v>
      </c>
      <c r="AA515" s="257">
        <f>LARGE(tabConsumo[[#This Row],[08_22]:[07_23]],1)</f>
        <v>1050</v>
      </c>
      <c r="AB515" s="175" t="s">
        <v>2211</v>
      </c>
      <c r="AC515" s="3" t="s">
        <v>2064</v>
      </c>
    </row>
    <row r="516" spans="1:29" x14ac:dyDescent="0.3">
      <c r="A516" s="4" t="s">
        <v>1240</v>
      </c>
      <c r="B516" s="3" t="s">
        <v>569</v>
      </c>
      <c r="C516" s="2">
        <v>29959</v>
      </c>
      <c r="D516" s="2">
        <v>1102</v>
      </c>
      <c r="E516" s="2">
        <v>558</v>
      </c>
      <c r="F516" s="2">
        <v>634</v>
      </c>
      <c r="G516" s="2">
        <v>561</v>
      </c>
      <c r="H516" s="2">
        <v>804</v>
      </c>
      <c r="I516" s="2">
        <v>738</v>
      </c>
      <c r="J516" s="2">
        <v>575</v>
      </c>
      <c r="K516" s="2">
        <v>300</v>
      </c>
      <c r="L516" s="2">
        <v>217</v>
      </c>
      <c r="M516" s="2">
        <v>365</v>
      </c>
      <c r="N516" s="2">
        <v>667</v>
      </c>
      <c r="O516" s="2">
        <v>1120</v>
      </c>
      <c r="P516" s="2">
        <v>985</v>
      </c>
      <c r="Q516" s="2">
        <v>826</v>
      </c>
      <c r="R516" s="274">
        <v>367</v>
      </c>
      <c r="S516" s="253">
        <f xml:space="preserve"> 12</f>
        <v>12</v>
      </c>
      <c r="T516" s="254">
        <f>SUM( tabConsumo[[#This Row],[QTD.PENDENTE]]:tabConsumo[[#This Row],[07_23]] ) / tabConsumo[[#This Row],[Div]]</f>
        <v>695.83333333333337</v>
      </c>
      <c r="U516" s="255">
        <f xml:space="preserve"> tabConsumo[[#This Row],[Média.A]] + (_xlfn.STDEV.S( tabConsumo[[#This Row],[QTD.PENDENTE]]:tabConsumo[[#This Row],[07_23]] ) * 1)</f>
        <v>955.41003510482142</v>
      </c>
      <c r="V516" s="255">
        <f xml:space="preserve"> tabConsumo[[#This Row],[Média.A]] + (_xlfn.STDEV.S( tabConsumo[[#This Row],[QTD.PENDENTE]]:tabConsumo[[#This Row],[07_23]] ) * 2)</f>
        <v>1214.9867368763096</v>
      </c>
      <c r="W516" s="255">
        <f xml:space="preserve"> tabConsumo[[#This Row],[Média.A]] + (_xlfn.STDEV.S( tabConsumo[[#This Row],[QTD.PENDENTE]]:tabConsumo[[#This Row],[07_23]] ) * 3)</f>
        <v>1474.5634386477977</v>
      </c>
      <c r="X516" s="5">
        <f t="shared" si="18"/>
        <v>2</v>
      </c>
      <c r="Y516">
        <v>695.83333333333337</v>
      </c>
      <c r="Z516" s="257">
        <f>SUM( tabConsumo[[#This Row],[QTD.PENDENTE]]:tabConsumo[[#This Row],[07_23]] )</f>
        <v>8350</v>
      </c>
      <c r="AA516" s="257">
        <f>LARGE(tabConsumo[[#This Row],[08_22]:[07_23]],1)</f>
        <v>1120</v>
      </c>
      <c r="AB516" s="175" t="s">
        <v>2211</v>
      </c>
      <c r="AC516" s="3" t="s">
        <v>2064</v>
      </c>
    </row>
    <row r="517" spans="1:29" x14ac:dyDescent="0.3">
      <c r="A517" s="4" t="s">
        <v>1241</v>
      </c>
      <c r="B517" s="3" t="s">
        <v>569</v>
      </c>
      <c r="C517" s="2">
        <v>29961</v>
      </c>
      <c r="D517" s="2">
        <v>655</v>
      </c>
      <c r="F517" s="2">
        <v>489</v>
      </c>
      <c r="G517" s="2">
        <v>466</v>
      </c>
      <c r="H517" s="2">
        <v>581</v>
      </c>
      <c r="I517" s="2">
        <v>706</v>
      </c>
      <c r="J517" s="2">
        <v>530</v>
      </c>
      <c r="K517" s="2">
        <v>310</v>
      </c>
      <c r="L517" s="2">
        <v>493</v>
      </c>
      <c r="M517" s="2">
        <v>1090</v>
      </c>
      <c r="N517" s="2">
        <v>657</v>
      </c>
      <c r="O517" s="2">
        <v>940</v>
      </c>
      <c r="P517" s="2">
        <v>825</v>
      </c>
      <c r="Q517" s="2">
        <v>721</v>
      </c>
      <c r="R517" s="274">
        <v>367</v>
      </c>
      <c r="S517" s="253">
        <f xml:space="preserve"> 12</f>
        <v>12</v>
      </c>
      <c r="T517" s="254">
        <f>SUM( tabConsumo[[#This Row],[QTD.PENDENTE]]:tabConsumo[[#This Row],[07_23]] ) / tabConsumo[[#This Row],[Div]]</f>
        <v>650.66666666666663</v>
      </c>
      <c r="U517" s="255">
        <f xml:space="preserve"> tabConsumo[[#This Row],[Média.A]] + (_xlfn.STDEV.S( tabConsumo[[#This Row],[QTD.PENDENTE]]:tabConsumo[[#This Row],[07_23]] ) * 1)</f>
        <v>871.35415996198162</v>
      </c>
      <c r="V517" s="255">
        <f xml:space="preserve"> tabConsumo[[#This Row],[Média.A]] + (_xlfn.STDEV.S( tabConsumo[[#This Row],[QTD.PENDENTE]]:tabConsumo[[#This Row],[07_23]] ) * 2)</f>
        <v>1092.0416532572967</v>
      </c>
      <c r="W517" s="255">
        <f xml:space="preserve"> tabConsumo[[#This Row],[Média.A]] + (_xlfn.STDEV.S( tabConsumo[[#This Row],[QTD.PENDENTE]]:tabConsumo[[#This Row],[07_23]] ) * 3)</f>
        <v>1312.7291465526118</v>
      </c>
      <c r="X517" s="5">
        <f t="shared" si="18"/>
        <v>2</v>
      </c>
      <c r="Y517">
        <v>650.66666666666663</v>
      </c>
      <c r="Z517" s="257">
        <f>SUM( tabConsumo[[#This Row],[QTD.PENDENTE]]:tabConsumo[[#This Row],[07_23]] )</f>
        <v>7808</v>
      </c>
      <c r="AA517" s="257">
        <f>LARGE(tabConsumo[[#This Row],[08_22]:[07_23]],1)</f>
        <v>1090</v>
      </c>
      <c r="AB517" s="175" t="s">
        <v>2211</v>
      </c>
      <c r="AC517" s="3" t="s">
        <v>2064</v>
      </c>
    </row>
    <row r="518" spans="1:29" x14ac:dyDescent="0.3">
      <c r="A518" s="4" t="s">
        <v>1411</v>
      </c>
      <c r="B518" s="3" t="s">
        <v>569</v>
      </c>
      <c r="C518" s="2">
        <v>75938</v>
      </c>
      <c r="D518" s="2">
        <v>887</v>
      </c>
      <c r="E518" s="2">
        <v>160</v>
      </c>
      <c r="F518" s="2">
        <v>544</v>
      </c>
      <c r="G518" s="2">
        <v>481</v>
      </c>
      <c r="H518" s="2">
        <v>624</v>
      </c>
      <c r="I518" s="2">
        <v>613</v>
      </c>
      <c r="J518" s="2">
        <v>480</v>
      </c>
      <c r="K518" s="2">
        <v>270</v>
      </c>
      <c r="L518" s="2">
        <v>250</v>
      </c>
      <c r="M518" s="2">
        <v>1055</v>
      </c>
      <c r="N518" s="2">
        <v>607</v>
      </c>
      <c r="O518" s="2">
        <v>930</v>
      </c>
      <c r="P518" s="2">
        <v>810</v>
      </c>
      <c r="Q518" s="2">
        <v>726</v>
      </c>
      <c r="R518" s="274">
        <v>37931</v>
      </c>
      <c r="S518" s="253">
        <v>12</v>
      </c>
      <c r="T518" s="254">
        <f>SUM( tabConsumo[[#This Row],[QTD.PENDENTE]]:tabConsumo[[#This Row],[07_23]] ) / tabConsumo[[#This Row],[Div]]</f>
        <v>629.16666666666663</v>
      </c>
      <c r="U518" s="255">
        <f xml:space="preserve"> tabConsumo[[#This Row],[Média.A]] + (_xlfn.STDEV.S( tabConsumo[[#This Row],[QTD.PENDENTE]]:tabConsumo[[#This Row],[07_23]] ) * 1)</f>
        <v>891.93784527591276</v>
      </c>
      <c r="V518" s="255">
        <f xml:space="preserve"> tabConsumo[[#This Row],[Média.A]] + (_xlfn.STDEV.S( tabConsumo[[#This Row],[QTD.PENDENTE]]:tabConsumo[[#This Row],[07_23]] ) * 2)</f>
        <v>1154.7090238851588</v>
      </c>
      <c r="W518" s="255">
        <f xml:space="preserve"> tabConsumo[[#This Row],[Média.A]] + (_xlfn.STDEV.S( tabConsumo[[#This Row],[QTD.PENDENTE]]:tabConsumo[[#This Row],[07_23]] ) * 3)</f>
        <v>1417.4802024944051</v>
      </c>
      <c r="X518" s="5">
        <f t="shared" si="18"/>
        <v>2</v>
      </c>
      <c r="Y518">
        <v>629.16666666666663</v>
      </c>
      <c r="Z518" s="257">
        <f>SUM( tabConsumo[[#This Row],[QTD.PENDENTE]]:tabConsumo[[#This Row],[07_23]] )</f>
        <v>7550</v>
      </c>
      <c r="AA518" s="257">
        <f>LARGE(tabConsumo[[#This Row],[08_22]:[07_23]],1)</f>
        <v>1055</v>
      </c>
      <c r="AB518" s="175" t="s">
        <v>2211</v>
      </c>
      <c r="AC518" s="3" t="s">
        <v>2064</v>
      </c>
    </row>
    <row r="519" spans="1:29" x14ac:dyDescent="0.3">
      <c r="A519" s="4" t="s">
        <v>1184</v>
      </c>
      <c r="B519" s="3" t="s">
        <v>569</v>
      </c>
      <c r="C519" s="2">
        <v>23846</v>
      </c>
      <c r="D519" s="2">
        <v>0</v>
      </c>
      <c r="E519" s="2">
        <v>600</v>
      </c>
      <c r="F519" s="2">
        <v>1071</v>
      </c>
      <c r="G519" s="2">
        <v>1104</v>
      </c>
      <c r="H519" s="2">
        <v>1241</v>
      </c>
      <c r="I519" s="2">
        <v>1334</v>
      </c>
      <c r="J519" s="2">
        <v>587</v>
      </c>
      <c r="K519" s="2">
        <v>453</v>
      </c>
      <c r="L519" s="2">
        <v>1110</v>
      </c>
      <c r="M519" s="2">
        <v>2275</v>
      </c>
      <c r="N519" s="2">
        <v>1350</v>
      </c>
      <c r="O519" s="2">
        <v>1690</v>
      </c>
      <c r="P519" s="2">
        <v>1187</v>
      </c>
      <c r="Q519" s="2">
        <v>369</v>
      </c>
      <c r="R519" s="274">
        <v>367</v>
      </c>
      <c r="S519" s="253">
        <f t="shared" ref="S519:S533" si="19" xml:space="preserve"> 12</f>
        <v>12</v>
      </c>
      <c r="T519" s="254">
        <f>SUM( tabConsumo[[#This Row],[QTD.PENDENTE]]:tabConsumo[[#This Row],[07_23]] ) / tabConsumo[[#This Row],[Div]]</f>
        <v>1197.5833333333333</v>
      </c>
      <c r="U519" s="255">
        <f xml:space="preserve"> tabConsumo[[#This Row],[Média.A]] + (_xlfn.STDEV.S( tabConsumo[[#This Row],[QTD.PENDENTE]]:tabConsumo[[#This Row],[07_23]] ) * 1)</f>
        <v>1725.1673890983229</v>
      </c>
      <c r="V519" s="255">
        <f xml:space="preserve"> tabConsumo[[#This Row],[Média.A]] + (_xlfn.STDEV.S( tabConsumo[[#This Row],[QTD.PENDENTE]]:tabConsumo[[#This Row],[07_23]] ) * 2)</f>
        <v>2252.7514448633128</v>
      </c>
      <c r="W519" s="255">
        <f xml:space="preserve"> tabConsumo[[#This Row],[Média.A]] + (_xlfn.STDEV.S( tabConsumo[[#This Row],[QTD.PENDENTE]]:tabConsumo[[#This Row],[07_23]] ) * 3)</f>
        <v>2780.3355006283027</v>
      </c>
      <c r="X519" s="5">
        <f t="shared" si="18"/>
        <v>2</v>
      </c>
      <c r="Y519">
        <v>1195.6666666666667</v>
      </c>
      <c r="Z519" s="257">
        <f>SUM( tabConsumo[[#This Row],[QTD.PENDENTE]]:tabConsumo[[#This Row],[07_23]] )</f>
        <v>14371</v>
      </c>
      <c r="AA519" s="257">
        <f>LARGE(tabConsumo[[#This Row],[08_22]:[07_23]],1)</f>
        <v>2275</v>
      </c>
      <c r="AB519" s="175" t="s">
        <v>2211</v>
      </c>
      <c r="AC519" s="3" t="s">
        <v>2064</v>
      </c>
    </row>
    <row r="520" spans="1:29" x14ac:dyDescent="0.3">
      <c r="A520" s="4" t="s">
        <v>1244</v>
      </c>
      <c r="B520" s="3" t="s">
        <v>569</v>
      </c>
      <c r="C520" s="2">
        <v>30165</v>
      </c>
      <c r="D520" s="2">
        <v>0</v>
      </c>
      <c r="E520" s="2">
        <v>909</v>
      </c>
      <c r="F520" s="2">
        <v>1222</v>
      </c>
      <c r="G520" s="2">
        <v>1271</v>
      </c>
      <c r="H520" s="2">
        <v>1368</v>
      </c>
      <c r="I520" s="2">
        <v>1388</v>
      </c>
      <c r="J520" s="2">
        <v>13</v>
      </c>
      <c r="K520" s="2">
        <v>483</v>
      </c>
      <c r="L520" s="2">
        <v>1150</v>
      </c>
      <c r="M520" s="2">
        <v>2435</v>
      </c>
      <c r="N520" s="2">
        <v>1505</v>
      </c>
      <c r="O520" s="2">
        <v>1750</v>
      </c>
      <c r="P520" s="2">
        <v>742</v>
      </c>
      <c r="Q520" s="2">
        <v>19</v>
      </c>
      <c r="R520" s="274">
        <v>367</v>
      </c>
      <c r="S520" s="253">
        <f t="shared" si="19"/>
        <v>12</v>
      </c>
      <c r="T520" s="254">
        <f>SUM( tabConsumo[[#This Row],[QTD.PENDENTE]]:tabConsumo[[#This Row],[07_23]] ) / tabConsumo[[#This Row],[Div]]</f>
        <v>1187.9166666666667</v>
      </c>
      <c r="U520" s="255">
        <f xml:space="preserve"> tabConsumo[[#This Row],[Média.A]] + (_xlfn.STDEV.S( tabConsumo[[#This Row],[QTD.PENDENTE]]:tabConsumo[[#This Row],[07_23]] ) * 1)</f>
        <v>1862.7901875806001</v>
      </c>
      <c r="V520" s="255">
        <f xml:space="preserve"> tabConsumo[[#This Row],[Média.A]] + (_xlfn.STDEV.S( tabConsumo[[#This Row],[QTD.PENDENTE]]:tabConsumo[[#This Row],[07_23]] ) * 2)</f>
        <v>2537.6637084945332</v>
      </c>
      <c r="W520" s="255">
        <f xml:space="preserve"> tabConsumo[[#This Row],[Média.A]] + (_xlfn.STDEV.S( tabConsumo[[#This Row],[QTD.PENDENTE]]:tabConsumo[[#This Row],[07_23]] ) * 3)</f>
        <v>3212.5372294084668</v>
      </c>
      <c r="X520" s="5">
        <f t="shared" si="18"/>
        <v>2</v>
      </c>
      <c r="Y520">
        <v>1187.9166666666667</v>
      </c>
      <c r="Z520" s="257">
        <f>SUM( tabConsumo[[#This Row],[QTD.PENDENTE]]:tabConsumo[[#This Row],[07_23]] )</f>
        <v>14255</v>
      </c>
      <c r="AA520" s="257">
        <f>LARGE(tabConsumo[[#This Row],[08_22]:[07_23]],1)</f>
        <v>2435</v>
      </c>
      <c r="AB520" s="175" t="s">
        <v>2211</v>
      </c>
      <c r="AC520" s="3" t="s">
        <v>2064</v>
      </c>
    </row>
    <row r="521" spans="1:29" x14ac:dyDescent="0.3">
      <c r="A521" s="4" t="s">
        <v>1186</v>
      </c>
      <c r="B521" s="3" t="s">
        <v>569</v>
      </c>
      <c r="C521" s="2">
        <v>23875</v>
      </c>
      <c r="D521" s="2">
        <v>1229</v>
      </c>
      <c r="E521" s="2">
        <v>25</v>
      </c>
      <c r="F521" s="2">
        <v>1054</v>
      </c>
      <c r="G521" s="2">
        <v>1038</v>
      </c>
      <c r="H521" s="2">
        <v>1251</v>
      </c>
      <c r="I521" s="2">
        <v>1254</v>
      </c>
      <c r="J521" s="2">
        <v>703</v>
      </c>
      <c r="K521" s="2">
        <v>480</v>
      </c>
      <c r="L521" s="2">
        <v>1060</v>
      </c>
      <c r="M521" s="2">
        <v>2175</v>
      </c>
      <c r="N521" s="2">
        <v>1390</v>
      </c>
      <c r="O521" s="2">
        <v>1580</v>
      </c>
      <c r="P521" s="2">
        <v>1405</v>
      </c>
      <c r="Q521" s="2">
        <v>1211</v>
      </c>
      <c r="R521" s="274">
        <v>367</v>
      </c>
      <c r="S521" s="253">
        <f t="shared" si="19"/>
        <v>12</v>
      </c>
      <c r="T521" s="254">
        <f>SUM( tabConsumo[[#This Row],[QTD.PENDENTE]]:tabConsumo[[#This Row],[07_23]] ) / tabConsumo[[#This Row],[Div]]</f>
        <v>1218.8333333333333</v>
      </c>
      <c r="U521" s="255">
        <f xml:space="preserve"> tabConsumo[[#This Row],[Média.A]] + (_xlfn.STDEV.S( tabConsumo[[#This Row],[QTD.PENDENTE]]:tabConsumo[[#This Row],[07_23]] ) * 1)</f>
        <v>1744.745788268953</v>
      </c>
      <c r="V521" s="255">
        <f xml:space="preserve"> tabConsumo[[#This Row],[Média.A]] + (_xlfn.STDEV.S( tabConsumo[[#This Row],[QTD.PENDENTE]]:tabConsumo[[#This Row],[07_23]] ) * 2)</f>
        <v>2270.6582432045725</v>
      </c>
      <c r="W521" s="255">
        <f xml:space="preserve"> tabConsumo[[#This Row],[Média.A]] + (_xlfn.STDEV.S( tabConsumo[[#This Row],[QTD.PENDENTE]]:tabConsumo[[#This Row],[07_23]] ) * 3)</f>
        <v>2796.5706981401927</v>
      </c>
      <c r="X521" s="5">
        <f t="shared" si="18"/>
        <v>2</v>
      </c>
      <c r="Y521">
        <v>1218.8333333333333</v>
      </c>
      <c r="Z521" s="257">
        <f>SUM( tabConsumo[[#This Row],[QTD.PENDENTE]]:tabConsumo[[#This Row],[07_23]] )</f>
        <v>14626</v>
      </c>
      <c r="AA521" s="257">
        <f>LARGE(tabConsumo[[#This Row],[08_22]:[07_23]],1)</f>
        <v>2175</v>
      </c>
      <c r="AB521" s="175" t="s">
        <v>2211</v>
      </c>
      <c r="AC521" s="3" t="s">
        <v>2064</v>
      </c>
    </row>
    <row r="522" spans="1:29" x14ac:dyDescent="0.3">
      <c r="A522" s="4" t="s">
        <v>1249</v>
      </c>
      <c r="B522" s="3" t="s">
        <v>569</v>
      </c>
      <c r="C522" s="2">
        <v>32933</v>
      </c>
      <c r="D522" s="2">
        <v>0</v>
      </c>
      <c r="E522" s="2">
        <v>452</v>
      </c>
      <c r="F522" s="2">
        <v>1107</v>
      </c>
      <c r="G522" s="2">
        <v>1071</v>
      </c>
      <c r="H522" s="2">
        <v>1216</v>
      </c>
      <c r="I522" s="2">
        <v>1424</v>
      </c>
      <c r="J522" s="2">
        <v>762</v>
      </c>
      <c r="K522" s="2">
        <v>0</v>
      </c>
      <c r="L522" s="2">
        <v>920</v>
      </c>
      <c r="M522" s="2">
        <v>2250</v>
      </c>
      <c r="N522" s="2">
        <v>1410</v>
      </c>
      <c r="O522" s="2">
        <v>1711</v>
      </c>
      <c r="P522" s="2">
        <v>1485</v>
      </c>
      <c r="Q522" s="2">
        <v>330</v>
      </c>
      <c r="R522" s="274">
        <v>367</v>
      </c>
      <c r="S522" s="253">
        <f t="shared" si="19"/>
        <v>12</v>
      </c>
      <c r="T522" s="254">
        <f>SUM( tabConsumo[[#This Row],[QTD.PENDENTE]]:tabConsumo[[#This Row],[07_23]] ) / tabConsumo[[#This Row],[Div]]</f>
        <v>1178.1666666666667</v>
      </c>
      <c r="U522" s="255">
        <f xml:space="preserve"> tabConsumo[[#This Row],[Média.A]] + (_xlfn.STDEV.S( tabConsumo[[#This Row],[QTD.PENDENTE]]:tabConsumo[[#This Row],[07_23]] ) * 1)</f>
        <v>1785.5447223816411</v>
      </c>
      <c r="V522" s="255">
        <f xml:space="preserve"> tabConsumo[[#This Row],[Média.A]] + (_xlfn.STDEV.S( tabConsumo[[#This Row],[QTD.PENDENTE]]:tabConsumo[[#This Row],[07_23]] ) * 2)</f>
        <v>2392.9227780966157</v>
      </c>
      <c r="W522" s="255">
        <f xml:space="preserve"> tabConsumo[[#This Row],[Média.A]] + (_xlfn.STDEV.S( tabConsumo[[#This Row],[QTD.PENDENTE]]:tabConsumo[[#This Row],[07_23]] ) * 3)</f>
        <v>3000.3008338115897</v>
      </c>
      <c r="X522" s="5">
        <f t="shared" si="18"/>
        <v>2</v>
      </c>
      <c r="Y522">
        <v>1178.1666666666667</v>
      </c>
      <c r="Z522" s="257">
        <f>SUM( tabConsumo[[#This Row],[QTD.PENDENTE]]:tabConsumo[[#This Row],[07_23]] )</f>
        <v>14138</v>
      </c>
      <c r="AA522" s="257">
        <f>LARGE(tabConsumo[[#This Row],[08_22]:[07_23]],1)</f>
        <v>2250</v>
      </c>
      <c r="AB522" s="175" t="s">
        <v>2211</v>
      </c>
      <c r="AC522" s="3" t="s">
        <v>2064</v>
      </c>
    </row>
    <row r="523" spans="1:29" x14ac:dyDescent="0.3">
      <c r="A523" s="4" t="s">
        <v>1185</v>
      </c>
      <c r="B523" s="3" t="s">
        <v>569</v>
      </c>
      <c r="C523" s="2">
        <v>23862</v>
      </c>
      <c r="D523" s="2">
        <v>96</v>
      </c>
      <c r="E523" s="2">
        <v>95</v>
      </c>
      <c r="F523" s="2">
        <v>1242</v>
      </c>
      <c r="G523" s="2">
        <v>1101</v>
      </c>
      <c r="H523" s="2">
        <v>1241</v>
      </c>
      <c r="I523" s="2">
        <v>1409</v>
      </c>
      <c r="J523" s="2">
        <v>748</v>
      </c>
      <c r="K523" s="2">
        <v>488</v>
      </c>
      <c r="L523" s="2">
        <v>1110</v>
      </c>
      <c r="M523" s="2">
        <v>2402</v>
      </c>
      <c r="N523" s="2">
        <v>1370</v>
      </c>
      <c r="O523" s="2">
        <v>1770</v>
      </c>
      <c r="P523" s="2">
        <v>1510</v>
      </c>
      <c r="Q523" s="2">
        <v>1293</v>
      </c>
      <c r="R523" s="274">
        <v>367</v>
      </c>
      <c r="S523" s="253">
        <f t="shared" si="19"/>
        <v>12</v>
      </c>
      <c r="T523" s="254">
        <f>SUM( tabConsumo[[#This Row],[QTD.PENDENTE]]:tabConsumo[[#This Row],[07_23]] ) / tabConsumo[[#This Row],[Div]]</f>
        <v>1314.9166666666667</v>
      </c>
      <c r="U523" s="255">
        <f xml:space="preserve"> tabConsumo[[#This Row],[Média.A]] + (_xlfn.STDEV.S( tabConsumo[[#This Row],[QTD.PENDENTE]]:tabConsumo[[#This Row],[07_23]] ) * 1)</f>
        <v>1884.8719505627155</v>
      </c>
      <c r="V523" s="255">
        <f xml:space="preserve"> tabConsumo[[#This Row],[Média.A]] + (_xlfn.STDEV.S( tabConsumo[[#This Row],[QTD.PENDENTE]]:tabConsumo[[#This Row],[07_23]] ) * 2)</f>
        <v>2454.8272344587645</v>
      </c>
      <c r="W523" s="255">
        <f xml:space="preserve"> tabConsumo[[#This Row],[Média.A]] + (_xlfn.STDEV.S( tabConsumo[[#This Row],[QTD.PENDENTE]]:tabConsumo[[#This Row],[07_23]] ) * 3)</f>
        <v>3024.782518354813</v>
      </c>
      <c r="X523" s="5">
        <f t="shared" si="18"/>
        <v>2</v>
      </c>
      <c r="Y523">
        <v>1314.9166666666667</v>
      </c>
      <c r="Z523" s="257">
        <f>SUM( tabConsumo[[#This Row],[QTD.PENDENTE]]:tabConsumo[[#This Row],[07_23]] )</f>
        <v>15779</v>
      </c>
      <c r="AA523" s="257">
        <f>LARGE(tabConsumo[[#This Row],[08_22]:[07_23]],1)</f>
        <v>2402</v>
      </c>
      <c r="AB523" s="175" t="s">
        <v>2211</v>
      </c>
      <c r="AC523" s="3" t="s">
        <v>2064</v>
      </c>
    </row>
    <row r="524" spans="1:29" x14ac:dyDescent="0.3">
      <c r="A524" s="4" t="s">
        <v>1128</v>
      </c>
      <c r="B524" s="3" t="s">
        <v>569</v>
      </c>
      <c r="C524" s="2">
        <v>17362</v>
      </c>
      <c r="D524" s="2">
        <v>591</v>
      </c>
      <c r="F524" s="2">
        <v>741</v>
      </c>
      <c r="G524" s="2">
        <v>515</v>
      </c>
      <c r="H524" s="2">
        <v>615</v>
      </c>
      <c r="I524" s="2">
        <v>1005</v>
      </c>
      <c r="J524" s="2">
        <v>623</v>
      </c>
      <c r="K524" s="2">
        <v>175</v>
      </c>
      <c r="L524" s="2">
        <v>535</v>
      </c>
      <c r="M524" s="2">
        <v>1188</v>
      </c>
      <c r="N524" s="2">
        <v>600</v>
      </c>
      <c r="O524" s="2">
        <v>1137</v>
      </c>
      <c r="P524" s="2">
        <v>1102</v>
      </c>
      <c r="Q524" s="2">
        <v>773</v>
      </c>
      <c r="R524" s="274">
        <v>367</v>
      </c>
      <c r="S524" s="253">
        <f t="shared" si="19"/>
        <v>12</v>
      </c>
      <c r="T524" s="254">
        <f>SUM( tabConsumo[[#This Row],[QTD.PENDENTE]]:tabConsumo[[#This Row],[07_23]] ) / tabConsumo[[#This Row],[Div]]</f>
        <v>750.75</v>
      </c>
      <c r="U524" s="255">
        <f xml:space="preserve"> tabConsumo[[#This Row],[Média.A]] + (_xlfn.STDEV.S( tabConsumo[[#This Row],[QTD.PENDENTE]]:tabConsumo[[#This Row],[07_23]] ) * 1)</f>
        <v>1055.2726144759577</v>
      </c>
      <c r="V524" s="255">
        <f xml:space="preserve"> tabConsumo[[#This Row],[Média.A]] + (_xlfn.STDEV.S( tabConsumo[[#This Row],[QTD.PENDENTE]]:tabConsumo[[#This Row],[07_23]] ) * 2)</f>
        <v>1359.7952289519153</v>
      </c>
      <c r="W524" s="255">
        <f xml:space="preserve"> tabConsumo[[#This Row],[Média.A]] + (_xlfn.STDEV.S( tabConsumo[[#This Row],[QTD.PENDENTE]]:tabConsumo[[#This Row],[07_23]] ) * 3)</f>
        <v>1664.317843427873</v>
      </c>
      <c r="X524" s="5">
        <f t="shared" si="18"/>
        <v>2</v>
      </c>
      <c r="Y524">
        <v>750.75</v>
      </c>
      <c r="Z524" s="257">
        <f>SUM( tabConsumo[[#This Row],[QTD.PENDENTE]]:tabConsumo[[#This Row],[07_23]] )</f>
        <v>9009</v>
      </c>
      <c r="AA524" s="257">
        <f>LARGE(tabConsumo[[#This Row],[08_22]:[07_23]],1)</f>
        <v>1188</v>
      </c>
      <c r="AB524" s="175" t="s">
        <v>2211</v>
      </c>
      <c r="AC524" s="3" t="s">
        <v>2064</v>
      </c>
    </row>
    <row r="525" spans="1:29" x14ac:dyDescent="0.3">
      <c r="A525" s="4" t="s">
        <v>1248</v>
      </c>
      <c r="B525" s="3" t="s">
        <v>569</v>
      </c>
      <c r="C525" s="2">
        <v>32927</v>
      </c>
      <c r="D525" s="2">
        <v>163</v>
      </c>
      <c r="E525" s="2">
        <v>57</v>
      </c>
      <c r="F525" s="2">
        <v>709</v>
      </c>
      <c r="G525" s="2">
        <v>455</v>
      </c>
      <c r="H525" s="2">
        <v>545</v>
      </c>
      <c r="I525" s="2">
        <v>1035</v>
      </c>
      <c r="J525" s="2">
        <v>613</v>
      </c>
      <c r="K525" s="2">
        <v>185</v>
      </c>
      <c r="L525" s="2">
        <v>240</v>
      </c>
      <c r="M525" s="2">
        <v>1089</v>
      </c>
      <c r="N525" s="2">
        <v>580</v>
      </c>
      <c r="O525" s="2">
        <v>1193</v>
      </c>
      <c r="P525" s="2">
        <v>1050</v>
      </c>
      <c r="Q525" s="2">
        <v>763</v>
      </c>
      <c r="R525" s="274">
        <v>367</v>
      </c>
      <c r="S525" s="253">
        <f t="shared" si="19"/>
        <v>12</v>
      </c>
      <c r="T525" s="254">
        <f>SUM( tabConsumo[[#This Row],[QTD.PENDENTE]]:tabConsumo[[#This Row],[07_23]] ) / tabConsumo[[#This Row],[Div]]</f>
        <v>709.5</v>
      </c>
      <c r="U525" s="255">
        <f xml:space="preserve"> tabConsumo[[#This Row],[Média.A]] + (_xlfn.STDEV.S( tabConsumo[[#This Row],[QTD.PENDENTE]]:tabConsumo[[#This Row],[07_23]] ) * 1)</f>
        <v>1074.9931512213925</v>
      </c>
      <c r="V525" s="255">
        <f xml:space="preserve"> tabConsumo[[#This Row],[Média.A]] + (_xlfn.STDEV.S( tabConsumo[[#This Row],[QTD.PENDENTE]]:tabConsumo[[#This Row],[07_23]] ) * 2)</f>
        <v>1440.4863024427848</v>
      </c>
      <c r="W525" s="255">
        <f xml:space="preserve"> tabConsumo[[#This Row],[Média.A]] + (_xlfn.STDEV.S( tabConsumo[[#This Row],[QTD.PENDENTE]]:tabConsumo[[#This Row],[07_23]] ) * 3)</f>
        <v>1805.9794536641771</v>
      </c>
      <c r="X525" s="5">
        <f t="shared" si="18"/>
        <v>2</v>
      </c>
      <c r="Y525">
        <v>709.5</v>
      </c>
      <c r="Z525" s="257">
        <f>SUM( tabConsumo[[#This Row],[QTD.PENDENTE]]:tabConsumo[[#This Row],[07_23]] )</f>
        <v>8514</v>
      </c>
      <c r="AA525" s="257">
        <f>LARGE(tabConsumo[[#This Row],[08_22]:[07_23]],1)</f>
        <v>1193</v>
      </c>
      <c r="AB525" s="175" t="s">
        <v>2211</v>
      </c>
      <c r="AC525" s="3" t="s">
        <v>2064</v>
      </c>
    </row>
    <row r="526" spans="1:29" x14ac:dyDescent="0.3">
      <c r="A526" s="4" t="s">
        <v>1130</v>
      </c>
      <c r="B526" s="3" t="s">
        <v>569</v>
      </c>
      <c r="C526" s="2">
        <v>17370</v>
      </c>
      <c r="D526" s="2">
        <v>283</v>
      </c>
      <c r="E526" s="2">
        <v>56</v>
      </c>
      <c r="F526" s="2">
        <v>739</v>
      </c>
      <c r="G526" s="2">
        <v>450</v>
      </c>
      <c r="H526" s="2">
        <v>565</v>
      </c>
      <c r="I526" s="2">
        <v>1025</v>
      </c>
      <c r="J526" s="2">
        <v>613</v>
      </c>
      <c r="K526" s="2">
        <v>69</v>
      </c>
      <c r="L526" s="2">
        <v>200</v>
      </c>
      <c r="M526" s="2">
        <v>1024</v>
      </c>
      <c r="N526" s="2">
        <v>575</v>
      </c>
      <c r="O526" s="2">
        <v>1173</v>
      </c>
      <c r="P526" s="2">
        <v>1042</v>
      </c>
      <c r="Q526" s="2">
        <v>768</v>
      </c>
      <c r="R526" s="274">
        <v>367</v>
      </c>
      <c r="S526" s="253">
        <f t="shared" si="19"/>
        <v>12</v>
      </c>
      <c r="T526" s="254">
        <f>SUM( tabConsumo[[#This Row],[QTD.PENDENTE]]:tabConsumo[[#This Row],[07_23]] ) / tabConsumo[[#This Row],[Div]]</f>
        <v>691.58333333333337</v>
      </c>
      <c r="U526" s="255">
        <f xml:space="preserve"> tabConsumo[[#This Row],[Média.A]] + (_xlfn.STDEV.S( tabConsumo[[#This Row],[QTD.PENDENTE]]:tabConsumo[[#This Row],[07_23]] ) * 1)</f>
        <v>1065.1808303051275</v>
      </c>
      <c r="V526" s="255">
        <f xml:space="preserve"> tabConsumo[[#This Row],[Média.A]] + (_xlfn.STDEV.S( tabConsumo[[#This Row],[QTD.PENDENTE]]:tabConsumo[[#This Row],[07_23]] ) * 2)</f>
        <v>1438.7783272769216</v>
      </c>
      <c r="W526" s="255">
        <f xml:space="preserve"> tabConsumo[[#This Row],[Média.A]] + (_xlfn.STDEV.S( tabConsumo[[#This Row],[QTD.PENDENTE]]:tabConsumo[[#This Row],[07_23]] ) * 3)</f>
        <v>1812.3758242487161</v>
      </c>
      <c r="X526" s="5">
        <f t="shared" si="18"/>
        <v>2</v>
      </c>
      <c r="Y526">
        <v>691.58333333333337</v>
      </c>
      <c r="Z526" s="257">
        <f>SUM( tabConsumo[[#This Row],[QTD.PENDENTE]]:tabConsumo[[#This Row],[07_23]] )</f>
        <v>8299</v>
      </c>
      <c r="AA526" s="257">
        <f>LARGE(tabConsumo[[#This Row],[08_22]:[07_23]],1)</f>
        <v>1173</v>
      </c>
      <c r="AB526" s="175" t="s">
        <v>2211</v>
      </c>
      <c r="AC526" s="3" t="s">
        <v>2064</v>
      </c>
    </row>
    <row r="527" spans="1:29" x14ac:dyDescent="0.3">
      <c r="A527" s="4" t="s">
        <v>1131</v>
      </c>
      <c r="B527" s="3" t="s">
        <v>569</v>
      </c>
      <c r="C527" s="2">
        <v>17371</v>
      </c>
      <c r="D527" s="2">
        <v>221</v>
      </c>
      <c r="E527" s="2">
        <v>226</v>
      </c>
      <c r="F527" s="2">
        <v>729</v>
      </c>
      <c r="G527" s="2">
        <v>473</v>
      </c>
      <c r="H527" s="2">
        <v>630</v>
      </c>
      <c r="I527" s="2">
        <v>965</v>
      </c>
      <c r="J527" s="2">
        <v>387</v>
      </c>
      <c r="K527" s="2">
        <v>0</v>
      </c>
      <c r="L527" s="2">
        <v>191</v>
      </c>
      <c r="M527" s="2">
        <v>1044</v>
      </c>
      <c r="N527" s="2">
        <v>596</v>
      </c>
      <c r="O527" s="2">
        <v>1173</v>
      </c>
      <c r="P527" s="2">
        <v>1047</v>
      </c>
      <c r="Q527" s="2">
        <v>793</v>
      </c>
      <c r="R527" s="274">
        <v>367</v>
      </c>
      <c r="S527" s="253">
        <f t="shared" si="19"/>
        <v>12</v>
      </c>
      <c r="T527" s="254">
        <f>SUM( tabConsumo[[#This Row],[QTD.PENDENTE]]:tabConsumo[[#This Row],[07_23]] ) / tabConsumo[[#This Row],[Div]]</f>
        <v>687.83333333333337</v>
      </c>
      <c r="U527" s="255">
        <f xml:space="preserve"> tabConsumo[[#This Row],[Média.A]] + (_xlfn.STDEV.S( tabConsumo[[#This Row],[QTD.PENDENTE]]:tabConsumo[[#This Row],[07_23]] ) * 1)</f>
        <v>1055.948456073141</v>
      </c>
      <c r="V527" s="255">
        <f xml:space="preserve"> tabConsumo[[#This Row],[Média.A]] + (_xlfn.STDEV.S( tabConsumo[[#This Row],[QTD.PENDENTE]]:tabConsumo[[#This Row],[07_23]] ) * 2)</f>
        <v>1424.0635788129484</v>
      </c>
      <c r="W527" s="255">
        <f xml:space="preserve"> tabConsumo[[#This Row],[Média.A]] + (_xlfn.STDEV.S( tabConsumo[[#This Row],[QTD.PENDENTE]]:tabConsumo[[#This Row],[07_23]] ) * 3)</f>
        <v>1792.1787015527561</v>
      </c>
      <c r="X527" s="5">
        <f t="shared" si="18"/>
        <v>2</v>
      </c>
      <c r="Y527">
        <v>687.83333333333337</v>
      </c>
      <c r="Z527" s="257">
        <f>SUM( tabConsumo[[#This Row],[QTD.PENDENTE]]:tabConsumo[[#This Row],[07_23]] )</f>
        <v>8254</v>
      </c>
      <c r="AA527" s="257">
        <f>LARGE(tabConsumo[[#This Row],[08_22]:[07_23]],1)</f>
        <v>1173</v>
      </c>
      <c r="AB527" s="175" t="s">
        <v>2211</v>
      </c>
      <c r="AC527" s="3" t="s">
        <v>2064</v>
      </c>
    </row>
    <row r="528" spans="1:29" x14ac:dyDescent="0.3">
      <c r="A528" s="4" t="s">
        <v>1187</v>
      </c>
      <c r="B528" s="3" t="s">
        <v>281</v>
      </c>
      <c r="C528" s="2">
        <v>23986</v>
      </c>
      <c r="D528" s="2">
        <v>1066</v>
      </c>
      <c r="E528" s="2">
        <v>65</v>
      </c>
      <c r="F528" s="2">
        <v>501</v>
      </c>
      <c r="G528" s="2">
        <v>450</v>
      </c>
      <c r="H528" s="2">
        <v>582</v>
      </c>
      <c r="I528" s="2">
        <v>704</v>
      </c>
      <c r="J528" s="2">
        <v>542</v>
      </c>
      <c r="K528" s="2">
        <v>269</v>
      </c>
      <c r="L528" s="2">
        <v>468</v>
      </c>
      <c r="M528" s="2">
        <v>1115</v>
      </c>
      <c r="N528" s="2">
        <v>600</v>
      </c>
      <c r="O528" s="2">
        <v>1006</v>
      </c>
      <c r="P528" s="2">
        <v>1070</v>
      </c>
      <c r="Q528" s="2">
        <v>731</v>
      </c>
      <c r="R528" s="274">
        <v>367</v>
      </c>
      <c r="S528" s="253">
        <f t="shared" si="19"/>
        <v>12</v>
      </c>
      <c r="T528" s="254">
        <f>SUM( tabConsumo[[#This Row],[QTD.PENDENTE]]:tabConsumo[[#This Row],[07_23]] ) / tabConsumo[[#This Row],[Div]]</f>
        <v>675.25</v>
      </c>
      <c r="U528" s="255">
        <f xml:space="preserve"> tabConsumo[[#This Row],[Média.A]] + (_xlfn.STDEV.S( tabConsumo[[#This Row],[QTD.PENDENTE]]:tabConsumo[[#This Row],[07_23]] ) * 1)</f>
        <v>980.90159485253366</v>
      </c>
      <c r="V528" s="255">
        <f xml:space="preserve"> tabConsumo[[#This Row],[Média.A]] + (_xlfn.STDEV.S( tabConsumo[[#This Row],[QTD.PENDENTE]]:tabConsumo[[#This Row],[07_23]] ) * 2)</f>
        <v>1286.5531897050673</v>
      </c>
      <c r="W528" s="255">
        <f xml:space="preserve"> tabConsumo[[#This Row],[Média.A]] + (_xlfn.STDEV.S( tabConsumo[[#This Row],[QTD.PENDENTE]]:tabConsumo[[#This Row],[07_23]] ) * 3)</f>
        <v>1592.2047845576012</v>
      </c>
      <c r="X528" s="5">
        <f t="shared" si="18"/>
        <v>2</v>
      </c>
      <c r="Y528">
        <v>675.25</v>
      </c>
      <c r="Z528" s="257">
        <f>SUM( tabConsumo[[#This Row],[QTD.PENDENTE]]:tabConsumo[[#This Row],[07_23]] )</f>
        <v>8103</v>
      </c>
      <c r="AA528" s="257">
        <f>LARGE(tabConsumo[[#This Row],[08_22]:[07_23]],1)</f>
        <v>1115</v>
      </c>
      <c r="AB528" s="175" t="s">
        <v>2211</v>
      </c>
      <c r="AC528" s="3" t="s">
        <v>2064</v>
      </c>
    </row>
    <row r="529" spans="1:29" x14ac:dyDescent="0.3">
      <c r="A529" s="4" t="s">
        <v>1198</v>
      </c>
      <c r="B529" s="3" t="s">
        <v>281</v>
      </c>
      <c r="C529" s="2">
        <v>24476</v>
      </c>
      <c r="D529" s="2">
        <v>1416</v>
      </c>
      <c r="E529" s="2">
        <v>35</v>
      </c>
      <c r="F529" s="2">
        <v>520</v>
      </c>
      <c r="G529" s="2">
        <v>424</v>
      </c>
      <c r="H529" s="2">
        <v>574</v>
      </c>
      <c r="I529" s="2">
        <v>708</v>
      </c>
      <c r="J529" s="2">
        <v>530</v>
      </c>
      <c r="K529" s="2">
        <v>289</v>
      </c>
      <c r="L529" s="2">
        <v>468</v>
      </c>
      <c r="M529" s="2">
        <v>1100</v>
      </c>
      <c r="N529" s="2">
        <v>600</v>
      </c>
      <c r="O529" s="2">
        <v>1006</v>
      </c>
      <c r="P529" s="2">
        <v>1047</v>
      </c>
      <c r="Q529" s="2">
        <v>781</v>
      </c>
      <c r="R529" s="274">
        <v>367</v>
      </c>
      <c r="S529" s="253">
        <f t="shared" si="19"/>
        <v>12</v>
      </c>
      <c r="T529" s="254">
        <f>SUM( tabConsumo[[#This Row],[QTD.PENDENTE]]:tabConsumo[[#This Row],[07_23]] ) / tabConsumo[[#This Row],[Div]]</f>
        <v>673.5</v>
      </c>
      <c r="U529" s="255">
        <f xml:space="preserve"> tabConsumo[[#This Row],[Média.A]] + (_xlfn.STDEV.S( tabConsumo[[#This Row],[QTD.PENDENTE]]:tabConsumo[[#This Row],[07_23]] ) * 1)</f>
        <v>980.26738869904466</v>
      </c>
      <c r="V529" s="255">
        <f xml:space="preserve"> tabConsumo[[#This Row],[Média.A]] + (_xlfn.STDEV.S( tabConsumo[[#This Row],[QTD.PENDENTE]]:tabConsumo[[#This Row],[07_23]] ) * 2)</f>
        <v>1287.0347773980893</v>
      </c>
      <c r="W529" s="255">
        <f xml:space="preserve"> tabConsumo[[#This Row],[Média.A]] + (_xlfn.STDEV.S( tabConsumo[[#This Row],[QTD.PENDENTE]]:tabConsumo[[#This Row],[07_23]] ) * 3)</f>
        <v>1593.802166097134</v>
      </c>
      <c r="X529" s="5">
        <f t="shared" si="18"/>
        <v>2</v>
      </c>
      <c r="Y529">
        <v>673.5</v>
      </c>
      <c r="Z529" s="257">
        <f>SUM( tabConsumo[[#This Row],[QTD.PENDENTE]]:tabConsumo[[#This Row],[07_23]] )</f>
        <v>8082</v>
      </c>
      <c r="AA529" s="257">
        <f>LARGE(tabConsumo[[#This Row],[08_22]:[07_23]],1)</f>
        <v>1100</v>
      </c>
      <c r="AB529" s="175" t="s">
        <v>2211</v>
      </c>
      <c r="AC529" s="3" t="s">
        <v>2064</v>
      </c>
    </row>
    <row r="530" spans="1:29" x14ac:dyDescent="0.3">
      <c r="A530" s="4" t="s">
        <v>1188</v>
      </c>
      <c r="B530" s="3" t="s">
        <v>281</v>
      </c>
      <c r="C530" s="2">
        <v>23989</v>
      </c>
      <c r="D530" s="2">
        <v>2384</v>
      </c>
      <c r="E530" s="2">
        <v>65</v>
      </c>
      <c r="F530" s="2">
        <v>445</v>
      </c>
      <c r="G530" s="2">
        <v>379</v>
      </c>
      <c r="H530" s="2">
        <v>549</v>
      </c>
      <c r="I530" s="2">
        <v>542</v>
      </c>
      <c r="J530" s="2">
        <v>402</v>
      </c>
      <c r="K530" s="2">
        <v>266</v>
      </c>
      <c r="L530" s="2">
        <v>488</v>
      </c>
      <c r="M530" s="2">
        <v>1110</v>
      </c>
      <c r="N530" s="2">
        <v>575</v>
      </c>
      <c r="O530" s="2">
        <v>1001</v>
      </c>
      <c r="P530" s="2">
        <v>1038</v>
      </c>
      <c r="Q530" s="2">
        <v>741</v>
      </c>
      <c r="R530" s="274">
        <v>367</v>
      </c>
      <c r="S530" s="253">
        <f t="shared" si="19"/>
        <v>12</v>
      </c>
      <c r="T530" s="254">
        <f>SUM( tabConsumo[[#This Row],[QTD.PENDENTE]]:tabConsumo[[#This Row],[07_23]] ) / tabConsumo[[#This Row],[Div]]</f>
        <v>633.41666666666663</v>
      </c>
      <c r="U530" s="255">
        <f xml:space="preserve"> tabConsumo[[#This Row],[Média.A]] + (_xlfn.STDEV.S( tabConsumo[[#This Row],[QTD.PENDENTE]]:tabConsumo[[#This Row],[07_23]] ) * 1)</f>
        <v>944.13690112616246</v>
      </c>
      <c r="V530" s="255">
        <f xml:space="preserve"> tabConsumo[[#This Row],[Média.A]] + (_xlfn.STDEV.S( tabConsumo[[#This Row],[QTD.PENDENTE]]:tabConsumo[[#This Row],[07_23]] ) * 2)</f>
        <v>1254.8571355856584</v>
      </c>
      <c r="W530" s="255">
        <f xml:space="preserve"> tabConsumo[[#This Row],[Média.A]] + (_xlfn.STDEV.S( tabConsumo[[#This Row],[QTD.PENDENTE]]:tabConsumo[[#This Row],[07_23]] ) * 3)</f>
        <v>1565.5773700451541</v>
      </c>
      <c r="X530" s="5">
        <f t="shared" si="18"/>
        <v>2</v>
      </c>
      <c r="Y530">
        <v>633.41666666666663</v>
      </c>
      <c r="Z530" s="257">
        <f>SUM( tabConsumo[[#This Row],[QTD.PENDENTE]]:tabConsumo[[#This Row],[07_23]] )</f>
        <v>7601</v>
      </c>
      <c r="AA530" s="257">
        <f>LARGE(tabConsumo[[#This Row],[08_22]:[07_23]],1)</f>
        <v>1110</v>
      </c>
      <c r="AB530" s="175" t="s">
        <v>2211</v>
      </c>
      <c r="AC530" s="3" t="s">
        <v>2064</v>
      </c>
    </row>
    <row r="531" spans="1:29" x14ac:dyDescent="0.3">
      <c r="A531" s="4" t="s">
        <v>1189</v>
      </c>
      <c r="B531" s="3" t="s">
        <v>281</v>
      </c>
      <c r="C531" s="2">
        <v>23993</v>
      </c>
      <c r="D531" s="2">
        <v>3165</v>
      </c>
      <c r="E531" s="2">
        <v>15</v>
      </c>
      <c r="F531" s="2">
        <v>451</v>
      </c>
      <c r="G531" s="2">
        <v>384</v>
      </c>
      <c r="H531" s="2">
        <v>514</v>
      </c>
      <c r="I531" s="2">
        <v>456</v>
      </c>
      <c r="J531" s="2">
        <v>457</v>
      </c>
      <c r="K531" s="2">
        <v>241</v>
      </c>
      <c r="L531" s="2">
        <v>476</v>
      </c>
      <c r="M531" s="2">
        <v>1070</v>
      </c>
      <c r="N531" s="2">
        <v>550</v>
      </c>
      <c r="O531" s="2">
        <v>950</v>
      </c>
      <c r="P531" s="2">
        <v>973</v>
      </c>
      <c r="Q531" s="2">
        <v>716</v>
      </c>
      <c r="R531" s="274">
        <v>367</v>
      </c>
      <c r="S531" s="253">
        <f t="shared" si="19"/>
        <v>12</v>
      </c>
      <c r="T531" s="254">
        <f>SUM( tabConsumo[[#This Row],[QTD.PENDENTE]]:tabConsumo[[#This Row],[07_23]] ) / tabConsumo[[#This Row],[Div]]</f>
        <v>604.41666666666663</v>
      </c>
      <c r="U531" s="255">
        <f xml:space="preserve"> tabConsumo[[#This Row],[Média.A]] + (_xlfn.STDEV.S( tabConsumo[[#This Row],[QTD.PENDENTE]]:tabConsumo[[#This Row],[07_23]] ) * 1)</f>
        <v>904.33178286302791</v>
      </c>
      <c r="V531" s="255">
        <f xml:space="preserve"> tabConsumo[[#This Row],[Média.A]] + (_xlfn.STDEV.S( tabConsumo[[#This Row],[QTD.PENDENTE]]:tabConsumo[[#This Row],[07_23]] ) * 2)</f>
        <v>1204.2468990593893</v>
      </c>
      <c r="W531" s="255">
        <f xml:space="preserve"> tabConsumo[[#This Row],[Média.A]] + (_xlfn.STDEV.S( tabConsumo[[#This Row],[QTD.PENDENTE]]:tabConsumo[[#This Row],[07_23]] ) * 3)</f>
        <v>1504.1620152557507</v>
      </c>
      <c r="X531" s="5">
        <f t="shared" si="18"/>
        <v>2</v>
      </c>
      <c r="Y531">
        <v>604.41666666666663</v>
      </c>
      <c r="Z531" s="257">
        <f>SUM( tabConsumo[[#This Row],[QTD.PENDENTE]]:tabConsumo[[#This Row],[07_23]] )</f>
        <v>7253</v>
      </c>
      <c r="AA531" s="257">
        <f>LARGE(tabConsumo[[#This Row],[08_22]:[07_23]],1)</f>
        <v>1070</v>
      </c>
      <c r="AB531" s="175" t="s">
        <v>2211</v>
      </c>
      <c r="AC531" s="3" t="s">
        <v>2064</v>
      </c>
    </row>
    <row r="532" spans="1:29" x14ac:dyDescent="0.3">
      <c r="A532" s="4" t="s">
        <v>1199</v>
      </c>
      <c r="B532" s="3" t="s">
        <v>281</v>
      </c>
      <c r="C532" s="2">
        <v>24477</v>
      </c>
      <c r="D532" s="2">
        <v>869</v>
      </c>
      <c r="E532" s="2">
        <v>35</v>
      </c>
      <c r="F532" s="2">
        <v>515</v>
      </c>
      <c r="G532" s="2">
        <v>499</v>
      </c>
      <c r="H532" s="2">
        <v>687</v>
      </c>
      <c r="I532" s="2">
        <v>679</v>
      </c>
      <c r="J532" s="2">
        <v>520</v>
      </c>
      <c r="K532" s="2">
        <v>319</v>
      </c>
      <c r="L532" s="2">
        <v>491</v>
      </c>
      <c r="M532" s="2">
        <v>1100</v>
      </c>
      <c r="N532" s="2">
        <v>630</v>
      </c>
      <c r="O532" s="2">
        <v>1001</v>
      </c>
      <c r="P532" s="2">
        <v>1088</v>
      </c>
      <c r="Q532" s="2">
        <v>681</v>
      </c>
      <c r="R532" s="274">
        <v>367</v>
      </c>
      <c r="S532" s="253">
        <f t="shared" si="19"/>
        <v>12</v>
      </c>
      <c r="T532" s="254">
        <f>SUM( tabConsumo[[#This Row],[QTD.PENDENTE]]:tabConsumo[[#This Row],[07_23]] ) / tabConsumo[[#This Row],[Div]]</f>
        <v>687.08333333333337</v>
      </c>
      <c r="U532" s="255">
        <f xml:space="preserve"> tabConsumo[[#This Row],[Média.A]] + (_xlfn.STDEV.S( tabConsumo[[#This Row],[QTD.PENDENTE]]:tabConsumo[[#This Row],[07_23]] ) * 1)</f>
        <v>988.31363112506006</v>
      </c>
      <c r="V532" s="255">
        <f xml:space="preserve"> tabConsumo[[#This Row],[Média.A]] + (_xlfn.STDEV.S( tabConsumo[[#This Row],[QTD.PENDENTE]]:tabConsumo[[#This Row],[07_23]] ) * 2)</f>
        <v>1289.5439289167866</v>
      </c>
      <c r="W532" s="255">
        <f xml:space="preserve"> tabConsumo[[#This Row],[Média.A]] + (_xlfn.STDEV.S( tabConsumo[[#This Row],[QTD.PENDENTE]]:tabConsumo[[#This Row],[07_23]] ) * 3)</f>
        <v>1590.7742267085134</v>
      </c>
      <c r="X532" s="5">
        <f t="shared" si="18"/>
        <v>2</v>
      </c>
      <c r="Y532">
        <v>687.08333333333337</v>
      </c>
      <c r="Z532" s="257">
        <f>SUM( tabConsumo[[#This Row],[QTD.PENDENTE]]:tabConsumo[[#This Row],[07_23]] )</f>
        <v>8245</v>
      </c>
      <c r="AA532" s="257">
        <f>LARGE(tabConsumo[[#This Row],[08_22]:[07_23]],1)</f>
        <v>1100</v>
      </c>
      <c r="AB532" s="175" t="s">
        <v>2211</v>
      </c>
      <c r="AC532" s="3" t="s">
        <v>2064</v>
      </c>
    </row>
    <row r="533" spans="1:29" x14ac:dyDescent="0.3">
      <c r="A533" s="4" t="s">
        <v>1190</v>
      </c>
      <c r="B533" s="3" t="s">
        <v>281</v>
      </c>
      <c r="C533" s="2">
        <v>23996</v>
      </c>
      <c r="D533" s="2">
        <v>1181</v>
      </c>
      <c r="E533" s="2">
        <v>75</v>
      </c>
      <c r="F533" s="2">
        <v>495</v>
      </c>
      <c r="G533" s="2">
        <v>394</v>
      </c>
      <c r="H533" s="2">
        <v>609</v>
      </c>
      <c r="I533" s="2">
        <v>527</v>
      </c>
      <c r="J533" s="2">
        <v>500</v>
      </c>
      <c r="K533" s="2">
        <v>241</v>
      </c>
      <c r="L533" s="2">
        <v>473</v>
      </c>
      <c r="M533" s="2">
        <v>1075</v>
      </c>
      <c r="N533" s="2">
        <v>610</v>
      </c>
      <c r="O533" s="2">
        <v>1016</v>
      </c>
      <c r="P533" s="2">
        <v>1131</v>
      </c>
      <c r="Q533" s="2">
        <v>766</v>
      </c>
      <c r="R533" s="274">
        <v>367</v>
      </c>
      <c r="S533" s="253">
        <f t="shared" si="19"/>
        <v>12</v>
      </c>
      <c r="T533" s="254">
        <f>SUM( tabConsumo[[#This Row],[QTD.PENDENTE]]:tabConsumo[[#This Row],[07_23]] ) / tabConsumo[[#This Row],[Div]]</f>
        <v>659.33333333333337</v>
      </c>
      <c r="U533" s="255">
        <f xml:space="preserve"> tabConsumo[[#This Row],[Média.A]] + (_xlfn.STDEV.S( tabConsumo[[#This Row],[QTD.PENDENTE]]:tabConsumo[[#This Row],[07_23]] ) * 1)</f>
        <v>975.14433653554886</v>
      </c>
      <c r="V533" s="255">
        <f xml:space="preserve"> tabConsumo[[#This Row],[Média.A]] + (_xlfn.STDEV.S( tabConsumo[[#This Row],[QTD.PENDENTE]]:tabConsumo[[#This Row],[07_23]] ) * 2)</f>
        <v>1290.9553397377645</v>
      </c>
      <c r="W533" s="255">
        <f xml:space="preserve"> tabConsumo[[#This Row],[Média.A]] + (_xlfn.STDEV.S( tabConsumo[[#This Row],[QTD.PENDENTE]]:tabConsumo[[#This Row],[07_23]] ) * 3)</f>
        <v>1606.7663429399799</v>
      </c>
      <c r="X533" s="5">
        <f t="shared" si="18"/>
        <v>2</v>
      </c>
      <c r="Y533">
        <v>659.33333333333337</v>
      </c>
      <c r="Z533" s="257">
        <f>SUM( tabConsumo[[#This Row],[QTD.PENDENTE]]:tabConsumo[[#This Row],[07_23]] )</f>
        <v>7912</v>
      </c>
      <c r="AA533" s="257">
        <f>LARGE(tabConsumo[[#This Row],[08_22]:[07_23]],1)</f>
        <v>1131</v>
      </c>
      <c r="AB533" s="175" t="s">
        <v>2211</v>
      </c>
      <c r="AC533" s="3" t="s">
        <v>2064</v>
      </c>
    </row>
    <row r="534" spans="1:29" x14ac:dyDescent="0.3">
      <c r="A534" s="4" t="s">
        <v>1796</v>
      </c>
      <c r="B534" s="3" t="s">
        <v>268</v>
      </c>
      <c r="C534" s="2">
        <v>130624</v>
      </c>
      <c r="D534" s="2">
        <v>9912</v>
      </c>
      <c r="E534" s="2">
        <v>30</v>
      </c>
      <c r="F534" s="2">
        <v>1071</v>
      </c>
      <c r="G534" s="2">
        <v>1321</v>
      </c>
      <c r="H534" s="2">
        <v>1262</v>
      </c>
      <c r="I534" s="2">
        <v>1398</v>
      </c>
      <c r="J534" s="2">
        <v>998</v>
      </c>
      <c r="K534" s="2">
        <v>605</v>
      </c>
      <c r="L534" s="2">
        <v>945</v>
      </c>
      <c r="M534" s="2">
        <v>14769</v>
      </c>
      <c r="N534" s="2">
        <v>1105</v>
      </c>
      <c r="O534" s="2">
        <v>1401</v>
      </c>
      <c r="P534" s="2">
        <v>1488</v>
      </c>
      <c r="Q534" s="2">
        <v>1216</v>
      </c>
      <c r="R534" s="274">
        <v>42205</v>
      </c>
      <c r="S534" s="253">
        <v>12</v>
      </c>
      <c r="T534" s="254">
        <f>SUM( tabConsumo[[#This Row],[QTD.PENDENTE]]:tabConsumo[[#This Row],[07_23]] ) / tabConsumo[[#This Row],[Div]]</f>
        <v>2300.75</v>
      </c>
      <c r="U534" s="255">
        <f xml:space="preserve"> tabConsumo[[#This Row],[Média.A]] + (_xlfn.STDEV.S( tabConsumo[[#This Row],[QTD.PENDENTE]]:tabConsumo[[#This Row],[07_23]] ) * 1)</f>
        <v>6120.2168727857406</v>
      </c>
      <c r="V534" s="255">
        <f xml:space="preserve"> tabConsumo[[#This Row],[Média.A]] + (_xlfn.STDEV.S( tabConsumo[[#This Row],[QTD.PENDENTE]]:tabConsumo[[#This Row],[07_23]] ) * 2)</f>
        <v>9939.6837455714813</v>
      </c>
      <c r="W534" s="255">
        <f xml:space="preserve"> tabConsumo[[#This Row],[Média.A]] + (_xlfn.STDEV.S( tabConsumo[[#This Row],[QTD.PENDENTE]]:tabConsumo[[#This Row],[07_23]] ) * 3)</f>
        <v>13759.150618357224</v>
      </c>
      <c r="X534" s="5">
        <f t="shared" si="18"/>
        <v>2</v>
      </c>
      <c r="Y534">
        <v>1898.25</v>
      </c>
      <c r="Z534" s="257">
        <f>SUM( tabConsumo[[#This Row],[QTD.PENDENTE]]:tabConsumo[[#This Row],[07_23]] )</f>
        <v>27609</v>
      </c>
      <c r="AA534" s="257">
        <f>LARGE(tabConsumo[[#This Row],[08_22]:[07_23]],1)</f>
        <v>14769</v>
      </c>
      <c r="AB534" s="175" t="s">
        <v>2211</v>
      </c>
      <c r="AC534" s="3" t="s">
        <v>2064</v>
      </c>
    </row>
    <row r="535" spans="1:29" x14ac:dyDescent="0.3">
      <c r="A535" s="4" t="s">
        <v>1528</v>
      </c>
      <c r="B535" s="3" t="s">
        <v>569</v>
      </c>
      <c r="C535" s="2">
        <v>93325</v>
      </c>
      <c r="D535" s="2">
        <v>0</v>
      </c>
      <c r="E535" s="2">
        <v>191</v>
      </c>
      <c r="F535" s="2">
        <v>531</v>
      </c>
      <c r="G535" s="2">
        <v>376</v>
      </c>
      <c r="H535" s="2">
        <v>331</v>
      </c>
      <c r="I535" s="2">
        <v>501</v>
      </c>
      <c r="J535" s="2">
        <v>363</v>
      </c>
      <c r="K535" s="2">
        <v>200</v>
      </c>
      <c r="L535" s="2">
        <v>340</v>
      </c>
      <c r="M535" s="2">
        <v>827</v>
      </c>
      <c r="N535" s="2">
        <v>548</v>
      </c>
      <c r="O535" s="2">
        <v>1013</v>
      </c>
      <c r="P535" s="2">
        <v>1201</v>
      </c>
      <c r="Q535" s="2">
        <v>489</v>
      </c>
      <c r="R535" s="274">
        <v>38919</v>
      </c>
      <c r="S535" s="253">
        <v>12</v>
      </c>
      <c r="T535" s="254">
        <f>SUM( tabConsumo[[#This Row],[QTD.PENDENTE]]:tabConsumo[[#This Row],[07_23]] ) / tabConsumo[[#This Row],[Div]]</f>
        <v>575.91666666666663</v>
      </c>
      <c r="U535" s="255">
        <f xml:space="preserve"> tabConsumo[[#This Row],[Média.A]] + (_xlfn.STDEV.S( tabConsumo[[#This Row],[QTD.PENDENTE]]:tabConsumo[[#This Row],[07_23]] ) * 1)</f>
        <v>882.19528123776217</v>
      </c>
      <c r="V535" s="255">
        <f xml:space="preserve"> tabConsumo[[#This Row],[Média.A]] + (_xlfn.STDEV.S( tabConsumo[[#This Row],[QTD.PENDENTE]]:tabConsumo[[#This Row],[07_23]] ) * 2)</f>
        <v>1188.4738958088578</v>
      </c>
      <c r="W535" s="255">
        <f xml:space="preserve"> tabConsumo[[#This Row],[Média.A]] + (_xlfn.STDEV.S( tabConsumo[[#This Row],[QTD.PENDENTE]]:tabConsumo[[#This Row],[07_23]] ) * 3)</f>
        <v>1494.7525103799535</v>
      </c>
      <c r="X535" s="5">
        <f t="shared" si="18"/>
        <v>2</v>
      </c>
      <c r="Y535">
        <v>574.83333333333337</v>
      </c>
      <c r="Z535" s="257">
        <f>SUM( tabConsumo[[#This Row],[QTD.PENDENTE]]:tabConsumo[[#This Row],[07_23]] )</f>
        <v>6911</v>
      </c>
      <c r="AA535" s="257">
        <f>LARGE(tabConsumo[[#This Row],[08_22]:[07_23]],1)</f>
        <v>1201</v>
      </c>
      <c r="AB535" s="175" t="s">
        <v>2211</v>
      </c>
      <c r="AC535" s="3" t="s">
        <v>2064</v>
      </c>
    </row>
    <row r="536" spans="1:29" x14ac:dyDescent="0.3">
      <c r="A536" s="4" t="s">
        <v>1529</v>
      </c>
      <c r="B536" s="3" t="s">
        <v>569</v>
      </c>
      <c r="C536" s="2">
        <v>93327</v>
      </c>
      <c r="D536" s="2">
        <v>0</v>
      </c>
      <c r="E536" s="2">
        <v>232</v>
      </c>
      <c r="F536" s="2">
        <v>526</v>
      </c>
      <c r="G536" s="2">
        <v>386</v>
      </c>
      <c r="H536" s="2">
        <v>311</v>
      </c>
      <c r="I536" s="2">
        <v>471</v>
      </c>
      <c r="J536" s="2">
        <v>363</v>
      </c>
      <c r="K536" s="2">
        <v>160</v>
      </c>
      <c r="L536" s="2">
        <v>331</v>
      </c>
      <c r="M536" s="2">
        <v>822</v>
      </c>
      <c r="N536" s="2">
        <v>573</v>
      </c>
      <c r="O536" s="2">
        <v>998</v>
      </c>
      <c r="P536" s="2">
        <v>1207</v>
      </c>
      <c r="Q536" s="2">
        <v>403</v>
      </c>
      <c r="R536" s="274">
        <v>38919</v>
      </c>
      <c r="S536" s="253">
        <v>12</v>
      </c>
      <c r="T536" s="254">
        <f>SUM( tabConsumo[[#This Row],[QTD.PENDENTE]]:tabConsumo[[#This Row],[07_23]] ) / tabConsumo[[#This Row],[Div]]</f>
        <v>565.25</v>
      </c>
      <c r="U536" s="255">
        <f xml:space="preserve"> tabConsumo[[#This Row],[Média.A]] + (_xlfn.STDEV.S( tabConsumo[[#This Row],[QTD.PENDENTE]]:tabConsumo[[#This Row],[07_23]] ) * 1)</f>
        <v>874.15968309150219</v>
      </c>
      <c r="V536" s="255">
        <f xml:space="preserve"> tabConsumo[[#This Row],[Média.A]] + (_xlfn.STDEV.S( tabConsumo[[#This Row],[QTD.PENDENTE]]:tabConsumo[[#This Row],[07_23]] ) * 2)</f>
        <v>1183.0693661830044</v>
      </c>
      <c r="W536" s="255">
        <f xml:space="preserve"> tabConsumo[[#This Row],[Média.A]] + (_xlfn.STDEV.S( tabConsumo[[#This Row],[QTD.PENDENTE]]:tabConsumo[[#This Row],[07_23]] ) * 3)</f>
        <v>1491.9790492745065</v>
      </c>
      <c r="X536" s="5">
        <f t="shared" si="18"/>
        <v>2</v>
      </c>
      <c r="Y536">
        <v>563.25</v>
      </c>
      <c r="Z536" s="257">
        <f>SUM( tabConsumo[[#This Row],[QTD.PENDENTE]]:tabConsumo[[#This Row],[07_23]] )</f>
        <v>6783</v>
      </c>
      <c r="AA536" s="257">
        <f>LARGE(tabConsumo[[#This Row],[08_22]:[07_23]],1)</f>
        <v>1207</v>
      </c>
      <c r="AB536" s="175" t="s">
        <v>2211</v>
      </c>
      <c r="AC536" s="3" t="s">
        <v>2064</v>
      </c>
    </row>
    <row r="537" spans="1:29" x14ac:dyDescent="0.3">
      <c r="A537" s="4" t="s">
        <v>1530</v>
      </c>
      <c r="B537" s="3" t="s">
        <v>569</v>
      </c>
      <c r="C537" s="2">
        <v>93329</v>
      </c>
      <c r="D537" s="2">
        <v>328</v>
      </c>
      <c r="E537" s="2">
        <v>40</v>
      </c>
      <c r="F537" s="2">
        <v>511</v>
      </c>
      <c r="G537" s="2">
        <v>356</v>
      </c>
      <c r="H537" s="2">
        <v>326</v>
      </c>
      <c r="I537" s="2">
        <v>466</v>
      </c>
      <c r="J537" s="2">
        <v>353</v>
      </c>
      <c r="K537" s="2">
        <v>175</v>
      </c>
      <c r="L537" s="2">
        <v>330</v>
      </c>
      <c r="M537" s="2">
        <v>858</v>
      </c>
      <c r="N537" s="2">
        <v>538</v>
      </c>
      <c r="O537" s="2">
        <v>998</v>
      </c>
      <c r="P537" s="2">
        <v>1200</v>
      </c>
      <c r="Q537" s="2">
        <v>595</v>
      </c>
      <c r="R537" s="274">
        <v>38919</v>
      </c>
      <c r="S537" s="253">
        <v>12</v>
      </c>
      <c r="T537" s="254">
        <f>SUM( tabConsumo[[#This Row],[QTD.PENDENTE]]:tabConsumo[[#This Row],[07_23]] ) / tabConsumo[[#This Row],[Div]]</f>
        <v>562.16666666666663</v>
      </c>
      <c r="U537" s="255">
        <f xml:space="preserve"> tabConsumo[[#This Row],[Média.A]] + (_xlfn.STDEV.S( tabConsumo[[#This Row],[QTD.PENDENTE]]:tabConsumo[[#This Row],[07_23]] ) * 1)</f>
        <v>890.29328387879855</v>
      </c>
      <c r="V537" s="255">
        <f xml:space="preserve"> tabConsumo[[#This Row],[Média.A]] + (_xlfn.STDEV.S( tabConsumo[[#This Row],[QTD.PENDENTE]]:tabConsumo[[#This Row],[07_23]] ) * 2)</f>
        <v>1218.4199010909304</v>
      </c>
      <c r="W537" s="255">
        <f xml:space="preserve"> tabConsumo[[#This Row],[Média.A]] + (_xlfn.STDEV.S( tabConsumo[[#This Row],[QTD.PENDENTE]]:tabConsumo[[#This Row],[07_23]] ) * 3)</f>
        <v>1546.5465183030624</v>
      </c>
      <c r="X537" s="5">
        <f t="shared" si="18"/>
        <v>2</v>
      </c>
      <c r="Y537">
        <v>562.16666666666663</v>
      </c>
      <c r="Z537" s="257">
        <f>SUM( tabConsumo[[#This Row],[QTD.PENDENTE]]:tabConsumo[[#This Row],[07_23]] )</f>
        <v>6746</v>
      </c>
      <c r="AA537" s="257">
        <f>LARGE(tabConsumo[[#This Row],[08_22]:[07_23]],1)</f>
        <v>1200</v>
      </c>
      <c r="AB537" s="175" t="s">
        <v>2211</v>
      </c>
      <c r="AC537" s="3" t="s">
        <v>2064</v>
      </c>
    </row>
    <row r="538" spans="1:29" x14ac:dyDescent="0.3">
      <c r="A538" s="4" t="s">
        <v>1531</v>
      </c>
      <c r="B538" s="3" t="s">
        <v>569</v>
      </c>
      <c r="C538" s="2">
        <v>93332</v>
      </c>
      <c r="D538" s="2">
        <v>423</v>
      </c>
      <c r="E538" s="2">
        <v>40</v>
      </c>
      <c r="F538" s="2">
        <v>503</v>
      </c>
      <c r="G538" s="2">
        <v>356</v>
      </c>
      <c r="H538" s="2">
        <v>316</v>
      </c>
      <c r="I538" s="2">
        <v>461</v>
      </c>
      <c r="J538" s="2">
        <v>373</v>
      </c>
      <c r="K538" s="2">
        <v>200</v>
      </c>
      <c r="L538" s="2">
        <v>341</v>
      </c>
      <c r="M538" s="2">
        <v>826</v>
      </c>
      <c r="N538" s="2">
        <v>573</v>
      </c>
      <c r="O538" s="2">
        <v>968</v>
      </c>
      <c r="P538" s="2">
        <v>1207</v>
      </c>
      <c r="Q538" s="2">
        <v>580</v>
      </c>
      <c r="R538" s="274">
        <v>38919</v>
      </c>
      <c r="S538" s="253">
        <v>12</v>
      </c>
      <c r="T538" s="254">
        <f>SUM( tabConsumo[[#This Row],[QTD.PENDENTE]]:tabConsumo[[#This Row],[07_23]] ) / tabConsumo[[#This Row],[Div]]</f>
        <v>562</v>
      </c>
      <c r="U538" s="255">
        <f xml:space="preserve"> tabConsumo[[#This Row],[Média.A]] + (_xlfn.STDEV.S( tabConsumo[[#This Row],[QTD.PENDENTE]]:tabConsumo[[#This Row],[07_23]] ) * 1)</f>
        <v>882.3423048985137</v>
      </c>
      <c r="V538" s="255">
        <f xml:space="preserve"> tabConsumo[[#This Row],[Média.A]] + (_xlfn.STDEV.S( tabConsumo[[#This Row],[QTD.PENDENTE]]:tabConsumo[[#This Row],[07_23]] ) * 2)</f>
        <v>1202.6846097970274</v>
      </c>
      <c r="W538" s="255">
        <f xml:space="preserve"> tabConsumo[[#This Row],[Média.A]] + (_xlfn.STDEV.S( tabConsumo[[#This Row],[QTD.PENDENTE]]:tabConsumo[[#This Row],[07_23]] ) * 3)</f>
        <v>1523.0269146955409</v>
      </c>
      <c r="X538" s="5">
        <f t="shared" si="18"/>
        <v>2</v>
      </c>
      <c r="Y538">
        <v>561.58333333333337</v>
      </c>
      <c r="Z538" s="257">
        <f>SUM( tabConsumo[[#This Row],[QTD.PENDENTE]]:tabConsumo[[#This Row],[07_23]] )</f>
        <v>6744</v>
      </c>
      <c r="AA538" s="257">
        <f>LARGE(tabConsumo[[#This Row],[08_22]:[07_23]],1)</f>
        <v>1207</v>
      </c>
      <c r="AB538" s="175" t="s">
        <v>2211</v>
      </c>
      <c r="AC538" s="3" t="s">
        <v>2064</v>
      </c>
    </row>
    <row r="539" spans="1:29" x14ac:dyDescent="0.3">
      <c r="A539" s="4" t="s">
        <v>1532</v>
      </c>
      <c r="B539" s="3" t="s">
        <v>569</v>
      </c>
      <c r="C539" s="2">
        <v>93334</v>
      </c>
      <c r="D539" s="2">
        <v>724</v>
      </c>
      <c r="E539" s="2">
        <v>40</v>
      </c>
      <c r="F539" s="2">
        <v>521</v>
      </c>
      <c r="G539" s="2">
        <v>356</v>
      </c>
      <c r="H539" s="2">
        <v>308</v>
      </c>
      <c r="I539" s="2">
        <v>486</v>
      </c>
      <c r="J539" s="2">
        <v>353</v>
      </c>
      <c r="K539" s="2">
        <v>200</v>
      </c>
      <c r="L539" s="2">
        <v>340</v>
      </c>
      <c r="M539" s="2">
        <v>803</v>
      </c>
      <c r="N539" s="2">
        <v>563</v>
      </c>
      <c r="O539" s="2">
        <v>978</v>
      </c>
      <c r="P539" s="2">
        <v>1205</v>
      </c>
      <c r="Q539" s="2">
        <v>590</v>
      </c>
      <c r="R539" s="274">
        <v>38919</v>
      </c>
      <c r="S539" s="253">
        <v>12</v>
      </c>
      <c r="T539" s="254">
        <f>SUM( tabConsumo[[#This Row],[QTD.PENDENTE]]:tabConsumo[[#This Row],[07_23]] ) / tabConsumo[[#This Row],[Div]]</f>
        <v>561.91666666666663</v>
      </c>
      <c r="U539" s="255">
        <f xml:space="preserve"> tabConsumo[[#This Row],[Média.A]] + (_xlfn.STDEV.S( tabConsumo[[#This Row],[QTD.PENDENTE]]:tabConsumo[[#This Row],[07_23]] ) * 1)</f>
        <v>882.31885783046641</v>
      </c>
      <c r="V539" s="255">
        <f xml:space="preserve"> tabConsumo[[#This Row],[Média.A]] + (_xlfn.STDEV.S( tabConsumo[[#This Row],[QTD.PENDENTE]]:tabConsumo[[#This Row],[07_23]] ) * 2)</f>
        <v>1202.7210489942661</v>
      </c>
      <c r="W539" s="255">
        <f xml:space="preserve"> tabConsumo[[#This Row],[Média.A]] + (_xlfn.STDEV.S( tabConsumo[[#This Row],[QTD.PENDENTE]]:tabConsumo[[#This Row],[07_23]] ) * 3)</f>
        <v>1523.123240158066</v>
      </c>
      <c r="X539" s="5">
        <f t="shared" si="18"/>
        <v>2</v>
      </c>
      <c r="Y539">
        <v>561.66666666666663</v>
      </c>
      <c r="Z539" s="257">
        <f>SUM( tabConsumo[[#This Row],[QTD.PENDENTE]]:tabConsumo[[#This Row],[07_23]] )</f>
        <v>6743</v>
      </c>
      <c r="AA539" s="257">
        <f>LARGE(tabConsumo[[#This Row],[08_22]:[07_23]],1)</f>
        <v>1205</v>
      </c>
      <c r="AB539" s="175" t="s">
        <v>2211</v>
      </c>
      <c r="AC539" s="3" t="s">
        <v>2064</v>
      </c>
    </row>
    <row r="540" spans="1:29" x14ac:dyDescent="0.3">
      <c r="A540" s="4" t="s">
        <v>1533</v>
      </c>
      <c r="B540" s="3" t="s">
        <v>569</v>
      </c>
      <c r="C540" s="2">
        <v>93335</v>
      </c>
      <c r="D540" s="2">
        <v>251</v>
      </c>
      <c r="E540" s="2">
        <v>40</v>
      </c>
      <c r="F540" s="2">
        <v>516</v>
      </c>
      <c r="G540" s="2">
        <v>321</v>
      </c>
      <c r="H540" s="2">
        <v>316</v>
      </c>
      <c r="I540" s="2">
        <v>451</v>
      </c>
      <c r="J540" s="2">
        <v>373</v>
      </c>
      <c r="K540" s="2">
        <v>165</v>
      </c>
      <c r="L540" s="2">
        <v>331</v>
      </c>
      <c r="M540" s="2">
        <v>788</v>
      </c>
      <c r="N540" s="2">
        <v>573</v>
      </c>
      <c r="O540" s="2">
        <v>983</v>
      </c>
      <c r="P540" s="2">
        <v>1217</v>
      </c>
      <c r="Q540" s="2">
        <v>645</v>
      </c>
      <c r="R540" s="274">
        <v>38919</v>
      </c>
      <c r="S540" s="253">
        <v>12</v>
      </c>
      <c r="T540" s="254">
        <f>SUM( tabConsumo[[#This Row],[QTD.PENDENTE]]:tabConsumo[[#This Row],[07_23]] ) / tabConsumo[[#This Row],[Div]]</f>
        <v>559.91666666666663</v>
      </c>
      <c r="U540" s="255">
        <f xml:space="preserve"> tabConsumo[[#This Row],[Média.A]] + (_xlfn.STDEV.S( tabConsumo[[#This Row],[QTD.PENDENTE]]:tabConsumo[[#This Row],[07_23]] ) * 1)</f>
        <v>887.7956703031316</v>
      </c>
      <c r="V540" s="255">
        <f xml:space="preserve"> tabConsumo[[#This Row],[Média.A]] + (_xlfn.STDEV.S( tabConsumo[[#This Row],[QTD.PENDENTE]]:tabConsumo[[#This Row],[07_23]] ) * 2)</f>
        <v>1215.6746739395967</v>
      </c>
      <c r="W540" s="255">
        <f xml:space="preserve"> tabConsumo[[#This Row],[Média.A]] + (_xlfn.STDEV.S( tabConsumo[[#This Row],[QTD.PENDENTE]]:tabConsumo[[#This Row],[07_23]] ) * 3)</f>
        <v>1543.5536775760615</v>
      </c>
      <c r="X540" s="5">
        <f t="shared" si="18"/>
        <v>2</v>
      </c>
      <c r="Y540">
        <v>559.75</v>
      </c>
      <c r="Z540" s="257">
        <f>SUM( tabConsumo[[#This Row],[QTD.PENDENTE]]:tabConsumo[[#This Row],[07_23]] )</f>
        <v>6719</v>
      </c>
      <c r="AA540" s="257">
        <f>LARGE(tabConsumo[[#This Row],[08_22]:[07_23]],1)</f>
        <v>1217</v>
      </c>
      <c r="AB540" s="175" t="s">
        <v>2211</v>
      </c>
      <c r="AC540" s="3" t="s">
        <v>2064</v>
      </c>
    </row>
    <row r="541" spans="1:29" x14ac:dyDescent="0.3">
      <c r="A541" s="4" t="s">
        <v>1134</v>
      </c>
      <c r="B541" s="3" t="s">
        <v>569</v>
      </c>
      <c r="C541" s="2">
        <v>17454</v>
      </c>
      <c r="D541" s="2">
        <v>3420</v>
      </c>
      <c r="F541" s="2">
        <v>557</v>
      </c>
      <c r="G541" s="2">
        <v>446</v>
      </c>
      <c r="H541" s="2">
        <v>378</v>
      </c>
      <c r="I541" s="2">
        <v>601</v>
      </c>
      <c r="J541" s="2">
        <v>465</v>
      </c>
      <c r="K541" s="2">
        <v>250</v>
      </c>
      <c r="L541" s="2">
        <v>465</v>
      </c>
      <c r="M541" s="2">
        <v>1131</v>
      </c>
      <c r="N541" s="2">
        <v>611</v>
      </c>
      <c r="O541" s="2">
        <v>950</v>
      </c>
      <c r="P541" s="2">
        <v>810</v>
      </c>
      <c r="Q541" s="2">
        <v>721</v>
      </c>
      <c r="R541" s="274">
        <v>367</v>
      </c>
      <c r="S541" s="253">
        <f xml:space="preserve"> 12</f>
        <v>12</v>
      </c>
      <c r="T541" s="254">
        <f>SUM( tabConsumo[[#This Row],[QTD.PENDENTE]]:tabConsumo[[#This Row],[07_23]] ) / tabConsumo[[#This Row],[Div]]</f>
        <v>615.41666666666663</v>
      </c>
      <c r="U541" s="255">
        <f xml:space="preserve"> tabConsumo[[#This Row],[Média.A]] + (_xlfn.STDEV.S( tabConsumo[[#This Row],[QTD.PENDENTE]]:tabConsumo[[#This Row],[07_23]] ) * 1)</f>
        <v>866.6447261639845</v>
      </c>
      <c r="V541" s="255">
        <f xml:space="preserve"> tabConsumo[[#This Row],[Média.A]] + (_xlfn.STDEV.S( tabConsumo[[#This Row],[QTD.PENDENTE]]:tabConsumo[[#This Row],[07_23]] ) * 2)</f>
        <v>1117.8727856613025</v>
      </c>
      <c r="W541" s="255">
        <f xml:space="preserve"> tabConsumo[[#This Row],[Média.A]] + (_xlfn.STDEV.S( tabConsumo[[#This Row],[QTD.PENDENTE]]:tabConsumo[[#This Row],[07_23]] ) * 3)</f>
        <v>1369.1008451586204</v>
      </c>
      <c r="X541" s="5">
        <f t="shared" si="18"/>
        <v>2</v>
      </c>
      <c r="Y541">
        <v>614.25</v>
      </c>
      <c r="Z541" s="257">
        <f>SUM( tabConsumo[[#This Row],[QTD.PENDENTE]]:tabConsumo[[#This Row],[07_23]] )</f>
        <v>7385</v>
      </c>
      <c r="AA541" s="257">
        <f>LARGE(tabConsumo[[#This Row],[08_22]:[07_23]],1)</f>
        <v>1131</v>
      </c>
      <c r="AB541" s="175" t="s">
        <v>2211</v>
      </c>
      <c r="AC541" s="3" t="s">
        <v>2064</v>
      </c>
    </row>
    <row r="542" spans="1:29" x14ac:dyDescent="0.3">
      <c r="A542" s="4" t="s">
        <v>1534</v>
      </c>
      <c r="B542" s="3" t="s">
        <v>569</v>
      </c>
      <c r="C542" s="2">
        <v>93453</v>
      </c>
      <c r="D542" s="2">
        <v>0</v>
      </c>
      <c r="E542" s="2">
        <v>696</v>
      </c>
      <c r="F542" s="2">
        <v>598</v>
      </c>
      <c r="G542" s="2">
        <v>441</v>
      </c>
      <c r="H542" s="2">
        <v>496</v>
      </c>
      <c r="I542" s="2">
        <v>636</v>
      </c>
      <c r="J542" s="2">
        <v>535</v>
      </c>
      <c r="K542" s="2">
        <v>295</v>
      </c>
      <c r="L542" s="2">
        <v>525</v>
      </c>
      <c r="M542" s="2">
        <v>1239</v>
      </c>
      <c r="N542" s="2">
        <v>645</v>
      </c>
      <c r="O542" s="2">
        <v>1020</v>
      </c>
      <c r="P542" s="2">
        <v>363</v>
      </c>
      <c r="Q542" s="2">
        <v>162</v>
      </c>
      <c r="R542" s="274">
        <v>38930</v>
      </c>
      <c r="S542" s="253">
        <v>12</v>
      </c>
      <c r="T542" s="254">
        <f>SUM( tabConsumo[[#This Row],[QTD.PENDENTE]]:tabConsumo[[#This Row],[07_23]] ) / tabConsumo[[#This Row],[Div]]</f>
        <v>637.58333333333337</v>
      </c>
      <c r="U542" s="255">
        <f xml:space="preserve"> tabConsumo[[#This Row],[Média.A]] + (_xlfn.STDEV.S( tabConsumo[[#This Row],[QTD.PENDENTE]]:tabConsumo[[#This Row],[07_23]] ) * 1)</f>
        <v>923.72712451316875</v>
      </c>
      <c r="V542" s="255">
        <f xml:space="preserve"> tabConsumo[[#This Row],[Média.A]] + (_xlfn.STDEV.S( tabConsumo[[#This Row],[QTD.PENDENTE]]:tabConsumo[[#This Row],[07_23]] ) * 2)</f>
        <v>1209.870915693004</v>
      </c>
      <c r="W542" s="255">
        <f xml:space="preserve"> tabConsumo[[#This Row],[Média.A]] + (_xlfn.STDEV.S( tabConsumo[[#This Row],[QTD.PENDENTE]]:tabConsumo[[#This Row],[07_23]] ) * 3)</f>
        <v>1496.0147068728395</v>
      </c>
      <c r="X542" s="5">
        <f t="shared" si="18"/>
        <v>2</v>
      </c>
      <c r="Y542">
        <v>635.08333333333337</v>
      </c>
      <c r="Z542" s="257">
        <f>SUM( tabConsumo[[#This Row],[QTD.PENDENTE]]:tabConsumo[[#This Row],[07_23]] )</f>
        <v>7651</v>
      </c>
      <c r="AA542" s="257">
        <f>LARGE(tabConsumo[[#This Row],[08_22]:[07_23]],1)</f>
        <v>1239</v>
      </c>
      <c r="AB542" s="175" t="s">
        <v>2211</v>
      </c>
      <c r="AC542" s="3" t="s">
        <v>2064</v>
      </c>
    </row>
    <row r="543" spans="1:29" x14ac:dyDescent="0.3">
      <c r="A543" s="4" t="s">
        <v>1535</v>
      </c>
      <c r="B543" s="3" t="s">
        <v>569</v>
      </c>
      <c r="C543" s="2">
        <v>93454</v>
      </c>
      <c r="D543" s="2">
        <v>0</v>
      </c>
      <c r="E543" s="2">
        <v>737</v>
      </c>
      <c r="F543" s="2">
        <v>568</v>
      </c>
      <c r="G543" s="2">
        <v>471</v>
      </c>
      <c r="H543" s="2">
        <v>456</v>
      </c>
      <c r="I543" s="2">
        <v>611</v>
      </c>
      <c r="J543" s="2">
        <v>540</v>
      </c>
      <c r="K543" s="2">
        <v>310</v>
      </c>
      <c r="L543" s="2">
        <v>545</v>
      </c>
      <c r="M543" s="2">
        <v>1265</v>
      </c>
      <c r="N543" s="2">
        <v>654</v>
      </c>
      <c r="O543" s="2">
        <v>660</v>
      </c>
      <c r="P543" s="2">
        <v>334</v>
      </c>
      <c r="Q543" s="2">
        <v>0</v>
      </c>
      <c r="R543" s="274">
        <v>38930</v>
      </c>
      <c r="S543" s="253">
        <v>12</v>
      </c>
      <c r="T543" s="254">
        <f>SUM( tabConsumo[[#This Row],[QTD.PENDENTE]]:tabConsumo[[#This Row],[07_23]] ) / tabConsumo[[#This Row],[Div]]</f>
        <v>595.91666666666663</v>
      </c>
      <c r="U543" s="255">
        <f xml:space="preserve"> tabConsumo[[#This Row],[Média.A]] + (_xlfn.STDEV.S( tabConsumo[[#This Row],[QTD.PENDENTE]]:tabConsumo[[#This Row],[07_23]] ) * 1)</f>
        <v>883.88554853253231</v>
      </c>
      <c r="V543" s="255">
        <f xml:space="preserve"> tabConsumo[[#This Row],[Média.A]] + (_xlfn.STDEV.S( tabConsumo[[#This Row],[QTD.PENDENTE]]:tabConsumo[[#This Row],[07_23]] ) * 2)</f>
        <v>1171.8544303983981</v>
      </c>
      <c r="W543" s="255">
        <f xml:space="preserve"> tabConsumo[[#This Row],[Média.A]] + (_xlfn.STDEV.S( tabConsumo[[#This Row],[QTD.PENDENTE]]:tabConsumo[[#This Row],[07_23]] ) * 3)</f>
        <v>1459.8233122642637</v>
      </c>
      <c r="X543" s="5">
        <f t="shared" si="18"/>
        <v>2</v>
      </c>
      <c r="Y543">
        <v>588.08333333333337</v>
      </c>
      <c r="Z543" s="257">
        <f>SUM( tabConsumo[[#This Row],[QTD.PENDENTE]]:tabConsumo[[#This Row],[07_23]] )</f>
        <v>7151</v>
      </c>
      <c r="AA543" s="257">
        <f>LARGE(tabConsumo[[#This Row],[08_22]:[07_23]],1)</f>
        <v>1265</v>
      </c>
      <c r="AB543" s="175" t="s">
        <v>2212</v>
      </c>
      <c r="AC543" s="3" t="s">
        <v>2064</v>
      </c>
    </row>
    <row r="544" spans="1:29" x14ac:dyDescent="0.3">
      <c r="A544" s="4" t="s">
        <v>1536</v>
      </c>
      <c r="B544" s="3" t="s">
        <v>569</v>
      </c>
      <c r="C544" s="2">
        <v>93456</v>
      </c>
      <c r="D544" s="2">
        <v>0</v>
      </c>
      <c r="E544" s="2">
        <v>371</v>
      </c>
      <c r="F544" s="2">
        <v>623</v>
      </c>
      <c r="G544" s="2">
        <v>456</v>
      </c>
      <c r="H544" s="2">
        <v>461</v>
      </c>
      <c r="I544" s="2">
        <v>591</v>
      </c>
      <c r="J544" s="2">
        <v>545</v>
      </c>
      <c r="K544" s="2">
        <v>295</v>
      </c>
      <c r="L544" s="2">
        <v>510</v>
      </c>
      <c r="M544" s="2">
        <v>1229</v>
      </c>
      <c r="N544" s="2">
        <v>649</v>
      </c>
      <c r="O544" s="2">
        <v>1015</v>
      </c>
      <c r="P544" s="2">
        <v>788</v>
      </c>
      <c r="Q544" s="2">
        <v>117</v>
      </c>
      <c r="R544" s="274">
        <v>38930</v>
      </c>
      <c r="S544" s="253">
        <v>12</v>
      </c>
      <c r="T544" s="254">
        <f>SUM( tabConsumo[[#This Row],[QTD.PENDENTE]]:tabConsumo[[#This Row],[07_23]] ) / tabConsumo[[#This Row],[Div]]</f>
        <v>637.5</v>
      </c>
      <c r="U544" s="255">
        <f xml:space="preserve"> tabConsumo[[#This Row],[Média.A]] + (_xlfn.STDEV.S( tabConsumo[[#This Row],[QTD.PENDENTE]]:tabConsumo[[#This Row],[07_23]] ) * 1)</f>
        <v>931.10222960796682</v>
      </c>
      <c r="V544" s="255">
        <f xml:space="preserve"> tabConsumo[[#This Row],[Média.A]] + (_xlfn.STDEV.S( tabConsumo[[#This Row],[QTD.PENDENTE]]:tabConsumo[[#This Row],[07_23]] ) * 2)</f>
        <v>1224.7044592159336</v>
      </c>
      <c r="W544" s="255">
        <f xml:space="preserve"> tabConsumo[[#This Row],[Média.A]] + (_xlfn.STDEV.S( tabConsumo[[#This Row],[QTD.PENDENTE]]:tabConsumo[[#This Row],[07_23]] ) * 3)</f>
        <v>1518.3066888239002</v>
      </c>
      <c r="X544" s="5">
        <f t="shared" si="18"/>
        <v>2</v>
      </c>
      <c r="Y544">
        <v>637.08333333333337</v>
      </c>
      <c r="Z544" s="257">
        <f>SUM( tabConsumo[[#This Row],[QTD.PENDENTE]]:tabConsumo[[#This Row],[07_23]] )</f>
        <v>7650</v>
      </c>
      <c r="AA544" s="257">
        <f>LARGE(tabConsumo[[#This Row],[08_22]:[07_23]],1)</f>
        <v>1229</v>
      </c>
      <c r="AB544" s="175" t="s">
        <v>2211</v>
      </c>
      <c r="AC544" s="3" t="s">
        <v>2064</v>
      </c>
    </row>
    <row r="545" spans="1:29" x14ac:dyDescent="0.3">
      <c r="A545" s="4" t="s">
        <v>1537</v>
      </c>
      <c r="B545" s="3" t="s">
        <v>569</v>
      </c>
      <c r="C545" s="2">
        <v>93461</v>
      </c>
      <c r="D545" s="2">
        <v>1377</v>
      </c>
      <c r="F545" s="2">
        <v>613</v>
      </c>
      <c r="G545" s="2">
        <v>526</v>
      </c>
      <c r="H545" s="2">
        <v>486</v>
      </c>
      <c r="I545" s="2">
        <v>576</v>
      </c>
      <c r="J545" s="2">
        <v>472</v>
      </c>
      <c r="K545" s="2">
        <v>270</v>
      </c>
      <c r="L545" s="2">
        <v>510</v>
      </c>
      <c r="M545" s="2">
        <v>1229</v>
      </c>
      <c r="N545" s="2">
        <v>649</v>
      </c>
      <c r="O545" s="2">
        <v>985</v>
      </c>
      <c r="P545" s="2">
        <v>850</v>
      </c>
      <c r="Q545" s="2">
        <v>718</v>
      </c>
      <c r="R545" s="274">
        <v>38930</v>
      </c>
      <c r="S545" s="253">
        <v>12</v>
      </c>
      <c r="T545" s="254">
        <f>SUM( tabConsumo[[#This Row],[QTD.PENDENTE]]:tabConsumo[[#This Row],[07_23]] ) / tabConsumo[[#This Row],[Div]]</f>
        <v>657</v>
      </c>
      <c r="U545" s="255">
        <f xml:space="preserve"> tabConsumo[[#This Row],[Média.A]] + (_xlfn.STDEV.S( tabConsumo[[#This Row],[QTD.PENDENTE]]:tabConsumo[[#This Row],[07_23]] ) * 1)</f>
        <v>915.72133130595807</v>
      </c>
      <c r="V545" s="255">
        <f xml:space="preserve"> tabConsumo[[#This Row],[Média.A]] + (_xlfn.STDEV.S( tabConsumo[[#This Row],[QTD.PENDENTE]]:tabConsumo[[#This Row],[07_23]] ) * 2)</f>
        <v>1174.4426626119161</v>
      </c>
      <c r="W545" s="255">
        <f xml:space="preserve"> tabConsumo[[#This Row],[Média.A]] + (_xlfn.STDEV.S( tabConsumo[[#This Row],[QTD.PENDENTE]]:tabConsumo[[#This Row],[07_23]] ) * 3)</f>
        <v>1433.163993917874</v>
      </c>
      <c r="X545" s="5">
        <f t="shared" si="18"/>
        <v>2</v>
      </c>
      <c r="Y545">
        <v>652.41666666666663</v>
      </c>
      <c r="Z545" s="257">
        <f>SUM( tabConsumo[[#This Row],[QTD.PENDENTE]]:tabConsumo[[#This Row],[07_23]] )</f>
        <v>7884</v>
      </c>
      <c r="AA545" s="257">
        <f>LARGE(tabConsumo[[#This Row],[08_22]:[07_23]],1)</f>
        <v>1229</v>
      </c>
      <c r="AB545" s="175" t="s">
        <v>2211</v>
      </c>
      <c r="AC545" s="3" t="s">
        <v>2064</v>
      </c>
    </row>
    <row r="546" spans="1:29" x14ac:dyDescent="0.3">
      <c r="A546" s="4" t="s">
        <v>1538</v>
      </c>
      <c r="B546" s="3" t="s">
        <v>569</v>
      </c>
      <c r="C546" s="2">
        <v>93462</v>
      </c>
      <c r="D546" s="2">
        <v>0</v>
      </c>
      <c r="E546" s="2">
        <v>432</v>
      </c>
      <c r="F546" s="2">
        <v>613</v>
      </c>
      <c r="G546" s="2">
        <v>500</v>
      </c>
      <c r="H546" s="2">
        <v>480</v>
      </c>
      <c r="I546" s="2">
        <v>601</v>
      </c>
      <c r="J546" s="2">
        <v>505</v>
      </c>
      <c r="K546" s="2">
        <v>300</v>
      </c>
      <c r="L546" s="2">
        <v>500</v>
      </c>
      <c r="M546" s="2">
        <v>1233</v>
      </c>
      <c r="N546" s="2">
        <v>686</v>
      </c>
      <c r="O546" s="2">
        <v>1015</v>
      </c>
      <c r="P546" s="2">
        <v>343</v>
      </c>
      <c r="Q546" s="2">
        <v>11</v>
      </c>
      <c r="R546" s="274">
        <v>38930</v>
      </c>
      <c r="S546" s="253">
        <v>12</v>
      </c>
      <c r="T546" s="254">
        <f>SUM( tabConsumo[[#This Row],[QTD.PENDENTE]]:tabConsumo[[#This Row],[07_23]] ) / tabConsumo[[#This Row],[Div]]</f>
        <v>601.58333333333337</v>
      </c>
      <c r="U546" s="255">
        <f xml:space="preserve"> tabConsumo[[#This Row],[Média.A]] + (_xlfn.STDEV.S( tabConsumo[[#This Row],[QTD.PENDENTE]]:tabConsumo[[#This Row],[07_23]] ) * 1)</f>
        <v>908.33143428246308</v>
      </c>
      <c r="V546" s="255">
        <f xml:space="preserve"> tabConsumo[[#This Row],[Média.A]] + (_xlfn.STDEV.S( tabConsumo[[#This Row],[QTD.PENDENTE]]:tabConsumo[[#This Row],[07_23]] ) * 2)</f>
        <v>1215.0795352315927</v>
      </c>
      <c r="W546" s="255">
        <f xml:space="preserve"> tabConsumo[[#This Row],[Média.A]] + (_xlfn.STDEV.S( tabConsumo[[#This Row],[QTD.PENDENTE]]:tabConsumo[[#This Row],[07_23]] ) * 3)</f>
        <v>1521.8276361807225</v>
      </c>
      <c r="X546" s="5">
        <f t="shared" si="18"/>
        <v>2</v>
      </c>
      <c r="Y546">
        <v>600.08333333333337</v>
      </c>
      <c r="Z546" s="257">
        <f>SUM( tabConsumo[[#This Row],[QTD.PENDENTE]]:tabConsumo[[#This Row],[07_23]] )</f>
        <v>7219</v>
      </c>
      <c r="AA546" s="257">
        <f>LARGE(tabConsumo[[#This Row],[08_22]:[07_23]],1)</f>
        <v>1233</v>
      </c>
      <c r="AB546" s="175" t="s">
        <v>2211</v>
      </c>
      <c r="AC546" s="3" t="s">
        <v>2064</v>
      </c>
    </row>
    <row r="547" spans="1:29" x14ac:dyDescent="0.3">
      <c r="A547" s="4" t="s">
        <v>1730</v>
      </c>
      <c r="B547" s="3" t="s">
        <v>281</v>
      </c>
      <c r="C547" s="2">
        <v>119595</v>
      </c>
      <c r="D547" s="2">
        <v>317</v>
      </c>
      <c r="F547" s="2">
        <v>2</v>
      </c>
      <c r="G547" s="2">
        <v>6</v>
      </c>
      <c r="H547" s="2">
        <v>1</v>
      </c>
      <c r="I547" s="2">
        <v>6</v>
      </c>
      <c r="J547" s="2">
        <v>0</v>
      </c>
      <c r="K547" s="2">
        <v>2</v>
      </c>
      <c r="L547" s="2">
        <v>0</v>
      </c>
      <c r="M547" s="2">
        <v>12</v>
      </c>
      <c r="N547" s="2">
        <v>1</v>
      </c>
      <c r="O547" s="2">
        <v>6</v>
      </c>
      <c r="P547" s="2">
        <v>0</v>
      </c>
      <c r="Q547" s="2">
        <v>1</v>
      </c>
      <c r="R547" s="274">
        <v>40638</v>
      </c>
      <c r="S547" s="253">
        <v>12</v>
      </c>
      <c r="T547" s="254">
        <f>SUM( tabConsumo[[#This Row],[QTD.PENDENTE]]:tabConsumo[[#This Row],[07_23]] ) / tabConsumo[[#This Row],[Div]]</f>
        <v>3.0833333333333335</v>
      </c>
      <c r="U547" s="255">
        <f xml:space="preserve"> tabConsumo[[#This Row],[Média.A]] + (_xlfn.STDEV.S( tabConsumo[[#This Row],[QTD.PENDENTE]]:tabConsumo[[#This Row],[07_23]] ) * 1)</f>
        <v>6.7627189869280731</v>
      </c>
      <c r="V547" s="255">
        <f xml:space="preserve"> tabConsumo[[#This Row],[Média.A]] + (_xlfn.STDEV.S( tabConsumo[[#This Row],[QTD.PENDENTE]]:tabConsumo[[#This Row],[07_23]] ) * 2)</f>
        <v>10.442104640522812</v>
      </c>
      <c r="W547" s="255">
        <f xml:space="preserve"> tabConsumo[[#This Row],[Média.A]] + (_xlfn.STDEV.S( tabConsumo[[#This Row],[QTD.PENDENTE]]:tabConsumo[[#This Row],[07_23]] ) * 3)</f>
        <v>14.121490294117553</v>
      </c>
      <c r="X547" s="5">
        <f t="shared" si="18"/>
        <v>2</v>
      </c>
      <c r="Y547">
        <v>2.9166666666666665</v>
      </c>
      <c r="Z547" s="257">
        <f>SUM( tabConsumo[[#This Row],[QTD.PENDENTE]]:tabConsumo[[#This Row],[07_23]] )</f>
        <v>37</v>
      </c>
      <c r="AA547" s="257">
        <f>LARGE(tabConsumo[[#This Row],[08_22]:[07_23]],1)</f>
        <v>12</v>
      </c>
      <c r="AB547" s="175" t="s">
        <v>2211</v>
      </c>
      <c r="AC547" s="3" t="s">
        <v>2064</v>
      </c>
    </row>
    <row r="548" spans="1:29" x14ac:dyDescent="0.3">
      <c r="A548" s="4" t="s">
        <v>1762</v>
      </c>
      <c r="B548" s="3" t="s">
        <v>281</v>
      </c>
      <c r="C548" s="2">
        <v>125641</v>
      </c>
      <c r="D548" s="2">
        <v>15600</v>
      </c>
      <c r="F548" s="2">
        <v>2960</v>
      </c>
      <c r="G548" s="2">
        <v>3232</v>
      </c>
      <c r="H548" s="2">
        <v>2817</v>
      </c>
      <c r="I548" s="2">
        <v>2906</v>
      </c>
      <c r="J548" s="2">
        <v>2268</v>
      </c>
      <c r="K548" s="2">
        <v>534</v>
      </c>
      <c r="L548" s="2">
        <v>2018</v>
      </c>
      <c r="M548" s="2">
        <v>3192</v>
      </c>
      <c r="N548" s="2">
        <v>2124</v>
      </c>
      <c r="O548" s="2">
        <v>2864</v>
      </c>
      <c r="P548" s="2">
        <v>2984</v>
      </c>
      <c r="Q548" s="2">
        <v>3009</v>
      </c>
      <c r="R548" s="274">
        <v>41439</v>
      </c>
      <c r="S548" s="253">
        <v>12</v>
      </c>
      <c r="T548" s="254">
        <f>SUM( tabConsumo[[#This Row],[QTD.PENDENTE]]:tabConsumo[[#This Row],[07_23]] ) / tabConsumo[[#This Row],[Div]]</f>
        <v>2575.6666666666665</v>
      </c>
      <c r="U548" s="255">
        <f xml:space="preserve"> tabConsumo[[#This Row],[Média.A]] + (_xlfn.STDEV.S( tabConsumo[[#This Row],[QTD.PENDENTE]]:tabConsumo[[#This Row],[07_23]] ) * 1)</f>
        <v>3334.9378882198007</v>
      </c>
      <c r="V548" s="255">
        <f xml:space="preserve"> tabConsumo[[#This Row],[Média.A]] + (_xlfn.STDEV.S( tabConsumo[[#This Row],[QTD.PENDENTE]]:tabConsumo[[#This Row],[07_23]] ) * 2)</f>
        <v>4094.2091097729344</v>
      </c>
      <c r="W548" s="255">
        <f xml:space="preserve"> tabConsumo[[#This Row],[Média.A]] + (_xlfn.STDEV.S( tabConsumo[[#This Row],[QTD.PENDENTE]]:tabConsumo[[#This Row],[07_23]] ) * 3)</f>
        <v>4853.4803313260691</v>
      </c>
      <c r="X548" s="5">
        <f t="shared" si="18"/>
        <v>2</v>
      </c>
      <c r="Y548">
        <v>2575.6666666666665</v>
      </c>
      <c r="Z548" s="257">
        <f>SUM( tabConsumo[[#This Row],[QTD.PENDENTE]]:tabConsumo[[#This Row],[07_23]] )</f>
        <v>30908</v>
      </c>
      <c r="AA548" s="257">
        <f>LARGE(tabConsumo[[#This Row],[08_22]:[07_23]],1)</f>
        <v>3232</v>
      </c>
      <c r="AB548" s="175" t="s">
        <v>2211</v>
      </c>
      <c r="AC548" s="3" t="s">
        <v>2064</v>
      </c>
    </row>
    <row r="549" spans="1:29" x14ac:dyDescent="0.3">
      <c r="A549" s="4" t="s">
        <v>1941</v>
      </c>
      <c r="B549" s="3" t="s">
        <v>616</v>
      </c>
      <c r="C549" s="2">
        <v>136941</v>
      </c>
      <c r="D549" s="2">
        <v>435</v>
      </c>
      <c r="E549" s="2">
        <v>2</v>
      </c>
      <c r="F549" s="2">
        <v>89</v>
      </c>
      <c r="G549" s="2">
        <v>96</v>
      </c>
      <c r="H549" s="2">
        <v>89</v>
      </c>
      <c r="I549" s="2">
        <v>98</v>
      </c>
      <c r="J549" s="2">
        <v>64</v>
      </c>
      <c r="K549" s="2">
        <v>38</v>
      </c>
      <c r="L549" s="2">
        <v>64</v>
      </c>
      <c r="M549" s="2">
        <v>186</v>
      </c>
      <c r="N549" s="2">
        <v>108</v>
      </c>
      <c r="O549" s="2">
        <v>136</v>
      </c>
      <c r="P549" s="2">
        <v>159</v>
      </c>
      <c r="Q549" s="2">
        <v>119</v>
      </c>
      <c r="R549" s="274">
        <v>43606</v>
      </c>
      <c r="S549" s="253">
        <v>12</v>
      </c>
      <c r="T549" s="254">
        <f>SUM( tabConsumo[[#This Row],[QTD.PENDENTE]]:tabConsumo[[#This Row],[07_23]] ) / tabConsumo[[#This Row],[Div]]</f>
        <v>104</v>
      </c>
      <c r="U549" s="255">
        <f xml:space="preserve"> tabConsumo[[#This Row],[Média.A]] + (_xlfn.STDEV.S( tabConsumo[[#This Row],[QTD.PENDENTE]]:tabConsumo[[#This Row],[07_23]] ) * 1)</f>
        <v>152.89785271359059</v>
      </c>
      <c r="V549" s="255">
        <f xml:space="preserve"> tabConsumo[[#This Row],[Média.A]] + (_xlfn.STDEV.S( tabConsumo[[#This Row],[QTD.PENDENTE]]:tabConsumo[[#This Row],[07_23]] ) * 2)</f>
        <v>201.79570542718119</v>
      </c>
      <c r="W549" s="255">
        <f xml:space="preserve"> tabConsumo[[#This Row],[Média.A]] + (_xlfn.STDEV.S( tabConsumo[[#This Row],[QTD.PENDENTE]]:tabConsumo[[#This Row],[07_23]] ) * 3)</f>
        <v>250.69355814077181</v>
      </c>
      <c r="X549" s="5">
        <f t="shared" si="18"/>
        <v>2</v>
      </c>
      <c r="Y549">
        <v>104</v>
      </c>
      <c r="Z549" s="257">
        <f>SUM( tabConsumo[[#This Row],[QTD.PENDENTE]]:tabConsumo[[#This Row],[07_23]] )</f>
        <v>1248</v>
      </c>
      <c r="AA549" s="257">
        <f>LARGE(tabConsumo[[#This Row],[08_22]:[07_23]],1)</f>
        <v>186</v>
      </c>
      <c r="AB549" s="175" t="s">
        <v>2211</v>
      </c>
      <c r="AC549" s="3" t="s">
        <v>2064</v>
      </c>
    </row>
    <row r="550" spans="1:29" x14ac:dyDescent="0.3">
      <c r="A550" s="4" t="s">
        <v>1360</v>
      </c>
      <c r="B550" s="3" t="s">
        <v>569</v>
      </c>
      <c r="C550" s="2">
        <v>63591</v>
      </c>
      <c r="D550" s="2">
        <v>1728</v>
      </c>
      <c r="E550" s="2">
        <v>80</v>
      </c>
      <c r="F550" s="2">
        <v>610</v>
      </c>
      <c r="G550" s="2">
        <v>491</v>
      </c>
      <c r="H550" s="2">
        <v>431</v>
      </c>
      <c r="I550" s="2">
        <v>473</v>
      </c>
      <c r="J550" s="2">
        <v>410</v>
      </c>
      <c r="K550" s="2">
        <v>350</v>
      </c>
      <c r="L550" s="2">
        <v>445</v>
      </c>
      <c r="M550" s="2">
        <v>1399</v>
      </c>
      <c r="N550" s="2">
        <v>808</v>
      </c>
      <c r="O550" s="2">
        <v>851</v>
      </c>
      <c r="P550" s="2">
        <v>808</v>
      </c>
      <c r="Q550" s="2">
        <v>819</v>
      </c>
      <c r="R550" s="274">
        <v>367</v>
      </c>
      <c r="S550" s="253">
        <f t="shared" ref="S550:S557" si="20" xml:space="preserve"> 12</f>
        <v>12</v>
      </c>
      <c r="T550" s="254">
        <f>SUM( tabConsumo[[#This Row],[QTD.PENDENTE]]:tabConsumo[[#This Row],[07_23]] ) / tabConsumo[[#This Row],[Div]]</f>
        <v>664.58333333333337</v>
      </c>
      <c r="U550" s="255">
        <f xml:space="preserve"> tabConsumo[[#This Row],[Média.A]] + (_xlfn.STDEV.S( tabConsumo[[#This Row],[QTD.PENDENTE]]:tabConsumo[[#This Row],[07_23]] ) * 1)</f>
        <v>991.59393850912261</v>
      </c>
      <c r="V550" s="255">
        <f xml:space="preserve"> tabConsumo[[#This Row],[Média.A]] + (_xlfn.STDEV.S( tabConsumo[[#This Row],[QTD.PENDENTE]]:tabConsumo[[#This Row],[07_23]] ) * 2)</f>
        <v>1318.6045436849117</v>
      </c>
      <c r="W550" s="255">
        <f xml:space="preserve"> tabConsumo[[#This Row],[Média.A]] + (_xlfn.STDEV.S( tabConsumo[[#This Row],[QTD.PENDENTE]]:tabConsumo[[#This Row],[07_23]] ) * 3)</f>
        <v>1645.6151488607011</v>
      </c>
      <c r="X550" s="5">
        <f t="shared" si="18"/>
        <v>2</v>
      </c>
      <c r="Y550">
        <v>657.83333333333337</v>
      </c>
      <c r="Z550" s="257">
        <f>SUM( tabConsumo[[#This Row],[QTD.PENDENTE]]:tabConsumo[[#This Row],[07_23]] )</f>
        <v>7975</v>
      </c>
      <c r="AA550" s="257">
        <f>LARGE(tabConsumo[[#This Row],[08_22]:[07_23]],1)</f>
        <v>1399</v>
      </c>
      <c r="AB550" s="175" t="s">
        <v>2211</v>
      </c>
      <c r="AC550" s="3" t="s">
        <v>2064</v>
      </c>
    </row>
    <row r="551" spans="1:29" x14ac:dyDescent="0.3">
      <c r="A551" s="4" t="s">
        <v>1220</v>
      </c>
      <c r="B551" s="3" t="s">
        <v>569</v>
      </c>
      <c r="C551" s="2">
        <v>27138</v>
      </c>
      <c r="D551" s="2">
        <v>8964</v>
      </c>
      <c r="F551" s="2">
        <v>493</v>
      </c>
      <c r="G551" s="2">
        <v>369</v>
      </c>
      <c r="H551" s="2">
        <v>421</v>
      </c>
      <c r="I551" s="2">
        <v>490</v>
      </c>
      <c r="J551" s="2">
        <v>347</v>
      </c>
      <c r="K551" s="2">
        <v>205</v>
      </c>
      <c r="L551" s="2">
        <v>415</v>
      </c>
      <c r="M551" s="2">
        <v>845</v>
      </c>
      <c r="N551" s="2">
        <v>460</v>
      </c>
      <c r="O551" s="2">
        <v>645</v>
      </c>
      <c r="P551" s="2">
        <v>625</v>
      </c>
      <c r="Q551" s="2">
        <v>533</v>
      </c>
      <c r="R551" s="274">
        <v>367</v>
      </c>
      <c r="S551" s="253">
        <f t="shared" si="20"/>
        <v>12</v>
      </c>
      <c r="T551" s="254">
        <f>SUM( tabConsumo[[#This Row],[QTD.PENDENTE]]:tabConsumo[[#This Row],[07_23]] ) / tabConsumo[[#This Row],[Div]]</f>
        <v>487.33333333333331</v>
      </c>
      <c r="U551" s="255">
        <f xml:space="preserve"> tabConsumo[[#This Row],[Média.A]] + (_xlfn.STDEV.S( tabConsumo[[#This Row],[QTD.PENDENTE]]:tabConsumo[[#This Row],[07_23]] ) * 1)</f>
        <v>651.82944178873015</v>
      </c>
      <c r="V551" s="255">
        <f xml:space="preserve"> tabConsumo[[#This Row],[Média.A]] + (_xlfn.STDEV.S( tabConsumo[[#This Row],[QTD.PENDENTE]]:tabConsumo[[#This Row],[07_23]] ) * 2)</f>
        <v>816.32555024412704</v>
      </c>
      <c r="W551" s="255">
        <f xml:space="preserve"> tabConsumo[[#This Row],[Média.A]] + (_xlfn.STDEV.S( tabConsumo[[#This Row],[QTD.PENDENTE]]:tabConsumo[[#This Row],[07_23]] ) * 3)</f>
        <v>980.82165869952382</v>
      </c>
      <c r="X551" s="5">
        <f t="shared" si="18"/>
        <v>2</v>
      </c>
      <c r="Y551">
        <v>484.91666666666669</v>
      </c>
      <c r="Z551" s="257">
        <f>SUM( tabConsumo[[#This Row],[QTD.PENDENTE]]:tabConsumo[[#This Row],[07_23]] )</f>
        <v>5848</v>
      </c>
      <c r="AA551" s="257">
        <f>LARGE(tabConsumo[[#This Row],[08_22]:[07_23]],1)</f>
        <v>845</v>
      </c>
      <c r="AB551" s="175" t="s">
        <v>2211</v>
      </c>
      <c r="AC551" s="3" t="s">
        <v>2064</v>
      </c>
    </row>
    <row r="552" spans="1:29" x14ac:dyDescent="0.3">
      <c r="A552" s="4" t="s">
        <v>1205</v>
      </c>
      <c r="B552" s="3" t="s">
        <v>569</v>
      </c>
      <c r="C552" s="2">
        <v>25559</v>
      </c>
      <c r="D552" s="2">
        <v>5288</v>
      </c>
      <c r="F552" s="2">
        <v>643</v>
      </c>
      <c r="G552" s="2">
        <v>494</v>
      </c>
      <c r="H552" s="2">
        <v>571</v>
      </c>
      <c r="I552" s="2">
        <v>674</v>
      </c>
      <c r="J552" s="2">
        <v>393</v>
      </c>
      <c r="K552" s="2">
        <v>220</v>
      </c>
      <c r="L552" s="2">
        <v>417</v>
      </c>
      <c r="M552" s="2">
        <v>965</v>
      </c>
      <c r="N552" s="2">
        <v>505</v>
      </c>
      <c r="O552" s="2">
        <v>720</v>
      </c>
      <c r="P552" s="2">
        <v>668</v>
      </c>
      <c r="Q552" s="2">
        <v>608</v>
      </c>
      <c r="R552" s="274">
        <v>367</v>
      </c>
      <c r="S552" s="253">
        <f t="shared" si="20"/>
        <v>12</v>
      </c>
      <c r="T552" s="254">
        <f>SUM( tabConsumo[[#This Row],[QTD.PENDENTE]]:tabConsumo[[#This Row],[07_23]] ) / tabConsumo[[#This Row],[Div]]</f>
        <v>573.16666666666663</v>
      </c>
      <c r="U552" s="255">
        <f xml:space="preserve"> tabConsumo[[#This Row],[Média.A]] + (_xlfn.STDEV.S( tabConsumo[[#This Row],[QTD.PENDENTE]]:tabConsumo[[#This Row],[07_23]] ) * 1)</f>
        <v>762.14421864444819</v>
      </c>
      <c r="V552" s="255">
        <f xml:space="preserve"> tabConsumo[[#This Row],[Média.A]] + (_xlfn.STDEV.S( tabConsumo[[#This Row],[QTD.PENDENTE]]:tabConsumo[[#This Row],[07_23]] ) * 2)</f>
        <v>951.12177062222986</v>
      </c>
      <c r="W552" s="255">
        <f xml:space="preserve"> tabConsumo[[#This Row],[Média.A]] + (_xlfn.STDEV.S( tabConsumo[[#This Row],[QTD.PENDENTE]]:tabConsumo[[#This Row],[07_23]] ) * 3)</f>
        <v>1140.0993226000114</v>
      </c>
      <c r="X552" s="5">
        <f t="shared" si="18"/>
        <v>2</v>
      </c>
      <c r="Y552">
        <v>572</v>
      </c>
      <c r="Z552" s="257">
        <f>SUM( tabConsumo[[#This Row],[QTD.PENDENTE]]:tabConsumo[[#This Row],[07_23]] )</f>
        <v>6878</v>
      </c>
      <c r="AA552" s="257">
        <f>LARGE(tabConsumo[[#This Row],[08_22]:[07_23]],1)</f>
        <v>965</v>
      </c>
      <c r="AB552" s="175" t="s">
        <v>2211</v>
      </c>
      <c r="AC552" s="3" t="s">
        <v>2064</v>
      </c>
    </row>
    <row r="553" spans="1:29" x14ac:dyDescent="0.3">
      <c r="A553" s="4" t="s">
        <v>1222</v>
      </c>
      <c r="B553" s="3" t="s">
        <v>569</v>
      </c>
      <c r="C553" s="2">
        <v>27140</v>
      </c>
      <c r="D553" s="2">
        <v>5196</v>
      </c>
      <c r="F553" s="2">
        <v>736</v>
      </c>
      <c r="G553" s="2">
        <v>536</v>
      </c>
      <c r="H553" s="2">
        <v>551</v>
      </c>
      <c r="I553" s="2">
        <v>690</v>
      </c>
      <c r="J553" s="2">
        <v>409</v>
      </c>
      <c r="K553" s="2">
        <v>200</v>
      </c>
      <c r="L553" s="2">
        <v>447</v>
      </c>
      <c r="M553" s="2">
        <v>945</v>
      </c>
      <c r="N553" s="2">
        <v>475</v>
      </c>
      <c r="O553" s="2">
        <v>735</v>
      </c>
      <c r="P553" s="2">
        <v>692</v>
      </c>
      <c r="Q553" s="2">
        <v>578</v>
      </c>
      <c r="R553" s="274">
        <v>367</v>
      </c>
      <c r="S553" s="253">
        <f t="shared" si="20"/>
        <v>12</v>
      </c>
      <c r="T553" s="254">
        <f>SUM( tabConsumo[[#This Row],[QTD.PENDENTE]]:tabConsumo[[#This Row],[07_23]] ) / tabConsumo[[#This Row],[Div]]</f>
        <v>582.83333333333337</v>
      </c>
      <c r="U553" s="255">
        <f xml:space="preserve"> tabConsumo[[#This Row],[Média.A]] + (_xlfn.STDEV.S( tabConsumo[[#This Row],[QTD.PENDENTE]]:tabConsumo[[#This Row],[07_23]] ) * 1)</f>
        <v>776.19349343657564</v>
      </c>
      <c r="V553" s="255">
        <f xml:space="preserve"> tabConsumo[[#This Row],[Média.A]] + (_xlfn.STDEV.S( tabConsumo[[#This Row],[QTD.PENDENTE]]:tabConsumo[[#This Row],[07_23]] ) * 2)</f>
        <v>969.55365353981801</v>
      </c>
      <c r="W553" s="255">
        <f xml:space="preserve"> tabConsumo[[#This Row],[Média.A]] + (_xlfn.STDEV.S( tabConsumo[[#This Row],[QTD.PENDENTE]]:tabConsumo[[#This Row],[07_23]] ) * 3)</f>
        <v>1162.9138136430602</v>
      </c>
      <c r="X553" s="5">
        <f t="shared" si="18"/>
        <v>2</v>
      </c>
      <c r="Y553">
        <v>582.83333333333337</v>
      </c>
      <c r="Z553" s="257">
        <f>SUM( tabConsumo[[#This Row],[QTD.PENDENTE]]:tabConsumo[[#This Row],[07_23]] )</f>
        <v>6994</v>
      </c>
      <c r="AA553" s="257">
        <f>LARGE(tabConsumo[[#This Row],[08_22]:[07_23]],1)</f>
        <v>945</v>
      </c>
      <c r="AB553" s="175" t="s">
        <v>2211</v>
      </c>
      <c r="AC553" s="3" t="s">
        <v>2064</v>
      </c>
    </row>
    <row r="554" spans="1:29" x14ac:dyDescent="0.3">
      <c r="A554" s="4" t="s">
        <v>1219</v>
      </c>
      <c r="B554" s="3" t="s">
        <v>569</v>
      </c>
      <c r="C554" s="2">
        <v>27137</v>
      </c>
      <c r="D554" s="2">
        <v>10030</v>
      </c>
      <c r="F554" s="2">
        <v>493</v>
      </c>
      <c r="G554" s="2">
        <v>381</v>
      </c>
      <c r="H554" s="2">
        <v>376</v>
      </c>
      <c r="I554" s="2">
        <v>545</v>
      </c>
      <c r="J554" s="2">
        <v>351</v>
      </c>
      <c r="K554" s="2">
        <v>195</v>
      </c>
      <c r="L554" s="2">
        <v>375</v>
      </c>
      <c r="M554" s="2">
        <v>875</v>
      </c>
      <c r="N554" s="2">
        <v>430</v>
      </c>
      <c r="O554" s="2">
        <v>595</v>
      </c>
      <c r="P554" s="2">
        <v>585</v>
      </c>
      <c r="Q554" s="2">
        <v>565</v>
      </c>
      <c r="R554" s="274">
        <v>367</v>
      </c>
      <c r="S554" s="253">
        <f t="shared" si="20"/>
        <v>12</v>
      </c>
      <c r="T554" s="254">
        <f>SUM( tabConsumo[[#This Row],[QTD.PENDENTE]]:tabConsumo[[#This Row],[07_23]] ) / tabConsumo[[#This Row],[Div]]</f>
        <v>480.5</v>
      </c>
      <c r="U554" s="255">
        <f xml:space="preserve"> tabConsumo[[#This Row],[Média.A]] + (_xlfn.STDEV.S( tabConsumo[[#This Row],[QTD.PENDENTE]]:tabConsumo[[#This Row],[07_23]] ) * 1)</f>
        <v>652.09651405656132</v>
      </c>
      <c r="V554" s="255">
        <f xml:space="preserve"> tabConsumo[[#This Row],[Média.A]] + (_xlfn.STDEV.S( tabConsumo[[#This Row],[QTD.PENDENTE]]:tabConsumo[[#This Row],[07_23]] ) * 2)</f>
        <v>823.69302811312264</v>
      </c>
      <c r="W554" s="255">
        <f xml:space="preserve"> tabConsumo[[#This Row],[Média.A]] + (_xlfn.STDEV.S( tabConsumo[[#This Row],[QTD.PENDENTE]]:tabConsumo[[#This Row],[07_23]] ) * 3)</f>
        <v>995.28954216968384</v>
      </c>
      <c r="X554" s="5">
        <f t="shared" si="18"/>
        <v>2</v>
      </c>
      <c r="Y554">
        <v>476.16666666666669</v>
      </c>
      <c r="Z554" s="257">
        <f>SUM( tabConsumo[[#This Row],[QTD.PENDENTE]]:tabConsumo[[#This Row],[07_23]] )</f>
        <v>5766</v>
      </c>
      <c r="AA554" s="257">
        <f>LARGE(tabConsumo[[#This Row],[08_22]:[07_23]],1)</f>
        <v>875</v>
      </c>
      <c r="AB554" s="175" t="s">
        <v>2211</v>
      </c>
      <c r="AC554" s="3" t="s">
        <v>2064</v>
      </c>
    </row>
    <row r="555" spans="1:29" x14ac:dyDescent="0.3">
      <c r="A555" s="4" t="s">
        <v>1221</v>
      </c>
      <c r="B555" s="3" t="s">
        <v>569</v>
      </c>
      <c r="C555" s="2">
        <v>27139</v>
      </c>
      <c r="D555" s="2">
        <v>8768</v>
      </c>
      <c r="F555" s="2">
        <v>514</v>
      </c>
      <c r="G555" s="2">
        <v>351</v>
      </c>
      <c r="H555" s="2">
        <v>416</v>
      </c>
      <c r="I555" s="2">
        <v>570</v>
      </c>
      <c r="J555" s="2">
        <v>352</v>
      </c>
      <c r="K555" s="2">
        <v>170</v>
      </c>
      <c r="L555" s="2">
        <v>385</v>
      </c>
      <c r="M555" s="2">
        <v>840</v>
      </c>
      <c r="N555" s="2">
        <v>420</v>
      </c>
      <c r="O555" s="2">
        <v>612</v>
      </c>
      <c r="P555" s="2">
        <v>600</v>
      </c>
      <c r="Q555" s="2">
        <v>558</v>
      </c>
      <c r="R555" s="274">
        <v>367</v>
      </c>
      <c r="S555" s="253">
        <f t="shared" si="20"/>
        <v>12</v>
      </c>
      <c r="T555" s="254">
        <f>SUM( tabConsumo[[#This Row],[QTD.PENDENTE]]:tabConsumo[[#This Row],[07_23]] ) / tabConsumo[[#This Row],[Div]]</f>
        <v>482.33333333333331</v>
      </c>
      <c r="U555" s="255">
        <f xml:space="preserve"> tabConsumo[[#This Row],[Média.A]] + (_xlfn.STDEV.S( tabConsumo[[#This Row],[QTD.PENDENTE]]:tabConsumo[[#This Row],[07_23]] ) * 1)</f>
        <v>653.57071950890656</v>
      </c>
      <c r="V555" s="255">
        <f xml:space="preserve"> tabConsumo[[#This Row],[Média.A]] + (_xlfn.STDEV.S( tabConsumo[[#This Row],[QTD.PENDENTE]]:tabConsumo[[#This Row],[07_23]] ) * 2)</f>
        <v>824.80810568447987</v>
      </c>
      <c r="W555" s="255">
        <f xml:space="preserve"> tabConsumo[[#This Row],[Média.A]] + (_xlfn.STDEV.S( tabConsumo[[#This Row],[QTD.PENDENTE]]:tabConsumo[[#This Row],[07_23]] ) * 3)</f>
        <v>996.04549186005306</v>
      </c>
      <c r="X555" s="5">
        <f t="shared" si="18"/>
        <v>2</v>
      </c>
      <c r="Y555">
        <v>481</v>
      </c>
      <c r="Z555" s="257">
        <f>SUM( tabConsumo[[#This Row],[QTD.PENDENTE]]:tabConsumo[[#This Row],[07_23]] )</f>
        <v>5788</v>
      </c>
      <c r="AA555" s="257">
        <f>LARGE(tabConsumo[[#This Row],[08_22]:[07_23]],1)</f>
        <v>840</v>
      </c>
      <c r="AB555" s="175" t="s">
        <v>2211</v>
      </c>
      <c r="AC555" s="3" t="s">
        <v>2064</v>
      </c>
    </row>
    <row r="556" spans="1:29" x14ac:dyDescent="0.3">
      <c r="A556" s="4" t="s">
        <v>939</v>
      </c>
      <c r="B556" s="3" t="s">
        <v>894</v>
      </c>
      <c r="C556" s="2">
        <v>12616</v>
      </c>
      <c r="D556" s="2">
        <v>29016</v>
      </c>
      <c r="E556" s="2">
        <v>267</v>
      </c>
      <c r="F556" s="2">
        <v>4201</v>
      </c>
      <c r="G556" s="2">
        <v>4683</v>
      </c>
      <c r="H556" s="2">
        <v>4432</v>
      </c>
      <c r="I556" s="2">
        <v>4546</v>
      </c>
      <c r="J556" s="2">
        <v>2706</v>
      </c>
      <c r="K556" s="2">
        <v>1767</v>
      </c>
      <c r="L556" s="2">
        <v>3874</v>
      </c>
      <c r="M556" s="2">
        <v>8557</v>
      </c>
      <c r="N556" s="2">
        <v>5024</v>
      </c>
      <c r="O556" s="2">
        <v>5199</v>
      </c>
      <c r="P556" s="2">
        <v>5086</v>
      </c>
      <c r="Q556" s="2">
        <v>4337</v>
      </c>
      <c r="R556" s="274">
        <v>367</v>
      </c>
      <c r="S556" s="253">
        <f t="shared" si="20"/>
        <v>12</v>
      </c>
      <c r="T556" s="254">
        <f>SUM( tabConsumo[[#This Row],[QTD.PENDENTE]]:tabConsumo[[#This Row],[07_23]] ) / tabConsumo[[#This Row],[Div]]</f>
        <v>4556.583333333333</v>
      </c>
      <c r="U556" s="255">
        <f xml:space="preserve"> tabConsumo[[#This Row],[Média.A]] + (_xlfn.STDEV.S( tabConsumo[[#This Row],[QTD.PENDENTE]]:tabConsumo[[#This Row],[07_23]] ) * 1)</f>
        <v>6505.8744635282073</v>
      </c>
      <c r="V556" s="255">
        <f xml:space="preserve"> tabConsumo[[#This Row],[Média.A]] + (_xlfn.STDEV.S( tabConsumo[[#This Row],[QTD.PENDENTE]]:tabConsumo[[#This Row],[07_23]] ) * 2)</f>
        <v>8455.1655937230826</v>
      </c>
      <c r="W556" s="255">
        <f xml:space="preserve"> tabConsumo[[#This Row],[Média.A]] + (_xlfn.STDEV.S( tabConsumo[[#This Row],[QTD.PENDENTE]]:tabConsumo[[#This Row],[07_23]] ) * 3)</f>
        <v>10404.456723917956</v>
      </c>
      <c r="X556" s="5">
        <f t="shared" si="18"/>
        <v>2</v>
      </c>
      <c r="Y556">
        <v>4548.083333333333</v>
      </c>
      <c r="Z556" s="257">
        <f>SUM( tabConsumo[[#This Row],[QTD.PENDENTE]]:tabConsumo[[#This Row],[07_23]] )</f>
        <v>54679</v>
      </c>
      <c r="AA556" s="257">
        <f>LARGE(tabConsumo[[#This Row],[08_22]:[07_23]],1)</f>
        <v>8557</v>
      </c>
      <c r="AB556" s="175" t="s">
        <v>2211</v>
      </c>
      <c r="AC556" s="3" t="s">
        <v>2064</v>
      </c>
    </row>
    <row r="557" spans="1:29" x14ac:dyDescent="0.3">
      <c r="A557" s="4" t="s">
        <v>893</v>
      </c>
      <c r="B557" s="3" t="s">
        <v>894</v>
      </c>
      <c r="C557" s="2">
        <v>10302</v>
      </c>
      <c r="D557" s="2">
        <v>8202</v>
      </c>
      <c r="E557" s="2">
        <v>3</v>
      </c>
      <c r="F557" s="2">
        <v>79</v>
      </c>
      <c r="G557" s="2">
        <v>153</v>
      </c>
      <c r="H557" s="2">
        <v>139</v>
      </c>
      <c r="I557" s="2">
        <v>126</v>
      </c>
      <c r="J557" s="2">
        <v>93</v>
      </c>
      <c r="K557" s="2">
        <v>46</v>
      </c>
      <c r="L557" s="2">
        <v>150</v>
      </c>
      <c r="M557" s="2">
        <v>1839</v>
      </c>
      <c r="N557" s="2">
        <v>210</v>
      </c>
      <c r="O557" s="2">
        <v>232</v>
      </c>
      <c r="P557" s="2">
        <v>184</v>
      </c>
      <c r="Q557" s="2">
        <v>149</v>
      </c>
      <c r="R557" s="274">
        <v>367</v>
      </c>
      <c r="S557" s="253">
        <f t="shared" si="20"/>
        <v>12</v>
      </c>
      <c r="T557" s="254">
        <f>SUM( tabConsumo[[#This Row],[QTD.PENDENTE]]:tabConsumo[[#This Row],[07_23]] ) / tabConsumo[[#This Row],[Div]]</f>
        <v>283.58333333333331</v>
      </c>
      <c r="U557" s="255">
        <f xml:space="preserve"> tabConsumo[[#This Row],[Média.A]] + (_xlfn.STDEV.S( tabConsumo[[#This Row],[QTD.PENDENTE]]:tabConsumo[[#This Row],[07_23]] ) * 1)</f>
        <v>761.70660088507987</v>
      </c>
      <c r="V557" s="255">
        <f xml:space="preserve"> tabConsumo[[#This Row],[Média.A]] + (_xlfn.STDEV.S( tabConsumo[[#This Row],[QTD.PENDENTE]]:tabConsumo[[#This Row],[07_23]] ) * 2)</f>
        <v>1239.8298684368265</v>
      </c>
      <c r="W557" s="255">
        <f xml:space="preserve"> tabConsumo[[#This Row],[Média.A]] + (_xlfn.STDEV.S( tabConsumo[[#This Row],[QTD.PENDENTE]]:tabConsumo[[#This Row],[07_23]] ) * 3)</f>
        <v>1717.953135988573</v>
      </c>
      <c r="X557" s="5">
        <f t="shared" si="18"/>
        <v>2</v>
      </c>
      <c r="Y557">
        <v>233.58333333333334</v>
      </c>
      <c r="Z557" s="257">
        <f>SUM( tabConsumo[[#This Row],[QTD.PENDENTE]]:tabConsumo[[#This Row],[07_23]] )</f>
        <v>3403</v>
      </c>
      <c r="AA557" s="257">
        <f>LARGE(tabConsumo[[#This Row],[08_22]:[07_23]],1)</f>
        <v>1839</v>
      </c>
      <c r="AB557" s="175" t="s">
        <v>2211</v>
      </c>
      <c r="AC557" s="3" t="s">
        <v>2064</v>
      </c>
    </row>
    <row r="558" spans="1:29" x14ac:dyDescent="0.3">
      <c r="A558" s="4" t="s">
        <v>1819</v>
      </c>
      <c r="B558" s="3" t="s">
        <v>1338</v>
      </c>
      <c r="C558" s="2">
        <v>132303</v>
      </c>
      <c r="D558" s="2">
        <v>11014</v>
      </c>
      <c r="E558" s="2">
        <v>58</v>
      </c>
      <c r="F558" s="2">
        <v>1003</v>
      </c>
      <c r="G558" s="2">
        <v>1186</v>
      </c>
      <c r="H558" s="2">
        <v>1104</v>
      </c>
      <c r="I558" s="2">
        <v>1208</v>
      </c>
      <c r="J558" s="2">
        <v>857</v>
      </c>
      <c r="K558" s="2">
        <v>400</v>
      </c>
      <c r="L558" s="2">
        <v>705</v>
      </c>
      <c r="M558" s="2">
        <v>9277</v>
      </c>
      <c r="N558" s="2">
        <v>1017</v>
      </c>
      <c r="O558" s="2">
        <v>1125</v>
      </c>
      <c r="P558" s="2">
        <v>1039</v>
      </c>
      <c r="Q558" s="2">
        <v>840</v>
      </c>
      <c r="R558" s="274">
        <v>42685</v>
      </c>
      <c r="S558" s="253">
        <v>12</v>
      </c>
      <c r="T558" s="254">
        <f>SUM( tabConsumo[[#This Row],[QTD.PENDENTE]]:tabConsumo[[#This Row],[07_23]] ) / tabConsumo[[#This Row],[Div]]</f>
        <v>1651.5833333333333</v>
      </c>
      <c r="U558" s="255">
        <f xml:space="preserve"> tabConsumo[[#This Row],[Média.A]] + (_xlfn.STDEV.S( tabConsumo[[#This Row],[QTD.PENDENTE]]:tabConsumo[[#This Row],[07_23]] ) * 1)</f>
        <v>4004.2141166404172</v>
      </c>
      <c r="V558" s="255">
        <f xml:space="preserve"> tabConsumo[[#This Row],[Média.A]] + (_xlfn.STDEV.S( tabConsumo[[#This Row],[QTD.PENDENTE]]:tabConsumo[[#This Row],[07_23]] ) * 2)</f>
        <v>6356.8448999475004</v>
      </c>
      <c r="W558" s="255">
        <f xml:space="preserve"> tabConsumo[[#This Row],[Média.A]] + (_xlfn.STDEV.S( tabConsumo[[#This Row],[QTD.PENDENTE]]:tabConsumo[[#This Row],[07_23]] ) * 3)</f>
        <v>8709.4756832545845</v>
      </c>
      <c r="X558" s="5">
        <f t="shared" si="18"/>
        <v>2</v>
      </c>
      <c r="Y558">
        <v>1408.1666666666667</v>
      </c>
      <c r="Z558" s="257">
        <f>SUM( tabConsumo[[#This Row],[QTD.PENDENTE]]:tabConsumo[[#This Row],[07_23]] )</f>
        <v>19819</v>
      </c>
      <c r="AA558" s="257">
        <f>LARGE(tabConsumo[[#This Row],[08_22]:[07_23]],1)</f>
        <v>9277</v>
      </c>
      <c r="AB558" s="175" t="s">
        <v>2211</v>
      </c>
      <c r="AC558" s="3" t="s">
        <v>2064</v>
      </c>
    </row>
    <row r="559" spans="1:29" x14ac:dyDescent="0.3">
      <c r="A559" s="4" t="s">
        <v>1358</v>
      </c>
      <c r="B559" s="3" t="s">
        <v>569</v>
      </c>
      <c r="C559" s="2">
        <v>63385</v>
      </c>
      <c r="D559" s="2">
        <v>0</v>
      </c>
      <c r="E559" s="2">
        <v>9011</v>
      </c>
      <c r="F559" s="2">
        <v>81</v>
      </c>
      <c r="G559" s="2">
        <v>0</v>
      </c>
      <c r="H559" s="2">
        <v>0</v>
      </c>
      <c r="I559" s="2">
        <v>0</v>
      </c>
      <c r="J559" s="2">
        <v>0</v>
      </c>
      <c r="K559" s="2">
        <v>225</v>
      </c>
      <c r="L559" s="2">
        <v>6318</v>
      </c>
      <c r="M559" s="2">
        <v>13744</v>
      </c>
      <c r="N559" s="2">
        <v>0</v>
      </c>
      <c r="O559" s="2">
        <v>0</v>
      </c>
      <c r="P559" s="2">
        <v>0</v>
      </c>
      <c r="Q559" s="2">
        <v>0</v>
      </c>
      <c r="R559" s="274">
        <v>367</v>
      </c>
      <c r="S559" s="253">
        <f xml:space="preserve"> 12</f>
        <v>12</v>
      </c>
      <c r="T559" s="254">
        <f>SUM( tabConsumo[[#This Row],[QTD.PENDENTE]]:tabConsumo[[#This Row],[07_23]] ) / tabConsumo[[#This Row],[Div]]</f>
        <v>2448.25</v>
      </c>
      <c r="U559" s="255">
        <f xml:space="preserve"> tabConsumo[[#This Row],[Média.A]] + (_xlfn.STDEV.S( tabConsumo[[#This Row],[QTD.PENDENTE]]:tabConsumo[[#This Row],[07_23]] ) * 1)</f>
        <v>6954.5020173187986</v>
      </c>
      <c r="V559" s="255">
        <f xml:space="preserve"> tabConsumo[[#This Row],[Média.A]] + (_xlfn.STDEV.S( tabConsumo[[#This Row],[QTD.PENDENTE]]:tabConsumo[[#This Row],[07_23]] ) * 2)</f>
        <v>11460.754034637597</v>
      </c>
      <c r="W559" s="255">
        <f xml:space="preserve"> tabConsumo[[#This Row],[Média.A]] + (_xlfn.STDEV.S( tabConsumo[[#This Row],[QTD.PENDENTE]]:tabConsumo[[#This Row],[07_23]] ) * 3)</f>
        <v>15967.006051956396</v>
      </c>
      <c r="X559" s="5">
        <f t="shared" si="18"/>
        <v>2</v>
      </c>
      <c r="Y559">
        <v>2257.9166666666665</v>
      </c>
      <c r="Z559" s="257">
        <f>SUM( tabConsumo[[#This Row],[QTD.PENDENTE]]:tabConsumo[[#This Row],[07_23]] )</f>
        <v>29379</v>
      </c>
      <c r="AA559" s="257">
        <f>LARGE(tabConsumo[[#This Row],[08_22]:[07_23]],1)</f>
        <v>13744</v>
      </c>
      <c r="AB559" s="175" t="s">
        <v>2217</v>
      </c>
      <c r="AC559" s="3" t="s">
        <v>2064</v>
      </c>
    </row>
    <row r="560" spans="1:29" x14ac:dyDescent="0.3">
      <c r="A560" s="4" t="s">
        <v>1525</v>
      </c>
      <c r="B560" s="3" t="s">
        <v>268</v>
      </c>
      <c r="C560" s="2">
        <v>92908</v>
      </c>
      <c r="D560" s="2">
        <v>2478</v>
      </c>
      <c r="E560" s="2">
        <v>2</v>
      </c>
      <c r="F560" s="2">
        <v>192</v>
      </c>
      <c r="G560" s="2">
        <v>138</v>
      </c>
      <c r="H560" s="2">
        <v>159</v>
      </c>
      <c r="I560" s="2">
        <v>178</v>
      </c>
      <c r="J560" s="2">
        <v>132</v>
      </c>
      <c r="K560" s="2">
        <v>81</v>
      </c>
      <c r="L560" s="2">
        <v>142</v>
      </c>
      <c r="M560" s="2">
        <v>1900</v>
      </c>
      <c r="N560" s="2">
        <v>216</v>
      </c>
      <c r="O560" s="2">
        <v>226</v>
      </c>
      <c r="P560" s="2">
        <v>237</v>
      </c>
      <c r="Q560" s="2">
        <v>201</v>
      </c>
      <c r="R560" s="274">
        <v>38904</v>
      </c>
      <c r="S560" s="253">
        <v>12</v>
      </c>
      <c r="T560" s="254">
        <f>SUM( tabConsumo[[#This Row],[QTD.PENDENTE]]:tabConsumo[[#This Row],[07_23]] ) / tabConsumo[[#This Row],[Div]]</f>
        <v>317</v>
      </c>
      <c r="U560" s="255">
        <f xml:space="preserve"> tabConsumo[[#This Row],[Média.A]] + (_xlfn.STDEV.S( tabConsumo[[#This Row],[QTD.PENDENTE]]:tabConsumo[[#This Row],[07_23]] ) * 1)</f>
        <v>804.18742773555823</v>
      </c>
      <c r="V560" s="255">
        <f xml:space="preserve"> tabConsumo[[#This Row],[Média.A]] + (_xlfn.STDEV.S( tabConsumo[[#This Row],[QTD.PENDENTE]]:tabConsumo[[#This Row],[07_23]] ) * 2)</f>
        <v>1291.3748554711165</v>
      </c>
      <c r="W560" s="255">
        <f xml:space="preserve"> tabConsumo[[#This Row],[Média.A]] + (_xlfn.STDEV.S( tabConsumo[[#This Row],[QTD.PENDENTE]]:tabConsumo[[#This Row],[07_23]] ) * 3)</f>
        <v>1778.5622832066747</v>
      </c>
      <c r="X560" s="5">
        <f t="shared" si="18"/>
        <v>2</v>
      </c>
      <c r="Y560">
        <v>266.25</v>
      </c>
      <c r="Z560" s="257">
        <f>SUM( tabConsumo[[#This Row],[QTD.PENDENTE]]:tabConsumo[[#This Row],[07_23]] )</f>
        <v>3804</v>
      </c>
      <c r="AA560" s="257">
        <f>LARGE(tabConsumo[[#This Row],[08_22]:[07_23]],1)</f>
        <v>1900</v>
      </c>
      <c r="AB560" s="175" t="s">
        <v>2211</v>
      </c>
      <c r="AC560" s="3" t="s">
        <v>2064</v>
      </c>
    </row>
    <row r="561" spans="1:29" x14ac:dyDescent="0.3">
      <c r="A561" s="4" t="s">
        <v>1524</v>
      </c>
      <c r="B561" s="3" t="s">
        <v>268</v>
      </c>
      <c r="C561" s="2">
        <v>92907</v>
      </c>
      <c r="D561" s="2">
        <v>2972</v>
      </c>
      <c r="E561" s="2">
        <v>2</v>
      </c>
      <c r="F561" s="2">
        <v>149</v>
      </c>
      <c r="G561" s="2">
        <v>130</v>
      </c>
      <c r="H561" s="2">
        <v>144</v>
      </c>
      <c r="I561" s="2">
        <v>166</v>
      </c>
      <c r="J561" s="2">
        <v>144</v>
      </c>
      <c r="K561" s="2">
        <v>71</v>
      </c>
      <c r="L561" s="2">
        <v>142</v>
      </c>
      <c r="M561" s="2">
        <v>1876</v>
      </c>
      <c r="N561" s="2">
        <v>185</v>
      </c>
      <c r="O561" s="2">
        <v>211</v>
      </c>
      <c r="P561" s="2">
        <v>219</v>
      </c>
      <c r="Q561" s="2">
        <v>187</v>
      </c>
      <c r="R561" s="274">
        <v>38904</v>
      </c>
      <c r="S561" s="253">
        <v>12</v>
      </c>
      <c r="T561" s="254">
        <f>SUM( tabConsumo[[#This Row],[QTD.PENDENTE]]:tabConsumo[[#This Row],[07_23]] ) / tabConsumo[[#This Row],[Div]]</f>
        <v>302.16666666666669</v>
      </c>
      <c r="U561" s="255">
        <f xml:space="preserve"> tabConsumo[[#This Row],[Média.A]] + (_xlfn.STDEV.S( tabConsumo[[#This Row],[QTD.PENDENTE]]:tabConsumo[[#This Row],[07_23]] ) * 1)</f>
        <v>785.47255006048272</v>
      </c>
      <c r="V561" s="255">
        <f xml:space="preserve"> tabConsumo[[#This Row],[Média.A]] + (_xlfn.STDEV.S( tabConsumo[[#This Row],[QTD.PENDENTE]]:tabConsumo[[#This Row],[07_23]] ) * 2)</f>
        <v>1268.7784334542987</v>
      </c>
      <c r="W561" s="255">
        <f xml:space="preserve"> tabConsumo[[#This Row],[Média.A]] + (_xlfn.STDEV.S( tabConsumo[[#This Row],[QTD.PENDENTE]]:tabConsumo[[#This Row],[07_23]] ) * 3)</f>
        <v>1752.0843168481149</v>
      </c>
      <c r="X561" s="5">
        <f t="shared" si="18"/>
        <v>2</v>
      </c>
      <c r="Y561">
        <v>251.5</v>
      </c>
      <c r="Z561" s="257">
        <f>SUM( tabConsumo[[#This Row],[QTD.PENDENTE]]:tabConsumo[[#This Row],[07_23]] )</f>
        <v>3626</v>
      </c>
      <c r="AA561" s="257">
        <f>LARGE(tabConsumo[[#This Row],[08_22]:[07_23]],1)</f>
        <v>1876</v>
      </c>
      <c r="AB561" s="175" t="s">
        <v>2211</v>
      </c>
      <c r="AC561" s="3" t="s">
        <v>2064</v>
      </c>
    </row>
    <row r="562" spans="1:29" x14ac:dyDescent="0.3">
      <c r="A562" s="4" t="s">
        <v>619</v>
      </c>
      <c r="B562" s="3" t="s">
        <v>268</v>
      </c>
      <c r="C562" s="2">
        <v>92906</v>
      </c>
      <c r="D562" s="2">
        <v>0</v>
      </c>
      <c r="E562" s="2">
        <v>255</v>
      </c>
      <c r="F562" s="2">
        <v>179</v>
      </c>
      <c r="G562" s="2">
        <v>151</v>
      </c>
      <c r="H562" s="2">
        <v>160</v>
      </c>
      <c r="I562" s="2">
        <v>179</v>
      </c>
      <c r="J562" s="2">
        <v>139</v>
      </c>
      <c r="K562" s="2">
        <v>75</v>
      </c>
      <c r="L562" s="2">
        <v>142</v>
      </c>
      <c r="M562" s="2">
        <v>691</v>
      </c>
      <c r="N562" s="2">
        <v>0</v>
      </c>
      <c r="O562" s="2">
        <v>0</v>
      </c>
      <c r="P562" s="2">
        <v>0</v>
      </c>
      <c r="Q562" s="2">
        <v>0</v>
      </c>
      <c r="R562" s="274">
        <v>367</v>
      </c>
      <c r="S562" s="253">
        <f xml:space="preserve"> 12</f>
        <v>12</v>
      </c>
      <c r="T562" s="254">
        <f>SUM( tabConsumo[[#This Row],[QTD.PENDENTE]]:tabConsumo[[#This Row],[07_23]] ) / tabConsumo[[#This Row],[Div]]</f>
        <v>164.25</v>
      </c>
      <c r="U562" s="255">
        <f xml:space="preserve"> tabConsumo[[#This Row],[Média.A]] + (_xlfn.STDEV.S( tabConsumo[[#This Row],[QTD.PENDENTE]]:tabConsumo[[#This Row],[07_23]] ) * 1)</f>
        <v>347.11267090430567</v>
      </c>
      <c r="V562" s="255">
        <f xml:space="preserve"> tabConsumo[[#This Row],[Média.A]] + (_xlfn.STDEV.S( tabConsumo[[#This Row],[QTD.PENDENTE]]:tabConsumo[[#This Row],[07_23]] ) * 2)</f>
        <v>529.97534180861135</v>
      </c>
      <c r="W562" s="255">
        <f xml:space="preserve"> tabConsumo[[#This Row],[Média.A]] + (_xlfn.STDEV.S( tabConsumo[[#This Row],[QTD.PENDENTE]]:tabConsumo[[#This Row],[07_23]] ) * 3)</f>
        <v>712.83801271291713</v>
      </c>
      <c r="X562" s="5">
        <f t="shared" si="18"/>
        <v>2</v>
      </c>
      <c r="Y562">
        <v>150.75</v>
      </c>
      <c r="Z562" s="257">
        <f>SUM( tabConsumo[[#This Row],[QTD.PENDENTE]]:tabConsumo[[#This Row],[07_23]] )</f>
        <v>1971</v>
      </c>
      <c r="AA562" s="257">
        <f>LARGE(tabConsumo[[#This Row],[08_22]:[07_23]],1)</f>
        <v>691</v>
      </c>
      <c r="AB562" s="175" t="s">
        <v>2217</v>
      </c>
      <c r="AC562" s="3" t="s">
        <v>2064</v>
      </c>
    </row>
    <row r="563" spans="1:29" x14ac:dyDescent="0.3">
      <c r="A563" s="4" t="s">
        <v>1395</v>
      </c>
      <c r="B563" s="3" t="s">
        <v>894</v>
      </c>
      <c r="C563" s="2">
        <v>70379</v>
      </c>
      <c r="D563" s="2">
        <v>2414</v>
      </c>
      <c r="E563" s="2">
        <v>25</v>
      </c>
      <c r="F563" s="2">
        <v>362</v>
      </c>
      <c r="G563" s="2">
        <v>140</v>
      </c>
      <c r="H563" s="2">
        <v>32</v>
      </c>
      <c r="I563" s="2">
        <v>100</v>
      </c>
      <c r="J563" s="2">
        <v>57</v>
      </c>
      <c r="K563" s="2">
        <v>50</v>
      </c>
      <c r="L563" s="2">
        <v>1099</v>
      </c>
      <c r="M563" s="2">
        <v>1285</v>
      </c>
      <c r="N563" s="2">
        <v>49</v>
      </c>
      <c r="O563" s="2">
        <v>18</v>
      </c>
      <c r="P563" s="2">
        <v>538</v>
      </c>
      <c r="Q563" s="2">
        <v>48</v>
      </c>
      <c r="R563" s="274">
        <v>367</v>
      </c>
      <c r="S563" s="253">
        <f xml:space="preserve"> 12</f>
        <v>12</v>
      </c>
      <c r="T563" s="254">
        <f>SUM( tabConsumo[[#This Row],[QTD.PENDENTE]]:tabConsumo[[#This Row],[07_23]] ) / tabConsumo[[#This Row],[Div]]</f>
        <v>316.91666666666669</v>
      </c>
      <c r="U563" s="255">
        <f xml:space="preserve"> tabConsumo[[#This Row],[Média.A]] + (_xlfn.STDEV.S( tabConsumo[[#This Row],[QTD.PENDENTE]]:tabConsumo[[#This Row],[07_23]] ) * 1)</f>
        <v>745.9676767234771</v>
      </c>
      <c r="V563" s="255">
        <f xml:space="preserve"> tabConsumo[[#This Row],[Média.A]] + (_xlfn.STDEV.S( tabConsumo[[#This Row],[QTD.PENDENTE]]:tabConsumo[[#This Row],[07_23]] ) * 2)</f>
        <v>1175.0186867802875</v>
      </c>
      <c r="W563" s="255">
        <f xml:space="preserve"> tabConsumo[[#This Row],[Média.A]] + (_xlfn.STDEV.S( tabConsumo[[#This Row],[QTD.PENDENTE]]:tabConsumo[[#This Row],[07_23]] ) * 3)</f>
        <v>1604.069696837098</v>
      </c>
      <c r="X563" s="5">
        <f t="shared" si="18"/>
        <v>2</v>
      </c>
      <c r="Y563">
        <v>307.75</v>
      </c>
      <c r="Z563" s="257">
        <f>SUM( tabConsumo[[#This Row],[QTD.PENDENTE]]:tabConsumo[[#This Row],[07_23]] )</f>
        <v>3803</v>
      </c>
      <c r="AA563" s="257">
        <f>LARGE(tabConsumo[[#This Row],[08_22]:[07_23]],1)</f>
        <v>1285</v>
      </c>
      <c r="AB563" s="175" t="s">
        <v>2211</v>
      </c>
      <c r="AC563" s="3" t="s">
        <v>2064</v>
      </c>
    </row>
    <row r="564" spans="1:29" x14ac:dyDescent="0.3">
      <c r="A564" s="4" t="s">
        <v>1518</v>
      </c>
      <c r="B564" s="3" t="s">
        <v>413</v>
      </c>
      <c r="C564" s="2">
        <v>89865</v>
      </c>
      <c r="D564" s="2">
        <v>138</v>
      </c>
      <c r="F564" s="2">
        <v>5</v>
      </c>
      <c r="G564" s="2">
        <v>5</v>
      </c>
      <c r="H564" s="2">
        <v>2</v>
      </c>
      <c r="I564" s="2">
        <v>2</v>
      </c>
      <c r="J564" s="2">
        <v>4</v>
      </c>
      <c r="K564" s="2">
        <v>3</v>
      </c>
      <c r="L564" s="2">
        <v>0</v>
      </c>
      <c r="M564" s="2">
        <v>8</v>
      </c>
      <c r="N564" s="2">
        <v>41</v>
      </c>
      <c r="O564" s="2">
        <v>0</v>
      </c>
      <c r="P564" s="2">
        <v>0</v>
      </c>
      <c r="Q564" s="2">
        <v>0</v>
      </c>
      <c r="R564" s="274">
        <v>38743</v>
      </c>
      <c r="S564" s="253">
        <v>12</v>
      </c>
      <c r="T564" s="254">
        <f>SUM( tabConsumo[[#This Row],[QTD.PENDENTE]]:tabConsumo[[#This Row],[07_23]] ) / tabConsumo[[#This Row],[Div]]</f>
        <v>5.833333333333333</v>
      </c>
      <c r="U564" s="255">
        <f xml:space="preserve"> tabConsumo[[#This Row],[Média.A]] + (_xlfn.STDEV.S( tabConsumo[[#This Row],[QTD.PENDENTE]]:tabConsumo[[#This Row],[07_23]] ) * 1)</f>
        <v>17.193817744686839</v>
      </c>
      <c r="V564" s="255">
        <f xml:space="preserve"> tabConsumo[[#This Row],[Média.A]] + (_xlfn.STDEV.S( tabConsumo[[#This Row],[QTD.PENDENTE]]:tabConsumo[[#This Row],[07_23]] ) * 2)</f>
        <v>28.554302156040347</v>
      </c>
      <c r="W564" s="255">
        <f xml:space="preserve"> tabConsumo[[#This Row],[Média.A]] + (_xlfn.STDEV.S( tabConsumo[[#This Row],[QTD.PENDENTE]]:tabConsumo[[#This Row],[07_23]] ) * 3)</f>
        <v>39.914786567393854</v>
      </c>
      <c r="X564" s="5">
        <f t="shared" si="18"/>
        <v>2</v>
      </c>
      <c r="Y564">
        <v>4.75</v>
      </c>
      <c r="Z564" s="257">
        <f>SUM( tabConsumo[[#This Row],[QTD.PENDENTE]]:tabConsumo[[#This Row],[07_23]] )</f>
        <v>70</v>
      </c>
      <c r="AA564" s="257">
        <f>LARGE(tabConsumo[[#This Row],[08_22]:[07_23]],1)</f>
        <v>41</v>
      </c>
      <c r="AB564" s="175" t="s">
        <v>2213</v>
      </c>
      <c r="AC564" s="3" t="s">
        <v>2064</v>
      </c>
    </row>
    <row r="565" spans="1:29" x14ac:dyDescent="0.3">
      <c r="A565" s="4" t="s">
        <v>1804</v>
      </c>
      <c r="B565" s="3" t="s">
        <v>413</v>
      </c>
      <c r="C565" s="2">
        <v>131138</v>
      </c>
      <c r="D565" s="2">
        <v>396</v>
      </c>
      <c r="F565" s="2">
        <v>0</v>
      </c>
      <c r="G565" s="2">
        <v>0</v>
      </c>
      <c r="H565" s="2">
        <v>0</v>
      </c>
      <c r="I565" s="2">
        <v>1</v>
      </c>
      <c r="J565" s="2">
        <v>0</v>
      </c>
      <c r="K565" s="2">
        <v>3</v>
      </c>
      <c r="L565" s="2">
        <v>1</v>
      </c>
      <c r="M565" s="2">
        <v>0</v>
      </c>
      <c r="N565" s="2">
        <v>0</v>
      </c>
      <c r="O565" s="2">
        <v>0</v>
      </c>
      <c r="P565" s="2">
        <v>0</v>
      </c>
      <c r="Q565" s="2">
        <v>0</v>
      </c>
      <c r="R565" s="274">
        <v>42342</v>
      </c>
      <c r="S565" s="253">
        <v>12</v>
      </c>
      <c r="T565" s="254">
        <f>SUM( tabConsumo[[#This Row],[QTD.PENDENTE]]:tabConsumo[[#This Row],[07_23]] ) / tabConsumo[[#This Row],[Div]]</f>
        <v>0.41666666666666669</v>
      </c>
      <c r="U565" s="255">
        <f xml:space="preserve"> tabConsumo[[#This Row],[Média.A]] + (_xlfn.STDEV.S( tabConsumo[[#This Row],[QTD.PENDENTE]]:tabConsumo[[#This Row],[07_23]] ) * 1)</f>
        <v>1.3170033040451867</v>
      </c>
      <c r="V565" s="255">
        <f xml:space="preserve"> tabConsumo[[#This Row],[Média.A]] + (_xlfn.STDEV.S( tabConsumo[[#This Row],[QTD.PENDENTE]]:tabConsumo[[#This Row],[07_23]] ) * 2)</f>
        <v>2.2173399414237065</v>
      </c>
      <c r="W565" s="255">
        <f xml:space="preserve"> tabConsumo[[#This Row],[Média.A]] + (_xlfn.STDEV.S( tabConsumo[[#This Row],[QTD.PENDENTE]]:tabConsumo[[#This Row],[07_23]] ) * 3)</f>
        <v>3.1176765788022265</v>
      </c>
      <c r="X565" s="5">
        <f t="shared" si="18"/>
        <v>2</v>
      </c>
      <c r="Y565">
        <v>0.33333333333333331</v>
      </c>
      <c r="Z565" s="257">
        <f>SUM( tabConsumo[[#This Row],[QTD.PENDENTE]]:tabConsumo[[#This Row],[07_23]] )</f>
        <v>5</v>
      </c>
      <c r="AA565" s="257">
        <f>LARGE(tabConsumo[[#This Row],[08_22]:[07_23]],1)</f>
        <v>3</v>
      </c>
      <c r="AB565" s="175" t="s">
        <v>2221</v>
      </c>
      <c r="AC565" s="3" t="s">
        <v>2064</v>
      </c>
    </row>
    <row r="566" spans="1:29" x14ac:dyDescent="0.3">
      <c r="A566" s="4" t="s">
        <v>1701</v>
      </c>
      <c r="B566" s="3" t="s">
        <v>256</v>
      </c>
      <c r="C566" s="2">
        <v>114923</v>
      </c>
      <c r="D566" s="2">
        <v>5742</v>
      </c>
      <c r="F566" s="2">
        <v>0</v>
      </c>
      <c r="G566" s="2">
        <v>100</v>
      </c>
      <c r="H566" s="2">
        <v>88</v>
      </c>
      <c r="I566" s="2">
        <v>100</v>
      </c>
      <c r="J566" s="2">
        <v>130</v>
      </c>
      <c r="K566" s="2">
        <v>60</v>
      </c>
      <c r="L566" s="2">
        <v>200</v>
      </c>
      <c r="M566" s="2">
        <v>50</v>
      </c>
      <c r="N566" s="2">
        <v>0</v>
      </c>
      <c r="O566" s="2">
        <v>0</v>
      </c>
      <c r="P566" s="2">
        <v>0</v>
      </c>
      <c r="Q566" s="2">
        <v>600</v>
      </c>
      <c r="R566" s="274">
        <v>40288</v>
      </c>
      <c r="S566" s="253">
        <v>12</v>
      </c>
      <c r="T566" s="254">
        <f>SUM( tabConsumo[[#This Row],[QTD.PENDENTE]]:tabConsumo[[#This Row],[07_23]] ) / tabConsumo[[#This Row],[Div]]</f>
        <v>110.66666666666667</v>
      </c>
      <c r="U566" s="255">
        <f xml:space="preserve"> tabConsumo[[#This Row],[Média.A]] + (_xlfn.STDEV.S( tabConsumo[[#This Row],[QTD.PENDENTE]]:tabConsumo[[#This Row],[07_23]] ) * 1)</f>
        <v>276.84802068763503</v>
      </c>
      <c r="V566" s="255">
        <f xml:space="preserve"> tabConsumo[[#This Row],[Média.A]] + (_xlfn.STDEV.S( tabConsumo[[#This Row],[QTD.PENDENTE]]:tabConsumo[[#This Row],[07_23]] ) * 2)</f>
        <v>443.02937470860343</v>
      </c>
      <c r="W566" s="255">
        <f xml:space="preserve"> tabConsumo[[#This Row],[Média.A]] + (_xlfn.STDEV.S( tabConsumo[[#This Row],[QTD.PENDENTE]]:tabConsumo[[#This Row],[07_23]] ) * 3)</f>
        <v>609.21072872957177</v>
      </c>
      <c r="X566" s="5">
        <f t="shared" si="18"/>
        <v>2</v>
      </c>
      <c r="Y566">
        <v>97.583333333333329</v>
      </c>
      <c r="Z566" s="257">
        <f>SUM( tabConsumo[[#This Row],[QTD.PENDENTE]]:tabConsumo[[#This Row],[07_23]] )</f>
        <v>1328</v>
      </c>
      <c r="AA566" s="257">
        <f>LARGE(tabConsumo[[#This Row],[08_22]:[07_23]],1)</f>
        <v>600</v>
      </c>
      <c r="AB566" s="175" t="s">
        <v>2211</v>
      </c>
      <c r="AC566" s="3" t="s">
        <v>2064</v>
      </c>
    </row>
    <row r="567" spans="1:29" x14ac:dyDescent="0.3">
      <c r="A567" s="4" t="s">
        <v>1268</v>
      </c>
      <c r="B567" s="3" t="s">
        <v>256</v>
      </c>
      <c r="C567" s="2">
        <v>37528</v>
      </c>
      <c r="D567" s="2">
        <v>833</v>
      </c>
      <c r="F567" s="2">
        <v>99</v>
      </c>
      <c r="G567" s="2">
        <v>95</v>
      </c>
      <c r="H567" s="2">
        <v>86</v>
      </c>
      <c r="I567" s="2">
        <v>36</v>
      </c>
      <c r="J567" s="2">
        <v>66</v>
      </c>
      <c r="K567" s="2">
        <v>94</v>
      </c>
      <c r="L567" s="2">
        <v>92</v>
      </c>
      <c r="M567" s="2">
        <v>86</v>
      </c>
      <c r="N567" s="2">
        <v>180</v>
      </c>
      <c r="O567" s="2">
        <v>100</v>
      </c>
      <c r="P567" s="2">
        <v>0</v>
      </c>
      <c r="Q567" s="2">
        <v>100</v>
      </c>
      <c r="R567" s="274">
        <v>367</v>
      </c>
      <c r="S567" s="253">
        <f xml:space="preserve"> 12</f>
        <v>12</v>
      </c>
      <c r="T567" s="254">
        <f>SUM( tabConsumo[[#This Row],[QTD.PENDENTE]]:tabConsumo[[#This Row],[07_23]] ) / tabConsumo[[#This Row],[Div]]</f>
        <v>86.166666666666671</v>
      </c>
      <c r="U567" s="255">
        <f xml:space="preserve"> tabConsumo[[#This Row],[Média.A]] + (_xlfn.STDEV.S( tabConsumo[[#This Row],[QTD.PENDENTE]]:tabConsumo[[#This Row],[07_23]] ) * 1)</f>
        <v>128.67192480841862</v>
      </c>
      <c r="V567" s="255">
        <f xml:space="preserve"> tabConsumo[[#This Row],[Média.A]] + (_xlfn.STDEV.S( tabConsumo[[#This Row],[QTD.PENDENTE]]:tabConsumo[[#This Row],[07_23]] ) * 2)</f>
        <v>171.17718295017056</v>
      </c>
      <c r="W567" s="255">
        <f xml:space="preserve"> tabConsumo[[#This Row],[Média.A]] + (_xlfn.STDEV.S( tabConsumo[[#This Row],[QTD.PENDENTE]]:tabConsumo[[#This Row],[07_23]] ) * 3)</f>
        <v>213.6824410919225</v>
      </c>
      <c r="X567" s="5">
        <f t="shared" si="18"/>
        <v>2</v>
      </c>
      <c r="Y567">
        <v>85.416666666666671</v>
      </c>
      <c r="Z567" s="257">
        <f>SUM( tabConsumo[[#This Row],[QTD.PENDENTE]]:tabConsumo[[#This Row],[07_23]] )</f>
        <v>1034</v>
      </c>
      <c r="AA567" s="257">
        <f>LARGE(tabConsumo[[#This Row],[08_22]:[07_23]],1)</f>
        <v>180</v>
      </c>
      <c r="AB567" s="175" t="s">
        <v>2211</v>
      </c>
      <c r="AC567" s="3" t="s">
        <v>2064</v>
      </c>
    </row>
    <row r="568" spans="1:29" x14ac:dyDescent="0.3">
      <c r="A568" s="4" t="s">
        <v>1765</v>
      </c>
      <c r="B568" s="3" t="s">
        <v>413</v>
      </c>
      <c r="C568" s="2">
        <v>126059</v>
      </c>
      <c r="D568" s="2">
        <v>0</v>
      </c>
      <c r="E568" s="2">
        <v>33</v>
      </c>
      <c r="F568" s="2">
        <v>1</v>
      </c>
      <c r="G568" s="2">
        <v>47</v>
      </c>
      <c r="H568" s="2">
        <v>7</v>
      </c>
      <c r="I568" s="2">
        <v>6</v>
      </c>
      <c r="J568" s="2">
        <v>4</v>
      </c>
      <c r="K568" s="2">
        <v>8</v>
      </c>
      <c r="L568" s="2">
        <v>3</v>
      </c>
      <c r="M568" s="2">
        <v>3</v>
      </c>
      <c r="N568" s="2">
        <v>10</v>
      </c>
      <c r="O568" s="2">
        <v>0</v>
      </c>
      <c r="P568" s="2">
        <v>0</v>
      </c>
      <c r="Q568" s="2">
        <v>0</v>
      </c>
      <c r="R568" s="274">
        <v>41509</v>
      </c>
      <c r="S568" s="253">
        <v>12</v>
      </c>
      <c r="T568" s="254">
        <f>SUM( tabConsumo[[#This Row],[QTD.PENDENTE]]:tabConsumo[[#This Row],[07_23]] ) / tabConsumo[[#This Row],[Div]]</f>
        <v>10.166666666666666</v>
      </c>
      <c r="U568" s="255">
        <f xml:space="preserve"> tabConsumo[[#This Row],[Média.A]] + (_xlfn.STDEV.S( tabConsumo[[#This Row],[QTD.PENDENTE]]:tabConsumo[[#This Row],[07_23]] ) * 1)</f>
        <v>24.417622550036157</v>
      </c>
      <c r="V568" s="255">
        <f xml:space="preserve"> tabConsumo[[#This Row],[Média.A]] + (_xlfn.STDEV.S( tabConsumo[[#This Row],[QTD.PENDENTE]]:tabConsumo[[#This Row],[07_23]] ) * 2)</f>
        <v>38.668578433405649</v>
      </c>
      <c r="W568" s="255">
        <f xml:space="preserve"> tabConsumo[[#This Row],[Média.A]] + (_xlfn.STDEV.S( tabConsumo[[#This Row],[QTD.PENDENTE]]:tabConsumo[[#This Row],[07_23]] ) * 3)</f>
        <v>52.919534316775142</v>
      </c>
      <c r="X568" s="5">
        <f t="shared" si="18"/>
        <v>2</v>
      </c>
      <c r="Y568">
        <v>9.4166666666666661</v>
      </c>
      <c r="Z568" s="257">
        <f>SUM( tabConsumo[[#This Row],[QTD.PENDENTE]]:tabConsumo[[#This Row],[07_23]] )</f>
        <v>122</v>
      </c>
      <c r="AA568" s="257">
        <f>LARGE(tabConsumo[[#This Row],[08_22]:[07_23]],1)</f>
        <v>47</v>
      </c>
      <c r="AB568" s="175" t="s">
        <v>2213</v>
      </c>
      <c r="AC568" s="3" t="s">
        <v>2064</v>
      </c>
    </row>
    <row r="569" spans="1:29" x14ac:dyDescent="0.3">
      <c r="A569" s="4" t="s">
        <v>1766</v>
      </c>
      <c r="B569" s="3" t="s">
        <v>413</v>
      </c>
      <c r="C569" s="2">
        <v>126060</v>
      </c>
      <c r="D569" s="2">
        <v>107</v>
      </c>
      <c r="F569" s="2">
        <v>5</v>
      </c>
      <c r="G569" s="2">
        <v>35</v>
      </c>
      <c r="H569" s="2">
        <v>9</v>
      </c>
      <c r="I569" s="2">
        <v>2</v>
      </c>
      <c r="J569" s="2">
        <v>21</v>
      </c>
      <c r="K569" s="2">
        <v>17</v>
      </c>
      <c r="L569" s="2">
        <v>54</v>
      </c>
      <c r="M569" s="2">
        <v>3</v>
      </c>
      <c r="N569" s="2">
        <v>42</v>
      </c>
      <c r="O569" s="2">
        <v>0</v>
      </c>
      <c r="P569" s="2">
        <v>0</v>
      </c>
      <c r="Q569" s="2">
        <v>0</v>
      </c>
      <c r="R569" s="274">
        <v>41509</v>
      </c>
      <c r="S569" s="253">
        <v>12</v>
      </c>
      <c r="T569" s="254">
        <f>SUM( tabConsumo[[#This Row],[QTD.PENDENTE]]:tabConsumo[[#This Row],[07_23]] ) / tabConsumo[[#This Row],[Div]]</f>
        <v>15.666666666666666</v>
      </c>
      <c r="U569" s="255">
        <f xml:space="preserve"> tabConsumo[[#This Row],[Média.A]] + (_xlfn.STDEV.S( tabConsumo[[#This Row],[QTD.PENDENTE]]:tabConsumo[[#This Row],[07_23]] ) * 1)</f>
        <v>34.274257167385031</v>
      </c>
      <c r="V569" s="255">
        <f xml:space="preserve"> tabConsumo[[#This Row],[Média.A]] + (_xlfn.STDEV.S( tabConsumo[[#This Row],[QTD.PENDENTE]]:tabConsumo[[#This Row],[07_23]] ) * 2)</f>
        <v>52.88184766810339</v>
      </c>
      <c r="W569" s="255">
        <f xml:space="preserve"> tabConsumo[[#This Row],[Média.A]] + (_xlfn.STDEV.S( tabConsumo[[#This Row],[QTD.PENDENTE]]:tabConsumo[[#This Row],[07_23]] ) * 3)</f>
        <v>71.489438168821763</v>
      </c>
      <c r="X569" s="5">
        <f t="shared" si="18"/>
        <v>2</v>
      </c>
      <c r="Y569">
        <v>15.5</v>
      </c>
      <c r="Z569" s="257">
        <f>SUM( tabConsumo[[#This Row],[QTD.PENDENTE]]:tabConsumo[[#This Row],[07_23]] )</f>
        <v>188</v>
      </c>
      <c r="AA569" s="257">
        <f>LARGE(tabConsumo[[#This Row],[08_22]:[07_23]],1)</f>
        <v>54</v>
      </c>
      <c r="AB569" s="175" t="s">
        <v>2213</v>
      </c>
      <c r="AC569" s="3" t="s">
        <v>2064</v>
      </c>
    </row>
    <row r="570" spans="1:29" x14ac:dyDescent="0.3">
      <c r="A570" s="4" t="s">
        <v>1468</v>
      </c>
      <c r="B570" s="3" t="s">
        <v>256</v>
      </c>
      <c r="C570" s="2">
        <v>81514</v>
      </c>
      <c r="D570" s="2">
        <v>141062</v>
      </c>
      <c r="F570" s="2">
        <v>6000</v>
      </c>
      <c r="G570" s="2">
        <v>2100</v>
      </c>
      <c r="H570" s="2">
        <v>2000</v>
      </c>
      <c r="I570" s="2">
        <v>2280</v>
      </c>
      <c r="J570" s="2">
        <v>1000</v>
      </c>
      <c r="K570" s="2">
        <v>6650</v>
      </c>
      <c r="L570" s="2">
        <v>1000</v>
      </c>
      <c r="M570" s="2">
        <v>4002</v>
      </c>
      <c r="N570" s="2">
        <v>4101</v>
      </c>
      <c r="O570" s="2">
        <v>0</v>
      </c>
      <c r="P570" s="2">
        <v>5000</v>
      </c>
      <c r="Q570" s="2">
        <v>5000</v>
      </c>
      <c r="R570" s="274">
        <v>38226</v>
      </c>
      <c r="S570" s="253">
        <v>12</v>
      </c>
      <c r="T570" s="254">
        <f>SUM( tabConsumo[[#This Row],[QTD.PENDENTE]]:tabConsumo[[#This Row],[07_23]] ) / tabConsumo[[#This Row],[Div]]</f>
        <v>3261.0833333333335</v>
      </c>
      <c r="U570" s="255">
        <f xml:space="preserve"> tabConsumo[[#This Row],[Média.A]] + (_xlfn.STDEV.S( tabConsumo[[#This Row],[QTD.PENDENTE]]:tabConsumo[[#This Row],[07_23]] ) * 1)</f>
        <v>5415.341925827126</v>
      </c>
      <c r="V570" s="255">
        <f xml:space="preserve"> tabConsumo[[#This Row],[Média.A]] + (_xlfn.STDEV.S( tabConsumo[[#This Row],[QTD.PENDENTE]]:tabConsumo[[#This Row],[07_23]] ) * 2)</f>
        <v>7569.6005183209181</v>
      </c>
      <c r="W570" s="255">
        <f xml:space="preserve"> tabConsumo[[#This Row],[Média.A]] + (_xlfn.STDEV.S( tabConsumo[[#This Row],[QTD.PENDENTE]]:tabConsumo[[#This Row],[07_23]] ) * 3)</f>
        <v>9723.8591108147102</v>
      </c>
      <c r="X570" s="5">
        <f t="shared" si="18"/>
        <v>2</v>
      </c>
      <c r="Y570">
        <v>3261.0833333333335</v>
      </c>
      <c r="Z570" s="257">
        <f>SUM( tabConsumo[[#This Row],[QTD.PENDENTE]]:tabConsumo[[#This Row],[07_23]] )</f>
        <v>39133</v>
      </c>
      <c r="AA570" s="257">
        <f>LARGE(tabConsumo[[#This Row],[08_22]:[07_23]],1)</f>
        <v>6650</v>
      </c>
      <c r="AB570" s="175" t="s">
        <v>2211</v>
      </c>
      <c r="AC570" s="3" t="s">
        <v>2064</v>
      </c>
    </row>
    <row r="571" spans="1:29" x14ac:dyDescent="0.3">
      <c r="A571" s="4" t="s">
        <v>1882</v>
      </c>
      <c r="B571" s="3" t="s">
        <v>413</v>
      </c>
      <c r="C571" s="2">
        <v>134561</v>
      </c>
      <c r="D571" s="2">
        <v>390</v>
      </c>
      <c r="F571" s="2">
        <v>0</v>
      </c>
      <c r="G571" s="2">
        <v>4</v>
      </c>
      <c r="H571" s="2">
        <v>0</v>
      </c>
      <c r="I571" s="2">
        <v>2</v>
      </c>
      <c r="J571" s="2">
        <v>0</v>
      </c>
      <c r="K571" s="2">
        <v>0</v>
      </c>
      <c r="L571" s="2">
        <v>0</v>
      </c>
      <c r="M571" s="2">
        <v>4</v>
      </c>
      <c r="N571" s="2">
        <v>22</v>
      </c>
      <c r="O571" s="2">
        <v>0</v>
      </c>
      <c r="P571" s="2">
        <v>15</v>
      </c>
      <c r="Q571" s="2">
        <v>0</v>
      </c>
      <c r="R571" s="274">
        <v>43174</v>
      </c>
      <c r="S571" s="253">
        <v>12</v>
      </c>
      <c r="T571" s="254">
        <f>SUM( tabConsumo[[#This Row],[QTD.PENDENTE]]:tabConsumo[[#This Row],[07_23]] ) / tabConsumo[[#This Row],[Div]]</f>
        <v>3.9166666666666665</v>
      </c>
      <c r="U571" s="255">
        <f xml:space="preserve"> tabConsumo[[#This Row],[Média.A]] + (_xlfn.STDEV.S( tabConsumo[[#This Row],[QTD.PENDENTE]]:tabConsumo[[#This Row],[07_23]] ) * 1)</f>
        <v>11.057564666388007</v>
      </c>
      <c r="V571" s="255">
        <f xml:space="preserve"> tabConsumo[[#This Row],[Média.A]] + (_xlfn.STDEV.S( tabConsumo[[#This Row],[QTD.PENDENTE]]:tabConsumo[[#This Row],[07_23]] ) * 2)</f>
        <v>18.198462666109346</v>
      </c>
      <c r="W571" s="255">
        <f xml:space="preserve"> tabConsumo[[#This Row],[Média.A]] + (_xlfn.STDEV.S( tabConsumo[[#This Row],[QTD.PENDENTE]]:tabConsumo[[#This Row],[07_23]] ) * 3)</f>
        <v>25.339360665830689</v>
      </c>
      <c r="X571" s="5">
        <f t="shared" si="18"/>
        <v>2</v>
      </c>
      <c r="Y571">
        <v>3.5833333333333335</v>
      </c>
      <c r="Z571" s="257">
        <f>SUM( tabConsumo[[#This Row],[QTD.PENDENTE]]:tabConsumo[[#This Row],[07_23]] )</f>
        <v>47</v>
      </c>
      <c r="AA571" s="257">
        <f>LARGE(tabConsumo[[#This Row],[08_22]:[07_23]],1)</f>
        <v>22</v>
      </c>
      <c r="AB571" s="175" t="s">
        <v>2212</v>
      </c>
      <c r="AC571" s="3" t="s">
        <v>2064</v>
      </c>
    </row>
    <row r="572" spans="1:29" x14ac:dyDescent="0.3">
      <c r="A572" s="4" t="s">
        <v>1883</v>
      </c>
      <c r="B572" s="3" t="s">
        <v>413</v>
      </c>
      <c r="C572" s="2">
        <v>134562</v>
      </c>
      <c r="D572" s="2">
        <v>396</v>
      </c>
      <c r="F572" s="2">
        <v>2</v>
      </c>
      <c r="G572" s="2">
        <v>0</v>
      </c>
      <c r="H572" s="2">
        <v>3</v>
      </c>
      <c r="I572" s="2">
        <v>0</v>
      </c>
      <c r="J572" s="2">
        <v>3</v>
      </c>
      <c r="K572" s="2">
        <v>0</v>
      </c>
      <c r="L572" s="2">
        <v>0</v>
      </c>
      <c r="M572" s="2">
        <v>0</v>
      </c>
      <c r="N572" s="2">
        <v>50</v>
      </c>
      <c r="O572" s="2">
        <v>0</v>
      </c>
      <c r="P572" s="2">
        <v>0</v>
      </c>
      <c r="Q572" s="2">
        <v>0</v>
      </c>
      <c r="R572" s="274">
        <v>43174</v>
      </c>
      <c r="S572" s="253">
        <v>12</v>
      </c>
      <c r="T572" s="254">
        <f>SUM( tabConsumo[[#This Row],[QTD.PENDENTE]]:tabConsumo[[#This Row],[07_23]] ) / tabConsumo[[#This Row],[Div]]</f>
        <v>4.833333333333333</v>
      </c>
      <c r="U572" s="255">
        <f xml:space="preserve"> tabConsumo[[#This Row],[Média.A]] + (_xlfn.STDEV.S( tabConsumo[[#This Row],[QTD.PENDENTE]]:tabConsumo[[#This Row],[07_23]] ) * 1)</f>
        <v>19.108762531360227</v>
      </c>
      <c r="V572" s="255">
        <f xml:space="preserve"> tabConsumo[[#This Row],[Média.A]] + (_xlfn.STDEV.S( tabConsumo[[#This Row],[QTD.PENDENTE]]:tabConsumo[[#This Row],[07_23]] ) * 2)</f>
        <v>33.384191729387126</v>
      </c>
      <c r="W572" s="255">
        <f xml:space="preserve"> tabConsumo[[#This Row],[Média.A]] + (_xlfn.STDEV.S( tabConsumo[[#This Row],[QTD.PENDENTE]]:tabConsumo[[#This Row],[07_23]] ) * 3)</f>
        <v>47.659620927414018</v>
      </c>
      <c r="X572" s="5">
        <f t="shared" si="18"/>
        <v>2</v>
      </c>
      <c r="Y572">
        <v>3.4166666666666665</v>
      </c>
      <c r="Z572" s="257">
        <f>SUM( tabConsumo[[#This Row],[QTD.PENDENTE]]:tabConsumo[[#This Row],[07_23]] )</f>
        <v>58</v>
      </c>
      <c r="AA572" s="257">
        <f>LARGE(tabConsumo[[#This Row],[08_22]:[07_23]],1)</f>
        <v>50</v>
      </c>
      <c r="AB572" s="175" t="s">
        <v>2213</v>
      </c>
      <c r="AC572" s="3" t="s">
        <v>2064</v>
      </c>
    </row>
    <row r="573" spans="1:29" x14ac:dyDescent="0.3">
      <c r="A573" s="4" t="s">
        <v>1884</v>
      </c>
      <c r="B573" s="3" t="s">
        <v>413</v>
      </c>
      <c r="C573" s="2">
        <v>134563</v>
      </c>
      <c r="D573" s="2">
        <v>64</v>
      </c>
      <c r="F573" s="2">
        <v>10</v>
      </c>
      <c r="G573" s="2">
        <v>22</v>
      </c>
      <c r="H573" s="2">
        <v>14</v>
      </c>
      <c r="I573" s="2">
        <v>6</v>
      </c>
      <c r="J573" s="2">
        <v>3</v>
      </c>
      <c r="K573" s="2">
        <v>13</v>
      </c>
      <c r="L573" s="2">
        <v>6</v>
      </c>
      <c r="M573" s="2">
        <v>11</v>
      </c>
      <c r="N573" s="2">
        <v>60</v>
      </c>
      <c r="O573" s="2">
        <v>1</v>
      </c>
      <c r="P573" s="2">
        <v>0</v>
      </c>
      <c r="Q573" s="2">
        <v>0</v>
      </c>
      <c r="R573" s="274">
        <v>43174</v>
      </c>
      <c r="S573" s="253">
        <v>12</v>
      </c>
      <c r="T573" s="254">
        <f>SUM( tabConsumo[[#This Row],[QTD.PENDENTE]]:tabConsumo[[#This Row],[07_23]] ) / tabConsumo[[#This Row],[Div]]</f>
        <v>12.166666666666666</v>
      </c>
      <c r="U573" s="255">
        <f xml:space="preserve"> tabConsumo[[#This Row],[Média.A]] + (_xlfn.STDEV.S( tabConsumo[[#This Row],[QTD.PENDENTE]]:tabConsumo[[#This Row],[07_23]] ) * 1)</f>
        <v>28.614011483236652</v>
      </c>
      <c r="V573" s="255">
        <f xml:space="preserve"> tabConsumo[[#This Row],[Média.A]] + (_xlfn.STDEV.S( tabConsumo[[#This Row],[QTD.PENDENTE]]:tabConsumo[[#This Row],[07_23]] ) * 2)</f>
        <v>45.061356299806633</v>
      </c>
      <c r="W573" s="255">
        <f xml:space="preserve"> tabConsumo[[#This Row],[Média.A]] + (_xlfn.STDEV.S( tabConsumo[[#This Row],[QTD.PENDENTE]]:tabConsumo[[#This Row],[07_23]] ) * 3)</f>
        <v>61.508701116376621</v>
      </c>
      <c r="X573" s="5">
        <f t="shared" si="18"/>
        <v>2</v>
      </c>
      <c r="Y573">
        <v>10.916666666666666</v>
      </c>
      <c r="Z573" s="257">
        <f>SUM( tabConsumo[[#This Row],[QTD.PENDENTE]]:tabConsumo[[#This Row],[07_23]] )</f>
        <v>146</v>
      </c>
      <c r="AA573" s="257">
        <f>LARGE(tabConsumo[[#This Row],[08_22]:[07_23]],1)</f>
        <v>60</v>
      </c>
      <c r="AB573" s="175" t="s">
        <v>2214</v>
      </c>
      <c r="AC573" s="3" t="s">
        <v>2064</v>
      </c>
    </row>
    <row r="574" spans="1:29" x14ac:dyDescent="0.3">
      <c r="A574" s="4" t="s">
        <v>1885</v>
      </c>
      <c r="B574" s="3" t="s">
        <v>413</v>
      </c>
      <c r="C574" s="2">
        <v>134564</v>
      </c>
      <c r="D574" s="2">
        <v>208</v>
      </c>
      <c r="F574" s="2">
        <v>2</v>
      </c>
      <c r="G574" s="2">
        <v>0</v>
      </c>
      <c r="H574" s="2">
        <v>3</v>
      </c>
      <c r="I574" s="2">
        <v>1</v>
      </c>
      <c r="J574" s="2">
        <v>0</v>
      </c>
      <c r="K574" s="2">
        <v>3</v>
      </c>
      <c r="L574" s="2">
        <v>2</v>
      </c>
      <c r="M574" s="2">
        <v>2</v>
      </c>
      <c r="N574" s="2">
        <v>31</v>
      </c>
      <c r="O574" s="2">
        <v>5</v>
      </c>
      <c r="P574" s="2">
        <v>0</v>
      </c>
      <c r="Q574" s="2">
        <v>0</v>
      </c>
      <c r="R574" s="274">
        <v>43174</v>
      </c>
      <c r="S574" s="253">
        <v>12</v>
      </c>
      <c r="T574" s="254">
        <f>SUM( tabConsumo[[#This Row],[QTD.PENDENTE]]:tabConsumo[[#This Row],[07_23]] ) / tabConsumo[[#This Row],[Div]]</f>
        <v>4.083333333333333</v>
      </c>
      <c r="U574" s="255">
        <f xml:space="preserve"> tabConsumo[[#This Row],[Média.A]] + (_xlfn.STDEV.S( tabConsumo[[#This Row],[QTD.PENDENTE]]:tabConsumo[[#This Row],[07_23]] ) * 1)</f>
        <v>12.701056438373985</v>
      </c>
      <c r="V574" s="255">
        <f xml:space="preserve"> tabConsumo[[#This Row],[Média.A]] + (_xlfn.STDEV.S( tabConsumo[[#This Row],[QTD.PENDENTE]]:tabConsumo[[#This Row],[07_23]] ) * 2)</f>
        <v>21.318779543414639</v>
      </c>
      <c r="W574" s="255">
        <f xml:space="preserve"> tabConsumo[[#This Row],[Média.A]] + (_xlfn.STDEV.S( tabConsumo[[#This Row],[QTD.PENDENTE]]:tabConsumo[[#This Row],[07_23]] ) * 3)</f>
        <v>29.936502648455292</v>
      </c>
      <c r="X574" s="5">
        <f t="shared" si="18"/>
        <v>2</v>
      </c>
      <c r="Y574">
        <v>3.25</v>
      </c>
      <c r="Z574" s="257">
        <f>SUM( tabConsumo[[#This Row],[QTD.PENDENTE]]:tabConsumo[[#This Row],[07_23]] )</f>
        <v>49</v>
      </c>
      <c r="AA574" s="257">
        <f>LARGE(tabConsumo[[#This Row],[08_22]:[07_23]],1)</f>
        <v>31</v>
      </c>
      <c r="AB574" s="175" t="s">
        <v>2214</v>
      </c>
      <c r="AC574" s="3" t="s">
        <v>2064</v>
      </c>
    </row>
    <row r="575" spans="1:29" x14ac:dyDescent="0.3">
      <c r="A575" s="4" t="s">
        <v>1886</v>
      </c>
      <c r="B575" s="3" t="s">
        <v>413</v>
      </c>
      <c r="C575" s="2">
        <v>134565</v>
      </c>
      <c r="D575" s="2">
        <v>229</v>
      </c>
      <c r="F575" s="2">
        <v>0</v>
      </c>
      <c r="G575" s="2">
        <v>0</v>
      </c>
      <c r="H575" s="2">
        <v>6</v>
      </c>
      <c r="I575" s="2">
        <v>2</v>
      </c>
      <c r="J575" s="2">
        <v>0</v>
      </c>
      <c r="K575" s="2">
        <v>1</v>
      </c>
      <c r="L575" s="2">
        <v>3</v>
      </c>
      <c r="M575" s="2">
        <v>1</v>
      </c>
      <c r="N575" s="2">
        <v>31</v>
      </c>
      <c r="O575" s="2">
        <v>1</v>
      </c>
      <c r="P575" s="2">
        <v>0</v>
      </c>
      <c r="Q575" s="2">
        <v>0</v>
      </c>
      <c r="R575" s="274">
        <v>43174</v>
      </c>
      <c r="S575" s="253">
        <v>12</v>
      </c>
      <c r="T575" s="254">
        <f>SUM( tabConsumo[[#This Row],[QTD.PENDENTE]]:tabConsumo[[#This Row],[07_23]] ) / tabConsumo[[#This Row],[Div]]</f>
        <v>3.75</v>
      </c>
      <c r="U575" s="255">
        <f xml:space="preserve"> tabConsumo[[#This Row],[Média.A]] + (_xlfn.STDEV.S( tabConsumo[[#This Row],[QTD.PENDENTE]]:tabConsumo[[#This Row],[07_23]] ) * 1)</f>
        <v>12.510707733967616</v>
      </c>
      <c r="V575" s="255">
        <f xml:space="preserve"> tabConsumo[[#This Row],[Média.A]] + (_xlfn.STDEV.S( tabConsumo[[#This Row],[QTD.PENDENTE]]:tabConsumo[[#This Row],[07_23]] ) * 2)</f>
        <v>21.271415467935231</v>
      </c>
      <c r="W575" s="255">
        <f xml:space="preserve"> tabConsumo[[#This Row],[Média.A]] + (_xlfn.STDEV.S( tabConsumo[[#This Row],[QTD.PENDENTE]]:tabConsumo[[#This Row],[07_23]] ) * 3)</f>
        <v>30.032123201902849</v>
      </c>
      <c r="X575" s="5">
        <f t="shared" si="18"/>
        <v>2</v>
      </c>
      <c r="Y575">
        <v>2.9166666666666665</v>
      </c>
      <c r="Z575" s="257">
        <f>SUM( tabConsumo[[#This Row],[QTD.PENDENTE]]:tabConsumo[[#This Row],[07_23]] )</f>
        <v>45</v>
      </c>
      <c r="AA575" s="257">
        <f>LARGE(tabConsumo[[#This Row],[08_22]:[07_23]],1)</f>
        <v>31</v>
      </c>
      <c r="AB575" s="175" t="s">
        <v>2214</v>
      </c>
      <c r="AC575" s="3" t="s">
        <v>2064</v>
      </c>
    </row>
    <row r="576" spans="1:29" x14ac:dyDescent="0.3">
      <c r="A576" s="4" t="s">
        <v>1592</v>
      </c>
      <c r="B576" s="3" t="s">
        <v>256</v>
      </c>
      <c r="C576" s="2">
        <v>104655</v>
      </c>
      <c r="D576" s="2">
        <v>12374</v>
      </c>
      <c r="F576" s="2">
        <v>0</v>
      </c>
      <c r="G576" s="2">
        <v>0</v>
      </c>
      <c r="H576" s="2">
        <v>0</v>
      </c>
      <c r="I576" s="2">
        <v>100</v>
      </c>
      <c r="J576" s="2">
        <v>0</v>
      </c>
      <c r="K576" s="2">
        <v>0</v>
      </c>
      <c r="L576" s="2">
        <v>100</v>
      </c>
      <c r="M576" s="2">
        <v>0</v>
      </c>
      <c r="N576" s="2">
        <v>2000</v>
      </c>
      <c r="O576" s="2">
        <v>0</v>
      </c>
      <c r="P576" s="2">
        <v>0</v>
      </c>
      <c r="Q576" s="2">
        <v>0</v>
      </c>
      <c r="R576" s="274">
        <v>39471</v>
      </c>
      <c r="S576" s="253">
        <v>12</v>
      </c>
      <c r="T576" s="254">
        <f>SUM( tabConsumo[[#This Row],[QTD.PENDENTE]]:tabConsumo[[#This Row],[07_23]] ) / tabConsumo[[#This Row],[Div]]</f>
        <v>183.33333333333334</v>
      </c>
      <c r="U576" s="255">
        <f xml:space="preserve"> tabConsumo[[#This Row],[Média.A]] + (_xlfn.STDEV.S( tabConsumo[[#This Row],[QTD.PENDENTE]]:tabConsumo[[#This Row],[07_23]] ) * 1)</f>
        <v>756.73361131362765</v>
      </c>
      <c r="V576" s="255">
        <f xml:space="preserve"> tabConsumo[[#This Row],[Média.A]] + (_xlfn.STDEV.S( tabConsumo[[#This Row],[QTD.PENDENTE]]:tabConsumo[[#This Row],[07_23]] ) * 2)</f>
        <v>1330.1338892939218</v>
      </c>
      <c r="W576" s="255">
        <f xml:space="preserve"> tabConsumo[[#This Row],[Média.A]] + (_xlfn.STDEV.S( tabConsumo[[#This Row],[QTD.PENDENTE]]:tabConsumo[[#This Row],[07_23]] ) * 3)</f>
        <v>1903.5341672742161</v>
      </c>
      <c r="X576" s="5">
        <f t="shared" si="18"/>
        <v>2</v>
      </c>
      <c r="Y576">
        <v>127.5</v>
      </c>
      <c r="Z576" s="257">
        <f>SUM( tabConsumo[[#This Row],[QTD.PENDENTE]]:tabConsumo[[#This Row],[07_23]] )</f>
        <v>2200</v>
      </c>
      <c r="AA576" s="257">
        <f>LARGE(tabConsumo[[#This Row],[08_22]:[07_23]],1)</f>
        <v>2000</v>
      </c>
      <c r="AB576" s="175" t="s">
        <v>2213</v>
      </c>
      <c r="AC576" s="3" t="s">
        <v>2064</v>
      </c>
    </row>
    <row r="577" spans="1:29" x14ac:dyDescent="0.3">
      <c r="A577" s="4" t="s">
        <v>1887</v>
      </c>
      <c r="B577" s="3" t="s">
        <v>256</v>
      </c>
      <c r="C577" s="2">
        <v>134566</v>
      </c>
      <c r="D577" s="2">
        <v>19783</v>
      </c>
      <c r="F577" s="2">
        <v>0</v>
      </c>
      <c r="G577" s="2">
        <v>50</v>
      </c>
      <c r="H577" s="2">
        <v>40</v>
      </c>
      <c r="I577" s="2">
        <v>0</v>
      </c>
      <c r="J577" s="2">
        <v>100</v>
      </c>
      <c r="K577" s="2">
        <v>100</v>
      </c>
      <c r="L577" s="2">
        <v>950</v>
      </c>
      <c r="M577" s="2">
        <v>252</v>
      </c>
      <c r="N577" s="2">
        <v>100</v>
      </c>
      <c r="O577" s="2">
        <v>8</v>
      </c>
      <c r="P577" s="2">
        <v>0</v>
      </c>
      <c r="Q577" s="2">
        <v>60</v>
      </c>
      <c r="R577" s="274">
        <v>43174</v>
      </c>
      <c r="S577" s="253">
        <v>12</v>
      </c>
      <c r="T577" s="254">
        <f>SUM( tabConsumo[[#This Row],[QTD.PENDENTE]]:tabConsumo[[#This Row],[07_23]] ) / tabConsumo[[#This Row],[Div]]</f>
        <v>138.33333333333334</v>
      </c>
      <c r="U577" s="255">
        <f xml:space="preserve"> tabConsumo[[#This Row],[Média.A]] + (_xlfn.STDEV.S( tabConsumo[[#This Row],[QTD.PENDENTE]]:tabConsumo[[#This Row],[07_23]] ) * 1)</f>
        <v>403.61785754814457</v>
      </c>
      <c r="V577" s="255">
        <f xml:space="preserve"> tabConsumo[[#This Row],[Média.A]] + (_xlfn.STDEV.S( tabConsumo[[#This Row],[QTD.PENDENTE]]:tabConsumo[[#This Row],[07_23]] ) * 2)</f>
        <v>668.90238176295588</v>
      </c>
      <c r="W577" s="255">
        <f xml:space="preserve"> tabConsumo[[#This Row],[Média.A]] + (_xlfn.STDEV.S( tabConsumo[[#This Row],[QTD.PENDENTE]]:tabConsumo[[#This Row],[07_23]] ) * 3)</f>
        <v>934.1869059777672</v>
      </c>
      <c r="X577" s="5">
        <f t="shared" si="18"/>
        <v>2</v>
      </c>
      <c r="Y577">
        <v>114.83333333333333</v>
      </c>
      <c r="Z577" s="257">
        <f>SUM( tabConsumo[[#This Row],[QTD.PENDENTE]]:tabConsumo[[#This Row],[07_23]] )</f>
        <v>1660</v>
      </c>
      <c r="AA577" s="257">
        <f>LARGE(tabConsumo[[#This Row],[08_22]:[07_23]],1)</f>
        <v>950</v>
      </c>
      <c r="AB577" s="175" t="s">
        <v>2211</v>
      </c>
      <c r="AC577" s="3" t="s">
        <v>2064</v>
      </c>
    </row>
    <row r="578" spans="1:29" x14ac:dyDescent="0.3">
      <c r="A578" s="4" t="s">
        <v>1439</v>
      </c>
      <c r="B578" s="3" t="s">
        <v>256</v>
      </c>
      <c r="C578" s="2">
        <v>78416</v>
      </c>
      <c r="D578" s="2">
        <v>1019</v>
      </c>
      <c r="F578" s="2">
        <v>4</v>
      </c>
      <c r="G578" s="2">
        <v>0</v>
      </c>
      <c r="H578" s="2">
        <v>0</v>
      </c>
      <c r="I578" s="2">
        <v>0</v>
      </c>
      <c r="J578" s="2">
        <v>0</v>
      </c>
      <c r="K578" s="2">
        <v>0</v>
      </c>
      <c r="L578" s="2">
        <v>45</v>
      </c>
      <c r="M578" s="2">
        <v>0</v>
      </c>
      <c r="N578" s="2">
        <v>0</v>
      </c>
      <c r="O578" s="2">
        <v>270</v>
      </c>
      <c r="P578" s="2">
        <v>0</v>
      </c>
      <c r="Q578" s="2">
        <v>0</v>
      </c>
      <c r="R578" s="274">
        <v>38097</v>
      </c>
      <c r="S578" s="253">
        <v>12</v>
      </c>
      <c r="T578" s="254">
        <f>SUM( tabConsumo[[#This Row],[QTD.PENDENTE]]:tabConsumo[[#This Row],[07_23]] ) / tabConsumo[[#This Row],[Div]]</f>
        <v>26.583333333333332</v>
      </c>
      <c r="U578" s="255">
        <f xml:space="preserve"> tabConsumo[[#This Row],[Média.A]] + (_xlfn.STDEV.S( tabConsumo[[#This Row],[QTD.PENDENTE]]:tabConsumo[[#This Row],[07_23]] ) * 1)</f>
        <v>104.31300279841929</v>
      </c>
      <c r="V578" s="255">
        <f xml:space="preserve"> tabConsumo[[#This Row],[Média.A]] + (_xlfn.STDEV.S( tabConsumo[[#This Row],[QTD.PENDENTE]]:tabConsumo[[#This Row],[07_23]] ) * 2)</f>
        <v>182.04267226350527</v>
      </c>
      <c r="W578" s="255">
        <f xml:space="preserve"> tabConsumo[[#This Row],[Média.A]] + (_xlfn.STDEV.S( tabConsumo[[#This Row],[QTD.PENDENTE]]:tabConsumo[[#This Row],[07_23]] ) * 3)</f>
        <v>259.77234172859119</v>
      </c>
      <c r="X578" s="5">
        <f t="shared" si="18"/>
        <v>2</v>
      </c>
      <c r="Y578">
        <v>19.25</v>
      </c>
      <c r="Z578" s="257">
        <f>SUM( tabConsumo[[#This Row],[QTD.PENDENTE]]:tabConsumo[[#This Row],[07_23]] )</f>
        <v>319</v>
      </c>
      <c r="AA578" s="257">
        <f>LARGE(tabConsumo[[#This Row],[08_22]:[07_23]],1)</f>
        <v>270</v>
      </c>
      <c r="AB578" s="175" t="s">
        <v>2214</v>
      </c>
      <c r="AC578" s="3" t="s">
        <v>2064</v>
      </c>
    </row>
    <row r="579" spans="1:29" x14ac:dyDescent="0.3">
      <c r="A579" s="4" t="s">
        <v>1029</v>
      </c>
      <c r="B579" s="3" t="s">
        <v>256</v>
      </c>
      <c r="C579" s="2">
        <v>13221</v>
      </c>
      <c r="D579" s="2">
        <v>1994</v>
      </c>
      <c r="F579" s="2">
        <v>0</v>
      </c>
      <c r="G579" s="2">
        <v>20</v>
      </c>
      <c r="H579" s="2">
        <v>140</v>
      </c>
      <c r="I579" s="2">
        <v>390</v>
      </c>
      <c r="J579" s="2">
        <v>25</v>
      </c>
      <c r="K579" s="2">
        <v>125</v>
      </c>
      <c r="L579" s="2">
        <v>160</v>
      </c>
      <c r="M579" s="2">
        <v>614</v>
      </c>
      <c r="N579" s="2">
        <v>180</v>
      </c>
      <c r="O579" s="2">
        <v>250</v>
      </c>
      <c r="P579" s="2">
        <v>150</v>
      </c>
      <c r="Q579" s="2">
        <v>1220</v>
      </c>
      <c r="R579" s="274">
        <v>367</v>
      </c>
      <c r="S579" s="253">
        <f xml:space="preserve"> 12</f>
        <v>12</v>
      </c>
      <c r="T579" s="254">
        <f>SUM( tabConsumo[[#This Row],[QTD.PENDENTE]]:tabConsumo[[#This Row],[07_23]] ) / tabConsumo[[#This Row],[Div]]</f>
        <v>272.83333333333331</v>
      </c>
      <c r="U579" s="255">
        <f xml:space="preserve"> tabConsumo[[#This Row],[Média.A]] + (_xlfn.STDEV.S( tabConsumo[[#This Row],[QTD.PENDENTE]]:tabConsumo[[#This Row],[07_23]] ) * 1)</f>
        <v>617.07025843879114</v>
      </c>
      <c r="V579" s="255">
        <f xml:space="preserve"> tabConsumo[[#This Row],[Média.A]] + (_xlfn.STDEV.S( tabConsumo[[#This Row],[QTD.PENDENTE]]:tabConsumo[[#This Row],[07_23]] ) * 2)</f>
        <v>961.30718354424903</v>
      </c>
      <c r="W579" s="255">
        <f xml:space="preserve"> tabConsumo[[#This Row],[Média.A]] + (_xlfn.STDEV.S( tabConsumo[[#This Row],[QTD.PENDENTE]]:tabConsumo[[#This Row],[07_23]] ) * 3)</f>
        <v>1305.5441086497067</v>
      </c>
      <c r="X579" s="5">
        <f t="shared" ref="X579:X642" si="21" xml:space="preserve"> 2</f>
        <v>2</v>
      </c>
      <c r="Y579">
        <v>251.25</v>
      </c>
      <c r="Z579" s="257">
        <f>SUM( tabConsumo[[#This Row],[QTD.PENDENTE]]:tabConsumo[[#This Row],[07_23]] )</f>
        <v>3274</v>
      </c>
      <c r="AA579" s="257">
        <f>LARGE(tabConsumo[[#This Row],[08_22]:[07_23]],1)</f>
        <v>1220</v>
      </c>
      <c r="AB579" s="175" t="s">
        <v>2211</v>
      </c>
      <c r="AC579" s="3" t="s">
        <v>2064</v>
      </c>
    </row>
    <row r="580" spans="1:29" x14ac:dyDescent="0.3">
      <c r="A580" s="4" t="s">
        <v>1031</v>
      </c>
      <c r="B580" s="3" t="s">
        <v>256</v>
      </c>
      <c r="C580" s="2">
        <v>13222</v>
      </c>
      <c r="D580" s="2">
        <v>1141</v>
      </c>
      <c r="F580" s="2">
        <v>0</v>
      </c>
      <c r="G580" s="2">
        <v>0</v>
      </c>
      <c r="H580" s="2">
        <v>20</v>
      </c>
      <c r="I580" s="2">
        <v>0</v>
      </c>
      <c r="J580" s="2">
        <v>50</v>
      </c>
      <c r="K580" s="2">
        <v>0</v>
      </c>
      <c r="L580" s="2">
        <v>0</v>
      </c>
      <c r="M580" s="2">
        <v>10</v>
      </c>
      <c r="N580" s="2">
        <v>15</v>
      </c>
      <c r="O580" s="2">
        <v>0</v>
      </c>
      <c r="P580" s="2">
        <v>0</v>
      </c>
      <c r="Q580" s="2">
        <v>0</v>
      </c>
      <c r="R580" s="274">
        <v>367</v>
      </c>
      <c r="S580" s="253">
        <f xml:space="preserve"> 12</f>
        <v>12</v>
      </c>
      <c r="T580" s="254">
        <f>SUM( tabConsumo[[#This Row],[QTD.PENDENTE]]:tabConsumo[[#This Row],[07_23]] ) / tabConsumo[[#This Row],[Div]]</f>
        <v>7.916666666666667</v>
      </c>
      <c r="U580" s="255">
        <f xml:space="preserve"> tabConsumo[[#This Row],[Média.A]] + (_xlfn.STDEV.S( tabConsumo[[#This Row],[QTD.PENDENTE]]:tabConsumo[[#This Row],[07_23]] ) * 1)</f>
        <v>22.910352206273199</v>
      </c>
      <c r="V580" s="255">
        <f xml:space="preserve"> tabConsumo[[#This Row],[Média.A]] + (_xlfn.STDEV.S( tabConsumo[[#This Row],[QTD.PENDENTE]]:tabConsumo[[#This Row],[07_23]] ) * 2)</f>
        <v>37.904037745879734</v>
      </c>
      <c r="W580" s="255">
        <f xml:space="preserve"> tabConsumo[[#This Row],[Média.A]] + (_xlfn.STDEV.S( tabConsumo[[#This Row],[QTD.PENDENTE]]:tabConsumo[[#This Row],[07_23]] ) * 3)</f>
        <v>52.897723285486265</v>
      </c>
      <c r="X580" s="5">
        <f t="shared" si="21"/>
        <v>2</v>
      </c>
      <c r="Y580">
        <v>6.833333333333333</v>
      </c>
      <c r="Z580" s="257">
        <f>SUM( tabConsumo[[#This Row],[QTD.PENDENTE]]:tabConsumo[[#This Row],[07_23]] )</f>
        <v>95</v>
      </c>
      <c r="AA580" s="257">
        <f>LARGE(tabConsumo[[#This Row],[08_22]:[07_23]],1)</f>
        <v>50</v>
      </c>
      <c r="AB580" s="175" t="s">
        <v>2213</v>
      </c>
      <c r="AC580" s="3" t="s">
        <v>2064</v>
      </c>
    </row>
    <row r="581" spans="1:29" x14ac:dyDescent="0.3">
      <c r="A581" s="4" t="s">
        <v>1441</v>
      </c>
      <c r="B581" s="3" t="s">
        <v>256</v>
      </c>
      <c r="C581" s="2">
        <v>78418</v>
      </c>
      <c r="D581" s="2">
        <v>225</v>
      </c>
      <c r="F581" s="2">
        <v>100</v>
      </c>
      <c r="G581" s="2">
        <v>0</v>
      </c>
      <c r="H581" s="2">
        <v>0</v>
      </c>
      <c r="I581" s="2">
        <v>10</v>
      </c>
      <c r="J581" s="2">
        <v>0</v>
      </c>
      <c r="K581" s="2">
        <v>0</v>
      </c>
      <c r="L581" s="2">
        <v>0</v>
      </c>
      <c r="M581" s="2">
        <v>50</v>
      </c>
      <c r="N581" s="2">
        <v>0</v>
      </c>
      <c r="O581" s="2">
        <v>0</v>
      </c>
      <c r="P581" s="2">
        <v>0</v>
      </c>
      <c r="Q581" s="2">
        <v>0</v>
      </c>
      <c r="R581" s="274">
        <v>38097</v>
      </c>
      <c r="S581" s="253">
        <v>12</v>
      </c>
      <c r="T581" s="254">
        <f>SUM( tabConsumo[[#This Row],[QTD.PENDENTE]]:tabConsumo[[#This Row],[07_23]] ) / tabConsumo[[#This Row],[Div]]</f>
        <v>13.333333333333334</v>
      </c>
      <c r="U581" s="255">
        <f xml:space="preserve"> tabConsumo[[#This Row],[Média.A]] + (_xlfn.STDEV.S( tabConsumo[[#This Row],[QTD.PENDENTE]]:tabConsumo[[#This Row],[07_23]] ) * 1)</f>
        <v>44.179972558946737</v>
      </c>
      <c r="V581" s="255">
        <f xml:space="preserve"> tabConsumo[[#This Row],[Média.A]] + (_xlfn.STDEV.S( tabConsumo[[#This Row],[QTD.PENDENTE]]:tabConsumo[[#This Row],[07_23]] ) * 2)</f>
        <v>75.026611784560146</v>
      </c>
      <c r="W581" s="255">
        <f xml:space="preserve"> tabConsumo[[#This Row],[Média.A]] + (_xlfn.STDEV.S( tabConsumo[[#This Row],[QTD.PENDENTE]]:tabConsumo[[#This Row],[07_23]] ) * 3)</f>
        <v>105.87325101017355</v>
      </c>
      <c r="X581" s="5">
        <f t="shared" si="21"/>
        <v>2</v>
      </c>
      <c r="Y581">
        <v>11.25</v>
      </c>
      <c r="Z581" s="257">
        <f>SUM( tabConsumo[[#This Row],[QTD.PENDENTE]]:tabConsumo[[#This Row],[07_23]] )</f>
        <v>160</v>
      </c>
      <c r="AA581" s="257">
        <f>LARGE(tabConsumo[[#This Row],[08_22]:[07_23]],1)</f>
        <v>100</v>
      </c>
      <c r="AB581" s="175" t="s">
        <v>2217</v>
      </c>
      <c r="AC581" s="3" t="s">
        <v>2064</v>
      </c>
    </row>
    <row r="582" spans="1:29" x14ac:dyDescent="0.3">
      <c r="A582" s="4" t="s">
        <v>1756</v>
      </c>
      <c r="B582" s="3" t="s">
        <v>413</v>
      </c>
      <c r="C582" s="2">
        <v>124963</v>
      </c>
      <c r="D582" s="2">
        <v>116</v>
      </c>
      <c r="F582" s="2">
        <v>126</v>
      </c>
      <c r="G582" s="2">
        <v>23</v>
      </c>
      <c r="H582" s="2">
        <v>12</v>
      </c>
      <c r="I582" s="2">
        <v>6</v>
      </c>
      <c r="J582" s="2">
        <v>4</v>
      </c>
      <c r="K582" s="2">
        <v>23</v>
      </c>
      <c r="L582" s="2">
        <v>6</v>
      </c>
      <c r="M582" s="2">
        <v>6</v>
      </c>
      <c r="N582" s="2">
        <v>41</v>
      </c>
      <c r="O582" s="2">
        <v>1</v>
      </c>
      <c r="P582" s="2">
        <v>0</v>
      </c>
      <c r="Q582" s="2">
        <v>10</v>
      </c>
      <c r="R582" s="274">
        <v>41309</v>
      </c>
      <c r="S582" s="253">
        <v>12</v>
      </c>
      <c r="T582" s="254">
        <f>SUM( tabConsumo[[#This Row],[QTD.PENDENTE]]:tabConsumo[[#This Row],[07_23]] ) / tabConsumo[[#This Row],[Div]]</f>
        <v>21.5</v>
      </c>
      <c r="U582" s="255">
        <f xml:space="preserve"> tabConsumo[[#This Row],[Média.A]] + (_xlfn.STDEV.S( tabConsumo[[#This Row],[QTD.PENDENTE]]:tabConsumo[[#This Row],[07_23]] ) * 1)</f>
        <v>56.450614508838818</v>
      </c>
      <c r="V582" s="255">
        <f xml:space="preserve"> tabConsumo[[#This Row],[Média.A]] + (_xlfn.STDEV.S( tabConsumo[[#This Row],[QTD.PENDENTE]]:tabConsumo[[#This Row],[07_23]] ) * 2)</f>
        <v>91.401229017677636</v>
      </c>
      <c r="W582" s="255">
        <f xml:space="preserve"> tabConsumo[[#This Row],[Média.A]] + (_xlfn.STDEV.S( tabConsumo[[#This Row],[QTD.PENDENTE]]:tabConsumo[[#This Row],[07_23]] ) * 3)</f>
        <v>126.35184352651646</v>
      </c>
      <c r="X582" s="5">
        <f t="shared" si="21"/>
        <v>2</v>
      </c>
      <c r="Y582">
        <v>18.583333333333332</v>
      </c>
      <c r="Z582" s="257">
        <f>SUM( tabConsumo[[#This Row],[QTD.PENDENTE]]:tabConsumo[[#This Row],[07_23]] )</f>
        <v>258</v>
      </c>
      <c r="AA582" s="257">
        <f>LARGE(tabConsumo[[#This Row],[08_22]:[07_23]],1)</f>
        <v>126</v>
      </c>
      <c r="AB582" s="175" t="s">
        <v>2211</v>
      </c>
      <c r="AC582" s="3" t="s">
        <v>2064</v>
      </c>
    </row>
    <row r="583" spans="1:29" x14ac:dyDescent="0.3">
      <c r="A583" s="4" t="s">
        <v>1515</v>
      </c>
      <c r="B583" s="3" t="s">
        <v>413</v>
      </c>
      <c r="C583" s="2">
        <v>89863</v>
      </c>
      <c r="D583" s="2">
        <v>357</v>
      </c>
      <c r="F583" s="2">
        <v>11</v>
      </c>
      <c r="G583" s="2">
        <v>8</v>
      </c>
      <c r="H583" s="2">
        <v>9</v>
      </c>
      <c r="I583" s="2">
        <v>6</v>
      </c>
      <c r="J583" s="2">
        <v>3</v>
      </c>
      <c r="K583" s="2">
        <v>15</v>
      </c>
      <c r="L583" s="2">
        <v>5</v>
      </c>
      <c r="M583" s="2">
        <v>8</v>
      </c>
      <c r="N583" s="2">
        <v>30</v>
      </c>
      <c r="O583" s="2">
        <v>20</v>
      </c>
      <c r="P583" s="2">
        <v>40</v>
      </c>
      <c r="Q583" s="2">
        <v>10</v>
      </c>
      <c r="R583" s="274">
        <v>38743</v>
      </c>
      <c r="S583" s="253">
        <v>12</v>
      </c>
      <c r="T583" s="254">
        <f>SUM( tabConsumo[[#This Row],[QTD.PENDENTE]]:tabConsumo[[#This Row],[07_23]] ) / tabConsumo[[#This Row],[Div]]</f>
        <v>13.75</v>
      </c>
      <c r="U583" s="255">
        <f xml:space="preserve"> tabConsumo[[#This Row],[Média.A]] + (_xlfn.STDEV.S( tabConsumo[[#This Row],[QTD.PENDENTE]]:tabConsumo[[#This Row],[07_23]] ) * 1)</f>
        <v>24.853848636641917</v>
      </c>
      <c r="V583" s="255">
        <f xml:space="preserve"> tabConsumo[[#This Row],[Média.A]] + (_xlfn.STDEV.S( tabConsumo[[#This Row],[QTD.PENDENTE]]:tabConsumo[[#This Row],[07_23]] ) * 2)</f>
        <v>35.957697273283834</v>
      </c>
      <c r="W583" s="255">
        <f xml:space="preserve"> tabConsumo[[#This Row],[Média.A]] + (_xlfn.STDEV.S( tabConsumo[[#This Row],[QTD.PENDENTE]]:tabConsumo[[#This Row],[07_23]] ) * 3)</f>
        <v>47.061545909925755</v>
      </c>
      <c r="X583" s="5">
        <f t="shared" si="21"/>
        <v>2</v>
      </c>
      <c r="Y583">
        <v>13.333333333333334</v>
      </c>
      <c r="Z583" s="257">
        <f>SUM( tabConsumo[[#This Row],[QTD.PENDENTE]]:tabConsumo[[#This Row],[07_23]] )</f>
        <v>165</v>
      </c>
      <c r="AA583" s="257">
        <f>LARGE(tabConsumo[[#This Row],[08_22]:[07_23]],1)</f>
        <v>40</v>
      </c>
      <c r="AB583" s="175" t="s">
        <v>2211</v>
      </c>
      <c r="AC583" s="3" t="s">
        <v>2064</v>
      </c>
    </row>
    <row r="584" spans="1:29" x14ac:dyDescent="0.3">
      <c r="A584" s="4" t="s">
        <v>1517</v>
      </c>
      <c r="B584" s="3" t="s">
        <v>413</v>
      </c>
      <c r="C584" s="2">
        <v>89864</v>
      </c>
      <c r="D584" s="2">
        <v>774</v>
      </c>
      <c r="F584" s="2">
        <v>0</v>
      </c>
      <c r="G584" s="2">
        <v>1</v>
      </c>
      <c r="H584" s="2">
        <v>0</v>
      </c>
      <c r="I584" s="2">
        <v>2</v>
      </c>
      <c r="J584" s="2">
        <v>4</v>
      </c>
      <c r="K584" s="2">
        <v>1</v>
      </c>
      <c r="L584" s="2">
        <v>0</v>
      </c>
      <c r="M584" s="2">
        <v>2</v>
      </c>
      <c r="N584" s="2">
        <v>36</v>
      </c>
      <c r="O584" s="2">
        <v>0</v>
      </c>
      <c r="P584" s="2">
        <v>0</v>
      </c>
      <c r="Q584" s="2">
        <v>0</v>
      </c>
      <c r="R584" s="274">
        <v>38743</v>
      </c>
      <c r="S584" s="253">
        <v>12</v>
      </c>
      <c r="T584" s="254">
        <f>SUM( tabConsumo[[#This Row],[QTD.PENDENTE]]:tabConsumo[[#This Row],[07_23]] ) / tabConsumo[[#This Row],[Div]]</f>
        <v>3.8333333333333335</v>
      </c>
      <c r="U584" s="255">
        <f xml:space="preserve"> tabConsumo[[#This Row],[Média.A]] + (_xlfn.STDEV.S( tabConsumo[[#This Row],[QTD.PENDENTE]]:tabConsumo[[#This Row],[07_23]] ) * 1)</f>
        <v>14.038798298317298</v>
      </c>
      <c r="V584" s="255">
        <f xml:space="preserve"> tabConsumo[[#This Row],[Média.A]] + (_xlfn.STDEV.S( tabConsumo[[#This Row],[QTD.PENDENTE]]:tabConsumo[[#This Row],[07_23]] ) * 2)</f>
        <v>24.24426326330126</v>
      </c>
      <c r="W584" s="255">
        <f xml:space="preserve"> tabConsumo[[#This Row],[Média.A]] + (_xlfn.STDEV.S( tabConsumo[[#This Row],[QTD.PENDENTE]]:tabConsumo[[#This Row],[07_23]] ) * 3)</f>
        <v>34.449728228285224</v>
      </c>
      <c r="X584" s="5">
        <f t="shared" si="21"/>
        <v>2</v>
      </c>
      <c r="Y584">
        <v>2.8333333333333335</v>
      </c>
      <c r="Z584" s="257">
        <f>SUM( tabConsumo[[#This Row],[QTD.PENDENTE]]:tabConsumo[[#This Row],[07_23]] )</f>
        <v>46</v>
      </c>
      <c r="AA584" s="257">
        <f>LARGE(tabConsumo[[#This Row],[08_22]:[07_23]],1)</f>
        <v>36</v>
      </c>
      <c r="AB584" s="175" t="s">
        <v>2213</v>
      </c>
      <c r="AC584" s="3" t="s">
        <v>2064</v>
      </c>
    </row>
    <row r="585" spans="1:29" x14ac:dyDescent="0.3">
      <c r="A585" s="4" t="s">
        <v>1758</v>
      </c>
      <c r="B585" s="3" t="s">
        <v>413</v>
      </c>
      <c r="C585" s="2">
        <v>125201</v>
      </c>
      <c r="D585" s="2">
        <v>668</v>
      </c>
      <c r="F585" s="2">
        <v>7</v>
      </c>
      <c r="G585" s="2">
        <v>7</v>
      </c>
      <c r="H585" s="2">
        <v>6</v>
      </c>
      <c r="I585" s="2">
        <v>3</v>
      </c>
      <c r="J585" s="2">
        <v>1</v>
      </c>
      <c r="K585" s="2">
        <v>7</v>
      </c>
      <c r="L585" s="2">
        <v>4</v>
      </c>
      <c r="M585" s="2">
        <v>24</v>
      </c>
      <c r="N585" s="2">
        <v>44</v>
      </c>
      <c r="O585" s="2">
        <v>0</v>
      </c>
      <c r="P585" s="2">
        <v>0</v>
      </c>
      <c r="Q585" s="2">
        <v>11</v>
      </c>
      <c r="R585" s="274">
        <v>41348</v>
      </c>
      <c r="S585" s="253">
        <v>12</v>
      </c>
      <c r="T585" s="254">
        <f>SUM( tabConsumo[[#This Row],[QTD.PENDENTE]]:tabConsumo[[#This Row],[07_23]] ) / tabConsumo[[#This Row],[Div]]</f>
        <v>9.5</v>
      </c>
      <c r="U585" s="255">
        <f xml:space="preserve"> tabConsumo[[#This Row],[Média.A]] + (_xlfn.STDEV.S( tabConsumo[[#This Row],[QTD.PENDENTE]]:tabConsumo[[#This Row],[07_23]] ) * 1)</f>
        <v>22.145516632747391</v>
      </c>
      <c r="V585" s="255">
        <f xml:space="preserve"> tabConsumo[[#This Row],[Média.A]] + (_xlfn.STDEV.S( tabConsumo[[#This Row],[QTD.PENDENTE]]:tabConsumo[[#This Row],[07_23]] ) * 2)</f>
        <v>34.791033265494782</v>
      </c>
      <c r="W585" s="255">
        <f xml:space="preserve"> tabConsumo[[#This Row],[Média.A]] + (_xlfn.STDEV.S( tabConsumo[[#This Row],[QTD.PENDENTE]]:tabConsumo[[#This Row],[07_23]] ) * 3)</f>
        <v>47.436549898242177</v>
      </c>
      <c r="X585" s="5">
        <f t="shared" si="21"/>
        <v>2</v>
      </c>
      <c r="Y585">
        <v>8.6666666666666661</v>
      </c>
      <c r="Z585" s="257">
        <f>SUM( tabConsumo[[#This Row],[QTD.PENDENTE]]:tabConsumo[[#This Row],[07_23]] )</f>
        <v>114</v>
      </c>
      <c r="AA585" s="257">
        <f>LARGE(tabConsumo[[#This Row],[08_22]:[07_23]],1)</f>
        <v>44</v>
      </c>
      <c r="AB585" s="175" t="s">
        <v>2211</v>
      </c>
      <c r="AC585" s="3" t="s">
        <v>2064</v>
      </c>
    </row>
    <row r="586" spans="1:29" x14ac:dyDescent="0.3">
      <c r="A586" s="4" t="s">
        <v>1045</v>
      </c>
      <c r="B586" s="3" t="s">
        <v>31</v>
      </c>
      <c r="C586" s="2">
        <v>13655</v>
      </c>
      <c r="D586" s="2">
        <v>5920</v>
      </c>
      <c r="E586" s="2">
        <v>7</v>
      </c>
      <c r="F586" s="2">
        <v>823</v>
      </c>
      <c r="G586" s="2">
        <v>541</v>
      </c>
      <c r="H586" s="2">
        <v>463</v>
      </c>
      <c r="I586" s="2">
        <v>648</v>
      </c>
      <c r="J586" s="2">
        <v>1114</v>
      </c>
      <c r="K586" s="2">
        <v>529</v>
      </c>
      <c r="L586" s="2">
        <v>775</v>
      </c>
      <c r="M586" s="2">
        <v>9807</v>
      </c>
      <c r="N586" s="2">
        <v>788</v>
      </c>
      <c r="O586" s="2">
        <v>682</v>
      </c>
      <c r="P586" s="2">
        <v>682</v>
      </c>
      <c r="Q586" s="2">
        <v>837</v>
      </c>
      <c r="R586" s="274">
        <v>367</v>
      </c>
      <c r="S586" s="253">
        <f xml:space="preserve"> 12</f>
        <v>12</v>
      </c>
      <c r="T586" s="254">
        <f>SUM( tabConsumo[[#This Row],[QTD.PENDENTE]]:tabConsumo[[#This Row],[07_23]] ) / tabConsumo[[#This Row],[Div]]</f>
        <v>1474.6666666666667</v>
      </c>
      <c r="U586" s="255">
        <f xml:space="preserve"> tabConsumo[[#This Row],[Média.A]] + (_xlfn.STDEV.S( tabConsumo[[#This Row],[QTD.PENDENTE]]:tabConsumo[[#This Row],[07_23]] ) * 1)</f>
        <v>4025.2624190954384</v>
      </c>
      <c r="V586" s="255">
        <f xml:space="preserve"> tabConsumo[[#This Row],[Média.A]] + (_xlfn.STDEV.S( tabConsumo[[#This Row],[QTD.PENDENTE]]:tabConsumo[[#This Row],[07_23]] ) * 2)</f>
        <v>6575.8581715242108</v>
      </c>
      <c r="W586" s="255">
        <f xml:space="preserve"> tabConsumo[[#This Row],[Média.A]] + (_xlfn.STDEV.S( tabConsumo[[#This Row],[QTD.PENDENTE]]:tabConsumo[[#This Row],[07_23]] ) * 3)</f>
        <v>9126.4539239529822</v>
      </c>
      <c r="X586" s="5">
        <f t="shared" si="21"/>
        <v>2</v>
      </c>
      <c r="Y586">
        <v>1205.3333333333333</v>
      </c>
      <c r="Z586" s="257">
        <f>SUM( tabConsumo[[#This Row],[QTD.PENDENTE]]:tabConsumo[[#This Row],[07_23]] )</f>
        <v>17696</v>
      </c>
      <c r="AA586" s="257">
        <f>LARGE(tabConsumo[[#This Row],[08_22]:[07_23]],1)</f>
        <v>9807</v>
      </c>
      <c r="AB586" s="175" t="s">
        <v>2211</v>
      </c>
      <c r="AC586" s="3" t="s">
        <v>2064</v>
      </c>
    </row>
    <row r="587" spans="1:29" x14ac:dyDescent="0.3">
      <c r="A587" s="4" t="s">
        <v>1810</v>
      </c>
      <c r="B587" s="3" t="s">
        <v>31</v>
      </c>
      <c r="C587" s="2">
        <v>131935</v>
      </c>
      <c r="D587" s="2">
        <v>2742</v>
      </c>
      <c r="E587" s="2">
        <v>113</v>
      </c>
      <c r="F587" s="2">
        <v>0</v>
      </c>
      <c r="G587" s="2">
        <v>69</v>
      </c>
      <c r="H587" s="2">
        <v>77</v>
      </c>
      <c r="I587" s="2">
        <v>0</v>
      </c>
      <c r="J587" s="2">
        <v>0</v>
      </c>
      <c r="K587" s="2">
        <v>124</v>
      </c>
      <c r="L587" s="2">
        <v>331</v>
      </c>
      <c r="M587" s="2">
        <v>6500</v>
      </c>
      <c r="N587" s="2">
        <v>91</v>
      </c>
      <c r="O587" s="2">
        <v>109</v>
      </c>
      <c r="P587" s="2">
        <v>102</v>
      </c>
      <c r="Q587" s="2">
        <v>101</v>
      </c>
      <c r="R587" s="274">
        <v>42590</v>
      </c>
      <c r="S587" s="253">
        <v>12</v>
      </c>
      <c r="T587" s="254">
        <f>SUM( tabConsumo[[#This Row],[QTD.PENDENTE]]:tabConsumo[[#This Row],[07_23]] ) / tabConsumo[[#This Row],[Div]]</f>
        <v>634.75</v>
      </c>
      <c r="U587" s="255">
        <f xml:space="preserve"> tabConsumo[[#This Row],[Média.A]] + (_xlfn.STDEV.S( tabConsumo[[#This Row],[QTD.PENDENTE]]:tabConsumo[[#This Row],[07_23]] ) * 1)</f>
        <v>2413.7053798759944</v>
      </c>
      <c r="V587" s="255">
        <f xml:space="preserve"> tabConsumo[[#This Row],[Média.A]] + (_xlfn.STDEV.S( tabConsumo[[#This Row],[QTD.PENDENTE]]:tabConsumo[[#This Row],[07_23]] ) * 2)</f>
        <v>4192.6607597519887</v>
      </c>
      <c r="W587" s="255">
        <f xml:space="preserve"> tabConsumo[[#This Row],[Média.A]] + (_xlfn.STDEV.S( tabConsumo[[#This Row],[QTD.PENDENTE]]:tabConsumo[[#This Row],[07_23]] ) * 3)</f>
        <v>5971.6161396279831</v>
      </c>
      <c r="X587" s="5">
        <f t="shared" si="21"/>
        <v>2</v>
      </c>
      <c r="Y587">
        <v>442.41666666666669</v>
      </c>
      <c r="Z587" s="257">
        <f>SUM( tabConsumo[[#This Row],[QTD.PENDENTE]]:tabConsumo[[#This Row],[07_23]] )</f>
        <v>7617</v>
      </c>
      <c r="AA587" s="257">
        <f>LARGE(tabConsumo[[#This Row],[08_22]:[07_23]],1)</f>
        <v>6500</v>
      </c>
      <c r="AB587" s="175" t="s">
        <v>2211</v>
      </c>
      <c r="AC587" s="3" t="s">
        <v>2064</v>
      </c>
    </row>
    <row r="588" spans="1:29" x14ac:dyDescent="0.3">
      <c r="A588" s="4" t="s">
        <v>1289</v>
      </c>
      <c r="B588" s="3" t="s">
        <v>256</v>
      </c>
      <c r="C588" s="2">
        <v>48901</v>
      </c>
      <c r="D588" s="2">
        <v>298</v>
      </c>
      <c r="E588" s="2">
        <v>2</v>
      </c>
      <c r="F588" s="2">
        <v>13</v>
      </c>
      <c r="G588" s="2">
        <v>2</v>
      </c>
      <c r="H588" s="2">
        <v>4</v>
      </c>
      <c r="I588" s="2">
        <v>2</v>
      </c>
      <c r="J588" s="2">
        <v>0</v>
      </c>
      <c r="K588" s="2">
        <v>4</v>
      </c>
      <c r="L588" s="2">
        <v>16</v>
      </c>
      <c r="M588" s="2">
        <v>4</v>
      </c>
      <c r="N588" s="2">
        <v>2</v>
      </c>
      <c r="O588" s="2">
        <v>1</v>
      </c>
      <c r="P588" s="2">
        <v>12</v>
      </c>
      <c r="Q588" s="2">
        <v>2</v>
      </c>
      <c r="R588" s="274">
        <v>367</v>
      </c>
      <c r="S588" s="253">
        <f xml:space="preserve"> 12</f>
        <v>12</v>
      </c>
      <c r="T588" s="254">
        <f>SUM( tabConsumo[[#This Row],[QTD.PENDENTE]]:tabConsumo[[#This Row],[07_23]] ) / tabConsumo[[#This Row],[Div]]</f>
        <v>5.333333333333333</v>
      </c>
      <c r="U588" s="255">
        <f xml:space="preserve"> tabConsumo[[#This Row],[Média.A]] + (_xlfn.STDEV.S( tabConsumo[[#This Row],[QTD.PENDENTE]]:tabConsumo[[#This Row],[07_23]] ) * 1)</f>
        <v>10.520842987324968</v>
      </c>
      <c r="V588" s="255">
        <f xml:space="preserve"> tabConsumo[[#This Row],[Média.A]] + (_xlfn.STDEV.S( tabConsumo[[#This Row],[QTD.PENDENTE]]:tabConsumo[[#This Row],[07_23]] ) * 2)</f>
        <v>15.708352641316601</v>
      </c>
      <c r="W588" s="255">
        <f xml:space="preserve"> tabConsumo[[#This Row],[Média.A]] + (_xlfn.STDEV.S( tabConsumo[[#This Row],[QTD.PENDENTE]]:tabConsumo[[#This Row],[07_23]] ) * 3)</f>
        <v>20.895862295308238</v>
      </c>
      <c r="X588" s="5">
        <f t="shared" si="21"/>
        <v>2</v>
      </c>
      <c r="Y588">
        <v>5.25</v>
      </c>
      <c r="Z588" s="257">
        <f>SUM( tabConsumo[[#This Row],[QTD.PENDENTE]]:tabConsumo[[#This Row],[07_23]] )</f>
        <v>64</v>
      </c>
      <c r="AA588" s="257">
        <f>LARGE(tabConsumo[[#This Row],[08_22]:[07_23]],1)</f>
        <v>16</v>
      </c>
      <c r="AB588" s="175" t="s">
        <v>2211</v>
      </c>
      <c r="AC588" s="3" t="s">
        <v>2064</v>
      </c>
    </row>
    <row r="589" spans="1:29" x14ac:dyDescent="0.3">
      <c r="A589" s="4" t="s">
        <v>1433</v>
      </c>
      <c r="B589" s="3" t="s">
        <v>625</v>
      </c>
      <c r="C589" s="2">
        <v>78181</v>
      </c>
      <c r="D589" s="2">
        <v>0</v>
      </c>
      <c r="E589" s="2">
        <v>65</v>
      </c>
      <c r="F589" s="2">
        <v>19</v>
      </c>
      <c r="G589" s="2">
        <v>20</v>
      </c>
      <c r="H589" s="2">
        <v>19</v>
      </c>
      <c r="I589" s="2">
        <v>10</v>
      </c>
      <c r="J589" s="2">
        <v>6</v>
      </c>
      <c r="K589" s="2">
        <v>0</v>
      </c>
      <c r="L589" s="2">
        <v>0</v>
      </c>
      <c r="M589" s="2">
        <v>0</v>
      </c>
      <c r="N589" s="2">
        <v>0</v>
      </c>
      <c r="O589" s="2">
        <v>0</v>
      </c>
      <c r="P589" s="2">
        <v>0</v>
      </c>
      <c r="Q589" s="2">
        <v>0</v>
      </c>
      <c r="R589" s="274">
        <v>38079</v>
      </c>
      <c r="S589" s="253">
        <v>12</v>
      </c>
      <c r="T589" s="254">
        <f>SUM( tabConsumo[[#This Row],[QTD.PENDENTE]]:tabConsumo[[#This Row],[07_23]] ) / tabConsumo[[#This Row],[Div]]</f>
        <v>11.583333333333334</v>
      </c>
      <c r="U589" s="255">
        <f xml:space="preserve"> tabConsumo[[#This Row],[Média.A]] + (_xlfn.STDEV.S( tabConsumo[[#This Row],[QTD.PENDENTE]]:tabConsumo[[#This Row],[07_23]] ) * 1)</f>
        <v>29.833377239146344</v>
      </c>
      <c r="V589" s="255">
        <f xml:space="preserve"> tabConsumo[[#This Row],[Média.A]] + (_xlfn.STDEV.S( tabConsumo[[#This Row],[QTD.PENDENTE]]:tabConsumo[[#This Row],[07_23]] ) * 2)</f>
        <v>48.083421144959352</v>
      </c>
      <c r="W589" s="255">
        <f xml:space="preserve"> tabConsumo[[#This Row],[Média.A]] + (_xlfn.STDEV.S( tabConsumo[[#This Row],[QTD.PENDENTE]]:tabConsumo[[#This Row],[07_23]] ) * 3)</f>
        <v>66.333465050772361</v>
      </c>
      <c r="X589" s="5">
        <f t="shared" si="21"/>
        <v>2</v>
      </c>
      <c r="Y589">
        <v>11.583333333333334</v>
      </c>
      <c r="Z589" s="257">
        <f>SUM( tabConsumo[[#This Row],[QTD.PENDENTE]]:tabConsumo[[#This Row],[07_23]] )</f>
        <v>139</v>
      </c>
      <c r="AA589" s="257">
        <f>LARGE(tabConsumo[[#This Row],[08_22]:[07_23]],1)</f>
        <v>20</v>
      </c>
      <c r="AB589" s="175" t="s">
        <v>2222</v>
      </c>
      <c r="AC589" s="3" t="s">
        <v>2064</v>
      </c>
    </row>
    <row r="590" spans="1:29" x14ac:dyDescent="0.3">
      <c r="A590" s="4" t="s">
        <v>1964</v>
      </c>
      <c r="B590" s="3" t="s">
        <v>31</v>
      </c>
      <c r="C590" s="2">
        <v>138465</v>
      </c>
      <c r="D590" s="2">
        <v>5067</v>
      </c>
      <c r="E590" s="2">
        <v>253</v>
      </c>
      <c r="F590" s="2">
        <v>362</v>
      </c>
      <c r="G590" s="2">
        <v>407</v>
      </c>
      <c r="H590" s="2">
        <v>366</v>
      </c>
      <c r="I590" s="2">
        <v>657</v>
      </c>
      <c r="J590" s="2">
        <v>208</v>
      </c>
      <c r="K590" s="2">
        <v>42</v>
      </c>
      <c r="L590" s="2">
        <v>0</v>
      </c>
      <c r="M590" s="2">
        <v>649</v>
      </c>
      <c r="N590" s="2">
        <v>424</v>
      </c>
      <c r="O590" s="2">
        <v>529</v>
      </c>
      <c r="P590" s="2">
        <v>303</v>
      </c>
      <c r="Q590" s="2">
        <v>276</v>
      </c>
      <c r="R590" s="274">
        <v>43720</v>
      </c>
      <c r="S590" s="253">
        <v>12</v>
      </c>
      <c r="T590" s="254">
        <f>SUM( tabConsumo[[#This Row],[QTD.PENDENTE]]:tabConsumo[[#This Row],[07_23]] ) / tabConsumo[[#This Row],[Div]]</f>
        <v>373</v>
      </c>
      <c r="U590" s="255">
        <f xml:space="preserve"> tabConsumo[[#This Row],[Média.A]] + (_xlfn.STDEV.S( tabConsumo[[#This Row],[QTD.PENDENTE]]:tabConsumo[[#This Row],[07_23]] ) * 1)</f>
        <v>572.79505525053446</v>
      </c>
      <c r="V590" s="255">
        <f xml:space="preserve"> tabConsumo[[#This Row],[Média.A]] + (_xlfn.STDEV.S( tabConsumo[[#This Row],[QTD.PENDENTE]]:tabConsumo[[#This Row],[07_23]] ) * 2)</f>
        <v>772.59011050106892</v>
      </c>
      <c r="W590" s="255">
        <f xml:space="preserve"> tabConsumo[[#This Row],[Média.A]] + (_xlfn.STDEV.S( tabConsumo[[#This Row],[QTD.PENDENTE]]:tabConsumo[[#This Row],[07_23]] ) * 3)</f>
        <v>972.38516575160327</v>
      </c>
      <c r="X590" s="5">
        <f t="shared" si="21"/>
        <v>2</v>
      </c>
      <c r="Y590">
        <v>373</v>
      </c>
      <c r="Z590" s="257">
        <f>SUM( tabConsumo[[#This Row],[QTD.PENDENTE]]:tabConsumo[[#This Row],[07_23]] )</f>
        <v>4476</v>
      </c>
      <c r="AA590" s="257">
        <f>LARGE(tabConsumo[[#This Row],[08_22]:[07_23]],1)</f>
        <v>657</v>
      </c>
      <c r="AB590" s="175" t="s">
        <v>2211</v>
      </c>
      <c r="AC590" s="3" t="s">
        <v>2064</v>
      </c>
    </row>
    <row r="591" spans="1:29" x14ac:dyDescent="0.3">
      <c r="A591" s="4" t="s">
        <v>1978</v>
      </c>
      <c r="B591" s="3" t="s">
        <v>31</v>
      </c>
      <c r="C591" s="2">
        <v>139767</v>
      </c>
      <c r="D591" s="2">
        <v>2325</v>
      </c>
      <c r="E591" s="2">
        <v>8</v>
      </c>
      <c r="F591" s="2">
        <v>298</v>
      </c>
      <c r="G591" s="2">
        <v>149</v>
      </c>
      <c r="H591" s="2">
        <v>223</v>
      </c>
      <c r="I591" s="2">
        <v>192</v>
      </c>
      <c r="J591" s="2">
        <v>145</v>
      </c>
      <c r="K591" s="2">
        <v>217</v>
      </c>
      <c r="L591" s="2">
        <v>154</v>
      </c>
      <c r="M591" s="2">
        <v>295</v>
      </c>
      <c r="N591" s="2">
        <v>161</v>
      </c>
      <c r="O591" s="2">
        <v>242</v>
      </c>
      <c r="P591" s="2">
        <v>200</v>
      </c>
      <c r="Q591" s="2">
        <v>134</v>
      </c>
      <c r="R591" s="274">
        <v>44020</v>
      </c>
      <c r="S591" s="253">
        <v>12</v>
      </c>
      <c r="T591" s="254">
        <f>SUM( tabConsumo[[#This Row],[QTD.PENDENTE]]:tabConsumo[[#This Row],[07_23]] ) / tabConsumo[[#This Row],[Div]]</f>
        <v>201.5</v>
      </c>
      <c r="U591" s="255">
        <f xml:space="preserve"> tabConsumo[[#This Row],[Média.A]] + (_xlfn.STDEV.S( tabConsumo[[#This Row],[QTD.PENDENTE]]:tabConsumo[[#This Row],[07_23]] ) * 1)</f>
        <v>277.44405835876825</v>
      </c>
      <c r="V591" s="255">
        <f xml:space="preserve"> tabConsumo[[#This Row],[Média.A]] + (_xlfn.STDEV.S( tabConsumo[[#This Row],[QTD.PENDENTE]]:tabConsumo[[#This Row],[07_23]] ) * 2)</f>
        <v>353.38811671753649</v>
      </c>
      <c r="W591" s="255">
        <f xml:space="preserve"> tabConsumo[[#This Row],[Média.A]] + (_xlfn.STDEV.S( tabConsumo[[#This Row],[QTD.PENDENTE]]:tabConsumo[[#This Row],[07_23]] ) * 3)</f>
        <v>429.33217507630479</v>
      </c>
      <c r="X591" s="5">
        <f t="shared" si="21"/>
        <v>2</v>
      </c>
      <c r="Y591">
        <v>201.5</v>
      </c>
      <c r="Z591" s="257">
        <f>SUM( tabConsumo[[#This Row],[QTD.PENDENTE]]:tabConsumo[[#This Row],[07_23]] )</f>
        <v>2418</v>
      </c>
      <c r="AA591" s="257">
        <f>LARGE(tabConsumo[[#This Row],[08_22]:[07_23]],1)</f>
        <v>298</v>
      </c>
      <c r="AB591" s="175" t="s">
        <v>2211</v>
      </c>
      <c r="AC591" s="3" t="s">
        <v>2064</v>
      </c>
    </row>
    <row r="592" spans="1:29" x14ac:dyDescent="0.3">
      <c r="A592" s="4" t="s">
        <v>1872</v>
      </c>
      <c r="B592" s="3" t="s">
        <v>629</v>
      </c>
      <c r="C592" s="2">
        <v>134545</v>
      </c>
      <c r="D592" s="2">
        <v>894.81</v>
      </c>
      <c r="F592" s="2">
        <v>0</v>
      </c>
      <c r="G592" s="2">
        <v>0</v>
      </c>
      <c r="H592" s="2">
        <v>0</v>
      </c>
      <c r="I592" s="2">
        <v>22</v>
      </c>
      <c r="J592" s="2">
        <v>0</v>
      </c>
      <c r="K592" s="2">
        <v>0</v>
      </c>
      <c r="L592" s="2">
        <v>0</v>
      </c>
      <c r="M592" s="2">
        <v>0</v>
      </c>
      <c r="N592" s="2">
        <v>0</v>
      </c>
      <c r="O592" s="2">
        <v>0</v>
      </c>
      <c r="P592" s="2">
        <v>0</v>
      </c>
      <c r="Q592" s="2">
        <v>21</v>
      </c>
      <c r="R592" s="274">
        <v>43172</v>
      </c>
      <c r="S592" s="253">
        <v>12</v>
      </c>
      <c r="T592" s="254">
        <f>SUM( tabConsumo[[#This Row],[QTD.PENDENTE]]:tabConsumo[[#This Row],[07_23]] ) / tabConsumo[[#This Row],[Div]]</f>
        <v>3.5833333333333335</v>
      </c>
      <c r="U592" s="255">
        <f xml:space="preserve"> tabConsumo[[#This Row],[Média.A]] + (_xlfn.STDEV.S( tabConsumo[[#This Row],[QTD.PENDENTE]]:tabConsumo[[#This Row],[07_23]] ) * 1)</f>
        <v>11.954912236582906</v>
      </c>
      <c r="V592" s="255">
        <f xml:space="preserve"> tabConsumo[[#This Row],[Média.A]] + (_xlfn.STDEV.S( tabConsumo[[#This Row],[QTD.PENDENTE]]:tabConsumo[[#This Row],[07_23]] ) * 2)</f>
        <v>20.326491139832477</v>
      </c>
      <c r="W592" s="255">
        <f xml:space="preserve"> tabConsumo[[#This Row],[Média.A]] + (_xlfn.STDEV.S( tabConsumo[[#This Row],[QTD.PENDENTE]]:tabConsumo[[#This Row],[07_23]] ) * 3)</f>
        <v>28.698070043082051</v>
      </c>
      <c r="X592" s="5">
        <f t="shared" si="21"/>
        <v>2</v>
      </c>
      <c r="Y592">
        <v>3.3333333333333335</v>
      </c>
      <c r="Z592" s="257">
        <f>SUM( tabConsumo[[#This Row],[QTD.PENDENTE]]:tabConsumo[[#This Row],[07_23]] )</f>
        <v>43</v>
      </c>
      <c r="AA592" s="257">
        <f>LARGE(tabConsumo[[#This Row],[08_22]:[07_23]],1)</f>
        <v>22</v>
      </c>
      <c r="AB592" s="175" t="s">
        <v>2211</v>
      </c>
      <c r="AC592" s="3" t="s">
        <v>2064</v>
      </c>
    </row>
    <row r="593" spans="1:29" x14ac:dyDescent="0.3">
      <c r="A593" s="4" t="s">
        <v>1873</v>
      </c>
      <c r="B593" s="3" t="s">
        <v>629</v>
      </c>
      <c r="C593" s="2">
        <v>134546</v>
      </c>
      <c r="D593" s="2">
        <v>977.5</v>
      </c>
      <c r="F593" s="2">
        <v>50</v>
      </c>
      <c r="G593" s="2">
        <v>4</v>
      </c>
      <c r="H593" s="2">
        <v>2</v>
      </c>
      <c r="I593" s="2">
        <v>4</v>
      </c>
      <c r="J593" s="2">
        <v>211</v>
      </c>
      <c r="K593" s="2">
        <v>146</v>
      </c>
      <c r="L593" s="2">
        <v>12</v>
      </c>
      <c r="M593" s="2">
        <v>0</v>
      </c>
      <c r="N593" s="2">
        <v>0</v>
      </c>
      <c r="O593" s="2">
        <v>0</v>
      </c>
      <c r="P593" s="2">
        <v>0</v>
      </c>
      <c r="Q593" s="2">
        <v>12</v>
      </c>
      <c r="R593" s="274">
        <v>43172</v>
      </c>
      <c r="S593" s="253">
        <v>12</v>
      </c>
      <c r="T593" s="254">
        <f>SUM( tabConsumo[[#This Row],[QTD.PENDENTE]]:tabConsumo[[#This Row],[07_23]] ) / tabConsumo[[#This Row],[Div]]</f>
        <v>36.75</v>
      </c>
      <c r="U593" s="255">
        <f xml:space="preserve"> tabConsumo[[#This Row],[Média.A]] + (_xlfn.STDEV.S( tabConsumo[[#This Row],[QTD.PENDENTE]]:tabConsumo[[#This Row],[07_23]] ) * 1)</f>
        <v>105.80482012009142</v>
      </c>
      <c r="V593" s="255">
        <f xml:space="preserve"> tabConsumo[[#This Row],[Média.A]] + (_xlfn.STDEV.S( tabConsumo[[#This Row],[QTD.PENDENTE]]:tabConsumo[[#This Row],[07_23]] ) * 2)</f>
        <v>174.85964024018284</v>
      </c>
      <c r="W593" s="255">
        <f xml:space="preserve"> tabConsumo[[#This Row],[Média.A]] + (_xlfn.STDEV.S( tabConsumo[[#This Row],[QTD.PENDENTE]]:tabConsumo[[#This Row],[07_23]] ) * 3)</f>
        <v>243.91446036027426</v>
      </c>
      <c r="X593" s="5">
        <f t="shared" si="21"/>
        <v>2</v>
      </c>
      <c r="Y593">
        <v>33.666666666666664</v>
      </c>
      <c r="Z593" s="257">
        <f>SUM( tabConsumo[[#This Row],[QTD.PENDENTE]]:tabConsumo[[#This Row],[07_23]] )</f>
        <v>441</v>
      </c>
      <c r="AA593" s="257">
        <f>LARGE(tabConsumo[[#This Row],[08_22]:[07_23]],1)</f>
        <v>211</v>
      </c>
      <c r="AB593" s="175" t="s">
        <v>2211</v>
      </c>
      <c r="AC593" s="3" t="s">
        <v>2064</v>
      </c>
    </row>
    <row r="594" spans="1:29" x14ac:dyDescent="0.3">
      <c r="A594" s="4" t="s">
        <v>1874</v>
      </c>
      <c r="B594" s="3" t="s">
        <v>629</v>
      </c>
      <c r="C594" s="2">
        <v>134547</v>
      </c>
      <c r="D594" s="2">
        <v>1160.44</v>
      </c>
      <c r="F594" s="2">
        <v>20</v>
      </c>
      <c r="G594" s="2">
        <v>144</v>
      </c>
      <c r="H594" s="2">
        <v>73</v>
      </c>
      <c r="I594" s="2">
        <v>6</v>
      </c>
      <c r="J594" s="2">
        <v>124</v>
      </c>
      <c r="K594" s="2">
        <v>14</v>
      </c>
      <c r="L594" s="2">
        <v>20</v>
      </c>
      <c r="M594" s="2">
        <v>2</v>
      </c>
      <c r="N594" s="2">
        <v>1</v>
      </c>
      <c r="O594" s="2">
        <v>0</v>
      </c>
      <c r="P594" s="2">
        <v>13</v>
      </c>
      <c r="Q594" s="2">
        <v>52</v>
      </c>
      <c r="R594" s="274">
        <v>43172</v>
      </c>
      <c r="S594" s="253">
        <v>12</v>
      </c>
      <c r="T594" s="254">
        <f>SUM( tabConsumo[[#This Row],[QTD.PENDENTE]]:tabConsumo[[#This Row],[07_23]] ) / tabConsumo[[#This Row],[Div]]</f>
        <v>39.083333333333336</v>
      </c>
      <c r="U594" s="255">
        <f xml:space="preserve"> tabConsumo[[#This Row],[Média.A]] + (_xlfn.STDEV.S( tabConsumo[[#This Row],[QTD.PENDENTE]]:tabConsumo[[#This Row],[07_23]] ) * 1)</f>
        <v>88.645889458869988</v>
      </c>
      <c r="V594" s="255">
        <f xml:space="preserve"> tabConsumo[[#This Row],[Média.A]] + (_xlfn.STDEV.S( tabConsumo[[#This Row],[QTD.PENDENTE]]:tabConsumo[[#This Row],[07_23]] ) * 2)</f>
        <v>138.20844558440663</v>
      </c>
      <c r="W594" s="255">
        <f xml:space="preserve"> tabConsumo[[#This Row],[Média.A]] + (_xlfn.STDEV.S( tabConsumo[[#This Row],[QTD.PENDENTE]]:tabConsumo[[#This Row],[07_23]] ) * 3)</f>
        <v>187.77100170994328</v>
      </c>
      <c r="X594" s="5">
        <f t="shared" si="21"/>
        <v>2</v>
      </c>
      <c r="Y594">
        <v>38.583333333333336</v>
      </c>
      <c r="Z594" s="257">
        <f>SUM( tabConsumo[[#This Row],[QTD.PENDENTE]]:tabConsumo[[#This Row],[07_23]] )</f>
        <v>469</v>
      </c>
      <c r="AA594" s="257">
        <f>LARGE(tabConsumo[[#This Row],[08_22]:[07_23]],1)</f>
        <v>144</v>
      </c>
      <c r="AB594" s="175" t="s">
        <v>2211</v>
      </c>
      <c r="AC594" s="3" t="s">
        <v>2064</v>
      </c>
    </row>
    <row r="595" spans="1:29" x14ac:dyDescent="0.3">
      <c r="A595" s="4" t="s">
        <v>1875</v>
      </c>
      <c r="B595" s="3" t="s">
        <v>629</v>
      </c>
      <c r="C595" s="2">
        <v>134548</v>
      </c>
      <c r="D595" s="2">
        <v>2397.1799999999998</v>
      </c>
      <c r="F595" s="2">
        <v>26.5</v>
      </c>
      <c r="G595" s="2">
        <v>86</v>
      </c>
      <c r="H595" s="2">
        <v>97</v>
      </c>
      <c r="I595" s="2">
        <v>18</v>
      </c>
      <c r="J595" s="2">
        <v>290</v>
      </c>
      <c r="K595" s="2">
        <v>576</v>
      </c>
      <c r="L595" s="2">
        <v>3</v>
      </c>
      <c r="M595" s="2">
        <v>10</v>
      </c>
      <c r="N595" s="2">
        <v>1</v>
      </c>
      <c r="O595" s="2">
        <v>0</v>
      </c>
      <c r="P595" s="2">
        <v>5</v>
      </c>
      <c r="Q595" s="2">
        <v>22</v>
      </c>
      <c r="R595" s="274">
        <v>43172</v>
      </c>
      <c r="S595" s="253">
        <v>12</v>
      </c>
      <c r="T595" s="254">
        <f>SUM( tabConsumo[[#This Row],[QTD.PENDENTE]]:tabConsumo[[#This Row],[07_23]] ) / tabConsumo[[#This Row],[Div]]</f>
        <v>94.541666666666671</v>
      </c>
      <c r="U595" s="255">
        <f xml:space="preserve"> tabConsumo[[#This Row],[Média.A]] + (_xlfn.STDEV.S( tabConsumo[[#This Row],[QTD.PENDENTE]]:tabConsumo[[#This Row],[07_23]] ) * 1)</f>
        <v>266.97577243850446</v>
      </c>
      <c r="V595" s="255">
        <f xml:space="preserve"> tabConsumo[[#This Row],[Média.A]] + (_xlfn.STDEV.S( tabConsumo[[#This Row],[QTD.PENDENTE]]:tabConsumo[[#This Row],[07_23]] ) * 2)</f>
        <v>439.40987821034224</v>
      </c>
      <c r="W595" s="255">
        <f xml:space="preserve"> tabConsumo[[#This Row],[Média.A]] + (_xlfn.STDEV.S( tabConsumo[[#This Row],[QTD.PENDENTE]]:tabConsumo[[#This Row],[07_23]] ) * 3)</f>
        <v>611.84398398218002</v>
      </c>
      <c r="X595" s="5">
        <f t="shared" si="21"/>
        <v>2</v>
      </c>
      <c r="Y595">
        <v>83.125</v>
      </c>
      <c r="Z595" s="257">
        <f>SUM( tabConsumo[[#This Row],[QTD.PENDENTE]]:tabConsumo[[#This Row],[07_23]] )</f>
        <v>1134.5</v>
      </c>
      <c r="AA595" s="257">
        <f>LARGE(tabConsumo[[#This Row],[08_22]:[07_23]],1)</f>
        <v>576</v>
      </c>
      <c r="AB595" s="175" t="s">
        <v>2211</v>
      </c>
      <c r="AC595" s="3" t="s">
        <v>2064</v>
      </c>
    </row>
    <row r="596" spans="1:29" x14ac:dyDescent="0.3">
      <c r="A596" s="4" t="s">
        <v>1876</v>
      </c>
      <c r="B596" s="3" t="s">
        <v>629</v>
      </c>
      <c r="C596" s="2">
        <v>134549</v>
      </c>
      <c r="D596" s="2">
        <v>451.15</v>
      </c>
      <c r="F596" s="2">
        <v>14</v>
      </c>
      <c r="G596" s="2">
        <v>13</v>
      </c>
      <c r="H596" s="2">
        <v>3</v>
      </c>
      <c r="I596" s="2">
        <v>0</v>
      </c>
      <c r="J596" s="2">
        <v>0</v>
      </c>
      <c r="K596" s="2">
        <v>6</v>
      </c>
      <c r="L596" s="2">
        <v>0</v>
      </c>
      <c r="M596" s="2">
        <v>0</v>
      </c>
      <c r="N596" s="2">
        <v>0</v>
      </c>
      <c r="O596" s="2">
        <v>0</v>
      </c>
      <c r="P596" s="2">
        <v>3</v>
      </c>
      <c r="Q596" s="2">
        <v>20</v>
      </c>
      <c r="R596" s="274">
        <v>43172</v>
      </c>
      <c r="S596" s="253">
        <v>12</v>
      </c>
      <c r="T596" s="254">
        <f>SUM( tabConsumo[[#This Row],[QTD.PENDENTE]]:tabConsumo[[#This Row],[07_23]] ) / tabConsumo[[#This Row],[Div]]</f>
        <v>4.916666666666667</v>
      </c>
      <c r="U596" s="255">
        <f xml:space="preserve"> tabConsumo[[#This Row],[Média.A]] + (_xlfn.STDEV.S( tabConsumo[[#This Row],[QTD.PENDENTE]]:tabConsumo[[#This Row],[07_23]] ) * 1)</f>
        <v>11.85088135423824</v>
      </c>
      <c r="V596" s="255">
        <f xml:space="preserve"> tabConsumo[[#This Row],[Média.A]] + (_xlfn.STDEV.S( tabConsumo[[#This Row],[QTD.PENDENTE]]:tabConsumo[[#This Row],[07_23]] ) * 2)</f>
        <v>18.785096041809815</v>
      </c>
      <c r="W596" s="255">
        <f xml:space="preserve"> tabConsumo[[#This Row],[Média.A]] + (_xlfn.STDEV.S( tabConsumo[[#This Row],[QTD.PENDENTE]]:tabConsumo[[#This Row],[07_23]] ) * 3)</f>
        <v>25.719310729381387</v>
      </c>
      <c r="X596" s="5">
        <f t="shared" si="21"/>
        <v>2</v>
      </c>
      <c r="Y596">
        <v>4.75</v>
      </c>
      <c r="Z596" s="257">
        <f>SUM( tabConsumo[[#This Row],[QTD.PENDENTE]]:tabConsumo[[#This Row],[07_23]] )</f>
        <v>59</v>
      </c>
      <c r="AA596" s="257">
        <f>LARGE(tabConsumo[[#This Row],[08_22]:[07_23]],1)</f>
        <v>20</v>
      </c>
      <c r="AB596" s="175" t="s">
        <v>2211</v>
      </c>
      <c r="AC596" s="3" t="s">
        <v>2064</v>
      </c>
    </row>
    <row r="597" spans="1:29" x14ac:dyDescent="0.3">
      <c r="A597" s="4" t="s">
        <v>632</v>
      </c>
      <c r="B597" s="3" t="s">
        <v>629</v>
      </c>
      <c r="C597" s="2">
        <v>87157</v>
      </c>
      <c r="D597" s="2">
        <v>329.48</v>
      </c>
      <c r="F597" s="2">
        <v>0</v>
      </c>
      <c r="G597" s="2">
        <v>0</v>
      </c>
      <c r="H597" s="2">
        <v>0</v>
      </c>
      <c r="I597" s="2">
        <v>0</v>
      </c>
      <c r="J597" s="2">
        <v>0</v>
      </c>
      <c r="K597" s="2">
        <v>6</v>
      </c>
      <c r="L597" s="2">
        <v>8</v>
      </c>
      <c r="M597" s="2">
        <v>0</v>
      </c>
      <c r="N597" s="2">
        <v>0</v>
      </c>
      <c r="O597" s="2">
        <v>0</v>
      </c>
      <c r="P597" s="2">
        <v>0</v>
      </c>
      <c r="Q597" s="2">
        <v>12</v>
      </c>
      <c r="R597" s="274">
        <v>38580</v>
      </c>
      <c r="S597" s="253">
        <v>12</v>
      </c>
      <c r="T597" s="254">
        <f>SUM( tabConsumo[[#This Row],[QTD.PENDENTE]]:tabConsumo[[#This Row],[07_23]] ) / tabConsumo[[#This Row],[Div]]</f>
        <v>2.1666666666666665</v>
      </c>
      <c r="U597" s="255">
        <f xml:space="preserve"> tabConsumo[[#This Row],[Média.A]] + (_xlfn.STDEV.S( tabConsumo[[#This Row],[QTD.PENDENTE]]:tabConsumo[[#This Row],[07_23]] ) * 1)</f>
        <v>6.2971153179158339</v>
      </c>
      <c r="V597" s="255">
        <f xml:space="preserve"> tabConsumo[[#This Row],[Média.A]] + (_xlfn.STDEV.S( tabConsumo[[#This Row],[QTD.PENDENTE]]:tabConsumo[[#This Row],[07_23]] ) * 2)</f>
        <v>10.427563969165</v>
      </c>
      <c r="W597" s="255">
        <f xml:space="preserve"> tabConsumo[[#This Row],[Média.A]] + (_xlfn.STDEV.S( tabConsumo[[#This Row],[QTD.PENDENTE]]:tabConsumo[[#This Row],[07_23]] ) * 3)</f>
        <v>14.558012620414166</v>
      </c>
      <c r="X597" s="5">
        <f t="shared" si="21"/>
        <v>2</v>
      </c>
      <c r="Y597">
        <v>2</v>
      </c>
      <c r="Z597" s="257">
        <f>SUM( tabConsumo[[#This Row],[QTD.PENDENTE]]:tabConsumo[[#This Row],[07_23]] )</f>
        <v>26</v>
      </c>
      <c r="AA597" s="257">
        <f>LARGE(tabConsumo[[#This Row],[08_22]:[07_23]],1)</f>
        <v>12</v>
      </c>
      <c r="AB597" s="175" t="s">
        <v>2211</v>
      </c>
      <c r="AC597" s="3" t="s">
        <v>2064</v>
      </c>
    </row>
    <row r="598" spans="1:29" x14ac:dyDescent="0.3">
      <c r="A598" s="4" t="s">
        <v>1769</v>
      </c>
      <c r="B598" s="3" t="s">
        <v>31</v>
      </c>
      <c r="C598" s="2">
        <v>126837</v>
      </c>
      <c r="D598" s="2">
        <v>3519</v>
      </c>
      <c r="F598" s="2">
        <v>300</v>
      </c>
      <c r="G598" s="2">
        <v>200</v>
      </c>
      <c r="H598" s="2">
        <v>12</v>
      </c>
      <c r="I598" s="2">
        <v>0</v>
      </c>
      <c r="J598" s="2">
        <v>0</v>
      </c>
      <c r="K598" s="2">
        <v>200</v>
      </c>
      <c r="L598" s="2">
        <v>0</v>
      </c>
      <c r="M598" s="2">
        <v>50</v>
      </c>
      <c r="N598" s="2">
        <v>400</v>
      </c>
      <c r="O598" s="2">
        <v>0</v>
      </c>
      <c r="P598" s="2">
        <v>0</v>
      </c>
      <c r="Q598" s="2">
        <v>0</v>
      </c>
      <c r="R598" s="274">
        <v>41596</v>
      </c>
      <c r="S598" s="253">
        <v>12</v>
      </c>
      <c r="T598" s="254">
        <f>SUM( tabConsumo[[#This Row],[QTD.PENDENTE]]:tabConsumo[[#This Row],[07_23]] ) / tabConsumo[[#This Row],[Div]]</f>
        <v>96.833333333333329</v>
      </c>
      <c r="U598" s="255">
        <f xml:space="preserve"> tabConsumo[[#This Row],[Média.A]] + (_xlfn.STDEV.S( tabConsumo[[#This Row],[QTD.PENDENTE]]:tabConsumo[[#This Row],[07_23]] ) * 1)</f>
        <v>238.29443195851167</v>
      </c>
      <c r="V598" s="255">
        <f xml:space="preserve"> tabConsumo[[#This Row],[Média.A]] + (_xlfn.STDEV.S( tabConsumo[[#This Row],[QTD.PENDENTE]]:tabConsumo[[#This Row],[07_23]] ) * 2)</f>
        <v>379.75553058368996</v>
      </c>
      <c r="W598" s="255">
        <f xml:space="preserve"> tabConsumo[[#This Row],[Média.A]] + (_xlfn.STDEV.S( tabConsumo[[#This Row],[QTD.PENDENTE]]:tabConsumo[[#This Row],[07_23]] ) * 3)</f>
        <v>521.21662920886831</v>
      </c>
      <c r="X598" s="5">
        <f t="shared" si="21"/>
        <v>2</v>
      </c>
      <c r="Y598">
        <v>95.083333333333329</v>
      </c>
      <c r="Z598" s="257">
        <f>SUM( tabConsumo[[#This Row],[QTD.PENDENTE]]:tabConsumo[[#This Row],[07_23]] )</f>
        <v>1162</v>
      </c>
      <c r="AA598" s="257">
        <f>LARGE(tabConsumo[[#This Row],[08_22]:[07_23]],1)</f>
        <v>400</v>
      </c>
      <c r="AB598" s="175" t="s">
        <v>2213</v>
      </c>
      <c r="AC598" s="3" t="s">
        <v>2064</v>
      </c>
    </row>
    <row r="599" spans="1:29" x14ac:dyDescent="0.3">
      <c r="A599" s="4" t="s">
        <v>1866</v>
      </c>
      <c r="B599" s="3" t="s">
        <v>1860</v>
      </c>
      <c r="C599" s="2">
        <v>134247</v>
      </c>
      <c r="D599" s="2">
        <v>117.39</v>
      </c>
      <c r="E599" s="2">
        <v>36.04</v>
      </c>
      <c r="F599" s="2">
        <v>13</v>
      </c>
      <c r="G599" s="2">
        <v>0</v>
      </c>
      <c r="H599" s="2">
        <v>28.96</v>
      </c>
      <c r="I599" s="2">
        <v>18</v>
      </c>
      <c r="J599" s="2">
        <v>26</v>
      </c>
      <c r="K599" s="2">
        <v>9</v>
      </c>
      <c r="L599" s="2">
        <v>48.8</v>
      </c>
      <c r="M599" s="2">
        <v>52.78</v>
      </c>
      <c r="N599" s="2">
        <v>47.42</v>
      </c>
      <c r="O599" s="2">
        <v>91</v>
      </c>
      <c r="P599" s="2">
        <v>42</v>
      </c>
      <c r="Q599" s="2">
        <v>21</v>
      </c>
      <c r="R599" s="274">
        <v>43138</v>
      </c>
      <c r="S599" s="253">
        <v>12</v>
      </c>
      <c r="T599" s="254">
        <f>SUM( tabConsumo[[#This Row],[QTD.PENDENTE]]:tabConsumo[[#This Row],[07_23]] ) / tabConsumo[[#This Row],[Div]]</f>
        <v>36.166666666666664</v>
      </c>
      <c r="U599" s="255">
        <f xml:space="preserve"> tabConsumo[[#This Row],[Média.A]] + (_xlfn.STDEV.S( tabConsumo[[#This Row],[QTD.PENDENTE]]:tabConsumo[[#This Row],[07_23]] ) * 1)</f>
        <v>59.972241859390117</v>
      </c>
      <c r="V599" s="255">
        <f xml:space="preserve"> tabConsumo[[#This Row],[Média.A]] + (_xlfn.STDEV.S( tabConsumo[[#This Row],[QTD.PENDENTE]]:tabConsumo[[#This Row],[07_23]] ) * 2)</f>
        <v>83.777817052113562</v>
      </c>
      <c r="W599" s="255">
        <f xml:space="preserve"> tabConsumo[[#This Row],[Média.A]] + (_xlfn.STDEV.S( tabConsumo[[#This Row],[QTD.PENDENTE]]:tabConsumo[[#This Row],[07_23]] ) * 3)</f>
        <v>107.58339224483703</v>
      </c>
      <c r="X599" s="5">
        <f t="shared" si="21"/>
        <v>2</v>
      </c>
      <c r="Y599">
        <v>35.5</v>
      </c>
      <c r="Z599" s="257">
        <f>SUM( tabConsumo[[#This Row],[QTD.PENDENTE]]:tabConsumo[[#This Row],[07_23]] )</f>
        <v>434</v>
      </c>
      <c r="AA599" s="257">
        <f>LARGE(tabConsumo[[#This Row],[08_22]:[07_23]],1)</f>
        <v>91</v>
      </c>
      <c r="AB599" s="175" t="s">
        <v>2211</v>
      </c>
      <c r="AC599" s="3" t="s">
        <v>2064</v>
      </c>
    </row>
    <row r="600" spans="1:29" x14ac:dyDescent="0.3">
      <c r="A600" s="4" t="s">
        <v>1715</v>
      </c>
      <c r="B600" s="3" t="s">
        <v>294</v>
      </c>
      <c r="C600" s="2">
        <v>116754</v>
      </c>
      <c r="D600" s="2">
        <v>365</v>
      </c>
      <c r="F600" s="2">
        <v>0</v>
      </c>
      <c r="G600" s="2">
        <v>0</v>
      </c>
      <c r="H600" s="2">
        <v>0</v>
      </c>
      <c r="I600" s="2">
        <v>0</v>
      </c>
      <c r="J600" s="2">
        <v>81</v>
      </c>
      <c r="K600" s="2">
        <v>0</v>
      </c>
      <c r="L600" s="2">
        <v>0</v>
      </c>
      <c r="M600" s="2">
        <v>0</v>
      </c>
      <c r="N600" s="2">
        <v>0</v>
      </c>
      <c r="O600" s="2">
        <v>0</v>
      </c>
      <c r="P600" s="2">
        <v>0</v>
      </c>
      <c r="Q600" s="2">
        <v>0</v>
      </c>
      <c r="R600" s="274">
        <v>40395</v>
      </c>
      <c r="S600" s="253">
        <v>12</v>
      </c>
      <c r="T600" s="254">
        <f>SUM( tabConsumo[[#This Row],[QTD.PENDENTE]]:tabConsumo[[#This Row],[07_23]] ) / tabConsumo[[#This Row],[Div]]</f>
        <v>6.75</v>
      </c>
      <c r="U600" s="255">
        <f xml:space="preserve"> tabConsumo[[#This Row],[Média.A]] + (_xlfn.STDEV.S( tabConsumo[[#This Row],[QTD.PENDENTE]]:tabConsumo[[#This Row],[07_23]] ) * 1)</f>
        <v>30.132685902179844</v>
      </c>
      <c r="V600" s="255">
        <f xml:space="preserve"> tabConsumo[[#This Row],[Média.A]] + (_xlfn.STDEV.S( tabConsumo[[#This Row],[QTD.PENDENTE]]:tabConsumo[[#This Row],[07_23]] ) * 2)</f>
        <v>53.515371804359688</v>
      </c>
      <c r="W600" s="255">
        <f xml:space="preserve"> tabConsumo[[#This Row],[Média.A]] + (_xlfn.STDEV.S( tabConsumo[[#This Row],[QTD.PENDENTE]]:tabConsumo[[#This Row],[07_23]] ) * 3)</f>
        <v>76.898057706539532</v>
      </c>
      <c r="X600" s="5">
        <f t="shared" si="21"/>
        <v>2</v>
      </c>
      <c r="Y600">
        <v>4.416666666666667</v>
      </c>
      <c r="Z600" s="257">
        <f>SUM( tabConsumo[[#This Row],[QTD.PENDENTE]]:tabConsumo[[#This Row],[07_23]] )</f>
        <v>81</v>
      </c>
      <c r="AA600" s="257">
        <f>LARGE(tabConsumo[[#This Row],[08_22]:[07_23]],1)</f>
        <v>81</v>
      </c>
      <c r="AB600" s="175" t="s">
        <v>2222</v>
      </c>
      <c r="AC600" s="3" t="s">
        <v>2064</v>
      </c>
    </row>
    <row r="601" spans="1:29" x14ac:dyDescent="0.3">
      <c r="A601" s="4" t="s">
        <v>1555</v>
      </c>
      <c r="B601" s="3" t="s">
        <v>294</v>
      </c>
      <c r="C601" s="2">
        <v>98703</v>
      </c>
      <c r="D601" s="2">
        <v>534</v>
      </c>
      <c r="F601" s="2">
        <v>92</v>
      </c>
      <c r="G601" s="2">
        <v>93</v>
      </c>
      <c r="H601" s="2">
        <v>16</v>
      </c>
      <c r="I601" s="2">
        <v>41</v>
      </c>
      <c r="J601" s="2">
        <v>46</v>
      </c>
      <c r="K601" s="2">
        <v>71</v>
      </c>
      <c r="L601" s="2">
        <v>5</v>
      </c>
      <c r="M601" s="2">
        <v>82</v>
      </c>
      <c r="N601" s="2">
        <v>65</v>
      </c>
      <c r="O601" s="2">
        <v>267</v>
      </c>
      <c r="P601" s="2">
        <v>0</v>
      </c>
      <c r="Q601" s="2">
        <v>81</v>
      </c>
      <c r="R601" s="274">
        <v>39183</v>
      </c>
      <c r="S601" s="253">
        <v>12</v>
      </c>
      <c r="T601" s="254">
        <f>SUM( tabConsumo[[#This Row],[QTD.PENDENTE]]:tabConsumo[[#This Row],[07_23]] ) / tabConsumo[[#This Row],[Div]]</f>
        <v>71.583333333333329</v>
      </c>
      <c r="U601" s="255">
        <f xml:space="preserve"> tabConsumo[[#This Row],[Média.A]] + (_xlfn.STDEV.S( tabConsumo[[#This Row],[QTD.PENDENTE]]:tabConsumo[[#This Row],[07_23]] ) * 1)</f>
        <v>141.34977269070674</v>
      </c>
      <c r="V601" s="255">
        <f xml:space="preserve"> tabConsumo[[#This Row],[Média.A]] + (_xlfn.STDEV.S( tabConsumo[[#This Row],[QTD.PENDENTE]]:tabConsumo[[#This Row],[07_23]] ) * 2)</f>
        <v>211.11621204808011</v>
      </c>
      <c r="W601" s="255">
        <f xml:space="preserve"> tabConsumo[[#This Row],[Média.A]] + (_xlfn.STDEV.S( tabConsumo[[#This Row],[QTD.PENDENTE]]:tabConsumo[[#This Row],[07_23]] ) * 3)</f>
        <v>280.88265140545354</v>
      </c>
      <c r="X601" s="5">
        <f t="shared" si="21"/>
        <v>2</v>
      </c>
      <c r="Y601">
        <v>66.916666666666671</v>
      </c>
      <c r="Z601" s="257">
        <f>SUM( tabConsumo[[#This Row],[QTD.PENDENTE]]:tabConsumo[[#This Row],[07_23]] )</f>
        <v>859</v>
      </c>
      <c r="AA601" s="257">
        <f>LARGE(tabConsumo[[#This Row],[08_22]:[07_23]],1)</f>
        <v>267</v>
      </c>
      <c r="AB601" s="175" t="s">
        <v>2211</v>
      </c>
      <c r="AC601" s="3" t="s">
        <v>2064</v>
      </c>
    </row>
    <row r="602" spans="1:29" x14ac:dyDescent="0.3">
      <c r="A602" s="4" t="s">
        <v>1747</v>
      </c>
      <c r="B602" s="3" t="s">
        <v>294</v>
      </c>
      <c r="C602" s="2">
        <v>123133</v>
      </c>
      <c r="D602" s="2">
        <v>382</v>
      </c>
      <c r="F602" s="2">
        <v>0</v>
      </c>
      <c r="G602" s="2">
        <v>0</v>
      </c>
      <c r="H602" s="2">
        <v>0</v>
      </c>
      <c r="I602" s="2">
        <v>0</v>
      </c>
      <c r="J602" s="2">
        <v>0</v>
      </c>
      <c r="K602" s="2">
        <v>8</v>
      </c>
      <c r="L602" s="2">
        <v>0</v>
      </c>
      <c r="M602" s="2">
        <v>0</v>
      </c>
      <c r="N602" s="2">
        <v>0</v>
      </c>
      <c r="O602" s="2">
        <v>0</v>
      </c>
      <c r="P602" s="2">
        <v>0</v>
      </c>
      <c r="Q602" s="2">
        <v>0</v>
      </c>
      <c r="R602" s="274">
        <v>41053</v>
      </c>
      <c r="S602" s="253">
        <v>12</v>
      </c>
      <c r="T602" s="254">
        <f>SUM( tabConsumo[[#This Row],[QTD.PENDENTE]]:tabConsumo[[#This Row],[07_23]] ) / tabConsumo[[#This Row],[Div]]</f>
        <v>0.66666666666666663</v>
      </c>
      <c r="U602" s="255">
        <f xml:space="preserve"> tabConsumo[[#This Row],[Média.A]] + (_xlfn.STDEV.S( tabConsumo[[#This Row],[QTD.PENDENTE]]:tabConsumo[[#This Row],[07_23]] ) * 1)</f>
        <v>2.9760677434251694</v>
      </c>
      <c r="V602" s="255">
        <f xml:space="preserve"> tabConsumo[[#This Row],[Média.A]] + (_xlfn.STDEV.S( tabConsumo[[#This Row],[QTD.PENDENTE]]:tabConsumo[[#This Row],[07_23]] ) * 2)</f>
        <v>5.2854688201836728</v>
      </c>
      <c r="W602" s="255">
        <f xml:space="preserve"> tabConsumo[[#This Row],[Média.A]] + (_xlfn.STDEV.S( tabConsumo[[#This Row],[QTD.PENDENTE]]:tabConsumo[[#This Row],[07_23]] ) * 3)</f>
        <v>7.5948698969421757</v>
      </c>
      <c r="X602" s="5">
        <f t="shared" si="21"/>
        <v>2</v>
      </c>
      <c r="Y602">
        <v>0.41666666666666669</v>
      </c>
      <c r="Z602" s="257">
        <f>SUM( tabConsumo[[#This Row],[QTD.PENDENTE]]:tabConsumo[[#This Row],[07_23]] )</f>
        <v>8</v>
      </c>
      <c r="AA602" s="257">
        <f>LARGE(tabConsumo[[#This Row],[08_22]:[07_23]],1)</f>
        <v>8</v>
      </c>
      <c r="AB602" s="175" t="s">
        <v>2220</v>
      </c>
      <c r="AC602" s="3" t="s">
        <v>2064</v>
      </c>
    </row>
    <row r="603" spans="1:29" x14ac:dyDescent="0.3">
      <c r="A603" s="4" t="s">
        <v>1714</v>
      </c>
      <c r="B603" s="3" t="s">
        <v>294</v>
      </c>
      <c r="C603" s="2">
        <v>116751</v>
      </c>
      <c r="D603" s="2">
        <v>906</v>
      </c>
      <c r="F603" s="2">
        <v>0</v>
      </c>
      <c r="G603" s="2">
        <v>0</v>
      </c>
      <c r="H603" s="2">
        <v>0</v>
      </c>
      <c r="I603" s="2">
        <v>0</v>
      </c>
      <c r="J603" s="2">
        <v>19</v>
      </c>
      <c r="K603" s="2">
        <v>0</v>
      </c>
      <c r="L603" s="2">
        <v>0</v>
      </c>
      <c r="M603" s="2">
        <v>0</v>
      </c>
      <c r="N603" s="2">
        <v>0</v>
      </c>
      <c r="O603" s="2">
        <v>0</v>
      </c>
      <c r="P603" s="2">
        <v>0</v>
      </c>
      <c r="Q603" s="2">
        <v>0</v>
      </c>
      <c r="R603" s="274">
        <v>40395</v>
      </c>
      <c r="S603" s="253">
        <v>12</v>
      </c>
      <c r="T603" s="254">
        <f>SUM( tabConsumo[[#This Row],[QTD.PENDENTE]]:tabConsumo[[#This Row],[07_23]] ) / tabConsumo[[#This Row],[Div]]</f>
        <v>1.5833333333333333</v>
      </c>
      <c r="U603" s="255">
        <f xml:space="preserve"> tabConsumo[[#This Row],[Média.A]] + (_xlfn.STDEV.S( tabConsumo[[#This Row],[QTD.PENDENTE]]:tabConsumo[[#This Row],[07_23]] ) * 1)</f>
        <v>7.0681608906347781</v>
      </c>
      <c r="V603" s="255">
        <f xml:space="preserve"> tabConsumo[[#This Row],[Média.A]] + (_xlfn.STDEV.S( tabConsumo[[#This Row],[QTD.PENDENTE]]:tabConsumo[[#This Row],[07_23]] ) * 2)</f>
        <v>12.552988447936224</v>
      </c>
      <c r="W603" s="255">
        <f xml:space="preserve"> tabConsumo[[#This Row],[Média.A]] + (_xlfn.STDEV.S( tabConsumo[[#This Row],[QTD.PENDENTE]]:tabConsumo[[#This Row],[07_23]] ) * 3)</f>
        <v>18.037816005237669</v>
      </c>
      <c r="X603" s="5">
        <f t="shared" si="21"/>
        <v>2</v>
      </c>
      <c r="Y603">
        <v>1</v>
      </c>
      <c r="Z603" s="257">
        <f>SUM( tabConsumo[[#This Row],[QTD.PENDENTE]]:tabConsumo[[#This Row],[07_23]] )</f>
        <v>19</v>
      </c>
      <c r="AA603" s="257">
        <f>LARGE(tabConsumo[[#This Row],[08_22]:[07_23]],1)</f>
        <v>19</v>
      </c>
      <c r="AB603" s="175" t="s">
        <v>2222</v>
      </c>
      <c r="AC603" s="3" t="s">
        <v>2064</v>
      </c>
    </row>
    <row r="604" spans="1:29" x14ac:dyDescent="0.3">
      <c r="A604" s="4" t="s">
        <v>1556</v>
      </c>
      <c r="B604" s="3" t="s">
        <v>294</v>
      </c>
      <c r="C604" s="2">
        <v>98704</v>
      </c>
      <c r="D604" s="2">
        <v>156</v>
      </c>
      <c r="F604" s="2">
        <v>17</v>
      </c>
      <c r="G604" s="2">
        <v>50</v>
      </c>
      <c r="H604" s="2">
        <v>17</v>
      </c>
      <c r="I604" s="2">
        <v>20</v>
      </c>
      <c r="J604" s="2">
        <v>4</v>
      </c>
      <c r="K604" s="2">
        <v>4</v>
      </c>
      <c r="L604" s="2">
        <v>1</v>
      </c>
      <c r="M604" s="2">
        <v>6</v>
      </c>
      <c r="N604" s="2">
        <v>6</v>
      </c>
      <c r="O604" s="2">
        <v>37</v>
      </c>
      <c r="P604" s="2">
        <v>0</v>
      </c>
      <c r="Q604" s="2">
        <v>63</v>
      </c>
      <c r="R604" s="274">
        <v>39183</v>
      </c>
      <c r="S604" s="253">
        <v>12</v>
      </c>
      <c r="T604" s="254">
        <f>SUM( tabConsumo[[#This Row],[QTD.PENDENTE]]:tabConsumo[[#This Row],[07_23]] ) / tabConsumo[[#This Row],[Div]]</f>
        <v>18.75</v>
      </c>
      <c r="U604" s="255">
        <f xml:space="preserve"> tabConsumo[[#This Row],[Média.A]] + (_xlfn.STDEV.S( tabConsumo[[#This Row],[QTD.PENDENTE]]:tabConsumo[[#This Row],[07_23]] ) * 1)</f>
        <v>39.425523517610692</v>
      </c>
      <c r="V604" s="255">
        <f xml:space="preserve"> tabConsumo[[#This Row],[Média.A]] + (_xlfn.STDEV.S( tabConsumo[[#This Row],[QTD.PENDENTE]]:tabConsumo[[#This Row],[07_23]] ) * 2)</f>
        <v>60.101047035221384</v>
      </c>
      <c r="W604" s="255">
        <f xml:space="preserve"> tabConsumo[[#This Row],[Média.A]] + (_xlfn.STDEV.S( tabConsumo[[#This Row],[QTD.PENDENTE]]:tabConsumo[[#This Row],[07_23]] ) * 3)</f>
        <v>80.776570552832084</v>
      </c>
      <c r="X604" s="5">
        <f t="shared" si="21"/>
        <v>2</v>
      </c>
      <c r="Y604">
        <v>18.5</v>
      </c>
      <c r="Z604" s="257">
        <f>SUM( tabConsumo[[#This Row],[QTD.PENDENTE]]:tabConsumo[[#This Row],[07_23]] )</f>
        <v>225</v>
      </c>
      <c r="AA604" s="257">
        <f>LARGE(tabConsumo[[#This Row],[08_22]:[07_23]],1)</f>
        <v>63</v>
      </c>
      <c r="AB604" s="175" t="s">
        <v>2211</v>
      </c>
      <c r="AC604" s="3" t="s">
        <v>2064</v>
      </c>
    </row>
    <row r="605" spans="1:29" x14ac:dyDescent="0.3">
      <c r="A605" s="4" t="s">
        <v>1414</v>
      </c>
      <c r="B605" s="3" t="s">
        <v>294</v>
      </c>
      <c r="C605" s="2">
        <v>76806</v>
      </c>
      <c r="D605" s="2">
        <v>178</v>
      </c>
      <c r="F605" s="2">
        <v>10</v>
      </c>
      <c r="G605" s="2">
        <v>2</v>
      </c>
      <c r="H605" s="2">
        <v>54</v>
      </c>
      <c r="I605" s="2">
        <v>30</v>
      </c>
      <c r="J605" s="2">
        <v>20</v>
      </c>
      <c r="K605" s="2">
        <v>46</v>
      </c>
      <c r="L605" s="2">
        <v>89</v>
      </c>
      <c r="M605" s="2">
        <v>1</v>
      </c>
      <c r="N605" s="2">
        <v>11</v>
      </c>
      <c r="O605" s="2">
        <v>0</v>
      </c>
      <c r="P605" s="2">
        <v>18</v>
      </c>
      <c r="Q605" s="2">
        <v>15</v>
      </c>
      <c r="R605" s="274">
        <v>38014</v>
      </c>
      <c r="S605" s="253">
        <v>12</v>
      </c>
      <c r="T605" s="254">
        <f>SUM( tabConsumo[[#This Row],[QTD.PENDENTE]]:tabConsumo[[#This Row],[07_23]] ) / tabConsumo[[#This Row],[Div]]</f>
        <v>24.666666666666668</v>
      </c>
      <c r="U605" s="255">
        <f xml:space="preserve"> tabConsumo[[#This Row],[Média.A]] + (_xlfn.STDEV.S( tabConsumo[[#This Row],[QTD.PENDENTE]]:tabConsumo[[#This Row],[07_23]] ) * 1)</f>
        <v>51.169954055672633</v>
      </c>
      <c r="V605" s="255">
        <f xml:space="preserve"> tabConsumo[[#This Row],[Média.A]] + (_xlfn.STDEV.S( tabConsumo[[#This Row],[QTD.PENDENTE]]:tabConsumo[[#This Row],[07_23]] ) * 2)</f>
        <v>77.673241444678595</v>
      </c>
      <c r="W605" s="255">
        <f xml:space="preserve"> tabConsumo[[#This Row],[Média.A]] + (_xlfn.STDEV.S( tabConsumo[[#This Row],[QTD.PENDENTE]]:tabConsumo[[#This Row],[07_23]] ) * 3)</f>
        <v>104.17652883368456</v>
      </c>
      <c r="X605" s="5">
        <f t="shared" si="21"/>
        <v>2</v>
      </c>
      <c r="Y605">
        <v>23.666666666666668</v>
      </c>
      <c r="Z605" s="257">
        <f>SUM( tabConsumo[[#This Row],[QTD.PENDENTE]]:tabConsumo[[#This Row],[07_23]] )</f>
        <v>296</v>
      </c>
      <c r="AA605" s="257">
        <f>LARGE(tabConsumo[[#This Row],[08_22]:[07_23]],1)</f>
        <v>89</v>
      </c>
      <c r="AB605" s="175" t="s">
        <v>2211</v>
      </c>
      <c r="AC605" s="3" t="s">
        <v>2064</v>
      </c>
    </row>
    <row r="606" spans="1:29" x14ac:dyDescent="0.3">
      <c r="A606" s="4" t="s">
        <v>928</v>
      </c>
      <c r="B606" s="3" t="s">
        <v>256</v>
      </c>
      <c r="C606" s="2">
        <v>11264</v>
      </c>
      <c r="D606" s="2">
        <v>242</v>
      </c>
      <c r="E606" s="2">
        <v>25</v>
      </c>
      <c r="F606" s="2">
        <v>39</v>
      </c>
      <c r="G606" s="2">
        <v>32</v>
      </c>
      <c r="H606" s="2">
        <v>32</v>
      </c>
      <c r="I606" s="2">
        <v>39</v>
      </c>
      <c r="J606" s="2">
        <v>23</v>
      </c>
      <c r="K606" s="2">
        <v>14</v>
      </c>
      <c r="L606" s="2">
        <v>14</v>
      </c>
      <c r="M606" s="2">
        <v>5</v>
      </c>
      <c r="N606" s="2">
        <v>32</v>
      </c>
      <c r="O606" s="2">
        <v>48</v>
      </c>
      <c r="P606" s="2">
        <v>42</v>
      </c>
      <c r="Q606" s="2">
        <v>34</v>
      </c>
      <c r="R606" s="274">
        <v>367</v>
      </c>
      <c r="S606" s="253">
        <f xml:space="preserve"> 12</f>
        <v>12</v>
      </c>
      <c r="T606" s="254">
        <f>SUM( tabConsumo[[#This Row],[QTD.PENDENTE]]:tabConsumo[[#This Row],[07_23]] ) / tabConsumo[[#This Row],[Div]]</f>
        <v>31.583333333333332</v>
      </c>
      <c r="U606" s="255">
        <f xml:space="preserve"> tabConsumo[[#This Row],[Média.A]] + (_xlfn.STDEV.S( tabConsumo[[#This Row],[QTD.PENDENTE]]:tabConsumo[[#This Row],[07_23]] ) * 1)</f>
        <v>44.032203120360549</v>
      </c>
      <c r="V606" s="255">
        <f xml:space="preserve"> tabConsumo[[#This Row],[Média.A]] + (_xlfn.STDEV.S( tabConsumo[[#This Row],[QTD.PENDENTE]]:tabConsumo[[#This Row],[07_23]] ) * 2)</f>
        <v>56.481072907387762</v>
      </c>
      <c r="W606" s="255">
        <f xml:space="preserve"> tabConsumo[[#This Row],[Média.A]] + (_xlfn.STDEV.S( tabConsumo[[#This Row],[QTD.PENDENTE]]:tabConsumo[[#This Row],[07_23]] ) * 3)</f>
        <v>68.929942694414976</v>
      </c>
      <c r="X606" s="5">
        <f t="shared" si="21"/>
        <v>2</v>
      </c>
      <c r="Y606">
        <v>31.583333333333332</v>
      </c>
      <c r="Z606" s="257">
        <f>SUM( tabConsumo[[#This Row],[QTD.PENDENTE]]:tabConsumo[[#This Row],[07_23]] )</f>
        <v>379</v>
      </c>
      <c r="AA606" s="257">
        <f>LARGE(tabConsumo[[#This Row],[08_22]:[07_23]],1)</f>
        <v>48</v>
      </c>
      <c r="AB606" s="175" t="s">
        <v>2211</v>
      </c>
      <c r="AC606" s="3" t="s">
        <v>2064</v>
      </c>
    </row>
    <row r="607" spans="1:29" x14ac:dyDescent="0.3">
      <c r="A607" s="4" t="s">
        <v>1435</v>
      </c>
      <c r="B607" s="3" t="s">
        <v>256</v>
      </c>
      <c r="C607" s="2">
        <v>78303</v>
      </c>
      <c r="D607" s="2">
        <v>0</v>
      </c>
      <c r="F607" s="2">
        <v>0</v>
      </c>
      <c r="G607" s="2">
        <v>0</v>
      </c>
      <c r="H607" s="2">
        <v>0</v>
      </c>
      <c r="I607" s="2">
        <v>0</v>
      </c>
      <c r="J607" s="2">
        <v>3</v>
      </c>
      <c r="K607" s="2">
        <v>1</v>
      </c>
      <c r="L607" s="2">
        <v>1</v>
      </c>
      <c r="M607" s="2">
        <v>0</v>
      </c>
      <c r="N607" s="2">
        <v>1</v>
      </c>
      <c r="O607" s="2">
        <v>0</v>
      </c>
      <c r="P607" s="2">
        <v>0</v>
      </c>
      <c r="Q607" s="2">
        <v>0</v>
      </c>
      <c r="R607" s="274">
        <v>38085</v>
      </c>
      <c r="S607" s="253">
        <v>12</v>
      </c>
      <c r="T607" s="254">
        <f>SUM( tabConsumo[[#This Row],[QTD.PENDENTE]]:tabConsumo[[#This Row],[07_23]] ) / tabConsumo[[#This Row],[Div]]</f>
        <v>0.5</v>
      </c>
      <c r="U607" s="255">
        <f xml:space="preserve"> tabConsumo[[#This Row],[Média.A]] + (_xlfn.STDEV.S( tabConsumo[[#This Row],[QTD.PENDENTE]]:tabConsumo[[#This Row],[07_23]] ) * 1)</f>
        <v>1.4045340337332908</v>
      </c>
      <c r="V607" s="255">
        <f xml:space="preserve"> tabConsumo[[#This Row],[Média.A]] + (_xlfn.STDEV.S( tabConsumo[[#This Row],[QTD.PENDENTE]]:tabConsumo[[#This Row],[07_23]] ) * 2)</f>
        <v>2.3090680674665816</v>
      </c>
      <c r="W607" s="255">
        <f xml:space="preserve"> tabConsumo[[#This Row],[Média.A]] + (_xlfn.STDEV.S( tabConsumo[[#This Row],[QTD.PENDENTE]]:tabConsumo[[#This Row],[07_23]] ) * 3)</f>
        <v>3.2136021011998728</v>
      </c>
      <c r="X607" s="5">
        <f t="shared" si="21"/>
        <v>2</v>
      </c>
      <c r="Y607">
        <v>0.41666666666666669</v>
      </c>
      <c r="Z607" s="257">
        <f>SUM( tabConsumo[[#This Row],[QTD.PENDENTE]]:tabConsumo[[#This Row],[07_23]] )</f>
        <v>6</v>
      </c>
      <c r="AA607" s="257">
        <f>LARGE(tabConsumo[[#This Row],[08_22]:[07_23]],1)</f>
        <v>3</v>
      </c>
      <c r="AB607" s="175" t="s">
        <v>2213</v>
      </c>
      <c r="AC607" s="3" t="s">
        <v>2064</v>
      </c>
    </row>
    <row r="608" spans="1:29" x14ac:dyDescent="0.3">
      <c r="A608" s="4" t="s">
        <v>1399</v>
      </c>
      <c r="B608" s="3" t="s">
        <v>256</v>
      </c>
      <c r="C608" s="2">
        <v>72184</v>
      </c>
      <c r="D608" s="2">
        <v>5149</v>
      </c>
      <c r="E608" s="2">
        <v>146</v>
      </c>
      <c r="F608" s="2">
        <v>0</v>
      </c>
      <c r="G608" s="2">
        <v>0</v>
      </c>
      <c r="H608" s="2">
        <v>0</v>
      </c>
      <c r="I608" s="2">
        <v>0</v>
      </c>
      <c r="J608" s="2">
        <v>0</v>
      </c>
      <c r="K608" s="2">
        <v>0</v>
      </c>
      <c r="L608" s="2">
        <v>100</v>
      </c>
      <c r="M608" s="2">
        <v>290</v>
      </c>
      <c r="N608" s="2">
        <v>196</v>
      </c>
      <c r="O608" s="2">
        <v>174</v>
      </c>
      <c r="P608" s="2">
        <v>57</v>
      </c>
      <c r="Q608" s="2">
        <v>36</v>
      </c>
      <c r="R608" s="274">
        <v>367</v>
      </c>
      <c r="S608" s="253">
        <f xml:space="preserve"> 12</f>
        <v>12</v>
      </c>
      <c r="T608" s="254">
        <f>SUM( tabConsumo[[#This Row],[QTD.PENDENTE]]:tabConsumo[[#This Row],[07_23]] ) / tabConsumo[[#This Row],[Div]]</f>
        <v>83.25</v>
      </c>
      <c r="U608" s="255">
        <f xml:space="preserve"> tabConsumo[[#This Row],[Média.A]] + (_xlfn.STDEV.S( tabConsumo[[#This Row],[QTD.PENDENTE]]:tabConsumo[[#This Row],[07_23]] ) * 1)</f>
        <v>179.80900282024987</v>
      </c>
      <c r="V608" s="255">
        <f xml:space="preserve"> tabConsumo[[#This Row],[Média.A]] + (_xlfn.STDEV.S( tabConsumo[[#This Row],[QTD.PENDENTE]]:tabConsumo[[#This Row],[07_23]] ) * 2)</f>
        <v>276.36800564049975</v>
      </c>
      <c r="W608" s="255">
        <f xml:space="preserve"> tabConsumo[[#This Row],[Média.A]] + (_xlfn.STDEV.S( tabConsumo[[#This Row],[QTD.PENDENTE]]:tabConsumo[[#This Row],[07_23]] ) * 3)</f>
        <v>372.92700846074968</v>
      </c>
      <c r="X608" s="5">
        <f t="shared" si="21"/>
        <v>2</v>
      </c>
      <c r="Y608">
        <v>82.083333333333329</v>
      </c>
      <c r="Z608" s="257">
        <f>SUM( tabConsumo[[#This Row],[QTD.PENDENTE]]:tabConsumo[[#This Row],[07_23]] )</f>
        <v>999</v>
      </c>
      <c r="AA608" s="257">
        <f>LARGE(tabConsumo[[#This Row],[08_22]:[07_23]],1)</f>
        <v>290</v>
      </c>
      <c r="AB608" s="175" t="s">
        <v>2211</v>
      </c>
      <c r="AC608" s="3" t="s">
        <v>2064</v>
      </c>
    </row>
    <row r="609" spans="1:29" x14ac:dyDescent="0.3">
      <c r="A609" s="4" t="s">
        <v>933</v>
      </c>
      <c r="B609" s="3" t="s">
        <v>256</v>
      </c>
      <c r="C609" s="2">
        <v>11590</v>
      </c>
      <c r="D609" s="2">
        <v>0</v>
      </c>
      <c r="E609" s="2">
        <v>228</v>
      </c>
      <c r="F609" s="2">
        <v>239</v>
      </c>
      <c r="G609" s="2">
        <v>226</v>
      </c>
      <c r="H609" s="2">
        <v>176</v>
      </c>
      <c r="I609" s="2">
        <v>228</v>
      </c>
      <c r="J609" s="2">
        <v>185</v>
      </c>
      <c r="K609" s="2">
        <v>119</v>
      </c>
      <c r="L609" s="2">
        <v>211</v>
      </c>
      <c r="M609" s="2">
        <v>2991</v>
      </c>
      <c r="N609" s="2">
        <v>49</v>
      </c>
      <c r="O609" s="2">
        <v>7</v>
      </c>
      <c r="P609" s="2">
        <v>51</v>
      </c>
      <c r="Q609" s="2">
        <v>0</v>
      </c>
      <c r="R609" s="274">
        <v>367</v>
      </c>
      <c r="S609" s="253">
        <f xml:space="preserve"> 12</f>
        <v>12</v>
      </c>
      <c r="T609" s="254">
        <f>SUM( tabConsumo[[#This Row],[QTD.PENDENTE]]:tabConsumo[[#This Row],[07_23]] ) / tabConsumo[[#This Row],[Div]]</f>
        <v>392.5</v>
      </c>
      <c r="U609" s="255">
        <f xml:space="preserve"> tabConsumo[[#This Row],[Média.A]] + (_xlfn.STDEV.S( tabConsumo[[#This Row],[QTD.PENDENTE]]:tabConsumo[[#This Row],[07_23]] ) * 1)</f>
        <v>1187.3118629184503</v>
      </c>
      <c r="V609" s="255">
        <f xml:space="preserve"> tabConsumo[[#This Row],[Média.A]] + (_xlfn.STDEV.S( tabConsumo[[#This Row],[QTD.PENDENTE]]:tabConsumo[[#This Row],[07_23]] ) * 2)</f>
        <v>1982.1237258369006</v>
      </c>
      <c r="W609" s="255">
        <f xml:space="preserve"> tabConsumo[[#This Row],[Média.A]] + (_xlfn.STDEV.S( tabConsumo[[#This Row],[QTD.PENDENTE]]:tabConsumo[[#This Row],[07_23]] ) * 3)</f>
        <v>2776.9355887553511</v>
      </c>
      <c r="X609" s="5">
        <f t="shared" si="21"/>
        <v>2</v>
      </c>
      <c r="Y609">
        <v>308.41666666666669</v>
      </c>
      <c r="Z609" s="257">
        <f>SUM( tabConsumo[[#This Row],[QTD.PENDENTE]]:tabConsumo[[#This Row],[07_23]] )</f>
        <v>4710</v>
      </c>
      <c r="AA609" s="257">
        <f>LARGE(tabConsumo[[#This Row],[08_22]:[07_23]],1)</f>
        <v>2991</v>
      </c>
      <c r="AB609" s="175" t="s">
        <v>2212</v>
      </c>
      <c r="AC609" s="3" t="s">
        <v>2064</v>
      </c>
    </row>
    <row r="610" spans="1:29" x14ac:dyDescent="0.3">
      <c r="A610" s="4" t="s">
        <v>1423</v>
      </c>
      <c r="B610" s="3" t="s">
        <v>256</v>
      </c>
      <c r="C610" s="2">
        <v>77755</v>
      </c>
      <c r="D610" s="2">
        <v>304</v>
      </c>
      <c r="E610" s="2">
        <v>3</v>
      </c>
      <c r="F610" s="2">
        <v>247</v>
      </c>
      <c r="G610" s="2">
        <v>240</v>
      </c>
      <c r="H610" s="2">
        <v>368</v>
      </c>
      <c r="I610" s="2">
        <v>224</v>
      </c>
      <c r="J610" s="2">
        <v>192</v>
      </c>
      <c r="K610" s="2">
        <v>112</v>
      </c>
      <c r="L610" s="2">
        <v>239</v>
      </c>
      <c r="M610" s="2">
        <v>3685</v>
      </c>
      <c r="N610" s="2">
        <v>216</v>
      </c>
      <c r="O610" s="2">
        <v>251</v>
      </c>
      <c r="P610" s="2">
        <v>299</v>
      </c>
      <c r="Q610" s="2">
        <v>220</v>
      </c>
      <c r="R610" s="274">
        <v>38063</v>
      </c>
      <c r="S610" s="253">
        <v>12</v>
      </c>
      <c r="T610" s="254">
        <f>SUM( tabConsumo[[#This Row],[QTD.PENDENTE]]:tabConsumo[[#This Row],[07_23]] ) / tabConsumo[[#This Row],[Div]]</f>
        <v>524.66666666666663</v>
      </c>
      <c r="U610" s="255">
        <f xml:space="preserve"> tabConsumo[[#This Row],[Média.A]] + (_xlfn.STDEV.S( tabConsumo[[#This Row],[QTD.PENDENTE]]:tabConsumo[[#This Row],[07_23]] ) * 1)</f>
        <v>1490.2506337228192</v>
      </c>
      <c r="V610" s="255">
        <f xml:space="preserve"> tabConsumo[[#This Row],[Média.A]] + (_xlfn.STDEV.S( tabConsumo[[#This Row],[QTD.PENDENTE]]:tabConsumo[[#This Row],[07_23]] ) * 2)</f>
        <v>2455.8346007789719</v>
      </c>
      <c r="W610" s="255">
        <f xml:space="preserve"> tabConsumo[[#This Row],[Média.A]] + (_xlfn.STDEV.S( tabConsumo[[#This Row],[QTD.PENDENTE]]:tabConsumo[[#This Row],[07_23]] ) * 3)</f>
        <v>3421.4185678351246</v>
      </c>
      <c r="X610" s="5">
        <f t="shared" si="21"/>
        <v>2</v>
      </c>
      <c r="Y610">
        <v>422.16666666666669</v>
      </c>
      <c r="Z610" s="257">
        <f>SUM( tabConsumo[[#This Row],[QTD.PENDENTE]]:tabConsumo[[#This Row],[07_23]] )</f>
        <v>6296</v>
      </c>
      <c r="AA610" s="257">
        <f>LARGE(tabConsumo[[#This Row],[08_22]:[07_23]],1)</f>
        <v>3685</v>
      </c>
      <c r="AB610" s="175" t="s">
        <v>2211</v>
      </c>
      <c r="AC610" s="3" t="s">
        <v>2064</v>
      </c>
    </row>
    <row r="611" spans="1:29" x14ac:dyDescent="0.3">
      <c r="A611" s="4" t="s">
        <v>1811</v>
      </c>
      <c r="B611" s="3" t="s">
        <v>31</v>
      </c>
      <c r="C611" s="2">
        <v>131937</v>
      </c>
      <c r="D611" s="2">
        <v>150</v>
      </c>
      <c r="E611" s="2">
        <v>3</v>
      </c>
      <c r="F611" s="2">
        <v>151</v>
      </c>
      <c r="G611" s="2">
        <v>153</v>
      </c>
      <c r="H611" s="2">
        <v>169</v>
      </c>
      <c r="I611" s="2">
        <v>134</v>
      </c>
      <c r="J611" s="2">
        <v>98</v>
      </c>
      <c r="K611" s="2">
        <v>76</v>
      </c>
      <c r="L611" s="2">
        <v>105</v>
      </c>
      <c r="M611" s="2">
        <v>3200</v>
      </c>
      <c r="N611" s="2">
        <v>143</v>
      </c>
      <c r="O611" s="2">
        <v>155</v>
      </c>
      <c r="P611" s="2">
        <v>158</v>
      </c>
      <c r="Q611" s="2">
        <v>122</v>
      </c>
      <c r="R611" s="274">
        <v>42590</v>
      </c>
      <c r="S611" s="253">
        <v>12</v>
      </c>
      <c r="T611" s="254">
        <f>SUM( tabConsumo[[#This Row],[QTD.PENDENTE]]:tabConsumo[[#This Row],[07_23]] ) / tabConsumo[[#This Row],[Div]]</f>
        <v>388.91666666666669</v>
      </c>
      <c r="U611" s="255">
        <f xml:space="preserve"> tabConsumo[[#This Row],[Média.A]] + (_xlfn.STDEV.S( tabConsumo[[#This Row],[QTD.PENDENTE]]:tabConsumo[[#This Row],[07_23]] ) * 1)</f>
        <v>1243.7075767727581</v>
      </c>
      <c r="V611" s="255">
        <f xml:space="preserve"> tabConsumo[[#This Row],[Média.A]] + (_xlfn.STDEV.S( tabConsumo[[#This Row],[QTD.PENDENTE]]:tabConsumo[[#This Row],[07_23]] ) * 2)</f>
        <v>2098.4984868788492</v>
      </c>
      <c r="W611" s="255">
        <f xml:space="preserve"> tabConsumo[[#This Row],[Média.A]] + (_xlfn.STDEV.S( tabConsumo[[#This Row],[QTD.PENDENTE]]:tabConsumo[[#This Row],[07_23]] ) * 3)</f>
        <v>2953.2893969849406</v>
      </c>
      <c r="X611" s="5">
        <f t="shared" si="21"/>
        <v>2</v>
      </c>
      <c r="Y611">
        <v>297.08333333333331</v>
      </c>
      <c r="Z611" s="257">
        <f>SUM( tabConsumo[[#This Row],[QTD.PENDENTE]]:tabConsumo[[#This Row],[07_23]] )</f>
        <v>4667</v>
      </c>
      <c r="AA611" s="257">
        <f>LARGE(tabConsumo[[#This Row],[08_22]:[07_23]],1)</f>
        <v>3200</v>
      </c>
      <c r="AB611" s="175" t="s">
        <v>2211</v>
      </c>
      <c r="AC611" s="3" t="s">
        <v>2064</v>
      </c>
    </row>
    <row r="612" spans="1:29" x14ac:dyDescent="0.3">
      <c r="A612" s="4" t="s">
        <v>1973</v>
      </c>
      <c r="B612" s="3" t="s">
        <v>31</v>
      </c>
      <c r="C612" s="2">
        <v>139141</v>
      </c>
      <c r="D612" s="2">
        <v>2134</v>
      </c>
      <c r="E612" s="2">
        <v>102</v>
      </c>
      <c r="F612" s="2">
        <v>150</v>
      </c>
      <c r="G612" s="2">
        <v>151</v>
      </c>
      <c r="H612" s="2">
        <v>164</v>
      </c>
      <c r="I612" s="2">
        <v>133</v>
      </c>
      <c r="J612" s="2">
        <v>98</v>
      </c>
      <c r="K612" s="2">
        <v>73</v>
      </c>
      <c r="L612" s="2">
        <v>111</v>
      </c>
      <c r="M612" s="2">
        <v>2526</v>
      </c>
      <c r="N612" s="2">
        <v>10</v>
      </c>
      <c r="O612" s="2">
        <v>79</v>
      </c>
      <c r="P612" s="2">
        <v>157</v>
      </c>
      <c r="Q612" s="2">
        <v>134</v>
      </c>
      <c r="R612" s="274">
        <v>43881</v>
      </c>
      <c r="S612" s="253">
        <v>12</v>
      </c>
      <c r="T612" s="254">
        <f>SUM( tabConsumo[[#This Row],[QTD.PENDENTE]]:tabConsumo[[#This Row],[07_23]] ) / tabConsumo[[#This Row],[Div]]</f>
        <v>324</v>
      </c>
      <c r="U612" s="255">
        <f xml:space="preserve"> tabConsumo[[#This Row],[Média.A]] + (_xlfn.STDEV.S( tabConsumo[[#This Row],[QTD.PENDENTE]]:tabConsumo[[#This Row],[07_23]] ) * 1)</f>
        <v>994.46966890611611</v>
      </c>
      <c r="V612" s="255">
        <f xml:space="preserve"> tabConsumo[[#This Row],[Média.A]] + (_xlfn.STDEV.S( tabConsumo[[#This Row],[QTD.PENDENTE]]:tabConsumo[[#This Row],[07_23]] ) * 2)</f>
        <v>1664.9393378122322</v>
      </c>
      <c r="W612" s="255">
        <f xml:space="preserve"> tabConsumo[[#This Row],[Média.A]] + (_xlfn.STDEV.S( tabConsumo[[#This Row],[QTD.PENDENTE]]:tabConsumo[[#This Row],[07_23]] ) * 3)</f>
        <v>2335.4090067183483</v>
      </c>
      <c r="X612" s="5">
        <f t="shared" si="21"/>
        <v>2</v>
      </c>
      <c r="Y612">
        <v>252.16666666666666</v>
      </c>
      <c r="Z612" s="257">
        <f>SUM( tabConsumo[[#This Row],[QTD.PENDENTE]]:tabConsumo[[#This Row],[07_23]] )</f>
        <v>3888</v>
      </c>
      <c r="AA612" s="257">
        <f>LARGE(tabConsumo[[#This Row],[08_22]:[07_23]],1)</f>
        <v>2526</v>
      </c>
      <c r="AB612" s="175" t="s">
        <v>2211</v>
      </c>
      <c r="AC612" s="3" t="s">
        <v>2064</v>
      </c>
    </row>
    <row r="613" spans="1:29" x14ac:dyDescent="0.3">
      <c r="A613" s="4" t="s">
        <v>1974</v>
      </c>
      <c r="B613" s="3" t="s">
        <v>31</v>
      </c>
      <c r="C613" s="2">
        <v>139142</v>
      </c>
      <c r="D613" s="2">
        <v>2153</v>
      </c>
      <c r="E613" s="2">
        <v>65</v>
      </c>
      <c r="F613" s="2">
        <v>120</v>
      </c>
      <c r="G613" s="2">
        <v>152</v>
      </c>
      <c r="H613" s="2">
        <v>165</v>
      </c>
      <c r="I613" s="2">
        <v>141</v>
      </c>
      <c r="J613" s="2">
        <v>99</v>
      </c>
      <c r="K613" s="2">
        <v>113</v>
      </c>
      <c r="L613" s="2">
        <v>111</v>
      </c>
      <c r="M613" s="2">
        <v>2750</v>
      </c>
      <c r="N613" s="2">
        <v>12</v>
      </c>
      <c r="O613" s="2">
        <v>76</v>
      </c>
      <c r="P613" s="2">
        <v>153</v>
      </c>
      <c r="Q613" s="2">
        <v>122</v>
      </c>
      <c r="R613" s="274">
        <v>43881</v>
      </c>
      <c r="S613" s="253">
        <v>12</v>
      </c>
      <c r="T613" s="254">
        <f>SUM( tabConsumo[[#This Row],[QTD.PENDENTE]]:tabConsumo[[#This Row],[07_23]] ) / tabConsumo[[#This Row],[Div]]</f>
        <v>339.91666666666669</v>
      </c>
      <c r="U613" s="255">
        <f xml:space="preserve"> tabConsumo[[#This Row],[Média.A]] + (_xlfn.STDEV.S( tabConsumo[[#This Row],[QTD.PENDENTE]]:tabConsumo[[#This Row],[07_23]] ) * 1)</f>
        <v>1073.0932204205078</v>
      </c>
      <c r="V613" s="255">
        <f xml:space="preserve"> tabConsumo[[#This Row],[Média.A]] + (_xlfn.STDEV.S( tabConsumo[[#This Row],[QTD.PENDENTE]]:tabConsumo[[#This Row],[07_23]] ) * 2)</f>
        <v>1806.2697741743489</v>
      </c>
      <c r="W613" s="255">
        <f xml:space="preserve"> tabConsumo[[#This Row],[Média.A]] + (_xlfn.STDEV.S( tabConsumo[[#This Row],[QTD.PENDENTE]]:tabConsumo[[#This Row],[07_23]] ) * 3)</f>
        <v>2539.4463279281895</v>
      </c>
      <c r="X613" s="5">
        <f t="shared" si="21"/>
        <v>2</v>
      </c>
      <c r="Y613">
        <v>261.25</v>
      </c>
      <c r="Z613" s="257">
        <f>SUM( tabConsumo[[#This Row],[QTD.PENDENTE]]:tabConsumo[[#This Row],[07_23]] )</f>
        <v>4079</v>
      </c>
      <c r="AA613" s="257">
        <f>LARGE(tabConsumo[[#This Row],[08_22]:[07_23]],1)</f>
        <v>2750</v>
      </c>
      <c r="AB613" s="175" t="s">
        <v>2211</v>
      </c>
      <c r="AC613" s="3" t="s">
        <v>2064</v>
      </c>
    </row>
    <row r="614" spans="1:29" x14ac:dyDescent="0.3">
      <c r="A614" s="4" t="s">
        <v>1975</v>
      </c>
      <c r="B614" s="3" t="s">
        <v>31</v>
      </c>
      <c r="C614" s="2">
        <v>139143</v>
      </c>
      <c r="D614" s="2">
        <v>676</v>
      </c>
      <c r="E614" s="2">
        <v>3</v>
      </c>
      <c r="F614" s="2">
        <v>147</v>
      </c>
      <c r="G614" s="2">
        <v>148</v>
      </c>
      <c r="H614" s="2">
        <v>160</v>
      </c>
      <c r="I614" s="2">
        <v>140</v>
      </c>
      <c r="J614" s="2">
        <v>99</v>
      </c>
      <c r="K614" s="2">
        <v>72</v>
      </c>
      <c r="L614" s="2">
        <v>111</v>
      </c>
      <c r="M614" s="2">
        <v>4066</v>
      </c>
      <c r="N614" s="2">
        <v>132</v>
      </c>
      <c r="O614" s="2">
        <v>154</v>
      </c>
      <c r="P614" s="2">
        <v>157</v>
      </c>
      <c r="Q614" s="2">
        <v>126</v>
      </c>
      <c r="R614" s="274">
        <v>43881</v>
      </c>
      <c r="S614" s="253">
        <v>12</v>
      </c>
      <c r="T614" s="254">
        <f>SUM( tabConsumo[[#This Row],[QTD.PENDENTE]]:tabConsumo[[#This Row],[07_23]] ) / tabConsumo[[#This Row],[Div]]</f>
        <v>459.58333333333331</v>
      </c>
      <c r="U614" s="255">
        <f xml:space="preserve"> tabConsumo[[#This Row],[Média.A]] + (_xlfn.STDEV.S( tabConsumo[[#This Row],[QTD.PENDENTE]]:tabConsumo[[#This Row],[07_23]] ) * 1)</f>
        <v>1554.6638595844208</v>
      </c>
      <c r="V614" s="255">
        <f xml:space="preserve"> tabConsumo[[#This Row],[Média.A]] + (_xlfn.STDEV.S( tabConsumo[[#This Row],[QTD.PENDENTE]]:tabConsumo[[#This Row],[07_23]] ) * 2)</f>
        <v>2649.7443858355086</v>
      </c>
      <c r="W614" s="255">
        <f xml:space="preserve"> tabConsumo[[#This Row],[Média.A]] + (_xlfn.STDEV.S( tabConsumo[[#This Row],[QTD.PENDENTE]]:tabConsumo[[#This Row],[07_23]] ) * 3)</f>
        <v>3744.8249120865962</v>
      </c>
      <c r="X614" s="5">
        <f t="shared" si="21"/>
        <v>2</v>
      </c>
      <c r="Y614">
        <v>341.5</v>
      </c>
      <c r="Z614" s="257">
        <f>SUM( tabConsumo[[#This Row],[QTD.PENDENTE]]:tabConsumo[[#This Row],[07_23]] )</f>
        <v>5515</v>
      </c>
      <c r="AA614" s="257">
        <f>LARGE(tabConsumo[[#This Row],[08_22]:[07_23]],1)</f>
        <v>4066</v>
      </c>
      <c r="AB614" s="175" t="s">
        <v>2211</v>
      </c>
      <c r="AC614" s="3" t="s">
        <v>2064</v>
      </c>
    </row>
    <row r="615" spans="1:29" x14ac:dyDescent="0.3">
      <c r="A615" s="4" t="s">
        <v>1976</v>
      </c>
      <c r="B615" s="3" t="s">
        <v>31</v>
      </c>
      <c r="C615" s="2">
        <v>139144</v>
      </c>
      <c r="D615" s="2">
        <v>557</v>
      </c>
      <c r="F615" s="2">
        <v>0</v>
      </c>
      <c r="G615" s="2">
        <v>5</v>
      </c>
      <c r="H615" s="2">
        <v>25</v>
      </c>
      <c r="I615" s="2">
        <v>6</v>
      </c>
      <c r="J615" s="2">
        <v>0</v>
      </c>
      <c r="K615" s="2">
        <v>0</v>
      </c>
      <c r="L615" s="2">
        <v>0</v>
      </c>
      <c r="M615" s="2">
        <v>4787</v>
      </c>
      <c r="N615" s="2">
        <v>5</v>
      </c>
      <c r="O615" s="2">
        <v>0</v>
      </c>
      <c r="P615" s="2">
        <v>1</v>
      </c>
      <c r="Q615" s="2">
        <v>0</v>
      </c>
      <c r="R615" s="274">
        <v>43881</v>
      </c>
      <c r="S615" s="253">
        <v>12</v>
      </c>
      <c r="T615" s="254">
        <f>SUM( tabConsumo[[#This Row],[QTD.PENDENTE]]:tabConsumo[[#This Row],[07_23]] ) / tabConsumo[[#This Row],[Div]]</f>
        <v>402.41666666666669</v>
      </c>
      <c r="U615" s="255">
        <f xml:space="preserve"> tabConsumo[[#This Row],[Média.A]] + (_xlfn.STDEV.S( tabConsumo[[#This Row],[QTD.PENDENTE]]:tabConsumo[[#This Row],[07_23]] ) * 1)</f>
        <v>1783.22048120457</v>
      </c>
      <c r="V615" s="255">
        <f xml:space="preserve"> tabConsumo[[#This Row],[Média.A]] + (_xlfn.STDEV.S( tabConsumo[[#This Row],[QTD.PENDENTE]]:tabConsumo[[#This Row],[07_23]] ) * 2)</f>
        <v>3164.024295742473</v>
      </c>
      <c r="W615" s="255">
        <f xml:space="preserve"> tabConsumo[[#This Row],[Média.A]] + (_xlfn.STDEV.S( tabConsumo[[#This Row],[QTD.PENDENTE]]:tabConsumo[[#This Row],[07_23]] ) * 3)</f>
        <v>4544.8281102803767</v>
      </c>
      <c r="X615" s="5">
        <f t="shared" si="21"/>
        <v>2</v>
      </c>
      <c r="Y615">
        <v>267.16666666666669</v>
      </c>
      <c r="Z615" s="257">
        <f>SUM( tabConsumo[[#This Row],[QTD.PENDENTE]]:tabConsumo[[#This Row],[07_23]] )</f>
        <v>4829</v>
      </c>
      <c r="AA615" s="257">
        <f>LARGE(tabConsumo[[#This Row],[08_22]:[07_23]],1)</f>
        <v>4787</v>
      </c>
      <c r="AB615" s="175" t="s">
        <v>2212</v>
      </c>
      <c r="AC615" s="3" t="s">
        <v>2064</v>
      </c>
    </row>
    <row r="616" spans="1:29" x14ac:dyDescent="0.3">
      <c r="A616" s="4" t="s">
        <v>1081</v>
      </c>
      <c r="B616" s="3" t="s">
        <v>256</v>
      </c>
      <c r="C616" s="2">
        <v>15085</v>
      </c>
      <c r="D616" s="2">
        <v>559</v>
      </c>
      <c r="F616" s="2">
        <v>25</v>
      </c>
      <c r="G616" s="2">
        <v>30</v>
      </c>
      <c r="H616" s="2">
        <v>0</v>
      </c>
      <c r="I616" s="2">
        <v>20</v>
      </c>
      <c r="J616" s="2">
        <v>5</v>
      </c>
      <c r="K616" s="2">
        <v>0</v>
      </c>
      <c r="L616" s="2">
        <v>0</v>
      </c>
      <c r="M616" s="2">
        <v>0</v>
      </c>
      <c r="N616" s="2">
        <v>0</v>
      </c>
      <c r="O616" s="2">
        <v>30</v>
      </c>
      <c r="P616" s="2">
        <v>30</v>
      </c>
      <c r="Q616" s="2">
        <v>1</v>
      </c>
      <c r="R616" s="274">
        <v>367</v>
      </c>
      <c r="S616" s="253">
        <f xml:space="preserve"> 12</f>
        <v>12</v>
      </c>
      <c r="T616" s="254">
        <f>SUM( tabConsumo[[#This Row],[QTD.PENDENTE]]:tabConsumo[[#This Row],[07_23]] ) / tabConsumo[[#This Row],[Div]]</f>
        <v>11.75</v>
      </c>
      <c r="U616" s="255">
        <f xml:space="preserve"> tabConsumo[[#This Row],[Média.A]] + (_xlfn.STDEV.S( tabConsumo[[#This Row],[QTD.PENDENTE]]:tabConsumo[[#This Row],[07_23]] ) * 1)</f>
        <v>25.548056516638987</v>
      </c>
      <c r="V616" s="255">
        <f xml:space="preserve"> tabConsumo[[#This Row],[Média.A]] + (_xlfn.STDEV.S( tabConsumo[[#This Row],[QTD.PENDENTE]]:tabConsumo[[#This Row],[07_23]] ) * 2)</f>
        <v>39.346113033277973</v>
      </c>
      <c r="W616" s="255">
        <f xml:space="preserve"> tabConsumo[[#This Row],[Média.A]] + (_xlfn.STDEV.S( tabConsumo[[#This Row],[QTD.PENDENTE]]:tabConsumo[[#This Row],[07_23]] ) * 3)</f>
        <v>53.14416954991696</v>
      </c>
      <c r="X616" s="5">
        <f t="shared" si="21"/>
        <v>2</v>
      </c>
      <c r="Y616">
        <v>11.75</v>
      </c>
      <c r="Z616" s="257">
        <f>SUM( tabConsumo[[#This Row],[QTD.PENDENTE]]:tabConsumo[[#This Row],[07_23]] )</f>
        <v>141</v>
      </c>
      <c r="AA616" s="257">
        <f>LARGE(tabConsumo[[#This Row],[08_22]:[07_23]],1)</f>
        <v>30</v>
      </c>
      <c r="AB616" s="175" t="s">
        <v>2211</v>
      </c>
      <c r="AC616" s="3" t="s">
        <v>2064</v>
      </c>
    </row>
    <row r="617" spans="1:29" x14ac:dyDescent="0.3">
      <c r="A617" s="4" t="s">
        <v>1044</v>
      </c>
      <c r="B617" s="3" t="s">
        <v>256</v>
      </c>
      <c r="C617" s="2">
        <v>13563</v>
      </c>
      <c r="D617" s="2">
        <v>69</v>
      </c>
      <c r="F617" s="2">
        <v>30</v>
      </c>
      <c r="G617" s="2">
        <v>50</v>
      </c>
      <c r="H617" s="2">
        <v>20</v>
      </c>
      <c r="I617" s="2">
        <v>40</v>
      </c>
      <c r="J617" s="2">
        <v>0</v>
      </c>
      <c r="K617" s="2">
        <v>0</v>
      </c>
      <c r="L617" s="2">
        <v>0</v>
      </c>
      <c r="M617" s="2">
        <v>60</v>
      </c>
      <c r="N617" s="2">
        <v>0</v>
      </c>
      <c r="O617" s="2">
        <v>30</v>
      </c>
      <c r="P617" s="2">
        <v>80</v>
      </c>
      <c r="Q617" s="2">
        <v>1</v>
      </c>
      <c r="R617" s="274">
        <v>367</v>
      </c>
      <c r="S617" s="253">
        <f xml:space="preserve"> 12</f>
        <v>12</v>
      </c>
      <c r="T617" s="254">
        <f>SUM( tabConsumo[[#This Row],[QTD.PENDENTE]]:tabConsumo[[#This Row],[07_23]] ) / tabConsumo[[#This Row],[Div]]</f>
        <v>25.916666666666668</v>
      </c>
      <c r="U617" s="255">
        <f xml:space="preserve"> tabConsumo[[#This Row],[Média.A]] + (_xlfn.STDEV.S( tabConsumo[[#This Row],[QTD.PENDENTE]]:tabConsumo[[#This Row],[07_23]] ) * 1)</f>
        <v>53.287714188167243</v>
      </c>
      <c r="V617" s="255">
        <f xml:space="preserve"> tabConsumo[[#This Row],[Média.A]] + (_xlfn.STDEV.S( tabConsumo[[#This Row],[QTD.PENDENTE]]:tabConsumo[[#This Row],[07_23]] ) * 2)</f>
        <v>80.658761709667814</v>
      </c>
      <c r="W617" s="255">
        <f xml:space="preserve"> tabConsumo[[#This Row],[Média.A]] + (_xlfn.STDEV.S( tabConsumo[[#This Row],[QTD.PENDENTE]]:tabConsumo[[#This Row],[07_23]] ) * 3)</f>
        <v>108.02980923116839</v>
      </c>
      <c r="X617" s="5">
        <f t="shared" si="21"/>
        <v>2</v>
      </c>
      <c r="Y617">
        <v>25.916666666666668</v>
      </c>
      <c r="Z617" s="257">
        <f>SUM( tabConsumo[[#This Row],[QTD.PENDENTE]]:tabConsumo[[#This Row],[07_23]] )</f>
        <v>311</v>
      </c>
      <c r="AA617" s="257">
        <f>LARGE(tabConsumo[[#This Row],[08_22]:[07_23]],1)</f>
        <v>80</v>
      </c>
      <c r="AB617" s="175" t="s">
        <v>2211</v>
      </c>
      <c r="AC617" s="3" t="s">
        <v>2064</v>
      </c>
    </row>
    <row r="618" spans="1:29" x14ac:dyDescent="0.3">
      <c r="A618" s="4" t="s">
        <v>1759</v>
      </c>
      <c r="B618" s="3" t="s">
        <v>629</v>
      </c>
      <c r="C618" s="2">
        <v>125262</v>
      </c>
      <c r="D618" s="2">
        <v>1692.56</v>
      </c>
      <c r="F618" s="2">
        <v>22</v>
      </c>
      <c r="G618" s="2">
        <v>0</v>
      </c>
      <c r="H618" s="2">
        <v>0</v>
      </c>
      <c r="I618" s="2">
        <v>0</v>
      </c>
      <c r="J618" s="2">
        <v>280</v>
      </c>
      <c r="K618" s="2">
        <v>0</v>
      </c>
      <c r="L618" s="2">
        <v>65</v>
      </c>
      <c r="M618" s="2">
        <v>0</v>
      </c>
      <c r="N618" s="2">
        <v>0</v>
      </c>
      <c r="O618" s="2">
        <v>60</v>
      </c>
      <c r="P618" s="2">
        <v>0</v>
      </c>
      <c r="Q618" s="2">
        <v>30</v>
      </c>
      <c r="R618" s="274">
        <v>41366</v>
      </c>
      <c r="S618" s="253">
        <v>12</v>
      </c>
      <c r="T618" s="254">
        <f>SUM( tabConsumo[[#This Row],[QTD.PENDENTE]]:tabConsumo[[#This Row],[07_23]] ) / tabConsumo[[#This Row],[Div]]</f>
        <v>38.083333333333336</v>
      </c>
      <c r="U618" s="255">
        <f xml:space="preserve"> tabConsumo[[#This Row],[Média.A]] + (_xlfn.STDEV.S( tabConsumo[[#This Row],[QTD.PENDENTE]]:tabConsumo[[#This Row],[07_23]] ) * 1)</f>
        <v>117.97241363543191</v>
      </c>
      <c r="V618" s="255">
        <f xml:space="preserve"> tabConsumo[[#This Row],[Média.A]] + (_xlfn.STDEV.S( tabConsumo[[#This Row],[QTD.PENDENTE]]:tabConsumo[[#This Row],[07_23]] ) * 2)</f>
        <v>197.86149393753047</v>
      </c>
      <c r="W618" s="255">
        <f xml:space="preserve"> tabConsumo[[#This Row],[Média.A]] + (_xlfn.STDEV.S( tabConsumo[[#This Row],[QTD.PENDENTE]]:tabConsumo[[#This Row],[07_23]] ) * 3)</f>
        <v>277.75057423962903</v>
      </c>
      <c r="X618" s="5">
        <f t="shared" si="21"/>
        <v>2</v>
      </c>
      <c r="Y618">
        <v>31.166666666666668</v>
      </c>
      <c r="Z618" s="257">
        <f>SUM( tabConsumo[[#This Row],[QTD.PENDENTE]]:tabConsumo[[#This Row],[07_23]] )</f>
        <v>457</v>
      </c>
      <c r="AA618" s="257">
        <f>LARGE(tabConsumo[[#This Row],[08_22]:[07_23]],1)</f>
        <v>280</v>
      </c>
      <c r="AB618" s="175" t="s">
        <v>2211</v>
      </c>
      <c r="AC618" s="3" t="s">
        <v>2064</v>
      </c>
    </row>
    <row r="619" spans="1:29" x14ac:dyDescent="0.3">
      <c r="A619" s="4" t="s">
        <v>1744</v>
      </c>
      <c r="B619" s="3" t="s">
        <v>629</v>
      </c>
      <c r="C619" s="2">
        <v>122818</v>
      </c>
      <c r="D619" s="2">
        <v>2413.25</v>
      </c>
      <c r="F619" s="2">
        <v>22</v>
      </c>
      <c r="G619" s="2">
        <v>0</v>
      </c>
      <c r="H619" s="2">
        <v>0</v>
      </c>
      <c r="I619" s="2">
        <v>0</v>
      </c>
      <c r="J619" s="2">
        <v>280</v>
      </c>
      <c r="K619" s="2">
        <v>0</v>
      </c>
      <c r="L619" s="2">
        <v>65</v>
      </c>
      <c r="M619" s="2">
        <v>0</v>
      </c>
      <c r="N619" s="2">
        <v>0</v>
      </c>
      <c r="O619" s="2">
        <v>60</v>
      </c>
      <c r="P619" s="2">
        <v>0</v>
      </c>
      <c r="Q619" s="2">
        <v>30</v>
      </c>
      <c r="R619" s="274">
        <v>41003</v>
      </c>
      <c r="S619" s="253">
        <v>12</v>
      </c>
      <c r="T619" s="254">
        <f>SUM( tabConsumo[[#This Row],[QTD.PENDENTE]]:tabConsumo[[#This Row],[07_23]] ) / tabConsumo[[#This Row],[Div]]</f>
        <v>38.083333333333336</v>
      </c>
      <c r="U619" s="255">
        <f xml:space="preserve"> tabConsumo[[#This Row],[Média.A]] + (_xlfn.STDEV.S( tabConsumo[[#This Row],[QTD.PENDENTE]]:tabConsumo[[#This Row],[07_23]] ) * 1)</f>
        <v>117.97241363543191</v>
      </c>
      <c r="V619" s="255">
        <f xml:space="preserve"> tabConsumo[[#This Row],[Média.A]] + (_xlfn.STDEV.S( tabConsumo[[#This Row],[QTD.PENDENTE]]:tabConsumo[[#This Row],[07_23]] ) * 2)</f>
        <v>197.86149393753047</v>
      </c>
      <c r="W619" s="255">
        <f xml:space="preserve"> tabConsumo[[#This Row],[Média.A]] + (_xlfn.STDEV.S( tabConsumo[[#This Row],[QTD.PENDENTE]]:tabConsumo[[#This Row],[07_23]] ) * 3)</f>
        <v>277.75057423962903</v>
      </c>
      <c r="X619" s="5">
        <f t="shared" si="21"/>
        <v>2</v>
      </c>
      <c r="Y619">
        <v>31.166666666666668</v>
      </c>
      <c r="Z619" s="257">
        <f>SUM( tabConsumo[[#This Row],[QTD.PENDENTE]]:tabConsumo[[#This Row],[07_23]] )</f>
        <v>457</v>
      </c>
      <c r="AA619" s="257">
        <f>LARGE(tabConsumo[[#This Row],[08_22]:[07_23]],1)</f>
        <v>280</v>
      </c>
      <c r="AB619" s="175" t="s">
        <v>2211</v>
      </c>
      <c r="AC619" s="3" t="s">
        <v>2064</v>
      </c>
    </row>
    <row r="620" spans="1:29" x14ac:dyDescent="0.3">
      <c r="A620" s="4" t="s">
        <v>1570</v>
      </c>
      <c r="B620" s="3" t="s">
        <v>629</v>
      </c>
      <c r="C620" s="2">
        <v>102000</v>
      </c>
      <c r="D620" s="2">
        <v>546</v>
      </c>
      <c r="F620" s="2">
        <v>150</v>
      </c>
      <c r="G620" s="2">
        <v>612</v>
      </c>
      <c r="H620" s="2">
        <v>0</v>
      </c>
      <c r="I620" s="2">
        <v>0</v>
      </c>
      <c r="J620" s="2">
        <v>0</v>
      </c>
      <c r="K620" s="2">
        <v>704</v>
      </c>
      <c r="L620" s="2">
        <v>0</v>
      </c>
      <c r="M620" s="2">
        <v>84</v>
      </c>
      <c r="N620" s="2">
        <v>0</v>
      </c>
      <c r="O620" s="2">
        <v>516</v>
      </c>
      <c r="P620" s="2">
        <v>123</v>
      </c>
      <c r="Q620" s="2">
        <v>225</v>
      </c>
      <c r="R620" s="274">
        <v>39339</v>
      </c>
      <c r="S620" s="253">
        <v>12</v>
      </c>
      <c r="T620" s="254">
        <f>SUM( tabConsumo[[#This Row],[QTD.PENDENTE]]:tabConsumo[[#This Row],[07_23]] ) / tabConsumo[[#This Row],[Div]]</f>
        <v>201.16666666666666</v>
      </c>
      <c r="U620" s="255">
        <f xml:space="preserve"> tabConsumo[[#This Row],[Média.A]] + (_xlfn.STDEV.S( tabConsumo[[#This Row],[QTD.PENDENTE]]:tabConsumo[[#This Row],[07_23]] ) * 1)</f>
        <v>461.60505000359251</v>
      </c>
      <c r="V620" s="255">
        <f xml:space="preserve"> tabConsumo[[#This Row],[Média.A]] + (_xlfn.STDEV.S( tabConsumo[[#This Row],[QTD.PENDENTE]]:tabConsumo[[#This Row],[07_23]] ) * 2)</f>
        <v>722.04343334051828</v>
      </c>
      <c r="W620" s="255">
        <f xml:space="preserve"> tabConsumo[[#This Row],[Média.A]] + (_xlfn.STDEV.S( tabConsumo[[#This Row],[QTD.PENDENTE]]:tabConsumo[[#This Row],[07_23]] ) * 3)</f>
        <v>982.48181667744404</v>
      </c>
      <c r="X620" s="5">
        <f t="shared" si="21"/>
        <v>2</v>
      </c>
      <c r="Y620">
        <v>201.16666666666666</v>
      </c>
      <c r="Z620" s="257">
        <f>SUM( tabConsumo[[#This Row],[QTD.PENDENTE]]:tabConsumo[[#This Row],[07_23]] )</f>
        <v>2414</v>
      </c>
      <c r="AA620" s="257">
        <f>LARGE(tabConsumo[[#This Row],[08_22]:[07_23]],1)</f>
        <v>704</v>
      </c>
      <c r="AB620" s="175" t="s">
        <v>2211</v>
      </c>
      <c r="AC620" s="3" t="s">
        <v>2064</v>
      </c>
    </row>
    <row r="621" spans="1:29" x14ac:dyDescent="0.3">
      <c r="A621" s="4" t="s">
        <v>1722</v>
      </c>
      <c r="B621" s="3" t="s">
        <v>629</v>
      </c>
      <c r="C621" s="2">
        <v>118515</v>
      </c>
      <c r="D621" s="2">
        <v>0</v>
      </c>
      <c r="F621" s="2">
        <v>1</v>
      </c>
      <c r="G621" s="2">
        <v>3</v>
      </c>
      <c r="H621" s="2">
        <v>1</v>
      </c>
      <c r="I621" s="2">
        <v>2</v>
      </c>
      <c r="J621" s="2">
        <v>0</v>
      </c>
      <c r="K621" s="2">
        <v>6</v>
      </c>
      <c r="L621" s="2">
        <v>13</v>
      </c>
      <c r="M621" s="2">
        <v>8</v>
      </c>
      <c r="N621" s="2">
        <v>0</v>
      </c>
      <c r="O621" s="2">
        <v>284</v>
      </c>
      <c r="P621" s="2">
        <v>0</v>
      </c>
      <c r="Q621" s="2">
        <v>0</v>
      </c>
      <c r="R621" s="274">
        <v>40498</v>
      </c>
      <c r="S621" s="253">
        <v>12</v>
      </c>
      <c r="T621" s="254">
        <f>SUM( tabConsumo[[#This Row],[QTD.PENDENTE]]:tabConsumo[[#This Row],[07_23]] ) / tabConsumo[[#This Row],[Div]]</f>
        <v>26.5</v>
      </c>
      <c r="U621" s="255">
        <f xml:space="preserve"> tabConsumo[[#This Row],[Média.A]] + (_xlfn.STDEV.S( tabConsumo[[#This Row],[QTD.PENDENTE]]:tabConsumo[[#This Row],[07_23]] ) * 1)</f>
        <v>107.69169236498836</v>
      </c>
      <c r="V621" s="255">
        <f xml:space="preserve"> tabConsumo[[#This Row],[Média.A]] + (_xlfn.STDEV.S( tabConsumo[[#This Row],[QTD.PENDENTE]]:tabConsumo[[#This Row],[07_23]] ) * 2)</f>
        <v>188.88338472997671</v>
      </c>
      <c r="W621" s="255">
        <f xml:space="preserve"> tabConsumo[[#This Row],[Média.A]] + (_xlfn.STDEV.S( tabConsumo[[#This Row],[QTD.PENDENTE]]:tabConsumo[[#This Row],[07_23]] ) * 3)</f>
        <v>270.07507709496508</v>
      </c>
      <c r="X621" s="5">
        <f t="shared" si="21"/>
        <v>2</v>
      </c>
      <c r="Y621">
        <v>18.5</v>
      </c>
      <c r="Z621" s="257">
        <f>SUM( tabConsumo[[#This Row],[QTD.PENDENTE]]:tabConsumo[[#This Row],[07_23]] )</f>
        <v>318</v>
      </c>
      <c r="AA621" s="257">
        <f>LARGE(tabConsumo[[#This Row],[08_22]:[07_23]],1)</f>
        <v>284</v>
      </c>
      <c r="AB621" s="175" t="s">
        <v>2214</v>
      </c>
      <c r="AC621" s="3" t="s">
        <v>2064</v>
      </c>
    </row>
    <row r="622" spans="1:29" x14ac:dyDescent="0.3">
      <c r="A622" s="4" t="s">
        <v>1724</v>
      </c>
      <c r="B622" s="3" t="s">
        <v>629</v>
      </c>
      <c r="C622" s="2">
        <v>118577</v>
      </c>
      <c r="D622" s="2">
        <v>0</v>
      </c>
      <c r="E622" s="2">
        <v>13.5</v>
      </c>
      <c r="F622" s="2">
        <v>16</v>
      </c>
      <c r="G622" s="2">
        <v>6</v>
      </c>
      <c r="H622" s="2">
        <v>272</v>
      </c>
      <c r="I622" s="2">
        <v>97</v>
      </c>
      <c r="J622" s="2">
        <v>241</v>
      </c>
      <c r="K622" s="2">
        <v>116.5</v>
      </c>
      <c r="L622" s="2">
        <v>0</v>
      </c>
      <c r="M622" s="2">
        <v>0</v>
      </c>
      <c r="N622" s="2">
        <v>0</v>
      </c>
      <c r="O622" s="2">
        <v>0</v>
      </c>
      <c r="P622" s="2">
        <v>0</v>
      </c>
      <c r="Q622" s="2">
        <v>0</v>
      </c>
      <c r="R622" s="274">
        <v>40501</v>
      </c>
      <c r="S622" s="253">
        <v>12</v>
      </c>
      <c r="T622" s="254">
        <f>SUM( tabConsumo[[#This Row],[QTD.PENDENTE]]:tabConsumo[[#This Row],[07_23]] ) / tabConsumo[[#This Row],[Div]]</f>
        <v>63.5</v>
      </c>
      <c r="U622" s="255">
        <f xml:space="preserve"> tabConsumo[[#This Row],[Média.A]] + (_xlfn.STDEV.S( tabConsumo[[#This Row],[QTD.PENDENTE]]:tabConsumo[[#This Row],[07_23]] ) * 1)</f>
        <v>159.6143316243199</v>
      </c>
      <c r="V622" s="255">
        <f xml:space="preserve"> tabConsumo[[#This Row],[Média.A]] + (_xlfn.STDEV.S( tabConsumo[[#This Row],[QTD.PENDENTE]]:tabConsumo[[#This Row],[07_23]] ) * 2)</f>
        <v>255.72866324863983</v>
      </c>
      <c r="W622" s="255">
        <f xml:space="preserve"> tabConsumo[[#This Row],[Média.A]] + (_xlfn.STDEV.S( tabConsumo[[#This Row],[QTD.PENDENTE]]:tabConsumo[[#This Row],[07_23]] ) * 3)</f>
        <v>351.84299487295976</v>
      </c>
      <c r="X622" s="5">
        <f t="shared" si="21"/>
        <v>2</v>
      </c>
      <c r="Y622">
        <v>62.083333333333336</v>
      </c>
      <c r="Z622" s="257">
        <f>SUM( tabConsumo[[#This Row],[QTD.PENDENTE]]:tabConsumo[[#This Row],[07_23]] )</f>
        <v>762</v>
      </c>
      <c r="AA622" s="257">
        <f>LARGE(tabConsumo[[#This Row],[08_22]:[07_23]],1)</f>
        <v>272</v>
      </c>
      <c r="AB622" s="175" t="s">
        <v>2220</v>
      </c>
      <c r="AC622" s="3" t="s">
        <v>2064</v>
      </c>
    </row>
    <row r="623" spans="1:29" x14ac:dyDescent="0.3">
      <c r="A623" s="4" t="s">
        <v>1707</v>
      </c>
      <c r="B623" s="3" t="s">
        <v>413</v>
      </c>
      <c r="C623" s="2">
        <v>115765</v>
      </c>
      <c r="D623" s="2">
        <v>955</v>
      </c>
      <c r="E623" s="2">
        <v>12</v>
      </c>
      <c r="F623" s="2">
        <v>55</v>
      </c>
      <c r="G623" s="2">
        <v>57</v>
      </c>
      <c r="H623" s="2">
        <v>46</v>
      </c>
      <c r="I623" s="2">
        <v>63</v>
      </c>
      <c r="J623" s="2">
        <v>40</v>
      </c>
      <c r="K623" s="2">
        <v>26</v>
      </c>
      <c r="L623" s="2">
        <v>48</v>
      </c>
      <c r="M623" s="2">
        <v>643</v>
      </c>
      <c r="N623" s="2">
        <v>76</v>
      </c>
      <c r="O623" s="2">
        <v>85</v>
      </c>
      <c r="P623" s="2">
        <v>80</v>
      </c>
      <c r="Q623" s="2">
        <v>64</v>
      </c>
      <c r="R623" s="274">
        <v>40347</v>
      </c>
      <c r="S623" s="253">
        <v>12</v>
      </c>
      <c r="T623" s="254">
        <f>SUM( tabConsumo[[#This Row],[QTD.PENDENTE]]:tabConsumo[[#This Row],[07_23]] ) / tabConsumo[[#This Row],[Div]]</f>
        <v>107.91666666666667</v>
      </c>
      <c r="U623" s="255">
        <f xml:space="preserve"> tabConsumo[[#This Row],[Média.A]] + (_xlfn.STDEV.S( tabConsumo[[#This Row],[QTD.PENDENTE]]:tabConsumo[[#This Row],[07_23]] ) * 1)</f>
        <v>272.49366914146492</v>
      </c>
      <c r="V623" s="255">
        <f xml:space="preserve"> tabConsumo[[#This Row],[Média.A]] + (_xlfn.STDEV.S( tabConsumo[[#This Row],[QTD.PENDENTE]]:tabConsumo[[#This Row],[07_23]] ) * 2)</f>
        <v>437.07067161626316</v>
      </c>
      <c r="W623" s="255">
        <f xml:space="preserve"> tabConsumo[[#This Row],[Média.A]] + (_xlfn.STDEV.S( tabConsumo[[#This Row],[QTD.PENDENTE]]:tabConsumo[[#This Row],[07_23]] ) * 3)</f>
        <v>601.64767409106139</v>
      </c>
      <c r="X623" s="5">
        <f t="shared" si="21"/>
        <v>2</v>
      </c>
      <c r="Y623">
        <v>90.75</v>
      </c>
      <c r="Z623" s="257">
        <f>SUM( tabConsumo[[#This Row],[QTD.PENDENTE]]:tabConsumo[[#This Row],[07_23]] )</f>
        <v>1295</v>
      </c>
      <c r="AA623" s="257">
        <f>LARGE(tabConsumo[[#This Row],[08_22]:[07_23]],1)</f>
        <v>643</v>
      </c>
      <c r="AB623" s="175" t="s">
        <v>2211</v>
      </c>
      <c r="AC623" s="3" t="s">
        <v>2064</v>
      </c>
    </row>
    <row r="624" spans="1:29" x14ac:dyDescent="0.3">
      <c r="A624" s="4" t="s">
        <v>1519</v>
      </c>
      <c r="B624" s="3" t="s">
        <v>331</v>
      </c>
      <c r="C624" s="2">
        <v>91250</v>
      </c>
      <c r="D624" s="2">
        <v>665</v>
      </c>
      <c r="F624" s="2">
        <v>11</v>
      </c>
      <c r="G624" s="2">
        <v>48</v>
      </c>
      <c r="H624" s="2">
        <v>0</v>
      </c>
      <c r="I624" s="2">
        <v>0</v>
      </c>
      <c r="J624" s="2">
        <v>0</v>
      </c>
      <c r="K624" s="2">
        <v>11</v>
      </c>
      <c r="L624" s="2">
        <v>0</v>
      </c>
      <c r="M624" s="2">
        <v>0</v>
      </c>
      <c r="N624" s="2">
        <v>10</v>
      </c>
      <c r="O624" s="2">
        <v>20</v>
      </c>
      <c r="P624" s="2">
        <v>0</v>
      </c>
      <c r="Q624" s="2">
        <v>0</v>
      </c>
      <c r="R624" s="274">
        <v>38820</v>
      </c>
      <c r="S624" s="253">
        <v>12</v>
      </c>
      <c r="T624" s="254">
        <f>SUM( tabConsumo[[#This Row],[QTD.PENDENTE]]:tabConsumo[[#This Row],[07_23]] ) / tabConsumo[[#This Row],[Div]]</f>
        <v>8.3333333333333339</v>
      </c>
      <c r="U624" s="255">
        <f xml:space="preserve"> tabConsumo[[#This Row],[Média.A]] + (_xlfn.STDEV.S( tabConsumo[[#This Row],[QTD.PENDENTE]]:tabConsumo[[#This Row],[07_23]] ) * 1)</f>
        <v>22.51612273286667</v>
      </c>
      <c r="V624" s="255">
        <f xml:space="preserve"> tabConsumo[[#This Row],[Média.A]] + (_xlfn.STDEV.S( tabConsumo[[#This Row],[QTD.PENDENTE]]:tabConsumo[[#This Row],[07_23]] ) * 2)</f>
        <v>36.698912132400004</v>
      </c>
      <c r="W624" s="255">
        <f xml:space="preserve"> tabConsumo[[#This Row],[Média.A]] + (_xlfn.STDEV.S( tabConsumo[[#This Row],[QTD.PENDENTE]]:tabConsumo[[#This Row],[07_23]] ) * 3)</f>
        <v>50.881701531933338</v>
      </c>
      <c r="X624" s="5">
        <f t="shared" si="21"/>
        <v>2</v>
      </c>
      <c r="Y624">
        <v>7.333333333333333</v>
      </c>
      <c r="Z624" s="257">
        <f>SUM( tabConsumo[[#This Row],[QTD.PENDENTE]]:tabConsumo[[#This Row],[07_23]] )</f>
        <v>100</v>
      </c>
      <c r="AA624" s="257">
        <f>LARGE(tabConsumo[[#This Row],[08_22]:[07_23]],1)</f>
        <v>48</v>
      </c>
      <c r="AB624" s="175" t="s">
        <v>2214</v>
      </c>
      <c r="AC624" s="3" t="s">
        <v>2064</v>
      </c>
    </row>
    <row r="625" spans="1:29" x14ac:dyDescent="0.3">
      <c r="A625" s="4" t="s">
        <v>1291</v>
      </c>
      <c r="B625" s="3" t="s">
        <v>331</v>
      </c>
      <c r="C625" s="2">
        <v>49254</v>
      </c>
      <c r="D625" s="2">
        <v>530</v>
      </c>
      <c r="E625" s="2">
        <v>24</v>
      </c>
      <c r="F625" s="2">
        <v>100</v>
      </c>
      <c r="G625" s="2">
        <v>134</v>
      </c>
      <c r="H625" s="2">
        <v>33</v>
      </c>
      <c r="I625" s="2">
        <v>80</v>
      </c>
      <c r="J625" s="2">
        <v>100</v>
      </c>
      <c r="K625" s="2">
        <v>121</v>
      </c>
      <c r="L625" s="2">
        <v>90</v>
      </c>
      <c r="M625" s="2">
        <v>342</v>
      </c>
      <c r="N625" s="2">
        <v>289</v>
      </c>
      <c r="O625" s="2">
        <v>40</v>
      </c>
      <c r="P625" s="2">
        <v>271</v>
      </c>
      <c r="Q625" s="2">
        <v>189</v>
      </c>
      <c r="R625" s="274">
        <v>367</v>
      </c>
      <c r="S625" s="253">
        <f xml:space="preserve"> 12</f>
        <v>12</v>
      </c>
      <c r="T625" s="254">
        <f>SUM( tabConsumo[[#This Row],[QTD.PENDENTE]]:tabConsumo[[#This Row],[07_23]] ) / tabConsumo[[#This Row],[Div]]</f>
        <v>151.08333333333334</v>
      </c>
      <c r="U625" s="255">
        <f xml:space="preserve"> tabConsumo[[#This Row],[Média.A]] + (_xlfn.STDEV.S( tabConsumo[[#This Row],[QTD.PENDENTE]]:tabConsumo[[#This Row],[07_23]] ) * 1)</f>
        <v>254.02556258888504</v>
      </c>
      <c r="V625" s="255">
        <f xml:space="preserve"> tabConsumo[[#This Row],[Média.A]] + (_xlfn.STDEV.S( tabConsumo[[#This Row],[QTD.PENDENTE]]:tabConsumo[[#This Row],[07_23]] ) * 2)</f>
        <v>356.96779184443676</v>
      </c>
      <c r="W625" s="255">
        <f xml:space="preserve"> tabConsumo[[#This Row],[Média.A]] + (_xlfn.STDEV.S( tabConsumo[[#This Row],[QTD.PENDENTE]]:tabConsumo[[#This Row],[07_23]] ) * 3)</f>
        <v>459.9100210999884</v>
      </c>
      <c r="X625" s="5">
        <f t="shared" si="21"/>
        <v>2</v>
      </c>
      <c r="Y625">
        <v>151.08333333333334</v>
      </c>
      <c r="Z625" s="257">
        <f>SUM( tabConsumo[[#This Row],[QTD.PENDENTE]]:tabConsumo[[#This Row],[07_23]] )</f>
        <v>1813</v>
      </c>
      <c r="AA625" s="257">
        <f>LARGE(tabConsumo[[#This Row],[08_22]:[07_23]],1)</f>
        <v>342</v>
      </c>
      <c r="AB625" s="175" t="s">
        <v>2211</v>
      </c>
      <c r="AC625" s="3" t="s">
        <v>2064</v>
      </c>
    </row>
    <row r="626" spans="1:29" x14ac:dyDescent="0.3">
      <c r="A626" s="4" t="s">
        <v>1118</v>
      </c>
      <c r="B626" s="3" t="s">
        <v>256</v>
      </c>
      <c r="C626" s="2">
        <v>16978</v>
      </c>
      <c r="D626" s="2">
        <v>868</v>
      </c>
      <c r="F626" s="2">
        <v>20</v>
      </c>
      <c r="G626" s="2">
        <v>47</v>
      </c>
      <c r="H626" s="2">
        <v>0</v>
      </c>
      <c r="I626" s="2">
        <v>0</v>
      </c>
      <c r="J626" s="2">
        <v>0</v>
      </c>
      <c r="K626" s="2">
        <v>10</v>
      </c>
      <c r="L626" s="2">
        <v>10</v>
      </c>
      <c r="M626" s="2">
        <v>0</v>
      </c>
      <c r="N626" s="2">
        <v>0</v>
      </c>
      <c r="O626" s="2">
        <v>0</v>
      </c>
      <c r="P626" s="2">
        <v>30</v>
      </c>
      <c r="Q626" s="2">
        <v>30</v>
      </c>
      <c r="R626" s="274">
        <v>367</v>
      </c>
      <c r="S626" s="253">
        <f xml:space="preserve"> 12</f>
        <v>12</v>
      </c>
      <c r="T626" s="254">
        <f>SUM( tabConsumo[[#This Row],[QTD.PENDENTE]]:tabConsumo[[#This Row],[07_23]] ) / tabConsumo[[#This Row],[Div]]</f>
        <v>12.25</v>
      </c>
      <c r="U626" s="255">
        <f xml:space="preserve"> tabConsumo[[#This Row],[Média.A]] + (_xlfn.STDEV.S( tabConsumo[[#This Row],[QTD.PENDENTE]]:tabConsumo[[#This Row],[07_23]] ) * 1)</f>
        <v>28.227967785217697</v>
      </c>
      <c r="V626" s="255">
        <f xml:space="preserve"> tabConsumo[[#This Row],[Média.A]] + (_xlfn.STDEV.S( tabConsumo[[#This Row],[QTD.PENDENTE]]:tabConsumo[[#This Row],[07_23]] ) * 2)</f>
        <v>44.205935570435393</v>
      </c>
      <c r="W626" s="255">
        <f xml:space="preserve"> tabConsumo[[#This Row],[Média.A]] + (_xlfn.STDEV.S( tabConsumo[[#This Row],[QTD.PENDENTE]]:tabConsumo[[#This Row],[07_23]] ) * 3)</f>
        <v>60.183903355653086</v>
      </c>
      <c r="X626" s="5">
        <f t="shared" si="21"/>
        <v>2</v>
      </c>
      <c r="Y626">
        <v>12</v>
      </c>
      <c r="Z626" s="257">
        <f>SUM( tabConsumo[[#This Row],[QTD.PENDENTE]]:tabConsumo[[#This Row],[07_23]] )</f>
        <v>147</v>
      </c>
      <c r="AA626" s="257">
        <f>LARGE(tabConsumo[[#This Row],[08_22]:[07_23]],1)</f>
        <v>47</v>
      </c>
      <c r="AB626" s="175" t="s">
        <v>2211</v>
      </c>
      <c r="AC626" s="3" t="s">
        <v>2064</v>
      </c>
    </row>
    <row r="627" spans="1:29" x14ac:dyDescent="0.3">
      <c r="A627" s="4" t="s">
        <v>1117</v>
      </c>
      <c r="B627" s="3" t="s">
        <v>256</v>
      </c>
      <c r="C627" s="2">
        <v>16956</v>
      </c>
      <c r="D627" s="2">
        <v>143</v>
      </c>
      <c r="F627" s="2">
        <v>0</v>
      </c>
      <c r="G627" s="2">
        <v>12</v>
      </c>
      <c r="H627" s="2">
        <v>0</v>
      </c>
      <c r="I627" s="2">
        <v>0</v>
      </c>
      <c r="J627" s="2">
        <v>10</v>
      </c>
      <c r="K627" s="2">
        <v>0</v>
      </c>
      <c r="L627" s="2">
        <v>0</v>
      </c>
      <c r="M627" s="2">
        <v>0</v>
      </c>
      <c r="N627" s="2">
        <v>0</v>
      </c>
      <c r="O627" s="2">
        <v>0</v>
      </c>
      <c r="P627" s="2">
        <v>30</v>
      </c>
      <c r="Q627" s="2">
        <v>30</v>
      </c>
      <c r="R627" s="274">
        <v>367</v>
      </c>
      <c r="S627" s="253">
        <f xml:space="preserve"> 12</f>
        <v>12</v>
      </c>
      <c r="T627" s="254">
        <f>SUM( tabConsumo[[#This Row],[QTD.PENDENTE]]:tabConsumo[[#This Row],[07_23]] ) / tabConsumo[[#This Row],[Div]]</f>
        <v>6.833333333333333</v>
      </c>
      <c r="U627" s="255">
        <f xml:space="preserve"> tabConsumo[[#This Row],[Média.A]] + (_xlfn.STDEV.S( tabConsumo[[#This Row],[QTD.PENDENTE]]:tabConsumo[[#This Row],[07_23]] ) * 1)</f>
        <v>18.447066061392295</v>
      </c>
      <c r="V627" s="255">
        <f xml:space="preserve"> tabConsumo[[#This Row],[Média.A]] + (_xlfn.STDEV.S( tabConsumo[[#This Row],[QTD.PENDENTE]]:tabConsumo[[#This Row],[07_23]] ) * 2)</f>
        <v>30.060798789451258</v>
      </c>
      <c r="W627" s="255">
        <f xml:space="preserve"> tabConsumo[[#This Row],[Média.A]] + (_xlfn.STDEV.S( tabConsumo[[#This Row],[QTD.PENDENTE]]:tabConsumo[[#This Row],[07_23]] ) * 3)</f>
        <v>41.674531517510225</v>
      </c>
      <c r="X627" s="5">
        <f t="shared" si="21"/>
        <v>2</v>
      </c>
      <c r="Y627">
        <v>6.833333333333333</v>
      </c>
      <c r="Z627" s="257">
        <f>SUM( tabConsumo[[#This Row],[QTD.PENDENTE]]:tabConsumo[[#This Row],[07_23]] )</f>
        <v>82</v>
      </c>
      <c r="AA627" s="257">
        <f>LARGE(tabConsumo[[#This Row],[08_22]:[07_23]],1)</f>
        <v>30</v>
      </c>
      <c r="AB627" s="175" t="s">
        <v>2211</v>
      </c>
      <c r="AC627" s="3" t="s">
        <v>2064</v>
      </c>
    </row>
    <row r="628" spans="1:29" x14ac:dyDescent="0.3">
      <c r="A628" s="4" t="s">
        <v>1684</v>
      </c>
      <c r="B628" s="3" t="s">
        <v>31</v>
      </c>
      <c r="C628" s="2">
        <v>112163</v>
      </c>
      <c r="D628" s="2">
        <v>209</v>
      </c>
      <c r="F628" s="2">
        <v>117</v>
      </c>
      <c r="G628" s="2">
        <v>113</v>
      </c>
      <c r="H628" s="2">
        <v>27</v>
      </c>
      <c r="I628" s="2">
        <v>59</v>
      </c>
      <c r="J628" s="2">
        <v>93</v>
      </c>
      <c r="K628" s="2">
        <v>85</v>
      </c>
      <c r="L628" s="2">
        <v>30</v>
      </c>
      <c r="M628" s="2">
        <v>198</v>
      </c>
      <c r="N628" s="2">
        <v>30</v>
      </c>
      <c r="O628" s="2">
        <v>31</v>
      </c>
      <c r="P628" s="2">
        <v>42</v>
      </c>
      <c r="Q628" s="2">
        <v>50</v>
      </c>
      <c r="R628" s="274">
        <v>40045</v>
      </c>
      <c r="S628" s="253">
        <v>12</v>
      </c>
      <c r="T628" s="254">
        <f>SUM( tabConsumo[[#This Row],[QTD.PENDENTE]]:tabConsumo[[#This Row],[07_23]] ) / tabConsumo[[#This Row],[Div]]</f>
        <v>72.916666666666671</v>
      </c>
      <c r="U628" s="255">
        <f xml:space="preserve"> tabConsumo[[#This Row],[Média.A]] + (_xlfn.STDEV.S( tabConsumo[[#This Row],[QTD.PENDENTE]]:tabConsumo[[#This Row],[07_23]] ) * 1)</f>
        <v>124.23467402069278</v>
      </c>
      <c r="V628" s="255">
        <f xml:space="preserve"> tabConsumo[[#This Row],[Média.A]] + (_xlfn.STDEV.S( tabConsumo[[#This Row],[QTD.PENDENTE]]:tabConsumo[[#This Row],[07_23]] ) * 2)</f>
        <v>175.5526813747189</v>
      </c>
      <c r="W628" s="255">
        <f xml:space="preserve"> tabConsumo[[#This Row],[Média.A]] + (_xlfn.STDEV.S( tabConsumo[[#This Row],[QTD.PENDENTE]]:tabConsumo[[#This Row],[07_23]] ) * 3)</f>
        <v>226.87068872874499</v>
      </c>
      <c r="X628" s="5">
        <f t="shared" si="21"/>
        <v>2</v>
      </c>
      <c r="Y628">
        <v>71</v>
      </c>
      <c r="Z628" s="257">
        <f>SUM( tabConsumo[[#This Row],[QTD.PENDENTE]]:tabConsumo[[#This Row],[07_23]] )</f>
        <v>875</v>
      </c>
      <c r="AA628" s="257">
        <f>LARGE(tabConsumo[[#This Row],[08_22]:[07_23]],1)</f>
        <v>198</v>
      </c>
      <c r="AB628" s="175" t="s">
        <v>2211</v>
      </c>
      <c r="AC628" s="3" t="s">
        <v>2064</v>
      </c>
    </row>
    <row r="629" spans="1:29" x14ac:dyDescent="0.3">
      <c r="A629" s="4" t="s">
        <v>1683</v>
      </c>
      <c r="B629" s="3" t="s">
        <v>31</v>
      </c>
      <c r="C629" s="2">
        <v>112162</v>
      </c>
      <c r="D629" s="2">
        <v>213</v>
      </c>
      <c r="F629" s="2">
        <v>41</v>
      </c>
      <c r="G629" s="2">
        <v>5</v>
      </c>
      <c r="H629" s="2">
        <v>10</v>
      </c>
      <c r="I629" s="2">
        <v>0</v>
      </c>
      <c r="J629" s="2">
        <v>0</v>
      </c>
      <c r="K629" s="2">
        <v>0</v>
      </c>
      <c r="L629" s="2">
        <v>0</v>
      </c>
      <c r="M629" s="2">
        <v>1</v>
      </c>
      <c r="N629" s="2">
        <v>0</v>
      </c>
      <c r="O629" s="2">
        <v>11</v>
      </c>
      <c r="P629" s="2">
        <v>0</v>
      </c>
      <c r="Q629" s="2">
        <v>50</v>
      </c>
      <c r="R629" s="274">
        <v>40045</v>
      </c>
      <c r="S629" s="253">
        <v>12</v>
      </c>
      <c r="T629" s="254">
        <f>SUM( tabConsumo[[#This Row],[QTD.PENDENTE]]:tabConsumo[[#This Row],[07_23]] ) / tabConsumo[[#This Row],[Div]]</f>
        <v>9.8333333333333339</v>
      </c>
      <c r="U629" s="255">
        <f xml:space="preserve"> tabConsumo[[#This Row],[Média.A]] + (_xlfn.STDEV.S( tabConsumo[[#This Row],[QTD.PENDENTE]]:tabConsumo[[#This Row],[07_23]] ) * 1)</f>
        <v>27.068779543414642</v>
      </c>
      <c r="V629" s="255">
        <f xml:space="preserve"> tabConsumo[[#This Row],[Média.A]] + (_xlfn.STDEV.S( tabConsumo[[#This Row],[QTD.PENDENTE]]:tabConsumo[[#This Row],[07_23]] ) * 2)</f>
        <v>44.304225753495949</v>
      </c>
      <c r="W629" s="255">
        <f xml:space="preserve"> tabConsumo[[#This Row],[Média.A]] + (_xlfn.STDEV.S( tabConsumo[[#This Row],[QTD.PENDENTE]]:tabConsumo[[#This Row],[07_23]] ) * 3)</f>
        <v>61.539671963577256</v>
      </c>
      <c r="X629" s="5">
        <f t="shared" si="21"/>
        <v>2</v>
      </c>
      <c r="Y629">
        <v>9.3333333333333339</v>
      </c>
      <c r="Z629" s="257">
        <f>SUM( tabConsumo[[#This Row],[QTD.PENDENTE]]:tabConsumo[[#This Row],[07_23]] )</f>
        <v>118</v>
      </c>
      <c r="AA629" s="257">
        <f>LARGE(tabConsumo[[#This Row],[08_22]:[07_23]],1)</f>
        <v>50</v>
      </c>
      <c r="AB629" s="175" t="s">
        <v>2211</v>
      </c>
      <c r="AC629" s="3" t="s">
        <v>2064</v>
      </c>
    </row>
    <row r="630" spans="1:29" x14ac:dyDescent="0.3">
      <c r="A630" s="4" t="s">
        <v>1333</v>
      </c>
      <c r="B630" s="3" t="s">
        <v>256</v>
      </c>
      <c r="C630" s="2">
        <v>58706</v>
      </c>
      <c r="D630" s="2">
        <v>28</v>
      </c>
      <c r="F630" s="2">
        <v>84</v>
      </c>
      <c r="G630" s="2">
        <v>86</v>
      </c>
      <c r="H630" s="2">
        <v>56</v>
      </c>
      <c r="I630" s="2">
        <v>15</v>
      </c>
      <c r="J630" s="2">
        <v>32</v>
      </c>
      <c r="K630" s="2">
        <v>18</v>
      </c>
      <c r="L630" s="2">
        <v>45</v>
      </c>
      <c r="M630" s="2">
        <v>64</v>
      </c>
      <c r="N630" s="2">
        <v>54</v>
      </c>
      <c r="O630" s="2">
        <v>18</v>
      </c>
      <c r="P630" s="2">
        <v>45</v>
      </c>
      <c r="Q630" s="2">
        <v>32</v>
      </c>
      <c r="R630" s="274">
        <v>367</v>
      </c>
      <c r="S630" s="253">
        <f xml:space="preserve"> 12</f>
        <v>12</v>
      </c>
      <c r="T630" s="254">
        <f>SUM( tabConsumo[[#This Row],[QTD.PENDENTE]]:tabConsumo[[#This Row],[07_23]] ) / tabConsumo[[#This Row],[Div]]</f>
        <v>45.75</v>
      </c>
      <c r="U630" s="255">
        <f xml:space="preserve"> tabConsumo[[#This Row],[Média.A]] + (_xlfn.STDEV.S( tabConsumo[[#This Row],[QTD.PENDENTE]]:tabConsumo[[#This Row],[07_23]] ) * 1)</f>
        <v>69.972923027578645</v>
      </c>
      <c r="V630" s="255">
        <f xml:space="preserve"> tabConsumo[[#This Row],[Média.A]] + (_xlfn.STDEV.S( tabConsumo[[#This Row],[QTD.PENDENTE]]:tabConsumo[[#This Row],[07_23]] ) * 2)</f>
        <v>94.19584605515729</v>
      </c>
      <c r="W630" s="255">
        <f xml:space="preserve"> tabConsumo[[#This Row],[Média.A]] + (_xlfn.STDEV.S( tabConsumo[[#This Row],[QTD.PENDENTE]]:tabConsumo[[#This Row],[07_23]] ) * 3)</f>
        <v>118.41876908273595</v>
      </c>
      <c r="X630" s="5">
        <f t="shared" si="21"/>
        <v>2</v>
      </c>
      <c r="Y630">
        <v>45.75</v>
      </c>
      <c r="Z630" s="257">
        <f>SUM( tabConsumo[[#This Row],[QTD.PENDENTE]]:tabConsumo[[#This Row],[07_23]] )</f>
        <v>549</v>
      </c>
      <c r="AA630" s="257">
        <f>LARGE(tabConsumo[[#This Row],[08_22]:[07_23]],1)</f>
        <v>86</v>
      </c>
      <c r="AB630" s="175" t="s">
        <v>2211</v>
      </c>
      <c r="AC630" s="3" t="s">
        <v>2064</v>
      </c>
    </row>
    <row r="631" spans="1:29" x14ac:dyDescent="0.3">
      <c r="A631" s="4" t="s">
        <v>1891</v>
      </c>
      <c r="B631" s="3" t="s">
        <v>256</v>
      </c>
      <c r="C631" s="2">
        <v>134570</v>
      </c>
      <c r="D631" s="2">
        <v>0</v>
      </c>
      <c r="E631" s="2">
        <v>34</v>
      </c>
      <c r="F631" s="2">
        <v>30</v>
      </c>
      <c r="G631" s="2">
        <v>41</v>
      </c>
      <c r="H631" s="2">
        <v>10</v>
      </c>
      <c r="I631" s="2">
        <v>20</v>
      </c>
      <c r="J631" s="2">
        <v>30</v>
      </c>
      <c r="K631" s="2">
        <v>40</v>
      </c>
      <c r="L631" s="2">
        <v>6</v>
      </c>
      <c r="M631" s="2">
        <v>0</v>
      </c>
      <c r="N631" s="2">
        <v>0</v>
      </c>
      <c r="O631" s="2">
        <v>0</v>
      </c>
      <c r="P631" s="2">
        <v>0</v>
      </c>
      <c r="Q631" s="2">
        <v>0</v>
      </c>
      <c r="R631" s="274">
        <v>43174</v>
      </c>
      <c r="S631" s="253">
        <v>12</v>
      </c>
      <c r="T631" s="254">
        <f>SUM( tabConsumo[[#This Row],[QTD.PENDENTE]]:tabConsumo[[#This Row],[07_23]] ) / tabConsumo[[#This Row],[Div]]</f>
        <v>17.583333333333332</v>
      </c>
      <c r="U631" s="255">
        <f xml:space="preserve"> tabConsumo[[#This Row],[Média.A]] + (_xlfn.STDEV.S( tabConsumo[[#This Row],[QTD.PENDENTE]]:tabConsumo[[#This Row],[07_23]] ) * 1)</f>
        <v>34.287393948215005</v>
      </c>
      <c r="V631" s="255">
        <f xml:space="preserve"> tabConsumo[[#This Row],[Média.A]] + (_xlfn.STDEV.S( tabConsumo[[#This Row],[QTD.PENDENTE]]:tabConsumo[[#This Row],[07_23]] ) * 2)</f>
        <v>50.991454563096681</v>
      </c>
      <c r="W631" s="255">
        <f xml:space="preserve"> tabConsumo[[#This Row],[Média.A]] + (_xlfn.STDEV.S( tabConsumo[[#This Row],[QTD.PENDENTE]]:tabConsumo[[#This Row],[07_23]] ) * 3)</f>
        <v>67.695515177978351</v>
      </c>
      <c r="X631" s="5">
        <f t="shared" si="21"/>
        <v>2</v>
      </c>
      <c r="Y631">
        <v>17.583333333333332</v>
      </c>
      <c r="Z631" s="257">
        <f>SUM( tabConsumo[[#This Row],[QTD.PENDENTE]]:tabConsumo[[#This Row],[07_23]] )</f>
        <v>211</v>
      </c>
      <c r="AA631" s="257">
        <f>LARGE(tabConsumo[[#This Row],[08_22]:[07_23]],1)</f>
        <v>41</v>
      </c>
      <c r="AB631" s="175" t="s">
        <v>2221</v>
      </c>
      <c r="AC631" s="3" t="s">
        <v>2064</v>
      </c>
    </row>
    <row r="632" spans="1:29" x14ac:dyDescent="0.3">
      <c r="A632" s="4" t="s">
        <v>1878</v>
      </c>
      <c r="B632" s="3" t="s">
        <v>256</v>
      </c>
      <c r="C632" s="2">
        <v>134558</v>
      </c>
      <c r="D632" s="2">
        <v>17660</v>
      </c>
      <c r="F632" s="2">
        <v>0</v>
      </c>
      <c r="G632" s="2">
        <v>0</v>
      </c>
      <c r="H632" s="2">
        <v>0</v>
      </c>
      <c r="I632" s="2">
        <v>0</v>
      </c>
      <c r="J632" s="2">
        <v>0</v>
      </c>
      <c r="K632" s="2">
        <v>0</v>
      </c>
      <c r="L632" s="2">
        <v>0</v>
      </c>
      <c r="M632" s="2">
        <v>200</v>
      </c>
      <c r="N632" s="2">
        <v>0</v>
      </c>
      <c r="O632" s="2">
        <v>0</v>
      </c>
      <c r="P632" s="2">
        <v>0</v>
      </c>
      <c r="Q632" s="2">
        <v>0</v>
      </c>
      <c r="R632" s="274">
        <v>43174</v>
      </c>
      <c r="S632" s="253">
        <v>12</v>
      </c>
      <c r="T632" s="254">
        <f>SUM( tabConsumo[[#This Row],[QTD.PENDENTE]]:tabConsumo[[#This Row],[07_23]] ) / tabConsumo[[#This Row],[Div]]</f>
        <v>16.666666666666668</v>
      </c>
      <c r="U632" s="255">
        <f xml:space="preserve"> tabConsumo[[#This Row],[Média.A]] + (_xlfn.STDEV.S( tabConsumo[[#This Row],[QTD.PENDENTE]]:tabConsumo[[#This Row],[07_23]] ) * 1)</f>
        <v>74.401693585629246</v>
      </c>
      <c r="V632" s="255">
        <f xml:space="preserve"> tabConsumo[[#This Row],[Média.A]] + (_xlfn.STDEV.S( tabConsumo[[#This Row],[QTD.PENDENTE]]:tabConsumo[[#This Row],[07_23]] ) * 2)</f>
        <v>132.13672050459181</v>
      </c>
      <c r="W632" s="255">
        <f xml:space="preserve"> tabConsumo[[#This Row],[Média.A]] + (_xlfn.STDEV.S( tabConsumo[[#This Row],[QTD.PENDENTE]]:tabConsumo[[#This Row],[07_23]] ) * 3)</f>
        <v>189.87174742355438</v>
      </c>
      <c r="X632" s="5">
        <f t="shared" si="21"/>
        <v>2</v>
      </c>
      <c r="Y632">
        <v>11</v>
      </c>
      <c r="Z632" s="257">
        <f>SUM( tabConsumo[[#This Row],[QTD.PENDENTE]]:tabConsumo[[#This Row],[07_23]] )</f>
        <v>200</v>
      </c>
      <c r="AA632" s="257">
        <f>LARGE(tabConsumo[[#This Row],[08_22]:[07_23]],1)</f>
        <v>200</v>
      </c>
      <c r="AB632" s="175" t="s">
        <v>2217</v>
      </c>
      <c r="AC632" s="3" t="s">
        <v>2064</v>
      </c>
    </row>
    <row r="633" spans="1:29" x14ac:dyDescent="0.3">
      <c r="A633" s="4" t="s">
        <v>1880</v>
      </c>
      <c r="B633" s="3" t="s">
        <v>256</v>
      </c>
      <c r="C633" s="2">
        <v>134559</v>
      </c>
      <c r="D633" s="2">
        <v>15800</v>
      </c>
      <c r="F633" s="2">
        <v>0</v>
      </c>
      <c r="G633" s="2">
        <v>0</v>
      </c>
      <c r="H633" s="2">
        <v>400</v>
      </c>
      <c r="I633" s="2">
        <v>0</v>
      </c>
      <c r="J633" s="2">
        <v>300</v>
      </c>
      <c r="K633" s="2">
        <v>0</v>
      </c>
      <c r="L633" s="2">
        <v>0</v>
      </c>
      <c r="M633" s="2">
        <v>200</v>
      </c>
      <c r="N633" s="2">
        <v>0</v>
      </c>
      <c r="O633" s="2">
        <v>0</v>
      </c>
      <c r="P633" s="2">
        <v>1000</v>
      </c>
      <c r="Q633" s="2">
        <v>0</v>
      </c>
      <c r="R633" s="274">
        <v>43174</v>
      </c>
      <c r="S633" s="253">
        <v>12</v>
      </c>
      <c r="T633" s="254">
        <f>SUM( tabConsumo[[#This Row],[QTD.PENDENTE]]:tabConsumo[[#This Row],[07_23]] ) / tabConsumo[[#This Row],[Div]]</f>
        <v>158.33333333333334</v>
      </c>
      <c r="U633" s="255">
        <f xml:space="preserve"> tabConsumo[[#This Row],[Média.A]] + (_xlfn.STDEV.S( tabConsumo[[#This Row],[QTD.PENDENTE]]:tabConsumo[[#This Row],[07_23]] ) * 1)</f>
        <v>458.20704412546399</v>
      </c>
      <c r="V633" s="255">
        <f xml:space="preserve"> tabConsumo[[#This Row],[Média.A]] + (_xlfn.STDEV.S( tabConsumo[[#This Row],[QTD.PENDENTE]]:tabConsumo[[#This Row],[07_23]] ) * 2)</f>
        <v>758.08075491759473</v>
      </c>
      <c r="W633" s="255">
        <f xml:space="preserve"> tabConsumo[[#This Row],[Média.A]] + (_xlfn.STDEV.S( tabConsumo[[#This Row],[QTD.PENDENTE]]:tabConsumo[[#This Row],[07_23]] ) * 3)</f>
        <v>1057.9544657097254</v>
      </c>
      <c r="X633" s="5">
        <f t="shared" si="21"/>
        <v>2</v>
      </c>
      <c r="Y633">
        <v>138.16666666666666</v>
      </c>
      <c r="Z633" s="257">
        <f>SUM( tabConsumo[[#This Row],[QTD.PENDENTE]]:tabConsumo[[#This Row],[07_23]] )</f>
        <v>1900</v>
      </c>
      <c r="AA633" s="257">
        <f>LARGE(tabConsumo[[#This Row],[08_22]:[07_23]],1)</f>
        <v>1000</v>
      </c>
      <c r="AB633" s="175" t="s">
        <v>2212</v>
      </c>
      <c r="AC633" s="3" t="s">
        <v>2064</v>
      </c>
    </row>
    <row r="634" spans="1:29" x14ac:dyDescent="0.3">
      <c r="A634" s="4" t="s">
        <v>1367</v>
      </c>
      <c r="B634" s="3" t="s">
        <v>256</v>
      </c>
      <c r="C634" s="2">
        <v>64462</v>
      </c>
      <c r="D634" s="2">
        <v>3061</v>
      </c>
      <c r="F634" s="2">
        <v>200</v>
      </c>
      <c r="G634" s="2">
        <v>40</v>
      </c>
      <c r="H634" s="2">
        <v>824</v>
      </c>
      <c r="I634" s="2">
        <v>1000</v>
      </c>
      <c r="J634" s="2">
        <v>560</v>
      </c>
      <c r="K634" s="2">
        <v>565</v>
      </c>
      <c r="L634" s="2">
        <v>590</v>
      </c>
      <c r="M634" s="2">
        <v>100</v>
      </c>
      <c r="N634" s="2">
        <v>500</v>
      </c>
      <c r="O634" s="2">
        <v>200</v>
      </c>
      <c r="P634" s="2">
        <v>0</v>
      </c>
      <c r="Q634" s="2">
        <v>0</v>
      </c>
      <c r="R634" s="274">
        <v>367</v>
      </c>
      <c r="S634" s="253">
        <f xml:space="preserve"> 12</f>
        <v>12</v>
      </c>
      <c r="T634" s="254">
        <f>SUM( tabConsumo[[#This Row],[QTD.PENDENTE]]:tabConsumo[[#This Row],[07_23]] ) / tabConsumo[[#This Row],[Div]]</f>
        <v>381.58333333333331</v>
      </c>
      <c r="U634" s="255">
        <f xml:space="preserve"> tabConsumo[[#This Row],[Média.A]] + (_xlfn.STDEV.S( tabConsumo[[#This Row],[QTD.PENDENTE]]:tabConsumo[[#This Row],[07_23]] ) * 1)</f>
        <v>719.25327932237519</v>
      </c>
      <c r="V634" s="255">
        <f xml:space="preserve"> tabConsumo[[#This Row],[Média.A]] + (_xlfn.STDEV.S( tabConsumo[[#This Row],[QTD.PENDENTE]]:tabConsumo[[#This Row],[07_23]] ) * 2)</f>
        <v>1056.9232253114169</v>
      </c>
      <c r="W634" s="255">
        <f xml:space="preserve"> tabConsumo[[#This Row],[Média.A]] + (_xlfn.STDEV.S( tabConsumo[[#This Row],[QTD.PENDENTE]]:tabConsumo[[#This Row],[07_23]] ) * 3)</f>
        <v>1394.5931713004588</v>
      </c>
      <c r="X634" s="5">
        <f t="shared" si="21"/>
        <v>2</v>
      </c>
      <c r="Y634">
        <v>381.58333333333331</v>
      </c>
      <c r="Z634" s="257">
        <f>SUM( tabConsumo[[#This Row],[QTD.PENDENTE]]:tabConsumo[[#This Row],[07_23]] )</f>
        <v>4579</v>
      </c>
      <c r="AA634" s="257">
        <f>LARGE(tabConsumo[[#This Row],[08_22]:[07_23]],1)</f>
        <v>1000</v>
      </c>
      <c r="AB634" s="175" t="s">
        <v>2214</v>
      </c>
      <c r="AC634" s="3" t="s">
        <v>2064</v>
      </c>
    </row>
    <row r="635" spans="1:29" x14ac:dyDescent="0.3">
      <c r="A635" s="4" t="s">
        <v>1979</v>
      </c>
      <c r="B635" s="3" t="s">
        <v>629</v>
      </c>
      <c r="C635" s="2">
        <v>139957</v>
      </c>
      <c r="D635" s="2">
        <v>988</v>
      </c>
      <c r="E635" s="2">
        <v>46.42</v>
      </c>
      <c r="F635" s="2">
        <v>609.58000000000004</v>
      </c>
      <c r="G635" s="2">
        <v>0</v>
      </c>
      <c r="H635" s="2">
        <v>0</v>
      </c>
      <c r="I635" s="2">
        <v>0</v>
      </c>
      <c r="J635" s="2">
        <v>998</v>
      </c>
      <c r="K635" s="2">
        <v>523</v>
      </c>
      <c r="L635" s="2">
        <v>2</v>
      </c>
      <c r="M635" s="2">
        <v>3</v>
      </c>
      <c r="N635" s="2">
        <v>1</v>
      </c>
      <c r="O635" s="2">
        <v>0</v>
      </c>
      <c r="P635" s="2">
        <v>9</v>
      </c>
      <c r="Q635" s="2">
        <v>0</v>
      </c>
      <c r="R635" s="274">
        <v>44075</v>
      </c>
      <c r="S635" s="253">
        <v>12</v>
      </c>
      <c r="T635" s="254">
        <f>SUM( tabConsumo[[#This Row],[QTD.PENDENTE]]:tabConsumo[[#This Row],[07_23]] ) / tabConsumo[[#This Row],[Div]]</f>
        <v>182.66666666666666</v>
      </c>
      <c r="U635" s="255">
        <f xml:space="preserve"> tabConsumo[[#This Row],[Média.A]] + (_xlfn.STDEV.S( tabConsumo[[#This Row],[QTD.PENDENTE]]:tabConsumo[[#This Row],[07_23]] ) * 1)</f>
        <v>508.46896737000691</v>
      </c>
      <c r="V635" s="255">
        <f xml:space="preserve"> tabConsumo[[#This Row],[Média.A]] + (_xlfn.STDEV.S( tabConsumo[[#This Row],[QTD.PENDENTE]]:tabConsumo[[#This Row],[07_23]] ) * 2)</f>
        <v>834.27126807334719</v>
      </c>
      <c r="W635" s="255">
        <f xml:space="preserve"> tabConsumo[[#This Row],[Média.A]] + (_xlfn.STDEV.S( tabConsumo[[#This Row],[QTD.PENDENTE]]:tabConsumo[[#This Row],[07_23]] ) * 3)</f>
        <v>1160.0735687766876</v>
      </c>
      <c r="X635" s="5">
        <f t="shared" si="21"/>
        <v>2</v>
      </c>
      <c r="Y635">
        <v>169</v>
      </c>
      <c r="Z635" s="257">
        <f>SUM( tabConsumo[[#This Row],[QTD.PENDENTE]]:tabConsumo[[#This Row],[07_23]] )</f>
        <v>2192</v>
      </c>
      <c r="AA635" s="257">
        <f>LARGE(tabConsumo[[#This Row],[08_22]:[07_23]],1)</f>
        <v>998</v>
      </c>
      <c r="AB635" s="175" t="s">
        <v>2212</v>
      </c>
      <c r="AC635" s="3" t="s">
        <v>2064</v>
      </c>
    </row>
    <row r="636" spans="1:29" x14ac:dyDescent="0.3">
      <c r="A636" s="4" t="s">
        <v>1980</v>
      </c>
      <c r="B636" s="3" t="s">
        <v>629</v>
      </c>
      <c r="C636" s="2">
        <v>139958</v>
      </c>
      <c r="D636" s="2">
        <v>0</v>
      </c>
      <c r="E636" s="2">
        <v>15.45</v>
      </c>
      <c r="F636" s="2">
        <v>1405</v>
      </c>
      <c r="G636" s="2">
        <v>1392</v>
      </c>
      <c r="H636" s="2">
        <v>1677.55</v>
      </c>
      <c r="I636" s="2">
        <v>0</v>
      </c>
      <c r="J636" s="2">
        <v>72</v>
      </c>
      <c r="K636" s="2">
        <v>0</v>
      </c>
      <c r="L636" s="2">
        <v>5</v>
      </c>
      <c r="M636" s="2">
        <v>3</v>
      </c>
      <c r="N636" s="2">
        <v>0</v>
      </c>
      <c r="O636" s="2">
        <v>0</v>
      </c>
      <c r="P636" s="2">
        <v>0</v>
      </c>
      <c r="Q636" s="2">
        <v>0</v>
      </c>
      <c r="R636" s="274">
        <v>44075</v>
      </c>
      <c r="S636" s="253">
        <v>12</v>
      </c>
      <c r="T636" s="254">
        <f>SUM( tabConsumo[[#This Row],[QTD.PENDENTE]]:tabConsumo[[#This Row],[07_23]] ) / tabConsumo[[#This Row],[Div]]</f>
        <v>380.83333333333331</v>
      </c>
      <c r="U636" s="255">
        <f xml:space="preserve"> tabConsumo[[#This Row],[Média.A]] + (_xlfn.STDEV.S( tabConsumo[[#This Row],[QTD.PENDENTE]]:tabConsumo[[#This Row],[07_23]] ) * 1)</f>
        <v>1034.3360071208519</v>
      </c>
      <c r="V636" s="255">
        <f xml:space="preserve"> tabConsumo[[#This Row],[Média.A]] + (_xlfn.STDEV.S( tabConsumo[[#This Row],[QTD.PENDENTE]]:tabConsumo[[#This Row],[07_23]] ) * 2)</f>
        <v>1687.8386809083704</v>
      </c>
      <c r="W636" s="255">
        <f xml:space="preserve"> tabConsumo[[#This Row],[Média.A]] + (_xlfn.STDEV.S( tabConsumo[[#This Row],[QTD.PENDENTE]]:tabConsumo[[#This Row],[07_23]] ) * 3)</f>
        <v>2341.3413546958891</v>
      </c>
      <c r="X636" s="5">
        <f t="shared" si="21"/>
        <v>2</v>
      </c>
      <c r="Y636">
        <v>380.83333333333331</v>
      </c>
      <c r="Z636" s="257">
        <f>SUM( tabConsumo[[#This Row],[QTD.PENDENTE]]:tabConsumo[[#This Row],[07_23]] )</f>
        <v>4570</v>
      </c>
      <c r="AA636" s="257">
        <f>LARGE(tabConsumo[[#This Row],[08_22]:[07_23]],1)</f>
        <v>1677.55</v>
      </c>
      <c r="AB636" s="175" t="s">
        <v>2217</v>
      </c>
      <c r="AC636" s="3" t="s">
        <v>2064</v>
      </c>
    </row>
    <row r="637" spans="1:29" x14ac:dyDescent="0.3">
      <c r="A637" s="4" t="s">
        <v>1053</v>
      </c>
      <c r="B637" s="3" t="s">
        <v>256</v>
      </c>
      <c r="C637" s="2">
        <v>14056</v>
      </c>
      <c r="D637" s="2">
        <v>122</v>
      </c>
      <c r="F637" s="2">
        <v>0</v>
      </c>
      <c r="G637" s="2">
        <v>2</v>
      </c>
      <c r="H637" s="2">
        <v>1</v>
      </c>
      <c r="I637" s="2">
        <v>1</v>
      </c>
      <c r="J637" s="2">
        <v>0</v>
      </c>
      <c r="K637" s="2">
        <v>1</v>
      </c>
      <c r="L637" s="2">
        <v>1</v>
      </c>
      <c r="M637" s="2">
        <v>0</v>
      </c>
      <c r="N637" s="2">
        <v>0</v>
      </c>
      <c r="O637" s="2">
        <v>0</v>
      </c>
      <c r="P637" s="2">
        <v>2</v>
      </c>
      <c r="Q637" s="2">
        <v>0</v>
      </c>
      <c r="R637" s="274">
        <v>367</v>
      </c>
      <c r="S637" s="253">
        <f xml:space="preserve"> 12</f>
        <v>12</v>
      </c>
      <c r="T637" s="254">
        <f>SUM( tabConsumo[[#This Row],[QTD.PENDENTE]]:tabConsumo[[#This Row],[07_23]] ) / tabConsumo[[#This Row],[Div]]</f>
        <v>0.66666666666666663</v>
      </c>
      <c r="U637" s="255">
        <f xml:space="preserve"> tabConsumo[[#This Row],[Média.A]] + (_xlfn.STDEV.S( tabConsumo[[#This Row],[QTD.PENDENTE]]:tabConsumo[[#This Row],[07_23]] ) * 1)</f>
        <v>1.4451656108281896</v>
      </c>
      <c r="V637" s="255">
        <f xml:space="preserve"> tabConsumo[[#This Row],[Média.A]] + (_xlfn.STDEV.S( tabConsumo[[#This Row],[QTD.PENDENTE]]:tabConsumo[[#This Row],[07_23]] ) * 2)</f>
        <v>2.2236645549897127</v>
      </c>
      <c r="W637" s="255">
        <f xml:space="preserve"> tabConsumo[[#This Row],[Média.A]] + (_xlfn.STDEV.S( tabConsumo[[#This Row],[QTD.PENDENTE]]:tabConsumo[[#This Row],[07_23]] ) * 3)</f>
        <v>3.0021634991512354</v>
      </c>
      <c r="X637" s="5">
        <f t="shared" si="21"/>
        <v>2</v>
      </c>
      <c r="Y637">
        <v>0.66666666666666663</v>
      </c>
      <c r="Z637" s="257">
        <f>SUM( tabConsumo[[#This Row],[QTD.PENDENTE]]:tabConsumo[[#This Row],[07_23]] )</f>
        <v>8</v>
      </c>
      <c r="AA637" s="257">
        <f>LARGE(tabConsumo[[#This Row],[08_22]:[07_23]],1)</f>
        <v>2</v>
      </c>
      <c r="AB637" s="175" t="s">
        <v>2212</v>
      </c>
      <c r="AC637" s="3" t="s">
        <v>2064</v>
      </c>
    </row>
    <row r="638" spans="1:29" x14ac:dyDescent="0.3">
      <c r="A638" s="4" t="s">
        <v>1484</v>
      </c>
      <c r="B638" s="3" t="s">
        <v>256</v>
      </c>
      <c r="C638" s="2">
        <v>87247</v>
      </c>
      <c r="D638" s="2">
        <v>347</v>
      </c>
      <c r="F638" s="2">
        <v>0</v>
      </c>
      <c r="G638" s="2">
        <v>0</v>
      </c>
      <c r="H638" s="2">
        <v>0</v>
      </c>
      <c r="I638" s="2">
        <v>4</v>
      </c>
      <c r="J638" s="2">
        <v>10</v>
      </c>
      <c r="K638" s="2">
        <v>3</v>
      </c>
      <c r="L638" s="2">
        <v>0</v>
      </c>
      <c r="M638" s="2">
        <v>20</v>
      </c>
      <c r="N638" s="2">
        <v>0</v>
      </c>
      <c r="O638" s="2">
        <v>0</v>
      </c>
      <c r="P638" s="2">
        <v>2</v>
      </c>
      <c r="Q638" s="2">
        <v>0</v>
      </c>
      <c r="R638" s="274">
        <v>38581</v>
      </c>
      <c r="S638" s="253">
        <v>12</v>
      </c>
      <c r="T638" s="254">
        <f>SUM( tabConsumo[[#This Row],[QTD.PENDENTE]]:tabConsumo[[#This Row],[07_23]] ) / tabConsumo[[#This Row],[Div]]</f>
        <v>3.25</v>
      </c>
      <c r="U638" s="255">
        <f xml:space="preserve"> tabConsumo[[#This Row],[Média.A]] + (_xlfn.STDEV.S( tabConsumo[[#This Row],[QTD.PENDENTE]]:tabConsumo[[#This Row],[07_23]] ) * 1)</f>
        <v>9.2971631215125843</v>
      </c>
      <c r="V638" s="255">
        <f xml:space="preserve"> tabConsumo[[#This Row],[Média.A]] + (_xlfn.STDEV.S( tabConsumo[[#This Row],[QTD.PENDENTE]]:tabConsumo[[#This Row],[07_23]] ) * 2)</f>
        <v>15.344326243025169</v>
      </c>
      <c r="W638" s="255">
        <f xml:space="preserve"> tabConsumo[[#This Row],[Média.A]] + (_xlfn.STDEV.S( tabConsumo[[#This Row],[QTD.PENDENTE]]:tabConsumo[[#This Row],[07_23]] ) * 3)</f>
        <v>21.391489364537755</v>
      </c>
      <c r="X638" s="5">
        <f t="shared" si="21"/>
        <v>2</v>
      </c>
      <c r="Y638">
        <v>2.8333333333333335</v>
      </c>
      <c r="Z638" s="257">
        <f>SUM( tabConsumo[[#This Row],[QTD.PENDENTE]]:tabConsumo[[#This Row],[07_23]] )</f>
        <v>39</v>
      </c>
      <c r="AA638" s="257">
        <f>LARGE(tabConsumo[[#This Row],[08_22]:[07_23]],1)</f>
        <v>20</v>
      </c>
      <c r="AB638" s="175" t="s">
        <v>2212</v>
      </c>
      <c r="AC638" s="3" t="s">
        <v>2064</v>
      </c>
    </row>
    <row r="639" spans="1:29" x14ac:dyDescent="0.3">
      <c r="A639" s="4" t="s">
        <v>1585</v>
      </c>
      <c r="B639" s="3" t="s">
        <v>256</v>
      </c>
      <c r="C639" s="2">
        <v>102832</v>
      </c>
      <c r="D639" s="2">
        <v>75</v>
      </c>
      <c r="F639" s="2">
        <v>0</v>
      </c>
      <c r="G639" s="2">
        <v>0</v>
      </c>
      <c r="H639" s="2">
        <v>0</v>
      </c>
      <c r="I639" s="2">
        <v>10</v>
      </c>
      <c r="J639" s="2">
        <v>0</v>
      </c>
      <c r="K639" s="2">
        <v>13</v>
      </c>
      <c r="L639" s="2">
        <v>12</v>
      </c>
      <c r="M639" s="2">
        <v>5</v>
      </c>
      <c r="N639" s="2">
        <v>0</v>
      </c>
      <c r="O639" s="2">
        <v>50</v>
      </c>
      <c r="P639" s="2">
        <v>0</v>
      </c>
      <c r="Q639" s="2">
        <v>0</v>
      </c>
      <c r="R639" s="274">
        <v>39377</v>
      </c>
      <c r="S639" s="253">
        <v>12</v>
      </c>
      <c r="T639" s="254">
        <f>SUM( tabConsumo[[#This Row],[QTD.PENDENTE]]:tabConsumo[[#This Row],[07_23]] ) / tabConsumo[[#This Row],[Div]]</f>
        <v>7.5</v>
      </c>
      <c r="U639" s="255">
        <f xml:space="preserve"> tabConsumo[[#This Row],[Média.A]] + (_xlfn.STDEV.S( tabConsumo[[#This Row],[QTD.PENDENTE]]:tabConsumo[[#This Row],[07_23]] ) * 1)</f>
        <v>21.843196042977056</v>
      </c>
      <c r="V639" s="255">
        <f xml:space="preserve"> tabConsumo[[#This Row],[Média.A]] + (_xlfn.STDEV.S( tabConsumo[[#This Row],[QTD.PENDENTE]]:tabConsumo[[#This Row],[07_23]] ) * 2)</f>
        <v>36.186392085954111</v>
      </c>
      <c r="W639" s="255">
        <f xml:space="preserve"> tabConsumo[[#This Row],[Média.A]] + (_xlfn.STDEV.S( tabConsumo[[#This Row],[QTD.PENDENTE]]:tabConsumo[[#This Row],[07_23]] ) * 3)</f>
        <v>50.529588128931174</v>
      </c>
      <c r="X639" s="5">
        <f t="shared" si="21"/>
        <v>2</v>
      </c>
      <c r="Y639">
        <v>6.333333333333333</v>
      </c>
      <c r="Z639" s="257">
        <f>SUM( tabConsumo[[#This Row],[QTD.PENDENTE]]:tabConsumo[[#This Row],[07_23]] )</f>
        <v>90</v>
      </c>
      <c r="AA639" s="257">
        <f>LARGE(tabConsumo[[#This Row],[08_22]:[07_23]],1)</f>
        <v>50</v>
      </c>
      <c r="AB639" s="175" t="s">
        <v>2214</v>
      </c>
      <c r="AC639" s="3" t="s">
        <v>2064</v>
      </c>
    </row>
    <row r="640" spans="1:29" x14ac:dyDescent="0.3">
      <c r="A640" s="4" t="s">
        <v>1203</v>
      </c>
      <c r="B640" s="3" t="s">
        <v>400</v>
      </c>
      <c r="C640" s="2">
        <v>24888</v>
      </c>
      <c r="D640" s="2">
        <v>96</v>
      </c>
      <c r="F640" s="2">
        <v>0</v>
      </c>
      <c r="G640" s="2">
        <v>5</v>
      </c>
      <c r="H640" s="2">
        <v>0</v>
      </c>
      <c r="I640" s="2">
        <v>0</v>
      </c>
      <c r="J640" s="2">
        <v>0</v>
      </c>
      <c r="K640" s="2">
        <v>0</v>
      </c>
      <c r="L640" s="2">
        <v>0</v>
      </c>
      <c r="M640" s="2">
        <v>1</v>
      </c>
      <c r="N640" s="2">
        <v>0</v>
      </c>
      <c r="O640" s="2">
        <v>0</v>
      </c>
      <c r="P640" s="2">
        <v>0</v>
      </c>
      <c r="Q640" s="2">
        <v>0</v>
      </c>
      <c r="R640" s="274">
        <v>367</v>
      </c>
      <c r="S640" s="253">
        <f t="shared" ref="S640:S649" si="22" xml:space="preserve"> 12</f>
        <v>12</v>
      </c>
      <c r="T640" s="254">
        <f>SUM( tabConsumo[[#This Row],[QTD.PENDENTE]]:tabConsumo[[#This Row],[07_23]] ) / tabConsumo[[#This Row],[Div]]</f>
        <v>0.5</v>
      </c>
      <c r="U640" s="255">
        <f xml:space="preserve"> tabConsumo[[#This Row],[Média.A]] + (_xlfn.STDEV.S( tabConsumo[[#This Row],[QTD.PENDENTE]]:tabConsumo[[#This Row],[07_23]] ) * 1)</f>
        <v>1.9459976109624424</v>
      </c>
      <c r="V640" s="255">
        <f xml:space="preserve"> tabConsumo[[#This Row],[Média.A]] + (_xlfn.STDEV.S( tabConsumo[[#This Row],[QTD.PENDENTE]]:tabConsumo[[#This Row],[07_23]] ) * 2)</f>
        <v>3.3919952219248848</v>
      </c>
      <c r="W640" s="255">
        <f xml:space="preserve"> tabConsumo[[#This Row],[Média.A]] + (_xlfn.STDEV.S( tabConsumo[[#This Row],[QTD.PENDENTE]]:tabConsumo[[#This Row],[07_23]] ) * 3)</f>
        <v>4.837992832887327</v>
      </c>
      <c r="X640" s="5">
        <f t="shared" si="21"/>
        <v>2</v>
      </c>
      <c r="Y640">
        <v>0.33333333333333331</v>
      </c>
      <c r="Z640" s="257">
        <f>SUM( tabConsumo[[#This Row],[QTD.PENDENTE]]:tabConsumo[[#This Row],[07_23]] )</f>
        <v>6</v>
      </c>
      <c r="AA640" s="257">
        <f>LARGE(tabConsumo[[#This Row],[08_22]:[07_23]],1)</f>
        <v>5</v>
      </c>
      <c r="AB640" s="175" t="s">
        <v>2217</v>
      </c>
      <c r="AC640" s="3" t="s">
        <v>2064</v>
      </c>
    </row>
    <row r="641" spans="1:29" x14ac:dyDescent="0.3">
      <c r="A641" s="4" t="s">
        <v>1143</v>
      </c>
      <c r="B641" s="3" t="s">
        <v>400</v>
      </c>
      <c r="C641" s="2">
        <v>18337</v>
      </c>
      <c r="D641" s="2">
        <v>22</v>
      </c>
      <c r="F641" s="2">
        <v>1</v>
      </c>
      <c r="G641" s="2">
        <v>5</v>
      </c>
      <c r="H641" s="2">
        <v>0</v>
      </c>
      <c r="I641" s="2">
        <v>0</v>
      </c>
      <c r="J641" s="2">
        <v>0</v>
      </c>
      <c r="K641" s="2">
        <v>1</v>
      </c>
      <c r="L641" s="2">
        <v>0</v>
      </c>
      <c r="M641" s="2">
        <v>0</v>
      </c>
      <c r="N641" s="2">
        <v>0</v>
      </c>
      <c r="O641" s="2">
        <v>0</v>
      </c>
      <c r="P641" s="2">
        <v>0</v>
      </c>
      <c r="Q641" s="2">
        <v>0</v>
      </c>
      <c r="R641" s="274">
        <v>367</v>
      </c>
      <c r="S641" s="253">
        <f t="shared" si="22"/>
        <v>12</v>
      </c>
      <c r="T641" s="254">
        <f>SUM( tabConsumo[[#This Row],[QTD.PENDENTE]]:tabConsumo[[#This Row],[07_23]] ) / tabConsumo[[#This Row],[Div]]</f>
        <v>0.58333333333333337</v>
      </c>
      <c r="U641" s="255">
        <f xml:space="preserve"> tabConsumo[[#This Row],[Média.A]] + (_xlfn.STDEV.S( tabConsumo[[#This Row],[QTD.PENDENTE]]:tabConsumo[[#This Row],[07_23]] ) * 1)</f>
        <v>2.026709006307398</v>
      </c>
      <c r="V641" s="255">
        <f xml:space="preserve"> tabConsumo[[#This Row],[Média.A]] + (_xlfn.STDEV.S( tabConsumo[[#This Row],[QTD.PENDENTE]]:tabConsumo[[#This Row],[07_23]] ) * 2)</f>
        <v>3.4700846792814626</v>
      </c>
      <c r="W641" s="255">
        <f xml:space="preserve"> tabConsumo[[#This Row],[Média.A]] + (_xlfn.STDEV.S( tabConsumo[[#This Row],[QTD.PENDENTE]]:tabConsumo[[#This Row],[07_23]] ) * 3)</f>
        <v>4.9134603522555267</v>
      </c>
      <c r="X641" s="5">
        <f t="shared" si="21"/>
        <v>2</v>
      </c>
      <c r="Y641">
        <v>0.41666666666666669</v>
      </c>
      <c r="Z641" s="257">
        <f>SUM( tabConsumo[[#This Row],[QTD.PENDENTE]]:tabConsumo[[#This Row],[07_23]] )</f>
        <v>7</v>
      </c>
      <c r="AA641" s="257">
        <f>LARGE(tabConsumo[[#This Row],[08_22]:[07_23]],1)</f>
        <v>5</v>
      </c>
      <c r="AB641" s="175" t="s">
        <v>2220</v>
      </c>
      <c r="AC641" s="3" t="s">
        <v>2064</v>
      </c>
    </row>
    <row r="642" spans="1:29" x14ac:dyDescent="0.3">
      <c r="A642" s="4" t="s">
        <v>1144</v>
      </c>
      <c r="B642" s="3" t="s">
        <v>400</v>
      </c>
      <c r="C642" s="2">
        <v>18346</v>
      </c>
      <c r="D642" s="2">
        <v>251</v>
      </c>
      <c r="F642" s="2">
        <v>0</v>
      </c>
      <c r="G642" s="2">
        <v>2</v>
      </c>
      <c r="H642" s="2">
        <v>0</v>
      </c>
      <c r="I642" s="2">
        <v>0</v>
      </c>
      <c r="J642" s="2">
        <v>0</v>
      </c>
      <c r="K642" s="2">
        <v>1</v>
      </c>
      <c r="L642" s="2">
        <v>3</v>
      </c>
      <c r="M642" s="2">
        <v>4</v>
      </c>
      <c r="N642" s="2">
        <v>0</v>
      </c>
      <c r="O642" s="2">
        <v>0</v>
      </c>
      <c r="P642" s="2">
        <v>0</v>
      </c>
      <c r="Q642" s="2">
        <v>0</v>
      </c>
      <c r="R642" s="274">
        <v>367</v>
      </c>
      <c r="S642" s="253">
        <f t="shared" si="22"/>
        <v>12</v>
      </c>
      <c r="T642" s="254">
        <f>SUM( tabConsumo[[#This Row],[QTD.PENDENTE]]:tabConsumo[[#This Row],[07_23]] ) / tabConsumo[[#This Row],[Div]]</f>
        <v>0.83333333333333337</v>
      </c>
      <c r="U642" s="255">
        <f xml:space="preserve"> tabConsumo[[#This Row],[Média.A]] + (_xlfn.STDEV.S( tabConsumo[[#This Row],[QTD.PENDENTE]]:tabConsumo[[#This Row],[07_23]] ) * 1)</f>
        <v>2.2367922638678075</v>
      </c>
      <c r="V642" s="255">
        <f xml:space="preserve"> tabConsumo[[#This Row],[Média.A]] + (_xlfn.STDEV.S( tabConsumo[[#This Row],[QTD.PENDENTE]]:tabConsumo[[#This Row],[07_23]] ) * 2)</f>
        <v>3.6402511944022815</v>
      </c>
      <c r="W642" s="255">
        <f xml:space="preserve"> tabConsumo[[#This Row],[Média.A]] + (_xlfn.STDEV.S( tabConsumo[[#This Row],[QTD.PENDENTE]]:tabConsumo[[#This Row],[07_23]] ) * 3)</f>
        <v>5.0437101249367551</v>
      </c>
      <c r="X642" s="5">
        <f t="shared" si="21"/>
        <v>2</v>
      </c>
      <c r="Y642">
        <v>0.75</v>
      </c>
      <c r="Z642" s="257">
        <f>SUM( tabConsumo[[#This Row],[QTD.PENDENTE]]:tabConsumo[[#This Row],[07_23]] )</f>
        <v>10</v>
      </c>
      <c r="AA642" s="257">
        <f>LARGE(tabConsumo[[#This Row],[08_22]:[07_23]],1)</f>
        <v>4</v>
      </c>
      <c r="AB642" s="175" t="s">
        <v>2217</v>
      </c>
      <c r="AC642" s="3" t="s">
        <v>2064</v>
      </c>
    </row>
    <row r="643" spans="1:29" x14ac:dyDescent="0.3">
      <c r="A643" s="4" t="s">
        <v>1145</v>
      </c>
      <c r="B643" s="3" t="s">
        <v>400</v>
      </c>
      <c r="C643" s="2">
        <v>18353</v>
      </c>
      <c r="D643" s="2">
        <v>0</v>
      </c>
      <c r="E643" s="2">
        <v>22</v>
      </c>
      <c r="F643" s="2">
        <v>28</v>
      </c>
      <c r="G643" s="2">
        <v>13</v>
      </c>
      <c r="H643" s="2">
        <v>0</v>
      </c>
      <c r="I643" s="2">
        <v>0</v>
      </c>
      <c r="J643" s="2">
        <v>0</v>
      </c>
      <c r="K643" s="2">
        <v>9</v>
      </c>
      <c r="L643" s="2">
        <v>7</v>
      </c>
      <c r="M643" s="2">
        <v>39</v>
      </c>
      <c r="N643" s="2">
        <v>22</v>
      </c>
      <c r="O643" s="2">
        <v>11</v>
      </c>
      <c r="P643" s="2">
        <v>12</v>
      </c>
      <c r="Q643" s="2">
        <v>0</v>
      </c>
      <c r="R643" s="274">
        <v>367</v>
      </c>
      <c r="S643" s="253">
        <f t="shared" si="22"/>
        <v>12</v>
      </c>
      <c r="T643" s="254">
        <f>SUM( tabConsumo[[#This Row],[QTD.PENDENTE]]:tabConsumo[[#This Row],[07_23]] ) / tabConsumo[[#This Row],[Div]]</f>
        <v>13.583333333333334</v>
      </c>
      <c r="U643" s="255">
        <f xml:space="preserve"> tabConsumo[[#This Row],[Média.A]] + (_xlfn.STDEV.S( tabConsumo[[#This Row],[QTD.PENDENTE]]:tabConsumo[[#This Row],[07_23]] ) * 1)</f>
        <v>25.807730964132872</v>
      </c>
      <c r="V643" s="255">
        <f xml:space="preserve"> tabConsumo[[#This Row],[Média.A]] + (_xlfn.STDEV.S( tabConsumo[[#This Row],[QTD.PENDENTE]]:tabConsumo[[#This Row],[07_23]] ) * 2)</f>
        <v>38.032128594932416</v>
      </c>
      <c r="W643" s="255">
        <f xml:space="preserve"> tabConsumo[[#This Row],[Média.A]] + (_xlfn.STDEV.S( tabConsumo[[#This Row],[QTD.PENDENTE]]:tabConsumo[[#This Row],[07_23]] ) * 3)</f>
        <v>50.256526225731953</v>
      </c>
      <c r="X643" s="5">
        <f t="shared" ref="X643:X706" si="23" xml:space="preserve"> 2</f>
        <v>2</v>
      </c>
      <c r="Y643">
        <v>13.5</v>
      </c>
      <c r="Z643" s="257">
        <f>SUM( tabConsumo[[#This Row],[QTD.PENDENTE]]:tabConsumo[[#This Row],[07_23]] )</f>
        <v>163</v>
      </c>
      <c r="AA643" s="257">
        <f>LARGE(tabConsumo[[#This Row],[08_22]:[07_23]],1)</f>
        <v>39</v>
      </c>
      <c r="AB643" s="175" t="s">
        <v>2212</v>
      </c>
      <c r="AC643" s="3" t="s">
        <v>2064</v>
      </c>
    </row>
    <row r="644" spans="1:29" x14ac:dyDescent="0.3">
      <c r="A644" s="4" t="s">
        <v>1146</v>
      </c>
      <c r="B644" s="3" t="s">
        <v>400</v>
      </c>
      <c r="C644" s="2">
        <v>18357</v>
      </c>
      <c r="D644" s="2">
        <v>329</v>
      </c>
      <c r="F644" s="2">
        <v>18</v>
      </c>
      <c r="G644" s="2">
        <v>27</v>
      </c>
      <c r="H644" s="2">
        <v>3</v>
      </c>
      <c r="I644" s="2">
        <v>6</v>
      </c>
      <c r="J644" s="2">
        <v>9</v>
      </c>
      <c r="K644" s="2">
        <v>10</v>
      </c>
      <c r="L644" s="2">
        <v>7</v>
      </c>
      <c r="M644" s="2">
        <v>36</v>
      </c>
      <c r="N644" s="2">
        <v>22</v>
      </c>
      <c r="O644" s="2">
        <v>3</v>
      </c>
      <c r="P644" s="2">
        <v>20</v>
      </c>
      <c r="Q644" s="2">
        <v>0</v>
      </c>
      <c r="R644" s="274">
        <v>367</v>
      </c>
      <c r="S644" s="253">
        <f t="shared" si="22"/>
        <v>12</v>
      </c>
      <c r="T644" s="254">
        <f>SUM( tabConsumo[[#This Row],[QTD.PENDENTE]]:tabConsumo[[#This Row],[07_23]] ) / tabConsumo[[#This Row],[Div]]</f>
        <v>13.416666666666666</v>
      </c>
      <c r="U644" s="255">
        <f xml:space="preserve"> tabConsumo[[#This Row],[Média.A]] + (_xlfn.STDEV.S( tabConsumo[[#This Row],[QTD.PENDENTE]]:tabConsumo[[#This Row],[07_23]] ) * 1)</f>
        <v>24.523244024523613</v>
      </c>
      <c r="V644" s="255">
        <f xml:space="preserve"> tabConsumo[[#This Row],[Média.A]] + (_xlfn.STDEV.S( tabConsumo[[#This Row],[QTD.PENDENTE]]:tabConsumo[[#This Row],[07_23]] ) * 2)</f>
        <v>35.629821382380563</v>
      </c>
      <c r="W644" s="255">
        <f xml:space="preserve"> tabConsumo[[#This Row],[Média.A]] + (_xlfn.STDEV.S( tabConsumo[[#This Row],[QTD.PENDENTE]]:tabConsumo[[#This Row],[07_23]] ) * 3)</f>
        <v>46.736398740237505</v>
      </c>
      <c r="X644" s="5">
        <f t="shared" si="23"/>
        <v>2</v>
      </c>
      <c r="Y644">
        <v>13.333333333333334</v>
      </c>
      <c r="Z644" s="257">
        <f>SUM( tabConsumo[[#This Row],[QTD.PENDENTE]]:tabConsumo[[#This Row],[07_23]] )</f>
        <v>161</v>
      </c>
      <c r="AA644" s="257">
        <f>LARGE(tabConsumo[[#This Row],[08_22]:[07_23]],1)</f>
        <v>36</v>
      </c>
      <c r="AB644" s="175" t="s">
        <v>2212</v>
      </c>
      <c r="AC644" s="3" t="s">
        <v>2064</v>
      </c>
    </row>
    <row r="645" spans="1:29" x14ac:dyDescent="0.3">
      <c r="A645" s="4" t="s">
        <v>1147</v>
      </c>
      <c r="B645" s="3" t="s">
        <v>400</v>
      </c>
      <c r="C645" s="2">
        <v>18358</v>
      </c>
      <c r="D645" s="2">
        <v>179</v>
      </c>
      <c r="F645" s="2">
        <v>16</v>
      </c>
      <c r="G645" s="2">
        <v>14</v>
      </c>
      <c r="H645" s="2">
        <v>9</v>
      </c>
      <c r="I645" s="2">
        <v>16</v>
      </c>
      <c r="J645" s="2">
        <v>10</v>
      </c>
      <c r="K645" s="2">
        <v>0</v>
      </c>
      <c r="L645" s="2">
        <v>7</v>
      </c>
      <c r="M645" s="2">
        <v>21</v>
      </c>
      <c r="N645" s="2">
        <v>22</v>
      </c>
      <c r="O645" s="2">
        <v>18</v>
      </c>
      <c r="P645" s="2">
        <v>20</v>
      </c>
      <c r="Q645" s="2">
        <v>0</v>
      </c>
      <c r="R645" s="274">
        <v>367</v>
      </c>
      <c r="S645" s="253">
        <f t="shared" si="22"/>
        <v>12</v>
      </c>
      <c r="T645" s="254">
        <f>SUM( tabConsumo[[#This Row],[QTD.PENDENTE]]:tabConsumo[[#This Row],[07_23]] ) / tabConsumo[[#This Row],[Div]]</f>
        <v>12.75</v>
      </c>
      <c r="U645" s="255">
        <f xml:space="preserve"> tabConsumo[[#This Row],[Média.A]] + (_xlfn.STDEV.S( tabConsumo[[#This Row],[QTD.PENDENTE]]:tabConsumo[[#This Row],[07_23]] ) * 1)</f>
        <v>20.355321103734482</v>
      </c>
      <c r="V645" s="255">
        <f xml:space="preserve"> tabConsumo[[#This Row],[Média.A]] + (_xlfn.STDEV.S( tabConsumo[[#This Row],[QTD.PENDENTE]]:tabConsumo[[#This Row],[07_23]] ) * 2)</f>
        <v>27.960642207468965</v>
      </c>
      <c r="W645" s="255">
        <f xml:space="preserve"> tabConsumo[[#This Row],[Média.A]] + (_xlfn.STDEV.S( tabConsumo[[#This Row],[QTD.PENDENTE]]:tabConsumo[[#This Row],[07_23]] ) * 3)</f>
        <v>35.565963311203447</v>
      </c>
      <c r="X645" s="5">
        <f t="shared" si="23"/>
        <v>2</v>
      </c>
      <c r="Y645">
        <v>12.75</v>
      </c>
      <c r="Z645" s="257">
        <f>SUM( tabConsumo[[#This Row],[QTD.PENDENTE]]:tabConsumo[[#This Row],[07_23]] )</f>
        <v>153</v>
      </c>
      <c r="AA645" s="257">
        <f>LARGE(tabConsumo[[#This Row],[08_22]:[07_23]],1)</f>
        <v>22</v>
      </c>
      <c r="AB645" s="175" t="s">
        <v>2212</v>
      </c>
      <c r="AC645" s="3" t="s">
        <v>2064</v>
      </c>
    </row>
    <row r="646" spans="1:29" x14ac:dyDescent="0.3">
      <c r="A646" s="4" t="s">
        <v>1052</v>
      </c>
      <c r="B646" s="3" t="s">
        <v>400</v>
      </c>
      <c r="C646" s="2">
        <v>14055</v>
      </c>
      <c r="D646" s="2">
        <v>482</v>
      </c>
      <c r="F646" s="2">
        <v>4</v>
      </c>
      <c r="G646" s="2">
        <v>0</v>
      </c>
      <c r="H646" s="2">
        <v>3</v>
      </c>
      <c r="I646" s="2">
        <v>0</v>
      </c>
      <c r="J646" s="2">
        <v>5</v>
      </c>
      <c r="K646" s="2">
        <v>0</v>
      </c>
      <c r="L646" s="2">
        <v>0</v>
      </c>
      <c r="M646" s="2">
        <v>8</v>
      </c>
      <c r="N646" s="2">
        <v>26</v>
      </c>
      <c r="O646" s="2">
        <v>16</v>
      </c>
      <c r="P646" s="2">
        <v>20</v>
      </c>
      <c r="Q646" s="2">
        <v>0</v>
      </c>
      <c r="R646" s="274">
        <v>367</v>
      </c>
      <c r="S646" s="253">
        <f t="shared" si="22"/>
        <v>12</v>
      </c>
      <c r="T646" s="254">
        <f>SUM( tabConsumo[[#This Row],[QTD.PENDENTE]]:tabConsumo[[#This Row],[07_23]] ) / tabConsumo[[#This Row],[Div]]</f>
        <v>6.833333333333333</v>
      </c>
      <c r="U646" s="255">
        <f xml:space="preserve"> tabConsumo[[#This Row],[Média.A]] + (_xlfn.STDEV.S( tabConsumo[[#This Row],[QTD.PENDENTE]]:tabConsumo[[#This Row],[07_23]] ) * 1)</f>
        <v>15.806356876997505</v>
      </c>
      <c r="V646" s="255">
        <f xml:space="preserve"> tabConsumo[[#This Row],[Média.A]] + (_xlfn.STDEV.S( tabConsumo[[#This Row],[QTD.PENDENTE]]:tabConsumo[[#This Row],[07_23]] ) * 2)</f>
        <v>24.779380420661674</v>
      </c>
      <c r="W646" s="255">
        <f xml:space="preserve"> tabConsumo[[#This Row],[Média.A]] + (_xlfn.STDEV.S( tabConsumo[[#This Row],[QTD.PENDENTE]]:tabConsumo[[#This Row],[07_23]] ) * 3)</f>
        <v>33.75240396432585</v>
      </c>
      <c r="X646" s="5">
        <f t="shared" si="23"/>
        <v>2</v>
      </c>
      <c r="Y646">
        <v>6.666666666666667</v>
      </c>
      <c r="Z646" s="257">
        <f>SUM( tabConsumo[[#This Row],[QTD.PENDENTE]]:tabConsumo[[#This Row],[07_23]] )</f>
        <v>82</v>
      </c>
      <c r="AA646" s="257">
        <f>LARGE(tabConsumo[[#This Row],[08_22]:[07_23]],1)</f>
        <v>26</v>
      </c>
      <c r="AB646" s="175" t="s">
        <v>2212</v>
      </c>
      <c r="AC646" s="3" t="s">
        <v>2064</v>
      </c>
    </row>
    <row r="647" spans="1:29" x14ac:dyDescent="0.3">
      <c r="A647" s="4" t="s">
        <v>1166</v>
      </c>
      <c r="B647" s="3" t="s">
        <v>400</v>
      </c>
      <c r="C647" s="2">
        <v>20537</v>
      </c>
      <c r="D647" s="2">
        <v>137</v>
      </c>
      <c r="F647" s="2">
        <v>0</v>
      </c>
      <c r="G647" s="2">
        <v>0</v>
      </c>
      <c r="H647" s="2">
        <v>0</v>
      </c>
      <c r="I647" s="2">
        <v>0</v>
      </c>
      <c r="J647" s="2">
        <v>0</v>
      </c>
      <c r="K647" s="2">
        <v>0</v>
      </c>
      <c r="L647" s="2">
        <v>0</v>
      </c>
      <c r="M647" s="2">
        <v>1</v>
      </c>
      <c r="N647" s="2">
        <v>4</v>
      </c>
      <c r="O647" s="2">
        <v>0</v>
      </c>
      <c r="P647" s="2">
        <v>10</v>
      </c>
      <c r="Q647" s="2">
        <v>0</v>
      </c>
      <c r="R647" s="274">
        <v>367</v>
      </c>
      <c r="S647" s="253">
        <f t="shared" si="22"/>
        <v>12</v>
      </c>
      <c r="T647" s="254">
        <f>SUM( tabConsumo[[#This Row],[QTD.PENDENTE]]:tabConsumo[[#This Row],[07_23]] ) / tabConsumo[[#This Row],[Div]]</f>
        <v>1.25</v>
      </c>
      <c r="U647" s="255">
        <f xml:space="preserve"> tabConsumo[[#This Row],[Média.A]] + (_xlfn.STDEV.S( tabConsumo[[#This Row],[QTD.PENDENTE]]:tabConsumo[[#This Row],[07_23]] ) * 1)</f>
        <v>4.2386147596868655</v>
      </c>
      <c r="V647" s="255">
        <f xml:space="preserve"> tabConsumo[[#This Row],[Média.A]] + (_xlfn.STDEV.S( tabConsumo[[#This Row],[QTD.PENDENTE]]:tabConsumo[[#This Row],[07_23]] ) * 2)</f>
        <v>7.227229519373731</v>
      </c>
      <c r="W647" s="255">
        <f xml:space="preserve"> tabConsumo[[#This Row],[Média.A]] + (_xlfn.STDEV.S( tabConsumo[[#This Row],[QTD.PENDENTE]]:tabConsumo[[#This Row],[07_23]] ) * 3)</f>
        <v>10.215844279060597</v>
      </c>
      <c r="X647" s="5">
        <f t="shared" si="23"/>
        <v>2</v>
      </c>
      <c r="Y647">
        <v>1</v>
      </c>
      <c r="Z647" s="257">
        <f>SUM( tabConsumo[[#This Row],[QTD.PENDENTE]]:tabConsumo[[#This Row],[07_23]] )</f>
        <v>15</v>
      </c>
      <c r="AA647" s="257">
        <f>LARGE(tabConsumo[[#This Row],[08_22]:[07_23]],1)</f>
        <v>10</v>
      </c>
      <c r="AB647" s="175" t="s">
        <v>2212</v>
      </c>
      <c r="AC647" s="3" t="s">
        <v>2064</v>
      </c>
    </row>
    <row r="648" spans="1:29" x14ac:dyDescent="0.3">
      <c r="A648" s="4" t="s">
        <v>1293</v>
      </c>
      <c r="B648" s="3" t="s">
        <v>1263</v>
      </c>
      <c r="C648" s="2">
        <v>49858</v>
      </c>
      <c r="D648" s="2">
        <v>185</v>
      </c>
      <c r="F648" s="2">
        <v>0</v>
      </c>
      <c r="G648" s="2">
        <v>0</v>
      </c>
      <c r="H648" s="2">
        <v>0</v>
      </c>
      <c r="I648" s="2">
        <v>0</v>
      </c>
      <c r="J648" s="2">
        <v>0</v>
      </c>
      <c r="K648" s="2">
        <v>0</v>
      </c>
      <c r="L648" s="2">
        <v>0</v>
      </c>
      <c r="M648" s="2">
        <v>0</v>
      </c>
      <c r="N648" s="2">
        <v>0</v>
      </c>
      <c r="O648" s="2">
        <v>10</v>
      </c>
      <c r="P648" s="2">
        <v>0</v>
      </c>
      <c r="Q648" s="2">
        <v>0</v>
      </c>
      <c r="R648" s="274">
        <v>367</v>
      </c>
      <c r="S648" s="253">
        <f t="shared" si="22"/>
        <v>12</v>
      </c>
      <c r="T648" s="254">
        <f>SUM( tabConsumo[[#This Row],[QTD.PENDENTE]]:tabConsumo[[#This Row],[07_23]] ) / tabConsumo[[#This Row],[Div]]</f>
        <v>0.83333333333333337</v>
      </c>
      <c r="U648" s="255">
        <f xml:space="preserve"> tabConsumo[[#This Row],[Média.A]] + (_xlfn.STDEV.S( tabConsumo[[#This Row],[QTD.PENDENTE]]:tabConsumo[[#This Row],[07_23]] ) * 1)</f>
        <v>3.7200846792814626</v>
      </c>
      <c r="V648" s="255">
        <f xml:space="preserve"> tabConsumo[[#This Row],[Média.A]] + (_xlfn.STDEV.S( tabConsumo[[#This Row],[QTD.PENDENTE]]:tabConsumo[[#This Row],[07_23]] ) * 2)</f>
        <v>6.6068360252295912</v>
      </c>
      <c r="W648" s="255">
        <f xml:space="preserve"> tabConsumo[[#This Row],[Média.A]] + (_xlfn.STDEV.S( tabConsumo[[#This Row],[QTD.PENDENTE]]:tabConsumo[[#This Row],[07_23]] ) * 3)</f>
        <v>9.4935873711777212</v>
      </c>
      <c r="X648" s="5">
        <f t="shared" si="23"/>
        <v>2</v>
      </c>
      <c r="Y648">
        <v>0.5</v>
      </c>
      <c r="Z648" s="257">
        <f>SUM( tabConsumo[[#This Row],[QTD.PENDENTE]]:tabConsumo[[#This Row],[07_23]] )</f>
        <v>10</v>
      </c>
      <c r="AA648" s="257">
        <f>LARGE(tabConsumo[[#This Row],[08_22]:[07_23]],1)</f>
        <v>10</v>
      </c>
      <c r="AB648" s="175" t="s">
        <v>2214</v>
      </c>
      <c r="AC648" s="3" t="s">
        <v>2064</v>
      </c>
    </row>
    <row r="649" spans="1:29" x14ac:dyDescent="0.3">
      <c r="A649" s="4" t="s">
        <v>1262</v>
      </c>
      <c r="B649" s="3" t="s">
        <v>1263</v>
      </c>
      <c r="C649" s="2">
        <v>36031</v>
      </c>
      <c r="D649" s="2">
        <v>2636</v>
      </c>
      <c r="F649" s="2">
        <v>3</v>
      </c>
      <c r="G649" s="2">
        <v>0</v>
      </c>
      <c r="H649" s="2">
        <v>1</v>
      </c>
      <c r="I649" s="2">
        <v>1</v>
      </c>
      <c r="J649" s="2">
        <v>2</v>
      </c>
      <c r="K649" s="2">
        <v>2</v>
      </c>
      <c r="L649" s="2">
        <v>1</v>
      </c>
      <c r="M649" s="2">
        <v>2</v>
      </c>
      <c r="N649" s="2">
        <v>0</v>
      </c>
      <c r="O649" s="2">
        <v>11</v>
      </c>
      <c r="P649" s="2">
        <v>0</v>
      </c>
      <c r="Q649" s="2">
        <v>0</v>
      </c>
      <c r="R649" s="274">
        <v>367</v>
      </c>
      <c r="S649" s="253">
        <f t="shared" si="22"/>
        <v>12</v>
      </c>
      <c r="T649" s="254">
        <f>SUM( tabConsumo[[#This Row],[QTD.PENDENTE]]:tabConsumo[[#This Row],[07_23]] ) / tabConsumo[[#This Row],[Div]]</f>
        <v>1.9166666666666667</v>
      </c>
      <c r="U649" s="255">
        <f xml:space="preserve"> tabConsumo[[#This Row],[Média.A]] + (_xlfn.STDEV.S( tabConsumo[[#This Row],[QTD.PENDENTE]]:tabConsumo[[#This Row],[07_23]] ) * 1)</f>
        <v>4.9455678575678199</v>
      </c>
      <c r="V649" s="255">
        <f xml:space="preserve"> tabConsumo[[#This Row],[Média.A]] + (_xlfn.STDEV.S( tabConsumo[[#This Row],[QTD.PENDENTE]]:tabConsumo[[#This Row],[07_23]] ) * 2)</f>
        <v>7.9744690484689729</v>
      </c>
      <c r="W649" s="255">
        <f xml:space="preserve"> tabConsumo[[#This Row],[Média.A]] + (_xlfn.STDEV.S( tabConsumo[[#This Row],[QTD.PENDENTE]]:tabConsumo[[#This Row],[07_23]] ) * 3)</f>
        <v>11.003370239370126</v>
      </c>
      <c r="X649" s="5">
        <f t="shared" si="23"/>
        <v>2</v>
      </c>
      <c r="Y649">
        <v>1.5833333333333333</v>
      </c>
      <c r="Z649" s="257">
        <f>SUM( tabConsumo[[#This Row],[QTD.PENDENTE]]:tabConsumo[[#This Row],[07_23]] )</f>
        <v>23</v>
      </c>
      <c r="AA649" s="257">
        <f>LARGE(tabConsumo[[#This Row],[08_22]:[07_23]],1)</f>
        <v>11</v>
      </c>
      <c r="AB649" s="175" t="s">
        <v>2214</v>
      </c>
      <c r="AC649" s="3" t="s">
        <v>2064</v>
      </c>
    </row>
    <row r="650" spans="1:29" x14ac:dyDescent="0.3">
      <c r="A650" s="4" t="s">
        <v>1969</v>
      </c>
      <c r="B650" s="3" t="s">
        <v>31</v>
      </c>
      <c r="C650" s="2">
        <v>138551</v>
      </c>
      <c r="D650" s="2">
        <v>0</v>
      </c>
      <c r="E650" s="2">
        <v>52</v>
      </c>
      <c r="F650" s="2">
        <v>38</v>
      </c>
      <c r="G650" s="2">
        <v>66</v>
      </c>
      <c r="H650" s="2">
        <v>9</v>
      </c>
      <c r="I650" s="2">
        <v>15</v>
      </c>
      <c r="J650" s="2">
        <v>7</v>
      </c>
      <c r="K650" s="2">
        <v>8</v>
      </c>
      <c r="L650" s="2">
        <v>18</v>
      </c>
      <c r="M650" s="2">
        <v>10</v>
      </c>
      <c r="N650" s="2">
        <v>103</v>
      </c>
      <c r="O650" s="2">
        <v>120</v>
      </c>
      <c r="P650" s="2">
        <v>8</v>
      </c>
      <c r="Q650" s="2">
        <v>0</v>
      </c>
      <c r="R650" s="274">
        <v>43734</v>
      </c>
      <c r="S650" s="253">
        <v>12</v>
      </c>
      <c r="T650" s="254">
        <f>SUM( tabConsumo[[#This Row],[QTD.PENDENTE]]:tabConsumo[[#This Row],[07_23]] ) / tabConsumo[[#This Row],[Div]]</f>
        <v>37.833333333333336</v>
      </c>
      <c r="U650" s="255">
        <f xml:space="preserve"> tabConsumo[[#This Row],[Média.A]] + (_xlfn.STDEV.S( tabConsumo[[#This Row],[QTD.PENDENTE]]:tabConsumo[[#This Row],[07_23]] ) * 1)</f>
        <v>77.166232070610789</v>
      </c>
      <c r="V650" s="255">
        <f xml:space="preserve"> tabConsumo[[#This Row],[Média.A]] + (_xlfn.STDEV.S( tabConsumo[[#This Row],[QTD.PENDENTE]]:tabConsumo[[#This Row],[07_23]] ) * 2)</f>
        <v>116.49913080788826</v>
      </c>
      <c r="W650" s="255">
        <f xml:space="preserve"> tabConsumo[[#This Row],[Média.A]] + (_xlfn.STDEV.S( tabConsumo[[#This Row],[QTD.PENDENTE]]:tabConsumo[[#This Row],[07_23]] ) * 3)</f>
        <v>155.83202954516571</v>
      </c>
      <c r="X650" s="5">
        <f t="shared" si="23"/>
        <v>2</v>
      </c>
      <c r="Y650">
        <v>37.5</v>
      </c>
      <c r="Z650" s="257">
        <f>SUM( tabConsumo[[#This Row],[QTD.PENDENTE]]:tabConsumo[[#This Row],[07_23]] )</f>
        <v>454</v>
      </c>
      <c r="AA650" s="257">
        <f>LARGE(tabConsumo[[#This Row],[08_22]:[07_23]],1)</f>
        <v>120</v>
      </c>
      <c r="AB650" s="175" t="s">
        <v>2212</v>
      </c>
      <c r="AC650" s="3" t="s">
        <v>2064</v>
      </c>
    </row>
    <row r="651" spans="1:29" x14ac:dyDescent="0.3">
      <c r="A651" s="4" t="s">
        <v>1943</v>
      </c>
      <c r="B651" s="3" t="s">
        <v>256</v>
      </c>
      <c r="C651" s="2">
        <v>137053</v>
      </c>
      <c r="D651" s="2">
        <v>16</v>
      </c>
      <c r="F651" s="2">
        <v>0</v>
      </c>
      <c r="G651" s="2">
        <v>0</v>
      </c>
      <c r="H651" s="2">
        <v>0</v>
      </c>
      <c r="I651" s="2">
        <v>0</v>
      </c>
      <c r="J651" s="2">
        <v>0</v>
      </c>
      <c r="K651" s="2">
        <v>0</v>
      </c>
      <c r="L651" s="2">
        <v>0</v>
      </c>
      <c r="M651" s="2">
        <v>0</v>
      </c>
      <c r="N651" s="2">
        <v>0</v>
      </c>
      <c r="O651" s="2">
        <v>1</v>
      </c>
      <c r="P651" s="2">
        <v>0</v>
      </c>
      <c r="Q651" s="2">
        <v>0</v>
      </c>
      <c r="R651" s="274">
        <v>43626</v>
      </c>
      <c r="S651" s="253">
        <v>12</v>
      </c>
      <c r="T651" s="254">
        <f>SUM( tabConsumo[[#This Row],[QTD.PENDENTE]]:tabConsumo[[#This Row],[07_23]] ) / tabConsumo[[#This Row],[Div]]</f>
        <v>8.3333333333333329E-2</v>
      </c>
      <c r="U651" s="255">
        <f xml:space="preserve"> tabConsumo[[#This Row],[Média.A]] + (_xlfn.STDEV.S( tabConsumo[[#This Row],[QTD.PENDENTE]]:tabConsumo[[#This Row],[07_23]] ) * 1)</f>
        <v>0.37200846792814618</v>
      </c>
      <c r="V651" s="255">
        <f xml:space="preserve"> tabConsumo[[#This Row],[Média.A]] + (_xlfn.STDEV.S( tabConsumo[[#This Row],[QTD.PENDENTE]]:tabConsumo[[#This Row],[07_23]] ) * 2)</f>
        <v>0.6606836025229591</v>
      </c>
      <c r="W651" s="255">
        <f xml:space="preserve"> tabConsumo[[#This Row],[Média.A]] + (_xlfn.STDEV.S( tabConsumo[[#This Row],[QTD.PENDENTE]]:tabConsumo[[#This Row],[07_23]] ) * 3)</f>
        <v>0.94935873711777197</v>
      </c>
      <c r="X651" s="5">
        <f t="shared" si="23"/>
        <v>2</v>
      </c>
      <c r="Y651">
        <v>0</v>
      </c>
      <c r="Z651" s="257">
        <f>SUM( tabConsumo[[#This Row],[QTD.PENDENTE]]:tabConsumo[[#This Row],[07_23]] )</f>
        <v>1</v>
      </c>
      <c r="AA651" s="257">
        <f>LARGE(tabConsumo[[#This Row],[08_22]:[07_23]],1)</f>
        <v>1</v>
      </c>
      <c r="AB651" s="175" t="s">
        <v>2214</v>
      </c>
      <c r="AC651" s="3" t="s">
        <v>2064</v>
      </c>
    </row>
    <row r="652" spans="1:29" x14ac:dyDescent="0.3">
      <c r="A652" s="4" t="s">
        <v>1942</v>
      </c>
      <c r="B652" s="3" t="s">
        <v>31</v>
      </c>
      <c r="C652" s="2">
        <v>137019</v>
      </c>
      <c r="D652" s="2">
        <v>492</v>
      </c>
      <c r="E652" s="2">
        <v>20</v>
      </c>
      <c r="F652" s="2">
        <v>0</v>
      </c>
      <c r="G652" s="2">
        <v>10</v>
      </c>
      <c r="H652" s="2">
        <v>0</v>
      </c>
      <c r="I652" s="2">
        <v>0</v>
      </c>
      <c r="J652" s="2">
        <v>0</v>
      </c>
      <c r="K652" s="2">
        <v>0</v>
      </c>
      <c r="L652" s="2">
        <v>0</v>
      </c>
      <c r="M652" s="2">
        <v>0</v>
      </c>
      <c r="N652" s="2">
        <v>0</v>
      </c>
      <c r="O652" s="2">
        <v>0</v>
      </c>
      <c r="P652" s="2">
        <v>0</v>
      </c>
      <c r="Q652" s="2">
        <v>3</v>
      </c>
      <c r="R652" s="274">
        <v>43620</v>
      </c>
      <c r="S652" s="253">
        <v>12</v>
      </c>
      <c r="T652" s="254">
        <f>SUM( tabConsumo[[#This Row],[QTD.PENDENTE]]:tabConsumo[[#This Row],[07_23]] ) / tabConsumo[[#This Row],[Div]]</f>
        <v>2.75</v>
      </c>
      <c r="U652" s="255">
        <f xml:space="preserve"> tabConsumo[[#This Row],[Média.A]] + (_xlfn.STDEV.S( tabConsumo[[#This Row],[QTD.PENDENTE]]:tabConsumo[[#This Row],[07_23]] ) * 1)</f>
        <v>8.7028058456409809</v>
      </c>
      <c r="V652" s="255">
        <f xml:space="preserve"> tabConsumo[[#This Row],[Média.A]] + (_xlfn.STDEV.S( tabConsumo[[#This Row],[QTD.PENDENTE]]:tabConsumo[[#This Row],[07_23]] ) * 2)</f>
        <v>14.655611691281962</v>
      </c>
      <c r="W652" s="255">
        <f xml:space="preserve"> tabConsumo[[#This Row],[Média.A]] + (_xlfn.STDEV.S( tabConsumo[[#This Row],[QTD.PENDENTE]]:tabConsumo[[#This Row],[07_23]] ) * 3)</f>
        <v>20.608417536922943</v>
      </c>
      <c r="X652" s="5">
        <f t="shared" si="23"/>
        <v>2</v>
      </c>
      <c r="Y652">
        <v>2.75</v>
      </c>
      <c r="Z652" s="257">
        <f>SUM( tabConsumo[[#This Row],[QTD.PENDENTE]]:tabConsumo[[#This Row],[07_23]] )</f>
        <v>33</v>
      </c>
      <c r="AA652" s="257">
        <f>LARGE(tabConsumo[[#This Row],[08_22]:[07_23]],1)</f>
        <v>10</v>
      </c>
      <c r="AB652" s="175" t="s">
        <v>2211</v>
      </c>
      <c r="AC652" s="3" t="s">
        <v>2064</v>
      </c>
    </row>
    <row r="653" spans="1:29" x14ac:dyDescent="0.3">
      <c r="A653" s="4" t="s">
        <v>1148</v>
      </c>
      <c r="B653" s="3" t="s">
        <v>256</v>
      </c>
      <c r="C653" s="2">
        <v>19842</v>
      </c>
      <c r="D653" s="2">
        <v>0</v>
      </c>
      <c r="E653" s="2">
        <v>460</v>
      </c>
      <c r="F653" s="2">
        <v>460</v>
      </c>
      <c r="G653" s="2">
        <v>523</v>
      </c>
      <c r="H653" s="2">
        <v>303</v>
      </c>
      <c r="I653" s="2">
        <v>860</v>
      </c>
      <c r="J653" s="2">
        <v>279</v>
      </c>
      <c r="K653" s="2">
        <v>206</v>
      </c>
      <c r="L653" s="2">
        <v>776</v>
      </c>
      <c r="M653" s="2">
        <v>2195</v>
      </c>
      <c r="N653" s="2">
        <v>1362</v>
      </c>
      <c r="O653" s="2">
        <v>1926</v>
      </c>
      <c r="P653" s="2">
        <v>1636</v>
      </c>
      <c r="Q653" s="2">
        <v>32</v>
      </c>
      <c r="R653" s="274">
        <v>367</v>
      </c>
      <c r="S653" s="253">
        <f xml:space="preserve"> 12</f>
        <v>12</v>
      </c>
      <c r="T653" s="254">
        <f>SUM( tabConsumo[[#This Row],[QTD.PENDENTE]]:tabConsumo[[#This Row],[07_23]] ) / tabConsumo[[#This Row],[Div]]</f>
        <v>918.16666666666663</v>
      </c>
      <c r="U653" s="255">
        <f xml:space="preserve"> tabConsumo[[#This Row],[Média.A]] + (_xlfn.STDEV.S( tabConsumo[[#This Row],[QTD.PENDENTE]]:tabConsumo[[#This Row],[07_23]] ) * 1)</f>
        <v>1623.6497890001749</v>
      </c>
      <c r="V653" s="255">
        <f xml:space="preserve"> tabConsumo[[#This Row],[Média.A]] + (_xlfn.STDEV.S( tabConsumo[[#This Row],[QTD.PENDENTE]]:tabConsumo[[#This Row],[07_23]] ) * 2)</f>
        <v>2329.1329113336833</v>
      </c>
      <c r="W653" s="255">
        <f xml:space="preserve"> tabConsumo[[#This Row],[Média.A]] + (_xlfn.STDEV.S( tabConsumo[[#This Row],[QTD.PENDENTE]]:tabConsumo[[#This Row],[07_23]] ) * 3)</f>
        <v>3034.6160336671915</v>
      </c>
      <c r="X653" s="5">
        <f t="shared" si="23"/>
        <v>2</v>
      </c>
      <c r="Y653">
        <v>918.16666666666663</v>
      </c>
      <c r="Z653" s="257">
        <f>SUM( tabConsumo[[#This Row],[QTD.PENDENTE]]:tabConsumo[[#This Row],[07_23]] )</f>
        <v>11018</v>
      </c>
      <c r="AA653" s="257">
        <f>LARGE(tabConsumo[[#This Row],[08_22]:[07_23]],1)</f>
        <v>2195</v>
      </c>
      <c r="AB653" s="175" t="s">
        <v>2211</v>
      </c>
      <c r="AC653" s="3" t="s">
        <v>2064</v>
      </c>
    </row>
    <row r="654" spans="1:29" x14ac:dyDescent="0.3">
      <c r="A654" s="4" t="s">
        <v>1693</v>
      </c>
      <c r="B654" s="3" t="s">
        <v>31</v>
      </c>
      <c r="C654" s="2">
        <v>114430</v>
      </c>
      <c r="D654" s="2">
        <v>25</v>
      </c>
      <c r="F654" s="2">
        <v>16</v>
      </c>
      <c r="G654" s="2">
        <v>14</v>
      </c>
      <c r="H654" s="2">
        <v>23</v>
      </c>
      <c r="I654" s="2">
        <v>26</v>
      </c>
      <c r="J654" s="2">
        <v>13</v>
      </c>
      <c r="K654" s="2">
        <v>22</v>
      </c>
      <c r="L654" s="2">
        <v>44</v>
      </c>
      <c r="M654" s="2">
        <v>76</v>
      </c>
      <c r="N654" s="2">
        <v>37</v>
      </c>
      <c r="O654" s="2">
        <v>34</v>
      </c>
      <c r="P654" s="2">
        <v>42</v>
      </c>
      <c r="Q654" s="2">
        <v>21</v>
      </c>
      <c r="R654" s="274">
        <v>40249</v>
      </c>
      <c r="S654" s="253">
        <v>12</v>
      </c>
      <c r="T654" s="254">
        <f>SUM( tabConsumo[[#This Row],[QTD.PENDENTE]]:tabConsumo[[#This Row],[07_23]] ) / tabConsumo[[#This Row],[Div]]</f>
        <v>30.666666666666668</v>
      </c>
      <c r="U654" s="255">
        <f xml:space="preserve"> tabConsumo[[#This Row],[Média.A]] + (_xlfn.STDEV.S( tabConsumo[[#This Row],[QTD.PENDENTE]]:tabConsumo[[#This Row],[07_23]] ) * 1)</f>
        <v>48.419173958638552</v>
      </c>
      <c r="V654" s="255">
        <f xml:space="preserve"> tabConsumo[[#This Row],[Média.A]] + (_xlfn.STDEV.S( tabConsumo[[#This Row],[QTD.PENDENTE]]:tabConsumo[[#This Row],[07_23]] ) * 2)</f>
        <v>66.171681250610447</v>
      </c>
      <c r="W654" s="255">
        <f xml:space="preserve"> tabConsumo[[#This Row],[Média.A]] + (_xlfn.STDEV.S( tabConsumo[[#This Row],[QTD.PENDENTE]]:tabConsumo[[#This Row],[07_23]] ) * 3)</f>
        <v>83.924188542582328</v>
      </c>
      <c r="X654" s="5">
        <f t="shared" si="23"/>
        <v>2</v>
      </c>
      <c r="Y654">
        <v>29.833333333333332</v>
      </c>
      <c r="Z654" s="257">
        <f>SUM( tabConsumo[[#This Row],[QTD.PENDENTE]]:tabConsumo[[#This Row],[07_23]] )</f>
        <v>368</v>
      </c>
      <c r="AA654" s="257">
        <f>LARGE(tabConsumo[[#This Row],[08_22]:[07_23]],1)</f>
        <v>76</v>
      </c>
      <c r="AB654" s="175" t="s">
        <v>2211</v>
      </c>
      <c r="AC654" s="3" t="s">
        <v>2064</v>
      </c>
    </row>
    <row r="655" spans="1:29" x14ac:dyDescent="0.3">
      <c r="A655" s="4" t="s">
        <v>1612</v>
      </c>
      <c r="B655" s="3" t="s">
        <v>256</v>
      </c>
      <c r="C655" s="2">
        <v>105293</v>
      </c>
      <c r="D655" s="2">
        <v>0</v>
      </c>
      <c r="E655" s="2">
        <v>200</v>
      </c>
      <c r="F655" s="2">
        <v>100</v>
      </c>
      <c r="G655" s="2">
        <v>230</v>
      </c>
      <c r="H655" s="2">
        <v>40</v>
      </c>
      <c r="I655" s="2">
        <v>120</v>
      </c>
      <c r="J655" s="2">
        <v>110</v>
      </c>
      <c r="K655" s="2">
        <v>110</v>
      </c>
      <c r="L655" s="2">
        <v>20</v>
      </c>
      <c r="M655" s="2">
        <v>230</v>
      </c>
      <c r="N655" s="2">
        <v>107</v>
      </c>
      <c r="O655" s="2">
        <v>0</v>
      </c>
      <c r="P655" s="2">
        <v>0</v>
      </c>
      <c r="Q655" s="2">
        <v>2</v>
      </c>
      <c r="R655" s="274">
        <v>39506</v>
      </c>
      <c r="S655" s="253">
        <v>12</v>
      </c>
      <c r="T655" s="254">
        <f>SUM( tabConsumo[[#This Row],[QTD.PENDENTE]]:tabConsumo[[#This Row],[07_23]] ) / tabConsumo[[#This Row],[Div]]</f>
        <v>105.75</v>
      </c>
      <c r="U655" s="255">
        <f xml:space="preserve"> tabConsumo[[#This Row],[Média.A]] + (_xlfn.STDEV.S( tabConsumo[[#This Row],[QTD.PENDENTE]]:tabConsumo[[#This Row],[07_23]] ) * 1)</f>
        <v>189.40558206274349</v>
      </c>
      <c r="V655" s="255">
        <f xml:space="preserve"> tabConsumo[[#This Row],[Média.A]] + (_xlfn.STDEV.S( tabConsumo[[#This Row],[QTD.PENDENTE]]:tabConsumo[[#This Row],[07_23]] ) * 2)</f>
        <v>273.06116412548698</v>
      </c>
      <c r="W655" s="255">
        <f xml:space="preserve"> tabConsumo[[#This Row],[Média.A]] + (_xlfn.STDEV.S( tabConsumo[[#This Row],[QTD.PENDENTE]]:tabConsumo[[#This Row],[07_23]] ) * 3)</f>
        <v>356.71674618823045</v>
      </c>
      <c r="X655" s="5">
        <f t="shared" si="23"/>
        <v>2</v>
      </c>
      <c r="Y655">
        <v>105.75</v>
      </c>
      <c r="Z655" s="257">
        <f>SUM( tabConsumo[[#This Row],[QTD.PENDENTE]]:tabConsumo[[#This Row],[07_23]] )</f>
        <v>1269</v>
      </c>
      <c r="AA655" s="257">
        <f>LARGE(tabConsumo[[#This Row],[08_22]:[07_23]],1)</f>
        <v>230</v>
      </c>
      <c r="AB655" s="175" t="s">
        <v>2211</v>
      </c>
      <c r="AC655" s="3" t="s">
        <v>2064</v>
      </c>
    </row>
    <row r="656" spans="1:29" x14ac:dyDescent="0.3">
      <c r="A656" s="4" t="s">
        <v>1911</v>
      </c>
      <c r="B656" s="3" t="s">
        <v>31</v>
      </c>
      <c r="C656" s="2">
        <v>136273</v>
      </c>
      <c r="D656" s="2">
        <v>1138</v>
      </c>
      <c r="F656" s="2">
        <v>30</v>
      </c>
      <c r="G656" s="2">
        <v>120</v>
      </c>
      <c r="H656" s="2">
        <v>150</v>
      </c>
      <c r="I656" s="2">
        <v>110</v>
      </c>
      <c r="J656" s="2">
        <v>50</v>
      </c>
      <c r="K656" s="2">
        <v>0</v>
      </c>
      <c r="L656" s="2">
        <v>0</v>
      </c>
      <c r="M656" s="2">
        <v>20</v>
      </c>
      <c r="N656" s="2">
        <v>300</v>
      </c>
      <c r="O656" s="2">
        <v>0</v>
      </c>
      <c r="P656" s="2">
        <v>0</v>
      </c>
      <c r="Q656" s="2">
        <v>300</v>
      </c>
      <c r="R656" s="274">
        <v>43483</v>
      </c>
      <c r="S656" s="253">
        <v>12</v>
      </c>
      <c r="T656" s="254">
        <f>SUM( tabConsumo[[#This Row],[QTD.PENDENTE]]:tabConsumo[[#This Row],[07_23]] ) / tabConsumo[[#This Row],[Div]]</f>
        <v>90</v>
      </c>
      <c r="U656" s="255">
        <f xml:space="preserve"> tabConsumo[[#This Row],[Média.A]] + (_xlfn.STDEV.S( tabConsumo[[#This Row],[QTD.PENDENTE]]:tabConsumo[[#This Row],[07_23]] ) * 1)</f>
        <v>201.02825193288746</v>
      </c>
      <c r="V656" s="255">
        <f xml:space="preserve"> tabConsumo[[#This Row],[Média.A]] + (_xlfn.STDEV.S( tabConsumo[[#This Row],[QTD.PENDENTE]]:tabConsumo[[#This Row],[07_23]] ) * 2)</f>
        <v>312.05650386577491</v>
      </c>
      <c r="W656" s="255">
        <f xml:space="preserve"> tabConsumo[[#This Row],[Média.A]] + (_xlfn.STDEV.S( tabConsumo[[#This Row],[QTD.PENDENTE]]:tabConsumo[[#This Row],[07_23]] ) * 3)</f>
        <v>423.0847557986624</v>
      </c>
      <c r="X656" s="5">
        <f t="shared" si="23"/>
        <v>2</v>
      </c>
      <c r="Y656">
        <v>90</v>
      </c>
      <c r="Z656" s="257">
        <f>SUM( tabConsumo[[#This Row],[QTD.PENDENTE]]:tabConsumo[[#This Row],[07_23]] )</f>
        <v>1080</v>
      </c>
      <c r="AA656" s="257">
        <f>LARGE(tabConsumo[[#This Row],[08_22]:[07_23]],1)</f>
        <v>300</v>
      </c>
      <c r="AB656" s="175" t="s">
        <v>2211</v>
      </c>
      <c r="AC656" s="3" t="s">
        <v>2064</v>
      </c>
    </row>
    <row r="657" spans="1:29" x14ac:dyDescent="0.3">
      <c r="A657" s="4" t="s">
        <v>1647</v>
      </c>
      <c r="B657" s="3" t="s">
        <v>256</v>
      </c>
      <c r="C657" s="2">
        <v>108398</v>
      </c>
      <c r="D657" s="2">
        <v>5</v>
      </c>
      <c r="F657" s="2">
        <v>0</v>
      </c>
      <c r="G657" s="2">
        <v>1</v>
      </c>
      <c r="H657" s="2">
        <v>1</v>
      </c>
      <c r="I657" s="2">
        <v>0</v>
      </c>
      <c r="J657" s="2">
        <v>0</v>
      </c>
      <c r="K657" s="2">
        <v>1</v>
      </c>
      <c r="L657" s="2">
        <v>0</v>
      </c>
      <c r="M657" s="2">
        <v>0</v>
      </c>
      <c r="N657" s="2">
        <v>0</v>
      </c>
      <c r="O657" s="2">
        <v>0</v>
      </c>
      <c r="P657" s="2">
        <v>2</v>
      </c>
      <c r="Q657" s="2">
        <v>0</v>
      </c>
      <c r="R657" s="274">
        <v>39737</v>
      </c>
      <c r="S657" s="253">
        <v>12</v>
      </c>
      <c r="T657" s="254">
        <f>SUM( tabConsumo[[#This Row],[QTD.PENDENTE]]:tabConsumo[[#This Row],[07_23]] ) / tabConsumo[[#This Row],[Div]]</f>
        <v>0.41666666666666669</v>
      </c>
      <c r="U657" s="255">
        <f xml:space="preserve"> tabConsumo[[#This Row],[Média.A]] + (_xlfn.STDEV.S( tabConsumo[[#This Row],[QTD.PENDENTE]]:tabConsumo[[#This Row],[07_23]] ) * 1)</f>
        <v>1.0852245900881881</v>
      </c>
      <c r="V657" s="255">
        <f xml:space="preserve"> tabConsumo[[#This Row],[Média.A]] + (_xlfn.STDEV.S( tabConsumo[[#This Row],[QTD.PENDENTE]]:tabConsumo[[#This Row],[07_23]] ) * 2)</f>
        <v>1.7537825135097096</v>
      </c>
      <c r="W657" s="255">
        <f xml:space="preserve"> tabConsumo[[#This Row],[Média.A]] + (_xlfn.STDEV.S( tabConsumo[[#This Row],[QTD.PENDENTE]]:tabConsumo[[#This Row],[07_23]] ) * 3)</f>
        <v>2.4223404369312309</v>
      </c>
      <c r="X657" s="5">
        <f t="shared" si="23"/>
        <v>2</v>
      </c>
      <c r="Y657">
        <v>0.33333333333333331</v>
      </c>
      <c r="Z657" s="257">
        <f>SUM( tabConsumo[[#This Row],[QTD.PENDENTE]]:tabConsumo[[#This Row],[07_23]] )</f>
        <v>5</v>
      </c>
      <c r="AA657" s="257">
        <f>LARGE(tabConsumo[[#This Row],[08_22]:[07_23]],1)</f>
        <v>2</v>
      </c>
      <c r="AB657" s="175" t="s">
        <v>2212</v>
      </c>
      <c r="AC657" s="3" t="s">
        <v>2064</v>
      </c>
    </row>
    <row r="658" spans="1:29" x14ac:dyDescent="0.3">
      <c r="A658" s="4" t="s">
        <v>1674</v>
      </c>
      <c r="B658" s="3" t="s">
        <v>31</v>
      </c>
      <c r="C658" s="2">
        <v>111841</v>
      </c>
      <c r="D658" s="2">
        <v>21</v>
      </c>
      <c r="F658" s="2">
        <v>2</v>
      </c>
      <c r="G658" s="2">
        <v>1</v>
      </c>
      <c r="H658" s="2">
        <v>0</v>
      </c>
      <c r="I658" s="2">
        <v>1</v>
      </c>
      <c r="J658" s="2">
        <v>0</v>
      </c>
      <c r="K658" s="2">
        <v>2</v>
      </c>
      <c r="L658" s="2">
        <v>0</v>
      </c>
      <c r="M658" s="2">
        <v>0</v>
      </c>
      <c r="N658" s="2">
        <v>0</v>
      </c>
      <c r="O658" s="2">
        <v>1</v>
      </c>
      <c r="P658" s="2">
        <v>1</v>
      </c>
      <c r="Q658" s="2">
        <v>1</v>
      </c>
      <c r="R658" s="274">
        <v>40015</v>
      </c>
      <c r="S658" s="253">
        <v>12</v>
      </c>
      <c r="T658" s="254">
        <f>SUM( tabConsumo[[#This Row],[QTD.PENDENTE]]:tabConsumo[[#This Row],[07_23]] ) / tabConsumo[[#This Row],[Div]]</f>
        <v>0.75</v>
      </c>
      <c r="U658" s="255">
        <f xml:space="preserve"> tabConsumo[[#This Row],[Média.A]] + (_xlfn.STDEV.S( tabConsumo[[#This Row],[QTD.PENDENTE]]:tabConsumo[[#This Row],[07_23]] ) * 1)</f>
        <v>1.5037783614444091</v>
      </c>
      <c r="V658" s="255">
        <f xml:space="preserve"> tabConsumo[[#This Row],[Média.A]] + (_xlfn.STDEV.S( tabConsumo[[#This Row],[QTD.PENDENTE]]:tabConsumo[[#This Row],[07_23]] ) * 2)</f>
        <v>2.2575567228888183</v>
      </c>
      <c r="W658" s="255">
        <f xml:space="preserve"> tabConsumo[[#This Row],[Média.A]] + (_xlfn.STDEV.S( tabConsumo[[#This Row],[QTD.PENDENTE]]:tabConsumo[[#This Row],[07_23]] ) * 3)</f>
        <v>3.0113350843332274</v>
      </c>
      <c r="X658" s="5">
        <f t="shared" si="23"/>
        <v>2</v>
      </c>
      <c r="Y658">
        <v>0.75</v>
      </c>
      <c r="Z658" s="257">
        <f>SUM( tabConsumo[[#This Row],[QTD.PENDENTE]]:tabConsumo[[#This Row],[07_23]] )</f>
        <v>9</v>
      </c>
      <c r="AA658" s="257">
        <f>LARGE(tabConsumo[[#This Row],[08_22]:[07_23]],1)</f>
        <v>2</v>
      </c>
      <c r="AB658" s="175" t="s">
        <v>2211</v>
      </c>
      <c r="AC658" s="3" t="s">
        <v>2064</v>
      </c>
    </row>
    <row r="659" spans="1:29" x14ac:dyDescent="0.3">
      <c r="A659" s="4" t="s">
        <v>1697</v>
      </c>
      <c r="B659" s="3" t="s">
        <v>256</v>
      </c>
      <c r="C659" s="2">
        <v>114773</v>
      </c>
      <c r="D659" s="2">
        <v>17</v>
      </c>
      <c r="F659" s="2">
        <v>0</v>
      </c>
      <c r="G659" s="2">
        <v>0</v>
      </c>
      <c r="H659" s="2">
        <v>1</v>
      </c>
      <c r="I659" s="2">
        <v>2</v>
      </c>
      <c r="J659" s="2">
        <v>0</v>
      </c>
      <c r="K659" s="2">
        <v>2</v>
      </c>
      <c r="L659" s="2">
        <v>0</v>
      </c>
      <c r="M659" s="2">
        <v>0</v>
      </c>
      <c r="N659" s="2">
        <v>0</v>
      </c>
      <c r="O659" s="2">
        <v>0</v>
      </c>
      <c r="P659" s="2">
        <v>2</v>
      </c>
      <c r="Q659" s="2">
        <v>0</v>
      </c>
      <c r="R659" s="274">
        <v>40275</v>
      </c>
      <c r="S659" s="253">
        <v>12</v>
      </c>
      <c r="T659" s="254">
        <f>SUM( tabConsumo[[#This Row],[QTD.PENDENTE]]:tabConsumo[[#This Row],[07_23]] ) / tabConsumo[[#This Row],[Div]]</f>
        <v>0.58333333333333337</v>
      </c>
      <c r="U659" s="255">
        <f xml:space="preserve"> tabConsumo[[#This Row],[Média.A]] + (_xlfn.STDEV.S( tabConsumo[[#This Row],[QTD.PENDENTE]]:tabConsumo[[#This Row],[07_23]] ) * 1)</f>
        <v>1.4836699707118535</v>
      </c>
      <c r="V659" s="255">
        <f xml:space="preserve"> tabConsumo[[#This Row],[Média.A]] + (_xlfn.STDEV.S( tabConsumo[[#This Row],[QTD.PENDENTE]]:tabConsumo[[#This Row],[07_23]] ) * 2)</f>
        <v>2.3840066080903735</v>
      </c>
      <c r="W659" s="255">
        <f xml:space="preserve"> tabConsumo[[#This Row],[Média.A]] + (_xlfn.STDEV.S( tabConsumo[[#This Row],[QTD.PENDENTE]]:tabConsumo[[#This Row],[07_23]] ) * 3)</f>
        <v>3.2843432454688934</v>
      </c>
      <c r="X659" s="5">
        <f t="shared" si="23"/>
        <v>2</v>
      </c>
      <c r="Y659">
        <v>0.58333333333333337</v>
      </c>
      <c r="Z659" s="257">
        <f>SUM( tabConsumo[[#This Row],[QTD.PENDENTE]]:tabConsumo[[#This Row],[07_23]] )</f>
        <v>7</v>
      </c>
      <c r="AA659" s="257">
        <f>LARGE(tabConsumo[[#This Row],[08_22]:[07_23]],1)</f>
        <v>2</v>
      </c>
      <c r="AB659" s="175" t="s">
        <v>2212</v>
      </c>
      <c r="AC659" s="3" t="s">
        <v>2064</v>
      </c>
    </row>
    <row r="660" spans="1:29" x14ac:dyDescent="0.3">
      <c r="A660" s="4" t="s">
        <v>712</v>
      </c>
      <c r="B660" s="3" t="s">
        <v>31</v>
      </c>
      <c r="C660" s="2">
        <v>60110</v>
      </c>
      <c r="D660" s="2">
        <v>0</v>
      </c>
      <c r="F660" s="2">
        <v>0</v>
      </c>
      <c r="G660" s="2">
        <v>0</v>
      </c>
      <c r="H660" s="2">
        <v>0</v>
      </c>
      <c r="I660" s="2">
        <v>4</v>
      </c>
      <c r="J660" s="2">
        <v>0</v>
      </c>
      <c r="K660" s="2">
        <v>0</v>
      </c>
      <c r="L660" s="2">
        <v>0</v>
      </c>
      <c r="M660" s="2">
        <v>0</v>
      </c>
      <c r="N660" s="2">
        <v>0</v>
      </c>
      <c r="O660" s="2">
        <v>0</v>
      </c>
      <c r="P660" s="2">
        <v>0</v>
      </c>
      <c r="Q660" s="2">
        <v>0</v>
      </c>
      <c r="R660" s="274">
        <v>367</v>
      </c>
      <c r="S660" s="253">
        <f t="shared" ref="S660:S666" si="24" xml:space="preserve"> 12</f>
        <v>12</v>
      </c>
      <c r="T660" s="254">
        <f>SUM( tabConsumo[[#This Row],[QTD.PENDENTE]]:tabConsumo[[#This Row],[07_23]] ) / tabConsumo[[#This Row],[Div]]</f>
        <v>0.33333333333333331</v>
      </c>
      <c r="U660" s="255">
        <f xml:space="preserve"> tabConsumo[[#This Row],[Média.A]] + (_xlfn.STDEV.S( tabConsumo[[#This Row],[QTD.PENDENTE]]:tabConsumo[[#This Row],[07_23]] ) * 1)</f>
        <v>1.4880338717125847</v>
      </c>
      <c r="V660" s="255">
        <f xml:space="preserve"> tabConsumo[[#This Row],[Média.A]] + (_xlfn.STDEV.S( tabConsumo[[#This Row],[QTD.PENDENTE]]:tabConsumo[[#This Row],[07_23]] ) * 2)</f>
        <v>2.6427344100918364</v>
      </c>
      <c r="W660" s="255">
        <f xml:space="preserve"> tabConsumo[[#This Row],[Média.A]] + (_xlfn.STDEV.S( tabConsumo[[#This Row],[QTD.PENDENTE]]:tabConsumo[[#This Row],[07_23]] ) * 3)</f>
        <v>3.7974349484710879</v>
      </c>
      <c r="X660" s="5">
        <f t="shared" si="23"/>
        <v>2</v>
      </c>
      <c r="Y660">
        <v>0.16666666666666666</v>
      </c>
      <c r="Z660" s="257">
        <f>SUM( tabConsumo[[#This Row],[QTD.PENDENTE]]:tabConsumo[[#This Row],[07_23]] )</f>
        <v>4</v>
      </c>
      <c r="AA660" s="257">
        <f>LARGE(tabConsumo[[#This Row],[08_22]:[07_23]],1)</f>
        <v>4</v>
      </c>
      <c r="AB660" s="175" t="s">
        <v>2216</v>
      </c>
      <c r="AC660" s="3" t="s">
        <v>2064</v>
      </c>
    </row>
    <row r="661" spans="1:29" x14ac:dyDescent="0.3">
      <c r="A661" s="4" t="s">
        <v>1079</v>
      </c>
      <c r="B661" s="3" t="s">
        <v>256</v>
      </c>
      <c r="C661" s="2">
        <v>15051</v>
      </c>
      <c r="D661" s="2">
        <v>51</v>
      </c>
      <c r="F661" s="2">
        <v>4</v>
      </c>
      <c r="G661" s="2">
        <v>0</v>
      </c>
      <c r="H661" s="2">
        <v>0</v>
      </c>
      <c r="I661" s="2">
        <v>0</v>
      </c>
      <c r="J661" s="2">
        <v>0</v>
      </c>
      <c r="K661" s="2">
        <v>0</v>
      </c>
      <c r="L661" s="2">
        <v>0</v>
      </c>
      <c r="M661" s="2">
        <v>0</v>
      </c>
      <c r="N661" s="2">
        <v>0</v>
      </c>
      <c r="O661" s="2">
        <v>0</v>
      </c>
      <c r="P661" s="2">
        <v>0</v>
      </c>
      <c r="Q661" s="2">
        <v>0</v>
      </c>
      <c r="R661" s="274">
        <v>367</v>
      </c>
      <c r="S661" s="253">
        <f t="shared" si="24"/>
        <v>12</v>
      </c>
      <c r="T661" s="254">
        <f>SUM( tabConsumo[[#This Row],[QTD.PENDENTE]]:tabConsumo[[#This Row],[07_23]] ) / tabConsumo[[#This Row],[Div]]</f>
        <v>0.33333333333333331</v>
      </c>
      <c r="U661" s="255">
        <f xml:space="preserve"> tabConsumo[[#This Row],[Média.A]] + (_xlfn.STDEV.S( tabConsumo[[#This Row],[QTD.PENDENTE]]:tabConsumo[[#This Row],[07_23]] ) * 1)</f>
        <v>1.4880338717125847</v>
      </c>
      <c r="V661" s="255">
        <f xml:space="preserve"> tabConsumo[[#This Row],[Média.A]] + (_xlfn.STDEV.S( tabConsumo[[#This Row],[QTD.PENDENTE]]:tabConsumo[[#This Row],[07_23]] ) * 2)</f>
        <v>2.6427344100918364</v>
      </c>
      <c r="W661" s="255">
        <f xml:space="preserve"> tabConsumo[[#This Row],[Média.A]] + (_xlfn.STDEV.S( tabConsumo[[#This Row],[QTD.PENDENTE]]:tabConsumo[[#This Row],[07_23]] ) * 3)</f>
        <v>3.7974349484710879</v>
      </c>
      <c r="X661" s="5">
        <f t="shared" si="23"/>
        <v>2</v>
      </c>
      <c r="Y661">
        <v>0.16666666666666666</v>
      </c>
      <c r="Z661" s="257">
        <f>SUM( tabConsumo[[#This Row],[QTD.PENDENTE]]:tabConsumo[[#This Row],[07_23]] )</f>
        <v>4</v>
      </c>
      <c r="AA661" s="257">
        <f>LARGE(tabConsumo[[#This Row],[08_22]:[07_23]],1)</f>
        <v>4</v>
      </c>
      <c r="AB661" s="175" t="s">
        <v>2218</v>
      </c>
      <c r="AC661" s="3" t="s">
        <v>2064</v>
      </c>
    </row>
    <row r="662" spans="1:29" x14ac:dyDescent="0.3">
      <c r="A662" s="4" t="s">
        <v>1167</v>
      </c>
      <c r="B662" s="3" t="s">
        <v>256</v>
      </c>
      <c r="C662" s="2">
        <v>20554</v>
      </c>
      <c r="D662" s="2">
        <v>12260</v>
      </c>
      <c r="E662" s="2">
        <v>50</v>
      </c>
      <c r="F662" s="2">
        <v>400</v>
      </c>
      <c r="G662" s="2">
        <v>850</v>
      </c>
      <c r="H662" s="2">
        <v>700</v>
      </c>
      <c r="I662" s="2">
        <v>1110</v>
      </c>
      <c r="J662" s="2">
        <v>1000</v>
      </c>
      <c r="K662" s="2">
        <v>1000</v>
      </c>
      <c r="L662" s="2">
        <v>800</v>
      </c>
      <c r="M662" s="2">
        <v>650</v>
      </c>
      <c r="N662" s="2">
        <v>2100</v>
      </c>
      <c r="O662" s="2">
        <v>0</v>
      </c>
      <c r="P662" s="2">
        <v>500</v>
      </c>
      <c r="Q662" s="2">
        <v>130</v>
      </c>
      <c r="R662" s="274">
        <v>367</v>
      </c>
      <c r="S662" s="253">
        <f t="shared" si="24"/>
        <v>12</v>
      </c>
      <c r="T662" s="254">
        <f>SUM( tabConsumo[[#This Row],[QTD.PENDENTE]]:tabConsumo[[#This Row],[07_23]] ) / tabConsumo[[#This Row],[Div]]</f>
        <v>774.16666666666663</v>
      </c>
      <c r="U662" s="255">
        <f xml:space="preserve"> tabConsumo[[#This Row],[Média.A]] + (_xlfn.STDEV.S( tabConsumo[[#This Row],[QTD.PENDENTE]]:tabConsumo[[#This Row],[07_23]] ) * 1)</f>
        <v>1330.0235934715083</v>
      </c>
      <c r="V662" s="255">
        <f xml:space="preserve"> tabConsumo[[#This Row],[Média.A]] + (_xlfn.STDEV.S( tabConsumo[[#This Row],[QTD.PENDENTE]]:tabConsumo[[#This Row],[07_23]] ) * 2)</f>
        <v>1885.8805202763497</v>
      </c>
      <c r="W662" s="255">
        <f xml:space="preserve"> tabConsumo[[#This Row],[Média.A]] + (_xlfn.STDEV.S( tabConsumo[[#This Row],[QTD.PENDENTE]]:tabConsumo[[#This Row],[07_23]] ) * 3)</f>
        <v>2441.7374470811915</v>
      </c>
      <c r="X662" s="5">
        <f t="shared" si="23"/>
        <v>2</v>
      </c>
      <c r="Y662">
        <v>756.25</v>
      </c>
      <c r="Z662" s="257">
        <f>SUM( tabConsumo[[#This Row],[QTD.PENDENTE]]:tabConsumo[[#This Row],[07_23]] )</f>
        <v>9290</v>
      </c>
      <c r="AA662" s="257">
        <f>LARGE(tabConsumo[[#This Row],[08_22]:[07_23]],1)</f>
        <v>2100</v>
      </c>
      <c r="AB662" s="175" t="s">
        <v>2211</v>
      </c>
      <c r="AC662" s="3" t="s">
        <v>2064</v>
      </c>
    </row>
    <row r="663" spans="1:29" x14ac:dyDescent="0.3">
      <c r="A663" s="4" t="s">
        <v>1169</v>
      </c>
      <c r="B663" s="3" t="s">
        <v>256</v>
      </c>
      <c r="C663" s="2">
        <v>20558</v>
      </c>
      <c r="D663" s="2">
        <v>627</v>
      </c>
      <c r="E663" s="2">
        <v>1355</v>
      </c>
      <c r="F663" s="2">
        <v>900</v>
      </c>
      <c r="G663" s="2">
        <v>1100</v>
      </c>
      <c r="H663" s="2">
        <v>1100</v>
      </c>
      <c r="I663" s="2">
        <v>710</v>
      </c>
      <c r="J663" s="2">
        <v>400</v>
      </c>
      <c r="K663" s="2">
        <v>2400</v>
      </c>
      <c r="L663" s="2">
        <v>1000</v>
      </c>
      <c r="M663" s="2">
        <v>950</v>
      </c>
      <c r="N663" s="2">
        <v>1245</v>
      </c>
      <c r="O663" s="2">
        <v>0</v>
      </c>
      <c r="P663" s="2">
        <v>0</v>
      </c>
      <c r="Q663" s="2">
        <v>0</v>
      </c>
      <c r="R663" s="274">
        <v>367</v>
      </c>
      <c r="S663" s="253">
        <f t="shared" si="24"/>
        <v>12</v>
      </c>
      <c r="T663" s="254">
        <f>SUM( tabConsumo[[#This Row],[QTD.PENDENTE]]:tabConsumo[[#This Row],[07_23]] ) / tabConsumo[[#This Row],[Div]]</f>
        <v>930</v>
      </c>
      <c r="U663" s="255">
        <f xml:space="preserve"> tabConsumo[[#This Row],[Média.A]] + (_xlfn.STDEV.S( tabConsumo[[#This Row],[QTD.PENDENTE]]:tabConsumo[[#This Row],[07_23]] ) * 1)</f>
        <v>1598.4695973371581</v>
      </c>
      <c r="V663" s="255">
        <f xml:space="preserve"> tabConsumo[[#This Row],[Média.A]] + (_xlfn.STDEV.S( tabConsumo[[#This Row],[QTD.PENDENTE]]:tabConsumo[[#This Row],[07_23]] ) * 2)</f>
        <v>2266.9391946743162</v>
      </c>
      <c r="W663" s="255">
        <f xml:space="preserve"> tabConsumo[[#This Row],[Média.A]] + (_xlfn.STDEV.S( tabConsumo[[#This Row],[QTD.PENDENTE]]:tabConsumo[[#This Row],[07_23]] ) * 3)</f>
        <v>2935.4087920114748</v>
      </c>
      <c r="X663" s="5">
        <f t="shared" si="23"/>
        <v>2</v>
      </c>
      <c r="Y663">
        <v>918.83333333333337</v>
      </c>
      <c r="Z663" s="257">
        <f>SUM( tabConsumo[[#This Row],[QTD.PENDENTE]]:tabConsumo[[#This Row],[07_23]] )</f>
        <v>11160</v>
      </c>
      <c r="AA663" s="257">
        <f>LARGE(tabConsumo[[#This Row],[08_22]:[07_23]],1)</f>
        <v>2400</v>
      </c>
      <c r="AB663" s="175" t="s">
        <v>2213</v>
      </c>
      <c r="AC663" s="3" t="s">
        <v>2064</v>
      </c>
    </row>
    <row r="664" spans="1:29" x14ac:dyDescent="0.3">
      <c r="A664" s="4" t="s">
        <v>1170</v>
      </c>
      <c r="B664" s="3" t="s">
        <v>256</v>
      </c>
      <c r="C664" s="2">
        <v>20576</v>
      </c>
      <c r="D664" s="2">
        <v>7415</v>
      </c>
      <c r="F664" s="2">
        <v>400</v>
      </c>
      <c r="G664" s="2">
        <v>200</v>
      </c>
      <c r="H664" s="2">
        <v>300</v>
      </c>
      <c r="I664" s="2">
        <v>900</v>
      </c>
      <c r="J664" s="2">
        <v>0</v>
      </c>
      <c r="K664" s="2">
        <v>100</v>
      </c>
      <c r="L664" s="2">
        <v>350</v>
      </c>
      <c r="M664" s="2">
        <v>500</v>
      </c>
      <c r="N664" s="2">
        <v>2650</v>
      </c>
      <c r="O664" s="2">
        <v>100</v>
      </c>
      <c r="P664" s="2">
        <v>0</v>
      </c>
      <c r="Q664" s="2">
        <v>0</v>
      </c>
      <c r="R664" s="274">
        <v>367</v>
      </c>
      <c r="S664" s="253">
        <f t="shared" si="24"/>
        <v>12</v>
      </c>
      <c r="T664" s="254">
        <f>SUM( tabConsumo[[#This Row],[QTD.PENDENTE]]:tabConsumo[[#This Row],[07_23]] ) / tabConsumo[[#This Row],[Div]]</f>
        <v>458.33333333333331</v>
      </c>
      <c r="U664" s="255">
        <f xml:space="preserve"> tabConsumo[[#This Row],[Média.A]] + (_xlfn.STDEV.S( tabConsumo[[#This Row],[QTD.PENDENTE]]:tabConsumo[[#This Row],[07_23]] ) * 1)</f>
        <v>1196.5231750571559</v>
      </c>
      <c r="V664" s="255">
        <f xml:space="preserve"> tabConsumo[[#This Row],[Média.A]] + (_xlfn.STDEV.S( tabConsumo[[#This Row],[QTD.PENDENTE]]:tabConsumo[[#This Row],[07_23]] ) * 2)</f>
        <v>1934.7130167809785</v>
      </c>
      <c r="W664" s="255">
        <f xml:space="preserve"> tabConsumo[[#This Row],[Média.A]] + (_xlfn.STDEV.S( tabConsumo[[#This Row],[QTD.PENDENTE]]:tabConsumo[[#This Row],[07_23]] ) * 3)</f>
        <v>2672.9028585048013</v>
      </c>
      <c r="X664" s="5">
        <f t="shared" si="23"/>
        <v>2</v>
      </c>
      <c r="Y664">
        <v>398.66666666666669</v>
      </c>
      <c r="Z664" s="257">
        <f>SUM( tabConsumo[[#This Row],[QTD.PENDENTE]]:tabConsumo[[#This Row],[07_23]] )</f>
        <v>5500</v>
      </c>
      <c r="AA664" s="257">
        <f>LARGE(tabConsumo[[#This Row],[08_22]:[07_23]],1)</f>
        <v>2650</v>
      </c>
      <c r="AB664" s="175" t="s">
        <v>2214</v>
      </c>
      <c r="AC664" s="3" t="s">
        <v>2064</v>
      </c>
    </row>
    <row r="665" spans="1:29" x14ac:dyDescent="0.3">
      <c r="A665" s="4" t="s">
        <v>1171</v>
      </c>
      <c r="B665" s="3" t="s">
        <v>256</v>
      </c>
      <c r="C665" s="2">
        <v>20583</v>
      </c>
      <c r="D665" s="2">
        <v>13063</v>
      </c>
      <c r="E665" s="2">
        <v>50</v>
      </c>
      <c r="F665" s="2">
        <v>400</v>
      </c>
      <c r="G665" s="2">
        <v>0</v>
      </c>
      <c r="H665" s="2">
        <v>100</v>
      </c>
      <c r="I665" s="2">
        <v>600</v>
      </c>
      <c r="J665" s="2">
        <v>50</v>
      </c>
      <c r="K665" s="2">
        <v>50</v>
      </c>
      <c r="L665" s="2">
        <v>50</v>
      </c>
      <c r="M665" s="2">
        <v>0</v>
      </c>
      <c r="N665" s="2">
        <v>2100</v>
      </c>
      <c r="O665" s="2">
        <v>0</v>
      </c>
      <c r="P665" s="2">
        <v>0</v>
      </c>
      <c r="Q665" s="2">
        <v>0</v>
      </c>
      <c r="R665" s="274">
        <v>367</v>
      </c>
      <c r="S665" s="253">
        <f t="shared" si="24"/>
        <v>12</v>
      </c>
      <c r="T665" s="254">
        <f>SUM( tabConsumo[[#This Row],[QTD.PENDENTE]]:tabConsumo[[#This Row],[07_23]] ) / tabConsumo[[#This Row],[Div]]</f>
        <v>283.33333333333331</v>
      </c>
      <c r="U665" s="255">
        <f xml:space="preserve"> tabConsumo[[#This Row],[Média.A]] + (_xlfn.STDEV.S( tabConsumo[[#This Row],[QTD.PENDENTE]]:tabConsumo[[#This Row],[07_23]] ) * 1)</f>
        <v>865.05271232756627</v>
      </c>
      <c r="V665" s="255">
        <f xml:space="preserve"> tabConsumo[[#This Row],[Média.A]] + (_xlfn.STDEV.S( tabConsumo[[#This Row],[QTD.PENDENTE]]:tabConsumo[[#This Row],[07_23]] ) * 2)</f>
        <v>1446.7720913217991</v>
      </c>
      <c r="W665" s="255">
        <f xml:space="preserve"> tabConsumo[[#This Row],[Média.A]] + (_xlfn.STDEV.S( tabConsumo[[#This Row],[QTD.PENDENTE]]:tabConsumo[[#This Row],[07_23]] ) * 3)</f>
        <v>2028.4914703160318</v>
      </c>
      <c r="X665" s="5">
        <f t="shared" si="23"/>
        <v>2</v>
      </c>
      <c r="Y665">
        <v>228.83333333333334</v>
      </c>
      <c r="Z665" s="257">
        <f>SUM( tabConsumo[[#This Row],[QTD.PENDENTE]]:tabConsumo[[#This Row],[07_23]] )</f>
        <v>3400</v>
      </c>
      <c r="AA665" s="257">
        <f>LARGE(tabConsumo[[#This Row],[08_22]:[07_23]],1)</f>
        <v>2100</v>
      </c>
      <c r="AB665" s="175" t="s">
        <v>2213</v>
      </c>
      <c r="AC665" s="3" t="s">
        <v>2064</v>
      </c>
    </row>
    <row r="666" spans="1:29" x14ac:dyDescent="0.3">
      <c r="A666" s="4" t="s">
        <v>1172</v>
      </c>
      <c r="B666" s="3" t="s">
        <v>256</v>
      </c>
      <c r="C666" s="2">
        <v>20584</v>
      </c>
      <c r="D666" s="2">
        <v>24460</v>
      </c>
      <c r="E666" s="2">
        <v>50</v>
      </c>
      <c r="F666" s="2">
        <v>0</v>
      </c>
      <c r="G666" s="2">
        <v>30</v>
      </c>
      <c r="H666" s="2">
        <v>0</v>
      </c>
      <c r="I666" s="2">
        <v>50</v>
      </c>
      <c r="J666" s="2">
        <v>100</v>
      </c>
      <c r="K666" s="2">
        <v>0</v>
      </c>
      <c r="L666" s="2">
        <v>100</v>
      </c>
      <c r="M666" s="2">
        <v>100</v>
      </c>
      <c r="N666" s="2">
        <v>1000</v>
      </c>
      <c r="O666" s="2">
        <v>0</v>
      </c>
      <c r="P666" s="2">
        <v>500</v>
      </c>
      <c r="Q666" s="2">
        <v>0</v>
      </c>
      <c r="R666" s="274">
        <v>367</v>
      </c>
      <c r="S666" s="253">
        <f t="shared" si="24"/>
        <v>12</v>
      </c>
      <c r="T666" s="254">
        <f>SUM( tabConsumo[[#This Row],[QTD.PENDENTE]]:tabConsumo[[#This Row],[07_23]] ) / tabConsumo[[#This Row],[Div]]</f>
        <v>160.83333333333334</v>
      </c>
      <c r="U666" s="255">
        <f xml:space="preserve"> tabConsumo[[#This Row],[Média.A]] + (_xlfn.STDEV.S( tabConsumo[[#This Row],[QTD.PENDENTE]]:tabConsumo[[#This Row],[07_23]] ) * 1)</f>
        <v>449.41740987043067</v>
      </c>
      <c r="V666" s="255">
        <f xml:space="preserve"> tabConsumo[[#This Row],[Média.A]] + (_xlfn.STDEV.S( tabConsumo[[#This Row],[QTD.PENDENTE]]:tabConsumo[[#This Row],[07_23]] ) * 2)</f>
        <v>738.00148640752798</v>
      </c>
      <c r="W666" s="255">
        <f xml:space="preserve"> tabConsumo[[#This Row],[Média.A]] + (_xlfn.STDEV.S( tabConsumo[[#This Row],[QTD.PENDENTE]]:tabConsumo[[#This Row],[07_23]] ) * 3)</f>
        <v>1026.5855629446253</v>
      </c>
      <c r="X666" s="5">
        <f t="shared" si="23"/>
        <v>2</v>
      </c>
      <c r="Y666">
        <v>139</v>
      </c>
      <c r="Z666" s="257">
        <f>SUM( tabConsumo[[#This Row],[QTD.PENDENTE]]:tabConsumo[[#This Row],[07_23]] )</f>
        <v>1930</v>
      </c>
      <c r="AA666" s="257">
        <f>LARGE(tabConsumo[[#This Row],[08_22]:[07_23]],1)</f>
        <v>1000</v>
      </c>
      <c r="AB666" s="175" t="s">
        <v>2212</v>
      </c>
      <c r="AC666" s="3" t="s">
        <v>2064</v>
      </c>
    </row>
    <row r="667" spans="1:29" x14ac:dyDescent="0.3">
      <c r="A667" s="4" t="s">
        <v>1490</v>
      </c>
      <c r="B667" s="3" t="s">
        <v>256</v>
      </c>
      <c r="C667" s="2">
        <v>87699</v>
      </c>
      <c r="D667" s="2">
        <v>86</v>
      </c>
      <c r="F667" s="2">
        <v>0</v>
      </c>
      <c r="G667" s="2">
        <v>0</v>
      </c>
      <c r="H667" s="2">
        <v>0</v>
      </c>
      <c r="I667" s="2">
        <v>0</v>
      </c>
      <c r="J667" s="2">
        <v>0</v>
      </c>
      <c r="K667" s="2">
        <v>1</v>
      </c>
      <c r="L667" s="2">
        <v>0</v>
      </c>
      <c r="M667" s="2">
        <v>0</v>
      </c>
      <c r="N667" s="2">
        <v>0</v>
      </c>
      <c r="O667" s="2">
        <v>0</v>
      </c>
      <c r="P667" s="2">
        <v>1</v>
      </c>
      <c r="Q667" s="2">
        <v>0</v>
      </c>
      <c r="R667" s="274">
        <v>38611</v>
      </c>
      <c r="S667" s="253">
        <v>12</v>
      </c>
      <c r="T667" s="254">
        <f>SUM( tabConsumo[[#This Row],[QTD.PENDENTE]]:tabConsumo[[#This Row],[07_23]] ) / tabConsumo[[#This Row],[Div]]</f>
        <v>0.16666666666666666</v>
      </c>
      <c r="U667" s="255">
        <f xml:space="preserve"> tabConsumo[[#This Row],[Média.A]] + (_xlfn.STDEV.S( tabConsumo[[#This Row],[QTD.PENDENTE]]:tabConsumo[[#This Row],[07_23]] ) * 1)</f>
        <v>0.55591613874742818</v>
      </c>
      <c r="V667" s="255">
        <f xml:space="preserve"> tabConsumo[[#This Row],[Média.A]] + (_xlfn.STDEV.S( tabConsumo[[#This Row],[QTD.PENDENTE]]:tabConsumo[[#This Row],[07_23]] ) * 2)</f>
        <v>0.94516561082818962</v>
      </c>
      <c r="W667" s="255">
        <f xml:space="preserve"> tabConsumo[[#This Row],[Média.A]] + (_xlfn.STDEV.S( tabConsumo[[#This Row],[QTD.PENDENTE]]:tabConsumo[[#This Row],[07_23]] ) * 3)</f>
        <v>1.3344150829089512</v>
      </c>
      <c r="X667" s="5">
        <f t="shared" si="23"/>
        <v>2</v>
      </c>
      <c r="Y667">
        <v>0</v>
      </c>
      <c r="Z667" s="257">
        <f>SUM( tabConsumo[[#This Row],[QTD.PENDENTE]]:tabConsumo[[#This Row],[07_23]] )</f>
        <v>2</v>
      </c>
      <c r="AA667" s="257">
        <f>LARGE(tabConsumo[[#This Row],[08_22]:[07_23]],1)</f>
        <v>1</v>
      </c>
      <c r="AB667" s="175" t="s">
        <v>2212</v>
      </c>
      <c r="AC667" s="3" t="s">
        <v>2064</v>
      </c>
    </row>
    <row r="668" spans="1:29" x14ac:dyDescent="0.3">
      <c r="A668" s="4" t="s">
        <v>1487</v>
      </c>
      <c r="B668" s="3" t="s">
        <v>256</v>
      </c>
      <c r="C668" s="2">
        <v>87698</v>
      </c>
      <c r="D668" s="2">
        <v>14</v>
      </c>
      <c r="E668" s="2">
        <v>3</v>
      </c>
      <c r="F668" s="2">
        <v>0</v>
      </c>
      <c r="G668" s="2">
        <v>3</v>
      </c>
      <c r="H668" s="2">
        <v>1</v>
      </c>
      <c r="I668" s="2">
        <v>0</v>
      </c>
      <c r="J668" s="2">
        <v>1</v>
      </c>
      <c r="K668" s="2">
        <v>2</v>
      </c>
      <c r="L668" s="2">
        <v>0</v>
      </c>
      <c r="M668" s="2">
        <v>0</v>
      </c>
      <c r="N668" s="2">
        <v>0</v>
      </c>
      <c r="O668" s="2">
        <v>0</v>
      </c>
      <c r="P668" s="2">
        <v>4</v>
      </c>
      <c r="Q668" s="2">
        <v>2</v>
      </c>
      <c r="R668" s="274">
        <v>38611</v>
      </c>
      <c r="S668" s="253">
        <v>12</v>
      </c>
      <c r="T668" s="254">
        <f>SUM( tabConsumo[[#This Row],[QTD.PENDENTE]]:tabConsumo[[#This Row],[07_23]] ) / tabConsumo[[#This Row],[Div]]</f>
        <v>1.3333333333333333</v>
      </c>
      <c r="U668" s="255">
        <f xml:space="preserve"> tabConsumo[[#This Row],[Média.A]] + (_xlfn.STDEV.S( tabConsumo[[#This Row],[QTD.PENDENTE]]:tabConsumo[[#This Row],[07_23]] ) * 1)</f>
        <v>2.7565834960387607</v>
      </c>
      <c r="V668" s="255">
        <f xml:space="preserve"> tabConsumo[[#This Row],[Média.A]] + (_xlfn.STDEV.S( tabConsumo[[#This Row],[QTD.PENDENTE]]:tabConsumo[[#This Row],[07_23]] ) * 2)</f>
        <v>4.1798336587441884</v>
      </c>
      <c r="W668" s="255">
        <f xml:space="preserve"> tabConsumo[[#This Row],[Média.A]] + (_xlfn.STDEV.S( tabConsumo[[#This Row],[QTD.PENDENTE]]:tabConsumo[[#This Row],[07_23]] ) * 3)</f>
        <v>5.6030838214496157</v>
      </c>
      <c r="X668" s="5">
        <f t="shared" si="23"/>
        <v>2</v>
      </c>
      <c r="Y668">
        <v>1.3333333333333333</v>
      </c>
      <c r="Z668" s="257">
        <f>SUM( tabConsumo[[#This Row],[QTD.PENDENTE]]:tabConsumo[[#This Row],[07_23]] )</f>
        <v>16</v>
      </c>
      <c r="AA668" s="257">
        <f>LARGE(tabConsumo[[#This Row],[08_22]:[07_23]],1)</f>
        <v>4</v>
      </c>
      <c r="AB668" s="175" t="s">
        <v>2211</v>
      </c>
      <c r="AC668" s="3" t="s">
        <v>2064</v>
      </c>
    </row>
    <row r="669" spans="1:29" x14ac:dyDescent="0.3">
      <c r="A669" s="4" t="s">
        <v>1256</v>
      </c>
      <c r="B669" s="3" t="s">
        <v>256</v>
      </c>
      <c r="C669" s="2">
        <v>35224</v>
      </c>
      <c r="D669" s="2">
        <v>0</v>
      </c>
      <c r="F669" s="2">
        <v>1</v>
      </c>
      <c r="G669" s="2">
        <v>2</v>
      </c>
      <c r="H669" s="2">
        <v>1</v>
      </c>
      <c r="I669" s="2">
        <v>2</v>
      </c>
      <c r="J669" s="2">
        <v>3</v>
      </c>
      <c r="K669" s="2">
        <v>4</v>
      </c>
      <c r="L669" s="2">
        <v>0</v>
      </c>
      <c r="M669" s="2">
        <v>2</v>
      </c>
      <c r="N669" s="2">
        <v>6</v>
      </c>
      <c r="O669" s="2">
        <v>1</v>
      </c>
      <c r="P669" s="2">
        <v>0</v>
      </c>
      <c r="Q669" s="2">
        <v>0</v>
      </c>
      <c r="R669" s="274">
        <v>367</v>
      </c>
      <c r="S669" s="253">
        <f t="shared" ref="S669:S675" si="25" xml:space="preserve"> 12</f>
        <v>12</v>
      </c>
      <c r="T669" s="254">
        <f>SUM( tabConsumo[[#This Row],[QTD.PENDENTE]]:tabConsumo[[#This Row],[07_23]] ) / tabConsumo[[#This Row],[Div]]</f>
        <v>1.8333333333333333</v>
      </c>
      <c r="U669" s="255">
        <f xml:space="preserve"> tabConsumo[[#This Row],[Média.A]] + (_xlfn.STDEV.S( tabConsumo[[#This Row],[QTD.PENDENTE]]:tabConsumo[[#This Row],[07_23]] ) * 1)</f>
        <v>3.634006608090373</v>
      </c>
      <c r="V669" s="255">
        <f xml:space="preserve"> tabConsumo[[#This Row],[Média.A]] + (_xlfn.STDEV.S( tabConsumo[[#This Row],[QTD.PENDENTE]]:tabConsumo[[#This Row],[07_23]] ) * 2)</f>
        <v>5.434679882847413</v>
      </c>
      <c r="W669" s="255">
        <f xml:space="preserve"> tabConsumo[[#This Row],[Média.A]] + (_xlfn.STDEV.S( tabConsumo[[#This Row],[QTD.PENDENTE]]:tabConsumo[[#This Row],[07_23]] ) * 3)</f>
        <v>7.235353157604453</v>
      </c>
      <c r="X669" s="5">
        <f t="shared" si="23"/>
        <v>2</v>
      </c>
      <c r="Y669">
        <v>1.75</v>
      </c>
      <c r="Z669" s="257">
        <f>SUM( tabConsumo[[#This Row],[QTD.PENDENTE]]:tabConsumo[[#This Row],[07_23]] )</f>
        <v>22</v>
      </c>
      <c r="AA669" s="257">
        <f>LARGE(tabConsumo[[#This Row],[08_22]:[07_23]],1)</f>
        <v>6</v>
      </c>
      <c r="AB669" s="175" t="s">
        <v>2214</v>
      </c>
      <c r="AC669" s="3" t="s">
        <v>2064</v>
      </c>
    </row>
    <row r="670" spans="1:29" x14ac:dyDescent="0.3">
      <c r="A670" s="4" t="s">
        <v>1207</v>
      </c>
      <c r="B670" s="3" t="s">
        <v>256</v>
      </c>
      <c r="C670" s="2">
        <v>25756</v>
      </c>
      <c r="D670" s="2">
        <v>116</v>
      </c>
      <c r="F670" s="2">
        <v>4</v>
      </c>
      <c r="G670" s="2">
        <v>9</v>
      </c>
      <c r="H670" s="2">
        <v>2</v>
      </c>
      <c r="I670" s="2">
        <v>5</v>
      </c>
      <c r="J670" s="2">
        <v>0</v>
      </c>
      <c r="K670" s="2">
        <v>4</v>
      </c>
      <c r="L670" s="2">
        <v>5</v>
      </c>
      <c r="M670" s="2">
        <v>6</v>
      </c>
      <c r="N670" s="2">
        <v>10</v>
      </c>
      <c r="O670" s="2">
        <v>23</v>
      </c>
      <c r="P670" s="2">
        <v>0</v>
      </c>
      <c r="Q670" s="2">
        <v>0</v>
      </c>
      <c r="R670" s="274">
        <v>367</v>
      </c>
      <c r="S670" s="253">
        <f t="shared" si="25"/>
        <v>12</v>
      </c>
      <c r="T670" s="254">
        <f>SUM( tabConsumo[[#This Row],[QTD.PENDENTE]]:tabConsumo[[#This Row],[07_23]] ) / tabConsumo[[#This Row],[Div]]</f>
        <v>5.666666666666667</v>
      </c>
      <c r="U670" s="255">
        <f xml:space="preserve"> tabConsumo[[#This Row],[Média.A]] + (_xlfn.STDEV.S( tabConsumo[[#This Row],[QTD.PENDENTE]]:tabConsumo[[#This Row],[07_23]] ) * 1)</f>
        <v>12.038955157158965</v>
      </c>
      <c r="V670" s="255">
        <f xml:space="preserve"> tabConsumo[[#This Row],[Média.A]] + (_xlfn.STDEV.S( tabConsumo[[#This Row],[QTD.PENDENTE]]:tabConsumo[[#This Row],[07_23]] ) * 2)</f>
        <v>18.411243647651261</v>
      </c>
      <c r="W670" s="255">
        <f xml:space="preserve"> tabConsumo[[#This Row],[Média.A]] + (_xlfn.STDEV.S( tabConsumo[[#This Row],[QTD.PENDENTE]]:tabConsumo[[#This Row],[07_23]] ) * 3)</f>
        <v>24.78353213814356</v>
      </c>
      <c r="X670" s="5">
        <f t="shared" si="23"/>
        <v>2</v>
      </c>
      <c r="Y670">
        <v>5.25</v>
      </c>
      <c r="Z670" s="257">
        <f>SUM( tabConsumo[[#This Row],[QTD.PENDENTE]]:tabConsumo[[#This Row],[07_23]] )</f>
        <v>68</v>
      </c>
      <c r="AA670" s="257">
        <f>LARGE(tabConsumo[[#This Row],[08_22]:[07_23]],1)</f>
        <v>23</v>
      </c>
      <c r="AB670" s="175" t="s">
        <v>2214</v>
      </c>
      <c r="AC670" s="3" t="s">
        <v>2064</v>
      </c>
    </row>
    <row r="671" spans="1:29" x14ac:dyDescent="0.3">
      <c r="A671" s="4" t="s">
        <v>1226</v>
      </c>
      <c r="B671" s="3" t="s">
        <v>256</v>
      </c>
      <c r="C671" s="2">
        <v>27760</v>
      </c>
      <c r="D671" s="2">
        <v>28</v>
      </c>
      <c r="F671" s="2">
        <v>5</v>
      </c>
      <c r="G671" s="2">
        <v>1</v>
      </c>
      <c r="H671" s="2">
        <v>3</v>
      </c>
      <c r="I671" s="2">
        <v>3</v>
      </c>
      <c r="J671" s="2">
        <v>6</v>
      </c>
      <c r="K671" s="2">
        <v>0</v>
      </c>
      <c r="L671" s="2">
        <v>0</v>
      </c>
      <c r="M671" s="2">
        <v>1</v>
      </c>
      <c r="N671" s="2">
        <v>7</v>
      </c>
      <c r="O671" s="2">
        <v>1</v>
      </c>
      <c r="P671" s="2">
        <v>20</v>
      </c>
      <c r="Q671" s="2">
        <v>0</v>
      </c>
      <c r="R671" s="274">
        <v>367</v>
      </c>
      <c r="S671" s="253">
        <f t="shared" si="25"/>
        <v>12</v>
      </c>
      <c r="T671" s="254">
        <f>SUM( tabConsumo[[#This Row],[QTD.PENDENTE]]:tabConsumo[[#This Row],[07_23]] ) / tabConsumo[[#This Row],[Div]]</f>
        <v>3.9166666666666665</v>
      </c>
      <c r="U671" s="255">
        <f xml:space="preserve"> tabConsumo[[#This Row],[Média.A]] + (_xlfn.STDEV.S( tabConsumo[[#This Row],[QTD.PENDENTE]]:tabConsumo[[#This Row],[07_23]] ) * 1)</f>
        <v>9.5325262436040017</v>
      </c>
      <c r="V671" s="255">
        <f xml:space="preserve"> tabConsumo[[#This Row],[Média.A]] + (_xlfn.STDEV.S( tabConsumo[[#This Row],[QTD.PENDENTE]]:tabConsumo[[#This Row],[07_23]] ) * 2)</f>
        <v>15.148385820541337</v>
      </c>
      <c r="W671" s="255">
        <f xml:space="preserve"> tabConsumo[[#This Row],[Média.A]] + (_xlfn.STDEV.S( tabConsumo[[#This Row],[QTD.PENDENTE]]:tabConsumo[[#This Row],[07_23]] ) * 3)</f>
        <v>20.764245397478675</v>
      </c>
      <c r="X671" s="5">
        <f t="shared" si="23"/>
        <v>2</v>
      </c>
      <c r="Y671">
        <v>3.5</v>
      </c>
      <c r="Z671" s="257">
        <f>SUM( tabConsumo[[#This Row],[QTD.PENDENTE]]:tabConsumo[[#This Row],[07_23]] )</f>
        <v>47</v>
      </c>
      <c r="AA671" s="257">
        <f>LARGE(tabConsumo[[#This Row],[08_22]:[07_23]],1)</f>
        <v>20</v>
      </c>
      <c r="AB671" s="175" t="s">
        <v>2212</v>
      </c>
      <c r="AC671" s="3" t="s">
        <v>2064</v>
      </c>
    </row>
    <row r="672" spans="1:29" x14ac:dyDescent="0.3">
      <c r="A672" s="4" t="s">
        <v>1206</v>
      </c>
      <c r="B672" s="3" t="s">
        <v>256</v>
      </c>
      <c r="C672" s="2">
        <v>25630</v>
      </c>
      <c r="D672" s="2">
        <v>164</v>
      </c>
      <c r="F672" s="2">
        <v>6</v>
      </c>
      <c r="G672" s="2">
        <v>5</v>
      </c>
      <c r="H672" s="2">
        <v>2</v>
      </c>
      <c r="I672" s="2">
        <v>9</v>
      </c>
      <c r="J672" s="2">
        <v>5</v>
      </c>
      <c r="K672" s="2">
        <v>6</v>
      </c>
      <c r="L672" s="2">
        <v>4</v>
      </c>
      <c r="M672" s="2">
        <v>3</v>
      </c>
      <c r="N672" s="2">
        <v>18</v>
      </c>
      <c r="O672" s="2">
        <v>10</v>
      </c>
      <c r="P672" s="2">
        <v>0</v>
      </c>
      <c r="Q672" s="2">
        <v>0</v>
      </c>
      <c r="R672" s="274">
        <v>367</v>
      </c>
      <c r="S672" s="253">
        <f t="shared" si="25"/>
        <v>12</v>
      </c>
      <c r="T672" s="254">
        <f>SUM( tabConsumo[[#This Row],[QTD.PENDENTE]]:tabConsumo[[#This Row],[07_23]] ) / tabConsumo[[#This Row],[Div]]</f>
        <v>5.666666666666667</v>
      </c>
      <c r="U672" s="255">
        <f xml:space="preserve"> tabConsumo[[#This Row],[Média.A]] + (_xlfn.STDEV.S( tabConsumo[[#This Row],[QTD.PENDENTE]]:tabConsumo[[#This Row],[07_23]] ) * 1)</f>
        <v>10.627116304155249</v>
      </c>
      <c r="V672" s="255">
        <f xml:space="preserve"> tabConsumo[[#This Row],[Média.A]] + (_xlfn.STDEV.S( tabConsumo[[#This Row],[QTD.PENDENTE]]:tabConsumo[[#This Row],[07_23]] ) * 2)</f>
        <v>15.587565941643831</v>
      </c>
      <c r="W672" s="255">
        <f xml:space="preserve"> tabConsumo[[#This Row],[Média.A]] + (_xlfn.STDEV.S( tabConsumo[[#This Row],[QTD.PENDENTE]]:tabConsumo[[#This Row],[07_23]] ) * 3)</f>
        <v>20.548015579132414</v>
      </c>
      <c r="X672" s="5">
        <f t="shared" si="23"/>
        <v>2</v>
      </c>
      <c r="Y672">
        <v>5.416666666666667</v>
      </c>
      <c r="Z672" s="257">
        <f>SUM( tabConsumo[[#This Row],[QTD.PENDENTE]]:tabConsumo[[#This Row],[07_23]] )</f>
        <v>68</v>
      </c>
      <c r="AA672" s="257">
        <f>LARGE(tabConsumo[[#This Row],[08_22]:[07_23]],1)</f>
        <v>18</v>
      </c>
      <c r="AB672" s="175" t="s">
        <v>2214</v>
      </c>
      <c r="AC672" s="3" t="s">
        <v>2064</v>
      </c>
    </row>
    <row r="673" spans="1:29" x14ac:dyDescent="0.3">
      <c r="A673" s="4" t="s">
        <v>1011</v>
      </c>
      <c r="B673" s="3" t="s">
        <v>256</v>
      </c>
      <c r="C673" s="2">
        <v>13120</v>
      </c>
      <c r="D673" s="2">
        <v>54</v>
      </c>
      <c r="F673" s="2">
        <v>2</v>
      </c>
      <c r="G673" s="2">
        <v>1</v>
      </c>
      <c r="H673" s="2">
        <v>0</v>
      </c>
      <c r="I673" s="2">
        <v>1</v>
      </c>
      <c r="J673" s="2">
        <v>4</v>
      </c>
      <c r="K673" s="2">
        <v>1</v>
      </c>
      <c r="L673" s="2">
        <v>0</v>
      </c>
      <c r="M673" s="2">
        <v>0</v>
      </c>
      <c r="N673" s="2">
        <v>8</v>
      </c>
      <c r="O673" s="2">
        <v>10</v>
      </c>
      <c r="P673" s="2">
        <v>0</v>
      </c>
      <c r="Q673" s="2">
        <v>0</v>
      </c>
      <c r="R673" s="274">
        <v>367</v>
      </c>
      <c r="S673" s="253">
        <f t="shared" si="25"/>
        <v>12</v>
      </c>
      <c r="T673" s="254">
        <f>SUM( tabConsumo[[#This Row],[QTD.PENDENTE]]:tabConsumo[[#This Row],[07_23]] ) / tabConsumo[[#This Row],[Div]]</f>
        <v>2.25</v>
      </c>
      <c r="U673" s="255">
        <f xml:space="preserve"> tabConsumo[[#This Row],[Média.A]] + (_xlfn.STDEV.S( tabConsumo[[#This Row],[QTD.PENDENTE]]:tabConsumo[[#This Row],[07_23]] ) * 1)</f>
        <v>5.6378123807661966</v>
      </c>
      <c r="V673" s="255">
        <f xml:space="preserve"> tabConsumo[[#This Row],[Média.A]] + (_xlfn.STDEV.S( tabConsumo[[#This Row],[QTD.PENDENTE]]:tabConsumo[[#This Row],[07_23]] ) * 2)</f>
        <v>9.0256247615323932</v>
      </c>
      <c r="W673" s="255">
        <f xml:space="preserve"> tabConsumo[[#This Row],[Média.A]] + (_xlfn.STDEV.S( tabConsumo[[#This Row],[QTD.PENDENTE]]:tabConsumo[[#This Row],[07_23]] ) * 3)</f>
        <v>12.413437142298591</v>
      </c>
      <c r="X673" s="5">
        <f t="shared" si="23"/>
        <v>2</v>
      </c>
      <c r="Y673">
        <v>2.1666666666666665</v>
      </c>
      <c r="Z673" s="257">
        <f>SUM( tabConsumo[[#This Row],[QTD.PENDENTE]]:tabConsumo[[#This Row],[07_23]] )</f>
        <v>27</v>
      </c>
      <c r="AA673" s="257">
        <f>LARGE(tabConsumo[[#This Row],[08_22]:[07_23]],1)</f>
        <v>10</v>
      </c>
      <c r="AB673" s="175" t="s">
        <v>2214</v>
      </c>
      <c r="AC673" s="3" t="s">
        <v>2064</v>
      </c>
    </row>
    <row r="674" spans="1:29" x14ac:dyDescent="0.3">
      <c r="A674" s="4" t="s">
        <v>1010</v>
      </c>
      <c r="B674" s="3" t="s">
        <v>256</v>
      </c>
      <c r="C674" s="2">
        <v>13117</v>
      </c>
      <c r="D674" s="2">
        <v>104</v>
      </c>
      <c r="F674" s="2">
        <v>0</v>
      </c>
      <c r="G674" s="2">
        <v>15</v>
      </c>
      <c r="H674" s="2">
        <v>1</v>
      </c>
      <c r="I674" s="2">
        <v>1</v>
      </c>
      <c r="J674" s="2">
        <v>0</v>
      </c>
      <c r="K674" s="2">
        <v>2</v>
      </c>
      <c r="L674" s="2">
        <v>0</v>
      </c>
      <c r="M674" s="2">
        <v>1</v>
      </c>
      <c r="N674" s="2">
        <v>1</v>
      </c>
      <c r="O674" s="2">
        <v>17</v>
      </c>
      <c r="P674" s="2">
        <v>0</v>
      </c>
      <c r="Q674" s="2">
        <v>0</v>
      </c>
      <c r="R674" s="274">
        <v>367</v>
      </c>
      <c r="S674" s="253">
        <f t="shared" si="25"/>
        <v>12</v>
      </c>
      <c r="T674" s="254">
        <f>SUM( tabConsumo[[#This Row],[QTD.PENDENTE]]:tabConsumo[[#This Row],[07_23]] ) / tabConsumo[[#This Row],[Div]]</f>
        <v>3.1666666666666665</v>
      </c>
      <c r="U674" s="255">
        <f xml:space="preserve"> tabConsumo[[#This Row],[Média.A]] + (_xlfn.STDEV.S( tabConsumo[[#This Row],[QTD.PENDENTE]]:tabConsumo[[#This Row],[07_23]] ) * 1)</f>
        <v>9.2094434716753959</v>
      </c>
      <c r="V674" s="255">
        <f xml:space="preserve"> tabConsumo[[#This Row],[Média.A]] + (_xlfn.STDEV.S( tabConsumo[[#This Row],[QTD.PENDENTE]]:tabConsumo[[#This Row],[07_23]] ) * 2)</f>
        <v>15.252220276684126</v>
      </c>
      <c r="W674" s="255">
        <f xml:space="preserve"> tabConsumo[[#This Row],[Média.A]] + (_xlfn.STDEV.S( tabConsumo[[#This Row],[QTD.PENDENTE]]:tabConsumo[[#This Row],[07_23]] ) * 3)</f>
        <v>21.294997081692859</v>
      </c>
      <c r="X674" s="5">
        <f t="shared" si="23"/>
        <v>2</v>
      </c>
      <c r="Y674">
        <v>3</v>
      </c>
      <c r="Z674" s="257">
        <f>SUM( tabConsumo[[#This Row],[QTD.PENDENTE]]:tabConsumo[[#This Row],[07_23]] )</f>
        <v>38</v>
      </c>
      <c r="AA674" s="257">
        <f>LARGE(tabConsumo[[#This Row],[08_22]:[07_23]],1)</f>
        <v>17</v>
      </c>
      <c r="AB674" s="175" t="s">
        <v>2214</v>
      </c>
      <c r="AC674" s="3" t="s">
        <v>2064</v>
      </c>
    </row>
    <row r="675" spans="1:29" x14ac:dyDescent="0.3">
      <c r="A675" s="4" t="s">
        <v>1008</v>
      </c>
      <c r="B675" s="3" t="s">
        <v>256</v>
      </c>
      <c r="C675" s="2">
        <v>13116</v>
      </c>
      <c r="D675" s="2">
        <v>40</v>
      </c>
      <c r="F675" s="2">
        <v>0</v>
      </c>
      <c r="G675" s="2">
        <v>1</v>
      </c>
      <c r="H675" s="2">
        <v>1</v>
      </c>
      <c r="I675" s="2">
        <v>1</v>
      </c>
      <c r="J675" s="2">
        <v>0</v>
      </c>
      <c r="K675" s="2">
        <v>0</v>
      </c>
      <c r="L675" s="2">
        <v>0</v>
      </c>
      <c r="M675" s="2">
        <v>0</v>
      </c>
      <c r="N675" s="2">
        <v>6</v>
      </c>
      <c r="O675" s="2">
        <v>0</v>
      </c>
      <c r="P675" s="2">
        <v>20</v>
      </c>
      <c r="Q675" s="2">
        <v>0</v>
      </c>
      <c r="R675" s="274">
        <v>367</v>
      </c>
      <c r="S675" s="253">
        <f t="shared" si="25"/>
        <v>12</v>
      </c>
      <c r="T675" s="254">
        <f>SUM( tabConsumo[[#This Row],[QTD.PENDENTE]]:tabConsumo[[#This Row],[07_23]] ) / tabConsumo[[#This Row],[Div]]</f>
        <v>2.4166666666666665</v>
      </c>
      <c r="U675" s="255">
        <f xml:space="preserve"> tabConsumo[[#This Row],[Média.A]] + (_xlfn.STDEV.S( tabConsumo[[#This Row],[QTD.PENDENTE]]:tabConsumo[[#This Row],[07_23]] ) * 1)</f>
        <v>8.2078564224835819</v>
      </c>
      <c r="V675" s="255">
        <f xml:space="preserve"> tabConsumo[[#This Row],[Média.A]] + (_xlfn.STDEV.S( tabConsumo[[#This Row],[QTD.PENDENTE]]:tabConsumo[[#This Row],[07_23]] ) * 2)</f>
        <v>13.999046178300498</v>
      </c>
      <c r="W675" s="255">
        <f xml:space="preserve"> tabConsumo[[#This Row],[Média.A]] + (_xlfn.STDEV.S( tabConsumo[[#This Row],[QTD.PENDENTE]]:tabConsumo[[#This Row],[07_23]] ) * 3)</f>
        <v>19.790235934117415</v>
      </c>
      <c r="X675" s="5">
        <f t="shared" si="23"/>
        <v>2</v>
      </c>
      <c r="Y675">
        <v>1.8333333333333333</v>
      </c>
      <c r="Z675" s="257">
        <f>SUM( tabConsumo[[#This Row],[QTD.PENDENTE]]:tabConsumo[[#This Row],[07_23]] )</f>
        <v>29</v>
      </c>
      <c r="AA675" s="257">
        <f>LARGE(tabConsumo[[#This Row],[08_22]:[07_23]],1)</f>
        <v>20</v>
      </c>
      <c r="AB675" s="175" t="s">
        <v>2212</v>
      </c>
      <c r="AC675" s="3" t="s">
        <v>2064</v>
      </c>
    </row>
    <row r="676" spans="1:29" x14ac:dyDescent="0.3">
      <c r="A676" s="4" t="s">
        <v>1688</v>
      </c>
      <c r="B676" s="3" t="s">
        <v>256</v>
      </c>
      <c r="C676" s="2">
        <v>113581</v>
      </c>
      <c r="D676" s="2">
        <v>309</v>
      </c>
      <c r="F676" s="2">
        <v>88</v>
      </c>
      <c r="G676" s="2">
        <v>18</v>
      </c>
      <c r="H676" s="2">
        <v>48</v>
      </c>
      <c r="I676" s="2">
        <v>21</v>
      </c>
      <c r="J676" s="2">
        <v>36</v>
      </c>
      <c r="K676" s="2">
        <v>24</v>
      </c>
      <c r="L676" s="2">
        <v>39</v>
      </c>
      <c r="M676" s="2">
        <v>72</v>
      </c>
      <c r="N676" s="2">
        <v>31</v>
      </c>
      <c r="O676" s="2">
        <v>0</v>
      </c>
      <c r="P676" s="2">
        <v>20</v>
      </c>
      <c r="Q676" s="2">
        <v>20</v>
      </c>
      <c r="R676" s="274">
        <v>40143</v>
      </c>
      <c r="S676" s="253">
        <v>12</v>
      </c>
      <c r="T676" s="254">
        <f>SUM( tabConsumo[[#This Row],[QTD.PENDENTE]]:tabConsumo[[#This Row],[07_23]] ) / tabConsumo[[#This Row],[Div]]</f>
        <v>34.75</v>
      </c>
      <c r="U676" s="255">
        <f xml:space="preserve"> tabConsumo[[#This Row],[Média.A]] + (_xlfn.STDEV.S( tabConsumo[[#This Row],[QTD.PENDENTE]]:tabConsumo[[#This Row],[07_23]] ) * 1)</f>
        <v>59.356447787668841</v>
      </c>
      <c r="V676" s="255">
        <f xml:space="preserve"> tabConsumo[[#This Row],[Média.A]] + (_xlfn.STDEV.S( tabConsumo[[#This Row],[QTD.PENDENTE]]:tabConsumo[[#This Row],[07_23]] ) * 2)</f>
        <v>83.962895575337683</v>
      </c>
      <c r="W676" s="255">
        <f xml:space="preserve"> tabConsumo[[#This Row],[Média.A]] + (_xlfn.STDEV.S( tabConsumo[[#This Row],[QTD.PENDENTE]]:tabConsumo[[#This Row],[07_23]] ) * 3)</f>
        <v>108.56934336300652</v>
      </c>
      <c r="X676" s="5">
        <f t="shared" si="23"/>
        <v>2</v>
      </c>
      <c r="Y676">
        <v>34.333333333333336</v>
      </c>
      <c r="Z676" s="257">
        <f>SUM( tabConsumo[[#This Row],[QTD.PENDENTE]]:tabConsumo[[#This Row],[07_23]] )</f>
        <v>417</v>
      </c>
      <c r="AA676" s="257">
        <f>LARGE(tabConsumo[[#This Row],[08_22]:[07_23]],1)</f>
        <v>88</v>
      </c>
      <c r="AB676" s="175" t="s">
        <v>2211</v>
      </c>
      <c r="AC676" s="3" t="s">
        <v>2064</v>
      </c>
    </row>
    <row r="677" spans="1:29" x14ac:dyDescent="0.3">
      <c r="A677" s="4" t="s">
        <v>1908</v>
      </c>
      <c r="B677" s="3" t="s">
        <v>31</v>
      </c>
      <c r="C677" s="2">
        <v>135703</v>
      </c>
      <c r="D677" s="2">
        <v>7402</v>
      </c>
      <c r="F677" s="2">
        <v>563</v>
      </c>
      <c r="G677" s="2">
        <v>389</v>
      </c>
      <c r="H677" s="2">
        <v>459</v>
      </c>
      <c r="I677" s="2">
        <v>572</v>
      </c>
      <c r="J677" s="2">
        <v>523</v>
      </c>
      <c r="K677" s="2">
        <v>274</v>
      </c>
      <c r="L677" s="2">
        <v>600</v>
      </c>
      <c r="M677" s="2">
        <v>4720</v>
      </c>
      <c r="N677" s="2">
        <v>579</v>
      </c>
      <c r="O677" s="2">
        <v>486</v>
      </c>
      <c r="P677" s="2">
        <v>401</v>
      </c>
      <c r="Q677" s="2">
        <v>483</v>
      </c>
      <c r="R677" s="274">
        <v>43333</v>
      </c>
      <c r="S677" s="253">
        <v>12</v>
      </c>
      <c r="T677" s="254">
        <f>SUM( tabConsumo[[#This Row],[QTD.PENDENTE]]:tabConsumo[[#This Row],[07_23]] ) / tabConsumo[[#This Row],[Div]]</f>
        <v>837.41666666666663</v>
      </c>
      <c r="U677" s="255">
        <f xml:space="preserve"> tabConsumo[[#This Row],[Média.A]] + (_xlfn.STDEV.S( tabConsumo[[#This Row],[QTD.PENDENTE]]:tabConsumo[[#This Row],[07_23]] ) * 1)</f>
        <v>2063.7744268902507</v>
      </c>
      <c r="V677" s="255">
        <f xml:space="preserve"> tabConsumo[[#This Row],[Média.A]] + (_xlfn.STDEV.S( tabConsumo[[#This Row],[QTD.PENDENTE]]:tabConsumo[[#This Row],[07_23]] ) * 2)</f>
        <v>3290.1321871138348</v>
      </c>
      <c r="W677" s="255">
        <f xml:space="preserve"> tabConsumo[[#This Row],[Média.A]] + (_xlfn.STDEV.S( tabConsumo[[#This Row],[QTD.PENDENTE]]:tabConsumo[[#This Row],[07_23]] ) * 3)</f>
        <v>4516.4899473374189</v>
      </c>
      <c r="X677" s="5">
        <f t="shared" si="23"/>
        <v>2</v>
      </c>
      <c r="Y677">
        <v>718.25</v>
      </c>
      <c r="Z677" s="257">
        <f>SUM( tabConsumo[[#This Row],[QTD.PENDENTE]]:tabConsumo[[#This Row],[07_23]] )</f>
        <v>10049</v>
      </c>
      <c r="AA677" s="257">
        <f>LARGE(tabConsumo[[#This Row],[08_22]:[07_23]],1)</f>
        <v>4720</v>
      </c>
      <c r="AB677" s="175" t="s">
        <v>2211</v>
      </c>
      <c r="AC677" s="3" t="s">
        <v>2064</v>
      </c>
    </row>
    <row r="678" spans="1:29" x14ac:dyDescent="0.3">
      <c r="A678" s="4" t="s">
        <v>1690</v>
      </c>
      <c r="B678" s="3" t="s">
        <v>411</v>
      </c>
      <c r="C678" s="2">
        <v>113846</v>
      </c>
      <c r="D678" s="2">
        <v>1255</v>
      </c>
      <c r="F678" s="2">
        <v>33</v>
      </c>
      <c r="G678" s="2">
        <v>132</v>
      </c>
      <c r="H678" s="2">
        <v>225</v>
      </c>
      <c r="I678" s="2">
        <v>40</v>
      </c>
      <c r="J678" s="2">
        <v>137</v>
      </c>
      <c r="K678" s="2">
        <v>155</v>
      </c>
      <c r="L678" s="2">
        <v>5</v>
      </c>
      <c r="M678" s="2">
        <v>16</v>
      </c>
      <c r="N678" s="2">
        <v>10</v>
      </c>
      <c r="O678" s="2">
        <v>0</v>
      </c>
      <c r="P678" s="2">
        <v>0</v>
      </c>
      <c r="Q678" s="2">
        <v>40</v>
      </c>
      <c r="R678" s="274">
        <v>40198</v>
      </c>
      <c r="S678" s="253">
        <v>12</v>
      </c>
      <c r="T678" s="254">
        <f>SUM( tabConsumo[[#This Row],[QTD.PENDENTE]]:tabConsumo[[#This Row],[07_23]] ) / tabConsumo[[#This Row],[Div]]</f>
        <v>66.083333333333329</v>
      </c>
      <c r="U678" s="255">
        <f xml:space="preserve"> tabConsumo[[#This Row],[Média.A]] + (_xlfn.STDEV.S( tabConsumo[[#This Row],[QTD.PENDENTE]]:tabConsumo[[#This Row],[07_23]] ) * 1)</f>
        <v>141.82747002010427</v>
      </c>
      <c r="V678" s="255">
        <f xml:space="preserve"> tabConsumo[[#This Row],[Média.A]] + (_xlfn.STDEV.S( tabConsumo[[#This Row],[QTD.PENDENTE]]:tabConsumo[[#This Row],[07_23]] ) * 2)</f>
        <v>217.57160670687523</v>
      </c>
      <c r="W678" s="255">
        <f xml:space="preserve"> tabConsumo[[#This Row],[Média.A]] + (_xlfn.STDEV.S( tabConsumo[[#This Row],[QTD.PENDENTE]]:tabConsumo[[#This Row],[07_23]] ) * 3)</f>
        <v>293.31574339364619</v>
      </c>
      <c r="X678" s="5">
        <f t="shared" si="23"/>
        <v>2</v>
      </c>
      <c r="Y678">
        <v>65.416666666666671</v>
      </c>
      <c r="Z678" s="257">
        <f>SUM( tabConsumo[[#This Row],[QTD.PENDENTE]]:tabConsumo[[#This Row],[07_23]] )</f>
        <v>793</v>
      </c>
      <c r="AA678" s="257">
        <f>LARGE(tabConsumo[[#This Row],[08_22]:[07_23]],1)</f>
        <v>225</v>
      </c>
      <c r="AB678" s="175" t="s">
        <v>2211</v>
      </c>
      <c r="AC678" s="3" t="s">
        <v>2064</v>
      </c>
    </row>
    <row r="679" spans="1:29" x14ac:dyDescent="0.3">
      <c r="A679" s="4" t="s">
        <v>1304</v>
      </c>
      <c r="B679" s="3" t="s">
        <v>411</v>
      </c>
      <c r="C679" s="2">
        <v>53446</v>
      </c>
      <c r="D679" s="2">
        <v>2023</v>
      </c>
      <c r="F679" s="2">
        <v>231</v>
      </c>
      <c r="G679" s="2">
        <v>153</v>
      </c>
      <c r="H679" s="2">
        <v>100</v>
      </c>
      <c r="I679" s="2">
        <v>44</v>
      </c>
      <c r="J679" s="2">
        <v>283</v>
      </c>
      <c r="K679" s="2">
        <v>482</v>
      </c>
      <c r="L679" s="2">
        <v>50</v>
      </c>
      <c r="M679" s="2">
        <v>50</v>
      </c>
      <c r="N679" s="2">
        <v>13</v>
      </c>
      <c r="O679" s="2">
        <v>0</v>
      </c>
      <c r="P679" s="2">
        <v>30</v>
      </c>
      <c r="Q679" s="2">
        <v>40</v>
      </c>
      <c r="R679" s="274">
        <v>367</v>
      </c>
      <c r="S679" s="253">
        <f xml:space="preserve"> 12</f>
        <v>12</v>
      </c>
      <c r="T679" s="254">
        <f>SUM( tabConsumo[[#This Row],[QTD.PENDENTE]]:tabConsumo[[#This Row],[07_23]] ) / tabConsumo[[#This Row],[Div]]</f>
        <v>123</v>
      </c>
      <c r="U679" s="255">
        <f xml:space="preserve"> tabConsumo[[#This Row],[Média.A]] + (_xlfn.STDEV.S( tabConsumo[[#This Row],[QTD.PENDENTE]]:tabConsumo[[#This Row],[07_23]] ) * 1)</f>
        <v>266.72954399907428</v>
      </c>
      <c r="V679" s="255">
        <f xml:space="preserve"> tabConsumo[[#This Row],[Média.A]] + (_xlfn.STDEV.S( tabConsumo[[#This Row],[QTD.PENDENTE]]:tabConsumo[[#This Row],[07_23]] ) * 2)</f>
        <v>410.4590879981485</v>
      </c>
      <c r="W679" s="255">
        <f xml:space="preserve"> tabConsumo[[#This Row],[Média.A]] + (_xlfn.STDEV.S( tabConsumo[[#This Row],[QTD.PENDENTE]]:tabConsumo[[#This Row],[07_23]] ) * 3)</f>
        <v>554.18863199722273</v>
      </c>
      <c r="X679" s="5">
        <f t="shared" si="23"/>
        <v>2</v>
      </c>
      <c r="Y679">
        <v>117</v>
      </c>
      <c r="Z679" s="257">
        <f>SUM( tabConsumo[[#This Row],[QTD.PENDENTE]]:tabConsumo[[#This Row],[07_23]] )</f>
        <v>1476</v>
      </c>
      <c r="AA679" s="257">
        <f>LARGE(tabConsumo[[#This Row],[08_22]:[07_23]],1)</f>
        <v>482</v>
      </c>
      <c r="AB679" s="175" t="s">
        <v>2211</v>
      </c>
      <c r="AC679" s="3" t="s">
        <v>2064</v>
      </c>
    </row>
    <row r="680" spans="1:29" x14ac:dyDescent="0.3">
      <c r="A680" s="4" t="s">
        <v>1328</v>
      </c>
      <c r="B680" s="3" t="s">
        <v>411</v>
      </c>
      <c r="C680" s="2">
        <v>57598</v>
      </c>
      <c r="D680" s="2">
        <v>260</v>
      </c>
      <c r="F680" s="2">
        <v>180</v>
      </c>
      <c r="G680" s="2">
        <v>278</v>
      </c>
      <c r="H680" s="2">
        <v>220</v>
      </c>
      <c r="I680" s="2">
        <v>90</v>
      </c>
      <c r="J680" s="2">
        <v>111</v>
      </c>
      <c r="K680" s="2">
        <v>160</v>
      </c>
      <c r="L680" s="2">
        <v>0</v>
      </c>
      <c r="M680" s="2">
        <v>83</v>
      </c>
      <c r="N680" s="2">
        <v>10</v>
      </c>
      <c r="O680" s="2">
        <v>40</v>
      </c>
      <c r="P680" s="2">
        <v>0</v>
      </c>
      <c r="Q680" s="2">
        <v>40</v>
      </c>
      <c r="R680" s="274">
        <v>367</v>
      </c>
      <c r="S680" s="253">
        <f xml:space="preserve"> 12</f>
        <v>12</v>
      </c>
      <c r="T680" s="254">
        <f>SUM( tabConsumo[[#This Row],[QTD.PENDENTE]]:tabConsumo[[#This Row],[07_23]] ) / tabConsumo[[#This Row],[Div]]</f>
        <v>101</v>
      </c>
      <c r="U680" s="255">
        <f xml:space="preserve"> tabConsumo[[#This Row],[Média.A]] + (_xlfn.STDEV.S( tabConsumo[[#This Row],[QTD.PENDENTE]]:tabConsumo[[#This Row],[07_23]] ) * 1)</f>
        <v>192.39425086354771</v>
      </c>
      <c r="V680" s="255">
        <f xml:space="preserve"> tabConsumo[[#This Row],[Média.A]] + (_xlfn.STDEV.S( tabConsumo[[#This Row],[QTD.PENDENTE]]:tabConsumo[[#This Row],[07_23]] ) * 2)</f>
        <v>283.78850172709542</v>
      </c>
      <c r="W680" s="255">
        <f xml:space="preserve"> tabConsumo[[#This Row],[Média.A]] + (_xlfn.STDEV.S( tabConsumo[[#This Row],[QTD.PENDENTE]]:tabConsumo[[#This Row],[07_23]] ) * 3)</f>
        <v>375.18275259064308</v>
      </c>
      <c r="X680" s="5">
        <f t="shared" si="23"/>
        <v>2</v>
      </c>
      <c r="Y680">
        <v>101</v>
      </c>
      <c r="Z680" s="257">
        <f>SUM( tabConsumo[[#This Row],[QTD.PENDENTE]]:tabConsumo[[#This Row],[07_23]] )</f>
        <v>1212</v>
      </c>
      <c r="AA680" s="257">
        <f>LARGE(tabConsumo[[#This Row],[08_22]:[07_23]],1)</f>
        <v>278</v>
      </c>
      <c r="AB680" s="175" t="s">
        <v>2211</v>
      </c>
      <c r="AC680" s="3" t="s">
        <v>2064</v>
      </c>
    </row>
    <row r="681" spans="1:29" x14ac:dyDescent="0.3">
      <c r="A681" s="4" t="s">
        <v>1640</v>
      </c>
      <c r="B681" s="3" t="s">
        <v>31</v>
      </c>
      <c r="C681" s="2">
        <v>107483</v>
      </c>
      <c r="D681" s="2">
        <v>101</v>
      </c>
      <c r="F681" s="2">
        <v>5</v>
      </c>
      <c r="G681" s="2">
        <v>27</v>
      </c>
      <c r="H681" s="2">
        <v>19</v>
      </c>
      <c r="I681" s="2">
        <v>11</v>
      </c>
      <c r="J681" s="2">
        <v>18</v>
      </c>
      <c r="K681" s="2">
        <v>2</v>
      </c>
      <c r="L681" s="2">
        <v>0</v>
      </c>
      <c r="M681" s="2">
        <v>26</v>
      </c>
      <c r="N681" s="2">
        <v>20</v>
      </c>
      <c r="O681" s="2">
        <v>20</v>
      </c>
      <c r="P681" s="2">
        <v>10</v>
      </c>
      <c r="Q681" s="2">
        <v>92</v>
      </c>
      <c r="R681" s="274">
        <v>39679</v>
      </c>
      <c r="S681" s="253">
        <v>12</v>
      </c>
      <c r="T681" s="254">
        <f>SUM( tabConsumo[[#This Row],[QTD.PENDENTE]]:tabConsumo[[#This Row],[07_23]] ) / tabConsumo[[#This Row],[Div]]</f>
        <v>20.833333333333332</v>
      </c>
      <c r="U681" s="255">
        <f xml:space="preserve"> tabConsumo[[#This Row],[Média.A]] + (_xlfn.STDEV.S( tabConsumo[[#This Row],[QTD.PENDENTE]]:tabConsumo[[#This Row],[07_23]] ) * 1)</f>
        <v>44.946073584583132</v>
      </c>
      <c r="V681" s="255">
        <f xml:space="preserve"> tabConsumo[[#This Row],[Média.A]] + (_xlfn.STDEV.S( tabConsumo[[#This Row],[QTD.PENDENTE]]:tabConsumo[[#This Row],[07_23]] ) * 2)</f>
        <v>69.058813835832936</v>
      </c>
      <c r="W681" s="255">
        <f xml:space="preserve"> tabConsumo[[#This Row],[Média.A]] + (_xlfn.STDEV.S( tabConsumo[[#This Row],[QTD.PENDENTE]]:tabConsumo[[#This Row],[07_23]] ) * 3)</f>
        <v>93.17155408708274</v>
      </c>
      <c r="X681" s="5">
        <f t="shared" si="23"/>
        <v>2</v>
      </c>
      <c r="Y681">
        <v>18.916666666666668</v>
      </c>
      <c r="Z681" s="257">
        <f>SUM( tabConsumo[[#This Row],[QTD.PENDENTE]]:tabConsumo[[#This Row],[07_23]] )</f>
        <v>250</v>
      </c>
      <c r="AA681" s="257">
        <f>LARGE(tabConsumo[[#This Row],[08_22]:[07_23]],1)</f>
        <v>92</v>
      </c>
      <c r="AB681" s="175" t="s">
        <v>2211</v>
      </c>
      <c r="AC681" s="3" t="s">
        <v>2064</v>
      </c>
    </row>
    <row r="682" spans="1:29" x14ac:dyDescent="0.3">
      <c r="A682" s="4" t="s">
        <v>1622</v>
      </c>
      <c r="B682" s="3" t="s">
        <v>256</v>
      </c>
      <c r="C682" s="2">
        <v>106131</v>
      </c>
      <c r="D682" s="2">
        <v>1</v>
      </c>
      <c r="F682" s="2">
        <v>2</v>
      </c>
      <c r="G682" s="2">
        <v>0</v>
      </c>
      <c r="H682" s="2">
        <v>0</v>
      </c>
      <c r="I682" s="2">
        <v>3</v>
      </c>
      <c r="J682" s="2">
        <v>0</v>
      </c>
      <c r="K682" s="2">
        <v>2</v>
      </c>
      <c r="L682" s="2">
        <v>3</v>
      </c>
      <c r="M682" s="2">
        <v>1</v>
      </c>
      <c r="N682" s="2">
        <v>6</v>
      </c>
      <c r="O682" s="2">
        <v>0</v>
      </c>
      <c r="P682" s="2">
        <v>0</v>
      </c>
      <c r="Q682" s="2">
        <v>0</v>
      </c>
      <c r="R682" s="274">
        <v>39562</v>
      </c>
      <c r="S682" s="253">
        <v>12</v>
      </c>
      <c r="T682" s="254">
        <f>SUM( tabConsumo[[#This Row],[QTD.PENDENTE]]:tabConsumo[[#This Row],[07_23]] ) / tabConsumo[[#This Row],[Div]]</f>
        <v>1.4166666666666667</v>
      </c>
      <c r="U682" s="255">
        <f xml:space="preserve"> tabConsumo[[#This Row],[Média.A]] + (_xlfn.STDEV.S( tabConsumo[[#This Row],[QTD.PENDENTE]]:tabConsumo[[#This Row],[07_23]] ) * 1)</f>
        <v>3.2975916486579182</v>
      </c>
      <c r="V682" s="255">
        <f xml:space="preserve"> tabConsumo[[#This Row],[Média.A]] + (_xlfn.STDEV.S( tabConsumo[[#This Row],[QTD.PENDENTE]]:tabConsumo[[#This Row],[07_23]] ) * 2)</f>
        <v>5.1785166306491694</v>
      </c>
      <c r="W682" s="255">
        <f xml:space="preserve"> tabConsumo[[#This Row],[Média.A]] + (_xlfn.STDEV.S( tabConsumo[[#This Row],[QTD.PENDENTE]]:tabConsumo[[#This Row],[07_23]] ) * 3)</f>
        <v>7.0594416126404207</v>
      </c>
      <c r="X682" s="5">
        <f t="shared" si="23"/>
        <v>2</v>
      </c>
      <c r="Y682">
        <v>1.3333333333333333</v>
      </c>
      <c r="Z682" s="257">
        <f>SUM( tabConsumo[[#This Row],[QTD.PENDENTE]]:tabConsumo[[#This Row],[07_23]] )</f>
        <v>17</v>
      </c>
      <c r="AA682" s="257">
        <f>LARGE(tabConsumo[[#This Row],[08_22]:[07_23]],1)</f>
        <v>6</v>
      </c>
      <c r="AB682" s="175" t="s">
        <v>2213</v>
      </c>
      <c r="AC682" s="3" t="s">
        <v>2064</v>
      </c>
    </row>
    <row r="683" spans="1:29" x14ac:dyDescent="0.3">
      <c r="A683" s="4" t="s">
        <v>1619</v>
      </c>
      <c r="B683" s="3" t="s">
        <v>256</v>
      </c>
      <c r="C683" s="2">
        <v>106129</v>
      </c>
      <c r="D683" s="2">
        <v>1</v>
      </c>
      <c r="F683" s="2">
        <v>0</v>
      </c>
      <c r="G683" s="2">
        <v>0</v>
      </c>
      <c r="H683" s="2">
        <v>0</v>
      </c>
      <c r="I683" s="2">
        <v>5</v>
      </c>
      <c r="J683" s="2">
        <v>4</v>
      </c>
      <c r="K683" s="2">
        <v>0</v>
      </c>
      <c r="L683" s="2">
        <v>0</v>
      </c>
      <c r="M683" s="2">
        <v>0</v>
      </c>
      <c r="N683" s="2">
        <v>6</v>
      </c>
      <c r="O683" s="2">
        <v>0</v>
      </c>
      <c r="P683" s="2">
        <v>0</v>
      </c>
      <c r="Q683" s="2">
        <v>0</v>
      </c>
      <c r="R683" s="274">
        <v>39562</v>
      </c>
      <c r="S683" s="253">
        <v>12</v>
      </c>
      <c r="T683" s="254">
        <f>SUM( tabConsumo[[#This Row],[QTD.PENDENTE]]:tabConsumo[[#This Row],[07_23]] ) / tabConsumo[[#This Row],[Div]]</f>
        <v>1.25</v>
      </c>
      <c r="U683" s="255">
        <f xml:space="preserve"> tabConsumo[[#This Row],[Média.A]] + (_xlfn.STDEV.S( tabConsumo[[#This Row],[QTD.PENDENTE]]:tabConsumo[[#This Row],[07_23]] ) * 1)</f>
        <v>3.5511854652449344</v>
      </c>
      <c r="V683" s="255">
        <f xml:space="preserve"> tabConsumo[[#This Row],[Média.A]] + (_xlfn.STDEV.S( tabConsumo[[#This Row],[QTD.PENDENTE]]:tabConsumo[[#This Row],[07_23]] ) * 2)</f>
        <v>5.8523709304898688</v>
      </c>
      <c r="W683" s="255">
        <f xml:space="preserve"> tabConsumo[[#This Row],[Média.A]] + (_xlfn.STDEV.S( tabConsumo[[#This Row],[QTD.PENDENTE]]:tabConsumo[[#This Row],[07_23]] ) * 3)</f>
        <v>8.1535563957348032</v>
      </c>
      <c r="X683" s="5">
        <f t="shared" si="23"/>
        <v>2</v>
      </c>
      <c r="Y683">
        <v>1.1666666666666667</v>
      </c>
      <c r="Z683" s="257">
        <f>SUM( tabConsumo[[#This Row],[QTD.PENDENTE]]:tabConsumo[[#This Row],[07_23]] )</f>
        <v>15</v>
      </c>
      <c r="AA683" s="257">
        <f>LARGE(tabConsumo[[#This Row],[08_22]:[07_23]],1)</f>
        <v>6</v>
      </c>
      <c r="AB683" s="175" t="s">
        <v>2213</v>
      </c>
      <c r="AC683" s="3" t="s">
        <v>2064</v>
      </c>
    </row>
    <row r="684" spans="1:29" x14ac:dyDescent="0.3">
      <c r="A684" s="4" t="s">
        <v>1621</v>
      </c>
      <c r="B684" s="3" t="s">
        <v>256</v>
      </c>
      <c r="C684" s="2">
        <v>106130</v>
      </c>
      <c r="D684" s="2">
        <v>2</v>
      </c>
      <c r="F684" s="2">
        <v>0</v>
      </c>
      <c r="G684" s="2">
        <v>0</v>
      </c>
      <c r="H684" s="2">
        <v>0</v>
      </c>
      <c r="I684" s="2">
        <v>3</v>
      </c>
      <c r="J684" s="2">
        <v>0</v>
      </c>
      <c r="K684" s="2">
        <v>3</v>
      </c>
      <c r="L684" s="2">
        <v>0</v>
      </c>
      <c r="M684" s="2">
        <v>0</v>
      </c>
      <c r="N684" s="2">
        <v>6</v>
      </c>
      <c r="O684" s="2">
        <v>0</v>
      </c>
      <c r="P684" s="2">
        <v>0</v>
      </c>
      <c r="Q684" s="2">
        <v>0</v>
      </c>
      <c r="R684" s="274">
        <v>39562</v>
      </c>
      <c r="S684" s="253">
        <v>12</v>
      </c>
      <c r="T684" s="254">
        <f>SUM( tabConsumo[[#This Row],[QTD.PENDENTE]]:tabConsumo[[#This Row],[07_23]] ) / tabConsumo[[#This Row],[Div]]</f>
        <v>1</v>
      </c>
      <c r="U684" s="255">
        <f xml:space="preserve"> tabConsumo[[#This Row],[Média.A]] + (_xlfn.STDEV.S( tabConsumo[[#This Row],[QTD.PENDENTE]]:tabConsumo[[#This Row],[07_23]] ) * 1)</f>
        <v>2.9540168418367889</v>
      </c>
      <c r="V684" s="255">
        <f xml:space="preserve"> tabConsumo[[#This Row],[Média.A]] + (_xlfn.STDEV.S( tabConsumo[[#This Row],[QTD.PENDENTE]]:tabConsumo[[#This Row],[07_23]] ) * 2)</f>
        <v>4.9080336836735778</v>
      </c>
      <c r="W684" s="255">
        <f xml:space="preserve"> tabConsumo[[#This Row],[Média.A]] + (_xlfn.STDEV.S( tabConsumo[[#This Row],[QTD.PENDENTE]]:tabConsumo[[#This Row],[07_23]] ) * 3)</f>
        <v>6.8620505255103668</v>
      </c>
      <c r="X684" s="5">
        <f t="shared" si="23"/>
        <v>2</v>
      </c>
      <c r="Y684">
        <v>0.83333333333333337</v>
      </c>
      <c r="Z684" s="257">
        <f>SUM( tabConsumo[[#This Row],[QTD.PENDENTE]]:tabConsumo[[#This Row],[07_23]] )</f>
        <v>12</v>
      </c>
      <c r="AA684" s="257">
        <f>LARGE(tabConsumo[[#This Row],[08_22]:[07_23]],1)</f>
        <v>6</v>
      </c>
      <c r="AB684" s="175" t="s">
        <v>2213</v>
      </c>
      <c r="AC684" s="3" t="s">
        <v>2064</v>
      </c>
    </row>
    <row r="685" spans="1:29" x14ac:dyDescent="0.3">
      <c r="A685" s="4" t="s">
        <v>1389</v>
      </c>
      <c r="B685" s="3" t="s">
        <v>256</v>
      </c>
      <c r="C685" s="2">
        <v>65173</v>
      </c>
      <c r="D685" s="2">
        <v>54</v>
      </c>
      <c r="F685" s="2">
        <v>6</v>
      </c>
      <c r="G685" s="2">
        <v>6</v>
      </c>
      <c r="H685" s="2">
        <v>5</v>
      </c>
      <c r="I685" s="2">
        <v>4</v>
      </c>
      <c r="J685" s="2">
        <v>1</v>
      </c>
      <c r="K685" s="2">
        <v>6</v>
      </c>
      <c r="L685" s="2">
        <v>2</v>
      </c>
      <c r="M685" s="2">
        <v>11</v>
      </c>
      <c r="N685" s="2">
        <v>19</v>
      </c>
      <c r="O685" s="2">
        <v>30</v>
      </c>
      <c r="P685" s="2">
        <v>0</v>
      </c>
      <c r="Q685" s="2">
        <v>0</v>
      </c>
      <c r="R685" s="274">
        <v>367</v>
      </c>
      <c r="S685" s="253">
        <f xml:space="preserve"> 12</f>
        <v>12</v>
      </c>
      <c r="T685" s="254">
        <f>SUM( tabConsumo[[#This Row],[QTD.PENDENTE]]:tabConsumo[[#This Row],[07_23]] ) / tabConsumo[[#This Row],[Div]]</f>
        <v>7.5</v>
      </c>
      <c r="U685" s="255">
        <f xml:space="preserve"> tabConsumo[[#This Row],[Média.A]] + (_xlfn.STDEV.S( tabConsumo[[#This Row],[QTD.PENDENTE]]:tabConsumo[[#This Row],[07_23]] ) * 1)</f>
        <v>16.347187534619536</v>
      </c>
      <c r="V685" s="255">
        <f xml:space="preserve"> tabConsumo[[#This Row],[Média.A]] + (_xlfn.STDEV.S( tabConsumo[[#This Row],[QTD.PENDENTE]]:tabConsumo[[#This Row],[07_23]] ) * 2)</f>
        <v>25.194375069239069</v>
      </c>
      <c r="W685" s="255">
        <f xml:space="preserve"> tabConsumo[[#This Row],[Média.A]] + (_xlfn.STDEV.S( tabConsumo[[#This Row],[QTD.PENDENTE]]:tabConsumo[[#This Row],[07_23]] ) * 3)</f>
        <v>34.041562603858601</v>
      </c>
      <c r="X685" s="5">
        <f t="shared" si="23"/>
        <v>2</v>
      </c>
      <c r="Y685">
        <v>7.083333333333333</v>
      </c>
      <c r="Z685" s="257">
        <f>SUM( tabConsumo[[#This Row],[QTD.PENDENTE]]:tabConsumo[[#This Row],[07_23]] )</f>
        <v>90</v>
      </c>
      <c r="AA685" s="257">
        <f>LARGE(tabConsumo[[#This Row],[08_22]:[07_23]],1)</f>
        <v>30</v>
      </c>
      <c r="AB685" s="175" t="s">
        <v>2214</v>
      </c>
      <c r="AC685" s="3" t="s">
        <v>2064</v>
      </c>
    </row>
    <row r="686" spans="1:29" x14ac:dyDescent="0.3">
      <c r="A686" s="4" t="s">
        <v>1080</v>
      </c>
      <c r="B686" s="3" t="s">
        <v>256</v>
      </c>
      <c r="C686" s="2">
        <v>15066</v>
      </c>
      <c r="D686" s="2">
        <v>179</v>
      </c>
      <c r="F686" s="2">
        <v>20</v>
      </c>
      <c r="G686" s="2">
        <v>28</v>
      </c>
      <c r="H686" s="2">
        <v>0</v>
      </c>
      <c r="I686" s="2">
        <v>0</v>
      </c>
      <c r="J686" s="2">
        <v>0</v>
      </c>
      <c r="K686" s="2">
        <v>0</v>
      </c>
      <c r="L686" s="2">
        <v>30</v>
      </c>
      <c r="M686" s="2">
        <v>20</v>
      </c>
      <c r="N686" s="2">
        <v>10</v>
      </c>
      <c r="O686" s="2">
        <v>35</v>
      </c>
      <c r="P686" s="2">
        <v>0</v>
      </c>
      <c r="Q686" s="2">
        <v>0</v>
      </c>
      <c r="R686" s="274">
        <v>367</v>
      </c>
      <c r="S686" s="253">
        <f xml:space="preserve"> 12</f>
        <v>12</v>
      </c>
      <c r="T686" s="254">
        <f>SUM( tabConsumo[[#This Row],[QTD.PENDENTE]]:tabConsumo[[#This Row],[07_23]] ) / tabConsumo[[#This Row],[Div]]</f>
        <v>11.916666666666666</v>
      </c>
      <c r="U686" s="255">
        <f xml:space="preserve"> tabConsumo[[#This Row],[Média.A]] + (_xlfn.STDEV.S( tabConsumo[[#This Row],[QTD.PENDENTE]]:tabConsumo[[#This Row],[07_23]] ) * 1)</f>
        <v>25.749817450420188</v>
      </c>
      <c r="V686" s="255">
        <f xml:space="preserve"> tabConsumo[[#This Row],[Média.A]] + (_xlfn.STDEV.S( tabConsumo[[#This Row],[QTD.PENDENTE]]:tabConsumo[[#This Row],[07_23]] ) * 2)</f>
        <v>39.582968234173705</v>
      </c>
      <c r="W686" s="255">
        <f xml:space="preserve"> tabConsumo[[#This Row],[Média.A]] + (_xlfn.STDEV.S( tabConsumo[[#This Row],[QTD.PENDENTE]]:tabConsumo[[#This Row],[07_23]] ) * 3)</f>
        <v>53.416119017927223</v>
      </c>
      <c r="X686" s="5">
        <f t="shared" si="23"/>
        <v>2</v>
      </c>
      <c r="Y686">
        <v>11.916666666666666</v>
      </c>
      <c r="Z686" s="257">
        <f>SUM( tabConsumo[[#This Row],[QTD.PENDENTE]]:tabConsumo[[#This Row],[07_23]] )</f>
        <v>143</v>
      </c>
      <c r="AA686" s="257">
        <f>LARGE(tabConsumo[[#This Row],[08_22]:[07_23]],1)</f>
        <v>35</v>
      </c>
      <c r="AB686" s="175" t="s">
        <v>2214</v>
      </c>
      <c r="AC686" s="3" t="s">
        <v>2064</v>
      </c>
    </row>
    <row r="687" spans="1:29" x14ac:dyDescent="0.3">
      <c r="A687" s="4" t="s">
        <v>1308</v>
      </c>
      <c r="B687" s="3" t="s">
        <v>256</v>
      </c>
      <c r="C687" s="2">
        <v>53849</v>
      </c>
      <c r="D687" s="2">
        <v>35</v>
      </c>
      <c r="F687" s="2">
        <v>8</v>
      </c>
      <c r="G687" s="2">
        <v>2</v>
      </c>
      <c r="H687" s="2">
        <v>0</v>
      </c>
      <c r="I687" s="2">
        <v>5</v>
      </c>
      <c r="J687" s="2">
        <v>5</v>
      </c>
      <c r="K687" s="2">
        <v>0</v>
      </c>
      <c r="L687" s="2">
        <v>4</v>
      </c>
      <c r="M687" s="2">
        <v>18</v>
      </c>
      <c r="N687" s="2">
        <v>10</v>
      </c>
      <c r="O687" s="2">
        <v>0</v>
      </c>
      <c r="P687" s="2">
        <v>0</v>
      </c>
      <c r="Q687" s="2">
        <v>0</v>
      </c>
      <c r="R687" s="274">
        <v>367</v>
      </c>
      <c r="S687" s="253">
        <f xml:space="preserve"> 12</f>
        <v>12</v>
      </c>
      <c r="T687" s="254">
        <f>SUM( tabConsumo[[#This Row],[QTD.PENDENTE]]:tabConsumo[[#This Row],[07_23]] ) / tabConsumo[[#This Row],[Div]]</f>
        <v>4.333333333333333</v>
      </c>
      <c r="U687" s="255">
        <f xml:space="preserve"> tabConsumo[[#This Row],[Média.A]] + (_xlfn.STDEV.S( tabConsumo[[#This Row],[QTD.PENDENTE]]:tabConsumo[[#This Row],[07_23]] ) * 1)</f>
        <v>9.8326445849742363</v>
      </c>
      <c r="V687" s="255">
        <f xml:space="preserve"> tabConsumo[[#This Row],[Média.A]] + (_xlfn.STDEV.S( tabConsumo[[#This Row],[QTD.PENDENTE]]:tabConsumo[[#This Row],[07_23]] ) * 2)</f>
        <v>15.33195583661514</v>
      </c>
      <c r="W687" s="255">
        <f xml:space="preserve"> tabConsumo[[#This Row],[Média.A]] + (_xlfn.STDEV.S( tabConsumo[[#This Row],[QTD.PENDENTE]]:tabConsumo[[#This Row],[07_23]] ) * 3)</f>
        <v>20.831267088256041</v>
      </c>
      <c r="X687" s="5">
        <f t="shared" si="23"/>
        <v>2</v>
      </c>
      <c r="Y687">
        <v>4.083333333333333</v>
      </c>
      <c r="Z687" s="257">
        <f>SUM( tabConsumo[[#This Row],[QTD.PENDENTE]]:tabConsumo[[#This Row],[07_23]] )</f>
        <v>52</v>
      </c>
      <c r="AA687" s="257">
        <f>LARGE(tabConsumo[[#This Row],[08_22]:[07_23]],1)</f>
        <v>18</v>
      </c>
      <c r="AB687" s="175" t="s">
        <v>2213</v>
      </c>
      <c r="AC687" s="3" t="s">
        <v>2064</v>
      </c>
    </row>
    <row r="688" spans="1:29" x14ac:dyDescent="0.3">
      <c r="A688" s="4" t="s">
        <v>1709</v>
      </c>
      <c r="B688" s="3" t="s">
        <v>256</v>
      </c>
      <c r="C688" s="2">
        <v>115805</v>
      </c>
      <c r="D688" s="2">
        <v>217</v>
      </c>
      <c r="F688" s="2">
        <v>42</v>
      </c>
      <c r="G688" s="2">
        <v>55</v>
      </c>
      <c r="H688" s="2">
        <v>1</v>
      </c>
      <c r="I688" s="2">
        <v>10</v>
      </c>
      <c r="J688" s="2">
        <v>0</v>
      </c>
      <c r="K688" s="2">
        <v>14</v>
      </c>
      <c r="L688" s="2">
        <v>35</v>
      </c>
      <c r="M688" s="2">
        <v>29</v>
      </c>
      <c r="N688" s="2">
        <v>21</v>
      </c>
      <c r="O688" s="2">
        <v>60</v>
      </c>
      <c r="P688" s="2">
        <v>0</v>
      </c>
      <c r="Q688" s="2">
        <v>24</v>
      </c>
      <c r="R688" s="274">
        <v>40352</v>
      </c>
      <c r="S688" s="253">
        <v>12</v>
      </c>
      <c r="T688" s="254">
        <f>SUM( tabConsumo[[#This Row],[QTD.PENDENTE]]:tabConsumo[[#This Row],[07_23]] ) / tabConsumo[[#This Row],[Div]]</f>
        <v>24.25</v>
      </c>
      <c r="U688" s="255">
        <f xml:space="preserve"> tabConsumo[[#This Row],[Média.A]] + (_xlfn.STDEV.S( tabConsumo[[#This Row],[QTD.PENDENTE]]:tabConsumo[[#This Row],[07_23]] ) * 1)</f>
        <v>44.947496554809803</v>
      </c>
      <c r="V688" s="255">
        <f xml:space="preserve"> tabConsumo[[#This Row],[Média.A]] + (_xlfn.STDEV.S( tabConsumo[[#This Row],[QTD.PENDENTE]]:tabConsumo[[#This Row],[07_23]] ) * 2)</f>
        <v>65.644993109619605</v>
      </c>
      <c r="W688" s="255">
        <f xml:space="preserve"> tabConsumo[[#This Row],[Média.A]] + (_xlfn.STDEV.S( tabConsumo[[#This Row],[QTD.PENDENTE]]:tabConsumo[[#This Row],[07_23]] ) * 3)</f>
        <v>86.342489664429408</v>
      </c>
      <c r="X688" s="5">
        <f t="shared" si="23"/>
        <v>2</v>
      </c>
      <c r="Y688">
        <v>24.25</v>
      </c>
      <c r="Z688" s="257">
        <f>SUM( tabConsumo[[#This Row],[QTD.PENDENTE]]:tabConsumo[[#This Row],[07_23]] )</f>
        <v>291</v>
      </c>
      <c r="AA688" s="257">
        <f>LARGE(tabConsumo[[#This Row],[08_22]:[07_23]],1)</f>
        <v>60</v>
      </c>
      <c r="AB688" s="175" t="s">
        <v>2211</v>
      </c>
      <c r="AC688" s="3" t="s">
        <v>2064</v>
      </c>
    </row>
    <row r="689" spans="1:29" x14ac:dyDescent="0.3">
      <c r="A689" s="4" t="s">
        <v>1473</v>
      </c>
      <c r="B689" s="3" t="s">
        <v>256</v>
      </c>
      <c r="C689" s="2">
        <v>81807</v>
      </c>
      <c r="D689" s="2">
        <v>21</v>
      </c>
      <c r="F689" s="2">
        <v>5</v>
      </c>
      <c r="G689" s="2">
        <v>0</v>
      </c>
      <c r="H689" s="2">
        <v>0</v>
      </c>
      <c r="I689" s="2">
        <v>0</v>
      </c>
      <c r="J689" s="2">
        <v>0</v>
      </c>
      <c r="K689" s="2">
        <v>0</v>
      </c>
      <c r="L689" s="2">
        <v>0</v>
      </c>
      <c r="M689" s="2">
        <v>6</v>
      </c>
      <c r="N689" s="2">
        <v>0</v>
      </c>
      <c r="O689" s="2">
        <v>0</v>
      </c>
      <c r="P689" s="2">
        <v>0</v>
      </c>
      <c r="Q689" s="2">
        <v>0</v>
      </c>
      <c r="R689" s="274">
        <v>38246</v>
      </c>
      <c r="S689" s="253">
        <v>12</v>
      </c>
      <c r="T689" s="254">
        <f>SUM( tabConsumo[[#This Row],[QTD.PENDENTE]]:tabConsumo[[#This Row],[07_23]] ) / tabConsumo[[#This Row],[Div]]</f>
        <v>0.91666666666666663</v>
      </c>
      <c r="U689" s="255">
        <f xml:space="preserve"> tabConsumo[[#This Row],[Média.A]] + (_xlfn.STDEV.S( tabConsumo[[#This Row],[QTD.PENDENTE]]:tabConsumo[[#This Row],[07_23]] ) * 1)</f>
        <v>3.0681284671148825</v>
      </c>
      <c r="V689" s="255">
        <f xml:space="preserve"> tabConsumo[[#This Row],[Média.A]] + (_xlfn.STDEV.S( tabConsumo[[#This Row],[QTD.PENDENTE]]:tabConsumo[[#This Row],[07_23]] ) * 2)</f>
        <v>5.219590267563099</v>
      </c>
      <c r="W689" s="255">
        <f xml:space="preserve"> tabConsumo[[#This Row],[Média.A]] + (_xlfn.STDEV.S( tabConsumo[[#This Row],[QTD.PENDENTE]]:tabConsumo[[#This Row],[07_23]] ) * 3)</f>
        <v>7.3710520680113154</v>
      </c>
      <c r="X689" s="5">
        <f t="shared" si="23"/>
        <v>2</v>
      </c>
      <c r="Y689">
        <v>0.83333333333333337</v>
      </c>
      <c r="Z689" s="257">
        <f>SUM( tabConsumo[[#This Row],[QTD.PENDENTE]]:tabConsumo[[#This Row],[07_23]] )</f>
        <v>11</v>
      </c>
      <c r="AA689" s="257">
        <f>LARGE(tabConsumo[[#This Row],[08_22]:[07_23]],1)</f>
        <v>6</v>
      </c>
      <c r="AB689" s="175" t="s">
        <v>2217</v>
      </c>
      <c r="AC689" s="3" t="s">
        <v>2064</v>
      </c>
    </row>
    <row r="690" spans="1:29" x14ac:dyDescent="0.3">
      <c r="A690" s="4" t="s">
        <v>1921</v>
      </c>
      <c r="B690" s="3" t="s">
        <v>31</v>
      </c>
      <c r="C690" s="2">
        <v>136818</v>
      </c>
      <c r="D690" s="2">
        <v>1161</v>
      </c>
      <c r="F690" s="2">
        <v>0</v>
      </c>
      <c r="G690" s="2">
        <v>0</v>
      </c>
      <c r="H690" s="2">
        <v>0</v>
      </c>
      <c r="I690" s="2">
        <v>0</v>
      </c>
      <c r="J690" s="2">
        <v>0</v>
      </c>
      <c r="K690" s="2">
        <v>0</v>
      </c>
      <c r="L690" s="2">
        <v>0</v>
      </c>
      <c r="M690" s="2">
        <v>21</v>
      </c>
      <c r="N690" s="2">
        <v>0</v>
      </c>
      <c r="O690" s="2">
        <v>0</v>
      </c>
      <c r="P690" s="2">
        <v>0</v>
      </c>
      <c r="Q690" s="2">
        <v>0</v>
      </c>
      <c r="R690" s="274">
        <v>43572</v>
      </c>
      <c r="S690" s="253">
        <v>12</v>
      </c>
      <c r="T690" s="254">
        <f>SUM( tabConsumo[[#This Row],[QTD.PENDENTE]]:tabConsumo[[#This Row],[07_23]] ) / tabConsumo[[#This Row],[Div]]</f>
        <v>1.75</v>
      </c>
      <c r="U690" s="255">
        <f xml:space="preserve"> tabConsumo[[#This Row],[Média.A]] + (_xlfn.STDEV.S( tabConsumo[[#This Row],[QTD.PENDENTE]]:tabConsumo[[#This Row],[07_23]] ) * 1)</f>
        <v>7.8121778264910704</v>
      </c>
      <c r="V690" s="255">
        <f xml:space="preserve"> tabConsumo[[#This Row],[Média.A]] + (_xlfn.STDEV.S( tabConsumo[[#This Row],[QTD.PENDENTE]]:tabConsumo[[#This Row],[07_23]] ) * 2)</f>
        <v>13.874355652982141</v>
      </c>
      <c r="W690" s="255">
        <f xml:space="preserve"> tabConsumo[[#This Row],[Média.A]] + (_xlfn.STDEV.S( tabConsumo[[#This Row],[QTD.PENDENTE]]:tabConsumo[[#This Row],[07_23]] ) * 3)</f>
        <v>19.936533479473212</v>
      </c>
      <c r="X690" s="5">
        <f t="shared" si="23"/>
        <v>2</v>
      </c>
      <c r="Y690">
        <v>1.0833333333333333</v>
      </c>
      <c r="Z690" s="257">
        <f>SUM( tabConsumo[[#This Row],[QTD.PENDENTE]]:tabConsumo[[#This Row],[07_23]] )</f>
        <v>21</v>
      </c>
      <c r="AA690" s="257">
        <f>LARGE(tabConsumo[[#This Row],[08_22]:[07_23]],1)</f>
        <v>21</v>
      </c>
      <c r="AB690" s="175" t="s">
        <v>2217</v>
      </c>
      <c r="AC690" s="3" t="s">
        <v>2064</v>
      </c>
    </row>
    <row r="691" spans="1:29" x14ac:dyDescent="0.3">
      <c r="A691" s="4" t="s">
        <v>1871</v>
      </c>
      <c r="B691" s="3" t="s">
        <v>629</v>
      </c>
      <c r="C691" s="2">
        <v>134544</v>
      </c>
      <c r="D691" s="2">
        <v>847.3</v>
      </c>
      <c r="F691" s="2">
        <v>316</v>
      </c>
      <c r="G691" s="2">
        <v>227</v>
      </c>
      <c r="H691" s="2">
        <v>109</v>
      </c>
      <c r="I691" s="2">
        <v>217</v>
      </c>
      <c r="J691" s="2">
        <v>217</v>
      </c>
      <c r="K691" s="2">
        <v>93</v>
      </c>
      <c r="L691" s="2">
        <v>4</v>
      </c>
      <c r="M691" s="2">
        <v>31</v>
      </c>
      <c r="N691" s="2">
        <v>2</v>
      </c>
      <c r="O691" s="2">
        <v>20</v>
      </c>
      <c r="P691" s="2">
        <v>0</v>
      </c>
      <c r="Q691" s="2">
        <v>10</v>
      </c>
      <c r="R691" s="274">
        <v>43172</v>
      </c>
      <c r="S691" s="253">
        <v>12</v>
      </c>
      <c r="T691" s="254">
        <f>SUM( tabConsumo[[#This Row],[QTD.PENDENTE]]:tabConsumo[[#This Row],[07_23]] ) / tabConsumo[[#This Row],[Div]]</f>
        <v>103.83333333333333</v>
      </c>
      <c r="U691" s="255">
        <f xml:space="preserve"> tabConsumo[[#This Row],[Média.A]] + (_xlfn.STDEV.S( tabConsumo[[#This Row],[QTD.PENDENTE]]:tabConsumo[[#This Row],[07_23]] ) * 1)</f>
        <v>215.92001515782238</v>
      </c>
      <c r="V691" s="255">
        <f xml:space="preserve"> tabConsumo[[#This Row],[Média.A]] + (_xlfn.STDEV.S( tabConsumo[[#This Row],[QTD.PENDENTE]]:tabConsumo[[#This Row],[07_23]] ) * 2)</f>
        <v>328.00669698231144</v>
      </c>
      <c r="W691" s="255">
        <f xml:space="preserve"> tabConsumo[[#This Row],[Média.A]] + (_xlfn.STDEV.S( tabConsumo[[#This Row],[QTD.PENDENTE]]:tabConsumo[[#This Row],[07_23]] ) * 3)</f>
        <v>440.09337880680044</v>
      </c>
      <c r="X691" s="5">
        <f t="shared" si="23"/>
        <v>2</v>
      </c>
      <c r="Y691">
        <v>103.83333333333333</v>
      </c>
      <c r="Z691" s="257">
        <f>SUM( tabConsumo[[#This Row],[QTD.PENDENTE]]:tabConsumo[[#This Row],[07_23]] )</f>
        <v>1246</v>
      </c>
      <c r="AA691" s="257">
        <f>LARGE(tabConsumo[[#This Row],[08_22]:[07_23]],1)</f>
        <v>316</v>
      </c>
      <c r="AB691" s="175" t="s">
        <v>2211</v>
      </c>
      <c r="AC691" s="3" t="s">
        <v>2064</v>
      </c>
    </row>
    <row r="692" spans="1:29" x14ac:dyDescent="0.3">
      <c r="A692" s="4" t="s">
        <v>1425</v>
      </c>
      <c r="B692" s="3" t="s">
        <v>256</v>
      </c>
      <c r="C692" s="2">
        <v>77788</v>
      </c>
      <c r="D692" s="2">
        <v>776</v>
      </c>
      <c r="F692" s="2">
        <v>0</v>
      </c>
      <c r="G692" s="2">
        <v>0</v>
      </c>
      <c r="H692" s="2">
        <v>15</v>
      </c>
      <c r="I692" s="2">
        <v>0</v>
      </c>
      <c r="J692" s="2">
        <v>0</v>
      </c>
      <c r="K692" s="2">
        <v>4</v>
      </c>
      <c r="L692" s="2">
        <v>8</v>
      </c>
      <c r="M692" s="2">
        <v>0</v>
      </c>
      <c r="N692" s="2">
        <v>0</v>
      </c>
      <c r="O692" s="2">
        <v>4</v>
      </c>
      <c r="P692" s="2">
        <v>18</v>
      </c>
      <c r="Q692" s="2">
        <v>0</v>
      </c>
      <c r="R692" s="274">
        <v>38064</v>
      </c>
      <c r="S692" s="253">
        <v>12</v>
      </c>
      <c r="T692" s="254">
        <f>SUM( tabConsumo[[#This Row],[QTD.PENDENTE]]:tabConsumo[[#This Row],[07_23]] ) / tabConsumo[[#This Row],[Div]]</f>
        <v>4.083333333333333</v>
      </c>
      <c r="U692" s="255">
        <f xml:space="preserve"> tabConsumo[[#This Row],[Média.A]] + (_xlfn.STDEV.S( tabConsumo[[#This Row],[QTD.PENDENTE]]:tabConsumo[[#This Row],[07_23]] ) * 1)</f>
        <v>10.443126545142164</v>
      </c>
      <c r="V692" s="255">
        <f xml:space="preserve"> tabConsumo[[#This Row],[Média.A]] + (_xlfn.STDEV.S( tabConsumo[[#This Row],[QTD.PENDENTE]]:tabConsumo[[#This Row],[07_23]] ) * 2)</f>
        <v>16.802919756950995</v>
      </c>
      <c r="W692" s="255">
        <f xml:space="preserve"> tabConsumo[[#This Row],[Média.A]] + (_xlfn.STDEV.S( tabConsumo[[#This Row],[QTD.PENDENTE]]:tabConsumo[[#This Row],[07_23]] ) * 3)</f>
        <v>23.162712968759827</v>
      </c>
      <c r="X692" s="5">
        <f t="shared" si="23"/>
        <v>2</v>
      </c>
      <c r="Y692">
        <v>3.9166666666666665</v>
      </c>
      <c r="Z692" s="257">
        <f>SUM( tabConsumo[[#This Row],[QTD.PENDENTE]]:tabConsumo[[#This Row],[07_23]] )</f>
        <v>49</v>
      </c>
      <c r="AA692" s="257">
        <f>LARGE(tabConsumo[[#This Row],[08_22]:[07_23]],1)</f>
        <v>18</v>
      </c>
      <c r="AB692" s="175" t="s">
        <v>2212</v>
      </c>
      <c r="AC692" s="3" t="s">
        <v>2064</v>
      </c>
    </row>
    <row r="693" spans="1:29" x14ac:dyDescent="0.3">
      <c r="A693" s="4" t="s">
        <v>879</v>
      </c>
      <c r="B693" s="3" t="s">
        <v>256</v>
      </c>
      <c r="C693" s="2">
        <v>77822</v>
      </c>
      <c r="D693" s="2">
        <v>0</v>
      </c>
      <c r="F693" s="2">
        <v>2</v>
      </c>
      <c r="G693" s="2">
        <v>1</v>
      </c>
      <c r="H693" s="2">
        <v>0</v>
      </c>
      <c r="I693" s="2">
        <v>0</v>
      </c>
      <c r="J693" s="2">
        <v>0</v>
      </c>
      <c r="K693" s="2">
        <v>0</v>
      </c>
      <c r="L693" s="2">
        <v>0</v>
      </c>
      <c r="M693" s="2">
        <v>0</v>
      </c>
      <c r="N693" s="2">
        <v>0</v>
      </c>
      <c r="O693" s="2">
        <v>0</v>
      </c>
      <c r="P693" s="2">
        <v>0</v>
      </c>
      <c r="Q693" s="2">
        <v>0</v>
      </c>
      <c r="R693" s="274">
        <v>367</v>
      </c>
      <c r="S693" s="253">
        <f xml:space="preserve"> 12</f>
        <v>12</v>
      </c>
      <c r="T693" s="254">
        <f>SUM( tabConsumo[[#This Row],[QTD.PENDENTE]]:tabConsumo[[#This Row],[07_23]] ) / tabConsumo[[#This Row],[Div]]</f>
        <v>0.25</v>
      </c>
      <c r="U693" s="255">
        <f xml:space="preserve"> tabConsumo[[#This Row],[Média.A]] + (_xlfn.STDEV.S( tabConsumo[[#This Row],[QTD.PENDENTE]]:tabConsumo[[#This Row],[07_23]] ) * 1)</f>
        <v>0.87158156050806102</v>
      </c>
      <c r="V693" s="255">
        <f xml:space="preserve"> tabConsumo[[#This Row],[Média.A]] + (_xlfn.STDEV.S( tabConsumo[[#This Row],[QTD.PENDENTE]]:tabConsumo[[#This Row],[07_23]] ) * 2)</f>
        <v>1.493163121016122</v>
      </c>
      <c r="W693" s="255">
        <f xml:space="preserve"> tabConsumo[[#This Row],[Média.A]] + (_xlfn.STDEV.S( tabConsumo[[#This Row],[QTD.PENDENTE]]:tabConsumo[[#This Row],[07_23]] ) * 3)</f>
        <v>2.1147446815241828</v>
      </c>
      <c r="X693" s="5">
        <f t="shared" si="23"/>
        <v>2</v>
      </c>
      <c r="Y693">
        <v>0.16666666666666666</v>
      </c>
      <c r="Z693" s="257">
        <f>SUM( tabConsumo[[#This Row],[QTD.PENDENTE]]:tabConsumo[[#This Row],[07_23]] )</f>
        <v>3</v>
      </c>
      <c r="AA693" s="257">
        <f>LARGE(tabConsumo[[#This Row],[08_22]:[07_23]],1)</f>
        <v>2</v>
      </c>
      <c r="AB693" s="175" t="s">
        <v>2219</v>
      </c>
      <c r="AC693" s="3" t="s">
        <v>2064</v>
      </c>
    </row>
    <row r="694" spans="1:29" x14ac:dyDescent="0.3">
      <c r="A694" s="4" t="s">
        <v>1429</v>
      </c>
      <c r="B694" s="3" t="s">
        <v>256</v>
      </c>
      <c r="C694" s="2">
        <v>77823</v>
      </c>
      <c r="D694" s="2">
        <v>37</v>
      </c>
      <c r="F694" s="2">
        <v>2</v>
      </c>
      <c r="G694" s="2">
        <v>0</v>
      </c>
      <c r="H694" s="2">
        <v>4</v>
      </c>
      <c r="I694" s="2">
        <v>0</v>
      </c>
      <c r="J694" s="2">
        <v>13</v>
      </c>
      <c r="K694" s="2">
        <v>3</v>
      </c>
      <c r="L694" s="2">
        <v>0</v>
      </c>
      <c r="M694" s="2">
        <v>1</v>
      </c>
      <c r="N694" s="2">
        <v>0</v>
      </c>
      <c r="O694" s="2">
        <v>0</v>
      </c>
      <c r="P694" s="2">
        <v>0</v>
      </c>
      <c r="Q694" s="2">
        <v>0</v>
      </c>
      <c r="R694" s="274">
        <v>38065</v>
      </c>
      <c r="S694" s="253">
        <v>12</v>
      </c>
      <c r="T694" s="254">
        <f>SUM( tabConsumo[[#This Row],[QTD.PENDENTE]]:tabConsumo[[#This Row],[07_23]] ) / tabConsumo[[#This Row],[Div]]</f>
        <v>1.9166666666666667</v>
      </c>
      <c r="U694" s="255">
        <f xml:space="preserve"> tabConsumo[[#This Row],[Média.A]] + (_xlfn.STDEV.S( tabConsumo[[#This Row],[QTD.PENDENTE]]:tabConsumo[[#This Row],[07_23]] ) * 1)</f>
        <v>5.6694434163992344</v>
      </c>
      <c r="V694" s="255">
        <f xml:space="preserve"> tabConsumo[[#This Row],[Média.A]] + (_xlfn.STDEV.S( tabConsumo[[#This Row],[QTD.PENDENTE]]:tabConsumo[[#This Row],[07_23]] ) * 2)</f>
        <v>9.422220166131801</v>
      </c>
      <c r="W694" s="255">
        <f xml:space="preserve"> tabConsumo[[#This Row],[Média.A]] + (_xlfn.STDEV.S( tabConsumo[[#This Row],[QTD.PENDENTE]]:tabConsumo[[#This Row],[07_23]] ) * 3)</f>
        <v>13.174996915864368</v>
      </c>
      <c r="X694" s="5">
        <f t="shared" si="23"/>
        <v>2</v>
      </c>
      <c r="Y694">
        <v>1.5833333333333333</v>
      </c>
      <c r="Z694" s="257">
        <f>SUM( tabConsumo[[#This Row],[QTD.PENDENTE]]:tabConsumo[[#This Row],[07_23]] )</f>
        <v>23</v>
      </c>
      <c r="AA694" s="257">
        <f>LARGE(tabConsumo[[#This Row],[08_22]:[07_23]],1)</f>
        <v>13</v>
      </c>
      <c r="AB694" s="175" t="s">
        <v>2217</v>
      </c>
      <c r="AC694" s="3" t="s">
        <v>2064</v>
      </c>
    </row>
    <row r="695" spans="1:29" x14ac:dyDescent="0.3">
      <c r="A695" s="4" t="s">
        <v>1398</v>
      </c>
      <c r="B695" s="3" t="s">
        <v>256</v>
      </c>
      <c r="C695" s="2">
        <v>71874</v>
      </c>
      <c r="D695" s="2">
        <v>126</v>
      </c>
      <c r="F695" s="2">
        <v>0</v>
      </c>
      <c r="G695" s="2">
        <v>0</v>
      </c>
      <c r="H695" s="2">
        <v>0</v>
      </c>
      <c r="I695" s="2">
        <v>0</v>
      </c>
      <c r="J695" s="2">
        <v>0</v>
      </c>
      <c r="K695" s="2">
        <v>0</v>
      </c>
      <c r="L695" s="2">
        <v>0</v>
      </c>
      <c r="M695" s="2">
        <v>0</v>
      </c>
      <c r="N695" s="2">
        <v>0</v>
      </c>
      <c r="O695" s="2">
        <v>5</v>
      </c>
      <c r="P695" s="2">
        <v>0</v>
      </c>
      <c r="Q695" s="2">
        <v>0</v>
      </c>
      <c r="R695" s="274">
        <v>367</v>
      </c>
      <c r="S695" s="253">
        <f xml:space="preserve"> 12</f>
        <v>12</v>
      </c>
      <c r="T695" s="254">
        <f>SUM( tabConsumo[[#This Row],[QTD.PENDENTE]]:tabConsumo[[#This Row],[07_23]] ) / tabConsumo[[#This Row],[Div]]</f>
        <v>0.41666666666666669</v>
      </c>
      <c r="U695" s="255">
        <f xml:space="preserve"> tabConsumo[[#This Row],[Média.A]] + (_xlfn.STDEV.S( tabConsumo[[#This Row],[QTD.PENDENTE]]:tabConsumo[[#This Row],[07_23]] ) * 1)</f>
        <v>1.8600423396407313</v>
      </c>
      <c r="V695" s="255">
        <f xml:space="preserve"> tabConsumo[[#This Row],[Média.A]] + (_xlfn.STDEV.S( tabConsumo[[#This Row],[QTD.PENDENTE]]:tabConsumo[[#This Row],[07_23]] ) * 2)</f>
        <v>3.3034180126147956</v>
      </c>
      <c r="W695" s="255">
        <f xml:space="preserve"> tabConsumo[[#This Row],[Média.A]] + (_xlfn.STDEV.S( tabConsumo[[#This Row],[QTD.PENDENTE]]:tabConsumo[[#This Row],[07_23]] ) * 3)</f>
        <v>4.7467936855888606</v>
      </c>
      <c r="X695" s="5">
        <f t="shared" si="23"/>
        <v>2</v>
      </c>
      <c r="Y695">
        <v>0.25</v>
      </c>
      <c r="Z695" s="257">
        <f>SUM( tabConsumo[[#This Row],[QTD.PENDENTE]]:tabConsumo[[#This Row],[07_23]] )</f>
        <v>5</v>
      </c>
      <c r="AA695" s="257">
        <f>LARGE(tabConsumo[[#This Row],[08_22]:[07_23]],1)</f>
        <v>5</v>
      </c>
      <c r="AB695" s="175" t="s">
        <v>2214</v>
      </c>
      <c r="AC695" s="3" t="s">
        <v>2064</v>
      </c>
    </row>
    <row r="696" spans="1:29" x14ac:dyDescent="0.3">
      <c r="A696" s="4" t="s">
        <v>1264</v>
      </c>
      <c r="B696" s="3" t="s">
        <v>256</v>
      </c>
      <c r="C696" s="2">
        <v>36399</v>
      </c>
      <c r="D696" s="2">
        <v>143</v>
      </c>
      <c r="F696" s="2">
        <v>0</v>
      </c>
      <c r="G696" s="2">
        <v>0</v>
      </c>
      <c r="H696" s="2">
        <v>0</v>
      </c>
      <c r="I696" s="2">
        <v>0</v>
      </c>
      <c r="J696" s="2">
        <v>0</v>
      </c>
      <c r="K696" s="2">
        <v>0</v>
      </c>
      <c r="L696" s="2">
        <v>20</v>
      </c>
      <c r="M696" s="2">
        <v>0</v>
      </c>
      <c r="N696" s="2">
        <v>0</v>
      </c>
      <c r="O696" s="2">
        <v>20</v>
      </c>
      <c r="P696" s="2">
        <v>0</v>
      </c>
      <c r="Q696" s="2">
        <v>0</v>
      </c>
      <c r="R696" s="274">
        <v>367</v>
      </c>
      <c r="S696" s="253">
        <f xml:space="preserve"> 12</f>
        <v>12</v>
      </c>
      <c r="T696" s="254">
        <f>SUM( tabConsumo[[#This Row],[QTD.PENDENTE]]:tabConsumo[[#This Row],[07_23]] ) / tabConsumo[[#This Row],[Div]]</f>
        <v>3.3333333333333335</v>
      </c>
      <c r="U696" s="255">
        <f xml:space="preserve"> tabConsumo[[#This Row],[Média.A]] + (_xlfn.STDEV.S( tabConsumo[[#This Row],[QTD.PENDENTE]]:tabConsumo[[#This Row],[07_23]] ) * 1)</f>
        <v>11.118322774948563</v>
      </c>
      <c r="V696" s="255">
        <f xml:space="preserve"> tabConsumo[[#This Row],[Média.A]] + (_xlfn.STDEV.S( tabConsumo[[#This Row],[QTD.PENDENTE]]:tabConsumo[[#This Row],[07_23]] ) * 2)</f>
        <v>18.903312216563791</v>
      </c>
      <c r="W696" s="255">
        <f xml:space="preserve"> tabConsumo[[#This Row],[Média.A]] + (_xlfn.STDEV.S( tabConsumo[[#This Row],[QTD.PENDENTE]]:tabConsumo[[#This Row],[07_23]] ) * 3)</f>
        <v>26.688301658179018</v>
      </c>
      <c r="X696" s="5">
        <f t="shared" si="23"/>
        <v>2</v>
      </c>
      <c r="Y696">
        <v>3</v>
      </c>
      <c r="Z696" s="257">
        <f>SUM( tabConsumo[[#This Row],[QTD.PENDENTE]]:tabConsumo[[#This Row],[07_23]] )</f>
        <v>40</v>
      </c>
      <c r="AA696" s="257">
        <f>LARGE(tabConsumo[[#This Row],[08_22]:[07_23]],1)</f>
        <v>20</v>
      </c>
      <c r="AB696" s="175" t="s">
        <v>2214</v>
      </c>
      <c r="AC696" s="3" t="s">
        <v>2064</v>
      </c>
    </row>
    <row r="697" spans="1:29" x14ac:dyDescent="0.3">
      <c r="A697" s="4" t="s">
        <v>1720</v>
      </c>
      <c r="B697" s="3" t="s">
        <v>256</v>
      </c>
      <c r="C697" s="2">
        <v>118246</v>
      </c>
      <c r="D697" s="2">
        <v>60</v>
      </c>
      <c r="F697" s="2">
        <v>0</v>
      </c>
      <c r="G697" s="2">
        <v>0</v>
      </c>
      <c r="H697" s="2">
        <v>0</v>
      </c>
      <c r="I697" s="2">
        <v>0</v>
      </c>
      <c r="J697" s="2">
        <v>0</v>
      </c>
      <c r="K697" s="2">
        <v>0</v>
      </c>
      <c r="L697" s="2">
        <v>0</v>
      </c>
      <c r="M697" s="2">
        <v>0</v>
      </c>
      <c r="N697" s="2">
        <v>0</v>
      </c>
      <c r="O697" s="2">
        <v>5</v>
      </c>
      <c r="P697" s="2">
        <v>0</v>
      </c>
      <c r="Q697" s="2">
        <v>0</v>
      </c>
      <c r="R697" s="274">
        <v>40466</v>
      </c>
      <c r="S697" s="253">
        <v>12</v>
      </c>
      <c r="T697" s="254">
        <f>SUM( tabConsumo[[#This Row],[QTD.PENDENTE]]:tabConsumo[[#This Row],[07_23]] ) / tabConsumo[[#This Row],[Div]]</f>
        <v>0.41666666666666669</v>
      </c>
      <c r="U697" s="255">
        <f xml:space="preserve"> tabConsumo[[#This Row],[Média.A]] + (_xlfn.STDEV.S( tabConsumo[[#This Row],[QTD.PENDENTE]]:tabConsumo[[#This Row],[07_23]] ) * 1)</f>
        <v>1.8600423396407313</v>
      </c>
      <c r="V697" s="255">
        <f xml:space="preserve"> tabConsumo[[#This Row],[Média.A]] + (_xlfn.STDEV.S( tabConsumo[[#This Row],[QTD.PENDENTE]]:tabConsumo[[#This Row],[07_23]] ) * 2)</f>
        <v>3.3034180126147956</v>
      </c>
      <c r="W697" s="255">
        <f xml:space="preserve"> tabConsumo[[#This Row],[Média.A]] + (_xlfn.STDEV.S( tabConsumo[[#This Row],[QTD.PENDENTE]]:tabConsumo[[#This Row],[07_23]] ) * 3)</f>
        <v>4.7467936855888606</v>
      </c>
      <c r="X697" s="5">
        <f t="shared" si="23"/>
        <v>2</v>
      </c>
      <c r="Y697">
        <v>0.25</v>
      </c>
      <c r="Z697" s="257">
        <f>SUM( tabConsumo[[#This Row],[QTD.PENDENTE]]:tabConsumo[[#This Row],[07_23]] )</f>
        <v>5</v>
      </c>
      <c r="AA697" s="257">
        <f>LARGE(tabConsumo[[#This Row],[08_22]:[07_23]],1)</f>
        <v>5</v>
      </c>
      <c r="AB697" s="175" t="s">
        <v>2214</v>
      </c>
      <c r="AC697" s="3" t="s">
        <v>2064</v>
      </c>
    </row>
    <row r="698" spans="1:29" x14ac:dyDescent="0.3">
      <c r="A698" s="4" t="s">
        <v>1718</v>
      </c>
      <c r="B698" s="3" t="s">
        <v>256</v>
      </c>
      <c r="C698" s="2">
        <v>118244</v>
      </c>
      <c r="D698" s="2">
        <v>173</v>
      </c>
      <c r="F698" s="2">
        <v>0</v>
      </c>
      <c r="G698" s="2">
        <v>0</v>
      </c>
      <c r="H698" s="2">
        <v>0</v>
      </c>
      <c r="I698" s="2">
        <v>0</v>
      </c>
      <c r="J698" s="2">
        <v>0</v>
      </c>
      <c r="K698" s="2">
        <v>0</v>
      </c>
      <c r="L698" s="2">
        <v>0</v>
      </c>
      <c r="M698" s="2">
        <v>0</v>
      </c>
      <c r="N698" s="2">
        <v>0</v>
      </c>
      <c r="O698" s="2">
        <v>5</v>
      </c>
      <c r="P698" s="2">
        <v>0</v>
      </c>
      <c r="Q698" s="2">
        <v>0</v>
      </c>
      <c r="R698" s="274">
        <v>40466</v>
      </c>
      <c r="S698" s="253">
        <v>12</v>
      </c>
      <c r="T698" s="254">
        <f>SUM( tabConsumo[[#This Row],[QTD.PENDENTE]]:tabConsumo[[#This Row],[07_23]] ) / tabConsumo[[#This Row],[Div]]</f>
        <v>0.41666666666666669</v>
      </c>
      <c r="U698" s="255">
        <f xml:space="preserve"> tabConsumo[[#This Row],[Média.A]] + (_xlfn.STDEV.S( tabConsumo[[#This Row],[QTD.PENDENTE]]:tabConsumo[[#This Row],[07_23]] ) * 1)</f>
        <v>1.8600423396407313</v>
      </c>
      <c r="V698" s="255">
        <f xml:space="preserve"> tabConsumo[[#This Row],[Média.A]] + (_xlfn.STDEV.S( tabConsumo[[#This Row],[QTD.PENDENTE]]:tabConsumo[[#This Row],[07_23]] ) * 2)</f>
        <v>3.3034180126147956</v>
      </c>
      <c r="W698" s="255">
        <f xml:space="preserve"> tabConsumo[[#This Row],[Média.A]] + (_xlfn.STDEV.S( tabConsumo[[#This Row],[QTD.PENDENTE]]:tabConsumo[[#This Row],[07_23]] ) * 3)</f>
        <v>4.7467936855888606</v>
      </c>
      <c r="X698" s="5">
        <f t="shared" si="23"/>
        <v>2</v>
      </c>
      <c r="Y698">
        <v>0.25</v>
      </c>
      <c r="Z698" s="257">
        <f>SUM( tabConsumo[[#This Row],[QTD.PENDENTE]]:tabConsumo[[#This Row],[07_23]] )</f>
        <v>5</v>
      </c>
      <c r="AA698" s="257">
        <f>LARGE(tabConsumo[[#This Row],[08_22]:[07_23]],1)</f>
        <v>5</v>
      </c>
      <c r="AB698" s="175" t="s">
        <v>2214</v>
      </c>
      <c r="AC698" s="3" t="s">
        <v>2064</v>
      </c>
    </row>
    <row r="699" spans="1:29" x14ac:dyDescent="0.3">
      <c r="A699" s="4" t="s">
        <v>1719</v>
      </c>
      <c r="B699" s="3" t="s">
        <v>256</v>
      </c>
      <c r="C699" s="2">
        <v>118245</v>
      </c>
      <c r="D699" s="2">
        <v>33</v>
      </c>
      <c r="F699" s="2">
        <v>0</v>
      </c>
      <c r="G699" s="2">
        <v>0</v>
      </c>
      <c r="H699" s="2">
        <v>0</v>
      </c>
      <c r="I699" s="2">
        <v>0</v>
      </c>
      <c r="J699" s="2">
        <v>0</v>
      </c>
      <c r="K699" s="2">
        <v>0</v>
      </c>
      <c r="L699" s="2">
        <v>0</v>
      </c>
      <c r="M699" s="2">
        <v>0</v>
      </c>
      <c r="N699" s="2">
        <v>0</v>
      </c>
      <c r="O699" s="2">
        <v>5</v>
      </c>
      <c r="P699" s="2">
        <v>0</v>
      </c>
      <c r="Q699" s="2">
        <v>0</v>
      </c>
      <c r="R699" s="274">
        <v>40466</v>
      </c>
      <c r="S699" s="253">
        <v>12</v>
      </c>
      <c r="T699" s="254">
        <f>SUM( tabConsumo[[#This Row],[QTD.PENDENTE]]:tabConsumo[[#This Row],[07_23]] ) / tabConsumo[[#This Row],[Div]]</f>
        <v>0.41666666666666669</v>
      </c>
      <c r="U699" s="255">
        <f xml:space="preserve"> tabConsumo[[#This Row],[Média.A]] + (_xlfn.STDEV.S( tabConsumo[[#This Row],[QTD.PENDENTE]]:tabConsumo[[#This Row],[07_23]] ) * 1)</f>
        <v>1.8600423396407313</v>
      </c>
      <c r="V699" s="255">
        <f xml:space="preserve"> tabConsumo[[#This Row],[Média.A]] + (_xlfn.STDEV.S( tabConsumo[[#This Row],[QTD.PENDENTE]]:tabConsumo[[#This Row],[07_23]] ) * 2)</f>
        <v>3.3034180126147956</v>
      </c>
      <c r="W699" s="255">
        <f xml:space="preserve"> tabConsumo[[#This Row],[Média.A]] + (_xlfn.STDEV.S( tabConsumo[[#This Row],[QTD.PENDENTE]]:tabConsumo[[#This Row],[07_23]] ) * 3)</f>
        <v>4.7467936855888606</v>
      </c>
      <c r="X699" s="5">
        <f t="shared" si="23"/>
        <v>2</v>
      </c>
      <c r="Y699">
        <v>0.25</v>
      </c>
      <c r="Z699" s="257">
        <f>SUM( tabConsumo[[#This Row],[QTD.PENDENTE]]:tabConsumo[[#This Row],[07_23]] )</f>
        <v>5</v>
      </c>
      <c r="AA699" s="257">
        <f>LARGE(tabConsumo[[#This Row],[08_22]:[07_23]],1)</f>
        <v>5</v>
      </c>
      <c r="AB699" s="175" t="s">
        <v>2214</v>
      </c>
      <c r="AC699" s="3" t="s">
        <v>2064</v>
      </c>
    </row>
    <row r="700" spans="1:29" x14ac:dyDescent="0.3">
      <c r="A700" s="4" t="s">
        <v>1331</v>
      </c>
      <c r="B700" s="3" t="s">
        <v>256</v>
      </c>
      <c r="C700" s="2">
        <v>58436</v>
      </c>
      <c r="D700" s="2">
        <v>427</v>
      </c>
      <c r="F700" s="2">
        <v>0</v>
      </c>
      <c r="G700" s="2">
        <v>0</v>
      </c>
      <c r="H700" s="2">
        <v>0</v>
      </c>
      <c r="I700" s="2">
        <v>0</v>
      </c>
      <c r="J700" s="2">
        <v>0</v>
      </c>
      <c r="K700" s="2">
        <v>1</v>
      </c>
      <c r="L700" s="2">
        <v>0</v>
      </c>
      <c r="M700" s="2">
        <v>14</v>
      </c>
      <c r="N700" s="2">
        <v>0</v>
      </c>
      <c r="O700" s="2">
        <v>0</v>
      </c>
      <c r="P700" s="2">
        <v>0</v>
      </c>
      <c r="Q700" s="2">
        <v>0</v>
      </c>
      <c r="R700" s="274">
        <v>367</v>
      </c>
      <c r="S700" s="253">
        <f xml:space="preserve"> 12</f>
        <v>12</v>
      </c>
      <c r="T700" s="254">
        <f>SUM( tabConsumo[[#This Row],[QTD.PENDENTE]]:tabConsumo[[#This Row],[07_23]] ) / tabConsumo[[#This Row],[Div]]</f>
        <v>1.25</v>
      </c>
      <c r="U700" s="255">
        <f xml:space="preserve"> tabConsumo[[#This Row],[Média.A]] + (_xlfn.STDEV.S( tabConsumo[[#This Row],[QTD.PENDENTE]]:tabConsumo[[#This Row],[07_23]] ) * 1)</f>
        <v>5.2754869835270179</v>
      </c>
      <c r="V700" s="255">
        <f xml:space="preserve"> tabConsumo[[#This Row],[Média.A]] + (_xlfn.STDEV.S( tabConsumo[[#This Row],[QTD.PENDENTE]]:tabConsumo[[#This Row],[07_23]] ) * 2)</f>
        <v>9.3009739670540359</v>
      </c>
      <c r="W700" s="255">
        <f xml:space="preserve"> tabConsumo[[#This Row],[Média.A]] + (_xlfn.STDEV.S( tabConsumo[[#This Row],[QTD.PENDENTE]]:tabConsumo[[#This Row],[07_23]] ) * 3)</f>
        <v>13.326460950581055</v>
      </c>
      <c r="X700" s="5">
        <f t="shared" si="23"/>
        <v>2</v>
      </c>
      <c r="Y700">
        <v>0.83333333333333337</v>
      </c>
      <c r="Z700" s="257">
        <f>SUM( tabConsumo[[#This Row],[QTD.PENDENTE]]:tabConsumo[[#This Row],[07_23]] )</f>
        <v>15</v>
      </c>
      <c r="AA700" s="257">
        <f>LARGE(tabConsumo[[#This Row],[08_22]:[07_23]],1)</f>
        <v>14</v>
      </c>
      <c r="AB700" s="175" t="s">
        <v>2217</v>
      </c>
      <c r="AC700" s="3" t="s">
        <v>2064</v>
      </c>
    </row>
    <row r="701" spans="1:29" x14ac:dyDescent="0.3">
      <c r="A701" s="4" t="s">
        <v>969</v>
      </c>
      <c r="B701" s="3" t="s">
        <v>256</v>
      </c>
      <c r="C701" s="2">
        <v>12847</v>
      </c>
      <c r="D701" s="2">
        <v>1135</v>
      </c>
      <c r="F701" s="2">
        <v>91</v>
      </c>
      <c r="G701" s="2">
        <v>98</v>
      </c>
      <c r="H701" s="2">
        <v>121</v>
      </c>
      <c r="I701" s="2">
        <v>95</v>
      </c>
      <c r="J701" s="2">
        <v>61</v>
      </c>
      <c r="K701" s="2">
        <v>33</v>
      </c>
      <c r="L701" s="2">
        <v>71</v>
      </c>
      <c r="M701" s="2">
        <v>3950</v>
      </c>
      <c r="N701" s="2">
        <v>35</v>
      </c>
      <c r="O701" s="2">
        <v>89</v>
      </c>
      <c r="P701" s="2">
        <v>83</v>
      </c>
      <c r="Q701" s="2">
        <v>67</v>
      </c>
      <c r="R701" s="274">
        <v>367</v>
      </c>
      <c r="S701" s="253">
        <f xml:space="preserve"> 12</f>
        <v>12</v>
      </c>
      <c r="T701" s="254">
        <f>SUM( tabConsumo[[#This Row],[QTD.PENDENTE]]:tabConsumo[[#This Row],[07_23]] ) / tabConsumo[[#This Row],[Div]]</f>
        <v>399.5</v>
      </c>
      <c r="U701" s="255">
        <f xml:space="preserve"> tabConsumo[[#This Row],[Média.A]] + (_xlfn.STDEV.S( tabConsumo[[#This Row],[QTD.PENDENTE]]:tabConsumo[[#This Row],[07_23]] ) * 1)</f>
        <v>1517.9088941641401</v>
      </c>
      <c r="V701" s="255">
        <f xml:space="preserve"> tabConsumo[[#This Row],[Média.A]] + (_xlfn.STDEV.S( tabConsumo[[#This Row],[QTD.PENDENTE]]:tabConsumo[[#This Row],[07_23]] ) * 2)</f>
        <v>2636.3177883282801</v>
      </c>
      <c r="W701" s="255">
        <f xml:space="preserve"> tabConsumo[[#This Row],[Média.A]] + (_xlfn.STDEV.S( tabConsumo[[#This Row],[QTD.PENDENTE]]:tabConsumo[[#This Row],[07_23]] ) * 3)</f>
        <v>3754.72668249242</v>
      </c>
      <c r="X701" s="5">
        <f t="shared" si="23"/>
        <v>2</v>
      </c>
      <c r="Y701">
        <v>290</v>
      </c>
      <c r="Z701" s="257">
        <f>SUM( tabConsumo[[#This Row],[QTD.PENDENTE]]:tabConsumo[[#This Row],[07_23]] )</f>
        <v>4794</v>
      </c>
      <c r="AA701" s="257">
        <f>LARGE(tabConsumo[[#This Row],[08_22]:[07_23]],1)</f>
        <v>3950</v>
      </c>
      <c r="AB701" s="175" t="s">
        <v>2211</v>
      </c>
      <c r="AC701" s="3" t="s">
        <v>2064</v>
      </c>
    </row>
    <row r="702" spans="1:29" x14ac:dyDescent="0.3">
      <c r="A702" s="4" t="s">
        <v>1191</v>
      </c>
      <c r="B702" s="3" t="s">
        <v>256</v>
      </c>
      <c r="C702" s="2">
        <v>24204</v>
      </c>
      <c r="D702" s="2">
        <v>102</v>
      </c>
      <c r="F702" s="2">
        <v>59</v>
      </c>
      <c r="G702" s="2">
        <v>73</v>
      </c>
      <c r="H702" s="2">
        <v>49</v>
      </c>
      <c r="I702" s="2">
        <v>71</v>
      </c>
      <c r="J702" s="2">
        <v>51</v>
      </c>
      <c r="K702" s="2">
        <v>72</v>
      </c>
      <c r="L702" s="2">
        <v>53</v>
      </c>
      <c r="M702" s="2">
        <v>88</v>
      </c>
      <c r="N702" s="2">
        <v>100</v>
      </c>
      <c r="O702" s="2">
        <v>70</v>
      </c>
      <c r="P702" s="2">
        <v>70</v>
      </c>
      <c r="Q702" s="2">
        <v>51</v>
      </c>
      <c r="R702" s="274">
        <v>367</v>
      </c>
      <c r="S702" s="253">
        <f xml:space="preserve"> 12</f>
        <v>12</v>
      </c>
      <c r="T702" s="254">
        <f>SUM( tabConsumo[[#This Row],[QTD.PENDENTE]]:tabConsumo[[#This Row],[07_23]] ) / tabConsumo[[#This Row],[Div]]</f>
        <v>67.25</v>
      </c>
      <c r="U702" s="255">
        <f xml:space="preserve"> tabConsumo[[#This Row],[Média.A]] + (_xlfn.STDEV.S( tabConsumo[[#This Row],[QTD.PENDENTE]]:tabConsumo[[#This Row],[07_23]] ) * 1)</f>
        <v>82.975630497549361</v>
      </c>
      <c r="V702" s="255">
        <f xml:space="preserve"> tabConsumo[[#This Row],[Média.A]] + (_xlfn.STDEV.S( tabConsumo[[#This Row],[QTD.PENDENTE]]:tabConsumo[[#This Row],[07_23]] ) * 2)</f>
        <v>98.701260995098721</v>
      </c>
      <c r="W702" s="255">
        <f xml:space="preserve"> tabConsumo[[#This Row],[Média.A]] + (_xlfn.STDEV.S( tabConsumo[[#This Row],[QTD.PENDENTE]]:tabConsumo[[#This Row],[07_23]] ) * 3)</f>
        <v>114.42689149264808</v>
      </c>
      <c r="X702" s="5">
        <f t="shared" si="23"/>
        <v>2</v>
      </c>
      <c r="Y702">
        <v>67.083333333333329</v>
      </c>
      <c r="Z702" s="257">
        <f>SUM( tabConsumo[[#This Row],[QTD.PENDENTE]]:tabConsumo[[#This Row],[07_23]] )</f>
        <v>807</v>
      </c>
      <c r="AA702" s="257">
        <f>LARGE(tabConsumo[[#This Row],[08_22]:[07_23]],1)</f>
        <v>100</v>
      </c>
      <c r="AB702" s="175" t="s">
        <v>2211</v>
      </c>
      <c r="AC702" s="3" t="s">
        <v>2064</v>
      </c>
    </row>
    <row r="703" spans="1:29" x14ac:dyDescent="0.3">
      <c r="A703" s="4" t="s">
        <v>2020</v>
      </c>
      <c r="B703" s="3" t="s">
        <v>256</v>
      </c>
      <c r="C703" s="2">
        <v>141418</v>
      </c>
      <c r="D703" s="2">
        <v>960</v>
      </c>
      <c r="F703" s="2">
        <v>78</v>
      </c>
      <c r="G703" s="2">
        <v>60</v>
      </c>
      <c r="H703" s="2">
        <v>74</v>
      </c>
      <c r="I703" s="2">
        <v>37</v>
      </c>
      <c r="J703" s="2">
        <v>17</v>
      </c>
      <c r="K703" s="2">
        <v>64</v>
      </c>
      <c r="L703" s="2">
        <v>45</v>
      </c>
      <c r="M703" s="2">
        <v>78</v>
      </c>
      <c r="N703" s="2">
        <v>43</v>
      </c>
      <c r="O703" s="2">
        <v>48</v>
      </c>
      <c r="P703" s="2">
        <v>50</v>
      </c>
      <c r="Q703" s="2">
        <v>62</v>
      </c>
      <c r="R703" s="274">
        <v>44362</v>
      </c>
      <c r="S703" s="253">
        <v>12</v>
      </c>
      <c r="T703" s="254">
        <f>SUM( tabConsumo[[#This Row],[QTD.PENDENTE]]:tabConsumo[[#This Row],[07_23]] ) / tabConsumo[[#This Row],[Div]]</f>
        <v>54.666666666666664</v>
      </c>
      <c r="U703" s="255">
        <f xml:space="preserve"> tabConsumo[[#This Row],[Média.A]] + (_xlfn.STDEV.S( tabConsumo[[#This Row],[QTD.PENDENTE]]:tabConsumo[[#This Row],[07_23]] ) * 1)</f>
        <v>72.904157190476695</v>
      </c>
      <c r="V703" s="255">
        <f xml:space="preserve"> tabConsumo[[#This Row],[Média.A]] + (_xlfn.STDEV.S( tabConsumo[[#This Row],[QTD.PENDENTE]]:tabConsumo[[#This Row],[07_23]] ) * 2)</f>
        <v>91.141647714286705</v>
      </c>
      <c r="W703" s="255">
        <f xml:space="preserve"> tabConsumo[[#This Row],[Média.A]] + (_xlfn.STDEV.S( tabConsumo[[#This Row],[QTD.PENDENTE]]:tabConsumo[[#This Row],[07_23]] ) * 3)</f>
        <v>109.37913823809674</v>
      </c>
      <c r="X703" s="5">
        <f t="shared" si="23"/>
        <v>2</v>
      </c>
      <c r="Y703">
        <v>54.666666666666664</v>
      </c>
      <c r="Z703" s="257">
        <f>SUM( tabConsumo[[#This Row],[QTD.PENDENTE]]:tabConsumo[[#This Row],[07_23]] )</f>
        <v>656</v>
      </c>
      <c r="AA703" s="257">
        <f>LARGE(tabConsumo[[#This Row],[08_22]:[07_23]],1)</f>
        <v>78</v>
      </c>
      <c r="AB703" s="175" t="s">
        <v>2211</v>
      </c>
      <c r="AC703" s="3" t="s">
        <v>2064</v>
      </c>
    </row>
    <row r="704" spans="1:29" x14ac:dyDescent="0.3">
      <c r="A704" s="4" t="s">
        <v>1949</v>
      </c>
      <c r="B704" s="3" t="s">
        <v>625</v>
      </c>
      <c r="C704" s="2">
        <v>138352</v>
      </c>
      <c r="D704" s="2">
        <v>69</v>
      </c>
      <c r="F704" s="2">
        <v>12</v>
      </c>
      <c r="G704" s="2">
        <v>13</v>
      </c>
      <c r="H704" s="2">
        <v>7</v>
      </c>
      <c r="I704" s="2">
        <v>11</v>
      </c>
      <c r="J704" s="2">
        <v>10</v>
      </c>
      <c r="K704" s="2">
        <v>14</v>
      </c>
      <c r="L704" s="2">
        <v>13</v>
      </c>
      <c r="M704" s="2">
        <v>17</v>
      </c>
      <c r="N704" s="2">
        <v>2</v>
      </c>
      <c r="O704" s="2">
        <v>11</v>
      </c>
      <c r="P704" s="2">
        <v>14</v>
      </c>
      <c r="Q704" s="2">
        <v>2</v>
      </c>
      <c r="R704" s="274">
        <v>43696</v>
      </c>
      <c r="S704" s="253">
        <v>12</v>
      </c>
      <c r="T704" s="254">
        <f>SUM( tabConsumo[[#This Row],[QTD.PENDENTE]]:tabConsumo[[#This Row],[07_23]] ) / tabConsumo[[#This Row],[Div]]</f>
        <v>10.5</v>
      </c>
      <c r="U704" s="255">
        <f xml:space="preserve"> tabConsumo[[#This Row],[Média.A]] + (_xlfn.STDEV.S( tabConsumo[[#This Row],[QTD.PENDENTE]]:tabConsumo[[#This Row],[07_23]] ) * 1)</f>
        <v>15.161252270288825</v>
      </c>
      <c r="V704" s="255">
        <f xml:space="preserve"> tabConsumo[[#This Row],[Média.A]] + (_xlfn.STDEV.S( tabConsumo[[#This Row],[QTD.PENDENTE]]:tabConsumo[[#This Row],[07_23]] ) * 2)</f>
        <v>19.822504540577651</v>
      </c>
      <c r="W704" s="255">
        <f xml:space="preserve"> tabConsumo[[#This Row],[Média.A]] + (_xlfn.STDEV.S( tabConsumo[[#This Row],[QTD.PENDENTE]]:tabConsumo[[#This Row],[07_23]] ) * 3)</f>
        <v>24.483756810866474</v>
      </c>
      <c r="X704" s="5">
        <f t="shared" si="23"/>
        <v>2</v>
      </c>
      <c r="Y704">
        <v>10.5</v>
      </c>
      <c r="Z704" s="257">
        <f>SUM( tabConsumo[[#This Row],[QTD.PENDENTE]]:tabConsumo[[#This Row],[07_23]] )</f>
        <v>126</v>
      </c>
      <c r="AA704" s="257">
        <f>LARGE(tabConsumo[[#This Row],[08_22]:[07_23]],1)</f>
        <v>17</v>
      </c>
      <c r="AB704" s="175" t="s">
        <v>2211</v>
      </c>
      <c r="AC704" s="3" t="s">
        <v>2064</v>
      </c>
    </row>
    <row r="705" spans="1:29" x14ac:dyDescent="0.3">
      <c r="A705" s="4" t="s">
        <v>1520</v>
      </c>
      <c r="B705" s="3" t="s">
        <v>31</v>
      </c>
      <c r="C705" s="2">
        <v>91669</v>
      </c>
      <c r="D705" s="2">
        <v>2293</v>
      </c>
      <c r="F705" s="2">
        <v>499</v>
      </c>
      <c r="G705" s="2">
        <v>503</v>
      </c>
      <c r="H705" s="2">
        <v>488</v>
      </c>
      <c r="I705" s="2">
        <v>560</v>
      </c>
      <c r="J705" s="2">
        <v>328</v>
      </c>
      <c r="K705" s="2">
        <v>80</v>
      </c>
      <c r="L705" s="2">
        <v>411</v>
      </c>
      <c r="M705" s="2">
        <v>1256</v>
      </c>
      <c r="N705" s="2">
        <v>514</v>
      </c>
      <c r="O705" s="2">
        <v>626</v>
      </c>
      <c r="P705" s="2">
        <v>605</v>
      </c>
      <c r="Q705" s="2">
        <v>538</v>
      </c>
      <c r="R705" s="274">
        <v>38847</v>
      </c>
      <c r="S705" s="253">
        <v>12</v>
      </c>
      <c r="T705" s="254">
        <f>SUM( tabConsumo[[#This Row],[QTD.PENDENTE]]:tabConsumo[[#This Row],[07_23]] ) / tabConsumo[[#This Row],[Div]]</f>
        <v>534</v>
      </c>
      <c r="U705" s="255">
        <f xml:space="preserve"> tabConsumo[[#This Row],[Média.A]] + (_xlfn.STDEV.S( tabConsumo[[#This Row],[QTD.PENDENTE]]:tabConsumo[[#This Row],[07_23]] ) * 1)</f>
        <v>804.33043752886101</v>
      </c>
      <c r="V705" s="255">
        <f xml:space="preserve"> tabConsumo[[#This Row],[Média.A]] + (_xlfn.STDEV.S( tabConsumo[[#This Row],[QTD.PENDENTE]]:tabConsumo[[#This Row],[07_23]] ) * 2)</f>
        <v>1074.660875057722</v>
      </c>
      <c r="W705" s="255">
        <f xml:space="preserve"> tabConsumo[[#This Row],[Média.A]] + (_xlfn.STDEV.S( tabConsumo[[#This Row],[QTD.PENDENTE]]:tabConsumo[[#This Row],[07_23]] ) * 3)</f>
        <v>1344.9913125865833</v>
      </c>
      <c r="X705" s="5">
        <f t="shared" si="23"/>
        <v>2</v>
      </c>
      <c r="Y705">
        <v>518.83333333333337</v>
      </c>
      <c r="Z705" s="257">
        <f>SUM( tabConsumo[[#This Row],[QTD.PENDENTE]]:tabConsumo[[#This Row],[07_23]] )</f>
        <v>6408</v>
      </c>
      <c r="AA705" s="257">
        <f>LARGE(tabConsumo[[#This Row],[08_22]:[07_23]],1)</f>
        <v>1256</v>
      </c>
      <c r="AB705" s="175" t="s">
        <v>2211</v>
      </c>
      <c r="AC705" s="3" t="s">
        <v>2064</v>
      </c>
    </row>
    <row r="706" spans="1:29" x14ac:dyDescent="0.3">
      <c r="A706" s="4" t="s">
        <v>1658</v>
      </c>
      <c r="B706" s="3" t="s">
        <v>1659</v>
      </c>
      <c r="C706" s="2">
        <v>110578</v>
      </c>
      <c r="D706" s="2">
        <v>79</v>
      </c>
      <c r="F706" s="2">
        <v>12</v>
      </c>
      <c r="G706" s="2">
        <v>16</v>
      </c>
      <c r="H706" s="2">
        <v>14</v>
      </c>
      <c r="I706" s="2">
        <v>17</v>
      </c>
      <c r="J706" s="2">
        <v>25</v>
      </c>
      <c r="K706" s="2">
        <v>30</v>
      </c>
      <c r="L706" s="2">
        <v>18</v>
      </c>
      <c r="M706" s="2">
        <v>20</v>
      </c>
      <c r="N706" s="2">
        <v>24</v>
      </c>
      <c r="O706" s="2">
        <v>14</v>
      </c>
      <c r="P706" s="2">
        <v>16</v>
      </c>
      <c r="Q706" s="2">
        <v>18</v>
      </c>
      <c r="R706" s="274">
        <v>39916</v>
      </c>
      <c r="S706" s="253">
        <v>12</v>
      </c>
      <c r="T706" s="254">
        <f>SUM( tabConsumo[[#This Row],[QTD.PENDENTE]]:tabConsumo[[#This Row],[07_23]] ) / tabConsumo[[#This Row],[Div]]</f>
        <v>18.666666666666668</v>
      </c>
      <c r="U706" s="255">
        <f xml:space="preserve"> tabConsumo[[#This Row],[Média.A]] + (_xlfn.STDEV.S( tabConsumo[[#This Row],[QTD.PENDENTE]]:tabConsumo[[#This Row],[07_23]] ) * 1)</f>
        <v>23.929457722462985</v>
      </c>
      <c r="V706" s="255">
        <f xml:space="preserve"> tabConsumo[[#This Row],[Média.A]] + (_xlfn.STDEV.S( tabConsumo[[#This Row],[QTD.PENDENTE]]:tabConsumo[[#This Row],[07_23]] ) * 2)</f>
        <v>29.192248778259305</v>
      </c>
      <c r="W706" s="255">
        <f xml:space="preserve"> tabConsumo[[#This Row],[Média.A]] + (_xlfn.STDEV.S( tabConsumo[[#This Row],[QTD.PENDENTE]]:tabConsumo[[#This Row],[07_23]] ) * 3)</f>
        <v>34.455039834055626</v>
      </c>
      <c r="X706" s="5">
        <f t="shared" si="23"/>
        <v>2</v>
      </c>
      <c r="Y706">
        <v>18.583333333333332</v>
      </c>
      <c r="Z706" s="257">
        <f>SUM( tabConsumo[[#This Row],[QTD.PENDENTE]]:tabConsumo[[#This Row],[07_23]] )</f>
        <v>224</v>
      </c>
      <c r="AA706" s="257">
        <f>LARGE(tabConsumo[[#This Row],[08_22]:[07_23]],1)</f>
        <v>30</v>
      </c>
      <c r="AB706" s="175" t="s">
        <v>2211</v>
      </c>
      <c r="AC706" s="3" t="s">
        <v>2064</v>
      </c>
    </row>
    <row r="707" spans="1:29" x14ac:dyDescent="0.3">
      <c r="A707" s="4" t="s">
        <v>1479</v>
      </c>
      <c r="B707" s="3" t="s">
        <v>31</v>
      </c>
      <c r="C707" s="2">
        <v>83627</v>
      </c>
      <c r="D707" s="2">
        <v>63531</v>
      </c>
      <c r="E707" s="2">
        <v>400</v>
      </c>
      <c r="F707" s="2">
        <v>9250</v>
      </c>
      <c r="G707" s="2">
        <v>9171</v>
      </c>
      <c r="H707" s="2">
        <v>10044</v>
      </c>
      <c r="I707" s="2">
        <v>9430</v>
      </c>
      <c r="J707" s="2">
        <v>6880</v>
      </c>
      <c r="K707" s="2">
        <v>6400</v>
      </c>
      <c r="L707" s="2">
        <v>10742</v>
      </c>
      <c r="M707" s="2">
        <v>12121</v>
      </c>
      <c r="N707" s="2">
        <v>10265</v>
      </c>
      <c r="O707" s="2">
        <v>9276</v>
      </c>
      <c r="P707" s="2">
        <v>8680</v>
      </c>
      <c r="Q707" s="2">
        <v>7779</v>
      </c>
      <c r="R707" s="274">
        <v>38369</v>
      </c>
      <c r="S707" s="253">
        <v>12</v>
      </c>
      <c r="T707" s="254">
        <f>SUM( tabConsumo[[#This Row],[QTD.PENDENTE]]:tabConsumo[[#This Row],[07_23]] ) / tabConsumo[[#This Row],[Div]]</f>
        <v>9203.1666666666661</v>
      </c>
      <c r="U707" s="255">
        <f xml:space="preserve"> tabConsumo[[#This Row],[Média.A]] + (_xlfn.STDEV.S( tabConsumo[[#This Row],[QTD.PENDENTE]]:tabConsumo[[#This Row],[07_23]] ) * 1)</f>
        <v>12079.992584057976</v>
      </c>
      <c r="V707" s="255">
        <f xml:space="preserve"> tabConsumo[[#This Row],[Média.A]] + (_xlfn.STDEV.S( tabConsumo[[#This Row],[QTD.PENDENTE]]:tabConsumo[[#This Row],[07_23]] ) * 2)</f>
        <v>14956.818501449288</v>
      </c>
      <c r="W707" s="255">
        <f xml:space="preserve"> tabConsumo[[#This Row],[Média.A]] + (_xlfn.STDEV.S( tabConsumo[[#This Row],[QTD.PENDENTE]]:tabConsumo[[#This Row],[07_23]] ) * 3)</f>
        <v>17833.644418840599</v>
      </c>
      <c r="X707" s="5">
        <f t="shared" ref="X707:X770" si="26" xml:space="preserve"> 2</f>
        <v>2</v>
      </c>
      <c r="Y707">
        <v>9203.1666666666661</v>
      </c>
      <c r="Z707" s="257">
        <f>SUM( tabConsumo[[#This Row],[QTD.PENDENTE]]:tabConsumo[[#This Row],[07_23]] )</f>
        <v>110438</v>
      </c>
      <c r="AA707" s="257">
        <f>LARGE(tabConsumo[[#This Row],[08_22]:[07_23]],1)</f>
        <v>12121</v>
      </c>
      <c r="AB707" s="175" t="s">
        <v>2211</v>
      </c>
      <c r="AC707" s="3" t="s">
        <v>2064</v>
      </c>
    </row>
    <row r="708" spans="1:29" x14ac:dyDescent="0.3">
      <c r="A708" s="4" t="s">
        <v>887</v>
      </c>
      <c r="B708" s="3" t="s">
        <v>31</v>
      </c>
      <c r="C708" s="2">
        <v>9413</v>
      </c>
      <c r="D708" s="2">
        <v>9679</v>
      </c>
      <c r="F708" s="2">
        <v>1566</v>
      </c>
      <c r="G708" s="2">
        <v>1907</v>
      </c>
      <c r="H708" s="2">
        <v>1100</v>
      </c>
      <c r="I708" s="2">
        <v>2442</v>
      </c>
      <c r="J708" s="2">
        <v>1362</v>
      </c>
      <c r="K708" s="2">
        <v>1741</v>
      </c>
      <c r="L708" s="2">
        <v>2205</v>
      </c>
      <c r="M708" s="2">
        <v>1720</v>
      </c>
      <c r="N708" s="2">
        <v>2223</v>
      </c>
      <c r="O708" s="2">
        <v>1735</v>
      </c>
      <c r="P708" s="2">
        <v>1879</v>
      </c>
      <c r="Q708" s="2">
        <v>963</v>
      </c>
      <c r="R708" s="274">
        <v>367</v>
      </c>
      <c r="S708" s="253">
        <f xml:space="preserve"> 12</f>
        <v>12</v>
      </c>
      <c r="T708" s="254">
        <f>SUM( tabConsumo[[#This Row],[QTD.PENDENTE]]:tabConsumo[[#This Row],[07_23]] ) / tabConsumo[[#This Row],[Div]]</f>
        <v>1736.9166666666667</v>
      </c>
      <c r="U708" s="255">
        <f xml:space="preserve"> tabConsumo[[#This Row],[Média.A]] + (_xlfn.STDEV.S( tabConsumo[[#This Row],[QTD.PENDENTE]]:tabConsumo[[#This Row],[07_23]] ) * 1)</f>
        <v>2181.7178394768707</v>
      </c>
      <c r="V708" s="255">
        <f xml:space="preserve"> tabConsumo[[#This Row],[Média.A]] + (_xlfn.STDEV.S( tabConsumo[[#This Row],[QTD.PENDENTE]]:tabConsumo[[#This Row],[07_23]] ) * 2)</f>
        <v>2626.5190122870749</v>
      </c>
      <c r="W708" s="255">
        <f xml:space="preserve"> tabConsumo[[#This Row],[Média.A]] + (_xlfn.STDEV.S( tabConsumo[[#This Row],[QTD.PENDENTE]]:tabConsumo[[#This Row],[07_23]] ) * 3)</f>
        <v>3071.3201850972791</v>
      </c>
      <c r="X708" s="5">
        <f t="shared" si="26"/>
        <v>2</v>
      </c>
      <c r="Y708">
        <v>1736.9166666666667</v>
      </c>
      <c r="Z708" s="257">
        <f>SUM( tabConsumo[[#This Row],[QTD.PENDENTE]]:tabConsumo[[#This Row],[07_23]] )</f>
        <v>20843</v>
      </c>
      <c r="AA708" s="257">
        <f>LARGE(tabConsumo[[#This Row],[08_22]:[07_23]],1)</f>
        <v>2442</v>
      </c>
      <c r="AB708" s="175" t="s">
        <v>2211</v>
      </c>
      <c r="AC708" s="3" t="s">
        <v>2064</v>
      </c>
    </row>
    <row r="709" spans="1:29" x14ac:dyDescent="0.3">
      <c r="A709" s="4" t="s">
        <v>1839</v>
      </c>
      <c r="B709" s="3" t="s">
        <v>31</v>
      </c>
      <c r="C709" s="2">
        <v>133191</v>
      </c>
      <c r="D709" s="2">
        <v>185715</v>
      </c>
      <c r="F709" s="2">
        <v>3090</v>
      </c>
      <c r="G709" s="2">
        <v>2930</v>
      </c>
      <c r="H709" s="2">
        <v>73035</v>
      </c>
      <c r="I709" s="2">
        <v>3862</v>
      </c>
      <c r="J709" s="2">
        <v>246270</v>
      </c>
      <c r="K709" s="2">
        <v>720</v>
      </c>
      <c r="L709" s="2">
        <v>1910</v>
      </c>
      <c r="M709" s="2">
        <v>4440</v>
      </c>
      <c r="N709" s="2">
        <v>2500</v>
      </c>
      <c r="O709" s="2">
        <v>3180</v>
      </c>
      <c r="P709" s="2">
        <v>2780</v>
      </c>
      <c r="Q709" s="2">
        <v>2470</v>
      </c>
      <c r="R709" s="274">
        <v>42968</v>
      </c>
      <c r="S709" s="253">
        <v>12</v>
      </c>
      <c r="T709" s="254">
        <f>SUM( tabConsumo[[#This Row],[QTD.PENDENTE]]:tabConsumo[[#This Row],[07_23]] ) / tabConsumo[[#This Row],[Div]]</f>
        <v>28932.25</v>
      </c>
      <c r="U709" s="255">
        <f xml:space="preserve"> tabConsumo[[#This Row],[Média.A]] + (_xlfn.STDEV.S( tabConsumo[[#This Row],[QTD.PENDENTE]]:tabConsumo[[#This Row],[07_23]] ) * 1)</f>
        <v>100298.93619833639</v>
      </c>
      <c r="V709" s="255">
        <f xml:space="preserve"> tabConsumo[[#This Row],[Média.A]] + (_xlfn.STDEV.S( tabConsumo[[#This Row],[QTD.PENDENTE]]:tabConsumo[[#This Row],[07_23]] ) * 2)</f>
        <v>171665.62239667278</v>
      </c>
      <c r="W709" s="255">
        <f xml:space="preserve"> tabConsumo[[#This Row],[Média.A]] + (_xlfn.STDEV.S( tabConsumo[[#This Row],[QTD.PENDENTE]]:tabConsumo[[#This Row],[07_23]] ) * 3)</f>
        <v>243032.30859500918</v>
      </c>
      <c r="X709" s="5">
        <f t="shared" si="26"/>
        <v>2</v>
      </c>
      <c r="Y709">
        <v>22715.166666666668</v>
      </c>
      <c r="Z709" s="257">
        <f>SUM( tabConsumo[[#This Row],[QTD.PENDENTE]]:tabConsumo[[#This Row],[07_23]] )</f>
        <v>347187</v>
      </c>
      <c r="AA709" s="257">
        <f>LARGE(tabConsumo[[#This Row],[08_22]:[07_23]],1)</f>
        <v>246270</v>
      </c>
      <c r="AB709" s="175" t="s">
        <v>2211</v>
      </c>
      <c r="AC709" s="3" t="s">
        <v>2064</v>
      </c>
    </row>
    <row r="710" spans="1:29" x14ac:dyDescent="0.3">
      <c r="A710" s="4" t="s">
        <v>1054</v>
      </c>
      <c r="B710" s="3" t="s">
        <v>31</v>
      </c>
      <c r="C710" s="2">
        <v>14121</v>
      </c>
      <c r="D710" s="2">
        <v>5883</v>
      </c>
      <c r="F710" s="2">
        <v>330</v>
      </c>
      <c r="G710" s="2">
        <v>510</v>
      </c>
      <c r="H710" s="2">
        <v>180</v>
      </c>
      <c r="I710" s="2">
        <v>590</v>
      </c>
      <c r="J710" s="2">
        <v>480</v>
      </c>
      <c r="K710" s="2">
        <v>681</v>
      </c>
      <c r="L710" s="2">
        <v>760</v>
      </c>
      <c r="M710" s="2">
        <v>520</v>
      </c>
      <c r="N710" s="2">
        <v>691</v>
      </c>
      <c r="O710" s="2">
        <v>531</v>
      </c>
      <c r="P710" s="2">
        <v>762</v>
      </c>
      <c r="Q710" s="2">
        <v>50</v>
      </c>
      <c r="R710" s="274">
        <v>367</v>
      </c>
      <c r="S710" s="253">
        <f xml:space="preserve"> 12</f>
        <v>12</v>
      </c>
      <c r="T710" s="254">
        <f>SUM( tabConsumo[[#This Row],[QTD.PENDENTE]]:tabConsumo[[#This Row],[07_23]] ) / tabConsumo[[#This Row],[Div]]</f>
        <v>507.08333333333331</v>
      </c>
      <c r="U710" s="255">
        <f xml:space="preserve"> tabConsumo[[#This Row],[Média.A]] + (_xlfn.STDEV.S( tabConsumo[[#This Row],[QTD.PENDENTE]]:tabConsumo[[#This Row],[07_23]] ) * 1)</f>
        <v>730.41450134635511</v>
      </c>
      <c r="V710" s="255">
        <f xml:space="preserve"> tabConsumo[[#This Row],[Média.A]] + (_xlfn.STDEV.S( tabConsumo[[#This Row],[QTD.PENDENTE]]:tabConsumo[[#This Row],[07_23]] ) * 2)</f>
        <v>953.74566935937696</v>
      </c>
      <c r="W710" s="255">
        <f xml:space="preserve"> tabConsumo[[#This Row],[Média.A]] + (_xlfn.STDEV.S( tabConsumo[[#This Row],[QTD.PENDENTE]]:tabConsumo[[#This Row],[07_23]] ) * 3)</f>
        <v>1177.0768373723988</v>
      </c>
      <c r="X710" s="5">
        <f t="shared" si="26"/>
        <v>2</v>
      </c>
      <c r="Y710">
        <v>507.08333333333331</v>
      </c>
      <c r="Z710" s="257">
        <f>SUM( tabConsumo[[#This Row],[QTD.PENDENTE]]:tabConsumo[[#This Row],[07_23]] )</f>
        <v>6085</v>
      </c>
      <c r="AA710" s="257">
        <f>LARGE(tabConsumo[[#This Row],[08_22]:[07_23]],1)</f>
        <v>762</v>
      </c>
      <c r="AB710" s="175" t="s">
        <v>2211</v>
      </c>
      <c r="AC710" s="3" t="s">
        <v>2064</v>
      </c>
    </row>
    <row r="711" spans="1:29" x14ac:dyDescent="0.3">
      <c r="A711" s="4" t="s">
        <v>1653</v>
      </c>
      <c r="B711" s="3" t="s">
        <v>31</v>
      </c>
      <c r="C711" s="2">
        <v>109251</v>
      </c>
      <c r="D711" s="2">
        <v>386</v>
      </c>
      <c r="F711" s="2">
        <v>3</v>
      </c>
      <c r="G711" s="2">
        <v>0</v>
      </c>
      <c r="H711" s="2">
        <v>0</v>
      </c>
      <c r="I711" s="2">
        <v>0</v>
      </c>
      <c r="J711" s="2">
        <v>0</v>
      </c>
      <c r="K711" s="2">
        <v>0</v>
      </c>
      <c r="L711" s="2">
        <v>0</v>
      </c>
      <c r="M711" s="2">
        <v>0</v>
      </c>
      <c r="N711" s="2">
        <v>0</v>
      </c>
      <c r="O711" s="2">
        <v>0</v>
      </c>
      <c r="P711" s="2">
        <v>0</v>
      </c>
      <c r="Q711" s="2">
        <v>0</v>
      </c>
      <c r="R711" s="274">
        <v>39832</v>
      </c>
      <c r="S711" s="253">
        <v>12</v>
      </c>
      <c r="T711" s="254">
        <f>SUM( tabConsumo[[#This Row],[QTD.PENDENTE]]:tabConsumo[[#This Row],[07_23]] ) / tabConsumo[[#This Row],[Div]]</f>
        <v>0.25</v>
      </c>
      <c r="U711" s="255">
        <f xml:space="preserve"> tabConsumo[[#This Row],[Média.A]] + (_xlfn.STDEV.S( tabConsumo[[#This Row],[QTD.PENDENTE]]:tabConsumo[[#This Row],[07_23]] ) * 1)</f>
        <v>1.1160254037844386</v>
      </c>
      <c r="V711" s="255">
        <f xml:space="preserve"> tabConsumo[[#This Row],[Média.A]] + (_xlfn.STDEV.S( tabConsumo[[#This Row],[QTD.PENDENTE]]:tabConsumo[[#This Row],[07_23]] ) * 2)</f>
        <v>1.9820508075688772</v>
      </c>
      <c r="W711" s="255">
        <f xml:space="preserve"> tabConsumo[[#This Row],[Média.A]] + (_xlfn.STDEV.S( tabConsumo[[#This Row],[QTD.PENDENTE]]:tabConsumo[[#This Row],[07_23]] ) * 3)</f>
        <v>2.848076211353316</v>
      </c>
      <c r="X711" s="5">
        <f t="shared" si="26"/>
        <v>2</v>
      </c>
      <c r="Y711">
        <v>8.3333333333333329E-2</v>
      </c>
      <c r="Z711" s="257">
        <f>SUM( tabConsumo[[#This Row],[QTD.PENDENTE]]:tabConsumo[[#This Row],[07_23]] )</f>
        <v>3</v>
      </c>
      <c r="AA711" s="257">
        <f>LARGE(tabConsumo[[#This Row],[08_22]:[07_23]],1)</f>
        <v>3</v>
      </c>
      <c r="AB711" s="175" t="s">
        <v>2218</v>
      </c>
      <c r="AC711" s="3" t="s">
        <v>2064</v>
      </c>
    </row>
    <row r="712" spans="1:29" x14ac:dyDescent="0.3">
      <c r="A712" s="4" t="s">
        <v>1460</v>
      </c>
      <c r="B712" s="3" t="s">
        <v>268</v>
      </c>
      <c r="C712" s="2">
        <v>81152</v>
      </c>
      <c r="D712" s="2">
        <v>612</v>
      </c>
      <c r="F712" s="2">
        <v>1</v>
      </c>
      <c r="G712" s="2">
        <v>1</v>
      </c>
      <c r="H712" s="2">
        <v>0</v>
      </c>
      <c r="I712" s="2">
        <v>1</v>
      </c>
      <c r="J712" s="2">
        <v>4</v>
      </c>
      <c r="K712" s="2">
        <v>3</v>
      </c>
      <c r="L712" s="2">
        <v>0</v>
      </c>
      <c r="M712" s="2">
        <v>1</v>
      </c>
      <c r="N712" s="2">
        <v>1</v>
      </c>
      <c r="O712" s="2">
        <v>1</v>
      </c>
      <c r="P712" s="2">
        <v>1</v>
      </c>
      <c r="Q712" s="2">
        <v>1</v>
      </c>
      <c r="R712" s="274">
        <v>38208</v>
      </c>
      <c r="S712" s="253">
        <v>12</v>
      </c>
      <c r="T712" s="254">
        <f>SUM( tabConsumo[[#This Row],[QTD.PENDENTE]]:tabConsumo[[#This Row],[07_23]] ) / tabConsumo[[#This Row],[Div]]</f>
        <v>1.25</v>
      </c>
      <c r="U712" s="255">
        <f xml:space="preserve"> tabConsumo[[#This Row],[Média.A]] + (_xlfn.STDEV.S( tabConsumo[[#This Row],[QTD.PENDENTE]]:tabConsumo[[#This Row],[07_23]] ) * 1)</f>
        <v>2.3881803659589922</v>
      </c>
      <c r="V712" s="255">
        <f xml:space="preserve"> tabConsumo[[#This Row],[Média.A]] + (_xlfn.STDEV.S( tabConsumo[[#This Row],[QTD.PENDENTE]]:tabConsumo[[#This Row],[07_23]] ) * 2)</f>
        <v>3.5263607319179844</v>
      </c>
      <c r="W712" s="255">
        <f xml:space="preserve"> tabConsumo[[#This Row],[Média.A]] + (_xlfn.STDEV.S( tabConsumo[[#This Row],[QTD.PENDENTE]]:tabConsumo[[#This Row],[07_23]] ) * 3)</f>
        <v>4.6645410978769766</v>
      </c>
      <c r="X712" s="5">
        <f t="shared" si="26"/>
        <v>2</v>
      </c>
      <c r="Y712">
        <v>1.1666666666666667</v>
      </c>
      <c r="Z712" s="257">
        <f>SUM( tabConsumo[[#This Row],[QTD.PENDENTE]]:tabConsumo[[#This Row],[07_23]] )</f>
        <v>15</v>
      </c>
      <c r="AA712" s="257">
        <f>LARGE(tabConsumo[[#This Row],[08_22]:[07_23]],1)</f>
        <v>4</v>
      </c>
      <c r="AB712" s="175" t="s">
        <v>2211</v>
      </c>
      <c r="AC712" s="3" t="s">
        <v>2064</v>
      </c>
    </row>
    <row r="713" spans="1:29" x14ac:dyDescent="0.3">
      <c r="A713" s="4" t="s">
        <v>1565</v>
      </c>
      <c r="B713" s="3" t="s">
        <v>400</v>
      </c>
      <c r="C713" s="2">
        <v>100907</v>
      </c>
      <c r="D713" s="2">
        <v>121</v>
      </c>
      <c r="F713" s="2">
        <v>10</v>
      </c>
      <c r="G713" s="2">
        <v>10</v>
      </c>
      <c r="H713" s="2">
        <v>0</v>
      </c>
      <c r="I713" s="2">
        <v>20</v>
      </c>
      <c r="J713" s="2">
        <v>7</v>
      </c>
      <c r="K713" s="2">
        <v>13</v>
      </c>
      <c r="L713" s="2">
        <v>19</v>
      </c>
      <c r="M713" s="2">
        <v>11</v>
      </c>
      <c r="N713" s="2">
        <v>16</v>
      </c>
      <c r="O713" s="2">
        <v>13</v>
      </c>
      <c r="P713" s="2">
        <v>7</v>
      </c>
      <c r="Q713" s="2">
        <v>7</v>
      </c>
      <c r="R713" s="274">
        <v>39281</v>
      </c>
      <c r="S713" s="253">
        <v>12</v>
      </c>
      <c r="T713" s="254">
        <f>SUM( tabConsumo[[#This Row],[QTD.PENDENTE]]:tabConsumo[[#This Row],[07_23]] ) / tabConsumo[[#This Row],[Div]]</f>
        <v>11.083333333333334</v>
      </c>
      <c r="U713" s="255">
        <f xml:space="preserve"> tabConsumo[[#This Row],[Média.A]] + (_xlfn.STDEV.S( tabConsumo[[#This Row],[QTD.PENDENTE]]:tabConsumo[[#This Row],[07_23]] ) * 1)</f>
        <v>16.715357567096625</v>
      </c>
      <c r="V713" s="255">
        <f xml:space="preserve"> tabConsumo[[#This Row],[Média.A]] + (_xlfn.STDEV.S( tabConsumo[[#This Row],[QTD.PENDENTE]]:tabConsumo[[#This Row],[07_23]] ) * 2)</f>
        <v>22.347381800859914</v>
      </c>
      <c r="W713" s="255">
        <f xml:space="preserve"> tabConsumo[[#This Row],[Média.A]] + (_xlfn.STDEV.S( tabConsumo[[#This Row],[QTD.PENDENTE]]:tabConsumo[[#This Row],[07_23]] ) * 3)</f>
        <v>27.979406034623203</v>
      </c>
      <c r="X713" s="5">
        <f t="shared" si="26"/>
        <v>2</v>
      </c>
      <c r="Y713">
        <v>11.083333333333334</v>
      </c>
      <c r="Z713" s="257">
        <f>SUM( tabConsumo[[#This Row],[QTD.PENDENTE]]:tabConsumo[[#This Row],[07_23]] )</f>
        <v>133</v>
      </c>
      <c r="AA713" s="257">
        <f>LARGE(tabConsumo[[#This Row],[08_22]:[07_23]],1)</f>
        <v>20</v>
      </c>
      <c r="AB713" s="175" t="s">
        <v>2211</v>
      </c>
      <c r="AC713" s="3" t="s">
        <v>2064</v>
      </c>
    </row>
    <row r="714" spans="1:29" x14ac:dyDescent="0.3">
      <c r="A714" s="4" t="s">
        <v>1311</v>
      </c>
      <c r="B714" s="3" t="s">
        <v>256</v>
      </c>
      <c r="C714" s="2">
        <v>54019</v>
      </c>
      <c r="D714" s="2">
        <v>515</v>
      </c>
      <c r="F714" s="2">
        <v>0</v>
      </c>
      <c r="G714" s="2">
        <v>24</v>
      </c>
      <c r="H714" s="2">
        <v>40</v>
      </c>
      <c r="I714" s="2">
        <v>90</v>
      </c>
      <c r="J714" s="2">
        <v>20</v>
      </c>
      <c r="K714" s="2">
        <v>105</v>
      </c>
      <c r="L714" s="2">
        <v>64</v>
      </c>
      <c r="M714" s="2">
        <v>4</v>
      </c>
      <c r="N714" s="2">
        <v>35</v>
      </c>
      <c r="O714" s="2">
        <v>0</v>
      </c>
      <c r="P714" s="2">
        <v>10</v>
      </c>
      <c r="Q714" s="2">
        <v>0</v>
      </c>
      <c r="R714" s="274">
        <v>367</v>
      </c>
      <c r="S714" s="253">
        <f xml:space="preserve"> 12</f>
        <v>12</v>
      </c>
      <c r="T714" s="254">
        <f>SUM( tabConsumo[[#This Row],[QTD.PENDENTE]]:tabConsumo[[#This Row],[07_23]] ) / tabConsumo[[#This Row],[Div]]</f>
        <v>32.666666666666664</v>
      </c>
      <c r="U714" s="255">
        <f xml:space="preserve"> tabConsumo[[#This Row],[Média.A]] + (_xlfn.STDEV.S( tabConsumo[[#This Row],[QTD.PENDENTE]]:tabConsumo[[#This Row],[07_23]] ) * 1)</f>
        <v>68.763338216405117</v>
      </c>
      <c r="V714" s="255">
        <f xml:space="preserve"> tabConsumo[[#This Row],[Média.A]] + (_xlfn.STDEV.S( tabConsumo[[#This Row],[QTD.PENDENTE]]:tabConsumo[[#This Row],[07_23]] ) * 2)</f>
        <v>104.86000976614355</v>
      </c>
      <c r="W714" s="255">
        <f xml:space="preserve"> tabConsumo[[#This Row],[Média.A]] + (_xlfn.STDEV.S( tabConsumo[[#This Row],[QTD.PENDENTE]]:tabConsumo[[#This Row],[07_23]] ) * 3)</f>
        <v>140.95668131588201</v>
      </c>
      <c r="X714" s="5">
        <f t="shared" si="26"/>
        <v>2</v>
      </c>
      <c r="Y714">
        <v>32.583333333333336</v>
      </c>
      <c r="Z714" s="257">
        <f>SUM( tabConsumo[[#This Row],[QTD.PENDENTE]]:tabConsumo[[#This Row],[07_23]] )</f>
        <v>392</v>
      </c>
      <c r="AA714" s="257">
        <f>LARGE(tabConsumo[[#This Row],[08_22]:[07_23]],1)</f>
        <v>105</v>
      </c>
      <c r="AB714" s="175" t="s">
        <v>2212</v>
      </c>
      <c r="AC714" s="3" t="s">
        <v>2064</v>
      </c>
    </row>
    <row r="715" spans="1:29" x14ac:dyDescent="0.3">
      <c r="A715" s="4" t="s">
        <v>1645</v>
      </c>
      <c r="B715" s="3" t="s">
        <v>256</v>
      </c>
      <c r="C715" s="2">
        <v>107926</v>
      </c>
      <c r="D715" s="2">
        <v>4424</v>
      </c>
      <c r="F715" s="2">
        <v>200</v>
      </c>
      <c r="G715" s="2">
        <v>200</v>
      </c>
      <c r="H715" s="2">
        <v>500</v>
      </c>
      <c r="I715" s="2">
        <v>2060</v>
      </c>
      <c r="J715" s="2">
        <v>0</v>
      </c>
      <c r="K715" s="2">
        <v>0</v>
      </c>
      <c r="L715" s="2">
        <v>0</v>
      </c>
      <c r="M715" s="2">
        <v>0</v>
      </c>
      <c r="N715" s="2">
        <v>500</v>
      </c>
      <c r="O715" s="2">
        <v>0</v>
      </c>
      <c r="P715" s="2">
        <v>16</v>
      </c>
      <c r="Q715" s="2">
        <v>0</v>
      </c>
      <c r="R715" s="274">
        <v>39710</v>
      </c>
      <c r="S715" s="253">
        <v>12</v>
      </c>
      <c r="T715" s="254">
        <f>SUM( tabConsumo[[#This Row],[QTD.PENDENTE]]:tabConsumo[[#This Row],[07_23]] ) / tabConsumo[[#This Row],[Div]]</f>
        <v>289.66666666666669</v>
      </c>
      <c r="U715" s="255">
        <f xml:space="preserve"> tabConsumo[[#This Row],[Média.A]] + (_xlfn.STDEV.S( tabConsumo[[#This Row],[QTD.PENDENTE]]:tabConsumo[[#This Row],[07_23]] ) * 1)</f>
        <v>878.73177085269549</v>
      </c>
      <c r="V715" s="255">
        <f xml:space="preserve"> tabConsumo[[#This Row],[Média.A]] + (_xlfn.STDEV.S( tabConsumo[[#This Row],[QTD.PENDENTE]]:tabConsumo[[#This Row],[07_23]] ) * 2)</f>
        <v>1467.7968750387242</v>
      </c>
      <c r="W715" s="255">
        <f xml:space="preserve"> tabConsumo[[#This Row],[Média.A]] + (_xlfn.STDEV.S( tabConsumo[[#This Row],[QTD.PENDENTE]]:tabConsumo[[#This Row],[07_23]] ) * 3)</f>
        <v>2056.8619792247528</v>
      </c>
      <c r="X715" s="5">
        <f t="shared" si="26"/>
        <v>2</v>
      </c>
      <c r="Y715">
        <v>240.25</v>
      </c>
      <c r="Z715" s="257">
        <f>SUM( tabConsumo[[#This Row],[QTD.PENDENTE]]:tabConsumo[[#This Row],[07_23]] )</f>
        <v>3476</v>
      </c>
      <c r="AA715" s="257">
        <f>LARGE(tabConsumo[[#This Row],[08_22]:[07_23]],1)</f>
        <v>2060</v>
      </c>
      <c r="AB715" s="175" t="s">
        <v>2212</v>
      </c>
      <c r="AC715" s="3" t="s">
        <v>2064</v>
      </c>
    </row>
    <row r="716" spans="1:29" x14ac:dyDescent="0.3">
      <c r="A716" s="4" t="s">
        <v>1382</v>
      </c>
      <c r="B716" s="3" t="s">
        <v>256</v>
      </c>
      <c r="C716" s="2">
        <v>64646</v>
      </c>
      <c r="D716" s="2">
        <v>580</v>
      </c>
      <c r="F716" s="2">
        <v>0</v>
      </c>
      <c r="G716" s="2">
        <v>0</v>
      </c>
      <c r="H716" s="2">
        <v>0</v>
      </c>
      <c r="I716" s="2">
        <v>0</v>
      </c>
      <c r="J716" s="2">
        <v>40</v>
      </c>
      <c r="K716" s="2">
        <v>120</v>
      </c>
      <c r="L716" s="2">
        <v>0</v>
      </c>
      <c r="M716" s="2">
        <v>0</v>
      </c>
      <c r="N716" s="2">
        <v>500</v>
      </c>
      <c r="O716" s="2">
        <v>0</v>
      </c>
      <c r="P716" s="2">
        <v>0</v>
      </c>
      <c r="Q716" s="2">
        <v>0</v>
      </c>
      <c r="R716" s="274">
        <v>367</v>
      </c>
      <c r="S716" s="253">
        <f xml:space="preserve"> 12</f>
        <v>12</v>
      </c>
      <c r="T716" s="254">
        <f>SUM( tabConsumo[[#This Row],[QTD.PENDENTE]]:tabConsumo[[#This Row],[07_23]] ) / tabConsumo[[#This Row],[Div]]</f>
        <v>55</v>
      </c>
      <c r="U716" s="255">
        <f xml:space="preserve"> tabConsumo[[#This Row],[Média.A]] + (_xlfn.STDEV.S( tabConsumo[[#This Row],[QTD.PENDENTE]]:tabConsumo[[#This Row],[07_23]] ) * 1)</f>
        <v>199.50542613278637</v>
      </c>
      <c r="V716" s="255">
        <f xml:space="preserve"> tabConsumo[[#This Row],[Média.A]] + (_xlfn.STDEV.S( tabConsumo[[#This Row],[QTD.PENDENTE]]:tabConsumo[[#This Row],[07_23]] ) * 2)</f>
        <v>344.01085226557274</v>
      </c>
      <c r="W716" s="255">
        <f xml:space="preserve"> tabConsumo[[#This Row],[Média.A]] + (_xlfn.STDEV.S( tabConsumo[[#This Row],[QTD.PENDENTE]]:tabConsumo[[#This Row],[07_23]] ) * 3)</f>
        <v>488.51627839835908</v>
      </c>
      <c r="X716" s="5">
        <f t="shared" si="26"/>
        <v>2</v>
      </c>
      <c r="Y716">
        <v>42</v>
      </c>
      <c r="Z716" s="257">
        <f>SUM( tabConsumo[[#This Row],[QTD.PENDENTE]]:tabConsumo[[#This Row],[07_23]] )</f>
        <v>660</v>
      </c>
      <c r="AA716" s="257">
        <f>LARGE(tabConsumo[[#This Row],[08_22]:[07_23]],1)</f>
        <v>500</v>
      </c>
      <c r="AB716" s="175" t="s">
        <v>2213</v>
      </c>
      <c r="AC716" s="3" t="s">
        <v>2064</v>
      </c>
    </row>
    <row r="717" spans="1:29" x14ac:dyDescent="0.3">
      <c r="A717" s="4" t="s">
        <v>1741</v>
      </c>
      <c r="B717" s="3" t="s">
        <v>31</v>
      </c>
      <c r="C717" s="2">
        <v>121126</v>
      </c>
      <c r="D717" s="2">
        <v>0</v>
      </c>
      <c r="E717" s="2">
        <v>14776</v>
      </c>
      <c r="F717" s="2">
        <v>16000</v>
      </c>
      <c r="G717" s="2">
        <v>13400</v>
      </c>
      <c r="H717" s="2">
        <v>14950</v>
      </c>
      <c r="I717" s="2">
        <v>14151</v>
      </c>
      <c r="J717" s="2">
        <v>4599</v>
      </c>
      <c r="K717" s="2">
        <v>800</v>
      </c>
      <c r="L717" s="2">
        <v>8</v>
      </c>
      <c r="M717" s="2">
        <v>0</v>
      </c>
      <c r="N717" s="2">
        <v>0</v>
      </c>
      <c r="O717" s="2">
        <v>0</v>
      </c>
      <c r="P717" s="2">
        <v>0</v>
      </c>
      <c r="Q717" s="2">
        <v>0</v>
      </c>
      <c r="R717" s="274">
        <v>40814</v>
      </c>
      <c r="S717" s="253">
        <v>12</v>
      </c>
      <c r="T717" s="254">
        <f>SUM( tabConsumo[[#This Row],[QTD.PENDENTE]]:tabConsumo[[#This Row],[07_23]] ) / tabConsumo[[#This Row],[Div]]</f>
        <v>6557</v>
      </c>
      <c r="U717" s="255">
        <f xml:space="preserve"> tabConsumo[[#This Row],[Média.A]] + (_xlfn.STDEV.S( tabConsumo[[#This Row],[QTD.PENDENTE]]:tabConsumo[[#This Row],[07_23]] ) * 1)</f>
        <v>13763.422789642371</v>
      </c>
      <c r="V717" s="255">
        <f xml:space="preserve"> tabConsumo[[#This Row],[Média.A]] + (_xlfn.STDEV.S( tabConsumo[[#This Row],[QTD.PENDENTE]]:tabConsumo[[#This Row],[07_23]] ) * 2)</f>
        <v>20969.845579284742</v>
      </c>
      <c r="W717" s="255">
        <f xml:space="preserve"> tabConsumo[[#This Row],[Média.A]] + (_xlfn.STDEV.S( tabConsumo[[#This Row],[QTD.PENDENTE]]:tabConsumo[[#This Row],[07_23]] ) * 3)</f>
        <v>28176.268368927114</v>
      </c>
      <c r="X717" s="5">
        <f t="shared" si="26"/>
        <v>2</v>
      </c>
      <c r="Y717">
        <v>6557</v>
      </c>
      <c r="Z717" s="257">
        <f>SUM( tabConsumo[[#This Row],[QTD.PENDENTE]]:tabConsumo[[#This Row],[07_23]] )</f>
        <v>78684</v>
      </c>
      <c r="AA717" s="257">
        <f>LARGE(tabConsumo[[#This Row],[08_22]:[07_23]],1)</f>
        <v>16000</v>
      </c>
      <c r="AB717" s="175" t="s">
        <v>2221</v>
      </c>
      <c r="AC717" s="3" t="s">
        <v>2064</v>
      </c>
    </row>
    <row r="718" spans="1:29" x14ac:dyDescent="0.3">
      <c r="A718" s="4" t="s">
        <v>1421</v>
      </c>
      <c r="B718" s="3" t="s">
        <v>256</v>
      </c>
      <c r="C718" s="2">
        <v>77562</v>
      </c>
      <c r="D718" s="2">
        <v>431</v>
      </c>
      <c r="E718" s="2">
        <v>183</v>
      </c>
      <c r="F718" s="2">
        <v>564</v>
      </c>
      <c r="G718" s="2">
        <v>985</v>
      </c>
      <c r="H718" s="2">
        <v>499</v>
      </c>
      <c r="I718" s="2">
        <v>481</v>
      </c>
      <c r="J718" s="2">
        <v>281</v>
      </c>
      <c r="K718" s="2">
        <v>633</v>
      </c>
      <c r="L718" s="2">
        <v>100</v>
      </c>
      <c r="M718" s="2">
        <v>559</v>
      </c>
      <c r="N718" s="2">
        <v>220</v>
      </c>
      <c r="O718" s="2">
        <v>865</v>
      </c>
      <c r="P718" s="2">
        <v>90</v>
      </c>
      <c r="Q718" s="2">
        <v>370</v>
      </c>
      <c r="R718" s="274">
        <v>38056</v>
      </c>
      <c r="S718" s="253">
        <v>12</v>
      </c>
      <c r="T718" s="254">
        <f>SUM( tabConsumo[[#This Row],[QTD.PENDENTE]]:tabConsumo[[#This Row],[07_23]] ) / tabConsumo[[#This Row],[Div]]</f>
        <v>485.83333333333331</v>
      </c>
      <c r="U718" s="255">
        <f xml:space="preserve"> tabConsumo[[#This Row],[Média.A]] + (_xlfn.STDEV.S( tabConsumo[[#This Row],[QTD.PENDENTE]]:tabConsumo[[#This Row],[07_23]] ) * 1)</f>
        <v>764.43059803174333</v>
      </c>
      <c r="V718" s="255">
        <f xml:space="preserve"> tabConsumo[[#This Row],[Média.A]] + (_xlfn.STDEV.S( tabConsumo[[#This Row],[QTD.PENDENTE]]:tabConsumo[[#This Row],[07_23]] ) * 2)</f>
        <v>1043.0278627301534</v>
      </c>
      <c r="W718" s="255">
        <f xml:space="preserve"> tabConsumo[[#This Row],[Média.A]] + (_xlfn.STDEV.S( tabConsumo[[#This Row],[QTD.PENDENTE]]:tabConsumo[[#This Row],[07_23]] ) * 3)</f>
        <v>1321.6251274285632</v>
      </c>
      <c r="X718" s="5">
        <f t="shared" si="26"/>
        <v>2</v>
      </c>
      <c r="Y718">
        <v>485.83333333333331</v>
      </c>
      <c r="Z718" s="257">
        <f>SUM( tabConsumo[[#This Row],[QTD.PENDENTE]]:tabConsumo[[#This Row],[07_23]] )</f>
        <v>5830</v>
      </c>
      <c r="AA718" s="257">
        <f>LARGE(tabConsumo[[#This Row],[08_22]:[07_23]],1)</f>
        <v>985</v>
      </c>
      <c r="AB718" s="175" t="s">
        <v>2211</v>
      </c>
      <c r="AC718" s="3" t="s">
        <v>2064</v>
      </c>
    </row>
    <row r="719" spans="1:29" x14ac:dyDescent="0.3">
      <c r="A719" s="4" t="s">
        <v>1508</v>
      </c>
      <c r="B719" s="3" t="s">
        <v>273</v>
      </c>
      <c r="C719" s="2">
        <v>88839</v>
      </c>
      <c r="D719" s="2">
        <v>15</v>
      </c>
      <c r="F719" s="2">
        <v>13</v>
      </c>
      <c r="G719" s="2">
        <v>6</v>
      </c>
      <c r="H719" s="2">
        <v>10</v>
      </c>
      <c r="I719" s="2">
        <v>1</v>
      </c>
      <c r="J719" s="2">
        <v>5</v>
      </c>
      <c r="K719" s="2">
        <v>6</v>
      </c>
      <c r="L719" s="2">
        <v>0</v>
      </c>
      <c r="M719" s="2">
        <v>10</v>
      </c>
      <c r="N719" s="2">
        <v>2</v>
      </c>
      <c r="O719" s="2">
        <v>2</v>
      </c>
      <c r="P719" s="2">
        <v>1</v>
      </c>
      <c r="Q719" s="2">
        <v>0</v>
      </c>
      <c r="R719" s="274">
        <v>38663</v>
      </c>
      <c r="S719" s="253">
        <v>12</v>
      </c>
      <c r="T719" s="254">
        <f>SUM( tabConsumo[[#This Row],[QTD.PENDENTE]]:tabConsumo[[#This Row],[07_23]] ) / tabConsumo[[#This Row],[Div]]</f>
        <v>4.666666666666667</v>
      </c>
      <c r="U719" s="255">
        <f xml:space="preserve"> tabConsumo[[#This Row],[Média.A]] + (_xlfn.STDEV.S( tabConsumo[[#This Row],[QTD.PENDENTE]]:tabConsumo[[#This Row],[07_23]] ) * 1)</f>
        <v>9.0842623379738008</v>
      </c>
      <c r="V719" s="255">
        <f xml:space="preserve"> tabConsumo[[#This Row],[Média.A]] + (_xlfn.STDEV.S( tabConsumo[[#This Row],[QTD.PENDENTE]]:tabConsumo[[#This Row],[07_23]] ) * 2)</f>
        <v>13.501858009280934</v>
      </c>
      <c r="W719" s="255">
        <f xml:space="preserve"> tabConsumo[[#This Row],[Média.A]] + (_xlfn.STDEV.S( tabConsumo[[#This Row],[QTD.PENDENTE]]:tabConsumo[[#This Row],[07_23]] ) * 3)</f>
        <v>17.919453680588067</v>
      </c>
      <c r="X719" s="5">
        <f t="shared" si="26"/>
        <v>2</v>
      </c>
      <c r="Y719">
        <v>4.666666666666667</v>
      </c>
      <c r="Z719" s="257">
        <f>SUM( tabConsumo[[#This Row],[QTD.PENDENTE]]:tabConsumo[[#This Row],[07_23]] )</f>
        <v>56</v>
      </c>
      <c r="AA719" s="257">
        <f>LARGE(tabConsumo[[#This Row],[08_22]:[07_23]],1)</f>
        <v>13</v>
      </c>
      <c r="AB719" s="175" t="s">
        <v>2212</v>
      </c>
      <c r="AC719" s="3" t="s">
        <v>2064</v>
      </c>
    </row>
    <row r="720" spans="1:29" x14ac:dyDescent="0.3">
      <c r="A720" s="4" t="s">
        <v>1780</v>
      </c>
      <c r="B720" s="3" t="s">
        <v>596</v>
      </c>
      <c r="C720" s="2">
        <v>128288</v>
      </c>
      <c r="D720" s="2">
        <v>0</v>
      </c>
      <c r="E720" s="2">
        <v>2</v>
      </c>
      <c r="F720" s="2">
        <v>3</v>
      </c>
      <c r="G720" s="2">
        <v>1</v>
      </c>
      <c r="H720" s="2">
        <v>1</v>
      </c>
      <c r="I720" s="2">
        <v>1</v>
      </c>
      <c r="J720" s="2">
        <v>3</v>
      </c>
      <c r="K720" s="2">
        <v>0</v>
      </c>
      <c r="L720" s="2">
        <v>10</v>
      </c>
      <c r="M720" s="2">
        <v>0</v>
      </c>
      <c r="N720" s="2">
        <v>0</v>
      </c>
      <c r="O720" s="2">
        <v>0</v>
      </c>
      <c r="P720" s="2">
        <v>0</v>
      </c>
      <c r="Q720" s="2">
        <v>0</v>
      </c>
      <c r="R720" s="274">
        <v>41830</v>
      </c>
      <c r="S720" s="253">
        <v>12</v>
      </c>
      <c r="T720" s="254">
        <f>SUM( tabConsumo[[#This Row],[QTD.PENDENTE]]:tabConsumo[[#This Row],[07_23]] ) / tabConsumo[[#This Row],[Div]]</f>
        <v>1.75</v>
      </c>
      <c r="U720" s="255">
        <f xml:space="preserve"> tabConsumo[[#This Row],[Média.A]] + (_xlfn.STDEV.S( tabConsumo[[#This Row],[QTD.PENDENTE]]:tabConsumo[[#This Row],[07_23]] ) * 1)</f>
        <v>4.5049489268847775</v>
      </c>
      <c r="V720" s="255">
        <f xml:space="preserve"> tabConsumo[[#This Row],[Média.A]] + (_xlfn.STDEV.S( tabConsumo[[#This Row],[QTD.PENDENTE]]:tabConsumo[[#This Row],[07_23]] ) * 2)</f>
        <v>7.259897853769556</v>
      </c>
      <c r="W720" s="255">
        <f xml:space="preserve"> tabConsumo[[#This Row],[Média.A]] + (_xlfn.STDEV.S( tabConsumo[[#This Row],[QTD.PENDENTE]]:tabConsumo[[#This Row],[07_23]] ) * 3)</f>
        <v>10.014846780654334</v>
      </c>
      <c r="X720" s="5">
        <f t="shared" si="26"/>
        <v>2</v>
      </c>
      <c r="Y720">
        <v>1.5</v>
      </c>
      <c r="Z720" s="257">
        <f>SUM( tabConsumo[[#This Row],[QTD.PENDENTE]]:tabConsumo[[#This Row],[07_23]] )</f>
        <v>21</v>
      </c>
      <c r="AA720" s="257">
        <f>LARGE(tabConsumo[[#This Row],[08_22]:[07_23]],1)</f>
        <v>10</v>
      </c>
      <c r="AB720" s="175" t="s">
        <v>2221</v>
      </c>
      <c r="AC720" s="3" t="s">
        <v>2064</v>
      </c>
    </row>
    <row r="721" spans="1:29" x14ac:dyDescent="0.3">
      <c r="A721" s="4" t="s">
        <v>1353</v>
      </c>
      <c r="B721" s="3" t="s">
        <v>256</v>
      </c>
      <c r="C721" s="2">
        <v>63031</v>
      </c>
      <c r="D721" s="2">
        <v>444</v>
      </c>
      <c r="F721" s="2">
        <v>87</v>
      </c>
      <c r="G721" s="2">
        <v>116</v>
      </c>
      <c r="H721" s="2">
        <v>83</v>
      </c>
      <c r="I721" s="2">
        <v>68</v>
      </c>
      <c r="J721" s="2">
        <v>12</v>
      </c>
      <c r="K721" s="2">
        <v>51</v>
      </c>
      <c r="L721" s="2">
        <v>86</v>
      </c>
      <c r="M721" s="2">
        <v>123</v>
      </c>
      <c r="N721" s="2">
        <v>104</v>
      </c>
      <c r="O721" s="2">
        <v>104</v>
      </c>
      <c r="P721" s="2">
        <v>150</v>
      </c>
      <c r="Q721" s="2">
        <v>0</v>
      </c>
      <c r="R721" s="274">
        <v>367</v>
      </c>
      <c r="S721" s="253">
        <f xml:space="preserve"> 12</f>
        <v>12</v>
      </c>
      <c r="T721" s="254">
        <f>SUM( tabConsumo[[#This Row],[QTD.PENDENTE]]:tabConsumo[[#This Row],[07_23]] ) / tabConsumo[[#This Row],[Div]]</f>
        <v>82</v>
      </c>
      <c r="U721" s="255">
        <f xml:space="preserve"> tabConsumo[[#This Row],[Média.A]] + (_xlfn.STDEV.S( tabConsumo[[#This Row],[QTD.PENDENTE]]:tabConsumo[[#This Row],[07_23]] ) * 1)</f>
        <v>125.95452195167182</v>
      </c>
      <c r="V721" s="255">
        <f xml:space="preserve"> tabConsumo[[#This Row],[Média.A]] + (_xlfn.STDEV.S( tabConsumo[[#This Row],[QTD.PENDENTE]]:tabConsumo[[#This Row],[07_23]] ) * 2)</f>
        <v>169.90904390334364</v>
      </c>
      <c r="W721" s="255">
        <f xml:space="preserve"> tabConsumo[[#This Row],[Média.A]] + (_xlfn.STDEV.S( tabConsumo[[#This Row],[QTD.PENDENTE]]:tabConsumo[[#This Row],[07_23]] ) * 3)</f>
        <v>213.86356585501545</v>
      </c>
      <c r="X721" s="5">
        <f t="shared" si="26"/>
        <v>2</v>
      </c>
      <c r="Y721">
        <v>82</v>
      </c>
      <c r="Z721" s="257">
        <f>SUM( tabConsumo[[#This Row],[QTD.PENDENTE]]:tabConsumo[[#This Row],[07_23]] )</f>
        <v>984</v>
      </c>
      <c r="AA721" s="257">
        <f>LARGE(tabConsumo[[#This Row],[08_22]:[07_23]],1)</f>
        <v>150</v>
      </c>
      <c r="AB721" s="175" t="s">
        <v>2212</v>
      </c>
      <c r="AC721" s="3" t="s">
        <v>2064</v>
      </c>
    </row>
    <row r="722" spans="1:29" x14ac:dyDescent="0.3">
      <c r="A722" s="4" t="s">
        <v>1564</v>
      </c>
      <c r="B722" s="3" t="s">
        <v>270</v>
      </c>
      <c r="C722" s="2">
        <v>100802</v>
      </c>
      <c r="D722" s="2">
        <v>0</v>
      </c>
      <c r="E722" s="2">
        <v>7</v>
      </c>
      <c r="F722" s="2">
        <v>68</v>
      </c>
      <c r="G722" s="2">
        <v>55</v>
      </c>
      <c r="H722" s="2">
        <v>173</v>
      </c>
      <c r="I722" s="2">
        <v>84</v>
      </c>
      <c r="J722" s="2">
        <v>174</v>
      </c>
      <c r="K722" s="2">
        <v>215</v>
      </c>
      <c r="L722" s="2">
        <v>0</v>
      </c>
      <c r="M722" s="2">
        <v>0</v>
      </c>
      <c r="N722" s="2">
        <v>0</v>
      </c>
      <c r="O722" s="2">
        <v>0</v>
      </c>
      <c r="P722" s="2">
        <v>0</v>
      </c>
      <c r="Q722" s="2">
        <v>0</v>
      </c>
      <c r="R722" s="274">
        <v>39275</v>
      </c>
      <c r="S722" s="253">
        <v>12</v>
      </c>
      <c r="T722" s="254">
        <f>SUM( tabConsumo[[#This Row],[QTD.PENDENTE]]:tabConsumo[[#This Row],[07_23]] ) / tabConsumo[[#This Row],[Div]]</f>
        <v>64.666666666666671</v>
      </c>
      <c r="U722" s="255">
        <f xml:space="preserve"> tabConsumo[[#This Row],[Média.A]] + (_xlfn.STDEV.S( tabConsumo[[#This Row],[QTD.PENDENTE]]:tabConsumo[[#This Row],[07_23]] ) * 1)</f>
        <v>143.6512480896514</v>
      </c>
      <c r="V722" s="255">
        <f xml:space="preserve"> tabConsumo[[#This Row],[Média.A]] + (_xlfn.STDEV.S( tabConsumo[[#This Row],[QTD.PENDENTE]]:tabConsumo[[#This Row],[07_23]] ) * 2)</f>
        <v>222.63582951263612</v>
      </c>
      <c r="W722" s="255">
        <f xml:space="preserve"> tabConsumo[[#This Row],[Média.A]] + (_xlfn.STDEV.S( tabConsumo[[#This Row],[QTD.PENDENTE]]:tabConsumo[[#This Row],[07_23]] ) * 3)</f>
        <v>301.62041093562084</v>
      </c>
      <c r="X722" s="5">
        <f t="shared" si="26"/>
        <v>2</v>
      </c>
      <c r="Y722">
        <v>64.666666666666671</v>
      </c>
      <c r="Z722" s="257">
        <f>SUM( tabConsumo[[#This Row],[QTD.PENDENTE]]:tabConsumo[[#This Row],[07_23]] )</f>
        <v>776</v>
      </c>
      <c r="AA722" s="257">
        <f>LARGE(tabConsumo[[#This Row],[08_22]:[07_23]],1)</f>
        <v>215</v>
      </c>
      <c r="AB722" s="175" t="s">
        <v>2220</v>
      </c>
      <c r="AC722" s="3" t="s">
        <v>2064</v>
      </c>
    </row>
    <row r="723" spans="1:29" x14ac:dyDescent="0.3">
      <c r="A723" s="4" t="s">
        <v>1182</v>
      </c>
      <c r="B723" s="3" t="s">
        <v>1067</v>
      </c>
      <c r="C723" s="2">
        <v>23778</v>
      </c>
      <c r="D723" s="2">
        <v>107</v>
      </c>
      <c r="F723" s="2">
        <v>11</v>
      </c>
      <c r="G723" s="2">
        <v>11</v>
      </c>
      <c r="H723" s="2">
        <v>14</v>
      </c>
      <c r="I723" s="2">
        <v>9</v>
      </c>
      <c r="J723" s="2">
        <v>5</v>
      </c>
      <c r="K723" s="2">
        <v>8</v>
      </c>
      <c r="L723" s="2">
        <v>8</v>
      </c>
      <c r="M723" s="2">
        <v>11</v>
      </c>
      <c r="N723" s="2">
        <v>10</v>
      </c>
      <c r="O723" s="2">
        <v>15</v>
      </c>
      <c r="P723" s="2">
        <v>16</v>
      </c>
      <c r="Q723" s="2">
        <v>22</v>
      </c>
      <c r="R723" s="274">
        <v>367</v>
      </c>
      <c r="S723" s="253">
        <f xml:space="preserve"> 12</f>
        <v>12</v>
      </c>
      <c r="T723" s="254">
        <f>SUM( tabConsumo[[#This Row],[QTD.PENDENTE]]:tabConsumo[[#This Row],[07_23]] ) / tabConsumo[[#This Row],[Div]]</f>
        <v>11.666666666666666</v>
      </c>
      <c r="U723" s="255">
        <f xml:space="preserve"> tabConsumo[[#This Row],[Média.A]] + (_xlfn.STDEV.S( tabConsumo[[#This Row],[QTD.PENDENTE]]:tabConsumo[[#This Row],[07_23]] ) * 1)</f>
        <v>16.185985467574877</v>
      </c>
      <c r="V723" s="255">
        <f xml:space="preserve"> tabConsumo[[#This Row],[Média.A]] + (_xlfn.STDEV.S( tabConsumo[[#This Row],[QTD.PENDENTE]]:tabConsumo[[#This Row],[07_23]] ) * 2)</f>
        <v>20.70530426848309</v>
      </c>
      <c r="W723" s="255">
        <f xml:space="preserve"> tabConsumo[[#This Row],[Média.A]] + (_xlfn.STDEV.S( tabConsumo[[#This Row],[QTD.PENDENTE]]:tabConsumo[[#This Row],[07_23]] ) * 3)</f>
        <v>25.224623069391299</v>
      </c>
      <c r="X723" s="5">
        <f t="shared" si="26"/>
        <v>2</v>
      </c>
      <c r="Y723">
        <v>11.5</v>
      </c>
      <c r="Z723" s="257">
        <f>SUM( tabConsumo[[#This Row],[QTD.PENDENTE]]:tabConsumo[[#This Row],[07_23]] )</f>
        <v>140</v>
      </c>
      <c r="AA723" s="257">
        <f>LARGE(tabConsumo[[#This Row],[08_22]:[07_23]],1)</f>
        <v>22</v>
      </c>
      <c r="AB723" s="175" t="s">
        <v>2211</v>
      </c>
      <c r="AC723" s="3" t="s">
        <v>2064</v>
      </c>
    </row>
    <row r="724" spans="1:29" x14ac:dyDescent="0.3">
      <c r="A724" s="4" t="s">
        <v>1072</v>
      </c>
      <c r="B724" s="3" t="s">
        <v>256</v>
      </c>
      <c r="C724" s="2">
        <v>14831</v>
      </c>
      <c r="D724" s="2">
        <v>430</v>
      </c>
      <c r="F724" s="2">
        <v>0</v>
      </c>
      <c r="G724" s="2">
        <v>20</v>
      </c>
      <c r="H724" s="2">
        <v>33</v>
      </c>
      <c r="I724" s="2">
        <v>15</v>
      </c>
      <c r="J724" s="2">
        <v>19</v>
      </c>
      <c r="K724" s="2">
        <v>109</v>
      </c>
      <c r="L724" s="2">
        <v>0</v>
      </c>
      <c r="M724" s="2">
        <v>5</v>
      </c>
      <c r="N724" s="2">
        <v>40</v>
      </c>
      <c r="O724" s="2">
        <v>0</v>
      </c>
      <c r="P724" s="2">
        <v>15</v>
      </c>
      <c r="Q724" s="2">
        <v>0</v>
      </c>
      <c r="R724" s="274">
        <v>367</v>
      </c>
      <c r="S724" s="253">
        <f xml:space="preserve"> 12</f>
        <v>12</v>
      </c>
      <c r="T724" s="254">
        <f>SUM( tabConsumo[[#This Row],[QTD.PENDENTE]]:tabConsumo[[#This Row],[07_23]] ) / tabConsumo[[#This Row],[Div]]</f>
        <v>21.333333333333332</v>
      </c>
      <c r="U724" s="255">
        <f xml:space="preserve"> tabConsumo[[#This Row],[Média.A]] + (_xlfn.STDEV.S( tabConsumo[[#This Row],[QTD.PENDENTE]]:tabConsumo[[#This Row],[07_23]] ) * 1)</f>
        <v>51.999670617466933</v>
      </c>
      <c r="V724" s="255">
        <f xml:space="preserve"> tabConsumo[[#This Row],[Média.A]] + (_xlfn.STDEV.S( tabConsumo[[#This Row],[QTD.PENDENTE]]:tabConsumo[[#This Row],[07_23]] ) * 2)</f>
        <v>82.666007901600537</v>
      </c>
      <c r="W724" s="255">
        <f xml:space="preserve"> tabConsumo[[#This Row],[Média.A]] + (_xlfn.STDEV.S( tabConsumo[[#This Row],[QTD.PENDENTE]]:tabConsumo[[#This Row],[07_23]] ) * 3)</f>
        <v>113.33234518573413</v>
      </c>
      <c r="X724" s="5">
        <f t="shared" si="26"/>
        <v>2</v>
      </c>
      <c r="Y724">
        <v>19.083333333333332</v>
      </c>
      <c r="Z724" s="257">
        <f>SUM( tabConsumo[[#This Row],[QTD.PENDENTE]]:tabConsumo[[#This Row],[07_23]] )</f>
        <v>256</v>
      </c>
      <c r="AA724" s="257">
        <f>LARGE(tabConsumo[[#This Row],[08_22]:[07_23]],1)</f>
        <v>109</v>
      </c>
      <c r="AB724" s="175" t="s">
        <v>2212</v>
      </c>
      <c r="AC724" s="3" t="s">
        <v>2064</v>
      </c>
    </row>
    <row r="725" spans="1:29" x14ac:dyDescent="0.3">
      <c r="A725" s="4" t="s">
        <v>1840</v>
      </c>
      <c r="B725" s="3" t="s">
        <v>256</v>
      </c>
      <c r="C725" s="2">
        <v>133301</v>
      </c>
      <c r="D725" s="2">
        <v>0</v>
      </c>
      <c r="E725" s="2">
        <v>1478</v>
      </c>
      <c r="F725" s="2">
        <v>400</v>
      </c>
      <c r="G725" s="2">
        <v>520</v>
      </c>
      <c r="H725" s="2">
        <v>630</v>
      </c>
      <c r="I725" s="2">
        <v>280</v>
      </c>
      <c r="J725" s="2">
        <v>650</v>
      </c>
      <c r="K725" s="2">
        <v>612</v>
      </c>
      <c r="L725" s="2">
        <v>0</v>
      </c>
      <c r="M725" s="2">
        <v>0</v>
      </c>
      <c r="N725" s="2">
        <v>0</v>
      </c>
      <c r="O725" s="2">
        <v>0</v>
      </c>
      <c r="P725" s="2">
        <v>0</v>
      </c>
      <c r="Q725" s="2">
        <v>0</v>
      </c>
      <c r="R725" s="274">
        <v>42978</v>
      </c>
      <c r="S725" s="253">
        <v>12</v>
      </c>
      <c r="T725" s="254">
        <f>SUM( tabConsumo[[#This Row],[QTD.PENDENTE]]:tabConsumo[[#This Row],[07_23]] ) / tabConsumo[[#This Row],[Div]]</f>
        <v>380.83333333333331</v>
      </c>
      <c r="U725" s="255">
        <f xml:space="preserve"> tabConsumo[[#This Row],[Média.A]] + (_xlfn.STDEV.S( tabConsumo[[#This Row],[QTD.PENDENTE]]:tabConsumo[[#This Row],[07_23]] ) * 1)</f>
        <v>816.78987080479112</v>
      </c>
      <c r="V725" s="255">
        <f xml:space="preserve"> tabConsumo[[#This Row],[Média.A]] + (_xlfn.STDEV.S( tabConsumo[[#This Row],[QTD.PENDENTE]]:tabConsumo[[#This Row],[07_23]] ) * 2)</f>
        <v>1252.746408276249</v>
      </c>
      <c r="W725" s="255">
        <f xml:space="preserve"> tabConsumo[[#This Row],[Média.A]] + (_xlfn.STDEV.S( tabConsumo[[#This Row],[QTD.PENDENTE]]:tabConsumo[[#This Row],[07_23]] ) * 3)</f>
        <v>1688.7029457477067</v>
      </c>
      <c r="X725" s="5">
        <f t="shared" si="26"/>
        <v>2</v>
      </c>
      <c r="Y725">
        <v>380.83333333333331</v>
      </c>
      <c r="Z725" s="257">
        <f>SUM( tabConsumo[[#This Row],[QTD.PENDENTE]]:tabConsumo[[#This Row],[07_23]] )</f>
        <v>4570</v>
      </c>
      <c r="AA725" s="257">
        <f>LARGE(tabConsumo[[#This Row],[08_22]:[07_23]],1)</f>
        <v>650</v>
      </c>
      <c r="AB725" s="175" t="s">
        <v>2220</v>
      </c>
      <c r="AC725" s="3" t="s">
        <v>2064</v>
      </c>
    </row>
    <row r="726" spans="1:29" x14ac:dyDescent="0.3">
      <c r="A726" s="4" t="s">
        <v>1432</v>
      </c>
      <c r="B726" s="3" t="s">
        <v>268</v>
      </c>
      <c r="C726" s="2">
        <v>78057</v>
      </c>
      <c r="D726" s="2">
        <v>0</v>
      </c>
      <c r="E726" s="2">
        <v>715</v>
      </c>
      <c r="F726" s="2">
        <v>0</v>
      </c>
      <c r="G726" s="2">
        <v>3</v>
      </c>
      <c r="H726" s="2">
        <v>0</v>
      </c>
      <c r="I726" s="2">
        <v>3</v>
      </c>
      <c r="J726" s="2">
        <v>0</v>
      </c>
      <c r="K726" s="2">
        <v>0</v>
      </c>
      <c r="L726" s="2">
        <v>5</v>
      </c>
      <c r="M726" s="2">
        <v>0</v>
      </c>
      <c r="N726" s="2">
        <v>1</v>
      </c>
      <c r="O726" s="2">
        <v>285</v>
      </c>
      <c r="P726" s="2">
        <v>0</v>
      </c>
      <c r="Q726" s="2">
        <v>0</v>
      </c>
      <c r="R726" s="274">
        <v>38072</v>
      </c>
      <c r="S726" s="253">
        <v>12</v>
      </c>
      <c r="T726" s="254">
        <f>SUM( tabConsumo[[#This Row],[QTD.PENDENTE]]:tabConsumo[[#This Row],[07_23]] ) / tabConsumo[[#This Row],[Div]]</f>
        <v>84.333333333333329</v>
      </c>
      <c r="U726" s="255">
        <f xml:space="preserve"> tabConsumo[[#This Row],[Média.A]] + (_xlfn.STDEV.S( tabConsumo[[#This Row],[QTD.PENDENTE]]:tabConsumo[[#This Row],[07_23]] ) * 1)</f>
        <v>291.23783874337596</v>
      </c>
      <c r="V726" s="255">
        <f xml:space="preserve"> tabConsumo[[#This Row],[Média.A]] + (_xlfn.STDEV.S( tabConsumo[[#This Row],[QTD.PENDENTE]]:tabConsumo[[#This Row],[07_23]] ) * 2)</f>
        <v>498.14234415341855</v>
      </c>
      <c r="W726" s="255">
        <f xml:space="preserve"> tabConsumo[[#This Row],[Média.A]] + (_xlfn.STDEV.S( tabConsumo[[#This Row],[QTD.PENDENTE]]:tabConsumo[[#This Row],[07_23]] ) * 3)</f>
        <v>705.04684956346125</v>
      </c>
      <c r="X726" s="5">
        <f t="shared" si="26"/>
        <v>2</v>
      </c>
      <c r="Y726">
        <v>84.333333333333329</v>
      </c>
      <c r="Z726" s="257">
        <f>SUM( tabConsumo[[#This Row],[QTD.PENDENTE]]:tabConsumo[[#This Row],[07_23]] )</f>
        <v>1012</v>
      </c>
      <c r="AA726" s="257">
        <f>LARGE(tabConsumo[[#This Row],[08_22]:[07_23]],1)</f>
        <v>285</v>
      </c>
      <c r="AB726" s="175" t="s">
        <v>2214</v>
      </c>
      <c r="AC726" s="3" t="s">
        <v>2064</v>
      </c>
    </row>
    <row r="727" spans="1:29" x14ac:dyDescent="0.3">
      <c r="A727" s="4" t="s">
        <v>1721</v>
      </c>
      <c r="B727" s="3" t="s">
        <v>331</v>
      </c>
      <c r="C727" s="2">
        <v>118427</v>
      </c>
      <c r="D727" s="2">
        <v>31</v>
      </c>
      <c r="F727" s="2">
        <v>1259</v>
      </c>
      <c r="G727" s="2">
        <v>89</v>
      </c>
      <c r="H727" s="2">
        <v>311</v>
      </c>
      <c r="I727" s="2">
        <v>1252</v>
      </c>
      <c r="J727" s="2">
        <v>1250</v>
      </c>
      <c r="K727" s="2">
        <v>496</v>
      </c>
      <c r="L727" s="2">
        <v>347</v>
      </c>
      <c r="M727" s="2">
        <v>540</v>
      </c>
      <c r="N727" s="2">
        <v>285</v>
      </c>
      <c r="O727" s="2">
        <v>230</v>
      </c>
      <c r="P727" s="2">
        <v>75</v>
      </c>
      <c r="Q727" s="2">
        <v>0</v>
      </c>
      <c r="R727" s="274">
        <v>40490</v>
      </c>
      <c r="S727" s="253">
        <v>12</v>
      </c>
      <c r="T727" s="254">
        <f>SUM( tabConsumo[[#This Row],[QTD.PENDENTE]]:tabConsumo[[#This Row],[07_23]] ) / tabConsumo[[#This Row],[Div]]</f>
        <v>511.16666666666669</v>
      </c>
      <c r="U727" s="255">
        <f xml:space="preserve"> tabConsumo[[#This Row],[Média.A]] + (_xlfn.STDEV.S( tabConsumo[[#This Row],[QTD.PENDENTE]]:tabConsumo[[#This Row],[07_23]] ) * 1)</f>
        <v>986.17917048933327</v>
      </c>
      <c r="V727" s="255">
        <f xml:space="preserve"> tabConsumo[[#This Row],[Média.A]] + (_xlfn.STDEV.S( tabConsumo[[#This Row],[QTD.PENDENTE]]:tabConsumo[[#This Row],[07_23]] ) * 2)</f>
        <v>1461.1916743119998</v>
      </c>
      <c r="W727" s="255">
        <f xml:space="preserve"> tabConsumo[[#This Row],[Média.A]] + (_xlfn.STDEV.S( tabConsumo[[#This Row],[QTD.PENDENTE]]:tabConsumo[[#This Row],[07_23]] ) * 3)</f>
        <v>1936.2041781346663</v>
      </c>
      <c r="X727" s="5">
        <f t="shared" si="26"/>
        <v>2</v>
      </c>
      <c r="Y727">
        <v>511.16666666666669</v>
      </c>
      <c r="Z727" s="257">
        <f>SUM( tabConsumo[[#This Row],[QTD.PENDENTE]]:tabConsumo[[#This Row],[07_23]] )</f>
        <v>6134</v>
      </c>
      <c r="AA727" s="257">
        <f>LARGE(tabConsumo[[#This Row],[08_22]:[07_23]],1)</f>
        <v>1259</v>
      </c>
      <c r="AB727" s="175" t="s">
        <v>2212</v>
      </c>
      <c r="AC727" s="3" t="s">
        <v>2064</v>
      </c>
    </row>
    <row r="728" spans="1:29" x14ac:dyDescent="0.3">
      <c r="A728" s="4" t="s">
        <v>1673</v>
      </c>
      <c r="B728" s="3" t="s">
        <v>256</v>
      </c>
      <c r="C728" s="2">
        <v>111806</v>
      </c>
      <c r="D728" s="2">
        <v>0</v>
      </c>
      <c r="E728" s="2">
        <v>399</v>
      </c>
      <c r="F728" s="2">
        <v>321</v>
      </c>
      <c r="G728" s="2">
        <v>135</v>
      </c>
      <c r="H728" s="2">
        <v>226</v>
      </c>
      <c r="I728" s="2">
        <v>60</v>
      </c>
      <c r="J728" s="2">
        <v>385</v>
      </c>
      <c r="K728" s="2">
        <v>493</v>
      </c>
      <c r="L728" s="2">
        <v>42</v>
      </c>
      <c r="M728" s="2">
        <v>0</v>
      </c>
      <c r="N728" s="2">
        <v>0</v>
      </c>
      <c r="O728" s="2">
        <v>0</v>
      </c>
      <c r="P728" s="2">
        <v>9</v>
      </c>
      <c r="Q728" s="2">
        <v>0</v>
      </c>
      <c r="R728" s="274">
        <v>40011</v>
      </c>
      <c r="S728" s="253">
        <v>12</v>
      </c>
      <c r="T728" s="254">
        <f>SUM( tabConsumo[[#This Row],[QTD.PENDENTE]]:tabConsumo[[#This Row],[07_23]] ) / tabConsumo[[#This Row],[Div]]</f>
        <v>172.5</v>
      </c>
      <c r="U728" s="255">
        <f xml:space="preserve"> tabConsumo[[#This Row],[Média.A]] + (_xlfn.STDEV.S( tabConsumo[[#This Row],[QTD.PENDENTE]]:tabConsumo[[#This Row],[07_23]] ) * 1)</f>
        <v>354.76681625488584</v>
      </c>
      <c r="V728" s="255">
        <f xml:space="preserve"> tabConsumo[[#This Row],[Média.A]] + (_xlfn.STDEV.S( tabConsumo[[#This Row],[QTD.PENDENTE]]:tabConsumo[[#This Row],[07_23]] ) * 2)</f>
        <v>537.03363250977168</v>
      </c>
      <c r="W728" s="255">
        <f xml:space="preserve"> tabConsumo[[#This Row],[Média.A]] + (_xlfn.STDEV.S( tabConsumo[[#This Row],[QTD.PENDENTE]]:tabConsumo[[#This Row],[07_23]] ) * 3)</f>
        <v>719.3004487646574</v>
      </c>
      <c r="X728" s="5">
        <f t="shared" si="26"/>
        <v>2</v>
      </c>
      <c r="Y728">
        <v>172.5</v>
      </c>
      <c r="Z728" s="257">
        <f>SUM( tabConsumo[[#This Row],[QTD.PENDENTE]]:tabConsumo[[#This Row],[07_23]] )</f>
        <v>2070</v>
      </c>
      <c r="AA728" s="257">
        <f>LARGE(tabConsumo[[#This Row],[08_22]:[07_23]],1)</f>
        <v>493</v>
      </c>
      <c r="AB728" s="175" t="s">
        <v>2212</v>
      </c>
      <c r="AC728" s="3" t="s">
        <v>2064</v>
      </c>
    </row>
    <row r="729" spans="1:29" x14ac:dyDescent="0.3">
      <c r="A729" s="4" t="s">
        <v>1783</v>
      </c>
      <c r="B729" s="3" t="s">
        <v>31</v>
      </c>
      <c r="C729" s="2">
        <v>128816</v>
      </c>
      <c r="D729" s="2">
        <v>805</v>
      </c>
      <c r="F729" s="2">
        <v>0</v>
      </c>
      <c r="G729" s="2">
        <v>0</v>
      </c>
      <c r="H729" s="2">
        <v>0</v>
      </c>
      <c r="I729" s="2">
        <v>0</v>
      </c>
      <c r="J729" s="2">
        <v>0</v>
      </c>
      <c r="K729" s="2">
        <v>185</v>
      </c>
      <c r="L729" s="2">
        <v>0</v>
      </c>
      <c r="M729" s="2">
        <v>0</v>
      </c>
      <c r="N729" s="2">
        <v>0</v>
      </c>
      <c r="O729" s="2">
        <v>0</v>
      </c>
      <c r="P729" s="2">
        <v>0</v>
      </c>
      <c r="Q729" s="2">
        <v>0</v>
      </c>
      <c r="R729" s="274">
        <v>41926</v>
      </c>
      <c r="S729" s="253">
        <v>12</v>
      </c>
      <c r="T729" s="254">
        <f>SUM( tabConsumo[[#This Row],[QTD.PENDENTE]]:tabConsumo[[#This Row],[07_23]] ) / tabConsumo[[#This Row],[Div]]</f>
        <v>15.416666666666666</v>
      </c>
      <c r="U729" s="255">
        <f xml:space="preserve"> tabConsumo[[#This Row],[Média.A]] + (_xlfn.STDEV.S( tabConsumo[[#This Row],[QTD.PENDENTE]]:tabConsumo[[#This Row],[07_23]] ) * 1)</f>
        <v>68.821566566707048</v>
      </c>
      <c r="V729" s="255">
        <f xml:space="preserve"> tabConsumo[[#This Row],[Média.A]] + (_xlfn.STDEV.S( tabConsumo[[#This Row],[QTD.PENDENTE]]:tabConsumo[[#This Row],[07_23]] ) * 2)</f>
        <v>122.22646646674744</v>
      </c>
      <c r="W729" s="255">
        <f xml:space="preserve"> tabConsumo[[#This Row],[Média.A]] + (_xlfn.STDEV.S( tabConsumo[[#This Row],[QTD.PENDENTE]]:tabConsumo[[#This Row],[07_23]] ) * 3)</f>
        <v>175.6313663667878</v>
      </c>
      <c r="X729" s="5">
        <f t="shared" si="26"/>
        <v>2</v>
      </c>
      <c r="Y729">
        <v>10.166666666666666</v>
      </c>
      <c r="Z729" s="257">
        <f>SUM( tabConsumo[[#This Row],[QTD.PENDENTE]]:tabConsumo[[#This Row],[07_23]] )</f>
        <v>185</v>
      </c>
      <c r="AA729" s="257">
        <f>LARGE(tabConsumo[[#This Row],[08_22]:[07_23]],1)</f>
        <v>185</v>
      </c>
      <c r="AB729" s="175" t="s">
        <v>2220</v>
      </c>
      <c r="AC729" s="3" t="s">
        <v>2064</v>
      </c>
    </row>
    <row r="730" spans="1:29" x14ac:dyDescent="0.3">
      <c r="A730" s="4" t="s">
        <v>1782</v>
      </c>
      <c r="B730" s="3" t="s">
        <v>31</v>
      </c>
      <c r="C730" s="2">
        <v>128815</v>
      </c>
      <c r="D730" s="2">
        <v>2691</v>
      </c>
      <c r="F730" s="2">
        <v>200</v>
      </c>
      <c r="G730" s="2">
        <v>210</v>
      </c>
      <c r="H730" s="2">
        <v>450</v>
      </c>
      <c r="I730" s="2">
        <v>210</v>
      </c>
      <c r="J730" s="2">
        <v>730</v>
      </c>
      <c r="K730" s="2">
        <v>784</v>
      </c>
      <c r="L730" s="2">
        <v>220</v>
      </c>
      <c r="M730" s="2">
        <v>220</v>
      </c>
      <c r="N730" s="2">
        <v>470</v>
      </c>
      <c r="O730" s="2">
        <v>150</v>
      </c>
      <c r="P730" s="2">
        <v>0</v>
      </c>
      <c r="Q730" s="2">
        <v>0</v>
      </c>
      <c r="R730" s="274">
        <v>41926</v>
      </c>
      <c r="S730" s="253">
        <v>12</v>
      </c>
      <c r="T730" s="254">
        <f>SUM( tabConsumo[[#This Row],[QTD.PENDENTE]]:tabConsumo[[#This Row],[07_23]] ) / tabConsumo[[#This Row],[Div]]</f>
        <v>303.66666666666669</v>
      </c>
      <c r="U730" s="255">
        <f xml:space="preserve"> tabConsumo[[#This Row],[Média.A]] + (_xlfn.STDEV.S( tabConsumo[[#This Row],[QTD.PENDENTE]]:tabConsumo[[#This Row],[07_23]] ) * 1)</f>
        <v>558.06339811126873</v>
      </c>
      <c r="V730" s="255">
        <f xml:space="preserve"> tabConsumo[[#This Row],[Média.A]] + (_xlfn.STDEV.S( tabConsumo[[#This Row],[QTD.PENDENTE]]:tabConsumo[[#This Row],[07_23]] ) * 2)</f>
        <v>812.46012955587071</v>
      </c>
      <c r="W730" s="255">
        <f xml:space="preserve"> tabConsumo[[#This Row],[Média.A]] + (_xlfn.STDEV.S( tabConsumo[[#This Row],[QTD.PENDENTE]]:tabConsumo[[#This Row],[07_23]] ) * 3)</f>
        <v>1066.8568610004729</v>
      </c>
      <c r="X730" s="5">
        <f t="shared" si="26"/>
        <v>2</v>
      </c>
      <c r="Y730">
        <v>303.66666666666669</v>
      </c>
      <c r="Z730" s="257">
        <f>SUM( tabConsumo[[#This Row],[QTD.PENDENTE]]:tabConsumo[[#This Row],[07_23]] )</f>
        <v>3644</v>
      </c>
      <c r="AA730" s="257">
        <f>LARGE(tabConsumo[[#This Row],[08_22]:[07_23]],1)</f>
        <v>784</v>
      </c>
      <c r="AB730" s="175" t="s">
        <v>2214</v>
      </c>
      <c r="AC730" s="3" t="s">
        <v>2064</v>
      </c>
    </row>
    <row r="731" spans="1:29" x14ac:dyDescent="0.3">
      <c r="A731" s="4" t="s">
        <v>1077</v>
      </c>
      <c r="B731" s="3" t="s">
        <v>256</v>
      </c>
      <c r="C731" s="2">
        <v>14977</v>
      </c>
      <c r="D731" s="2">
        <v>100</v>
      </c>
      <c r="F731" s="2">
        <v>6</v>
      </c>
      <c r="G731" s="2">
        <v>13</v>
      </c>
      <c r="H731" s="2">
        <v>12</v>
      </c>
      <c r="I731" s="2">
        <v>5</v>
      </c>
      <c r="J731" s="2">
        <v>4</v>
      </c>
      <c r="K731" s="2">
        <v>12</v>
      </c>
      <c r="L731" s="2">
        <v>13</v>
      </c>
      <c r="M731" s="2">
        <v>14</v>
      </c>
      <c r="N731" s="2">
        <v>15</v>
      </c>
      <c r="O731" s="2">
        <v>0</v>
      </c>
      <c r="P731" s="2">
        <v>0</v>
      </c>
      <c r="Q731" s="2">
        <v>0</v>
      </c>
      <c r="R731" s="274">
        <v>367</v>
      </c>
      <c r="S731" s="253">
        <f xml:space="preserve"> 12</f>
        <v>12</v>
      </c>
      <c r="T731" s="254">
        <f>SUM( tabConsumo[[#This Row],[QTD.PENDENTE]]:tabConsumo[[#This Row],[07_23]] ) / tabConsumo[[#This Row],[Div]]</f>
        <v>7.833333333333333</v>
      </c>
      <c r="U731" s="255">
        <f xml:space="preserve"> tabConsumo[[#This Row],[Média.A]] + (_xlfn.STDEV.S( tabConsumo[[#This Row],[QTD.PENDENTE]]:tabConsumo[[#This Row],[07_23]] ) * 1)</f>
        <v>13.769866348690382</v>
      </c>
      <c r="V731" s="255">
        <f xml:space="preserve"> tabConsumo[[#This Row],[Média.A]] + (_xlfn.STDEV.S( tabConsumo[[#This Row],[QTD.PENDENTE]]:tabConsumo[[#This Row],[07_23]] ) * 2)</f>
        <v>19.706399364047428</v>
      </c>
      <c r="W731" s="255">
        <f xml:space="preserve"> tabConsumo[[#This Row],[Média.A]] + (_xlfn.STDEV.S( tabConsumo[[#This Row],[QTD.PENDENTE]]:tabConsumo[[#This Row],[07_23]] ) * 3)</f>
        <v>25.642932379404474</v>
      </c>
      <c r="X731" s="5">
        <f t="shared" si="26"/>
        <v>2</v>
      </c>
      <c r="Y731">
        <v>7.833333333333333</v>
      </c>
      <c r="Z731" s="257">
        <f>SUM( tabConsumo[[#This Row],[QTD.PENDENTE]]:tabConsumo[[#This Row],[07_23]] )</f>
        <v>94</v>
      </c>
      <c r="AA731" s="257">
        <f>LARGE(tabConsumo[[#This Row],[08_22]:[07_23]],1)</f>
        <v>15</v>
      </c>
      <c r="AB731" s="175" t="s">
        <v>2213</v>
      </c>
      <c r="AC731" s="3" t="s">
        <v>2064</v>
      </c>
    </row>
    <row r="732" spans="1:29" x14ac:dyDescent="0.3">
      <c r="A732" s="4" t="s">
        <v>780</v>
      </c>
      <c r="B732" s="3" t="s">
        <v>256</v>
      </c>
      <c r="C732" s="2">
        <v>102443</v>
      </c>
      <c r="D732" s="2">
        <v>210</v>
      </c>
      <c r="F732" s="2">
        <v>0</v>
      </c>
      <c r="G732" s="2">
        <v>0</v>
      </c>
      <c r="H732" s="2">
        <v>0</v>
      </c>
      <c r="I732" s="2">
        <v>0</v>
      </c>
      <c r="J732" s="2">
        <v>3</v>
      </c>
      <c r="K732" s="2">
        <v>0</v>
      </c>
      <c r="L732" s="2">
        <v>0</v>
      </c>
      <c r="M732" s="2">
        <v>0</v>
      </c>
      <c r="N732" s="2">
        <v>0</v>
      </c>
      <c r="O732" s="2">
        <v>0</v>
      </c>
      <c r="P732" s="2">
        <v>0</v>
      </c>
      <c r="Q732" s="2">
        <v>0</v>
      </c>
      <c r="R732" s="274">
        <v>39360</v>
      </c>
      <c r="S732" s="253">
        <v>12</v>
      </c>
      <c r="T732" s="254">
        <f>SUM( tabConsumo[[#This Row],[QTD.PENDENTE]]:tabConsumo[[#This Row],[07_23]] ) / tabConsumo[[#This Row],[Div]]</f>
        <v>0.25</v>
      </c>
      <c r="U732" s="255">
        <f xml:space="preserve"> tabConsumo[[#This Row],[Média.A]] + (_xlfn.STDEV.S( tabConsumo[[#This Row],[QTD.PENDENTE]]:tabConsumo[[#This Row],[07_23]] ) * 1)</f>
        <v>1.1160254037844386</v>
      </c>
      <c r="V732" s="255">
        <f xml:space="preserve"> tabConsumo[[#This Row],[Média.A]] + (_xlfn.STDEV.S( tabConsumo[[#This Row],[QTD.PENDENTE]]:tabConsumo[[#This Row],[07_23]] ) * 2)</f>
        <v>1.9820508075688772</v>
      </c>
      <c r="W732" s="255">
        <f xml:space="preserve"> tabConsumo[[#This Row],[Média.A]] + (_xlfn.STDEV.S( tabConsumo[[#This Row],[QTD.PENDENTE]]:tabConsumo[[#This Row],[07_23]] ) * 3)</f>
        <v>2.848076211353316</v>
      </c>
      <c r="X732" s="5">
        <f t="shared" si="26"/>
        <v>2</v>
      </c>
      <c r="Y732">
        <v>8.3333333333333329E-2</v>
      </c>
      <c r="Z732" s="257">
        <f>SUM( tabConsumo[[#This Row],[QTD.PENDENTE]]:tabConsumo[[#This Row],[07_23]] )</f>
        <v>3</v>
      </c>
      <c r="AA732" s="257">
        <f>LARGE(tabConsumo[[#This Row],[08_22]:[07_23]],1)</f>
        <v>3</v>
      </c>
      <c r="AB732" s="175" t="s">
        <v>2222</v>
      </c>
      <c r="AC732" s="3" t="s">
        <v>2064</v>
      </c>
    </row>
    <row r="733" spans="1:29" x14ac:dyDescent="0.3">
      <c r="A733" s="4" t="s">
        <v>1443</v>
      </c>
      <c r="B733" s="3" t="s">
        <v>256</v>
      </c>
      <c r="C733" s="2">
        <v>78509</v>
      </c>
      <c r="D733" s="2">
        <v>0</v>
      </c>
      <c r="E733" s="2">
        <v>1</v>
      </c>
      <c r="F733" s="2">
        <v>2</v>
      </c>
      <c r="G733" s="2">
        <v>2</v>
      </c>
      <c r="H733" s="2">
        <v>2</v>
      </c>
      <c r="I733" s="2">
        <v>2</v>
      </c>
      <c r="J733" s="2">
        <v>1</v>
      </c>
      <c r="K733" s="2">
        <v>3</v>
      </c>
      <c r="L733" s="2">
        <v>3</v>
      </c>
      <c r="M733" s="2">
        <v>0</v>
      </c>
      <c r="N733" s="2">
        <v>1</v>
      </c>
      <c r="O733" s="2">
        <v>0</v>
      </c>
      <c r="P733" s="2">
        <v>0</v>
      </c>
      <c r="Q733" s="2">
        <v>0</v>
      </c>
      <c r="R733" s="274">
        <v>38100</v>
      </c>
      <c r="S733" s="253">
        <v>12</v>
      </c>
      <c r="T733" s="254">
        <f>SUM( tabConsumo[[#This Row],[QTD.PENDENTE]]:tabConsumo[[#This Row],[07_23]] ) / tabConsumo[[#This Row],[Div]]</f>
        <v>1.4166666666666667</v>
      </c>
      <c r="U733" s="255">
        <f xml:space="preserve"> tabConsumo[[#This Row],[Média.A]] + (_xlfn.STDEV.S( tabConsumo[[#This Row],[QTD.PENDENTE]]:tabConsumo[[#This Row],[07_23]] ) * 1)</f>
        <v>2.5260670591171248</v>
      </c>
      <c r="V733" s="255">
        <f xml:space="preserve"> tabConsumo[[#This Row],[Média.A]] + (_xlfn.STDEV.S( tabConsumo[[#This Row],[QTD.PENDENTE]]:tabConsumo[[#This Row],[07_23]] ) * 2)</f>
        <v>3.6354674515675836</v>
      </c>
      <c r="W733" s="255">
        <f xml:space="preserve"> tabConsumo[[#This Row],[Média.A]] + (_xlfn.STDEV.S( tabConsumo[[#This Row],[QTD.PENDENTE]]:tabConsumo[[#This Row],[07_23]] ) * 3)</f>
        <v>4.7448678440180414</v>
      </c>
      <c r="X733" s="5">
        <f t="shared" si="26"/>
        <v>2</v>
      </c>
      <c r="Y733">
        <v>1.4166666666666667</v>
      </c>
      <c r="Z733" s="257">
        <f>SUM( tabConsumo[[#This Row],[QTD.PENDENTE]]:tabConsumo[[#This Row],[07_23]] )</f>
        <v>17</v>
      </c>
      <c r="AA733" s="257">
        <f>LARGE(tabConsumo[[#This Row],[08_22]:[07_23]],1)</f>
        <v>3</v>
      </c>
      <c r="AB733" s="175" t="s">
        <v>2213</v>
      </c>
      <c r="AC733" s="3" t="s">
        <v>2064</v>
      </c>
    </row>
    <row r="734" spans="1:29" x14ac:dyDescent="0.3">
      <c r="A734" s="4" t="s">
        <v>1177</v>
      </c>
      <c r="B734" s="3" t="s">
        <v>256</v>
      </c>
      <c r="C734" s="2">
        <v>23607</v>
      </c>
      <c r="D734" s="2">
        <v>575</v>
      </c>
      <c r="F734" s="2">
        <v>0</v>
      </c>
      <c r="G734" s="2">
        <v>0</v>
      </c>
      <c r="H734" s="2">
        <v>0</v>
      </c>
      <c r="I734" s="2">
        <v>0</v>
      </c>
      <c r="J734" s="2">
        <v>0</v>
      </c>
      <c r="K734" s="2">
        <v>0</v>
      </c>
      <c r="L734" s="2">
        <v>0</v>
      </c>
      <c r="M734" s="2">
        <v>0</v>
      </c>
      <c r="N734" s="2">
        <v>0</v>
      </c>
      <c r="O734" s="2">
        <v>0</v>
      </c>
      <c r="P734" s="2">
        <v>0</v>
      </c>
      <c r="Q734" s="2">
        <v>50</v>
      </c>
      <c r="R734" s="274">
        <v>367</v>
      </c>
      <c r="S734" s="253">
        <f t="shared" ref="S734:S746" si="27" xml:space="preserve"> 12</f>
        <v>12</v>
      </c>
      <c r="T734" s="254">
        <f>SUM( tabConsumo[[#This Row],[QTD.PENDENTE]]:tabConsumo[[#This Row],[07_23]] ) / tabConsumo[[#This Row],[Div]]</f>
        <v>4.166666666666667</v>
      </c>
      <c r="U734" s="255">
        <f xml:space="preserve"> tabConsumo[[#This Row],[Média.A]] + (_xlfn.STDEV.S( tabConsumo[[#This Row],[QTD.PENDENTE]]:tabConsumo[[#This Row],[07_23]] ) * 1)</f>
        <v>18.600423396407312</v>
      </c>
      <c r="V734" s="255">
        <f xml:space="preserve"> tabConsumo[[#This Row],[Média.A]] + (_xlfn.STDEV.S( tabConsumo[[#This Row],[QTD.PENDENTE]]:tabConsumo[[#This Row],[07_23]] ) * 2)</f>
        <v>33.034180126147952</v>
      </c>
      <c r="W734" s="255">
        <f xml:space="preserve"> tabConsumo[[#This Row],[Média.A]] + (_xlfn.STDEV.S( tabConsumo[[#This Row],[QTD.PENDENTE]]:tabConsumo[[#This Row],[07_23]] ) * 3)</f>
        <v>47.467936855888595</v>
      </c>
      <c r="X734" s="5">
        <f t="shared" si="26"/>
        <v>2</v>
      </c>
      <c r="Y734">
        <v>2.75</v>
      </c>
      <c r="Z734" s="257">
        <f>SUM( tabConsumo[[#This Row],[QTD.PENDENTE]]:tabConsumo[[#This Row],[07_23]] )</f>
        <v>50</v>
      </c>
      <c r="AA734" s="257">
        <f>LARGE(tabConsumo[[#This Row],[08_22]:[07_23]],1)</f>
        <v>50</v>
      </c>
      <c r="AB734" s="175" t="s">
        <v>2211</v>
      </c>
      <c r="AC734" s="3" t="s">
        <v>2064</v>
      </c>
    </row>
    <row r="735" spans="1:29" x14ac:dyDescent="0.3">
      <c r="A735" s="4" t="s">
        <v>1002</v>
      </c>
      <c r="B735" s="3" t="s">
        <v>256</v>
      </c>
      <c r="C735" s="2">
        <v>13094</v>
      </c>
      <c r="D735" s="2">
        <v>323</v>
      </c>
      <c r="F735" s="2">
        <v>20</v>
      </c>
      <c r="G735" s="2">
        <v>60</v>
      </c>
      <c r="H735" s="2">
        <v>15</v>
      </c>
      <c r="I735" s="2">
        <v>0</v>
      </c>
      <c r="J735" s="2">
        <v>30</v>
      </c>
      <c r="K735" s="2">
        <v>95</v>
      </c>
      <c r="L735" s="2">
        <v>253</v>
      </c>
      <c r="M735" s="2">
        <v>50</v>
      </c>
      <c r="N735" s="2">
        <v>50</v>
      </c>
      <c r="O735" s="2">
        <v>0</v>
      </c>
      <c r="P735" s="2">
        <v>100</v>
      </c>
      <c r="Q735" s="2">
        <v>50</v>
      </c>
      <c r="R735" s="274">
        <v>367</v>
      </c>
      <c r="S735" s="253">
        <f t="shared" si="27"/>
        <v>12</v>
      </c>
      <c r="T735" s="254">
        <f>SUM( tabConsumo[[#This Row],[QTD.PENDENTE]]:tabConsumo[[#This Row],[07_23]] ) / tabConsumo[[#This Row],[Div]]</f>
        <v>60.25</v>
      </c>
      <c r="U735" s="255">
        <f xml:space="preserve"> tabConsumo[[#This Row],[Média.A]] + (_xlfn.STDEV.S( tabConsumo[[#This Row],[QTD.PENDENTE]]:tabConsumo[[#This Row],[07_23]] ) * 1)</f>
        <v>129.07008824067682</v>
      </c>
      <c r="V735" s="255">
        <f xml:space="preserve"> tabConsumo[[#This Row],[Média.A]] + (_xlfn.STDEV.S( tabConsumo[[#This Row],[QTD.PENDENTE]]:tabConsumo[[#This Row],[07_23]] ) * 2)</f>
        <v>197.89017648135365</v>
      </c>
      <c r="W735" s="255">
        <f xml:space="preserve"> tabConsumo[[#This Row],[Média.A]] + (_xlfn.STDEV.S( tabConsumo[[#This Row],[QTD.PENDENTE]]:tabConsumo[[#This Row],[07_23]] ) * 3)</f>
        <v>266.7102647220305</v>
      </c>
      <c r="X735" s="5">
        <f t="shared" si="26"/>
        <v>2</v>
      </c>
      <c r="Y735">
        <v>55.583333333333336</v>
      </c>
      <c r="Z735" s="257">
        <f>SUM( tabConsumo[[#This Row],[QTD.PENDENTE]]:tabConsumo[[#This Row],[07_23]] )</f>
        <v>723</v>
      </c>
      <c r="AA735" s="257">
        <f>LARGE(tabConsumo[[#This Row],[08_22]:[07_23]],1)</f>
        <v>253</v>
      </c>
      <c r="AB735" s="175" t="s">
        <v>2211</v>
      </c>
      <c r="AC735" s="3" t="s">
        <v>2064</v>
      </c>
    </row>
    <row r="736" spans="1:29" x14ac:dyDescent="0.3">
      <c r="A736" s="4" t="s">
        <v>1032</v>
      </c>
      <c r="B736" s="3" t="s">
        <v>256</v>
      </c>
      <c r="C736" s="2">
        <v>13517</v>
      </c>
      <c r="D736" s="2">
        <v>362</v>
      </c>
      <c r="F736" s="2">
        <v>4</v>
      </c>
      <c r="G736" s="2">
        <v>0</v>
      </c>
      <c r="H736" s="2">
        <v>8</v>
      </c>
      <c r="I736" s="2">
        <v>6</v>
      </c>
      <c r="J736" s="2">
        <v>7</v>
      </c>
      <c r="K736" s="2">
        <v>1</v>
      </c>
      <c r="L736" s="2">
        <v>0</v>
      </c>
      <c r="M736" s="2">
        <v>0</v>
      </c>
      <c r="N736" s="2">
        <v>11</v>
      </c>
      <c r="O736" s="2">
        <v>0</v>
      </c>
      <c r="P736" s="2">
        <v>0</v>
      </c>
      <c r="Q736" s="2">
        <v>10</v>
      </c>
      <c r="R736" s="274">
        <v>367</v>
      </c>
      <c r="S736" s="253">
        <f t="shared" si="27"/>
        <v>12</v>
      </c>
      <c r="T736" s="254">
        <f>SUM( tabConsumo[[#This Row],[QTD.PENDENTE]]:tabConsumo[[#This Row],[07_23]] ) / tabConsumo[[#This Row],[Div]]</f>
        <v>3.9166666666666665</v>
      </c>
      <c r="U736" s="255">
        <f xml:space="preserve"> tabConsumo[[#This Row],[Média.A]] + (_xlfn.STDEV.S( tabConsumo[[#This Row],[QTD.PENDENTE]]:tabConsumo[[#This Row],[07_23]] ) * 1)</f>
        <v>8.2116602285907927</v>
      </c>
      <c r="V736" s="255">
        <f xml:space="preserve"> tabConsumo[[#This Row],[Média.A]] + (_xlfn.STDEV.S( tabConsumo[[#This Row],[QTD.PENDENTE]]:tabConsumo[[#This Row],[07_23]] ) * 2)</f>
        <v>12.506653790514919</v>
      </c>
      <c r="W736" s="255">
        <f xml:space="preserve"> tabConsumo[[#This Row],[Média.A]] + (_xlfn.STDEV.S( tabConsumo[[#This Row],[QTD.PENDENTE]]:tabConsumo[[#This Row],[07_23]] ) * 3)</f>
        <v>16.801647352439048</v>
      </c>
      <c r="X736" s="5">
        <f t="shared" si="26"/>
        <v>2</v>
      </c>
      <c r="Y736">
        <v>3.9166666666666665</v>
      </c>
      <c r="Z736" s="257">
        <f>SUM( tabConsumo[[#This Row],[QTD.PENDENTE]]:tabConsumo[[#This Row],[07_23]] )</f>
        <v>47</v>
      </c>
      <c r="AA736" s="257">
        <f>LARGE(tabConsumo[[#This Row],[08_22]:[07_23]],1)</f>
        <v>11</v>
      </c>
      <c r="AB736" s="175" t="s">
        <v>2211</v>
      </c>
      <c r="AC736" s="3" t="s">
        <v>2064</v>
      </c>
    </row>
    <row r="737" spans="1:29" x14ac:dyDescent="0.3">
      <c r="A737" s="4" t="s">
        <v>1033</v>
      </c>
      <c r="B737" s="3" t="s">
        <v>256</v>
      </c>
      <c r="C737" s="2">
        <v>13518</v>
      </c>
      <c r="D737" s="2">
        <v>125</v>
      </c>
      <c r="F737" s="2">
        <v>3</v>
      </c>
      <c r="G737" s="2">
        <v>4</v>
      </c>
      <c r="H737" s="2">
        <v>0</v>
      </c>
      <c r="I737" s="2">
        <v>8</v>
      </c>
      <c r="J737" s="2">
        <v>9</v>
      </c>
      <c r="K737" s="2">
        <v>2</v>
      </c>
      <c r="L737" s="2">
        <v>0</v>
      </c>
      <c r="M737" s="2">
        <v>5</v>
      </c>
      <c r="N737" s="2">
        <v>15</v>
      </c>
      <c r="O737" s="2">
        <v>0</v>
      </c>
      <c r="P737" s="2">
        <v>0</v>
      </c>
      <c r="Q737" s="2">
        <v>0</v>
      </c>
      <c r="R737" s="274">
        <v>367</v>
      </c>
      <c r="S737" s="253">
        <f t="shared" si="27"/>
        <v>12</v>
      </c>
      <c r="T737" s="254">
        <f>SUM( tabConsumo[[#This Row],[QTD.PENDENTE]]:tabConsumo[[#This Row],[07_23]] ) / tabConsumo[[#This Row],[Div]]</f>
        <v>3.8333333333333335</v>
      </c>
      <c r="U737" s="255">
        <f xml:space="preserve"> tabConsumo[[#This Row],[Média.A]] + (_xlfn.STDEV.S( tabConsumo[[#This Row],[QTD.PENDENTE]]:tabConsumo[[#This Row],[07_23]] ) * 1)</f>
        <v>8.578346664732047</v>
      </c>
      <c r="V737" s="255">
        <f xml:space="preserve"> tabConsumo[[#This Row],[Média.A]] + (_xlfn.STDEV.S( tabConsumo[[#This Row],[QTD.PENDENTE]]:tabConsumo[[#This Row],[07_23]] ) * 2)</f>
        <v>13.32335999613076</v>
      </c>
      <c r="W737" s="255">
        <f xml:space="preserve"> tabConsumo[[#This Row],[Média.A]] + (_xlfn.STDEV.S( tabConsumo[[#This Row],[QTD.PENDENTE]]:tabConsumo[[#This Row],[07_23]] ) * 3)</f>
        <v>18.068373327529471</v>
      </c>
      <c r="X737" s="5">
        <f t="shared" si="26"/>
        <v>2</v>
      </c>
      <c r="Y737">
        <v>3.6666666666666665</v>
      </c>
      <c r="Z737" s="257">
        <f>SUM( tabConsumo[[#This Row],[QTD.PENDENTE]]:tabConsumo[[#This Row],[07_23]] )</f>
        <v>46</v>
      </c>
      <c r="AA737" s="257">
        <f>LARGE(tabConsumo[[#This Row],[08_22]:[07_23]],1)</f>
        <v>15</v>
      </c>
      <c r="AB737" s="175" t="s">
        <v>2213</v>
      </c>
      <c r="AC737" s="3" t="s">
        <v>2064</v>
      </c>
    </row>
    <row r="738" spans="1:29" x14ac:dyDescent="0.3">
      <c r="A738" s="4" t="s">
        <v>1004</v>
      </c>
      <c r="B738" s="3" t="s">
        <v>256</v>
      </c>
      <c r="C738" s="2">
        <v>13095</v>
      </c>
      <c r="D738" s="2">
        <v>152</v>
      </c>
      <c r="F738" s="2">
        <v>16</v>
      </c>
      <c r="G738" s="2">
        <v>14</v>
      </c>
      <c r="H738" s="2">
        <v>11</v>
      </c>
      <c r="I738" s="2">
        <v>21</v>
      </c>
      <c r="J738" s="2">
        <v>8</v>
      </c>
      <c r="K738" s="2">
        <v>4</v>
      </c>
      <c r="L738" s="2">
        <v>2</v>
      </c>
      <c r="M738" s="2">
        <v>9</v>
      </c>
      <c r="N738" s="2">
        <v>19</v>
      </c>
      <c r="O738" s="2">
        <v>0</v>
      </c>
      <c r="P738" s="2">
        <v>0</v>
      </c>
      <c r="Q738" s="2">
        <v>0</v>
      </c>
      <c r="R738" s="274">
        <v>367</v>
      </c>
      <c r="S738" s="253">
        <f t="shared" si="27"/>
        <v>12</v>
      </c>
      <c r="T738" s="254">
        <f>SUM( tabConsumo[[#This Row],[QTD.PENDENTE]]:tabConsumo[[#This Row],[07_23]] ) / tabConsumo[[#This Row],[Div]]</f>
        <v>8.6666666666666661</v>
      </c>
      <c r="U738" s="255">
        <f xml:space="preserve"> tabConsumo[[#This Row],[Média.A]] + (_xlfn.STDEV.S( tabConsumo[[#This Row],[QTD.PENDENTE]]:tabConsumo[[#This Row],[07_23]] ) * 1)</f>
        <v>16.286417716445527</v>
      </c>
      <c r="V738" s="255">
        <f xml:space="preserve"> tabConsumo[[#This Row],[Média.A]] + (_xlfn.STDEV.S( tabConsumo[[#This Row],[QTD.PENDENTE]]:tabConsumo[[#This Row],[07_23]] ) * 2)</f>
        <v>23.90616876622439</v>
      </c>
      <c r="W738" s="255">
        <f xml:space="preserve"> tabConsumo[[#This Row],[Média.A]] + (_xlfn.STDEV.S( tabConsumo[[#This Row],[QTD.PENDENTE]]:tabConsumo[[#This Row],[07_23]] ) * 3)</f>
        <v>31.525919816003245</v>
      </c>
      <c r="X738" s="5">
        <f t="shared" si="26"/>
        <v>2</v>
      </c>
      <c r="Y738">
        <v>8.6666666666666661</v>
      </c>
      <c r="Z738" s="257">
        <f>SUM( tabConsumo[[#This Row],[QTD.PENDENTE]]:tabConsumo[[#This Row],[07_23]] )</f>
        <v>104</v>
      </c>
      <c r="AA738" s="257">
        <f>LARGE(tabConsumo[[#This Row],[08_22]:[07_23]],1)</f>
        <v>21</v>
      </c>
      <c r="AB738" s="175" t="s">
        <v>2213</v>
      </c>
      <c r="AC738" s="3" t="s">
        <v>2064</v>
      </c>
    </row>
    <row r="739" spans="1:29" x14ac:dyDescent="0.3">
      <c r="A739" s="4" t="s">
        <v>1006</v>
      </c>
      <c r="B739" s="3" t="s">
        <v>256</v>
      </c>
      <c r="C739" s="2">
        <v>13102</v>
      </c>
      <c r="D739" s="2">
        <v>4</v>
      </c>
      <c r="E739" s="2">
        <v>2</v>
      </c>
      <c r="F739" s="2">
        <v>0</v>
      </c>
      <c r="G739" s="2">
        <v>0</v>
      </c>
      <c r="H739" s="2">
        <v>0</v>
      </c>
      <c r="I739" s="2">
        <v>3</v>
      </c>
      <c r="J739" s="2">
        <v>0</v>
      </c>
      <c r="K739" s="2">
        <v>4</v>
      </c>
      <c r="L739" s="2">
        <v>0</v>
      </c>
      <c r="M739" s="2">
        <v>1</v>
      </c>
      <c r="N739" s="2">
        <v>18</v>
      </c>
      <c r="O739" s="2">
        <v>0</v>
      </c>
      <c r="P739" s="2">
        <v>0</v>
      </c>
      <c r="Q739" s="2">
        <v>0</v>
      </c>
      <c r="R739" s="274">
        <v>367</v>
      </c>
      <c r="S739" s="253">
        <f t="shared" si="27"/>
        <v>12</v>
      </c>
      <c r="T739" s="254">
        <f>SUM( tabConsumo[[#This Row],[QTD.PENDENTE]]:tabConsumo[[#This Row],[07_23]] ) / tabConsumo[[#This Row],[Div]]</f>
        <v>2.3333333333333335</v>
      </c>
      <c r="U739" s="255">
        <f xml:space="preserve"> tabConsumo[[#This Row],[Média.A]] + (_xlfn.STDEV.S( tabConsumo[[#This Row],[QTD.PENDENTE]]:tabConsumo[[#This Row],[07_23]] ) * 1)</f>
        <v>7.2804899888637582</v>
      </c>
      <c r="V739" s="255">
        <f xml:space="preserve"> tabConsumo[[#This Row],[Média.A]] + (_xlfn.STDEV.S( tabConsumo[[#This Row],[QTD.PENDENTE]]:tabConsumo[[#This Row],[07_23]] ) * 2)</f>
        <v>12.227646644394182</v>
      </c>
      <c r="W739" s="255">
        <f xml:space="preserve"> tabConsumo[[#This Row],[Média.A]] + (_xlfn.STDEV.S( tabConsumo[[#This Row],[QTD.PENDENTE]]:tabConsumo[[#This Row],[07_23]] ) * 3)</f>
        <v>17.174803299924605</v>
      </c>
      <c r="X739" s="5">
        <f t="shared" si="26"/>
        <v>2</v>
      </c>
      <c r="Y739">
        <v>1.8333333333333333</v>
      </c>
      <c r="Z739" s="257">
        <f>SUM( tabConsumo[[#This Row],[QTD.PENDENTE]]:tabConsumo[[#This Row],[07_23]] )</f>
        <v>28</v>
      </c>
      <c r="AA739" s="257">
        <f>LARGE(tabConsumo[[#This Row],[08_22]:[07_23]],1)</f>
        <v>18</v>
      </c>
      <c r="AB739" s="175" t="s">
        <v>2213</v>
      </c>
      <c r="AC739" s="3" t="s">
        <v>2064</v>
      </c>
    </row>
    <row r="740" spans="1:29" x14ac:dyDescent="0.3">
      <c r="A740" s="4" t="s">
        <v>1336</v>
      </c>
      <c r="B740" s="3" t="s">
        <v>256</v>
      </c>
      <c r="C740" s="2">
        <v>59069</v>
      </c>
      <c r="D740" s="2">
        <v>117</v>
      </c>
      <c r="F740" s="2">
        <v>16</v>
      </c>
      <c r="G740" s="2">
        <v>4</v>
      </c>
      <c r="H740" s="2">
        <v>0</v>
      </c>
      <c r="I740" s="2">
        <v>19</v>
      </c>
      <c r="J740" s="2">
        <v>0</v>
      </c>
      <c r="K740" s="2">
        <v>3</v>
      </c>
      <c r="L740" s="2">
        <v>6</v>
      </c>
      <c r="M740" s="2">
        <v>5</v>
      </c>
      <c r="N740" s="2">
        <v>15</v>
      </c>
      <c r="O740" s="2">
        <v>0</v>
      </c>
      <c r="P740" s="2">
        <v>0</v>
      </c>
      <c r="Q740" s="2">
        <v>0</v>
      </c>
      <c r="R740" s="274">
        <v>367</v>
      </c>
      <c r="S740" s="253">
        <f t="shared" si="27"/>
        <v>12</v>
      </c>
      <c r="T740" s="254">
        <f>SUM( tabConsumo[[#This Row],[QTD.PENDENTE]]:tabConsumo[[#This Row],[07_23]] ) / tabConsumo[[#This Row],[Div]]</f>
        <v>5.666666666666667</v>
      </c>
      <c r="U740" s="255">
        <f xml:space="preserve"> tabConsumo[[#This Row],[Média.A]] + (_xlfn.STDEV.S( tabConsumo[[#This Row],[QTD.PENDENTE]]:tabConsumo[[#This Row],[07_23]] ) * 1)</f>
        <v>12.69043583523516</v>
      </c>
      <c r="V740" s="255">
        <f xml:space="preserve"> tabConsumo[[#This Row],[Média.A]] + (_xlfn.STDEV.S( tabConsumo[[#This Row],[QTD.PENDENTE]]:tabConsumo[[#This Row],[07_23]] ) * 2)</f>
        <v>19.714205003803652</v>
      </c>
      <c r="W740" s="255">
        <f xml:space="preserve"> tabConsumo[[#This Row],[Média.A]] + (_xlfn.STDEV.S( tabConsumo[[#This Row],[QTD.PENDENTE]]:tabConsumo[[#This Row],[07_23]] ) * 3)</f>
        <v>26.737974172372148</v>
      </c>
      <c r="X740" s="5">
        <f t="shared" si="26"/>
        <v>2</v>
      </c>
      <c r="Y740">
        <v>5.666666666666667</v>
      </c>
      <c r="Z740" s="257">
        <f>SUM( tabConsumo[[#This Row],[QTD.PENDENTE]]:tabConsumo[[#This Row],[07_23]] )</f>
        <v>68</v>
      </c>
      <c r="AA740" s="257">
        <f>LARGE(tabConsumo[[#This Row],[08_22]:[07_23]],1)</f>
        <v>19</v>
      </c>
      <c r="AB740" s="175" t="s">
        <v>2213</v>
      </c>
      <c r="AC740" s="3" t="s">
        <v>2064</v>
      </c>
    </row>
    <row r="741" spans="1:29" x14ac:dyDescent="0.3">
      <c r="A741" s="4" t="s">
        <v>995</v>
      </c>
      <c r="B741" s="3" t="s">
        <v>256</v>
      </c>
      <c r="C741" s="2">
        <v>13068</v>
      </c>
      <c r="D741" s="2">
        <v>163</v>
      </c>
      <c r="F741" s="2">
        <v>3</v>
      </c>
      <c r="G741" s="2">
        <v>2</v>
      </c>
      <c r="H741" s="2">
        <v>6</v>
      </c>
      <c r="I741" s="2">
        <v>1</v>
      </c>
      <c r="J741" s="2">
        <v>7</v>
      </c>
      <c r="K741" s="2">
        <v>0</v>
      </c>
      <c r="L741" s="2">
        <v>0</v>
      </c>
      <c r="M741" s="2">
        <v>2</v>
      </c>
      <c r="N741" s="2">
        <v>20</v>
      </c>
      <c r="O741" s="2">
        <v>0</v>
      </c>
      <c r="P741" s="2">
        <v>0</v>
      </c>
      <c r="Q741" s="2">
        <v>0</v>
      </c>
      <c r="R741" s="274">
        <v>367</v>
      </c>
      <c r="S741" s="253">
        <f t="shared" si="27"/>
        <v>12</v>
      </c>
      <c r="T741" s="254">
        <f>SUM( tabConsumo[[#This Row],[QTD.PENDENTE]]:tabConsumo[[#This Row],[07_23]] ) / tabConsumo[[#This Row],[Div]]</f>
        <v>3.4166666666666665</v>
      </c>
      <c r="U741" s="255">
        <f xml:space="preserve"> tabConsumo[[#This Row],[Média.A]] + (_xlfn.STDEV.S( tabConsumo[[#This Row],[QTD.PENDENTE]]:tabConsumo[[#This Row],[07_23]] ) * 1)</f>
        <v>9.1605698902964168</v>
      </c>
      <c r="V741" s="255">
        <f xml:space="preserve"> tabConsumo[[#This Row],[Média.A]] + (_xlfn.STDEV.S( tabConsumo[[#This Row],[QTD.PENDENTE]]:tabConsumo[[#This Row],[07_23]] ) * 2)</f>
        <v>14.904473113926167</v>
      </c>
      <c r="W741" s="255">
        <f xml:space="preserve"> tabConsumo[[#This Row],[Média.A]] + (_xlfn.STDEV.S( tabConsumo[[#This Row],[QTD.PENDENTE]]:tabConsumo[[#This Row],[07_23]] ) * 3)</f>
        <v>20.64837633755592</v>
      </c>
      <c r="X741" s="5">
        <f t="shared" si="26"/>
        <v>2</v>
      </c>
      <c r="Y741">
        <v>2.9166666666666665</v>
      </c>
      <c r="Z741" s="257">
        <f>SUM( tabConsumo[[#This Row],[QTD.PENDENTE]]:tabConsumo[[#This Row],[07_23]] )</f>
        <v>41</v>
      </c>
      <c r="AA741" s="257">
        <f>LARGE(tabConsumo[[#This Row],[08_22]:[07_23]],1)</f>
        <v>20</v>
      </c>
      <c r="AB741" s="175" t="s">
        <v>2213</v>
      </c>
      <c r="AC741" s="3" t="s">
        <v>2064</v>
      </c>
    </row>
    <row r="742" spans="1:29" x14ac:dyDescent="0.3">
      <c r="A742" s="4" t="s">
        <v>1384</v>
      </c>
      <c r="B742" s="3" t="s">
        <v>256</v>
      </c>
      <c r="C742" s="2">
        <v>64648</v>
      </c>
      <c r="D742" s="2">
        <v>14</v>
      </c>
      <c r="F742" s="2">
        <v>0</v>
      </c>
      <c r="G742" s="2">
        <v>0</v>
      </c>
      <c r="H742" s="2">
        <v>0</v>
      </c>
      <c r="I742" s="2">
        <v>0</v>
      </c>
      <c r="J742" s="2">
        <v>1</v>
      </c>
      <c r="K742" s="2">
        <v>0</v>
      </c>
      <c r="L742" s="2">
        <v>1</v>
      </c>
      <c r="M742" s="2">
        <v>1</v>
      </c>
      <c r="N742" s="2">
        <v>0</v>
      </c>
      <c r="O742" s="2">
        <v>0</v>
      </c>
      <c r="P742" s="2">
        <v>0</v>
      </c>
      <c r="Q742" s="2">
        <v>0</v>
      </c>
      <c r="R742" s="274">
        <v>367</v>
      </c>
      <c r="S742" s="253">
        <f t="shared" si="27"/>
        <v>12</v>
      </c>
      <c r="T742" s="254">
        <f>SUM( tabConsumo[[#This Row],[QTD.PENDENTE]]:tabConsumo[[#This Row],[07_23]] ) / tabConsumo[[#This Row],[Div]]</f>
        <v>0.25</v>
      </c>
      <c r="U742" s="255">
        <f xml:space="preserve"> tabConsumo[[#This Row],[Média.A]] + (_xlfn.STDEV.S( tabConsumo[[#This Row],[QTD.PENDENTE]]:tabConsumo[[#This Row],[07_23]] ) * 1)</f>
        <v>0.70226701686664539</v>
      </c>
      <c r="V742" s="255">
        <f xml:space="preserve"> tabConsumo[[#This Row],[Média.A]] + (_xlfn.STDEV.S( tabConsumo[[#This Row],[QTD.PENDENTE]]:tabConsumo[[#This Row],[07_23]] ) * 2)</f>
        <v>1.1545340337332908</v>
      </c>
      <c r="W742" s="255">
        <f xml:space="preserve"> tabConsumo[[#This Row],[Média.A]] + (_xlfn.STDEV.S( tabConsumo[[#This Row],[QTD.PENDENTE]]:tabConsumo[[#This Row],[07_23]] ) * 3)</f>
        <v>1.6068010505999364</v>
      </c>
      <c r="X742" s="5">
        <f t="shared" si="26"/>
        <v>2</v>
      </c>
      <c r="Y742">
        <v>0.25</v>
      </c>
      <c r="Z742" s="257">
        <f>SUM( tabConsumo[[#This Row],[QTD.PENDENTE]]:tabConsumo[[#This Row],[07_23]] )</f>
        <v>3</v>
      </c>
      <c r="AA742" s="257">
        <f>LARGE(tabConsumo[[#This Row],[08_22]:[07_23]],1)</f>
        <v>1</v>
      </c>
      <c r="AB742" s="175" t="s">
        <v>2217</v>
      </c>
      <c r="AC742" s="3" t="s">
        <v>2064</v>
      </c>
    </row>
    <row r="743" spans="1:29" x14ac:dyDescent="0.3">
      <c r="A743" s="4" t="s">
        <v>996</v>
      </c>
      <c r="B743" s="3" t="s">
        <v>256</v>
      </c>
      <c r="C743" s="2">
        <v>13072</v>
      </c>
      <c r="D743" s="2">
        <v>305</v>
      </c>
      <c r="F743" s="2">
        <v>87</v>
      </c>
      <c r="G743" s="2">
        <v>21</v>
      </c>
      <c r="H743" s="2">
        <v>32</v>
      </c>
      <c r="I743" s="2">
        <v>25</v>
      </c>
      <c r="J743" s="2">
        <v>45</v>
      </c>
      <c r="K743" s="2">
        <v>10</v>
      </c>
      <c r="L743" s="2">
        <v>42</v>
      </c>
      <c r="M743" s="2">
        <v>43</v>
      </c>
      <c r="N743" s="2">
        <v>35</v>
      </c>
      <c r="O743" s="2">
        <v>0</v>
      </c>
      <c r="P743" s="2">
        <v>0</v>
      </c>
      <c r="Q743" s="2">
        <v>20</v>
      </c>
      <c r="R743" s="274">
        <v>367</v>
      </c>
      <c r="S743" s="253">
        <f t="shared" si="27"/>
        <v>12</v>
      </c>
      <c r="T743" s="254">
        <f>SUM( tabConsumo[[#This Row],[QTD.PENDENTE]]:tabConsumo[[#This Row],[07_23]] ) / tabConsumo[[#This Row],[Div]]</f>
        <v>30</v>
      </c>
      <c r="U743" s="255">
        <f xml:space="preserve"> tabConsumo[[#This Row],[Média.A]] + (_xlfn.STDEV.S( tabConsumo[[#This Row],[QTD.PENDENTE]]:tabConsumo[[#This Row],[07_23]] ) * 1)</f>
        <v>53.783110890637573</v>
      </c>
      <c r="V743" s="255">
        <f xml:space="preserve"> tabConsumo[[#This Row],[Média.A]] + (_xlfn.STDEV.S( tabConsumo[[#This Row],[QTD.PENDENTE]]:tabConsumo[[#This Row],[07_23]] ) * 2)</f>
        <v>77.566221781275146</v>
      </c>
      <c r="W743" s="255">
        <f xml:space="preserve"> tabConsumo[[#This Row],[Média.A]] + (_xlfn.STDEV.S( tabConsumo[[#This Row],[QTD.PENDENTE]]:tabConsumo[[#This Row],[07_23]] ) * 3)</f>
        <v>101.34933267191273</v>
      </c>
      <c r="X743" s="5">
        <f t="shared" si="26"/>
        <v>2</v>
      </c>
      <c r="Y743">
        <v>29.166666666666668</v>
      </c>
      <c r="Z743" s="257">
        <f>SUM( tabConsumo[[#This Row],[QTD.PENDENTE]]:tabConsumo[[#This Row],[07_23]] )</f>
        <v>360</v>
      </c>
      <c r="AA743" s="257">
        <f>LARGE(tabConsumo[[#This Row],[08_22]:[07_23]],1)</f>
        <v>87</v>
      </c>
      <c r="AB743" s="175" t="s">
        <v>2211</v>
      </c>
      <c r="AC743" s="3" t="s">
        <v>2064</v>
      </c>
    </row>
    <row r="744" spans="1:29" x14ac:dyDescent="0.3">
      <c r="A744" s="4" t="s">
        <v>1351</v>
      </c>
      <c r="B744" s="3" t="s">
        <v>256</v>
      </c>
      <c r="C744" s="2">
        <v>61200</v>
      </c>
      <c r="D744" s="2">
        <v>49</v>
      </c>
      <c r="F744" s="2">
        <v>6</v>
      </c>
      <c r="G744" s="2">
        <v>6</v>
      </c>
      <c r="H744" s="2">
        <v>0</v>
      </c>
      <c r="I744" s="2">
        <v>13</v>
      </c>
      <c r="J744" s="2">
        <v>8</v>
      </c>
      <c r="K744" s="2">
        <v>0</v>
      </c>
      <c r="L744" s="2">
        <v>8</v>
      </c>
      <c r="M744" s="2">
        <v>6</v>
      </c>
      <c r="N744" s="2">
        <v>15</v>
      </c>
      <c r="O744" s="2">
        <v>0</v>
      </c>
      <c r="P744" s="2">
        <v>0</v>
      </c>
      <c r="Q744" s="2">
        <v>0</v>
      </c>
      <c r="R744" s="274">
        <v>367</v>
      </c>
      <c r="S744" s="253">
        <f t="shared" si="27"/>
        <v>12</v>
      </c>
      <c r="T744" s="254">
        <f>SUM( tabConsumo[[#This Row],[QTD.PENDENTE]]:tabConsumo[[#This Row],[07_23]] ) / tabConsumo[[#This Row],[Div]]</f>
        <v>5.166666666666667</v>
      </c>
      <c r="U744" s="255">
        <f xml:space="preserve"> tabConsumo[[#This Row],[Média.A]] + (_xlfn.STDEV.S( tabConsumo[[#This Row],[QTD.PENDENTE]]:tabConsumo[[#This Row],[07_23]] ) * 1)</f>
        <v>10.472466809106557</v>
      </c>
      <c r="V744" s="255">
        <f xml:space="preserve"> tabConsumo[[#This Row],[Média.A]] + (_xlfn.STDEV.S( tabConsumo[[#This Row],[QTD.PENDENTE]]:tabConsumo[[#This Row],[07_23]] ) * 2)</f>
        <v>15.778266951546446</v>
      </c>
      <c r="W744" s="255">
        <f xml:space="preserve"> tabConsumo[[#This Row],[Média.A]] + (_xlfn.STDEV.S( tabConsumo[[#This Row],[QTD.PENDENTE]]:tabConsumo[[#This Row],[07_23]] ) * 3)</f>
        <v>21.084067093986338</v>
      </c>
      <c r="X744" s="5">
        <f t="shared" si="26"/>
        <v>2</v>
      </c>
      <c r="Y744">
        <v>5.166666666666667</v>
      </c>
      <c r="Z744" s="257">
        <f>SUM( tabConsumo[[#This Row],[QTD.PENDENTE]]:tabConsumo[[#This Row],[07_23]] )</f>
        <v>62</v>
      </c>
      <c r="AA744" s="257">
        <f>LARGE(tabConsumo[[#This Row],[08_22]:[07_23]],1)</f>
        <v>15</v>
      </c>
      <c r="AB744" s="175" t="s">
        <v>2213</v>
      </c>
      <c r="AC744" s="3" t="s">
        <v>2064</v>
      </c>
    </row>
    <row r="745" spans="1:29" x14ac:dyDescent="0.3">
      <c r="A745" s="4" t="s">
        <v>1364</v>
      </c>
      <c r="B745" s="3" t="s">
        <v>629</v>
      </c>
      <c r="C745" s="2">
        <v>64044</v>
      </c>
      <c r="D745" s="2">
        <v>320</v>
      </c>
      <c r="F745" s="2">
        <v>40</v>
      </c>
      <c r="G745" s="2">
        <v>0</v>
      </c>
      <c r="H745" s="2">
        <v>140</v>
      </c>
      <c r="I745" s="2">
        <v>0</v>
      </c>
      <c r="J745" s="2">
        <v>0</v>
      </c>
      <c r="K745" s="2">
        <v>0</v>
      </c>
      <c r="L745" s="2">
        <v>10</v>
      </c>
      <c r="M745" s="2">
        <v>0</v>
      </c>
      <c r="N745" s="2">
        <v>0</v>
      </c>
      <c r="O745" s="2">
        <v>0</v>
      </c>
      <c r="P745" s="2">
        <v>20</v>
      </c>
      <c r="Q745" s="2">
        <v>0</v>
      </c>
      <c r="R745" s="274">
        <v>367</v>
      </c>
      <c r="S745" s="253">
        <f t="shared" si="27"/>
        <v>12</v>
      </c>
      <c r="T745" s="254">
        <f>SUM( tabConsumo[[#This Row],[QTD.PENDENTE]]:tabConsumo[[#This Row],[07_23]] ) / tabConsumo[[#This Row],[Div]]</f>
        <v>17.5</v>
      </c>
      <c r="U745" s="255">
        <f xml:space="preserve"> tabConsumo[[#This Row],[Média.A]] + (_xlfn.STDEV.S( tabConsumo[[#This Row],[QTD.PENDENTE]]:tabConsumo[[#This Row],[07_23]] ) * 1)</f>
        <v>57.980073661449332</v>
      </c>
      <c r="V745" s="255">
        <f xml:space="preserve"> tabConsumo[[#This Row],[Média.A]] + (_xlfn.STDEV.S( tabConsumo[[#This Row],[QTD.PENDENTE]]:tabConsumo[[#This Row],[07_23]] ) * 2)</f>
        <v>98.460147322898663</v>
      </c>
      <c r="W745" s="255">
        <f xml:space="preserve"> tabConsumo[[#This Row],[Média.A]] + (_xlfn.STDEV.S( tabConsumo[[#This Row],[QTD.PENDENTE]]:tabConsumo[[#This Row],[07_23]] ) * 3)</f>
        <v>138.940220984348</v>
      </c>
      <c r="X745" s="5">
        <f t="shared" si="26"/>
        <v>2</v>
      </c>
      <c r="Y745">
        <v>14</v>
      </c>
      <c r="Z745" s="257">
        <f>SUM( tabConsumo[[#This Row],[QTD.PENDENTE]]:tabConsumo[[#This Row],[07_23]] )</f>
        <v>210</v>
      </c>
      <c r="AA745" s="257">
        <f>LARGE(tabConsumo[[#This Row],[08_22]:[07_23]],1)</f>
        <v>140</v>
      </c>
      <c r="AB745" s="175" t="s">
        <v>2212</v>
      </c>
      <c r="AC745" s="3" t="s">
        <v>2064</v>
      </c>
    </row>
    <row r="746" spans="1:29" x14ac:dyDescent="0.3">
      <c r="A746" s="4" t="s">
        <v>1321</v>
      </c>
      <c r="B746" s="3" t="s">
        <v>629</v>
      </c>
      <c r="C746" s="2">
        <v>54680</v>
      </c>
      <c r="D746" s="2">
        <v>130</v>
      </c>
      <c r="F746" s="2">
        <v>0</v>
      </c>
      <c r="G746" s="2">
        <v>0</v>
      </c>
      <c r="H746" s="2">
        <v>0</v>
      </c>
      <c r="I746" s="2">
        <v>0</v>
      </c>
      <c r="J746" s="2">
        <v>0</v>
      </c>
      <c r="K746" s="2">
        <v>41</v>
      </c>
      <c r="L746" s="2">
        <v>0</v>
      </c>
      <c r="M746" s="2">
        <v>70</v>
      </c>
      <c r="N746" s="2">
        <v>0</v>
      </c>
      <c r="O746" s="2">
        <v>0</v>
      </c>
      <c r="P746" s="2">
        <v>40</v>
      </c>
      <c r="Q746" s="2">
        <v>0</v>
      </c>
      <c r="R746" s="274">
        <v>367</v>
      </c>
      <c r="S746" s="253">
        <f t="shared" si="27"/>
        <v>12</v>
      </c>
      <c r="T746" s="254">
        <f>SUM( tabConsumo[[#This Row],[QTD.PENDENTE]]:tabConsumo[[#This Row],[07_23]] ) / tabConsumo[[#This Row],[Div]]</f>
        <v>12.583333333333334</v>
      </c>
      <c r="U746" s="255">
        <f xml:space="preserve"> tabConsumo[[#This Row],[Média.A]] + (_xlfn.STDEV.S( tabConsumo[[#This Row],[QTD.PENDENTE]]:tabConsumo[[#This Row],[07_23]] ) * 1)</f>
        <v>36.478781105710908</v>
      </c>
      <c r="V746" s="255">
        <f xml:space="preserve"> tabConsumo[[#This Row],[Média.A]] + (_xlfn.STDEV.S( tabConsumo[[#This Row],[QTD.PENDENTE]]:tabConsumo[[#This Row],[07_23]] ) * 2)</f>
        <v>60.374228878088481</v>
      </c>
      <c r="W746" s="255">
        <f xml:space="preserve"> tabConsumo[[#This Row],[Média.A]] + (_xlfn.STDEV.S( tabConsumo[[#This Row],[QTD.PENDENTE]]:tabConsumo[[#This Row],[07_23]] ) * 3)</f>
        <v>84.269676650466053</v>
      </c>
      <c r="X746" s="5">
        <f t="shared" si="26"/>
        <v>2</v>
      </c>
      <c r="Y746">
        <v>11.75</v>
      </c>
      <c r="Z746" s="257">
        <f>SUM( tabConsumo[[#This Row],[QTD.PENDENTE]]:tabConsumo[[#This Row],[07_23]] )</f>
        <v>151</v>
      </c>
      <c r="AA746" s="257">
        <f>LARGE(tabConsumo[[#This Row],[08_22]:[07_23]],1)</f>
        <v>70</v>
      </c>
      <c r="AB746" s="175" t="s">
        <v>2212</v>
      </c>
      <c r="AC746" s="3" t="s">
        <v>2064</v>
      </c>
    </row>
    <row r="747" spans="1:29" x14ac:dyDescent="0.3">
      <c r="A747" s="4" t="s">
        <v>1844</v>
      </c>
      <c r="B747" s="3" t="s">
        <v>281</v>
      </c>
      <c r="C747" s="2">
        <v>133433</v>
      </c>
      <c r="D747" s="2">
        <v>153</v>
      </c>
      <c r="F747" s="2">
        <v>0</v>
      </c>
      <c r="G747" s="2">
        <v>1</v>
      </c>
      <c r="H747" s="2">
        <v>0</v>
      </c>
      <c r="I747" s="2">
        <v>0</v>
      </c>
      <c r="J747" s="2">
        <v>1</v>
      </c>
      <c r="K747" s="2">
        <v>0</v>
      </c>
      <c r="L747" s="2">
        <v>0</v>
      </c>
      <c r="M747" s="2">
        <v>6</v>
      </c>
      <c r="N747" s="2">
        <v>0</v>
      </c>
      <c r="O747" s="2">
        <v>0</v>
      </c>
      <c r="P747" s="2">
        <v>0</v>
      </c>
      <c r="Q747" s="2">
        <v>4</v>
      </c>
      <c r="R747" s="274">
        <v>42996</v>
      </c>
      <c r="S747" s="253">
        <v>12</v>
      </c>
      <c r="T747" s="254">
        <f>SUM( tabConsumo[[#This Row],[QTD.PENDENTE]]:tabConsumo[[#This Row],[07_23]] ) / tabConsumo[[#This Row],[Div]]</f>
        <v>1</v>
      </c>
      <c r="U747" s="255">
        <f xml:space="preserve"> tabConsumo[[#This Row],[Média.A]] + (_xlfn.STDEV.S( tabConsumo[[#This Row],[QTD.PENDENTE]]:tabConsumo[[#This Row],[07_23]] ) * 1)</f>
        <v>2.9540168418367889</v>
      </c>
      <c r="V747" s="255">
        <f xml:space="preserve"> tabConsumo[[#This Row],[Média.A]] + (_xlfn.STDEV.S( tabConsumo[[#This Row],[QTD.PENDENTE]]:tabConsumo[[#This Row],[07_23]] ) * 2)</f>
        <v>4.9080336836735778</v>
      </c>
      <c r="W747" s="255">
        <f xml:space="preserve"> tabConsumo[[#This Row],[Média.A]] + (_xlfn.STDEV.S( tabConsumo[[#This Row],[QTD.PENDENTE]]:tabConsumo[[#This Row],[07_23]] ) * 3)</f>
        <v>6.8620505255103668</v>
      </c>
      <c r="X747" s="5">
        <f t="shared" si="26"/>
        <v>2</v>
      </c>
      <c r="Y747">
        <v>0.83333333333333337</v>
      </c>
      <c r="Z747" s="257">
        <f>SUM( tabConsumo[[#This Row],[QTD.PENDENTE]]:tabConsumo[[#This Row],[07_23]] )</f>
        <v>12</v>
      </c>
      <c r="AA747" s="257">
        <f>LARGE(tabConsumo[[#This Row],[08_22]:[07_23]],1)</f>
        <v>6</v>
      </c>
      <c r="AB747" s="175" t="s">
        <v>2211</v>
      </c>
      <c r="AC747" s="3" t="s">
        <v>2064</v>
      </c>
    </row>
    <row r="748" spans="1:29" x14ac:dyDescent="0.3">
      <c r="A748" s="4" t="s">
        <v>1451</v>
      </c>
      <c r="B748" s="3" t="s">
        <v>256</v>
      </c>
      <c r="C748" s="2">
        <v>80298</v>
      </c>
      <c r="D748" s="2">
        <v>35</v>
      </c>
      <c r="F748" s="2">
        <v>1</v>
      </c>
      <c r="G748" s="2">
        <v>0</v>
      </c>
      <c r="H748" s="2">
        <v>2</v>
      </c>
      <c r="I748" s="2">
        <v>0</v>
      </c>
      <c r="J748" s="2">
        <v>2</v>
      </c>
      <c r="K748" s="2">
        <v>0</v>
      </c>
      <c r="L748" s="2">
        <v>2</v>
      </c>
      <c r="M748" s="2">
        <v>0</v>
      </c>
      <c r="N748" s="2">
        <v>0</v>
      </c>
      <c r="O748" s="2">
        <v>0</v>
      </c>
      <c r="P748" s="2">
        <v>2</v>
      </c>
      <c r="Q748" s="2">
        <v>0</v>
      </c>
      <c r="R748" s="274">
        <v>38166</v>
      </c>
      <c r="S748" s="253">
        <v>12</v>
      </c>
      <c r="T748" s="254">
        <f>SUM( tabConsumo[[#This Row],[QTD.PENDENTE]]:tabConsumo[[#This Row],[07_23]] ) / tabConsumo[[#This Row],[Div]]</f>
        <v>0.75</v>
      </c>
      <c r="U748" s="255">
        <f xml:space="preserve"> tabConsumo[[#This Row],[Média.A]] + (_xlfn.STDEV.S( tabConsumo[[#This Row],[QTD.PENDENTE]]:tabConsumo[[#This Row],[07_23]] ) * 1)</f>
        <v>1.7153072991634226</v>
      </c>
      <c r="V748" s="255">
        <f xml:space="preserve"> tabConsumo[[#This Row],[Média.A]] + (_xlfn.STDEV.S( tabConsumo[[#This Row],[QTD.PENDENTE]]:tabConsumo[[#This Row],[07_23]] ) * 2)</f>
        <v>2.6806145983268452</v>
      </c>
      <c r="W748" s="255">
        <f xml:space="preserve"> tabConsumo[[#This Row],[Média.A]] + (_xlfn.STDEV.S( tabConsumo[[#This Row],[QTD.PENDENTE]]:tabConsumo[[#This Row],[07_23]] ) * 3)</f>
        <v>3.6459218974902683</v>
      </c>
      <c r="X748" s="5">
        <f t="shared" si="26"/>
        <v>2</v>
      </c>
      <c r="Y748">
        <v>0.75</v>
      </c>
      <c r="Z748" s="257">
        <f>SUM( tabConsumo[[#This Row],[QTD.PENDENTE]]:tabConsumo[[#This Row],[07_23]] )</f>
        <v>9</v>
      </c>
      <c r="AA748" s="257">
        <f>LARGE(tabConsumo[[#This Row],[08_22]:[07_23]],1)</f>
        <v>2</v>
      </c>
      <c r="AB748" s="175" t="s">
        <v>2212</v>
      </c>
      <c r="AC748" s="3" t="s">
        <v>2064</v>
      </c>
    </row>
    <row r="749" spans="1:29" x14ac:dyDescent="0.3">
      <c r="A749" s="4" t="s">
        <v>792</v>
      </c>
      <c r="B749" s="3" t="s">
        <v>256</v>
      </c>
      <c r="C749" s="2">
        <v>50476</v>
      </c>
      <c r="D749" s="2">
        <v>571</v>
      </c>
      <c r="F749" s="2">
        <v>0</v>
      </c>
      <c r="G749" s="2">
        <v>0</v>
      </c>
      <c r="H749" s="2">
        <v>0</v>
      </c>
      <c r="I749" s="2">
        <v>0</v>
      </c>
      <c r="J749" s="2">
        <v>11</v>
      </c>
      <c r="K749" s="2">
        <v>0</v>
      </c>
      <c r="L749" s="2">
        <v>0</v>
      </c>
      <c r="M749" s="2">
        <v>0</v>
      </c>
      <c r="N749" s="2">
        <v>0</v>
      </c>
      <c r="O749" s="2">
        <v>0</v>
      </c>
      <c r="P749" s="2">
        <v>0</v>
      </c>
      <c r="Q749" s="2">
        <v>0</v>
      </c>
      <c r="R749" s="274">
        <v>367</v>
      </c>
      <c r="S749" s="253">
        <f xml:space="preserve"> 12</f>
        <v>12</v>
      </c>
      <c r="T749" s="254">
        <f>SUM( tabConsumo[[#This Row],[QTD.PENDENTE]]:tabConsumo[[#This Row],[07_23]] ) / tabConsumo[[#This Row],[Div]]</f>
        <v>0.91666666666666663</v>
      </c>
      <c r="U749" s="255">
        <f xml:space="preserve"> tabConsumo[[#This Row],[Média.A]] + (_xlfn.STDEV.S( tabConsumo[[#This Row],[QTD.PENDENTE]]:tabConsumo[[#This Row],[07_23]] ) * 1)</f>
        <v>4.0920931472096083</v>
      </c>
      <c r="V749" s="255">
        <f xml:space="preserve"> tabConsumo[[#This Row],[Média.A]] + (_xlfn.STDEV.S( tabConsumo[[#This Row],[QTD.PENDENTE]]:tabConsumo[[#This Row],[07_23]] ) * 2)</f>
        <v>7.2675196277525504</v>
      </c>
      <c r="W749" s="255">
        <f xml:space="preserve"> tabConsumo[[#This Row],[Média.A]] + (_xlfn.STDEV.S( tabConsumo[[#This Row],[QTD.PENDENTE]]:tabConsumo[[#This Row],[07_23]] ) * 3)</f>
        <v>10.442946108295491</v>
      </c>
      <c r="X749" s="5">
        <f t="shared" si="26"/>
        <v>2</v>
      </c>
      <c r="Y749">
        <v>0.58333333333333337</v>
      </c>
      <c r="Z749" s="257">
        <f>SUM( tabConsumo[[#This Row],[QTD.PENDENTE]]:tabConsumo[[#This Row],[07_23]] )</f>
        <v>11</v>
      </c>
      <c r="AA749" s="257">
        <f>LARGE(tabConsumo[[#This Row],[08_22]:[07_23]],1)</f>
        <v>11</v>
      </c>
      <c r="AB749" s="175" t="s">
        <v>2222</v>
      </c>
      <c r="AC749" s="3" t="s">
        <v>2064</v>
      </c>
    </row>
    <row r="750" spans="1:29" x14ac:dyDescent="0.3">
      <c r="A750" s="4" t="s">
        <v>1272</v>
      </c>
      <c r="B750" s="3" t="s">
        <v>256</v>
      </c>
      <c r="C750" s="2">
        <v>40086</v>
      </c>
      <c r="D750" s="2">
        <v>927</v>
      </c>
      <c r="F750" s="2">
        <v>0</v>
      </c>
      <c r="G750" s="2">
        <v>0</v>
      </c>
      <c r="H750" s="2">
        <v>0</v>
      </c>
      <c r="I750" s="2">
        <v>0</v>
      </c>
      <c r="J750" s="2">
        <v>24</v>
      </c>
      <c r="K750" s="2">
        <v>0</v>
      </c>
      <c r="L750" s="2">
        <v>0</v>
      </c>
      <c r="M750" s="2">
        <v>0</v>
      </c>
      <c r="N750" s="2">
        <v>0</v>
      </c>
      <c r="O750" s="2">
        <v>0</v>
      </c>
      <c r="P750" s="2">
        <v>0</v>
      </c>
      <c r="Q750" s="2">
        <v>0</v>
      </c>
      <c r="R750" s="274">
        <v>367</v>
      </c>
      <c r="S750" s="253">
        <f xml:space="preserve"> 12</f>
        <v>12</v>
      </c>
      <c r="T750" s="254">
        <f>SUM( tabConsumo[[#This Row],[QTD.PENDENTE]]:tabConsumo[[#This Row],[07_23]] ) / tabConsumo[[#This Row],[Div]]</f>
        <v>2</v>
      </c>
      <c r="U750" s="255">
        <f xml:space="preserve"> tabConsumo[[#This Row],[Média.A]] + (_xlfn.STDEV.S( tabConsumo[[#This Row],[QTD.PENDENTE]]:tabConsumo[[#This Row],[07_23]] ) * 1)</f>
        <v>8.9282032302755088</v>
      </c>
      <c r="V750" s="255">
        <f xml:space="preserve"> tabConsumo[[#This Row],[Média.A]] + (_xlfn.STDEV.S( tabConsumo[[#This Row],[QTD.PENDENTE]]:tabConsumo[[#This Row],[07_23]] ) * 2)</f>
        <v>15.856406460551018</v>
      </c>
      <c r="W750" s="255">
        <f xml:space="preserve"> tabConsumo[[#This Row],[Média.A]] + (_xlfn.STDEV.S( tabConsumo[[#This Row],[QTD.PENDENTE]]:tabConsumo[[#This Row],[07_23]] ) * 3)</f>
        <v>22.784609690826528</v>
      </c>
      <c r="X750" s="5">
        <f t="shared" si="26"/>
        <v>2</v>
      </c>
      <c r="Y750">
        <v>1.25</v>
      </c>
      <c r="Z750" s="257">
        <f>SUM( tabConsumo[[#This Row],[QTD.PENDENTE]]:tabConsumo[[#This Row],[07_23]] )</f>
        <v>24</v>
      </c>
      <c r="AA750" s="257">
        <f>LARGE(tabConsumo[[#This Row],[08_22]:[07_23]],1)</f>
        <v>24</v>
      </c>
      <c r="AB750" s="175" t="s">
        <v>2222</v>
      </c>
      <c r="AC750" s="3" t="s">
        <v>2064</v>
      </c>
    </row>
    <row r="751" spans="1:29" x14ac:dyDescent="0.3">
      <c r="A751" s="4" t="s">
        <v>1691</v>
      </c>
      <c r="B751" s="3" t="s">
        <v>256</v>
      </c>
      <c r="C751" s="2">
        <v>114297</v>
      </c>
      <c r="D751" s="2">
        <v>4224</v>
      </c>
      <c r="F751" s="2">
        <v>0</v>
      </c>
      <c r="G751" s="2">
        <v>0</v>
      </c>
      <c r="H751" s="2">
        <v>0</v>
      </c>
      <c r="I751" s="2">
        <v>15</v>
      </c>
      <c r="J751" s="2">
        <v>28</v>
      </c>
      <c r="K751" s="2">
        <v>0</v>
      </c>
      <c r="L751" s="2">
        <v>10</v>
      </c>
      <c r="M751" s="2">
        <v>0</v>
      </c>
      <c r="N751" s="2">
        <v>0</v>
      </c>
      <c r="O751" s="2">
        <v>0</v>
      </c>
      <c r="P751" s="2">
        <v>0</v>
      </c>
      <c r="Q751" s="2">
        <v>0</v>
      </c>
      <c r="R751" s="274">
        <v>40240</v>
      </c>
      <c r="S751" s="253">
        <v>12</v>
      </c>
      <c r="T751" s="254">
        <f>SUM( tabConsumo[[#This Row],[QTD.PENDENTE]]:tabConsumo[[#This Row],[07_23]] ) / tabConsumo[[#This Row],[Div]]</f>
        <v>4.416666666666667</v>
      </c>
      <c r="U751" s="255">
        <f xml:space="preserve"> tabConsumo[[#This Row],[Média.A]] + (_xlfn.STDEV.S( tabConsumo[[#This Row],[QTD.PENDENTE]]:tabConsumo[[#This Row],[07_23]] ) * 1)</f>
        <v>13.33506780071972</v>
      </c>
      <c r="V751" s="255">
        <f xml:space="preserve"> tabConsumo[[#This Row],[Média.A]] + (_xlfn.STDEV.S( tabConsumo[[#This Row],[QTD.PENDENTE]]:tabConsumo[[#This Row],[07_23]] ) * 2)</f>
        <v>22.253468934772773</v>
      </c>
      <c r="W751" s="255">
        <f xml:space="preserve"> tabConsumo[[#This Row],[Média.A]] + (_xlfn.STDEV.S( tabConsumo[[#This Row],[QTD.PENDENTE]]:tabConsumo[[#This Row],[07_23]] ) * 3)</f>
        <v>31.171870068825825</v>
      </c>
      <c r="X751" s="5">
        <f t="shared" si="26"/>
        <v>2</v>
      </c>
      <c r="Y751">
        <v>3.9166666666666665</v>
      </c>
      <c r="Z751" s="257">
        <f>SUM( tabConsumo[[#This Row],[QTD.PENDENTE]]:tabConsumo[[#This Row],[07_23]] )</f>
        <v>53</v>
      </c>
      <c r="AA751" s="257">
        <f>LARGE(tabConsumo[[#This Row],[08_22]:[07_23]],1)</f>
        <v>28</v>
      </c>
      <c r="AB751" s="175" t="s">
        <v>2221</v>
      </c>
      <c r="AC751" s="3" t="s">
        <v>2064</v>
      </c>
    </row>
    <row r="752" spans="1:29" x14ac:dyDescent="0.3">
      <c r="A752" s="4" t="s">
        <v>1412</v>
      </c>
      <c r="B752" s="3" t="s">
        <v>256</v>
      </c>
      <c r="C752" s="2">
        <v>76218</v>
      </c>
      <c r="D752" s="2">
        <v>36</v>
      </c>
      <c r="F752" s="2">
        <v>2</v>
      </c>
      <c r="G752" s="2">
        <v>1</v>
      </c>
      <c r="H752" s="2">
        <v>0</v>
      </c>
      <c r="I752" s="2">
        <v>0</v>
      </c>
      <c r="J752" s="2">
        <v>0</v>
      </c>
      <c r="K752" s="2">
        <v>0</v>
      </c>
      <c r="L752" s="2">
        <v>0</v>
      </c>
      <c r="M752" s="2">
        <v>0</v>
      </c>
      <c r="N752" s="2">
        <v>4</v>
      </c>
      <c r="O752" s="2">
        <v>0</v>
      </c>
      <c r="P752" s="2">
        <v>0</v>
      </c>
      <c r="Q752" s="2">
        <v>0</v>
      </c>
      <c r="R752" s="274">
        <v>37956</v>
      </c>
      <c r="S752" s="253">
        <v>12</v>
      </c>
      <c r="T752" s="254">
        <f>SUM( tabConsumo[[#This Row],[QTD.PENDENTE]]:tabConsumo[[#This Row],[07_23]] ) / tabConsumo[[#This Row],[Div]]</f>
        <v>0.58333333333333337</v>
      </c>
      <c r="U752" s="255">
        <f xml:space="preserve"> tabConsumo[[#This Row],[Média.A]] + (_xlfn.STDEV.S( tabConsumo[[#This Row],[QTD.PENDENTE]]:tabConsumo[[#This Row],[07_23]] ) * 1)</f>
        <v>1.8234457427054789</v>
      </c>
      <c r="V752" s="255">
        <f xml:space="preserve"> tabConsumo[[#This Row],[Média.A]] + (_xlfn.STDEV.S( tabConsumo[[#This Row],[QTD.PENDENTE]]:tabConsumo[[#This Row],[07_23]] ) * 2)</f>
        <v>3.0635581520776247</v>
      </c>
      <c r="W752" s="255">
        <f xml:space="preserve"> tabConsumo[[#This Row],[Média.A]] + (_xlfn.STDEV.S( tabConsumo[[#This Row],[QTD.PENDENTE]]:tabConsumo[[#This Row],[07_23]] ) * 3)</f>
        <v>4.3036705614497697</v>
      </c>
      <c r="X752" s="5">
        <f t="shared" si="26"/>
        <v>2</v>
      </c>
      <c r="Y752">
        <v>0.5</v>
      </c>
      <c r="Z752" s="257">
        <f>SUM( tabConsumo[[#This Row],[QTD.PENDENTE]]:tabConsumo[[#This Row],[07_23]] )</f>
        <v>7</v>
      </c>
      <c r="AA752" s="257">
        <f>LARGE(tabConsumo[[#This Row],[08_22]:[07_23]],1)</f>
        <v>4</v>
      </c>
      <c r="AB752" s="175" t="s">
        <v>2213</v>
      </c>
      <c r="AC752" s="3" t="s">
        <v>2064</v>
      </c>
    </row>
    <row r="753" spans="1:29" x14ac:dyDescent="0.3">
      <c r="A753" s="4" t="s">
        <v>1623</v>
      </c>
      <c r="B753" s="3" t="s">
        <v>256</v>
      </c>
      <c r="C753" s="2">
        <v>106375</v>
      </c>
      <c r="D753" s="2">
        <v>0</v>
      </c>
      <c r="E753" s="2">
        <v>41</v>
      </c>
      <c r="F753" s="2">
        <v>0</v>
      </c>
      <c r="G753" s="2">
        <v>54</v>
      </c>
      <c r="H753" s="2">
        <v>23</v>
      </c>
      <c r="I753" s="2">
        <v>91</v>
      </c>
      <c r="J753" s="2">
        <v>20</v>
      </c>
      <c r="K753" s="2">
        <v>33</v>
      </c>
      <c r="L753" s="2">
        <v>68</v>
      </c>
      <c r="M753" s="2">
        <v>232</v>
      </c>
      <c r="N753" s="2">
        <v>24</v>
      </c>
      <c r="O753" s="2">
        <v>9</v>
      </c>
      <c r="P753" s="2">
        <v>0</v>
      </c>
      <c r="Q753" s="2">
        <v>0</v>
      </c>
      <c r="R753" s="274">
        <v>39580</v>
      </c>
      <c r="S753" s="253">
        <v>12</v>
      </c>
      <c r="T753" s="254">
        <f>SUM( tabConsumo[[#This Row],[QTD.PENDENTE]]:tabConsumo[[#This Row],[07_23]] ) / tabConsumo[[#This Row],[Div]]</f>
        <v>49.583333333333336</v>
      </c>
      <c r="U753" s="255">
        <f xml:space="preserve"> tabConsumo[[#This Row],[Média.A]] + (_xlfn.STDEV.S( tabConsumo[[#This Row],[QTD.PENDENTE]]:tabConsumo[[#This Row],[07_23]] ) * 1)</f>
        <v>112.01216460830575</v>
      </c>
      <c r="V753" s="255">
        <f xml:space="preserve"> tabConsumo[[#This Row],[Média.A]] + (_xlfn.STDEV.S( tabConsumo[[#This Row],[QTD.PENDENTE]]:tabConsumo[[#This Row],[07_23]] ) * 2)</f>
        <v>174.44099588327816</v>
      </c>
      <c r="W753" s="255">
        <f xml:space="preserve"> tabConsumo[[#This Row],[Média.A]] + (_xlfn.STDEV.S( tabConsumo[[#This Row],[QTD.PENDENTE]]:tabConsumo[[#This Row],[07_23]] ) * 3)</f>
        <v>236.86982715825059</v>
      </c>
      <c r="X753" s="5">
        <f t="shared" si="26"/>
        <v>2</v>
      </c>
      <c r="Y753">
        <v>44.75</v>
      </c>
      <c r="Z753" s="257">
        <f>SUM( tabConsumo[[#This Row],[QTD.PENDENTE]]:tabConsumo[[#This Row],[07_23]] )</f>
        <v>595</v>
      </c>
      <c r="AA753" s="257">
        <f>LARGE(tabConsumo[[#This Row],[08_22]:[07_23]],1)</f>
        <v>232</v>
      </c>
      <c r="AB753" s="175" t="s">
        <v>2214</v>
      </c>
      <c r="AC753" s="3" t="s">
        <v>2064</v>
      </c>
    </row>
    <row r="754" spans="1:29" x14ac:dyDescent="0.3">
      <c r="A754" s="4" t="s">
        <v>1624</v>
      </c>
      <c r="B754" s="3" t="s">
        <v>256</v>
      </c>
      <c r="C754" s="2">
        <v>106376</v>
      </c>
      <c r="D754" s="2">
        <v>1427</v>
      </c>
      <c r="F754" s="2">
        <v>8</v>
      </c>
      <c r="G754" s="2">
        <v>8</v>
      </c>
      <c r="H754" s="2">
        <v>47</v>
      </c>
      <c r="I754" s="2">
        <v>126</v>
      </c>
      <c r="J754" s="2">
        <v>167</v>
      </c>
      <c r="K754" s="2">
        <v>66</v>
      </c>
      <c r="L754" s="2">
        <v>22</v>
      </c>
      <c r="M754" s="2">
        <v>131</v>
      </c>
      <c r="N754" s="2">
        <v>222</v>
      </c>
      <c r="O754" s="2">
        <v>323</v>
      </c>
      <c r="P754" s="2">
        <v>90</v>
      </c>
      <c r="Q754" s="2">
        <v>252</v>
      </c>
      <c r="R754" s="274">
        <v>39580</v>
      </c>
      <c r="S754" s="253">
        <v>12</v>
      </c>
      <c r="T754" s="254">
        <f>SUM( tabConsumo[[#This Row],[QTD.PENDENTE]]:tabConsumo[[#This Row],[07_23]] ) / tabConsumo[[#This Row],[Div]]</f>
        <v>121.83333333333333</v>
      </c>
      <c r="U754" s="255">
        <f xml:space="preserve"> tabConsumo[[#This Row],[Média.A]] + (_xlfn.STDEV.S( tabConsumo[[#This Row],[QTD.PENDENTE]]:tabConsumo[[#This Row],[07_23]] ) * 1)</f>
        <v>224.16952912786621</v>
      </c>
      <c r="V754" s="255">
        <f xml:space="preserve"> tabConsumo[[#This Row],[Média.A]] + (_xlfn.STDEV.S( tabConsumo[[#This Row],[QTD.PENDENTE]]:tabConsumo[[#This Row],[07_23]] ) * 2)</f>
        <v>326.50572492239905</v>
      </c>
      <c r="W754" s="255">
        <f xml:space="preserve"> tabConsumo[[#This Row],[Média.A]] + (_xlfn.STDEV.S( tabConsumo[[#This Row],[QTD.PENDENTE]]:tabConsumo[[#This Row],[07_23]] ) * 3)</f>
        <v>428.84192071693195</v>
      </c>
      <c r="X754" s="5">
        <f t="shared" si="26"/>
        <v>2</v>
      </c>
      <c r="Y754">
        <v>121.83333333333333</v>
      </c>
      <c r="Z754" s="257">
        <f>SUM( tabConsumo[[#This Row],[QTD.PENDENTE]]:tabConsumo[[#This Row],[07_23]] )</f>
        <v>1462</v>
      </c>
      <c r="AA754" s="257">
        <f>LARGE(tabConsumo[[#This Row],[08_22]:[07_23]],1)</f>
        <v>323</v>
      </c>
      <c r="AB754" s="175" t="s">
        <v>2211</v>
      </c>
      <c r="AC754" s="3" t="s">
        <v>2064</v>
      </c>
    </row>
    <row r="755" spans="1:29" x14ac:dyDescent="0.3">
      <c r="A755" s="4" t="s">
        <v>1685</v>
      </c>
      <c r="B755" s="3" t="s">
        <v>31</v>
      </c>
      <c r="C755" s="2">
        <v>112494</v>
      </c>
      <c r="D755" s="2">
        <v>376</v>
      </c>
      <c r="F755" s="2">
        <v>0</v>
      </c>
      <c r="G755" s="2">
        <v>5</v>
      </c>
      <c r="H755" s="2">
        <v>0</v>
      </c>
      <c r="I755" s="2">
        <v>9</v>
      </c>
      <c r="J755" s="2">
        <v>0</v>
      </c>
      <c r="K755" s="2">
        <v>28</v>
      </c>
      <c r="L755" s="2">
        <v>0</v>
      </c>
      <c r="M755" s="2">
        <v>0</v>
      </c>
      <c r="N755" s="2">
        <v>0</v>
      </c>
      <c r="O755" s="2">
        <v>0</v>
      </c>
      <c r="P755" s="2">
        <v>20</v>
      </c>
      <c r="Q755" s="2">
        <v>0</v>
      </c>
      <c r="R755" s="274">
        <v>40064</v>
      </c>
      <c r="S755" s="253">
        <v>12</v>
      </c>
      <c r="T755" s="254">
        <f>SUM( tabConsumo[[#This Row],[QTD.PENDENTE]]:tabConsumo[[#This Row],[07_23]] ) / tabConsumo[[#This Row],[Div]]</f>
        <v>5.166666666666667</v>
      </c>
      <c r="U755" s="255">
        <f xml:space="preserve"> tabConsumo[[#This Row],[Média.A]] + (_xlfn.STDEV.S( tabConsumo[[#This Row],[QTD.PENDENTE]]:tabConsumo[[#This Row],[07_23]] ) * 1)</f>
        <v>14.555570497866299</v>
      </c>
      <c r="V755" s="255">
        <f xml:space="preserve"> tabConsumo[[#This Row],[Média.A]] + (_xlfn.STDEV.S( tabConsumo[[#This Row],[QTD.PENDENTE]]:tabConsumo[[#This Row],[07_23]] ) * 2)</f>
        <v>23.944474329065933</v>
      </c>
      <c r="W755" s="255">
        <f xml:space="preserve"> tabConsumo[[#This Row],[Média.A]] + (_xlfn.STDEV.S( tabConsumo[[#This Row],[QTD.PENDENTE]]:tabConsumo[[#This Row],[07_23]] ) * 3)</f>
        <v>33.333378160265561</v>
      </c>
      <c r="X755" s="5">
        <f t="shared" si="26"/>
        <v>2</v>
      </c>
      <c r="Y755">
        <v>4.75</v>
      </c>
      <c r="Z755" s="257">
        <f>SUM( tabConsumo[[#This Row],[QTD.PENDENTE]]:tabConsumo[[#This Row],[07_23]] )</f>
        <v>62</v>
      </c>
      <c r="AA755" s="257">
        <f>LARGE(tabConsumo[[#This Row],[08_22]:[07_23]],1)</f>
        <v>28</v>
      </c>
      <c r="AB755" s="175" t="s">
        <v>2212</v>
      </c>
      <c r="AC755" s="3" t="s">
        <v>2064</v>
      </c>
    </row>
    <row r="756" spans="1:29" x14ac:dyDescent="0.3">
      <c r="A756" s="4" t="s">
        <v>1687</v>
      </c>
      <c r="B756" s="3" t="s">
        <v>31</v>
      </c>
      <c r="C756" s="2">
        <v>113242</v>
      </c>
      <c r="D756" s="2">
        <v>100</v>
      </c>
      <c r="F756" s="2">
        <v>8</v>
      </c>
      <c r="G756" s="2">
        <v>0</v>
      </c>
      <c r="H756" s="2">
        <v>0</v>
      </c>
      <c r="I756" s="2">
        <v>6</v>
      </c>
      <c r="J756" s="2">
        <v>0</v>
      </c>
      <c r="K756" s="2">
        <v>21</v>
      </c>
      <c r="L756" s="2">
        <v>0</v>
      </c>
      <c r="M756" s="2">
        <v>0</v>
      </c>
      <c r="N756" s="2">
        <v>0</v>
      </c>
      <c r="O756" s="2">
        <v>0</v>
      </c>
      <c r="P756" s="2">
        <v>32</v>
      </c>
      <c r="Q756" s="2">
        <v>0</v>
      </c>
      <c r="R756" s="274">
        <v>40113</v>
      </c>
      <c r="S756" s="253">
        <v>12</v>
      </c>
      <c r="T756" s="254">
        <f>SUM( tabConsumo[[#This Row],[QTD.PENDENTE]]:tabConsumo[[#This Row],[07_23]] ) / tabConsumo[[#This Row],[Div]]</f>
        <v>5.583333333333333</v>
      </c>
      <c r="U756" s="255">
        <f xml:space="preserve"> tabConsumo[[#This Row],[Média.A]] + (_xlfn.STDEV.S( tabConsumo[[#This Row],[QTD.PENDENTE]]:tabConsumo[[#This Row],[07_23]] ) * 1)</f>
        <v>15.988387466549149</v>
      </c>
      <c r="V756" s="255">
        <f xml:space="preserve"> tabConsumo[[#This Row],[Média.A]] + (_xlfn.STDEV.S( tabConsumo[[#This Row],[QTD.PENDENTE]]:tabConsumo[[#This Row],[07_23]] ) * 2)</f>
        <v>26.393441599764962</v>
      </c>
      <c r="W756" s="255">
        <f xml:space="preserve"> tabConsumo[[#This Row],[Média.A]] + (_xlfn.STDEV.S( tabConsumo[[#This Row],[QTD.PENDENTE]]:tabConsumo[[#This Row],[07_23]] ) * 3)</f>
        <v>36.798495732980783</v>
      </c>
      <c r="X756" s="5">
        <f t="shared" si="26"/>
        <v>2</v>
      </c>
      <c r="Y756">
        <v>5.083333333333333</v>
      </c>
      <c r="Z756" s="257">
        <f>SUM( tabConsumo[[#This Row],[QTD.PENDENTE]]:tabConsumo[[#This Row],[07_23]] )</f>
        <v>67</v>
      </c>
      <c r="AA756" s="257">
        <f>LARGE(tabConsumo[[#This Row],[08_22]:[07_23]],1)</f>
        <v>32</v>
      </c>
      <c r="AB756" s="175" t="s">
        <v>2212</v>
      </c>
      <c r="AC756" s="3" t="s">
        <v>2064</v>
      </c>
    </row>
    <row r="757" spans="1:29" x14ac:dyDescent="0.3">
      <c r="A757" s="4" t="s">
        <v>1667</v>
      </c>
      <c r="B757" s="3" t="s">
        <v>256</v>
      </c>
      <c r="C757" s="2">
        <v>110892</v>
      </c>
      <c r="D757" s="2">
        <v>154</v>
      </c>
      <c r="F757" s="2">
        <v>0</v>
      </c>
      <c r="G757" s="2">
        <v>0</v>
      </c>
      <c r="H757" s="2">
        <v>0</v>
      </c>
      <c r="I757" s="2">
        <v>6</v>
      </c>
      <c r="J757" s="2">
        <v>0</v>
      </c>
      <c r="K757" s="2">
        <v>19</v>
      </c>
      <c r="L757" s="2">
        <v>0</v>
      </c>
      <c r="M757" s="2">
        <v>0</v>
      </c>
      <c r="N757" s="2">
        <v>0</v>
      </c>
      <c r="O757" s="2">
        <v>0</v>
      </c>
      <c r="P757" s="2">
        <v>10</v>
      </c>
      <c r="Q757" s="2">
        <v>0</v>
      </c>
      <c r="R757" s="274">
        <v>39944</v>
      </c>
      <c r="S757" s="253">
        <v>12</v>
      </c>
      <c r="T757" s="254">
        <f>SUM( tabConsumo[[#This Row],[QTD.PENDENTE]]:tabConsumo[[#This Row],[07_23]] ) / tabConsumo[[#This Row],[Div]]</f>
        <v>2.9166666666666665</v>
      </c>
      <c r="U757" s="255">
        <f xml:space="preserve"> tabConsumo[[#This Row],[Média.A]] + (_xlfn.STDEV.S( tabConsumo[[#This Row],[QTD.PENDENTE]]:tabConsumo[[#This Row],[07_23]] ) * 1)</f>
        <v>8.9084539752679284</v>
      </c>
      <c r="V757" s="255">
        <f xml:space="preserve"> tabConsumo[[#This Row],[Média.A]] + (_xlfn.STDEV.S( tabConsumo[[#This Row],[QTD.PENDENTE]]:tabConsumo[[#This Row],[07_23]] ) * 2)</f>
        <v>14.900241283869191</v>
      </c>
      <c r="W757" s="255">
        <f xml:space="preserve"> tabConsumo[[#This Row],[Média.A]] + (_xlfn.STDEV.S( tabConsumo[[#This Row],[QTD.PENDENTE]]:tabConsumo[[#This Row],[07_23]] ) * 3)</f>
        <v>20.892028592470457</v>
      </c>
      <c r="X757" s="5">
        <f t="shared" si="26"/>
        <v>2</v>
      </c>
      <c r="Y757">
        <v>2.5</v>
      </c>
      <c r="Z757" s="257">
        <f>SUM( tabConsumo[[#This Row],[QTD.PENDENTE]]:tabConsumo[[#This Row],[07_23]] )</f>
        <v>35</v>
      </c>
      <c r="AA757" s="257">
        <f>LARGE(tabConsumo[[#This Row],[08_22]:[07_23]],1)</f>
        <v>19</v>
      </c>
      <c r="AB757" s="175" t="s">
        <v>2212</v>
      </c>
      <c r="AC757" s="3" t="s">
        <v>2064</v>
      </c>
    </row>
    <row r="758" spans="1:29" x14ac:dyDescent="0.3">
      <c r="A758" s="4" t="s">
        <v>1668</v>
      </c>
      <c r="B758" s="3" t="s">
        <v>256</v>
      </c>
      <c r="C758" s="2">
        <v>110893</v>
      </c>
      <c r="D758" s="2">
        <v>119</v>
      </c>
      <c r="F758" s="2">
        <v>8</v>
      </c>
      <c r="G758" s="2">
        <v>0</v>
      </c>
      <c r="H758" s="2">
        <v>0</v>
      </c>
      <c r="I758" s="2">
        <v>0</v>
      </c>
      <c r="J758" s="2">
        <v>10</v>
      </c>
      <c r="K758" s="2">
        <v>5</v>
      </c>
      <c r="L758" s="2">
        <v>0</v>
      </c>
      <c r="M758" s="2">
        <v>0</v>
      </c>
      <c r="N758" s="2">
        <v>0</v>
      </c>
      <c r="O758" s="2">
        <v>0</v>
      </c>
      <c r="P758" s="2">
        <v>20</v>
      </c>
      <c r="Q758" s="2">
        <v>0</v>
      </c>
      <c r="R758" s="274">
        <v>39944</v>
      </c>
      <c r="S758" s="253">
        <v>12</v>
      </c>
      <c r="T758" s="254">
        <f>SUM( tabConsumo[[#This Row],[QTD.PENDENTE]]:tabConsumo[[#This Row],[07_23]] ) / tabConsumo[[#This Row],[Div]]</f>
        <v>3.5833333333333335</v>
      </c>
      <c r="U758" s="255">
        <f xml:space="preserve"> tabConsumo[[#This Row],[Média.A]] + (_xlfn.STDEV.S( tabConsumo[[#This Row],[QTD.PENDENTE]]:tabConsumo[[#This Row],[07_23]] ) * 1)</f>
        <v>9.8712486307811904</v>
      </c>
      <c r="V758" s="255">
        <f xml:space="preserve"> tabConsumo[[#This Row],[Média.A]] + (_xlfn.STDEV.S( tabConsumo[[#This Row],[QTD.PENDENTE]]:tabConsumo[[#This Row],[07_23]] ) * 2)</f>
        <v>16.159163928229049</v>
      </c>
      <c r="W758" s="255">
        <f xml:space="preserve"> tabConsumo[[#This Row],[Média.A]] + (_xlfn.STDEV.S( tabConsumo[[#This Row],[QTD.PENDENTE]]:tabConsumo[[#This Row],[07_23]] ) * 3)</f>
        <v>22.447079225676905</v>
      </c>
      <c r="X758" s="5">
        <f t="shared" si="26"/>
        <v>2</v>
      </c>
      <c r="Y758">
        <v>3.25</v>
      </c>
      <c r="Z758" s="257">
        <f>SUM( tabConsumo[[#This Row],[QTD.PENDENTE]]:tabConsumo[[#This Row],[07_23]] )</f>
        <v>43</v>
      </c>
      <c r="AA758" s="257">
        <f>LARGE(tabConsumo[[#This Row],[08_22]:[07_23]],1)</f>
        <v>20</v>
      </c>
      <c r="AB758" s="175" t="s">
        <v>2212</v>
      </c>
      <c r="AC758" s="3" t="s">
        <v>2064</v>
      </c>
    </row>
    <row r="759" spans="1:29" x14ac:dyDescent="0.3">
      <c r="A759" s="4" t="s">
        <v>1591</v>
      </c>
      <c r="B759" s="3" t="s">
        <v>256</v>
      </c>
      <c r="C759" s="2">
        <v>103344</v>
      </c>
      <c r="D759" s="2">
        <v>516</v>
      </c>
      <c r="F759" s="2">
        <v>0</v>
      </c>
      <c r="G759" s="2">
        <v>8</v>
      </c>
      <c r="H759" s="2">
        <v>0</v>
      </c>
      <c r="I759" s="2">
        <v>0</v>
      </c>
      <c r="J759" s="2">
        <v>0</v>
      </c>
      <c r="K759" s="2">
        <v>10</v>
      </c>
      <c r="L759" s="2">
        <v>0</v>
      </c>
      <c r="M759" s="2">
        <v>0</v>
      </c>
      <c r="N759" s="2">
        <v>0</v>
      </c>
      <c r="O759" s="2">
        <v>0</v>
      </c>
      <c r="P759" s="2">
        <v>0</v>
      </c>
      <c r="Q759" s="2">
        <v>10</v>
      </c>
      <c r="R759" s="274">
        <v>39400</v>
      </c>
      <c r="S759" s="253">
        <v>12</v>
      </c>
      <c r="T759" s="254">
        <f>SUM( tabConsumo[[#This Row],[QTD.PENDENTE]]:tabConsumo[[#This Row],[07_23]] ) / tabConsumo[[#This Row],[Div]]</f>
        <v>2.3333333333333335</v>
      </c>
      <c r="U759" s="255">
        <f xml:space="preserve"> tabConsumo[[#This Row],[Média.A]] + (_xlfn.STDEV.S( tabConsumo[[#This Row],[QTD.PENDENTE]]:tabConsumo[[#This Row],[07_23]] ) * 1)</f>
        <v>6.5831105110928991</v>
      </c>
      <c r="V759" s="255">
        <f xml:space="preserve"> tabConsumo[[#This Row],[Média.A]] + (_xlfn.STDEV.S( tabConsumo[[#This Row],[QTD.PENDENTE]]:tabConsumo[[#This Row],[07_23]] ) * 2)</f>
        <v>10.832887688852466</v>
      </c>
      <c r="W759" s="255">
        <f xml:space="preserve"> tabConsumo[[#This Row],[Média.A]] + (_xlfn.STDEV.S( tabConsumo[[#This Row],[QTD.PENDENTE]]:tabConsumo[[#This Row],[07_23]] ) * 3)</f>
        <v>15.082664866612033</v>
      </c>
      <c r="X759" s="5">
        <f t="shared" si="26"/>
        <v>2</v>
      </c>
      <c r="Y759">
        <v>2.3333333333333335</v>
      </c>
      <c r="Z759" s="257">
        <f>SUM( tabConsumo[[#This Row],[QTD.PENDENTE]]:tabConsumo[[#This Row],[07_23]] )</f>
        <v>28</v>
      </c>
      <c r="AA759" s="257">
        <f>LARGE(tabConsumo[[#This Row],[08_22]:[07_23]],1)</f>
        <v>10</v>
      </c>
      <c r="AB759" s="175" t="s">
        <v>2211</v>
      </c>
      <c r="AC759" s="3" t="s">
        <v>2064</v>
      </c>
    </row>
    <row r="760" spans="1:29" x14ac:dyDescent="0.3">
      <c r="A760" s="4" t="s">
        <v>1099</v>
      </c>
      <c r="B760" s="3" t="s">
        <v>256</v>
      </c>
      <c r="C760" s="2">
        <v>15648</v>
      </c>
      <c r="D760" s="2">
        <v>36</v>
      </c>
      <c r="F760" s="2">
        <v>0</v>
      </c>
      <c r="G760" s="2">
        <v>0</v>
      </c>
      <c r="H760" s="2">
        <v>0</v>
      </c>
      <c r="I760" s="2">
        <v>0</v>
      </c>
      <c r="J760" s="2">
        <v>12</v>
      </c>
      <c r="K760" s="2">
        <v>10</v>
      </c>
      <c r="L760" s="2">
        <v>0</v>
      </c>
      <c r="M760" s="2">
        <v>0</v>
      </c>
      <c r="N760" s="2">
        <v>0</v>
      </c>
      <c r="O760" s="2">
        <v>0</v>
      </c>
      <c r="P760" s="2">
        <v>0</v>
      </c>
      <c r="Q760" s="2">
        <v>0</v>
      </c>
      <c r="R760" s="274">
        <v>367</v>
      </c>
      <c r="S760" s="253">
        <f t="shared" ref="S760:S767" si="28" xml:space="preserve"> 12</f>
        <v>12</v>
      </c>
      <c r="T760" s="254">
        <f>SUM( tabConsumo[[#This Row],[QTD.PENDENTE]]:tabConsumo[[#This Row],[07_23]] ) / tabConsumo[[#This Row],[Div]]</f>
        <v>1.8333333333333333</v>
      </c>
      <c r="U760" s="255">
        <f xml:space="preserve"> tabConsumo[[#This Row],[Média.A]] + (_xlfn.STDEV.S( tabConsumo[[#This Row],[QTD.PENDENTE]]:tabConsumo[[#This Row],[07_23]] ) * 1)</f>
        <v>6.136256934229765</v>
      </c>
      <c r="V760" s="255">
        <f xml:space="preserve"> tabConsumo[[#This Row],[Média.A]] + (_xlfn.STDEV.S( tabConsumo[[#This Row],[QTD.PENDENTE]]:tabConsumo[[#This Row],[07_23]] ) * 2)</f>
        <v>10.439180535126198</v>
      </c>
      <c r="W760" s="255">
        <f xml:space="preserve"> tabConsumo[[#This Row],[Média.A]] + (_xlfn.STDEV.S( tabConsumo[[#This Row],[QTD.PENDENTE]]:tabConsumo[[#This Row],[07_23]] ) * 3)</f>
        <v>14.742104136022631</v>
      </c>
      <c r="X760" s="5">
        <f t="shared" si="26"/>
        <v>2</v>
      </c>
      <c r="Y760">
        <v>1.6666666666666667</v>
      </c>
      <c r="Z760" s="257">
        <f>SUM( tabConsumo[[#This Row],[QTD.PENDENTE]]:tabConsumo[[#This Row],[07_23]] )</f>
        <v>22</v>
      </c>
      <c r="AA760" s="257">
        <f>LARGE(tabConsumo[[#This Row],[08_22]:[07_23]],1)</f>
        <v>12</v>
      </c>
      <c r="AB760" s="175" t="s">
        <v>2220</v>
      </c>
      <c r="AC760" s="3" t="s">
        <v>2064</v>
      </c>
    </row>
    <row r="761" spans="1:29" x14ac:dyDescent="0.3">
      <c r="A761" s="4" t="s">
        <v>1101</v>
      </c>
      <c r="B761" s="3" t="s">
        <v>256</v>
      </c>
      <c r="C761" s="2">
        <v>15656</v>
      </c>
      <c r="D761" s="2">
        <v>136</v>
      </c>
      <c r="F761" s="2">
        <v>0</v>
      </c>
      <c r="G761" s="2">
        <v>0</v>
      </c>
      <c r="H761" s="2">
        <v>0</v>
      </c>
      <c r="I761" s="2">
        <v>0</v>
      </c>
      <c r="J761" s="2">
        <v>0</v>
      </c>
      <c r="K761" s="2">
        <v>5</v>
      </c>
      <c r="L761" s="2">
        <v>0</v>
      </c>
      <c r="M761" s="2">
        <v>0</v>
      </c>
      <c r="N761" s="2">
        <v>0</v>
      </c>
      <c r="O761" s="2">
        <v>0</v>
      </c>
      <c r="P761" s="2">
        <v>10</v>
      </c>
      <c r="Q761" s="2">
        <v>0</v>
      </c>
      <c r="R761" s="274">
        <v>367</v>
      </c>
      <c r="S761" s="253">
        <f t="shared" si="28"/>
        <v>12</v>
      </c>
      <c r="T761" s="254">
        <f>SUM( tabConsumo[[#This Row],[QTD.PENDENTE]]:tabConsumo[[#This Row],[07_23]] ) / tabConsumo[[#This Row],[Div]]</f>
        <v>1.25</v>
      </c>
      <c r="U761" s="255">
        <f xml:space="preserve"> tabConsumo[[#This Row],[Média.A]] + (_xlfn.STDEV.S( tabConsumo[[#This Row],[QTD.PENDENTE]]:tabConsumo[[#This Row],[07_23]] ) * 1)</f>
        <v>4.3579078025403053</v>
      </c>
      <c r="V761" s="255">
        <f xml:space="preserve"> tabConsumo[[#This Row],[Média.A]] + (_xlfn.STDEV.S( tabConsumo[[#This Row],[QTD.PENDENTE]]:tabConsumo[[#This Row],[07_23]] ) * 2)</f>
        <v>7.4658156050806106</v>
      </c>
      <c r="W761" s="255">
        <f xml:space="preserve"> tabConsumo[[#This Row],[Média.A]] + (_xlfn.STDEV.S( tabConsumo[[#This Row],[QTD.PENDENTE]]:tabConsumo[[#This Row],[07_23]] ) * 3)</f>
        <v>10.573723407620916</v>
      </c>
      <c r="X761" s="5">
        <f t="shared" si="26"/>
        <v>2</v>
      </c>
      <c r="Y761">
        <v>1</v>
      </c>
      <c r="Z761" s="257">
        <f>SUM( tabConsumo[[#This Row],[QTD.PENDENTE]]:tabConsumo[[#This Row],[07_23]] )</f>
        <v>15</v>
      </c>
      <c r="AA761" s="257">
        <f>LARGE(tabConsumo[[#This Row],[08_22]:[07_23]],1)</f>
        <v>10</v>
      </c>
      <c r="AB761" s="175" t="s">
        <v>2212</v>
      </c>
      <c r="AC761" s="3" t="s">
        <v>2064</v>
      </c>
    </row>
    <row r="762" spans="1:29" x14ac:dyDescent="0.3">
      <c r="A762" s="4" t="s">
        <v>1105</v>
      </c>
      <c r="B762" s="3" t="s">
        <v>256</v>
      </c>
      <c r="C762" s="2">
        <v>15673</v>
      </c>
      <c r="D762" s="2">
        <v>108</v>
      </c>
      <c r="F762" s="2">
        <v>0</v>
      </c>
      <c r="G762" s="2">
        <v>5</v>
      </c>
      <c r="H762" s="2">
        <v>0</v>
      </c>
      <c r="I762" s="2">
        <v>6</v>
      </c>
      <c r="J762" s="2">
        <v>12</v>
      </c>
      <c r="K762" s="2">
        <v>20</v>
      </c>
      <c r="L762" s="2">
        <v>0</v>
      </c>
      <c r="M762" s="2">
        <v>0</v>
      </c>
      <c r="N762" s="2">
        <v>0</v>
      </c>
      <c r="O762" s="2">
        <v>0</v>
      </c>
      <c r="P762" s="2">
        <v>20</v>
      </c>
      <c r="Q762" s="2">
        <v>0</v>
      </c>
      <c r="R762" s="274">
        <v>367</v>
      </c>
      <c r="S762" s="253">
        <f t="shared" si="28"/>
        <v>12</v>
      </c>
      <c r="T762" s="254">
        <f>SUM( tabConsumo[[#This Row],[QTD.PENDENTE]]:tabConsumo[[#This Row],[07_23]] ) / tabConsumo[[#This Row],[Div]]</f>
        <v>5.25</v>
      </c>
      <c r="U762" s="255">
        <f xml:space="preserve"> tabConsumo[[#This Row],[Média.A]] + (_xlfn.STDEV.S( tabConsumo[[#This Row],[QTD.PENDENTE]]:tabConsumo[[#This Row],[07_23]] ) * 1)</f>
        <v>13.079141367062837</v>
      </c>
      <c r="V762" s="255">
        <f xml:space="preserve"> tabConsumo[[#This Row],[Média.A]] + (_xlfn.STDEV.S( tabConsumo[[#This Row],[QTD.PENDENTE]]:tabConsumo[[#This Row],[07_23]] ) * 2)</f>
        <v>20.908282734125674</v>
      </c>
      <c r="W762" s="255">
        <f xml:space="preserve"> tabConsumo[[#This Row],[Média.A]] + (_xlfn.STDEV.S( tabConsumo[[#This Row],[QTD.PENDENTE]]:tabConsumo[[#This Row],[07_23]] ) * 3)</f>
        <v>28.737424101188509</v>
      </c>
      <c r="X762" s="5">
        <f t="shared" si="26"/>
        <v>2</v>
      </c>
      <c r="Y762">
        <v>5.25</v>
      </c>
      <c r="Z762" s="257">
        <f>SUM( tabConsumo[[#This Row],[QTD.PENDENTE]]:tabConsumo[[#This Row],[07_23]] )</f>
        <v>63</v>
      </c>
      <c r="AA762" s="257">
        <f>LARGE(tabConsumo[[#This Row],[08_22]:[07_23]],1)</f>
        <v>20</v>
      </c>
      <c r="AB762" s="175" t="s">
        <v>2212</v>
      </c>
      <c r="AC762" s="3" t="s">
        <v>2064</v>
      </c>
    </row>
    <row r="763" spans="1:29" x14ac:dyDescent="0.3">
      <c r="A763" s="4" t="s">
        <v>1102</v>
      </c>
      <c r="B763" s="3" t="s">
        <v>256</v>
      </c>
      <c r="C763" s="2">
        <v>15664</v>
      </c>
      <c r="D763" s="2">
        <v>54</v>
      </c>
      <c r="F763" s="2">
        <v>0</v>
      </c>
      <c r="G763" s="2">
        <v>0</v>
      </c>
      <c r="H763" s="2">
        <v>0</v>
      </c>
      <c r="I763" s="2">
        <v>9</v>
      </c>
      <c r="J763" s="2">
        <v>0</v>
      </c>
      <c r="K763" s="2">
        <v>0</v>
      </c>
      <c r="L763" s="2">
        <v>0</v>
      </c>
      <c r="M763" s="2">
        <v>0</v>
      </c>
      <c r="N763" s="2">
        <v>0</v>
      </c>
      <c r="O763" s="2">
        <v>0</v>
      </c>
      <c r="P763" s="2">
        <v>0</v>
      </c>
      <c r="Q763" s="2">
        <v>0</v>
      </c>
      <c r="R763" s="274">
        <v>367</v>
      </c>
      <c r="S763" s="253">
        <f t="shared" si="28"/>
        <v>12</v>
      </c>
      <c r="T763" s="254">
        <f>SUM( tabConsumo[[#This Row],[QTD.PENDENTE]]:tabConsumo[[#This Row],[07_23]] ) / tabConsumo[[#This Row],[Div]]</f>
        <v>0.75</v>
      </c>
      <c r="U763" s="255">
        <f xml:space="preserve"> tabConsumo[[#This Row],[Média.A]] + (_xlfn.STDEV.S( tabConsumo[[#This Row],[QTD.PENDENTE]]:tabConsumo[[#This Row],[07_23]] ) * 1)</f>
        <v>3.348076211353316</v>
      </c>
      <c r="V763" s="255">
        <f xml:space="preserve"> tabConsumo[[#This Row],[Média.A]] + (_xlfn.STDEV.S( tabConsumo[[#This Row],[QTD.PENDENTE]]:tabConsumo[[#This Row],[07_23]] ) * 2)</f>
        <v>5.946152422706632</v>
      </c>
      <c r="W763" s="255">
        <f xml:space="preserve"> tabConsumo[[#This Row],[Média.A]] + (_xlfn.STDEV.S( tabConsumo[[#This Row],[QTD.PENDENTE]]:tabConsumo[[#This Row],[07_23]] ) * 3)</f>
        <v>8.544228634059948</v>
      </c>
      <c r="X763" s="5">
        <f t="shared" si="26"/>
        <v>2</v>
      </c>
      <c r="Y763">
        <v>0.41666666666666669</v>
      </c>
      <c r="Z763" s="257">
        <f>SUM( tabConsumo[[#This Row],[QTD.PENDENTE]]:tabConsumo[[#This Row],[07_23]] )</f>
        <v>9</v>
      </c>
      <c r="AA763" s="257">
        <f>LARGE(tabConsumo[[#This Row],[08_22]:[07_23]],1)</f>
        <v>9</v>
      </c>
      <c r="AB763" s="175" t="s">
        <v>2216</v>
      </c>
      <c r="AC763" s="3" t="s">
        <v>2064</v>
      </c>
    </row>
    <row r="764" spans="1:29" x14ac:dyDescent="0.3">
      <c r="A764" s="4" t="s">
        <v>1103</v>
      </c>
      <c r="B764" s="3" t="s">
        <v>256</v>
      </c>
      <c r="C764" s="2">
        <v>15668</v>
      </c>
      <c r="D764" s="2">
        <v>244</v>
      </c>
      <c r="F764" s="2">
        <v>10</v>
      </c>
      <c r="G764" s="2">
        <v>0</v>
      </c>
      <c r="H764" s="2">
        <v>0</v>
      </c>
      <c r="I764" s="2">
        <v>0</v>
      </c>
      <c r="J764" s="2">
        <v>10</v>
      </c>
      <c r="K764" s="2">
        <v>0</v>
      </c>
      <c r="L764" s="2">
        <v>0</v>
      </c>
      <c r="M764" s="2">
        <v>0</v>
      </c>
      <c r="N764" s="2">
        <v>0</v>
      </c>
      <c r="O764" s="2">
        <v>0</v>
      </c>
      <c r="P764" s="2">
        <v>0</v>
      </c>
      <c r="Q764" s="2">
        <v>0</v>
      </c>
      <c r="R764" s="274">
        <v>367</v>
      </c>
      <c r="S764" s="253">
        <f t="shared" si="28"/>
        <v>12</v>
      </c>
      <c r="T764" s="254">
        <f>SUM( tabConsumo[[#This Row],[QTD.PENDENTE]]:tabConsumo[[#This Row],[07_23]] ) / tabConsumo[[#This Row],[Div]]</f>
        <v>1.6666666666666667</v>
      </c>
      <c r="U764" s="255">
        <f xml:space="preserve"> tabConsumo[[#This Row],[Média.A]] + (_xlfn.STDEV.S( tabConsumo[[#This Row],[QTD.PENDENTE]]:tabConsumo[[#This Row],[07_23]] ) * 1)</f>
        <v>5.5591613874742816</v>
      </c>
      <c r="V764" s="255">
        <f xml:space="preserve"> tabConsumo[[#This Row],[Média.A]] + (_xlfn.STDEV.S( tabConsumo[[#This Row],[QTD.PENDENTE]]:tabConsumo[[#This Row],[07_23]] ) * 2)</f>
        <v>9.4516561082818953</v>
      </c>
      <c r="W764" s="255">
        <f xml:space="preserve"> tabConsumo[[#This Row],[Média.A]] + (_xlfn.STDEV.S( tabConsumo[[#This Row],[QTD.PENDENTE]]:tabConsumo[[#This Row],[07_23]] ) * 3)</f>
        <v>13.344150829089509</v>
      </c>
      <c r="X764" s="5">
        <f t="shared" si="26"/>
        <v>2</v>
      </c>
      <c r="Y764">
        <v>1.5</v>
      </c>
      <c r="Z764" s="257">
        <f>SUM( tabConsumo[[#This Row],[QTD.PENDENTE]]:tabConsumo[[#This Row],[07_23]] )</f>
        <v>20</v>
      </c>
      <c r="AA764" s="257">
        <f>LARGE(tabConsumo[[#This Row],[08_22]:[07_23]],1)</f>
        <v>10</v>
      </c>
      <c r="AB764" s="175" t="s">
        <v>2222</v>
      </c>
      <c r="AC764" s="3" t="s">
        <v>2064</v>
      </c>
    </row>
    <row r="765" spans="1:29" x14ac:dyDescent="0.3">
      <c r="A765" s="4" t="s">
        <v>1104</v>
      </c>
      <c r="B765" s="3" t="s">
        <v>256</v>
      </c>
      <c r="C765" s="2">
        <v>15672</v>
      </c>
      <c r="D765" s="2">
        <v>0</v>
      </c>
      <c r="E765" s="2">
        <v>26</v>
      </c>
      <c r="F765" s="2">
        <v>8</v>
      </c>
      <c r="G765" s="2">
        <v>0</v>
      </c>
      <c r="H765" s="2">
        <v>0</v>
      </c>
      <c r="I765" s="2">
        <v>0</v>
      </c>
      <c r="J765" s="2">
        <v>10</v>
      </c>
      <c r="K765" s="2">
        <v>26</v>
      </c>
      <c r="L765" s="2">
        <v>0</v>
      </c>
      <c r="M765" s="2">
        <v>0</v>
      </c>
      <c r="N765" s="2">
        <v>0</v>
      </c>
      <c r="O765" s="2">
        <v>0</v>
      </c>
      <c r="P765" s="2">
        <v>0</v>
      </c>
      <c r="Q765" s="2">
        <v>0</v>
      </c>
      <c r="R765" s="274">
        <v>367</v>
      </c>
      <c r="S765" s="253">
        <f t="shared" si="28"/>
        <v>12</v>
      </c>
      <c r="T765" s="254">
        <f>SUM( tabConsumo[[#This Row],[QTD.PENDENTE]]:tabConsumo[[#This Row],[07_23]] ) / tabConsumo[[#This Row],[Div]]</f>
        <v>5.833333333333333</v>
      </c>
      <c r="U765" s="255">
        <f xml:space="preserve"> tabConsumo[[#This Row],[Média.A]] + (_xlfn.STDEV.S( tabConsumo[[#This Row],[QTD.PENDENTE]]:tabConsumo[[#This Row],[07_23]] ) * 1)</f>
        <v>15.576180808434074</v>
      </c>
      <c r="V765" s="255">
        <f xml:space="preserve"> tabConsumo[[#This Row],[Média.A]] + (_xlfn.STDEV.S( tabConsumo[[#This Row],[QTD.PENDENTE]]:tabConsumo[[#This Row],[07_23]] ) * 2)</f>
        <v>25.319028283534816</v>
      </c>
      <c r="W765" s="255">
        <f xml:space="preserve"> tabConsumo[[#This Row],[Média.A]] + (_xlfn.STDEV.S( tabConsumo[[#This Row],[QTD.PENDENTE]]:tabConsumo[[#This Row],[07_23]] ) * 3)</f>
        <v>35.061875758635558</v>
      </c>
      <c r="X765" s="5">
        <f t="shared" si="26"/>
        <v>2</v>
      </c>
      <c r="Y765">
        <v>5.75</v>
      </c>
      <c r="Z765" s="257">
        <f>SUM( tabConsumo[[#This Row],[QTD.PENDENTE]]:tabConsumo[[#This Row],[07_23]] )</f>
        <v>70</v>
      </c>
      <c r="AA765" s="257">
        <f>LARGE(tabConsumo[[#This Row],[08_22]:[07_23]],1)</f>
        <v>26</v>
      </c>
      <c r="AB765" s="175" t="s">
        <v>2220</v>
      </c>
      <c r="AC765" s="3" t="s">
        <v>2064</v>
      </c>
    </row>
    <row r="766" spans="1:29" x14ac:dyDescent="0.3">
      <c r="A766" s="4" t="s">
        <v>1106</v>
      </c>
      <c r="B766" s="3" t="s">
        <v>256</v>
      </c>
      <c r="C766" s="2">
        <v>15680</v>
      </c>
      <c r="D766" s="2">
        <v>482</v>
      </c>
      <c r="F766" s="2">
        <v>12</v>
      </c>
      <c r="G766" s="2">
        <v>0</v>
      </c>
      <c r="H766" s="2">
        <v>0</v>
      </c>
      <c r="I766" s="2">
        <v>6</v>
      </c>
      <c r="J766" s="2">
        <v>10</v>
      </c>
      <c r="K766" s="2">
        <v>0</v>
      </c>
      <c r="L766" s="2">
        <v>0</v>
      </c>
      <c r="M766" s="2">
        <v>0</v>
      </c>
      <c r="N766" s="2">
        <v>0</v>
      </c>
      <c r="O766" s="2">
        <v>0</v>
      </c>
      <c r="P766" s="2">
        <v>30</v>
      </c>
      <c r="Q766" s="2">
        <v>0</v>
      </c>
      <c r="R766" s="274">
        <v>367</v>
      </c>
      <c r="S766" s="253">
        <f t="shared" si="28"/>
        <v>12</v>
      </c>
      <c r="T766" s="254">
        <f>SUM( tabConsumo[[#This Row],[QTD.PENDENTE]]:tabConsumo[[#This Row],[07_23]] ) / tabConsumo[[#This Row],[Div]]</f>
        <v>4.833333333333333</v>
      </c>
      <c r="U766" s="255">
        <f xml:space="preserve"> tabConsumo[[#This Row],[Média.A]] + (_xlfn.STDEV.S( tabConsumo[[#This Row],[QTD.PENDENTE]]:tabConsumo[[#This Row],[07_23]] ) * 1)</f>
        <v>13.876998452513654</v>
      </c>
      <c r="V766" s="255">
        <f xml:space="preserve"> tabConsumo[[#This Row],[Média.A]] + (_xlfn.STDEV.S( tabConsumo[[#This Row],[QTD.PENDENTE]]:tabConsumo[[#This Row],[07_23]] ) * 2)</f>
        <v>22.920663571693972</v>
      </c>
      <c r="W766" s="255">
        <f xml:space="preserve"> tabConsumo[[#This Row],[Média.A]] + (_xlfn.STDEV.S( tabConsumo[[#This Row],[QTD.PENDENTE]]:tabConsumo[[#This Row],[07_23]] ) * 3)</f>
        <v>31.964328690874293</v>
      </c>
      <c r="X766" s="5">
        <f t="shared" si="26"/>
        <v>2</v>
      </c>
      <c r="Y766">
        <v>4.166666666666667</v>
      </c>
      <c r="Z766" s="257">
        <f>SUM( tabConsumo[[#This Row],[QTD.PENDENTE]]:tabConsumo[[#This Row],[07_23]] )</f>
        <v>58</v>
      </c>
      <c r="AA766" s="257">
        <f>LARGE(tabConsumo[[#This Row],[08_22]:[07_23]],1)</f>
        <v>30</v>
      </c>
      <c r="AB766" s="175" t="s">
        <v>2212</v>
      </c>
      <c r="AC766" s="3" t="s">
        <v>2064</v>
      </c>
    </row>
    <row r="767" spans="1:29" x14ac:dyDescent="0.3">
      <c r="A767" s="4" t="s">
        <v>1238</v>
      </c>
      <c r="B767" s="3" t="s">
        <v>256</v>
      </c>
      <c r="C767" s="2">
        <v>29952</v>
      </c>
      <c r="D767" s="2">
        <v>2025</v>
      </c>
      <c r="E767" s="2">
        <v>234</v>
      </c>
      <c r="F767" s="2">
        <v>232</v>
      </c>
      <c r="G767" s="2">
        <v>284</v>
      </c>
      <c r="H767" s="2">
        <v>251</v>
      </c>
      <c r="I767" s="2">
        <v>276</v>
      </c>
      <c r="J767" s="2">
        <v>444</v>
      </c>
      <c r="K767" s="2">
        <v>136</v>
      </c>
      <c r="L767" s="2">
        <v>242</v>
      </c>
      <c r="M767" s="2">
        <v>1902</v>
      </c>
      <c r="N767" s="2">
        <v>77</v>
      </c>
      <c r="O767" s="2">
        <v>327</v>
      </c>
      <c r="P767" s="2">
        <v>294</v>
      </c>
      <c r="Q767" s="2">
        <v>285</v>
      </c>
      <c r="R767" s="274">
        <v>367</v>
      </c>
      <c r="S767" s="253">
        <f t="shared" si="28"/>
        <v>12</v>
      </c>
      <c r="T767" s="254">
        <f>SUM( tabConsumo[[#This Row],[QTD.PENDENTE]]:tabConsumo[[#This Row],[07_23]] ) / tabConsumo[[#This Row],[Div]]</f>
        <v>415.33333333333331</v>
      </c>
      <c r="U767" s="255">
        <f xml:space="preserve"> tabConsumo[[#This Row],[Média.A]] + (_xlfn.STDEV.S( tabConsumo[[#This Row],[QTD.PENDENTE]]:tabConsumo[[#This Row],[07_23]] ) * 1)</f>
        <v>879.90689020413686</v>
      </c>
      <c r="V767" s="255">
        <f xml:space="preserve"> tabConsumo[[#This Row],[Média.A]] + (_xlfn.STDEV.S( tabConsumo[[#This Row],[QTD.PENDENTE]]:tabConsumo[[#This Row],[07_23]] ) * 2)</f>
        <v>1344.4804470749405</v>
      </c>
      <c r="W767" s="255">
        <f xml:space="preserve"> tabConsumo[[#This Row],[Média.A]] + (_xlfn.STDEV.S( tabConsumo[[#This Row],[QTD.PENDENTE]]:tabConsumo[[#This Row],[07_23]] ) * 3)</f>
        <v>1809.0540039457439</v>
      </c>
      <c r="X767" s="5">
        <f t="shared" si="26"/>
        <v>2</v>
      </c>
      <c r="Y767">
        <v>368.83333333333331</v>
      </c>
      <c r="Z767" s="257">
        <f>SUM( tabConsumo[[#This Row],[QTD.PENDENTE]]:tabConsumo[[#This Row],[07_23]] )</f>
        <v>4984</v>
      </c>
      <c r="AA767" s="257">
        <f>LARGE(tabConsumo[[#This Row],[08_22]:[07_23]],1)</f>
        <v>1902</v>
      </c>
      <c r="AB767" s="175" t="s">
        <v>2211</v>
      </c>
      <c r="AC767" s="3" t="s">
        <v>2064</v>
      </c>
    </row>
    <row r="768" spans="1:29" x14ac:dyDescent="0.3">
      <c r="A768" s="4" t="s">
        <v>1965</v>
      </c>
      <c r="B768" s="3" t="s">
        <v>31</v>
      </c>
      <c r="C768" s="2">
        <v>138471</v>
      </c>
      <c r="D768" s="2">
        <v>5900</v>
      </c>
      <c r="E768" s="2">
        <v>124</v>
      </c>
      <c r="F768" s="2">
        <v>668</v>
      </c>
      <c r="G768" s="2">
        <v>690</v>
      </c>
      <c r="H768" s="2">
        <v>735</v>
      </c>
      <c r="I768" s="2">
        <v>714</v>
      </c>
      <c r="J768" s="2">
        <v>188</v>
      </c>
      <c r="K768" s="2">
        <v>173</v>
      </c>
      <c r="L768" s="2">
        <v>454</v>
      </c>
      <c r="M768" s="2">
        <v>4848</v>
      </c>
      <c r="N768" s="2">
        <v>570</v>
      </c>
      <c r="O768" s="2">
        <v>491</v>
      </c>
      <c r="P768" s="2">
        <v>606</v>
      </c>
      <c r="Q768" s="2">
        <v>613</v>
      </c>
      <c r="R768" s="274">
        <v>43720</v>
      </c>
      <c r="S768" s="253">
        <v>12</v>
      </c>
      <c r="T768" s="254">
        <f>SUM( tabConsumo[[#This Row],[QTD.PENDENTE]]:tabConsumo[[#This Row],[07_23]] ) / tabConsumo[[#This Row],[Div]]</f>
        <v>906.16666666666663</v>
      </c>
      <c r="U768" s="255">
        <f xml:space="preserve"> tabConsumo[[#This Row],[Média.A]] + (_xlfn.STDEV.S( tabConsumo[[#This Row],[QTD.PENDENTE]]:tabConsumo[[#This Row],[07_23]] ) * 1)</f>
        <v>2130.0783339167051</v>
      </c>
      <c r="V768" s="255">
        <f xml:space="preserve"> tabConsumo[[#This Row],[Média.A]] + (_xlfn.STDEV.S( tabConsumo[[#This Row],[QTD.PENDENTE]]:tabConsumo[[#This Row],[07_23]] ) * 2)</f>
        <v>3353.9900011667437</v>
      </c>
      <c r="W768" s="255">
        <f xml:space="preserve"> tabConsumo[[#This Row],[Média.A]] + (_xlfn.STDEV.S( tabConsumo[[#This Row],[QTD.PENDENTE]]:tabConsumo[[#This Row],[07_23]] ) * 3)</f>
        <v>4577.9016684167827</v>
      </c>
      <c r="X768" s="5">
        <f t="shared" si="26"/>
        <v>2</v>
      </c>
      <c r="Y768">
        <v>781.58333333333337</v>
      </c>
      <c r="Z768" s="257">
        <f>SUM( tabConsumo[[#This Row],[QTD.PENDENTE]]:tabConsumo[[#This Row],[07_23]] )</f>
        <v>10874</v>
      </c>
      <c r="AA768" s="257">
        <f>LARGE(tabConsumo[[#This Row],[08_22]:[07_23]],1)</f>
        <v>4848</v>
      </c>
      <c r="AB768" s="175" t="s">
        <v>2211</v>
      </c>
      <c r="AC768" s="3" t="s">
        <v>2064</v>
      </c>
    </row>
    <row r="769" spans="1:29" x14ac:dyDescent="0.3">
      <c r="A769" s="4" t="s">
        <v>1654</v>
      </c>
      <c r="B769" s="3" t="s">
        <v>1655</v>
      </c>
      <c r="C769" s="2">
        <v>109848</v>
      </c>
      <c r="D769" s="2">
        <v>9</v>
      </c>
      <c r="F769" s="2">
        <v>0</v>
      </c>
      <c r="G769" s="2">
        <v>27</v>
      </c>
      <c r="H769" s="2">
        <v>13</v>
      </c>
      <c r="I769" s="2">
        <v>25</v>
      </c>
      <c r="J769" s="2">
        <v>18</v>
      </c>
      <c r="K769" s="2">
        <v>0</v>
      </c>
      <c r="L769" s="2">
        <v>2</v>
      </c>
      <c r="M769" s="2">
        <v>5</v>
      </c>
      <c r="N769" s="2">
        <v>0</v>
      </c>
      <c r="O769" s="2">
        <v>0</v>
      </c>
      <c r="P769" s="2">
        <v>0</v>
      </c>
      <c r="Q769" s="2">
        <v>0</v>
      </c>
      <c r="R769" s="274">
        <v>39857</v>
      </c>
      <c r="S769" s="253">
        <v>12</v>
      </c>
      <c r="T769" s="254">
        <f>SUM( tabConsumo[[#This Row],[QTD.PENDENTE]]:tabConsumo[[#This Row],[07_23]] ) / tabConsumo[[#This Row],[Div]]</f>
        <v>7.5</v>
      </c>
      <c r="U769" s="255">
        <f xml:space="preserve"> tabConsumo[[#This Row],[Média.A]] + (_xlfn.STDEV.S( tabConsumo[[#This Row],[QTD.PENDENTE]]:tabConsumo[[#This Row],[07_23]] ) * 1)</f>
        <v>17.949010392463883</v>
      </c>
      <c r="V769" s="255">
        <f xml:space="preserve"> tabConsumo[[#This Row],[Média.A]] + (_xlfn.STDEV.S( tabConsumo[[#This Row],[QTD.PENDENTE]]:tabConsumo[[#This Row],[07_23]] ) * 2)</f>
        <v>28.398020784927763</v>
      </c>
      <c r="W769" s="255">
        <f xml:space="preserve"> tabConsumo[[#This Row],[Média.A]] + (_xlfn.STDEV.S( tabConsumo[[#This Row],[QTD.PENDENTE]]:tabConsumo[[#This Row],[07_23]] ) * 3)</f>
        <v>38.847031177391642</v>
      </c>
      <c r="X769" s="5">
        <f t="shared" si="26"/>
        <v>2</v>
      </c>
      <c r="Y769">
        <v>7.5</v>
      </c>
      <c r="Z769" s="257">
        <f>SUM( tabConsumo[[#This Row],[QTD.PENDENTE]]:tabConsumo[[#This Row],[07_23]] )</f>
        <v>90</v>
      </c>
      <c r="AA769" s="257">
        <f>LARGE(tabConsumo[[#This Row],[08_22]:[07_23]],1)</f>
        <v>27</v>
      </c>
      <c r="AB769" s="175" t="s">
        <v>2217</v>
      </c>
      <c r="AC769" s="3" t="s">
        <v>2064</v>
      </c>
    </row>
    <row r="770" spans="1:29" x14ac:dyDescent="0.3">
      <c r="A770" s="4" t="s">
        <v>1779</v>
      </c>
      <c r="B770" s="3" t="s">
        <v>273</v>
      </c>
      <c r="C770" s="2">
        <v>128287</v>
      </c>
      <c r="D770" s="2">
        <v>0</v>
      </c>
      <c r="E770" s="2">
        <v>24</v>
      </c>
      <c r="F770" s="2">
        <v>54</v>
      </c>
      <c r="G770" s="2">
        <v>40</v>
      </c>
      <c r="H770" s="2">
        <v>74</v>
      </c>
      <c r="I770" s="2">
        <v>50</v>
      </c>
      <c r="J770" s="2">
        <v>42</v>
      </c>
      <c r="K770" s="2">
        <v>68</v>
      </c>
      <c r="L770" s="2">
        <v>26</v>
      </c>
      <c r="M770" s="2">
        <v>23</v>
      </c>
      <c r="N770" s="2">
        <v>0</v>
      </c>
      <c r="O770" s="2">
        <v>0</v>
      </c>
      <c r="P770" s="2">
        <v>0</v>
      </c>
      <c r="Q770" s="2">
        <v>0</v>
      </c>
      <c r="R770" s="274">
        <v>41828</v>
      </c>
      <c r="S770" s="253">
        <v>12</v>
      </c>
      <c r="T770" s="254">
        <f>SUM( tabConsumo[[#This Row],[QTD.PENDENTE]]:tabConsumo[[#This Row],[07_23]] ) / tabConsumo[[#This Row],[Div]]</f>
        <v>33.416666666666664</v>
      </c>
      <c r="U770" s="255">
        <f xml:space="preserve"> tabConsumo[[#This Row],[Média.A]] + (_xlfn.STDEV.S( tabConsumo[[#This Row],[QTD.PENDENTE]]:tabConsumo[[#This Row],[07_23]] ) * 1)</f>
        <v>59.703057803039094</v>
      </c>
      <c r="V770" s="255">
        <f xml:space="preserve"> tabConsumo[[#This Row],[Média.A]] + (_xlfn.STDEV.S( tabConsumo[[#This Row],[QTD.PENDENTE]]:tabConsumo[[#This Row],[07_23]] ) * 2)</f>
        <v>85.989448939411517</v>
      </c>
      <c r="W770" s="255">
        <f xml:space="preserve"> tabConsumo[[#This Row],[Média.A]] + (_xlfn.STDEV.S( tabConsumo[[#This Row],[QTD.PENDENTE]]:tabConsumo[[#This Row],[07_23]] ) * 3)</f>
        <v>112.27584007578395</v>
      </c>
      <c r="X770" s="5">
        <f t="shared" si="26"/>
        <v>2</v>
      </c>
      <c r="Y770">
        <v>33.416666666666664</v>
      </c>
      <c r="Z770" s="257">
        <f>SUM( tabConsumo[[#This Row],[QTD.PENDENTE]]:tabConsumo[[#This Row],[07_23]] )</f>
        <v>401</v>
      </c>
      <c r="AA770" s="257">
        <f>LARGE(tabConsumo[[#This Row],[08_22]:[07_23]],1)</f>
        <v>74</v>
      </c>
      <c r="AB770" s="175" t="s">
        <v>2217</v>
      </c>
      <c r="AC770" s="3" t="s">
        <v>2064</v>
      </c>
    </row>
    <row r="771" spans="1:29" x14ac:dyDescent="0.3">
      <c r="A771" s="4" t="s">
        <v>1107</v>
      </c>
      <c r="B771" s="3" t="s">
        <v>256</v>
      </c>
      <c r="C771" s="2">
        <v>15813</v>
      </c>
      <c r="D771" s="2">
        <v>2165</v>
      </c>
      <c r="F771" s="2">
        <v>700</v>
      </c>
      <c r="G771" s="2">
        <v>430</v>
      </c>
      <c r="H771" s="2">
        <v>1635</v>
      </c>
      <c r="I771" s="2">
        <v>50</v>
      </c>
      <c r="J771" s="2">
        <v>520</v>
      </c>
      <c r="K771" s="2">
        <v>615</v>
      </c>
      <c r="L771" s="2">
        <v>565</v>
      </c>
      <c r="M771" s="2">
        <v>515</v>
      </c>
      <c r="N771" s="2">
        <v>85</v>
      </c>
      <c r="O771" s="2">
        <v>950</v>
      </c>
      <c r="P771" s="2">
        <v>1350</v>
      </c>
      <c r="Q771" s="2">
        <v>200</v>
      </c>
      <c r="R771" s="274">
        <v>367</v>
      </c>
      <c r="S771" s="253">
        <f xml:space="preserve"> 12</f>
        <v>12</v>
      </c>
      <c r="T771" s="254">
        <f>SUM( tabConsumo[[#This Row],[QTD.PENDENTE]]:tabConsumo[[#This Row],[07_23]] ) / tabConsumo[[#This Row],[Div]]</f>
        <v>634.58333333333337</v>
      </c>
      <c r="U771" s="255">
        <f xml:space="preserve"> tabConsumo[[#This Row],[Média.A]] + (_xlfn.STDEV.S( tabConsumo[[#This Row],[QTD.PENDENTE]]:tabConsumo[[#This Row],[07_23]] ) * 1)</f>
        <v>1113.556943981112</v>
      </c>
      <c r="V771" s="255">
        <f xml:space="preserve"> tabConsumo[[#This Row],[Média.A]] + (_xlfn.STDEV.S( tabConsumo[[#This Row],[QTD.PENDENTE]]:tabConsumo[[#This Row],[07_23]] ) * 2)</f>
        <v>1592.5305546288905</v>
      </c>
      <c r="W771" s="255">
        <f xml:space="preserve"> tabConsumo[[#This Row],[Média.A]] + (_xlfn.STDEV.S( tabConsumo[[#This Row],[QTD.PENDENTE]]:tabConsumo[[#This Row],[07_23]] ) * 3)</f>
        <v>2071.504165276669</v>
      </c>
      <c r="X771" s="5">
        <f t="shared" ref="X771:X834" si="29" xml:space="preserve"> 2</f>
        <v>2</v>
      </c>
      <c r="Y771">
        <v>631</v>
      </c>
      <c r="Z771" s="257">
        <f>SUM( tabConsumo[[#This Row],[QTD.PENDENTE]]:tabConsumo[[#This Row],[07_23]] )</f>
        <v>7615</v>
      </c>
      <c r="AA771" s="257">
        <f>LARGE(tabConsumo[[#This Row],[08_22]:[07_23]],1)</f>
        <v>1635</v>
      </c>
      <c r="AB771" s="175" t="s">
        <v>2211</v>
      </c>
      <c r="AC771" s="3" t="s">
        <v>2064</v>
      </c>
    </row>
    <row r="772" spans="1:29" x14ac:dyDescent="0.3">
      <c r="A772" s="4" t="s">
        <v>1727</v>
      </c>
      <c r="B772" s="3" t="s">
        <v>275</v>
      </c>
      <c r="C772" s="2">
        <v>119318</v>
      </c>
      <c r="D772" s="2">
        <v>0</v>
      </c>
      <c r="E772" s="2">
        <v>2</v>
      </c>
      <c r="F772" s="2">
        <v>9</v>
      </c>
      <c r="G772" s="2">
        <v>18</v>
      </c>
      <c r="H772" s="2">
        <v>9</v>
      </c>
      <c r="I772" s="2">
        <v>16</v>
      </c>
      <c r="J772" s="2">
        <v>4</v>
      </c>
      <c r="K772" s="2">
        <v>8</v>
      </c>
      <c r="L772" s="2">
        <v>10</v>
      </c>
      <c r="M772" s="2">
        <v>31</v>
      </c>
      <c r="N772" s="2">
        <v>25</v>
      </c>
      <c r="O772" s="2">
        <v>26</v>
      </c>
      <c r="P772" s="2">
        <v>22</v>
      </c>
      <c r="Q772" s="2">
        <v>17</v>
      </c>
      <c r="R772" s="274">
        <v>40598</v>
      </c>
      <c r="S772" s="253">
        <v>12</v>
      </c>
      <c r="T772" s="254">
        <f>SUM( tabConsumo[[#This Row],[QTD.PENDENTE]]:tabConsumo[[#This Row],[07_23]] ) / tabConsumo[[#This Row],[Div]]</f>
        <v>16.416666666666668</v>
      </c>
      <c r="U772" s="255">
        <f xml:space="preserve"> tabConsumo[[#This Row],[Média.A]] + (_xlfn.STDEV.S( tabConsumo[[#This Row],[QTD.PENDENTE]]:tabConsumo[[#This Row],[07_23]] ) * 1)</f>
        <v>25.433744480886322</v>
      </c>
      <c r="V772" s="255">
        <f xml:space="preserve"> tabConsumo[[#This Row],[Média.A]] + (_xlfn.STDEV.S( tabConsumo[[#This Row],[QTD.PENDENTE]]:tabConsumo[[#This Row],[07_23]] ) * 2)</f>
        <v>34.450822295105979</v>
      </c>
      <c r="W772" s="255">
        <f xml:space="preserve"> tabConsumo[[#This Row],[Média.A]] + (_xlfn.STDEV.S( tabConsumo[[#This Row],[QTD.PENDENTE]]:tabConsumo[[#This Row],[07_23]] ) * 3)</f>
        <v>43.467900109325626</v>
      </c>
      <c r="X772" s="5">
        <f t="shared" si="29"/>
        <v>2</v>
      </c>
      <c r="Y772">
        <v>16.416666666666668</v>
      </c>
      <c r="Z772" s="257">
        <f>SUM( tabConsumo[[#This Row],[QTD.PENDENTE]]:tabConsumo[[#This Row],[07_23]] )</f>
        <v>197</v>
      </c>
      <c r="AA772" s="257">
        <f>LARGE(tabConsumo[[#This Row],[08_22]:[07_23]],1)</f>
        <v>31</v>
      </c>
      <c r="AB772" s="175" t="s">
        <v>2211</v>
      </c>
      <c r="AC772" s="3" t="s">
        <v>2064</v>
      </c>
    </row>
    <row r="773" spans="1:29" x14ac:dyDescent="0.3">
      <c r="A773" s="4" t="s">
        <v>1066</v>
      </c>
      <c r="B773" s="3" t="s">
        <v>1067</v>
      </c>
      <c r="C773" s="2">
        <v>14737</v>
      </c>
      <c r="D773" s="2">
        <v>33</v>
      </c>
      <c r="F773" s="2">
        <v>1</v>
      </c>
      <c r="G773" s="2">
        <v>2</v>
      </c>
      <c r="H773" s="2">
        <v>3</v>
      </c>
      <c r="I773" s="2">
        <v>0</v>
      </c>
      <c r="J773" s="2">
        <v>0</v>
      </c>
      <c r="K773" s="2">
        <v>2</v>
      </c>
      <c r="L773" s="2">
        <v>2</v>
      </c>
      <c r="M773" s="2">
        <v>3</v>
      </c>
      <c r="N773" s="2">
        <v>0</v>
      </c>
      <c r="O773" s="2">
        <v>0</v>
      </c>
      <c r="P773" s="2">
        <v>0</v>
      </c>
      <c r="Q773" s="2">
        <v>0</v>
      </c>
      <c r="R773" s="274">
        <v>367</v>
      </c>
      <c r="S773" s="253">
        <f xml:space="preserve"> 12</f>
        <v>12</v>
      </c>
      <c r="T773" s="254">
        <f>SUM( tabConsumo[[#This Row],[QTD.PENDENTE]]:tabConsumo[[#This Row],[07_23]] ) / tabConsumo[[#This Row],[Div]]</f>
        <v>1.0833333333333333</v>
      </c>
      <c r="U773" s="255">
        <f xml:space="preserve"> tabConsumo[[#This Row],[Média.A]] + (_xlfn.STDEV.S( tabConsumo[[#This Row],[QTD.PENDENTE]]:tabConsumo[[#This Row],[07_23]] ) * 1)</f>
        <v>2.3234457427054789</v>
      </c>
      <c r="V773" s="255">
        <f xml:space="preserve"> tabConsumo[[#This Row],[Média.A]] + (_xlfn.STDEV.S( tabConsumo[[#This Row],[QTD.PENDENTE]]:tabConsumo[[#This Row],[07_23]] ) * 2)</f>
        <v>3.5635581520776238</v>
      </c>
      <c r="W773" s="255">
        <f xml:space="preserve"> tabConsumo[[#This Row],[Média.A]] + (_xlfn.STDEV.S( tabConsumo[[#This Row],[QTD.PENDENTE]]:tabConsumo[[#This Row],[07_23]] ) * 3)</f>
        <v>4.8036705614497697</v>
      </c>
      <c r="X773" s="5">
        <f t="shared" si="29"/>
        <v>2</v>
      </c>
      <c r="Y773">
        <v>1.0833333333333333</v>
      </c>
      <c r="Z773" s="257">
        <f>SUM( tabConsumo[[#This Row],[QTD.PENDENTE]]:tabConsumo[[#This Row],[07_23]] )</f>
        <v>13</v>
      </c>
      <c r="AA773" s="257">
        <f>LARGE(tabConsumo[[#This Row],[08_22]:[07_23]],1)</f>
        <v>3</v>
      </c>
      <c r="AB773" s="175" t="s">
        <v>2217</v>
      </c>
      <c r="AC773" s="3" t="s">
        <v>2064</v>
      </c>
    </row>
    <row r="774" spans="1:29" x14ac:dyDescent="0.3">
      <c r="A774" s="4" t="s">
        <v>1486</v>
      </c>
      <c r="B774" s="3" t="s">
        <v>1067</v>
      </c>
      <c r="C774" s="2">
        <v>87586</v>
      </c>
      <c r="D774" s="2">
        <v>15</v>
      </c>
      <c r="F774" s="2">
        <v>0</v>
      </c>
      <c r="G774" s="2">
        <v>15</v>
      </c>
      <c r="H774" s="2">
        <v>11</v>
      </c>
      <c r="I774" s="2">
        <v>0</v>
      </c>
      <c r="J774" s="2">
        <v>0</v>
      </c>
      <c r="K774" s="2">
        <v>0</v>
      </c>
      <c r="L774" s="2">
        <v>0</v>
      </c>
      <c r="M774" s="2">
        <v>0</v>
      </c>
      <c r="N774" s="2">
        <v>0</v>
      </c>
      <c r="O774" s="2">
        <v>0</v>
      </c>
      <c r="P774" s="2">
        <v>0</v>
      </c>
      <c r="Q774" s="2">
        <v>0</v>
      </c>
      <c r="R774" s="274">
        <v>38603</v>
      </c>
      <c r="S774" s="253">
        <v>12</v>
      </c>
      <c r="T774" s="254">
        <f>SUM( tabConsumo[[#This Row],[QTD.PENDENTE]]:tabConsumo[[#This Row],[07_23]] ) / tabConsumo[[#This Row],[Div]]</f>
        <v>2.1666666666666665</v>
      </c>
      <c r="U774" s="255">
        <f xml:space="preserve"> tabConsumo[[#This Row],[Média.A]] + (_xlfn.STDEV.S( tabConsumo[[#This Row],[QTD.PENDENTE]]:tabConsumo[[#This Row],[07_23]] ) * 1)</f>
        <v>7.2982681061135501</v>
      </c>
      <c r="V774" s="255">
        <f xml:space="preserve"> tabConsumo[[#This Row],[Média.A]] + (_xlfn.STDEV.S( tabConsumo[[#This Row],[QTD.PENDENTE]]:tabConsumo[[#This Row],[07_23]] ) * 2)</f>
        <v>12.429869545560434</v>
      </c>
      <c r="W774" s="255">
        <f xml:space="preserve"> tabConsumo[[#This Row],[Média.A]] + (_xlfn.STDEV.S( tabConsumo[[#This Row],[QTD.PENDENTE]]:tabConsumo[[#This Row],[07_23]] ) * 3)</f>
        <v>17.561470985007318</v>
      </c>
      <c r="X774" s="5">
        <f t="shared" si="29"/>
        <v>2</v>
      </c>
      <c r="Y774">
        <v>1.9166666666666667</v>
      </c>
      <c r="Z774" s="257">
        <f>SUM( tabConsumo[[#This Row],[QTD.PENDENTE]]:tabConsumo[[#This Row],[07_23]] )</f>
        <v>26</v>
      </c>
      <c r="AA774" s="257">
        <f>LARGE(tabConsumo[[#This Row],[08_22]:[07_23]],1)</f>
        <v>15</v>
      </c>
      <c r="AB774" s="175" t="s">
        <v>2215</v>
      </c>
      <c r="AC774" s="3" t="s">
        <v>2064</v>
      </c>
    </row>
    <row r="775" spans="1:29" x14ac:dyDescent="0.3">
      <c r="A775" s="4" t="s">
        <v>1173</v>
      </c>
      <c r="B775" s="3" t="s">
        <v>1067</v>
      </c>
      <c r="C775" s="2">
        <v>69229</v>
      </c>
      <c r="D775" s="2">
        <v>74</v>
      </c>
      <c r="F775" s="2">
        <v>7</v>
      </c>
      <c r="G775" s="2">
        <v>12</v>
      </c>
      <c r="H775" s="2">
        <v>9</v>
      </c>
      <c r="I775" s="2">
        <v>25</v>
      </c>
      <c r="J775" s="2">
        <v>0</v>
      </c>
      <c r="K775" s="2">
        <v>0</v>
      </c>
      <c r="L775" s="2">
        <v>3</v>
      </c>
      <c r="M775" s="2">
        <v>0</v>
      </c>
      <c r="N775" s="2">
        <v>0</v>
      </c>
      <c r="O775" s="2">
        <v>0</v>
      </c>
      <c r="P775" s="2">
        <v>1</v>
      </c>
      <c r="Q775" s="2">
        <v>8</v>
      </c>
      <c r="R775" s="274">
        <v>367</v>
      </c>
      <c r="S775" s="253">
        <f xml:space="preserve"> 12</f>
        <v>12</v>
      </c>
      <c r="T775" s="254">
        <f>SUM( tabConsumo[[#This Row],[QTD.PENDENTE]]:tabConsumo[[#This Row],[07_23]] ) / tabConsumo[[#This Row],[Div]]</f>
        <v>5.416666666666667</v>
      </c>
      <c r="U775" s="255">
        <f xml:space="preserve"> tabConsumo[[#This Row],[Média.A]] + (_xlfn.STDEV.S( tabConsumo[[#This Row],[QTD.PENDENTE]]:tabConsumo[[#This Row],[07_23]] ) * 1)</f>
        <v>12.929786504455073</v>
      </c>
      <c r="V775" s="255">
        <f xml:space="preserve"> tabConsumo[[#This Row],[Média.A]] + (_xlfn.STDEV.S( tabConsumo[[#This Row],[QTD.PENDENTE]]:tabConsumo[[#This Row],[07_23]] ) * 2)</f>
        <v>20.442906342243482</v>
      </c>
      <c r="W775" s="255">
        <f xml:space="preserve"> tabConsumo[[#This Row],[Média.A]] + (_xlfn.STDEV.S( tabConsumo[[#This Row],[QTD.PENDENTE]]:tabConsumo[[#This Row],[07_23]] ) * 3)</f>
        <v>27.956026180031888</v>
      </c>
      <c r="X775" s="5">
        <f t="shared" si="29"/>
        <v>2</v>
      </c>
      <c r="Y775">
        <v>5</v>
      </c>
      <c r="Z775" s="257">
        <f>SUM( tabConsumo[[#This Row],[QTD.PENDENTE]]:tabConsumo[[#This Row],[07_23]] )</f>
        <v>65</v>
      </c>
      <c r="AA775" s="257">
        <f>LARGE(tabConsumo[[#This Row],[08_22]:[07_23]],1)</f>
        <v>25</v>
      </c>
      <c r="AB775" s="175" t="s">
        <v>2211</v>
      </c>
      <c r="AC775" s="3" t="s">
        <v>2064</v>
      </c>
    </row>
    <row r="776" spans="1:29" x14ac:dyDescent="0.3">
      <c r="A776" s="4" t="s">
        <v>1173</v>
      </c>
      <c r="B776" s="3" t="s">
        <v>1067</v>
      </c>
      <c r="C776" s="2">
        <v>20760</v>
      </c>
      <c r="D776" s="2">
        <v>45</v>
      </c>
      <c r="E776" s="2">
        <v>1</v>
      </c>
      <c r="F776" s="2">
        <v>4</v>
      </c>
      <c r="G776" s="2">
        <v>3</v>
      </c>
      <c r="H776" s="2">
        <v>12</v>
      </c>
      <c r="I776" s="2">
        <v>0</v>
      </c>
      <c r="J776" s="2">
        <v>7</v>
      </c>
      <c r="K776" s="2">
        <v>25</v>
      </c>
      <c r="L776" s="2">
        <v>16</v>
      </c>
      <c r="M776" s="2">
        <v>15</v>
      </c>
      <c r="N776" s="2">
        <v>9</v>
      </c>
      <c r="O776" s="2">
        <v>0</v>
      </c>
      <c r="P776" s="2">
        <v>5</v>
      </c>
      <c r="Q776" s="2">
        <v>8</v>
      </c>
      <c r="R776" s="274">
        <v>367</v>
      </c>
      <c r="S776" s="253">
        <f xml:space="preserve"> 12</f>
        <v>12</v>
      </c>
      <c r="T776" s="254">
        <f>SUM( tabConsumo[[#This Row],[QTD.PENDENTE]]:tabConsumo[[#This Row],[07_23]] ) / tabConsumo[[#This Row],[Div]]</f>
        <v>8.75</v>
      </c>
      <c r="U776" s="255">
        <f xml:space="preserve"> tabConsumo[[#This Row],[Média.A]] + (_xlfn.STDEV.S( tabConsumo[[#This Row],[QTD.PENDENTE]]:tabConsumo[[#This Row],[07_23]] ) * 1)</f>
        <v>16.092360411356584</v>
      </c>
      <c r="V776" s="255">
        <f xml:space="preserve"> tabConsumo[[#This Row],[Média.A]] + (_xlfn.STDEV.S( tabConsumo[[#This Row],[QTD.PENDENTE]]:tabConsumo[[#This Row],[07_23]] ) * 2)</f>
        <v>23.434720822713167</v>
      </c>
      <c r="W776" s="255">
        <f xml:space="preserve"> tabConsumo[[#This Row],[Média.A]] + (_xlfn.STDEV.S( tabConsumo[[#This Row],[QTD.PENDENTE]]:tabConsumo[[#This Row],[07_23]] ) * 3)</f>
        <v>30.777081234069747</v>
      </c>
      <c r="X776" s="5">
        <f t="shared" si="29"/>
        <v>2</v>
      </c>
      <c r="Y776">
        <v>8.5833333333333339</v>
      </c>
      <c r="Z776" s="257">
        <f>SUM( tabConsumo[[#This Row],[QTD.PENDENTE]]:tabConsumo[[#This Row],[07_23]] )</f>
        <v>105</v>
      </c>
      <c r="AA776" s="257">
        <f>LARGE(tabConsumo[[#This Row],[08_22]:[07_23]],1)</f>
        <v>25</v>
      </c>
      <c r="AB776" s="175" t="s">
        <v>2211</v>
      </c>
      <c r="AC776" s="3" t="s">
        <v>2064</v>
      </c>
    </row>
    <row r="777" spans="1:29" x14ac:dyDescent="0.3">
      <c r="A777" s="4" t="s">
        <v>1174</v>
      </c>
      <c r="B777" s="3" t="s">
        <v>1067</v>
      </c>
      <c r="C777" s="2">
        <v>20763</v>
      </c>
      <c r="D777" s="2">
        <v>17</v>
      </c>
      <c r="F777" s="2">
        <v>9</v>
      </c>
      <c r="G777" s="2">
        <v>5</v>
      </c>
      <c r="H777" s="2">
        <v>0</v>
      </c>
      <c r="I777" s="2">
        <v>8</v>
      </c>
      <c r="J777" s="2">
        <v>0</v>
      </c>
      <c r="K777" s="2">
        <v>0</v>
      </c>
      <c r="L777" s="2">
        <v>1</v>
      </c>
      <c r="M777" s="2">
        <v>2</v>
      </c>
      <c r="N777" s="2">
        <v>1</v>
      </c>
      <c r="O777" s="2">
        <v>0</v>
      </c>
      <c r="P777" s="2">
        <v>6</v>
      </c>
      <c r="Q777" s="2">
        <v>2</v>
      </c>
      <c r="R777" s="274">
        <v>367</v>
      </c>
      <c r="S777" s="253">
        <f xml:space="preserve"> 12</f>
        <v>12</v>
      </c>
      <c r="T777" s="254">
        <f>SUM( tabConsumo[[#This Row],[QTD.PENDENTE]]:tabConsumo[[#This Row],[07_23]] ) / tabConsumo[[#This Row],[Div]]</f>
        <v>2.8333333333333335</v>
      </c>
      <c r="U777" s="255">
        <f xml:space="preserve"> tabConsumo[[#This Row],[Média.A]] + (_xlfn.STDEV.S( tabConsumo[[#This Row],[QTD.PENDENTE]]:tabConsumo[[#This Row],[07_23]] ) * 1)</f>
        <v>6.1316340895997898</v>
      </c>
      <c r="V777" s="255">
        <f xml:space="preserve"> tabConsumo[[#This Row],[Média.A]] + (_xlfn.STDEV.S( tabConsumo[[#This Row],[QTD.PENDENTE]]:tabConsumo[[#This Row],[07_23]] ) * 2)</f>
        <v>9.4299348458662458</v>
      </c>
      <c r="W777" s="255">
        <f xml:space="preserve"> tabConsumo[[#This Row],[Média.A]] + (_xlfn.STDEV.S( tabConsumo[[#This Row],[QTD.PENDENTE]]:tabConsumo[[#This Row],[07_23]] ) * 3)</f>
        <v>12.728235602132703</v>
      </c>
      <c r="X777" s="5">
        <f t="shared" si="29"/>
        <v>2</v>
      </c>
      <c r="Y777">
        <v>2.8333333333333335</v>
      </c>
      <c r="Z777" s="257">
        <f>SUM( tabConsumo[[#This Row],[QTD.PENDENTE]]:tabConsumo[[#This Row],[07_23]] )</f>
        <v>34</v>
      </c>
      <c r="AA777" s="257">
        <f>LARGE(tabConsumo[[#This Row],[08_22]:[07_23]],1)</f>
        <v>9</v>
      </c>
      <c r="AB777" s="175" t="s">
        <v>2211</v>
      </c>
      <c r="AC777" s="3" t="s">
        <v>2064</v>
      </c>
    </row>
    <row r="778" spans="1:29" x14ac:dyDescent="0.3">
      <c r="A778" s="4" t="s">
        <v>2023</v>
      </c>
      <c r="B778" s="3" t="s">
        <v>273</v>
      </c>
      <c r="C778" s="2">
        <v>141608</v>
      </c>
      <c r="D778" s="2">
        <v>80</v>
      </c>
      <c r="F778" s="2">
        <v>0</v>
      </c>
      <c r="G778" s="2">
        <v>0</v>
      </c>
      <c r="H778" s="2">
        <v>0</v>
      </c>
      <c r="I778" s="2">
        <v>0</v>
      </c>
      <c r="J778" s="2">
        <v>0</v>
      </c>
      <c r="K778" s="2">
        <v>4</v>
      </c>
      <c r="L778" s="2">
        <v>0</v>
      </c>
      <c r="M778" s="2">
        <v>1</v>
      </c>
      <c r="N778" s="2">
        <v>0</v>
      </c>
      <c r="O778" s="2">
        <v>3</v>
      </c>
      <c r="P778" s="2">
        <v>0</v>
      </c>
      <c r="Q778" s="2">
        <v>0</v>
      </c>
      <c r="R778" s="274">
        <v>44371</v>
      </c>
      <c r="S778" s="253">
        <v>12</v>
      </c>
      <c r="T778" s="254">
        <f>SUM( tabConsumo[[#This Row],[QTD.PENDENTE]]:tabConsumo[[#This Row],[07_23]] ) / tabConsumo[[#This Row],[Div]]</f>
        <v>0.66666666666666663</v>
      </c>
      <c r="U778" s="255">
        <f xml:space="preserve"> tabConsumo[[#This Row],[Média.A]] + (_xlfn.STDEV.S( tabConsumo[[#This Row],[QTD.PENDENTE]]:tabConsumo[[#This Row],[07_23]] ) * 1)</f>
        <v>2.0373555003513504</v>
      </c>
      <c r="V778" s="255">
        <f xml:space="preserve"> tabConsumo[[#This Row],[Média.A]] + (_xlfn.STDEV.S( tabConsumo[[#This Row],[QTD.PENDENTE]]:tabConsumo[[#This Row],[07_23]] ) * 2)</f>
        <v>3.4080443340360342</v>
      </c>
      <c r="W778" s="255">
        <f xml:space="preserve"> tabConsumo[[#This Row],[Média.A]] + (_xlfn.STDEV.S( tabConsumo[[#This Row],[QTD.PENDENTE]]:tabConsumo[[#This Row],[07_23]] ) * 3)</f>
        <v>4.778733167720719</v>
      </c>
      <c r="X778" s="5">
        <f t="shared" si="29"/>
        <v>2</v>
      </c>
      <c r="Y778">
        <v>0.58333333333333337</v>
      </c>
      <c r="Z778" s="257">
        <f>SUM( tabConsumo[[#This Row],[QTD.PENDENTE]]:tabConsumo[[#This Row],[07_23]] )</f>
        <v>8</v>
      </c>
      <c r="AA778" s="257">
        <f>LARGE(tabConsumo[[#This Row],[08_22]:[07_23]],1)</f>
        <v>4</v>
      </c>
      <c r="AB778" s="175" t="s">
        <v>2214</v>
      </c>
      <c r="AC778" s="3" t="s">
        <v>2064</v>
      </c>
    </row>
    <row r="779" spans="1:29" x14ac:dyDescent="0.3">
      <c r="A779" s="4" t="s">
        <v>1329</v>
      </c>
      <c r="B779" s="3" t="s">
        <v>273</v>
      </c>
      <c r="C779" s="2">
        <v>57900</v>
      </c>
      <c r="D779" s="2">
        <v>0</v>
      </c>
      <c r="E779" s="2">
        <v>3</v>
      </c>
      <c r="F779" s="2">
        <v>0</v>
      </c>
      <c r="G779" s="2">
        <v>0</v>
      </c>
      <c r="H779" s="2">
        <v>3</v>
      </c>
      <c r="I779" s="2">
        <v>1</v>
      </c>
      <c r="J779" s="2">
        <v>10</v>
      </c>
      <c r="K779" s="2">
        <v>5</v>
      </c>
      <c r="L779" s="2">
        <v>5</v>
      </c>
      <c r="M779" s="2">
        <v>1</v>
      </c>
      <c r="N779" s="2">
        <v>3</v>
      </c>
      <c r="O779" s="2">
        <v>0</v>
      </c>
      <c r="P779" s="2">
        <v>0</v>
      </c>
      <c r="Q779" s="2">
        <v>0</v>
      </c>
      <c r="R779" s="274">
        <v>367</v>
      </c>
      <c r="S779" s="253">
        <f xml:space="preserve"> 12</f>
        <v>12</v>
      </c>
      <c r="T779" s="254">
        <f>SUM( tabConsumo[[#This Row],[QTD.PENDENTE]]:tabConsumo[[#This Row],[07_23]] ) / tabConsumo[[#This Row],[Div]]</f>
        <v>2.5833333333333335</v>
      </c>
      <c r="U779" s="255">
        <f xml:space="preserve"> tabConsumo[[#This Row],[Média.A]] + (_xlfn.STDEV.S( tabConsumo[[#This Row],[QTD.PENDENTE]]:tabConsumo[[#This Row],[07_23]] ) * 1)</f>
        <v>5.5424565576026872</v>
      </c>
      <c r="V779" s="255">
        <f xml:space="preserve"> tabConsumo[[#This Row],[Média.A]] + (_xlfn.STDEV.S( tabConsumo[[#This Row],[QTD.PENDENTE]]:tabConsumo[[#This Row],[07_23]] ) * 2)</f>
        <v>8.5015797818720422</v>
      </c>
      <c r="W779" s="255">
        <f xml:space="preserve"> tabConsumo[[#This Row],[Média.A]] + (_xlfn.STDEV.S( tabConsumo[[#This Row],[QTD.PENDENTE]]:tabConsumo[[#This Row],[07_23]] ) * 3)</f>
        <v>11.460703006141395</v>
      </c>
      <c r="X779" s="5">
        <f t="shared" si="29"/>
        <v>2</v>
      </c>
      <c r="Y779">
        <v>2.4166666666666665</v>
      </c>
      <c r="Z779" s="257">
        <f>SUM( tabConsumo[[#This Row],[QTD.PENDENTE]]:tabConsumo[[#This Row],[07_23]] )</f>
        <v>31</v>
      </c>
      <c r="AA779" s="257">
        <f>LARGE(tabConsumo[[#This Row],[08_22]:[07_23]],1)</f>
        <v>10</v>
      </c>
      <c r="AB779" s="175" t="s">
        <v>2213</v>
      </c>
      <c r="AC779" s="3" t="s">
        <v>2064</v>
      </c>
    </row>
    <row r="780" spans="1:29" x14ac:dyDescent="0.3">
      <c r="A780" s="4" t="s">
        <v>2025</v>
      </c>
      <c r="B780" s="3" t="s">
        <v>596</v>
      </c>
      <c r="C780" s="2">
        <v>141679</v>
      </c>
      <c r="D780" s="2">
        <v>153</v>
      </c>
      <c r="F780" s="2">
        <v>25</v>
      </c>
      <c r="G780" s="2">
        <v>2</v>
      </c>
      <c r="H780" s="2">
        <v>0</v>
      </c>
      <c r="I780" s="2">
        <v>0</v>
      </c>
      <c r="J780" s="2">
        <v>3</v>
      </c>
      <c r="K780" s="2">
        <v>8</v>
      </c>
      <c r="L780" s="2">
        <v>0</v>
      </c>
      <c r="M780" s="2">
        <v>14</v>
      </c>
      <c r="N780" s="2">
        <v>7</v>
      </c>
      <c r="O780" s="2">
        <v>3</v>
      </c>
      <c r="P780" s="2">
        <v>7</v>
      </c>
      <c r="Q780" s="2">
        <v>3</v>
      </c>
      <c r="R780" s="274">
        <v>44375</v>
      </c>
      <c r="S780" s="253">
        <v>12</v>
      </c>
      <c r="T780" s="254">
        <f>SUM( tabConsumo[[#This Row],[QTD.PENDENTE]]:tabConsumo[[#This Row],[07_23]] ) / tabConsumo[[#This Row],[Div]]</f>
        <v>6</v>
      </c>
      <c r="U780" s="255">
        <f xml:space="preserve"> tabConsumo[[#This Row],[Média.A]] + (_xlfn.STDEV.S( tabConsumo[[#This Row],[QTD.PENDENTE]]:tabConsumo[[#This Row],[07_23]] ) * 1)</f>
        <v>13.273863547599095</v>
      </c>
      <c r="V780" s="255">
        <f xml:space="preserve"> tabConsumo[[#This Row],[Média.A]] + (_xlfn.STDEV.S( tabConsumo[[#This Row],[QTD.PENDENTE]]:tabConsumo[[#This Row],[07_23]] ) * 2)</f>
        <v>20.547727095198191</v>
      </c>
      <c r="W780" s="255">
        <f xml:space="preserve"> tabConsumo[[#This Row],[Média.A]] + (_xlfn.STDEV.S( tabConsumo[[#This Row],[QTD.PENDENTE]]:tabConsumo[[#This Row],[07_23]] ) * 3)</f>
        <v>27.82159064279729</v>
      </c>
      <c r="X780" s="5">
        <f t="shared" si="29"/>
        <v>2</v>
      </c>
      <c r="Y780">
        <v>5.583333333333333</v>
      </c>
      <c r="Z780" s="257">
        <f>SUM( tabConsumo[[#This Row],[QTD.PENDENTE]]:tabConsumo[[#This Row],[07_23]] )</f>
        <v>72</v>
      </c>
      <c r="AA780" s="257">
        <f>LARGE(tabConsumo[[#This Row],[08_22]:[07_23]],1)</f>
        <v>25</v>
      </c>
      <c r="AB780" s="175" t="s">
        <v>2211</v>
      </c>
      <c r="AC780" s="3" t="s">
        <v>2064</v>
      </c>
    </row>
    <row r="781" spans="1:29" x14ac:dyDescent="0.3">
      <c r="A781" s="4" t="s">
        <v>2026</v>
      </c>
      <c r="B781" s="3" t="s">
        <v>596</v>
      </c>
      <c r="C781" s="2">
        <v>141680</v>
      </c>
      <c r="D781" s="2">
        <v>649</v>
      </c>
      <c r="F781" s="2">
        <v>85</v>
      </c>
      <c r="G781" s="2">
        <v>47</v>
      </c>
      <c r="H781" s="2">
        <v>71</v>
      </c>
      <c r="I781" s="2">
        <v>14</v>
      </c>
      <c r="J781" s="2">
        <v>4</v>
      </c>
      <c r="K781" s="2">
        <v>83</v>
      </c>
      <c r="L781" s="2">
        <v>42</v>
      </c>
      <c r="M781" s="2">
        <v>22</v>
      </c>
      <c r="N781" s="2">
        <v>31</v>
      </c>
      <c r="O781" s="2">
        <v>105</v>
      </c>
      <c r="P781" s="2">
        <v>72</v>
      </c>
      <c r="Q781" s="2">
        <v>111</v>
      </c>
      <c r="R781" s="274">
        <v>44375</v>
      </c>
      <c r="S781" s="253">
        <v>12</v>
      </c>
      <c r="T781" s="254">
        <f>SUM( tabConsumo[[#This Row],[QTD.PENDENTE]]:tabConsumo[[#This Row],[07_23]] ) / tabConsumo[[#This Row],[Div]]</f>
        <v>57.25</v>
      </c>
      <c r="U781" s="255">
        <f xml:space="preserve"> tabConsumo[[#This Row],[Média.A]] + (_xlfn.STDEV.S( tabConsumo[[#This Row],[QTD.PENDENTE]]:tabConsumo[[#This Row],[07_23]] ) * 1)</f>
        <v>92.905230395349491</v>
      </c>
      <c r="V781" s="255">
        <f xml:space="preserve"> tabConsumo[[#This Row],[Média.A]] + (_xlfn.STDEV.S( tabConsumo[[#This Row],[QTD.PENDENTE]]:tabConsumo[[#This Row],[07_23]] ) * 2)</f>
        <v>128.56046079069898</v>
      </c>
      <c r="W781" s="255">
        <f xml:space="preserve"> tabConsumo[[#This Row],[Média.A]] + (_xlfn.STDEV.S( tabConsumo[[#This Row],[QTD.PENDENTE]]:tabConsumo[[#This Row],[07_23]] ) * 3)</f>
        <v>164.2156911860485</v>
      </c>
      <c r="X781" s="5">
        <f t="shared" si="29"/>
        <v>2</v>
      </c>
      <c r="Y781">
        <v>57.25</v>
      </c>
      <c r="Z781" s="257">
        <f>SUM( tabConsumo[[#This Row],[QTD.PENDENTE]]:tabConsumo[[#This Row],[07_23]] )</f>
        <v>687</v>
      </c>
      <c r="AA781" s="257">
        <f>LARGE(tabConsumo[[#This Row],[08_22]:[07_23]],1)</f>
        <v>111</v>
      </c>
      <c r="AB781" s="175" t="s">
        <v>2211</v>
      </c>
      <c r="AC781" s="3" t="s">
        <v>2064</v>
      </c>
    </row>
    <row r="782" spans="1:29" x14ac:dyDescent="0.3">
      <c r="A782" s="4" t="s">
        <v>2018</v>
      </c>
      <c r="B782" s="3" t="s">
        <v>596</v>
      </c>
      <c r="C782" s="2">
        <v>141268</v>
      </c>
      <c r="D782" s="2">
        <v>530</v>
      </c>
      <c r="F782" s="2">
        <v>64</v>
      </c>
      <c r="G782" s="2">
        <v>34</v>
      </c>
      <c r="H782" s="2">
        <v>111</v>
      </c>
      <c r="I782" s="2">
        <v>77</v>
      </c>
      <c r="J782" s="2">
        <v>81</v>
      </c>
      <c r="K782" s="2">
        <v>168</v>
      </c>
      <c r="L782" s="2">
        <v>58</v>
      </c>
      <c r="M782" s="2">
        <v>60</v>
      </c>
      <c r="N782" s="2">
        <v>27</v>
      </c>
      <c r="O782" s="2">
        <v>44</v>
      </c>
      <c r="P782" s="2">
        <v>54</v>
      </c>
      <c r="Q782" s="2">
        <v>82</v>
      </c>
      <c r="R782" s="274">
        <v>44355</v>
      </c>
      <c r="S782" s="253">
        <v>12</v>
      </c>
      <c r="T782" s="254">
        <f>SUM( tabConsumo[[#This Row],[QTD.PENDENTE]]:tabConsumo[[#This Row],[07_23]] ) / tabConsumo[[#This Row],[Div]]</f>
        <v>71.666666666666671</v>
      </c>
      <c r="U782" s="255">
        <f xml:space="preserve"> tabConsumo[[#This Row],[Média.A]] + (_xlfn.STDEV.S( tabConsumo[[#This Row],[QTD.PENDENTE]]:tabConsumo[[#This Row],[07_23]] ) * 1)</f>
        <v>109.71289054650987</v>
      </c>
      <c r="V782" s="255">
        <f xml:space="preserve"> tabConsumo[[#This Row],[Média.A]] + (_xlfn.STDEV.S( tabConsumo[[#This Row],[QTD.PENDENTE]]:tabConsumo[[#This Row],[07_23]] ) * 2)</f>
        <v>147.75911442635308</v>
      </c>
      <c r="W782" s="255">
        <f xml:space="preserve"> tabConsumo[[#This Row],[Média.A]] + (_xlfn.STDEV.S( tabConsumo[[#This Row],[QTD.PENDENTE]]:tabConsumo[[#This Row],[07_23]] ) * 3)</f>
        <v>185.80533830619629</v>
      </c>
      <c r="X782" s="5">
        <f t="shared" si="29"/>
        <v>2</v>
      </c>
      <c r="Y782">
        <v>69.916666666666671</v>
      </c>
      <c r="Z782" s="257">
        <f>SUM( tabConsumo[[#This Row],[QTD.PENDENTE]]:tabConsumo[[#This Row],[07_23]] )</f>
        <v>860</v>
      </c>
      <c r="AA782" s="257">
        <f>LARGE(tabConsumo[[#This Row],[08_22]:[07_23]],1)</f>
        <v>168</v>
      </c>
      <c r="AB782" s="175" t="s">
        <v>2211</v>
      </c>
      <c r="AC782" s="3" t="s">
        <v>2064</v>
      </c>
    </row>
    <row r="783" spans="1:29" x14ac:dyDescent="0.3">
      <c r="A783" s="4" t="s">
        <v>2027</v>
      </c>
      <c r="B783" s="3" t="s">
        <v>596</v>
      </c>
      <c r="C783" s="2">
        <v>141681</v>
      </c>
      <c r="D783" s="2">
        <v>119</v>
      </c>
      <c r="F783" s="2">
        <v>7</v>
      </c>
      <c r="G783" s="2">
        <v>2</v>
      </c>
      <c r="H783" s="2">
        <v>1</v>
      </c>
      <c r="I783" s="2">
        <v>0</v>
      </c>
      <c r="J783" s="2">
        <v>0</v>
      </c>
      <c r="K783" s="2">
        <v>1</v>
      </c>
      <c r="L783" s="2">
        <v>0</v>
      </c>
      <c r="M783" s="2">
        <v>5</v>
      </c>
      <c r="N783" s="2">
        <v>4</v>
      </c>
      <c r="O783" s="2">
        <v>0</v>
      </c>
      <c r="P783" s="2">
        <v>8</v>
      </c>
      <c r="Q783" s="2">
        <v>1</v>
      </c>
      <c r="R783" s="274">
        <v>44375</v>
      </c>
      <c r="S783" s="253">
        <v>12</v>
      </c>
      <c r="T783" s="254">
        <f>SUM( tabConsumo[[#This Row],[QTD.PENDENTE]]:tabConsumo[[#This Row],[07_23]] ) / tabConsumo[[#This Row],[Div]]</f>
        <v>2.4166666666666665</v>
      </c>
      <c r="U783" s="255">
        <f xml:space="preserve"> tabConsumo[[#This Row],[Média.A]] + (_xlfn.STDEV.S( tabConsumo[[#This Row],[QTD.PENDENTE]]:tabConsumo[[#This Row],[07_23]] ) * 1)</f>
        <v>5.2915843202963346</v>
      </c>
      <c r="V783" s="255">
        <f xml:space="preserve"> tabConsumo[[#This Row],[Média.A]] + (_xlfn.STDEV.S( tabConsumo[[#This Row],[QTD.PENDENTE]]:tabConsumo[[#This Row],[07_23]] ) * 2)</f>
        <v>8.1665019739260032</v>
      </c>
      <c r="W783" s="255">
        <f xml:space="preserve"> tabConsumo[[#This Row],[Média.A]] + (_xlfn.STDEV.S( tabConsumo[[#This Row],[QTD.PENDENTE]]:tabConsumo[[#This Row],[07_23]] ) * 3)</f>
        <v>11.041419627555671</v>
      </c>
      <c r="X783" s="5">
        <f t="shared" si="29"/>
        <v>2</v>
      </c>
      <c r="Y783">
        <v>2.4166666666666665</v>
      </c>
      <c r="Z783" s="257">
        <f>SUM( tabConsumo[[#This Row],[QTD.PENDENTE]]:tabConsumo[[#This Row],[07_23]] )</f>
        <v>29</v>
      </c>
      <c r="AA783" s="257">
        <f>LARGE(tabConsumo[[#This Row],[08_22]:[07_23]],1)</f>
        <v>8</v>
      </c>
      <c r="AB783" s="175" t="s">
        <v>2211</v>
      </c>
      <c r="AC783" s="3" t="s">
        <v>2064</v>
      </c>
    </row>
    <row r="784" spans="1:29" x14ac:dyDescent="0.3">
      <c r="A784" s="4" t="s">
        <v>2015</v>
      </c>
      <c r="B784" s="3" t="s">
        <v>596</v>
      </c>
      <c r="C784" s="2">
        <v>141265</v>
      </c>
      <c r="D784" s="2">
        <v>82</v>
      </c>
      <c r="F784" s="2">
        <v>9</v>
      </c>
      <c r="G784" s="2">
        <v>6</v>
      </c>
      <c r="H784" s="2">
        <v>11</v>
      </c>
      <c r="I784" s="2">
        <v>0</v>
      </c>
      <c r="J784" s="2">
        <v>0</v>
      </c>
      <c r="K784" s="2">
        <v>5</v>
      </c>
      <c r="L784" s="2">
        <v>12</v>
      </c>
      <c r="M784" s="2">
        <v>11</v>
      </c>
      <c r="N784" s="2">
        <v>5</v>
      </c>
      <c r="O784" s="2">
        <v>18</v>
      </c>
      <c r="P784" s="2">
        <v>20</v>
      </c>
      <c r="Q784" s="2">
        <v>9</v>
      </c>
      <c r="R784" s="274">
        <v>44355</v>
      </c>
      <c r="S784" s="253">
        <v>12</v>
      </c>
      <c r="T784" s="254">
        <f>SUM( tabConsumo[[#This Row],[QTD.PENDENTE]]:tabConsumo[[#This Row],[07_23]] ) / tabConsumo[[#This Row],[Div]]</f>
        <v>8.8333333333333339</v>
      </c>
      <c r="U784" s="255">
        <f xml:space="preserve"> tabConsumo[[#This Row],[Média.A]] + (_xlfn.STDEV.S( tabConsumo[[#This Row],[QTD.PENDENTE]]:tabConsumo[[#This Row],[07_23]] ) * 1)</f>
        <v>15.024725207002238</v>
      </c>
      <c r="V784" s="255">
        <f xml:space="preserve"> tabConsumo[[#This Row],[Média.A]] + (_xlfn.STDEV.S( tabConsumo[[#This Row],[QTD.PENDENTE]]:tabConsumo[[#This Row],[07_23]] ) * 2)</f>
        <v>21.21611708067114</v>
      </c>
      <c r="W784" s="255">
        <f xml:space="preserve"> tabConsumo[[#This Row],[Média.A]] + (_xlfn.STDEV.S( tabConsumo[[#This Row],[QTD.PENDENTE]]:tabConsumo[[#This Row],[07_23]] ) * 3)</f>
        <v>27.407508954340045</v>
      </c>
      <c r="X784" s="5">
        <f t="shared" si="29"/>
        <v>2</v>
      </c>
      <c r="Y784">
        <v>8.8333333333333339</v>
      </c>
      <c r="Z784" s="257">
        <f>SUM( tabConsumo[[#This Row],[QTD.PENDENTE]]:tabConsumo[[#This Row],[07_23]] )</f>
        <v>106</v>
      </c>
      <c r="AA784" s="257">
        <f>LARGE(tabConsumo[[#This Row],[08_22]:[07_23]],1)</f>
        <v>20</v>
      </c>
      <c r="AB784" s="175" t="s">
        <v>2211</v>
      </c>
      <c r="AC784" s="3" t="s">
        <v>2064</v>
      </c>
    </row>
    <row r="785" spans="1:29" x14ac:dyDescent="0.3">
      <c r="A785" s="4" t="s">
        <v>2017</v>
      </c>
      <c r="B785" s="3" t="s">
        <v>596</v>
      </c>
      <c r="C785" s="2">
        <v>141266</v>
      </c>
      <c r="D785" s="2">
        <v>137</v>
      </c>
      <c r="F785" s="2">
        <v>10</v>
      </c>
      <c r="G785" s="2">
        <v>1</v>
      </c>
      <c r="H785" s="2">
        <v>2</v>
      </c>
      <c r="I785" s="2">
        <v>1</v>
      </c>
      <c r="J785" s="2">
        <v>0</v>
      </c>
      <c r="K785" s="2">
        <v>0</v>
      </c>
      <c r="L785" s="2">
        <v>0</v>
      </c>
      <c r="M785" s="2">
        <v>22</v>
      </c>
      <c r="N785" s="2">
        <v>6</v>
      </c>
      <c r="O785" s="2">
        <v>3</v>
      </c>
      <c r="P785" s="2">
        <v>8</v>
      </c>
      <c r="Q785" s="2">
        <v>3</v>
      </c>
      <c r="R785" s="274">
        <v>44355</v>
      </c>
      <c r="S785" s="253">
        <v>12</v>
      </c>
      <c r="T785" s="254">
        <f>SUM( tabConsumo[[#This Row],[QTD.PENDENTE]]:tabConsumo[[#This Row],[07_23]] ) / tabConsumo[[#This Row],[Div]]</f>
        <v>4.666666666666667</v>
      </c>
      <c r="U785" s="255">
        <f xml:space="preserve"> tabConsumo[[#This Row],[Média.A]] + (_xlfn.STDEV.S( tabConsumo[[#This Row],[QTD.PENDENTE]]:tabConsumo[[#This Row],[07_23]] ) * 1)</f>
        <v>11.038955157158965</v>
      </c>
      <c r="V785" s="255">
        <f xml:space="preserve"> tabConsumo[[#This Row],[Média.A]] + (_xlfn.STDEV.S( tabConsumo[[#This Row],[QTD.PENDENTE]]:tabConsumo[[#This Row],[07_23]] ) * 2)</f>
        <v>17.411243647651261</v>
      </c>
      <c r="W785" s="255">
        <f xml:space="preserve"> tabConsumo[[#This Row],[Média.A]] + (_xlfn.STDEV.S( tabConsumo[[#This Row],[QTD.PENDENTE]]:tabConsumo[[#This Row],[07_23]] ) * 3)</f>
        <v>23.78353213814356</v>
      </c>
      <c r="X785" s="5">
        <f t="shared" si="29"/>
        <v>2</v>
      </c>
      <c r="Y785">
        <v>4.25</v>
      </c>
      <c r="Z785" s="257">
        <f>SUM( tabConsumo[[#This Row],[QTD.PENDENTE]]:tabConsumo[[#This Row],[07_23]] )</f>
        <v>56</v>
      </c>
      <c r="AA785" s="257">
        <f>LARGE(tabConsumo[[#This Row],[08_22]:[07_23]],1)</f>
        <v>22</v>
      </c>
      <c r="AB785" s="175" t="s">
        <v>2211</v>
      </c>
      <c r="AC785" s="3" t="s">
        <v>2064</v>
      </c>
    </row>
    <row r="786" spans="1:29" x14ac:dyDescent="0.3">
      <c r="A786" s="4" t="s">
        <v>1629</v>
      </c>
      <c r="B786" s="3" t="s">
        <v>275</v>
      </c>
      <c r="C786" s="2">
        <v>106697</v>
      </c>
      <c r="D786" s="2">
        <v>1971</v>
      </c>
      <c r="E786" s="2">
        <v>2</v>
      </c>
      <c r="F786" s="2">
        <v>402</v>
      </c>
      <c r="G786" s="2">
        <v>451</v>
      </c>
      <c r="H786" s="2">
        <v>477</v>
      </c>
      <c r="I786" s="2">
        <v>395</v>
      </c>
      <c r="J786" s="2">
        <v>320</v>
      </c>
      <c r="K786" s="2">
        <v>88</v>
      </c>
      <c r="L786" s="2">
        <v>327</v>
      </c>
      <c r="M786" s="2">
        <v>1483</v>
      </c>
      <c r="N786" s="2">
        <v>263</v>
      </c>
      <c r="O786" s="2">
        <v>337</v>
      </c>
      <c r="P786" s="2">
        <v>348</v>
      </c>
      <c r="Q786" s="2">
        <v>310</v>
      </c>
      <c r="R786" s="274">
        <v>39598</v>
      </c>
      <c r="S786" s="253">
        <v>12</v>
      </c>
      <c r="T786" s="254">
        <f>SUM( tabConsumo[[#This Row],[QTD.PENDENTE]]:tabConsumo[[#This Row],[07_23]] ) / tabConsumo[[#This Row],[Div]]</f>
        <v>433.58333333333331</v>
      </c>
      <c r="U786" s="255">
        <f xml:space="preserve"> tabConsumo[[#This Row],[Média.A]] + (_xlfn.STDEV.S( tabConsumo[[#This Row],[QTD.PENDENTE]]:tabConsumo[[#This Row],[07_23]] ) * 1)</f>
        <v>785.06428441654498</v>
      </c>
      <c r="V786" s="255">
        <f xml:space="preserve"> tabConsumo[[#This Row],[Média.A]] + (_xlfn.STDEV.S( tabConsumo[[#This Row],[QTD.PENDENTE]]:tabConsumo[[#This Row],[07_23]] ) * 2)</f>
        <v>1136.5452354997565</v>
      </c>
      <c r="W786" s="255">
        <f xml:space="preserve"> tabConsumo[[#This Row],[Média.A]] + (_xlfn.STDEV.S( tabConsumo[[#This Row],[QTD.PENDENTE]]:tabConsumo[[#This Row],[07_23]] ) * 3)</f>
        <v>1488.0261865829682</v>
      </c>
      <c r="X786" s="5">
        <f t="shared" si="29"/>
        <v>2</v>
      </c>
      <c r="Y786">
        <v>404.66666666666669</v>
      </c>
      <c r="Z786" s="257">
        <f>SUM( tabConsumo[[#This Row],[QTD.PENDENTE]]:tabConsumo[[#This Row],[07_23]] )</f>
        <v>5203</v>
      </c>
      <c r="AA786" s="257">
        <f>LARGE(tabConsumo[[#This Row],[08_22]:[07_23]],1)</f>
        <v>1483</v>
      </c>
      <c r="AB786" s="175" t="s">
        <v>2211</v>
      </c>
      <c r="AC786" s="3" t="s">
        <v>2064</v>
      </c>
    </row>
    <row r="787" spans="1:29" x14ac:dyDescent="0.3">
      <c r="A787" s="4" t="s">
        <v>1444</v>
      </c>
      <c r="B787" s="3" t="s">
        <v>625</v>
      </c>
      <c r="C787" s="2">
        <v>78641</v>
      </c>
      <c r="D787" s="2">
        <v>670</v>
      </c>
      <c r="E787" s="2">
        <v>2</v>
      </c>
      <c r="F787" s="2">
        <v>334</v>
      </c>
      <c r="G787" s="2">
        <v>338</v>
      </c>
      <c r="H787" s="2">
        <v>429</v>
      </c>
      <c r="I787" s="2">
        <v>360</v>
      </c>
      <c r="J787" s="2">
        <v>331</v>
      </c>
      <c r="K787" s="2">
        <v>88</v>
      </c>
      <c r="L787" s="2">
        <v>262</v>
      </c>
      <c r="M787" s="2">
        <v>1431</v>
      </c>
      <c r="N787" s="2">
        <v>242</v>
      </c>
      <c r="O787" s="2">
        <v>334</v>
      </c>
      <c r="P787" s="2">
        <v>292</v>
      </c>
      <c r="Q787" s="2">
        <v>230</v>
      </c>
      <c r="R787" s="274">
        <v>38104</v>
      </c>
      <c r="S787" s="253">
        <v>12</v>
      </c>
      <c r="T787" s="254">
        <f>SUM( tabConsumo[[#This Row],[QTD.PENDENTE]]:tabConsumo[[#This Row],[07_23]] ) / tabConsumo[[#This Row],[Div]]</f>
        <v>389.41666666666669</v>
      </c>
      <c r="U787" s="255">
        <f xml:space="preserve"> tabConsumo[[#This Row],[Média.A]] + (_xlfn.STDEV.S( tabConsumo[[#This Row],[QTD.PENDENTE]]:tabConsumo[[#This Row],[07_23]] ) * 1)</f>
        <v>731.18598833081091</v>
      </c>
      <c r="V787" s="255">
        <f xml:space="preserve"> tabConsumo[[#This Row],[Média.A]] + (_xlfn.STDEV.S( tabConsumo[[#This Row],[QTD.PENDENTE]]:tabConsumo[[#This Row],[07_23]] ) * 2)</f>
        <v>1072.9553099949551</v>
      </c>
      <c r="W787" s="255">
        <f xml:space="preserve"> tabConsumo[[#This Row],[Média.A]] + (_xlfn.STDEV.S( tabConsumo[[#This Row],[QTD.PENDENTE]]:tabConsumo[[#This Row],[07_23]] ) * 3)</f>
        <v>1414.7246316590993</v>
      </c>
      <c r="X787" s="5">
        <f t="shared" si="29"/>
        <v>2</v>
      </c>
      <c r="Y787">
        <v>359.5</v>
      </c>
      <c r="Z787" s="257">
        <f>SUM( tabConsumo[[#This Row],[QTD.PENDENTE]]:tabConsumo[[#This Row],[07_23]] )</f>
        <v>4673</v>
      </c>
      <c r="AA787" s="257">
        <f>LARGE(tabConsumo[[#This Row],[08_22]:[07_23]],1)</f>
        <v>1431</v>
      </c>
      <c r="AB787" s="175" t="s">
        <v>2211</v>
      </c>
      <c r="AC787" s="3" t="s">
        <v>2064</v>
      </c>
    </row>
    <row r="788" spans="1:29" x14ac:dyDescent="0.3">
      <c r="A788" s="4" t="s">
        <v>1446</v>
      </c>
      <c r="B788" s="3" t="s">
        <v>625</v>
      </c>
      <c r="C788" s="2">
        <v>78642</v>
      </c>
      <c r="D788" s="2">
        <v>1094</v>
      </c>
      <c r="E788" s="2">
        <v>2</v>
      </c>
      <c r="F788" s="2">
        <v>303</v>
      </c>
      <c r="G788" s="2">
        <v>368</v>
      </c>
      <c r="H788" s="2">
        <v>383</v>
      </c>
      <c r="I788" s="2">
        <v>294</v>
      </c>
      <c r="J788" s="2">
        <v>272</v>
      </c>
      <c r="K788" s="2">
        <v>99</v>
      </c>
      <c r="L788" s="2">
        <v>262</v>
      </c>
      <c r="M788" s="2">
        <v>1401</v>
      </c>
      <c r="N788" s="2">
        <v>250</v>
      </c>
      <c r="O788" s="2">
        <v>293</v>
      </c>
      <c r="P788" s="2">
        <v>309</v>
      </c>
      <c r="Q788" s="2">
        <v>218</v>
      </c>
      <c r="R788" s="274">
        <v>38104</v>
      </c>
      <c r="S788" s="253">
        <v>12</v>
      </c>
      <c r="T788" s="254">
        <f>SUM( tabConsumo[[#This Row],[QTD.PENDENTE]]:tabConsumo[[#This Row],[07_23]] ) / tabConsumo[[#This Row],[Div]]</f>
        <v>371.16666666666669</v>
      </c>
      <c r="U788" s="255">
        <f xml:space="preserve"> tabConsumo[[#This Row],[Média.A]] + (_xlfn.STDEV.S( tabConsumo[[#This Row],[QTD.PENDENTE]]:tabConsumo[[#This Row],[07_23]] ) * 1)</f>
        <v>705.44911671491013</v>
      </c>
      <c r="V788" s="255">
        <f xml:space="preserve"> tabConsumo[[#This Row],[Média.A]] + (_xlfn.STDEV.S( tabConsumo[[#This Row],[QTD.PENDENTE]]:tabConsumo[[#This Row],[07_23]] ) * 2)</f>
        <v>1039.7315667631538</v>
      </c>
      <c r="W788" s="255">
        <f xml:space="preserve"> tabConsumo[[#This Row],[Média.A]] + (_xlfn.STDEV.S( tabConsumo[[#This Row],[QTD.PENDENTE]]:tabConsumo[[#This Row],[07_23]] ) * 3)</f>
        <v>1374.0140168113971</v>
      </c>
      <c r="X788" s="5">
        <f t="shared" si="29"/>
        <v>2</v>
      </c>
      <c r="Y788">
        <v>341</v>
      </c>
      <c r="Z788" s="257">
        <f>SUM( tabConsumo[[#This Row],[QTD.PENDENTE]]:tabConsumo[[#This Row],[07_23]] )</f>
        <v>4454</v>
      </c>
      <c r="AA788" s="257">
        <f>LARGE(tabConsumo[[#This Row],[08_22]:[07_23]],1)</f>
        <v>1401</v>
      </c>
      <c r="AB788" s="175" t="s">
        <v>2211</v>
      </c>
      <c r="AC788" s="3" t="s">
        <v>2064</v>
      </c>
    </row>
    <row r="789" spans="1:29" x14ac:dyDescent="0.3">
      <c r="A789" s="4" t="s">
        <v>1447</v>
      </c>
      <c r="B789" s="3" t="s">
        <v>625</v>
      </c>
      <c r="C789" s="2">
        <v>78643</v>
      </c>
      <c r="D789" s="2">
        <v>855</v>
      </c>
      <c r="E789" s="2">
        <v>2</v>
      </c>
      <c r="F789" s="2">
        <v>405</v>
      </c>
      <c r="G789" s="2">
        <v>430</v>
      </c>
      <c r="H789" s="2">
        <v>487</v>
      </c>
      <c r="I789" s="2">
        <v>385</v>
      </c>
      <c r="J789" s="2">
        <v>311</v>
      </c>
      <c r="K789" s="2">
        <v>93</v>
      </c>
      <c r="L789" s="2">
        <v>322</v>
      </c>
      <c r="M789" s="2">
        <v>1486</v>
      </c>
      <c r="N789" s="2">
        <v>289</v>
      </c>
      <c r="O789" s="2">
        <v>306</v>
      </c>
      <c r="P789" s="2">
        <v>348</v>
      </c>
      <c r="Q789" s="2">
        <v>307</v>
      </c>
      <c r="R789" s="274">
        <v>38104</v>
      </c>
      <c r="S789" s="253">
        <v>12</v>
      </c>
      <c r="T789" s="254">
        <f>SUM( tabConsumo[[#This Row],[QTD.PENDENTE]]:tabConsumo[[#This Row],[07_23]] ) / tabConsumo[[#This Row],[Div]]</f>
        <v>430.91666666666669</v>
      </c>
      <c r="U789" s="255">
        <f xml:space="preserve"> tabConsumo[[#This Row],[Média.A]] + (_xlfn.STDEV.S( tabConsumo[[#This Row],[QTD.PENDENTE]]:tabConsumo[[#This Row],[07_23]] ) * 1)</f>
        <v>782.96049770814216</v>
      </c>
      <c r="V789" s="255">
        <f xml:space="preserve"> tabConsumo[[#This Row],[Média.A]] + (_xlfn.STDEV.S( tabConsumo[[#This Row],[QTD.PENDENTE]]:tabConsumo[[#This Row],[07_23]] ) * 2)</f>
        <v>1135.0043287496178</v>
      </c>
      <c r="W789" s="255">
        <f xml:space="preserve"> tabConsumo[[#This Row],[Média.A]] + (_xlfn.STDEV.S( tabConsumo[[#This Row],[QTD.PENDENTE]]:tabConsumo[[#This Row],[07_23]] ) * 3)</f>
        <v>1487.0481597910932</v>
      </c>
      <c r="X789" s="5">
        <f t="shared" si="29"/>
        <v>2</v>
      </c>
      <c r="Y789">
        <v>401.66666666666669</v>
      </c>
      <c r="Z789" s="257">
        <f>SUM( tabConsumo[[#This Row],[QTD.PENDENTE]]:tabConsumo[[#This Row],[07_23]] )</f>
        <v>5171</v>
      </c>
      <c r="AA789" s="257">
        <f>LARGE(tabConsumo[[#This Row],[08_22]:[07_23]],1)</f>
        <v>1486</v>
      </c>
      <c r="AB789" s="175" t="s">
        <v>2211</v>
      </c>
      <c r="AC789" s="3" t="s">
        <v>2064</v>
      </c>
    </row>
    <row r="790" spans="1:29" x14ac:dyDescent="0.3">
      <c r="A790" s="4" t="s">
        <v>1448</v>
      </c>
      <c r="B790" s="3" t="s">
        <v>625</v>
      </c>
      <c r="C790" s="2">
        <v>78646</v>
      </c>
      <c r="D790" s="2">
        <v>1618</v>
      </c>
      <c r="E790" s="2">
        <v>2</v>
      </c>
      <c r="F790" s="2">
        <v>474</v>
      </c>
      <c r="G790" s="2">
        <v>446</v>
      </c>
      <c r="H790" s="2">
        <v>501</v>
      </c>
      <c r="I790" s="2">
        <v>488</v>
      </c>
      <c r="J790" s="2">
        <v>363</v>
      </c>
      <c r="K790" s="2">
        <v>97</v>
      </c>
      <c r="L790" s="2">
        <v>313</v>
      </c>
      <c r="M790" s="2">
        <v>1514</v>
      </c>
      <c r="N790" s="2">
        <v>275</v>
      </c>
      <c r="O790" s="2">
        <v>322</v>
      </c>
      <c r="P790" s="2">
        <v>358</v>
      </c>
      <c r="Q790" s="2">
        <v>315</v>
      </c>
      <c r="R790" s="274">
        <v>38104</v>
      </c>
      <c r="S790" s="253">
        <v>12</v>
      </c>
      <c r="T790" s="254">
        <f>SUM( tabConsumo[[#This Row],[QTD.PENDENTE]]:tabConsumo[[#This Row],[07_23]] ) / tabConsumo[[#This Row],[Div]]</f>
        <v>455.66666666666669</v>
      </c>
      <c r="U790" s="255">
        <f xml:space="preserve"> tabConsumo[[#This Row],[Média.A]] + (_xlfn.STDEV.S( tabConsumo[[#This Row],[QTD.PENDENTE]]:tabConsumo[[#This Row],[07_23]] ) * 1)</f>
        <v>815.16366212502896</v>
      </c>
      <c r="V790" s="255">
        <f xml:space="preserve"> tabConsumo[[#This Row],[Média.A]] + (_xlfn.STDEV.S( tabConsumo[[#This Row],[QTD.PENDENTE]]:tabConsumo[[#This Row],[07_23]] ) * 2)</f>
        <v>1174.6606575833912</v>
      </c>
      <c r="W790" s="255">
        <f xml:space="preserve"> tabConsumo[[#This Row],[Média.A]] + (_xlfn.STDEV.S( tabConsumo[[#This Row],[QTD.PENDENTE]]:tabConsumo[[#This Row],[07_23]] ) * 3)</f>
        <v>1534.1576530417535</v>
      </c>
      <c r="X790" s="5">
        <f t="shared" si="29"/>
        <v>2</v>
      </c>
      <c r="Y790">
        <v>427.33333333333331</v>
      </c>
      <c r="Z790" s="257">
        <f>SUM( tabConsumo[[#This Row],[QTD.PENDENTE]]:tabConsumo[[#This Row],[07_23]] )</f>
        <v>5468</v>
      </c>
      <c r="AA790" s="257">
        <f>LARGE(tabConsumo[[#This Row],[08_22]:[07_23]],1)</f>
        <v>1514</v>
      </c>
      <c r="AB790" s="175" t="s">
        <v>2211</v>
      </c>
      <c r="AC790" s="3" t="s">
        <v>2064</v>
      </c>
    </row>
    <row r="791" spans="1:29" x14ac:dyDescent="0.3">
      <c r="A791" s="4" t="s">
        <v>1458</v>
      </c>
      <c r="B791" s="3" t="s">
        <v>625</v>
      </c>
      <c r="C791" s="2">
        <v>80874</v>
      </c>
      <c r="D791" s="2">
        <v>1494</v>
      </c>
      <c r="E791" s="2">
        <v>2</v>
      </c>
      <c r="F791" s="2">
        <v>409</v>
      </c>
      <c r="G791" s="2">
        <v>471</v>
      </c>
      <c r="H791" s="2">
        <v>492</v>
      </c>
      <c r="I791" s="2">
        <v>414</v>
      </c>
      <c r="J791" s="2">
        <v>363</v>
      </c>
      <c r="K791" s="2">
        <v>95</v>
      </c>
      <c r="L791" s="2">
        <v>343</v>
      </c>
      <c r="M791" s="2">
        <v>1513</v>
      </c>
      <c r="N791" s="2">
        <v>304</v>
      </c>
      <c r="O791" s="2">
        <v>355</v>
      </c>
      <c r="P791" s="2">
        <v>363</v>
      </c>
      <c r="Q791" s="2">
        <v>336</v>
      </c>
      <c r="R791" s="274">
        <v>38196</v>
      </c>
      <c r="S791" s="253">
        <v>12</v>
      </c>
      <c r="T791" s="254">
        <f>SUM( tabConsumo[[#This Row],[QTD.PENDENTE]]:tabConsumo[[#This Row],[07_23]] ) / tabConsumo[[#This Row],[Div]]</f>
        <v>455</v>
      </c>
      <c r="U791" s="255">
        <f xml:space="preserve"> tabConsumo[[#This Row],[Média.A]] + (_xlfn.STDEV.S( tabConsumo[[#This Row],[QTD.PENDENTE]]:tabConsumo[[#This Row],[07_23]] ) * 1)</f>
        <v>810.91478380833428</v>
      </c>
      <c r="V791" s="255">
        <f xml:space="preserve"> tabConsumo[[#This Row],[Média.A]] + (_xlfn.STDEV.S( tabConsumo[[#This Row],[QTD.PENDENTE]]:tabConsumo[[#This Row],[07_23]] ) * 2)</f>
        <v>1166.8295676166686</v>
      </c>
      <c r="W791" s="255">
        <f xml:space="preserve"> tabConsumo[[#This Row],[Média.A]] + (_xlfn.STDEV.S( tabConsumo[[#This Row],[QTD.PENDENTE]]:tabConsumo[[#This Row],[07_23]] ) * 3)</f>
        <v>1522.7443514250028</v>
      </c>
      <c r="X791" s="5">
        <f t="shared" si="29"/>
        <v>2</v>
      </c>
      <c r="Y791">
        <v>426.08333333333331</v>
      </c>
      <c r="Z791" s="257">
        <f>SUM( tabConsumo[[#This Row],[QTD.PENDENTE]]:tabConsumo[[#This Row],[07_23]] )</f>
        <v>5460</v>
      </c>
      <c r="AA791" s="257">
        <f>LARGE(tabConsumo[[#This Row],[08_22]:[07_23]],1)</f>
        <v>1513</v>
      </c>
      <c r="AB791" s="175" t="s">
        <v>2211</v>
      </c>
      <c r="AC791" s="3" t="s">
        <v>2064</v>
      </c>
    </row>
    <row r="792" spans="1:29" x14ac:dyDescent="0.3">
      <c r="A792" s="4" t="s">
        <v>1457</v>
      </c>
      <c r="B792" s="3" t="s">
        <v>625</v>
      </c>
      <c r="C792" s="2">
        <v>80872</v>
      </c>
      <c r="D792" s="2">
        <v>0</v>
      </c>
      <c r="E792" s="2">
        <v>184</v>
      </c>
      <c r="F792" s="2">
        <v>397</v>
      </c>
      <c r="G792" s="2">
        <v>397</v>
      </c>
      <c r="H792" s="2">
        <v>420</v>
      </c>
      <c r="I792" s="2">
        <v>369</v>
      </c>
      <c r="J792" s="2">
        <v>314</v>
      </c>
      <c r="K792" s="2">
        <v>76</v>
      </c>
      <c r="L792" s="2">
        <v>334</v>
      </c>
      <c r="M792" s="2">
        <v>1474</v>
      </c>
      <c r="N792" s="2">
        <v>284</v>
      </c>
      <c r="O792" s="2">
        <v>328</v>
      </c>
      <c r="P792" s="2">
        <v>295</v>
      </c>
      <c r="Q792" s="2">
        <v>11</v>
      </c>
      <c r="R792" s="274">
        <v>38196</v>
      </c>
      <c r="S792" s="253">
        <v>12</v>
      </c>
      <c r="T792" s="254">
        <f>SUM( tabConsumo[[#This Row],[QTD.PENDENTE]]:tabConsumo[[#This Row],[07_23]] ) / tabConsumo[[#This Row],[Div]]</f>
        <v>406.91666666666669</v>
      </c>
      <c r="U792" s="255">
        <f xml:space="preserve"> tabConsumo[[#This Row],[Média.A]] + (_xlfn.STDEV.S( tabConsumo[[#This Row],[QTD.PENDENTE]]:tabConsumo[[#This Row],[07_23]] ) * 1)</f>
        <v>759.46631765253346</v>
      </c>
      <c r="V792" s="255">
        <f xml:space="preserve"> tabConsumo[[#This Row],[Média.A]] + (_xlfn.STDEV.S( tabConsumo[[#This Row],[QTD.PENDENTE]]:tabConsumo[[#This Row],[07_23]] ) * 2)</f>
        <v>1112.0159686384002</v>
      </c>
      <c r="W792" s="255">
        <f xml:space="preserve"> tabConsumo[[#This Row],[Média.A]] + (_xlfn.STDEV.S( tabConsumo[[#This Row],[QTD.PENDENTE]]:tabConsumo[[#This Row],[07_23]] ) * 3)</f>
        <v>1464.5656196242669</v>
      </c>
      <c r="X792" s="5">
        <f t="shared" si="29"/>
        <v>2</v>
      </c>
      <c r="Y792">
        <v>376.75</v>
      </c>
      <c r="Z792" s="257">
        <f>SUM( tabConsumo[[#This Row],[QTD.PENDENTE]]:tabConsumo[[#This Row],[07_23]] )</f>
        <v>4883</v>
      </c>
      <c r="AA792" s="257">
        <f>LARGE(tabConsumo[[#This Row],[08_22]:[07_23]],1)</f>
        <v>1474</v>
      </c>
      <c r="AB792" s="175" t="s">
        <v>2211</v>
      </c>
      <c r="AC792" s="3" t="s">
        <v>2064</v>
      </c>
    </row>
    <row r="793" spans="1:29" x14ac:dyDescent="0.3">
      <c r="A793" s="4" t="s">
        <v>2028</v>
      </c>
      <c r="B793" s="3" t="s">
        <v>273</v>
      </c>
      <c r="C793" s="2">
        <v>141786</v>
      </c>
      <c r="D793" s="2">
        <v>245</v>
      </c>
      <c r="F793" s="2">
        <v>2</v>
      </c>
      <c r="G793" s="2">
        <v>8</v>
      </c>
      <c r="H793" s="2">
        <v>1</v>
      </c>
      <c r="I793" s="2">
        <v>8</v>
      </c>
      <c r="J793" s="2">
        <v>2</v>
      </c>
      <c r="K793" s="2">
        <v>4</v>
      </c>
      <c r="L793" s="2">
        <v>4</v>
      </c>
      <c r="M793" s="2">
        <v>4</v>
      </c>
      <c r="N793" s="2">
        <v>0</v>
      </c>
      <c r="O793" s="2">
        <v>2</v>
      </c>
      <c r="P793" s="2">
        <v>0</v>
      </c>
      <c r="Q793" s="2">
        <v>2</v>
      </c>
      <c r="R793" s="274">
        <v>44375</v>
      </c>
      <c r="S793" s="253">
        <v>12</v>
      </c>
      <c r="T793" s="254">
        <f>SUM( tabConsumo[[#This Row],[QTD.PENDENTE]]:tabConsumo[[#This Row],[07_23]] ) / tabConsumo[[#This Row],[Div]]</f>
        <v>3.0833333333333335</v>
      </c>
      <c r="U793" s="255">
        <f xml:space="preserve"> tabConsumo[[#This Row],[Média.A]] + (_xlfn.STDEV.S( tabConsumo[[#This Row],[QTD.PENDENTE]]:tabConsumo[[#This Row],[07_23]] ) * 1)</f>
        <v>5.7618109651687064</v>
      </c>
      <c r="V793" s="255">
        <f xml:space="preserve"> tabConsumo[[#This Row],[Média.A]] + (_xlfn.STDEV.S( tabConsumo[[#This Row],[QTD.PENDENTE]]:tabConsumo[[#This Row],[07_23]] ) * 2)</f>
        <v>8.4402885970040789</v>
      </c>
      <c r="W793" s="255">
        <f xml:space="preserve"> tabConsumo[[#This Row],[Média.A]] + (_xlfn.STDEV.S( tabConsumo[[#This Row],[QTD.PENDENTE]]:tabConsumo[[#This Row],[07_23]] ) * 3)</f>
        <v>11.118766228839451</v>
      </c>
      <c r="X793" s="5">
        <f t="shared" si="29"/>
        <v>2</v>
      </c>
      <c r="Y793">
        <v>3.0833333333333335</v>
      </c>
      <c r="Z793" s="257">
        <f>SUM( tabConsumo[[#This Row],[QTD.PENDENTE]]:tabConsumo[[#This Row],[07_23]] )</f>
        <v>37</v>
      </c>
      <c r="AA793" s="257">
        <f>LARGE(tabConsumo[[#This Row],[08_22]:[07_23]],1)</f>
        <v>8</v>
      </c>
      <c r="AB793" s="175" t="s">
        <v>2211</v>
      </c>
      <c r="AC793" s="3" t="s">
        <v>2064</v>
      </c>
    </row>
    <row r="794" spans="1:29" x14ac:dyDescent="0.3">
      <c r="A794" s="4" t="s">
        <v>2029</v>
      </c>
      <c r="B794" s="3" t="s">
        <v>273</v>
      </c>
      <c r="C794" s="2">
        <v>141787</v>
      </c>
      <c r="D794" s="2">
        <v>333</v>
      </c>
      <c r="F794" s="2">
        <v>45</v>
      </c>
      <c r="G794" s="2">
        <v>40</v>
      </c>
      <c r="H794" s="2">
        <v>11</v>
      </c>
      <c r="I794" s="2">
        <v>16</v>
      </c>
      <c r="J794" s="2">
        <v>1</v>
      </c>
      <c r="K794" s="2">
        <v>39</v>
      </c>
      <c r="L794" s="2">
        <v>72</v>
      </c>
      <c r="M794" s="2">
        <v>29</v>
      </c>
      <c r="N794" s="2">
        <v>22</v>
      </c>
      <c r="O794" s="2">
        <v>28</v>
      </c>
      <c r="P794" s="2">
        <v>32</v>
      </c>
      <c r="Q794" s="2">
        <v>28</v>
      </c>
      <c r="R794" s="274">
        <v>44375</v>
      </c>
      <c r="S794" s="253">
        <v>12</v>
      </c>
      <c r="T794" s="254">
        <f>SUM( tabConsumo[[#This Row],[QTD.PENDENTE]]:tabConsumo[[#This Row],[07_23]] ) / tabConsumo[[#This Row],[Div]]</f>
        <v>30.25</v>
      </c>
      <c r="U794" s="255">
        <f xml:space="preserve"> tabConsumo[[#This Row],[Média.A]] + (_xlfn.STDEV.S( tabConsumo[[#This Row],[QTD.PENDENTE]]:tabConsumo[[#This Row],[07_23]] ) * 1)</f>
        <v>48.45152341276561</v>
      </c>
      <c r="V794" s="255">
        <f xml:space="preserve"> tabConsumo[[#This Row],[Média.A]] + (_xlfn.STDEV.S( tabConsumo[[#This Row],[QTD.PENDENTE]]:tabConsumo[[#This Row],[07_23]] ) * 2)</f>
        <v>66.65304682553122</v>
      </c>
      <c r="W794" s="255">
        <f xml:space="preserve"> tabConsumo[[#This Row],[Média.A]] + (_xlfn.STDEV.S( tabConsumo[[#This Row],[QTD.PENDENTE]]:tabConsumo[[#This Row],[07_23]] ) * 3)</f>
        <v>84.854570238296816</v>
      </c>
      <c r="X794" s="5">
        <f t="shared" si="29"/>
        <v>2</v>
      </c>
      <c r="Y794">
        <v>29.75</v>
      </c>
      <c r="Z794" s="257">
        <f>SUM( tabConsumo[[#This Row],[QTD.PENDENTE]]:tabConsumo[[#This Row],[07_23]] )</f>
        <v>363</v>
      </c>
      <c r="AA794" s="257">
        <f>LARGE(tabConsumo[[#This Row],[08_22]:[07_23]],1)</f>
        <v>72</v>
      </c>
      <c r="AB794" s="175" t="s">
        <v>2211</v>
      </c>
      <c r="AC794" s="3" t="s">
        <v>2064</v>
      </c>
    </row>
    <row r="795" spans="1:29" x14ac:dyDescent="0.3">
      <c r="A795" s="4" t="s">
        <v>2024</v>
      </c>
      <c r="B795" s="3" t="s">
        <v>273</v>
      </c>
      <c r="C795" s="2">
        <v>141615</v>
      </c>
      <c r="D795" s="2">
        <v>95</v>
      </c>
      <c r="F795" s="2">
        <v>2</v>
      </c>
      <c r="G795" s="2">
        <v>1</v>
      </c>
      <c r="H795" s="2">
        <v>3</v>
      </c>
      <c r="I795" s="2">
        <v>2</v>
      </c>
      <c r="J795" s="2">
        <v>2</v>
      </c>
      <c r="K795" s="2">
        <v>12</v>
      </c>
      <c r="L795" s="2">
        <v>2</v>
      </c>
      <c r="M795" s="2">
        <v>4</v>
      </c>
      <c r="N795" s="2">
        <v>1</v>
      </c>
      <c r="O795" s="2">
        <v>1</v>
      </c>
      <c r="P795" s="2">
        <v>2</v>
      </c>
      <c r="Q795" s="2">
        <v>0</v>
      </c>
      <c r="R795" s="274">
        <v>44371</v>
      </c>
      <c r="S795" s="253">
        <v>12</v>
      </c>
      <c r="T795" s="254">
        <f>SUM( tabConsumo[[#This Row],[QTD.PENDENTE]]:tabConsumo[[#This Row],[07_23]] ) / tabConsumo[[#This Row],[Div]]</f>
        <v>2.6666666666666665</v>
      </c>
      <c r="U795" s="255">
        <f xml:space="preserve"> tabConsumo[[#This Row],[Média.A]] + (_xlfn.STDEV.S( tabConsumo[[#This Row],[QTD.PENDENTE]]:tabConsumo[[#This Row],[07_23]] ) * 1)</f>
        <v>5.7806624433127585</v>
      </c>
      <c r="V795" s="255">
        <f xml:space="preserve"> tabConsumo[[#This Row],[Média.A]] + (_xlfn.STDEV.S( tabConsumo[[#This Row],[QTD.PENDENTE]]:tabConsumo[[#This Row],[07_23]] ) * 2)</f>
        <v>8.8946582199588509</v>
      </c>
      <c r="W795" s="255">
        <f xml:space="preserve"> tabConsumo[[#This Row],[Média.A]] + (_xlfn.STDEV.S( tabConsumo[[#This Row],[QTD.PENDENTE]]:tabConsumo[[#This Row],[07_23]] ) * 3)</f>
        <v>12.008653996604941</v>
      </c>
      <c r="X795" s="5">
        <f t="shared" si="29"/>
        <v>2</v>
      </c>
      <c r="Y795">
        <v>2.3333333333333335</v>
      </c>
      <c r="Z795" s="257">
        <f>SUM( tabConsumo[[#This Row],[QTD.PENDENTE]]:tabConsumo[[#This Row],[07_23]] )</f>
        <v>32</v>
      </c>
      <c r="AA795" s="257">
        <f>LARGE(tabConsumo[[#This Row],[08_22]:[07_23]],1)</f>
        <v>12</v>
      </c>
      <c r="AB795" s="175" t="s">
        <v>2212</v>
      </c>
      <c r="AC795" s="3" t="s">
        <v>2064</v>
      </c>
    </row>
    <row r="796" spans="1:29" x14ac:dyDescent="0.3">
      <c r="A796" s="4" t="s">
        <v>971</v>
      </c>
      <c r="B796" s="3" t="s">
        <v>273</v>
      </c>
      <c r="C796" s="2">
        <v>12877</v>
      </c>
      <c r="D796" s="2">
        <v>0</v>
      </c>
      <c r="F796" s="2">
        <v>39</v>
      </c>
      <c r="G796" s="2">
        <v>21</v>
      </c>
      <c r="H796" s="2">
        <v>64</v>
      </c>
      <c r="I796" s="2">
        <v>53</v>
      </c>
      <c r="J796" s="2">
        <v>51</v>
      </c>
      <c r="K796" s="2">
        <v>53</v>
      </c>
      <c r="L796" s="2">
        <v>8</v>
      </c>
      <c r="M796" s="2">
        <v>56</v>
      </c>
      <c r="N796" s="2">
        <v>14</v>
      </c>
      <c r="O796" s="2">
        <v>20</v>
      </c>
      <c r="P796" s="2">
        <v>49</v>
      </c>
      <c r="Q796" s="2">
        <v>26</v>
      </c>
      <c r="R796" s="274">
        <v>367</v>
      </c>
      <c r="S796" s="253">
        <f xml:space="preserve"> 12</f>
        <v>12</v>
      </c>
      <c r="T796" s="254">
        <f>SUM( tabConsumo[[#This Row],[QTD.PENDENTE]]:tabConsumo[[#This Row],[07_23]] ) / tabConsumo[[#This Row],[Div]]</f>
        <v>37.833333333333336</v>
      </c>
      <c r="U796" s="255">
        <f xml:space="preserve"> tabConsumo[[#This Row],[Média.A]] + (_xlfn.STDEV.S( tabConsumo[[#This Row],[QTD.PENDENTE]]:tabConsumo[[#This Row],[07_23]] ) * 1)</f>
        <v>56.839711847990571</v>
      </c>
      <c r="V796" s="255">
        <f xml:space="preserve"> tabConsumo[[#This Row],[Média.A]] + (_xlfn.STDEV.S( tabConsumo[[#This Row],[QTD.PENDENTE]]:tabConsumo[[#This Row],[07_23]] ) * 2)</f>
        <v>75.846090362647814</v>
      </c>
      <c r="W796" s="255">
        <f xml:space="preserve"> tabConsumo[[#This Row],[Média.A]] + (_xlfn.STDEV.S( tabConsumo[[#This Row],[QTD.PENDENTE]]:tabConsumo[[#This Row],[07_23]] ) * 3)</f>
        <v>94.852468877305057</v>
      </c>
      <c r="X796" s="5">
        <f t="shared" si="29"/>
        <v>2</v>
      </c>
      <c r="Y796">
        <v>37.833333333333336</v>
      </c>
      <c r="Z796" s="257">
        <f>SUM( tabConsumo[[#This Row],[QTD.PENDENTE]]:tabConsumo[[#This Row],[07_23]] )</f>
        <v>454</v>
      </c>
      <c r="AA796" s="257">
        <f>LARGE(tabConsumo[[#This Row],[08_22]:[07_23]],1)</f>
        <v>64</v>
      </c>
      <c r="AB796" s="175" t="s">
        <v>2211</v>
      </c>
      <c r="AC796" s="3" t="s">
        <v>2064</v>
      </c>
    </row>
    <row r="797" spans="1:29" x14ac:dyDescent="0.3">
      <c r="A797" s="4" t="s">
        <v>830</v>
      </c>
      <c r="B797" s="3" t="s">
        <v>273</v>
      </c>
      <c r="C797" s="2">
        <v>64821</v>
      </c>
      <c r="D797" s="2">
        <v>20</v>
      </c>
      <c r="F797" s="2">
        <v>4</v>
      </c>
      <c r="G797" s="2">
        <v>0</v>
      </c>
      <c r="H797" s="2">
        <v>0</v>
      </c>
      <c r="I797" s="2">
        <v>0</v>
      </c>
      <c r="J797" s="2">
        <v>0</v>
      </c>
      <c r="K797" s="2">
        <v>0</v>
      </c>
      <c r="L797" s="2">
        <v>0</v>
      </c>
      <c r="M797" s="2">
        <v>1</v>
      </c>
      <c r="N797" s="2">
        <v>0</v>
      </c>
      <c r="O797" s="2">
        <v>0</v>
      </c>
      <c r="P797" s="2">
        <v>2</v>
      </c>
      <c r="Q797" s="2">
        <v>0</v>
      </c>
      <c r="R797" s="274">
        <v>367</v>
      </c>
      <c r="S797" s="253">
        <f xml:space="preserve"> 12</f>
        <v>12</v>
      </c>
      <c r="T797" s="254">
        <f>SUM( tabConsumo[[#This Row],[QTD.PENDENTE]]:tabConsumo[[#This Row],[07_23]] ) / tabConsumo[[#This Row],[Div]]</f>
        <v>0.58333333333333337</v>
      </c>
      <c r="U797" s="255">
        <f xml:space="preserve"> tabConsumo[[#This Row],[Média.A]] + (_xlfn.STDEV.S( tabConsumo[[#This Row],[QTD.PENDENTE]]:tabConsumo[[#This Row],[07_23]] ) * 1)</f>
        <v>1.8234457427054789</v>
      </c>
      <c r="V797" s="255">
        <f xml:space="preserve"> tabConsumo[[#This Row],[Média.A]] + (_xlfn.STDEV.S( tabConsumo[[#This Row],[QTD.PENDENTE]]:tabConsumo[[#This Row],[07_23]] ) * 2)</f>
        <v>3.0635581520776247</v>
      </c>
      <c r="W797" s="255">
        <f xml:space="preserve"> tabConsumo[[#This Row],[Média.A]] + (_xlfn.STDEV.S( tabConsumo[[#This Row],[QTD.PENDENTE]]:tabConsumo[[#This Row],[07_23]] ) * 3)</f>
        <v>4.3036705614497697</v>
      </c>
      <c r="X797" s="5">
        <f t="shared" si="29"/>
        <v>2</v>
      </c>
      <c r="Y797">
        <v>0.5</v>
      </c>
      <c r="Z797" s="257">
        <f>SUM( tabConsumo[[#This Row],[QTD.PENDENTE]]:tabConsumo[[#This Row],[07_23]] )</f>
        <v>7</v>
      </c>
      <c r="AA797" s="257">
        <f>LARGE(tabConsumo[[#This Row],[08_22]:[07_23]],1)</f>
        <v>4</v>
      </c>
      <c r="AB797" s="175" t="s">
        <v>2212</v>
      </c>
      <c r="AC797" s="3" t="s">
        <v>2064</v>
      </c>
    </row>
    <row r="798" spans="1:29" x14ac:dyDescent="0.3">
      <c r="A798" s="4" t="s">
        <v>1799</v>
      </c>
      <c r="B798" s="3" t="s">
        <v>413</v>
      </c>
      <c r="C798" s="2">
        <v>130695</v>
      </c>
      <c r="D798" s="2">
        <v>2834</v>
      </c>
      <c r="E798" s="2">
        <v>29</v>
      </c>
      <c r="F798" s="2">
        <v>308</v>
      </c>
      <c r="G798" s="2">
        <v>311</v>
      </c>
      <c r="H798" s="2">
        <v>289</v>
      </c>
      <c r="I798" s="2">
        <v>321</v>
      </c>
      <c r="J798" s="2">
        <v>1244</v>
      </c>
      <c r="K798" s="2">
        <v>127</v>
      </c>
      <c r="L798" s="2">
        <v>274</v>
      </c>
      <c r="M798" s="2">
        <v>420</v>
      </c>
      <c r="N798" s="2">
        <v>335</v>
      </c>
      <c r="O798" s="2">
        <v>353</v>
      </c>
      <c r="P798" s="2">
        <v>334</v>
      </c>
      <c r="Q798" s="2">
        <v>255</v>
      </c>
      <c r="R798" s="274">
        <v>42230</v>
      </c>
      <c r="S798" s="253">
        <v>12</v>
      </c>
      <c r="T798" s="254">
        <f>SUM( tabConsumo[[#This Row],[QTD.PENDENTE]]:tabConsumo[[#This Row],[07_23]] ) / tabConsumo[[#This Row],[Div]]</f>
        <v>383.33333333333331</v>
      </c>
      <c r="U798" s="255">
        <f xml:space="preserve"> tabConsumo[[#This Row],[Média.A]] + (_xlfn.STDEV.S( tabConsumo[[#This Row],[QTD.PENDENTE]]:tabConsumo[[#This Row],[07_23]] ) * 1)</f>
        <v>669.08551213921351</v>
      </c>
      <c r="V798" s="255">
        <f xml:space="preserve"> tabConsumo[[#This Row],[Média.A]] + (_xlfn.STDEV.S( tabConsumo[[#This Row],[QTD.PENDENTE]]:tabConsumo[[#This Row],[07_23]] ) * 2)</f>
        <v>954.83769094509353</v>
      </c>
      <c r="W798" s="255">
        <f xml:space="preserve"> tabConsumo[[#This Row],[Média.A]] + (_xlfn.STDEV.S( tabConsumo[[#This Row],[QTD.PENDENTE]]:tabConsumo[[#This Row],[07_23]] ) * 3)</f>
        <v>1240.5898697509738</v>
      </c>
      <c r="X798" s="5">
        <f t="shared" si="29"/>
        <v>2</v>
      </c>
      <c r="Y798">
        <v>359.16666666666669</v>
      </c>
      <c r="Z798" s="257">
        <f>SUM( tabConsumo[[#This Row],[QTD.PENDENTE]]:tabConsumo[[#This Row],[07_23]] )</f>
        <v>4600</v>
      </c>
      <c r="AA798" s="257">
        <f>LARGE(tabConsumo[[#This Row],[08_22]:[07_23]],1)</f>
        <v>1244</v>
      </c>
      <c r="AB798" s="175" t="s">
        <v>2211</v>
      </c>
      <c r="AC798" s="3" t="s">
        <v>2064</v>
      </c>
    </row>
    <row r="799" spans="1:29" x14ac:dyDescent="0.3">
      <c r="A799" s="4" t="s">
        <v>1678</v>
      </c>
      <c r="B799" s="3" t="s">
        <v>31</v>
      </c>
      <c r="C799" s="2">
        <v>112155</v>
      </c>
      <c r="D799" s="2">
        <v>22</v>
      </c>
      <c r="F799" s="2">
        <v>8</v>
      </c>
      <c r="G799" s="2">
        <v>0</v>
      </c>
      <c r="H799" s="2">
        <v>0</v>
      </c>
      <c r="I799" s="2">
        <v>0</v>
      </c>
      <c r="J799" s="2">
        <v>23</v>
      </c>
      <c r="K799" s="2">
        <v>15</v>
      </c>
      <c r="L799" s="2">
        <v>0</v>
      </c>
      <c r="M799" s="2">
        <v>30</v>
      </c>
      <c r="N799" s="2">
        <v>62</v>
      </c>
      <c r="O799" s="2">
        <v>0</v>
      </c>
      <c r="P799" s="2">
        <v>100</v>
      </c>
      <c r="Q799" s="2">
        <v>0</v>
      </c>
      <c r="R799" s="274">
        <v>40045</v>
      </c>
      <c r="S799" s="253">
        <v>12</v>
      </c>
      <c r="T799" s="254">
        <f>SUM( tabConsumo[[#This Row],[QTD.PENDENTE]]:tabConsumo[[#This Row],[07_23]] ) / tabConsumo[[#This Row],[Div]]</f>
        <v>19.833333333333332</v>
      </c>
      <c r="U799" s="255">
        <f xml:space="preserve"> tabConsumo[[#This Row],[Média.A]] + (_xlfn.STDEV.S( tabConsumo[[#This Row],[QTD.PENDENTE]]:tabConsumo[[#This Row],[07_23]] ) * 1)</f>
        <v>51.227696849831972</v>
      </c>
      <c r="V799" s="255">
        <f xml:space="preserve"> tabConsumo[[#This Row],[Média.A]] + (_xlfn.STDEV.S( tabConsumo[[#This Row],[QTD.PENDENTE]]:tabConsumo[[#This Row],[07_23]] ) * 2)</f>
        <v>82.622060366330615</v>
      </c>
      <c r="W799" s="255">
        <f xml:space="preserve"> tabConsumo[[#This Row],[Média.A]] + (_xlfn.STDEV.S( tabConsumo[[#This Row],[QTD.PENDENTE]]:tabConsumo[[#This Row],[07_23]] ) * 3)</f>
        <v>114.01642388282924</v>
      </c>
      <c r="X799" s="5">
        <f t="shared" si="29"/>
        <v>2</v>
      </c>
      <c r="Y799">
        <v>18.333333333333332</v>
      </c>
      <c r="Z799" s="257">
        <f>SUM( tabConsumo[[#This Row],[QTD.PENDENTE]]:tabConsumo[[#This Row],[07_23]] )</f>
        <v>238</v>
      </c>
      <c r="AA799" s="257">
        <f>LARGE(tabConsumo[[#This Row],[08_22]:[07_23]],1)</f>
        <v>100</v>
      </c>
      <c r="AB799" s="175" t="s">
        <v>2212</v>
      </c>
      <c r="AC799" s="3" t="s">
        <v>2064</v>
      </c>
    </row>
    <row r="800" spans="1:29" x14ac:dyDescent="0.3">
      <c r="A800" s="4" t="s">
        <v>1726</v>
      </c>
      <c r="B800" s="3" t="s">
        <v>31</v>
      </c>
      <c r="C800" s="2">
        <v>119181</v>
      </c>
      <c r="D800" s="2">
        <v>680</v>
      </c>
      <c r="F800" s="2">
        <v>35</v>
      </c>
      <c r="G800" s="2">
        <v>37</v>
      </c>
      <c r="H800" s="2">
        <v>17</v>
      </c>
      <c r="I800" s="2">
        <v>55</v>
      </c>
      <c r="J800" s="2">
        <v>25</v>
      </c>
      <c r="K800" s="2">
        <v>44</v>
      </c>
      <c r="L800" s="2">
        <v>20</v>
      </c>
      <c r="M800" s="2">
        <v>166</v>
      </c>
      <c r="N800" s="2">
        <v>30</v>
      </c>
      <c r="O800" s="2">
        <v>30</v>
      </c>
      <c r="P800" s="2">
        <v>0</v>
      </c>
      <c r="Q800" s="2">
        <v>50</v>
      </c>
      <c r="R800" s="274">
        <v>40581</v>
      </c>
      <c r="S800" s="253">
        <v>12</v>
      </c>
      <c r="T800" s="254">
        <f>SUM( tabConsumo[[#This Row],[QTD.PENDENTE]]:tabConsumo[[#This Row],[07_23]] ) / tabConsumo[[#This Row],[Div]]</f>
        <v>42.416666666666664</v>
      </c>
      <c r="U800" s="255">
        <f xml:space="preserve"> tabConsumo[[#This Row],[Média.A]] + (_xlfn.STDEV.S( tabConsumo[[#This Row],[QTD.PENDENTE]]:tabConsumo[[#This Row],[07_23]] ) * 1)</f>
        <v>84.12443427400666</v>
      </c>
      <c r="V800" s="255">
        <f xml:space="preserve"> tabConsumo[[#This Row],[Média.A]] + (_xlfn.STDEV.S( tabConsumo[[#This Row],[QTD.PENDENTE]]:tabConsumo[[#This Row],[07_23]] ) * 2)</f>
        <v>125.83220188134663</v>
      </c>
      <c r="W800" s="255">
        <f xml:space="preserve"> tabConsumo[[#This Row],[Média.A]] + (_xlfn.STDEV.S( tabConsumo[[#This Row],[QTD.PENDENTE]]:tabConsumo[[#This Row],[07_23]] ) * 3)</f>
        <v>167.53996948868664</v>
      </c>
      <c r="X800" s="5">
        <f t="shared" si="29"/>
        <v>2</v>
      </c>
      <c r="Y800">
        <v>39</v>
      </c>
      <c r="Z800" s="257">
        <f>SUM( tabConsumo[[#This Row],[QTD.PENDENTE]]:tabConsumo[[#This Row],[07_23]] )</f>
        <v>509</v>
      </c>
      <c r="AA800" s="257">
        <f>LARGE(tabConsumo[[#This Row],[08_22]:[07_23]],1)</f>
        <v>166</v>
      </c>
      <c r="AB800" s="175" t="s">
        <v>2211</v>
      </c>
      <c r="AC800" s="3" t="s">
        <v>2064</v>
      </c>
    </row>
    <row r="801" spans="1:29" x14ac:dyDescent="0.3">
      <c r="A801" s="4" t="s">
        <v>1679</v>
      </c>
      <c r="B801" s="3" t="s">
        <v>31</v>
      </c>
      <c r="C801" s="2">
        <v>112156</v>
      </c>
      <c r="D801" s="2">
        <v>143</v>
      </c>
      <c r="F801" s="2">
        <v>105</v>
      </c>
      <c r="G801" s="2">
        <v>35</v>
      </c>
      <c r="H801" s="2">
        <v>10</v>
      </c>
      <c r="I801" s="2">
        <v>45</v>
      </c>
      <c r="J801" s="2">
        <v>15</v>
      </c>
      <c r="K801" s="2">
        <v>10</v>
      </c>
      <c r="L801" s="2">
        <v>40</v>
      </c>
      <c r="M801" s="2">
        <v>245</v>
      </c>
      <c r="N801" s="2">
        <v>20</v>
      </c>
      <c r="O801" s="2">
        <v>30</v>
      </c>
      <c r="P801" s="2">
        <v>2</v>
      </c>
      <c r="Q801" s="2">
        <v>50</v>
      </c>
      <c r="R801" s="274">
        <v>40045</v>
      </c>
      <c r="S801" s="253">
        <v>12</v>
      </c>
      <c r="T801" s="254">
        <f>SUM( tabConsumo[[#This Row],[QTD.PENDENTE]]:tabConsumo[[#This Row],[07_23]] ) / tabConsumo[[#This Row],[Div]]</f>
        <v>50.583333333333336</v>
      </c>
      <c r="U801" s="255">
        <f xml:space="preserve"> tabConsumo[[#This Row],[Média.A]] + (_xlfn.STDEV.S( tabConsumo[[#This Row],[QTD.PENDENTE]]:tabConsumo[[#This Row],[07_23]] ) * 1)</f>
        <v>117.61447715785897</v>
      </c>
      <c r="V801" s="255">
        <f xml:space="preserve"> tabConsumo[[#This Row],[Média.A]] + (_xlfn.STDEV.S( tabConsumo[[#This Row],[QTD.PENDENTE]]:tabConsumo[[#This Row],[07_23]] ) * 2)</f>
        <v>184.64562098238463</v>
      </c>
      <c r="W801" s="255">
        <f xml:space="preserve"> tabConsumo[[#This Row],[Média.A]] + (_xlfn.STDEV.S( tabConsumo[[#This Row],[QTD.PENDENTE]]:tabConsumo[[#This Row],[07_23]] ) * 3)</f>
        <v>251.67676480691026</v>
      </c>
      <c r="X801" s="5">
        <f t="shared" si="29"/>
        <v>2</v>
      </c>
      <c r="Y801">
        <v>45.5</v>
      </c>
      <c r="Z801" s="257">
        <f>SUM( tabConsumo[[#This Row],[QTD.PENDENTE]]:tabConsumo[[#This Row],[07_23]] )</f>
        <v>607</v>
      </c>
      <c r="AA801" s="257">
        <f>LARGE(tabConsumo[[#This Row],[08_22]:[07_23]],1)</f>
        <v>245</v>
      </c>
      <c r="AB801" s="175" t="s">
        <v>2211</v>
      </c>
      <c r="AC801" s="3" t="s">
        <v>2064</v>
      </c>
    </row>
    <row r="802" spans="1:29" x14ac:dyDescent="0.3">
      <c r="A802" s="4" t="s">
        <v>1909</v>
      </c>
      <c r="B802" s="3" t="s">
        <v>31</v>
      </c>
      <c r="C802" s="2">
        <v>136082</v>
      </c>
      <c r="D802" s="2">
        <v>0</v>
      </c>
      <c r="E802" s="2">
        <v>290</v>
      </c>
      <c r="F802" s="2">
        <v>90</v>
      </c>
      <c r="G802" s="2">
        <v>20</v>
      </c>
      <c r="H802" s="2">
        <v>100</v>
      </c>
      <c r="I802" s="2">
        <v>14</v>
      </c>
      <c r="J802" s="2">
        <v>62</v>
      </c>
      <c r="K802" s="2">
        <v>67</v>
      </c>
      <c r="L802" s="2">
        <v>26</v>
      </c>
      <c r="M802" s="2">
        <v>0</v>
      </c>
      <c r="N802" s="2">
        <v>0</v>
      </c>
      <c r="O802" s="2">
        <v>0</v>
      </c>
      <c r="P802" s="2">
        <v>12</v>
      </c>
      <c r="Q802" s="2">
        <v>0</v>
      </c>
      <c r="R802" s="274">
        <v>43446</v>
      </c>
      <c r="S802" s="253">
        <v>12</v>
      </c>
      <c r="T802" s="254">
        <f>SUM( tabConsumo[[#This Row],[QTD.PENDENTE]]:tabConsumo[[#This Row],[07_23]] ) / tabConsumo[[#This Row],[Div]]</f>
        <v>56.75</v>
      </c>
      <c r="U802" s="255">
        <f xml:space="preserve"> tabConsumo[[#This Row],[Média.A]] + (_xlfn.STDEV.S( tabConsumo[[#This Row],[QTD.PENDENTE]]:tabConsumo[[#This Row],[07_23]] ) * 1)</f>
        <v>136.47613379724623</v>
      </c>
      <c r="V802" s="255">
        <f xml:space="preserve"> tabConsumo[[#This Row],[Média.A]] + (_xlfn.STDEV.S( tabConsumo[[#This Row],[QTD.PENDENTE]]:tabConsumo[[#This Row],[07_23]] ) * 2)</f>
        <v>216.2022675944925</v>
      </c>
      <c r="W802" s="255">
        <f xml:space="preserve"> tabConsumo[[#This Row],[Média.A]] + (_xlfn.STDEV.S( tabConsumo[[#This Row],[QTD.PENDENTE]]:tabConsumo[[#This Row],[07_23]] ) * 3)</f>
        <v>295.92840139173876</v>
      </c>
      <c r="X802" s="5">
        <f t="shared" si="29"/>
        <v>2</v>
      </c>
      <c r="Y802">
        <v>56.75</v>
      </c>
      <c r="Z802" s="257">
        <f>SUM( tabConsumo[[#This Row],[QTD.PENDENTE]]:tabConsumo[[#This Row],[07_23]] )</f>
        <v>681</v>
      </c>
      <c r="AA802" s="257">
        <f>LARGE(tabConsumo[[#This Row],[08_22]:[07_23]],1)</f>
        <v>100</v>
      </c>
      <c r="AB802" s="175" t="s">
        <v>2212</v>
      </c>
      <c r="AC802" s="3" t="s">
        <v>2064</v>
      </c>
    </row>
    <row r="803" spans="1:29" x14ac:dyDescent="0.3">
      <c r="A803" s="4" t="s">
        <v>1910</v>
      </c>
      <c r="B803" s="3" t="s">
        <v>31</v>
      </c>
      <c r="C803" s="2">
        <v>136083</v>
      </c>
      <c r="D803" s="2">
        <v>436</v>
      </c>
      <c r="F803" s="2">
        <v>11</v>
      </c>
      <c r="G803" s="2">
        <v>57</v>
      </c>
      <c r="H803" s="2">
        <v>0</v>
      </c>
      <c r="I803" s="2">
        <v>4</v>
      </c>
      <c r="J803" s="2">
        <v>0</v>
      </c>
      <c r="K803" s="2">
        <v>20</v>
      </c>
      <c r="L803" s="2">
        <v>20</v>
      </c>
      <c r="M803" s="2">
        <v>4</v>
      </c>
      <c r="N803" s="2">
        <v>0</v>
      </c>
      <c r="O803" s="2">
        <v>0</v>
      </c>
      <c r="P803" s="2">
        <v>62</v>
      </c>
      <c r="Q803" s="2">
        <v>0</v>
      </c>
      <c r="R803" s="274">
        <v>43446</v>
      </c>
      <c r="S803" s="253">
        <v>12</v>
      </c>
      <c r="T803" s="254">
        <f>SUM( tabConsumo[[#This Row],[QTD.PENDENTE]]:tabConsumo[[#This Row],[07_23]] ) / tabConsumo[[#This Row],[Div]]</f>
        <v>14.833333333333334</v>
      </c>
      <c r="U803" s="255">
        <f xml:space="preserve"> tabConsumo[[#This Row],[Média.A]] + (_xlfn.STDEV.S( tabConsumo[[#This Row],[QTD.PENDENTE]]:tabConsumo[[#This Row],[07_23]] ) * 1)</f>
        <v>37.001423968844605</v>
      </c>
      <c r="V803" s="255">
        <f xml:space="preserve"> tabConsumo[[#This Row],[Média.A]] + (_xlfn.STDEV.S( tabConsumo[[#This Row],[QTD.PENDENTE]]:tabConsumo[[#This Row],[07_23]] ) * 2)</f>
        <v>59.169514604355875</v>
      </c>
      <c r="W803" s="255">
        <f xml:space="preserve"> tabConsumo[[#This Row],[Média.A]] + (_xlfn.STDEV.S( tabConsumo[[#This Row],[QTD.PENDENTE]]:tabConsumo[[#This Row],[07_23]] ) * 3)</f>
        <v>81.337605239867131</v>
      </c>
      <c r="X803" s="5">
        <f t="shared" si="29"/>
        <v>2</v>
      </c>
      <c r="Y803">
        <v>14.583333333333334</v>
      </c>
      <c r="Z803" s="257">
        <f>SUM( tabConsumo[[#This Row],[QTD.PENDENTE]]:tabConsumo[[#This Row],[07_23]] )</f>
        <v>178</v>
      </c>
      <c r="AA803" s="257">
        <f>LARGE(tabConsumo[[#This Row],[08_22]:[07_23]],1)</f>
        <v>62</v>
      </c>
      <c r="AB803" s="175" t="s">
        <v>2212</v>
      </c>
      <c r="AC803" s="3" t="s">
        <v>2064</v>
      </c>
    </row>
    <row r="804" spans="1:29" x14ac:dyDescent="0.3">
      <c r="A804" s="4" t="s">
        <v>867</v>
      </c>
      <c r="B804" s="3" t="s">
        <v>256</v>
      </c>
      <c r="C804" s="2">
        <v>119087</v>
      </c>
      <c r="D804" s="2">
        <v>255</v>
      </c>
      <c r="F804" s="2">
        <v>0</v>
      </c>
      <c r="G804" s="2">
        <v>0</v>
      </c>
      <c r="H804" s="2">
        <v>0</v>
      </c>
      <c r="I804" s="2">
        <v>0</v>
      </c>
      <c r="J804" s="2">
        <v>0</v>
      </c>
      <c r="K804" s="2">
        <v>0</v>
      </c>
      <c r="L804" s="2">
        <v>0</v>
      </c>
      <c r="M804" s="2">
        <v>0</v>
      </c>
      <c r="N804" s="2">
        <v>0</v>
      </c>
      <c r="O804" s="2">
        <v>30</v>
      </c>
      <c r="P804" s="2">
        <v>0</v>
      </c>
      <c r="Q804" s="2">
        <v>0</v>
      </c>
      <c r="R804" s="274">
        <v>40575</v>
      </c>
      <c r="S804" s="253">
        <v>12</v>
      </c>
      <c r="T804" s="254">
        <f>SUM( tabConsumo[[#This Row],[QTD.PENDENTE]]:tabConsumo[[#This Row],[07_23]] ) / tabConsumo[[#This Row],[Div]]</f>
        <v>2.5</v>
      </c>
      <c r="U804" s="255">
        <f xml:space="preserve"> tabConsumo[[#This Row],[Média.A]] + (_xlfn.STDEV.S( tabConsumo[[#This Row],[QTD.PENDENTE]]:tabConsumo[[#This Row],[07_23]] ) * 1)</f>
        <v>11.160254037844387</v>
      </c>
      <c r="V804" s="255">
        <f xml:space="preserve"> tabConsumo[[#This Row],[Média.A]] + (_xlfn.STDEV.S( tabConsumo[[#This Row],[QTD.PENDENTE]]:tabConsumo[[#This Row],[07_23]] ) * 2)</f>
        <v>19.820508075688775</v>
      </c>
      <c r="W804" s="255">
        <f xml:space="preserve"> tabConsumo[[#This Row],[Média.A]] + (_xlfn.STDEV.S( tabConsumo[[#This Row],[QTD.PENDENTE]]:tabConsumo[[#This Row],[07_23]] ) * 3)</f>
        <v>28.48076211353316</v>
      </c>
      <c r="X804" s="5">
        <f t="shared" si="29"/>
        <v>2</v>
      </c>
      <c r="Y804">
        <v>1.5833333333333333</v>
      </c>
      <c r="Z804" s="257">
        <f>SUM( tabConsumo[[#This Row],[QTD.PENDENTE]]:tabConsumo[[#This Row],[07_23]] )</f>
        <v>30</v>
      </c>
      <c r="AA804" s="257">
        <f>LARGE(tabConsumo[[#This Row],[08_22]:[07_23]],1)</f>
        <v>30</v>
      </c>
      <c r="AB804" s="175" t="s">
        <v>2214</v>
      </c>
      <c r="AC804" s="3" t="s">
        <v>2064</v>
      </c>
    </row>
    <row r="805" spans="1:29" x14ac:dyDescent="0.3">
      <c r="A805" s="4" t="s">
        <v>1716</v>
      </c>
      <c r="B805" s="3" t="s">
        <v>31</v>
      </c>
      <c r="C805" s="2">
        <v>116874</v>
      </c>
      <c r="D805" s="2">
        <v>583</v>
      </c>
      <c r="F805" s="2">
        <v>351</v>
      </c>
      <c r="G805" s="2">
        <v>285</v>
      </c>
      <c r="H805" s="2">
        <v>87</v>
      </c>
      <c r="I805" s="2">
        <v>80</v>
      </c>
      <c r="J805" s="2">
        <v>95</v>
      </c>
      <c r="K805" s="2">
        <v>373</v>
      </c>
      <c r="L805" s="2">
        <v>128</v>
      </c>
      <c r="M805" s="2">
        <v>98</v>
      </c>
      <c r="N805" s="2">
        <v>140</v>
      </c>
      <c r="O805" s="2">
        <v>100</v>
      </c>
      <c r="P805" s="2">
        <v>170</v>
      </c>
      <c r="Q805" s="2">
        <v>300</v>
      </c>
      <c r="R805" s="274">
        <v>40406</v>
      </c>
      <c r="S805" s="253">
        <v>12</v>
      </c>
      <c r="T805" s="254">
        <f>SUM( tabConsumo[[#This Row],[QTD.PENDENTE]]:tabConsumo[[#This Row],[07_23]] ) / tabConsumo[[#This Row],[Div]]</f>
        <v>183.91666666666666</v>
      </c>
      <c r="U805" s="255">
        <f xml:space="preserve"> tabConsumo[[#This Row],[Média.A]] + (_xlfn.STDEV.S( tabConsumo[[#This Row],[QTD.PENDENTE]]:tabConsumo[[#This Row],[07_23]] ) * 1)</f>
        <v>294.75353149990076</v>
      </c>
      <c r="V805" s="255">
        <f xml:space="preserve"> tabConsumo[[#This Row],[Média.A]] + (_xlfn.STDEV.S( tabConsumo[[#This Row],[QTD.PENDENTE]]:tabConsumo[[#This Row],[07_23]] ) * 2)</f>
        <v>405.59039633313489</v>
      </c>
      <c r="W805" s="255">
        <f xml:space="preserve"> tabConsumo[[#This Row],[Média.A]] + (_xlfn.STDEV.S( tabConsumo[[#This Row],[QTD.PENDENTE]]:tabConsumo[[#This Row],[07_23]] ) * 3)</f>
        <v>516.42726116636891</v>
      </c>
      <c r="X805" s="5">
        <f t="shared" si="29"/>
        <v>2</v>
      </c>
      <c r="Y805">
        <v>183.91666666666666</v>
      </c>
      <c r="Z805" s="257">
        <f>SUM( tabConsumo[[#This Row],[QTD.PENDENTE]]:tabConsumo[[#This Row],[07_23]] )</f>
        <v>2207</v>
      </c>
      <c r="AA805" s="257">
        <f>LARGE(tabConsumo[[#This Row],[08_22]:[07_23]],1)</f>
        <v>373</v>
      </c>
      <c r="AB805" s="175" t="s">
        <v>2211</v>
      </c>
      <c r="AC805" s="3" t="s">
        <v>2064</v>
      </c>
    </row>
    <row r="806" spans="1:29" x14ac:dyDescent="0.3">
      <c r="A806" s="4" t="s">
        <v>1676</v>
      </c>
      <c r="B806" s="3" t="s">
        <v>31</v>
      </c>
      <c r="C806" s="2">
        <v>112154</v>
      </c>
      <c r="D806" s="2">
        <v>68</v>
      </c>
      <c r="F806" s="2">
        <v>123</v>
      </c>
      <c r="G806" s="2">
        <v>30</v>
      </c>
      <c r="H806" s="2">
        <v>15</v>
      </c>
      <c r="I806" s="2">
        <v>20</v>
      </c>
      <c r="J806" s="2">
        <v>60</v>
      </c>
      <c r="K806" s="2">
        <v>80</v>
      </c>
      <c r="L806" s="2">
        <v>30</v>
      </c>
      <c r="M806" s="2">
        <v>30</v>
      </c>
      <c r="N806" s="2">
        <v>114</v>
      </c>
      <c r="O806" s="2">
        <v>0</v>
      </c>
      <c r="P806" s="2">
        <v>0</v>
      </c>
      <c r="Q806" s="2">
        <v>0</v>
      </c>
      <c r="R806" s="274">
        <v>40045</v>
      </c>
      <c r="S806" s="253">
        <v>12</v>
      </c>
      <c r="T806" s="254">
        <f>SUM( tabConsumo[[#This Row],[QTD.PENDENTE]]:tabConsumo[[#This Row],[07_23]] ) / tabConsumo[[#This Row],[Div]]</f>
        <v>41.833333333333336</v>
      </c>
      <c r="U806" s="255">
        <f xml:space="preserve"> tabConsumo[[#This Row],[Média.A]] + (_xlfn.STDEV.S( tabConsumo[[#This Row],[QTD.PENDENTE]]:tabConsumo[[#This Row],[07_23]] ) * 1)</f>
        <v>84.950158425872402</v>
      </c>
      <c r="V806" s="255">
        <f xml:space="preserve"> tabConsumo[[#This Row],[Média.A]] + (_xlfn.STDEV.S( tabConsumo[[#This Row],[QTD.PENDENTE]]:tabConsumo[[#This Row],[07_23]] ) * 2)</f>
        <v>128.06698351841146</v>
      </c>
      <c r="W806" s="255">
        <f xml:space="preserve"> tabConsumo[[#This Row],[Média.A]] + (_xlfn.STDEV.S( tabConsumo[[#This Row],[QTD.PENDENTE]]:tabConsumo[[#This Row],[07_23]] ) * 3)</f>
        <v>171.18380861095054</v>
      </c>
      <c r="X806" s="5">
        <f t="shared" si="29"/>
        <v>2</v>
      </c>
      <c r="Y806">
        <v>41.833333333333336</v>
      </c>
      <c r="Z806" s="257">
        <f>SUM( tabConsumo[[#This Row],[QTD.PENDENTE]]:tabConsumo[[#This Row],[07_23]] )</f>
        <v>502</v>
      </c>
      <c r="AA806" s="257">
        <f>LARGE(tabConsumo[[#This Row],[08_22]:[07_23]],1)</f>
        <v>123</v>
      </c>
      <c r="AB806" s="175" t="s">
        <v>2213</v>
      </c>
      <c r="AC806" s="3" t="s">
        <v>2064</v>
      </c>
    </row>
    <row r="807" spans="1:29" x14ac:dyDescent="0.3">
      <c r="A807" s="4" t="s">
        <v>1680</v>
      </c>
      <c r="B807" s="3" t="s">
        <v>31</v>
      </c>
      <c r="C807" s="2">
        <v>112157</v>
      </c>
      <c r="D807" s="2">
        <v>93</v>
      </c>
      <c r="F807" s="2">
        <v>7</v>
      </c>
      <c r="G807" s="2">
        <v>0</v>
      </c>
      <c r="H807" s="2">
        <v>0</v>
      </c>
      <c r="I807" s="2">
        <v>0</v>
      </c>
      <c r="J807" s="2">
        <v>0</v>
      </c>
      <c r="K807" s="2">
        <v>0</v>
      </c>
      <c r="L807" s="2">
        <v>0</v>
      </c>
      <c r="M807" s="2">
        <v>2</v>
      </c>
      <c r="N807" s="2">
        <v>0</v>
      </c>
      <c r="O807" s="2">
        <v>2</v>
      </c>
      <c r="P807" s="2">
        <v>20</v>
      </c>
      <c r="Q807" s="2">
        <v>0</v>
      </c>
      <c r="R807" s="274">
        <v>40045</v>
      </c>
      <c r="S807" s="253">
        <v>12</v>
      </c>
      <c r="T807" s="254">
        <f>SUM( tabConsumo[[#This Row],[QTD.PENDENTE]]:tabConsumo[[#This Row],[07_23]] ) / tabConsumo[[#This Row],[Div]]</f>
        <v>2.5833333333333335</v>
      </c>
      <c r="U807" s="255">
        <f xml:space="preserve"> tabConsumo[[#This Row],[Média.A]] + (_xlfn.STDEV.S( tabConsumo[[#This Row],[QTD.PENDENTE]]:tabConsumo[[#This Row],[07_23]] ) * 1)</f>
        <v>8.4369776268612142</v>
      </c>
      <c r="V807" s="255">
        <f xml:space="preserve"> tabConsumo[[#This Row],[Média.A]] + (_xlfn.STDEV.S( tabConsumo[[#This Row],[QTD.PENDENTE]]:tabConsumo[[#This Row],[07_23]] ) * 2)</f>
        <v>14.290621920389095</v>
      </c>
      <c r="W807" s="255">
        <f xml:space="preserve"> tabConsumo[[#This Row],[Média.A]] + (_xlfn.STDEV.S( tabConsumo[[#This Row],[QTD.PENDENTE]]:tabConsumo[[#This Row],[07_23]] ) * 3)</f>
        <v>20.144266213916975</v>
      </c>
      <c r="X807" s="5">
        <f t="shared" si="29"/>
        <v>2</v>
      </c>
      <c r="Y807">
        <v>2.0833333333333335</v>
      </c>
      <c r="Z807" s="257">
        <f>SUM( tabConsumo[[#This Row],[QTD.PENDENTE]]:tabConsumo[[#This Row],[07_23]] )</f>
        <v>31</v>
      </c>
      <c r="AA807" s="257">
        <f>LARGE(tabConsumo[[#This Row],[08_22]:[07_23]],1)</f>
        <v>20</v>
      </c>
      <c r="AB807" s="175" t="s">
        <v>2212</v>
      </c>
      <c r="AC807" s="3" t="s">
        <v>2064</v>
      </c>
    </row>
    <row r="808" spans="1:29" x14ac:dyDescent="0.3">
      <c r="A808" s="4" t="s">
        <v>1893</v>
      </c>
      <c r="B808" s="3" t="s">
        <v>256</v>
      </c>
      <c r="C808" s="2">
        <v>134581</v>
      </c>
      <c r="D808" s="2">
        <v>0</v>
      </c>
      <c r="E808" s="2">
        <v>11</v>
      </c>
      <c r="F808" s="2">
        <v>3</v>
      </c>
      <c r="G808" s="2">
        <v>11</v>
      </c>
      <c r="H808" s="2">
        <v>7</v>
      </c>
      <c r="I808" s="2">
        <v>1</v>
      </c>
      <c r="J808" s="2">
        <v>4</v>
      </c>
      <c r="K808" s="2">
        <v>2</v>
      </c>
      <c r="L808" s="2">
        <v>4</v>
      </c>
      <c r="M808" s="2">
        <v>12</v>
      </c>
      <c r="N808" s="2">
        <v>22</v>
      </c>
      <c r="O808" s="2">
        <v>0</v>
      </c>
      <c r="P808" s="2">
        <v>0</v>
      </c>
      <c r="Q808" s="2">
        <v>0</v>
      </c>
      <c r="R808" s="274">
        <v>43174</v>
      </c>
      <c r="S808" s="253">
        <v>12</v>
      </c>
      <c r="T808" s="254">
        <f>SUM( tabConsumo[[#This Row],[QTD.PENDENTE]]:tabConsumo[[#This Row],[07_23]] ) / tabConsumo[[#This Row],[Div]]</f>
        <v>6.416666666666667</v>
      </c>
      <c r="U808" s="255">
        <f xml:space="preserve"> tabConsumo[[#This Row],[Média.A]] + (_xlfn.STDEV.S( tabConsumo[[#This Row],[QTD.PENDENTE]]:tabConsumo[[#This Row],[07_23]] ) * 1)</f>
        <v>12.928982415327539</v>
      </c>
      <c r="V808" s="255">
        <f xml:space="preserve"> tabConsumo[[#This Row],[Média.A]] + (_xlfn.STDEV.S( tabConsumo[[#This Row],[QTD.PENDENTE]]:tabConsumo[[#This Row],[07_23]] ) * 2)</f>
        <v>19.44129816398841</v>
      </c>
      <c r="W808" s="255">
        <f xml:space="preserve"> tabConsumo[[#This Row],[Média.A]] + (_xlfn.STDEV.S( tabConsumo[[#This Row],[QTD.PENDENTE]]:tabConsumo[[#This Row],[07_23]] ) * 3)</f>
        <v>25.953613912649285</v>
      </c>
      <c r="X808" s="5">
        <f t="shared" si="29"/>
        <v>2</v>
      </c>
      <c r="Y808">
        <v>6.166666666666667</v>
      </c>
      <c r="Z808" s="257">
        <f>SUM( tabConsumo[[#This Row],[QTD.PENDENTE]]:tabConsumo[[#This Row],[07_23]] )</f>
        <v>77</v>
      </c>
      <c r="AA808" s="257">
        <f>LARGE(tabConsumo[[#This Row],[08_22]:[07_23]],1)</f>
        <v>22</v>
      </c>
      <c r="AB808" s="175" t="s">
        <v>2213</v>
      </c>
      <c r="AC808" s="3" t="s">
        <v>2064</v>
      </c>
    </row>
    <row r="809" spans="1:29" x14ac:dyDescent="0.3">
      <c r="A809" s="4" t="s">
        <v>1894</v>
      </c>
      <c r="B809" s="3" t="s">
        <v>256</v>
      </c>
      <c r="C809" s="2">
        <v>134582</v>
      </c>
      <c r="D809" s="2">
        <v>47</v>
      </c>
      <c r="F809" s="2">
        <v>3</v>
      </c>
      <c r="G809" s="2">
        <v>9</v>
      </c>
      <c r="H809" s="2">
        <v>7</v>
      </c>
      <c r="I809" s="2">
        <v>3</v>
      </c>
      <c r="J809" s="2">
        <v>4</v>
      </c>
      <c r="K809" s="2">
        <v>9</v>
      </c>
      <c r="L809" s="2">
        <v>9</v>
      </c>
      <c r="M809" s="2">
        <v>7</v>
      </c>
      <c r="N809" s="2">
        <v>21</v>
      </c>
      <c r="O809" s="2">
        <v>0</v>
      </c>
      <c r="P809" s="2">
        <v>10</v>
      </c>
      <c r="Q809" s="2">
        <v>6</v>
      </c>
      <c r="R809" s="274">
        <v>43174</v>
      </c>
      <c r="S809" s="253">
        <v>12</v>
      </c>
      <c r="T809" s="254">
        <f>SUM( tabConsumo[[#This Row],[QTD.PENDENTE]]:tabConsumo[[#This Row],[07_23]] ) / tabConsumo[[#This Row],[Div]]</f>
        <v>7.333333333333333</v>
      </c>
      <c r="U809" s="255">
        <f xml:space="preserve"> tabConsumo[[#This Row],[Média.A]] + (_xlfn.STDEV.S( tabConsumo[[#This Row],[QTD.PENDENTE]]:tabConsumo[[#This Row],[07_23]] ) * 1)</f>
        <v>12.613370064151393</v>
      </c>
      <c r="V809" s="255">
        <f xml:space="preserve"> tabConsumo[[#This Row],[Média.A]] + (_xlfn.STDEV.S( tabConsumo[[#This Row],[QTD.PENDENTE]]:tabConsumo[[#This Row],[07_23]] ) * 2)</f>
        <v>17.893406794969454</v>
      </c>
      <c r="W809" s="255">
        <f xml:space="preserve"> tabConsumo[[#This Row],[Média.A]] + (_xlfn.STDEV.S( tabConsumo[[#This Row],[QTD.PENDENTE]]:tabConsumo[[#This Row],[07_23]] ) * 3)</f>
        <v>23.173443525787516</v>
      </c>
      <c r="X809" s="5">
        <f t="shared" si="29"/>
        <v>2</v>
      </c>
      <c r="Y809">
        <v>7</v>
      </c>
      <c r="Z809" s="257">
        <f>SUM( tabConsumo[[#This Row],[QTD.PENDENTE]]:tabConsumo[[#This Row],[07_23]] )</f>
        <v>88</v>
      </c>
      <c r="AA809" s="257">
        <f>LARGE(tabConsumo[[#This Row],[08_22]:[07_23]],1)</f>
        <v>21</v>
      </c>
      <c r="AB809" s="175" t="s">
        <v>2211</v>
      </c>
      <c r="AC809" s="3" t="s">
        <v>2064</v>
      </c>
    </row>
    <row r="810" spans="1:29" x14ac:dyDescent="0.3">
      <c r="A810" s="4" t="s">
        <v>1906</v>
      </c>
      <c r="B810" s="3" t="s">
        <v>256</v>
      </c>
      <c r="C810" s="2">
        <v>135414</v>
      </c>
      <c r="D810" s="2">
        <v>322</v>
      </c>
      <c r="E810" s="2">
        <v>71</v>
      </c>
      <c r="F810" s="2">
        <v>44</v>
      </c>
      <c r="G810" s="2">
        <v>44</v>
      </c>
      <c r="H810" s="2">
        <v>32</v>
      </c>
      <c r="I810" s="2">
        <v>17</v>
      </c>
      <c r="J810" s="2">
        <v>0</v>
      </c>
      <c r="K810" s="2">
        <v>0</v>
      </c>
      <c r="L810" s="2">
        <v>0</v>
      </c>
      <c r="M810" s="2">
        <v>0</v>
      </c>
      <c r="N810" s="2">
        <v>0</v>
      </c>
      <c r="O810" s="2">
        <v>25</v>
      </c>
      <c r="P810" s="2">
        <v>53</v>
      </c>
      <c r="Q810" s="2">
        <v>0</v>
      </c>
      <c r="R810" s="274">
        <v>43294</v>
      </c>
      <c r="S810" s="253">
        <v>12</v>
      </c>
      <c r="T810" s="254">
        <f>SUM( tabConsumo[[#This Row],[QTD.PENDENTE]]:tabConsumo[[#This Row],[07_23]] ) / tabConsumo[[#This Row],[Div]]</f>
        <v>23.833333333333332</v>
      </c>
      <c r="U810" s="255">
        <f xml:space="preserve"> tabConsumo[[#This Row],[Média.A]] + (_xlfn.STDEV.S( tabConsumo[[#This Row],[QTD.PENDENTE]]:tabConsumo[[#This Row],[07_23]] ) * 1)</f>
        <v>48.612356720061065</v>
      </c>
      <c r="V810" s="255">
        <f xml:space="preserve"> tabConsumo[[#This Row],[Média.A]] + (_xlfn.STDEV.S( tabConsumo[[#This Row],[QTD.PENDENTE]]:tabConsumo[[#This Row],[07_23]] ) * 2)</f>
        <v>73.391380106788802</v>
      </c>
      <c r="W810" s="255">
        <f xml:space="preserve"> tabConsumo[[#This Row],[Média.A]] + (_xlfn.STDEV.S( tabConsumo[[#This Row],[QTD.PENDENTE]]:tabConsumo[[#This Row],[07_23]] ) * 3)</f>
        <v>98.170403493516531</v>
      </c>
      <c r="X810" s="5">
        <f t="shared" si="29"/>
        <v>2</v>
      </c>
      <c r="Y810">
        <v>23.833333333333332</v>
      </c>
      <c r="Z810" s="257">
        <f>SUM( tabConsumo[[#This Row],[QTD.PENDENTE]]:tabConsumo[[#This Row],[07_23]] )</f>
        <v>286</v>
      </c>
      <c r="AA810" s="257">
        <f>LARGE(tabConsumo[[#This Row],[08_22]:[07_23]],1)</f>
        <v>53</v>
      </c>
      <c r="AB810" s="175" t="s">
        <v>2212</v>
      </c>
      <c r="AC810" s="3" t="s">
        <v>2064</v>
      </c>
    </row>
    <row r="811" spans="1:29" x14ac:dyDescent="0.3">
      <c r="A811" s="4" t="s">
        <v>1012</v>
      </c>
      <c r="B811" s="3" t="s">
        <v>256</v>
      </c>
      <c r="C811" s="2">
        <v>13161</v>
      </c>
      <c r="D811" s="2">
        <v>106</v>
      </c>
      <c r="F811" s="2">
        <v>8</v>
      </c>
      <c r="G811" s="2">
        <v>44</v>
      </c>
      <c r="H811" s="2">
        <v>11</v>
      </c>
      <c r="I811" s="2">
        <v>4</v>
      </c>
      <c r="J811" s="2">
        <v>10</v>
      </c>
      <c r="K811" s="2">
        <v>18</v>
      </c>
      <c r="L811" s="2">
        <v>41</v>
      </c>
      <c r="M811" s="2">
        <v>46</v>
      </c>
      <c r="N811" s="2">
        <v>47</v>
      </c>
      <c r="O811" s="2">
        <v>30</v>
      </c>
      <c r="P811" s="2">
        <v>30</v>
      </c>
      <c r="Q811" s="2">
        <v>0</v>
      </c>
      <c r="R811" s="274">
        <v>367</v>
      </c>
      <c r="S811" s="253">
        <f xml:space="preserve"> 12</f>
        <v>12</v>
      </c>
      <c r="T811" s="254">
        <f>SUM( tabConsumo[[#This Row],[QTD.PENDENTE]]:tabConsumo[[#This Row],[07_23]] ) / tabConsumo[[#This Row],[Div]]</f>
        <v>24.083333333333332</v>
      </c>
      <c r="U811" s="255">
        <f xml:space="preserve"> tabConsumo[[#This Row],[Média.A]] + (_xlfn.STDEV.S( tabConsumo[[#This Row],[QTD.PENDENTE]]:tabConsumo[[#This Row],[07_23]] ) * 1)</f>
        <v>41.682188323635884</v>
      </c>
      <c r="V811" s="255">
        <f xml:space="preserve"> tabConsumo[[#This Row],[Média.A]] + (_xlfn.STDEV.S( tabConsumo[[#This Row],[QTD.PENDENTE]]:tabConsumo[[#This Row],[07_23]] ) * 2)</f>
        <v>59.28104331393844</v>
      </c>
      <c r="W811" s="255">
        <f xml:space="preserve"> tabConsumo[[#This Row],[Média.A]] + (_xlfn.STDEV.S( tabConsumo[[#This Row],[QTD.PENDENTE]]:tabConsumo[[#This Row],[07_23]] ) * 3)</f>
        <v>76.879898304240982</v>
      </c>
      <c r="X811" s="5">
        <f t="shared" si="29"/>
        <v>2</v>
      </c>
      <c r="Y811">
        <v>24.083333333333332</v>
      </c>
      <c r="Z811" s="257">
        <f>SUM( tabConsumo[[#This Row],[QTD.PENDENTE]]:tabConsumo[[#This Row],[07_23]] )</f>
        <v>289</v>
      </c>
      <c r="AA811" s="257">
        <f>LARGE(tabConsumo[[#This Row],[08_22]:[07_23]],1)</f>
        <v>47</v>
      </c>
      <c r="AB811" s="175" t="s">
        <v>2212</v>
      </c>
      <c r="AC811" s="3" t="s">
        <v>2064</v>
      </c>
    </row>
    <row r="812" spans="1:29" x14ac:dyDescent="0.3">
      <c r="A812" s="4" t="s">
        <v>1014</v>
      </c>
      <c r="B812" s="3" t="s">
        <v>256</v>
      </c>
      <c r="C812" s="2">
        <v>13165</v>
      </c>
      <c r="D812" s="2">
        <v>132</v>
      </c>
      <c r="E812" s="2">
        <v>10</v>
      </c>
      <c r="F812" s="2">
        <v>50</v>
      </c>
      <c r="G812" s="2">
        <v>71</v>
      </c>
      <c r="H812" s="2">
        <v>29</v>
      </c>
      <c r="I812" s="2">
        <v>35</v>
      </c>
      <c r="J812" s="2">
        <v>20</v>
      </c>
      <c r="K812" s="2">
        <v>33</v>
      </c>
      <c r="L812" s="2">
        <v>40</v>
      </c>
      <c r="M812" s="2">
        <v>80</v>
      </c>
      <c r="N812" s="2">
        <v>65</v>
      </c>
      <c r="O812" s="2">
        <v>40</v>
      </c>
      <c r="P812" s="2">
        <v>50</v>
      </c>
      <c r="Q812" s="2">
        <v>20</v>
      </c>
      <c r="R812" s="274">
        <v>367</v>
      </c>
      <c r="S812" s="253">
        <f xml:space="preserve"> 12</f>
        <v>12</v>
      </c>
      <c r="T812" s="254">
        <f>SUM( tabConsumo[[#This Row],[QTD.PENDENTE]]:tabConsumo[[#This Row],[07_23]] ) / tabConsumo[[#This Row],[Div]]</f>
        <v>45.25</v>
      </c>
      <c r="U812" s="255">
        <f xml:space="preserve"> tabConsumo[[#This Row],[Média.A]] + (_xlfn.STDEV.S( tabConsumo[[#This Row],[QTD.PENDENTE]]:tabConsumo[[#This Row],[07_23]] ) * 1)</f>
        <v>66.147184204870939</v>
      </c>
      <c r="V812" s="255">
        <f xml:space="preserve"> tabConsumo[[#This Row],[Média.A]] + (_xlfn.STDEV.S( tabConsumo[[#This Row],[QTD.PENDENTE]]:tabConsumo[[#This Row],[07_23]] ) * 2)</f>
        <v>87.044368409741878</v>
      </c>
      <c r="W812" s="255">
        <f xml:space="preserve"> tabConsumo[[#This Row],[Média.A]] + (_xlfn.STDEV.S( tabConsumo[[#This Row],[QTD.PENDENTE]]:tabConsumo[[#This Row],[07_23]] ) * 3)</f>
        <v>107.94155261461283</v>
      </c>
      <c r="X812" s="5">
        <f t="shared" si="29"/>
        <v>2</v>
      </c>
      <c r="Y812">
        <v>45.25</v>
      </c>
      <c r="Z812" s="257">
        <f>SUM( tabConsumo[[#This Row],[QTD.PENDENTE]]:tabConsumo[[#This Row],[07_23]] )</f>
        <v>543</v>
      </c>
      <c r="AA812" s="257">
        <f>LARGE(tabConsumo[[#This Row],[08_22]:[07_23]],1)</f>
        <v>80</v>
      </c>
      <c r="AB812" s="175" t="s">
        <v>2211</v>
      </c>
      <c r="AC812" s="3" t="s">
        <v>2064</v>
      </c>
    </row>
    <row r="813" spans="1:29" x14ac:dyDescent="0.3">
      <c r="A813" s="4" t="s">
        <v>2021</v>
      </c>
      <c r="B813" s="3" t="s">
        <v>31</v>
      </c>
      <c r="C813" s="2">
        <v>141429</v>
      </c>
      <c r="D813" s="2">
        <v>767</v>
      </c>
      <c r="F813" s="2">
        <v>13</v>
      </c>
      <c r="G813" s="2">
        <v>24</v>
      </c>
      <c r="H813" s="2">
        <v>28</v>
      </c>
      <c r="I813" s="2">
        <v>23</v>
      </c>
      <c r="J813" s="2">
        <v>7</v>
      </c>
      <c r="K813" s="2">
        <v>33</v>
      </c>
      <c r="L813" s="2">
        <v>24</v>
      </c>
      <c r="M813" s="2">
        <v>25</v>
      </c>
      <c r="N813" s="2">
        <v>48</v>
      </c>
      <c r="O813" s="2">
        <v>25</v>
      </c>
      <c r="P813" s="2">
        <v>76</v>
      </c>
      <c r="Q813" s="2">
        <v>0</v>
      </c>
      <c r="R813" s="274">
        <v>44362</v>
      </c>
      <c r="S813" s="253">
        <v>12</v>
      </c>
      <c r="T813" s="254">
        <f>SUM( tabConsumo[[#This Row],[QTD.PENDENTE]]:tabConsumo[[#This Row],[07_23]] ) / tabConsumo[[#This Row],[Div]]</f>
        <v>27.166666666666668</v>
      </c>
      <c r="U813" s="255">
        <f xml:space="preserve"> tabConsumo[[#This Row],[Média.A]] + (_xlfn.STDEV.S( tabConsumo[[#This Row],[QTD.PENDENTE]]:tabConsumo[[#This Row],[07_23]] ) * 1)</f>
        <v>46.812778164102923</v>
      </c>
      <c r="V813" s="255">
        <f xml:space="preserve"> tabConsumo[[#This Row],[Média.A]] + (_xlfn.STDEV.S( tabConsumo[[#This Row],[QTD.PENDENTE]]:tabConsumo[[#This Row],[07_23]] ) * 2)</f>
        <v>66.458889661539175</v>
      </c>
      <c r="W813" s="255">
        <f xml:space="preserve"> tabConsumo[[#This Row],[Média.A]] + (_xlfn.STDEV.S( tabConsumo[[#This Row],[QTD.PENDENTE]]:tabConsumo[[#This Row],[07_23]] ) * 3)</f>
        <v>86.105001158975426</v>
      </c>
      <c r="X813" s="5">
        <f t="shared" si="29"/>
        <v>2</v>
      </c>
      <c r="Y813">
        <v>26.333333333333332</v>
      </c>
      <c r="Z813" s="257">
        <f>SUM( tabConsumo[[#This Row],[QTD.PENDENTE]]:tabConsumo[[#This Row],[07_23]] )</f>
        <v>326</v>
      </c>
      <c r="AA813" s="257">
        <f>LARGE(tabConsumo[[#This Row],[08_22]:[07_23]],1)</f>
        <v>76</v>
      </c>
      <c r="AB813" s="175" t="s">
        <v>2212</v>
      </c>
      <c r="AC813" s="3" t="s">
        <v>2064</v>
      </c>
    </row>
    <row r="814" spans="1:29" x14ac:dyDescent="0.3">
      <c r="A814" s="4" t="s">
        <v>1672</v>
      </c>
      <c r="B814" s="3" t="s">
        <v>256</v>
      </c>
      <c r="C814" s="2">
        <v>111524</v>
      </c>
      <c r="D814" s="2">
        <v>127</v>
      </c>
      <c r="F814" s="2">
        <v>18</v>
      </c>
      <c r="G814" s="2">
        <v>34</v>
      </c>
      <c r="H814" s="2">
        <v>14</v>
      </c>
      <c r="I814" s="2">
        <v>23</v>
      </c>
      <c r="J814" s="2">
        <v>22</v>
      </c>
      <c r="K814" s="2">
        <v>17</v>
      </c>
      <c r="L814" s="2">
        <v>25</v>
      </c>
      <c r="M814" s="2">
        <v>45</v>
      </c>
      <c r="N814" s="2">
        <v>32</v>
      </c>
      <c r="O814" s="2">
        <v>60</v>
      </c>
      <c r="P814" s="2">
        <v>0</v>
      </c>
      <c r="Q814" s="2">
        <v>0</v>
      </c>
      <c r="R814" s="274">
        <v>39988</v>
      </c>
      <c r="S814" s="253">
        <v>12</v>
      </c>
      <c r="T814" s="254">
        <f>SUM( tabConsumo[[#This Row],[QTD.PENDENTE]]:tabConsumo[[#This Row],[07_23]] ) / tabConsumo[[#This Row],[Div]]</f>
        <v>24.166666666666668</v>
      </c>
      <c r="U814" s="255">
        <f xml:space="preserve"> tabConsumo[[#This Row],[Média.A]] + (_xlfn.STDEV.S( tabConsumo[[#This Row],[QTD.PENDENTE]]:tabConsumo[[#This Row],[07_23]] ) * 1)</f>
        <v>41.338701720171187</v>
      </c>
      <c r="V814" s="255">
        <f xml:space="preserve"> tabConsumo[[#This Row],[Média.A]] + (_xlfn.STDEV.S( tabConsumo[[#This Row],[QTD.PENDENTE]]:tabConsumo[[#This Row],[07_23]] ) * 2)</f>
        <v>58.510736773675703</v>
      </c>
      <c r="W814" s="255">
        <f xml:space="preserve"> tabConsumo[[#This Row],[Média.A]] + (_xlfn.STDEV.S( tabConsumo[[#This Row],[QTD.PENDENTE]]:tabConsumo[[#This Row],[07_23]] ) * 3)</f>
        <v>75.682771827180233</v>
      </c>
      <c r="X814" s="5">
        <f t="shared" si="29"/>
        <v>2</v>
      </c>
      <c r="Y814">
        <v>24</v>
      </c>
      <c r="Z814" s="257">
        <f>SUM( tabConsumo[[#This Row],[QTD.PENDENTE]]:tabConsumo[[#This Row],[07_23]] )</f>
        <v>290</v>
      </c>
      <c r="AA814" s="257">
        <f>LARGE(tabConsumo[[#This Row],[08_22]:[07_23]],1)</f>
        <v>60</v>
      </c>
      <c r="AB814" s="175" t="s">
        <v>2214</v>
      </c>
      <c r="AC814" s="3" t="s">
        <v>2064</v>
      </c>
    </row>
    <row r="815" spans="1:29" x14ac:dyDescent="0.3">
      <c r="A815" s="4" t="s">
        <v>1215</v>
      </c>
      <c r="B815" s="3" t="s">
        <v>256</v>
      </c>
      <c r="C815" s="2">
        <v>27136</v>
      </c>
      <c r="D815" s="2">
        <v>45286</v>
      </c>
      <c r="E815" s="2">
        <v>18899</v>
      </c>
      <c r="F815" s="2">
        <v>30030</v>
      </c>
      <c r="G815" s="2">
        <v>29564</v>
      </c>
      <c r="H815" s="2">
        <v>26306</v>
      </c>
      <c r="I815" s="2">
        <v>0</v>
      </c>
      <c r="J815" s="2">
        <v>0</v>
      </c>
      <c r="K815" s="2">
        <v>32</v>
      </c>
      <c r="L815" s="2">
        <v>0</v>
      </c>
      <c r="M815" s="2">
        <v>0</v>
      </c>
      <c r="N815" s="2">
        <v>0</v>
      </c>
      <c r="O815" s="2">
        <v>0</v>
      </c>
      <c r="P815" s="2">
        <v>15000</v>
      </c>
      <c r="Q815" s="2">
        <v>39614</v>
      </c>
      <c r="R815" s="274">
        <v>367</v>
      </c>
      <c r="S815" s="253">
        <f xml:space="preserve"> 12</f>
        <v>12</v>
      </c>
      <c r="T815" s="254">
        <f>SUM( tabConsumo[[#This Row],[QTD.PENDENTE]]:tabConsumo[[#This Row],[07_23]] ) / tabConsumo[[#This Row],[Div]]</f>
        <v>13287.083333333334</v>
      </c>
      <c r="U815" s="255">
        <f xml:space="preserve"> tabConsumo[[#This Row],[Média.A]] + (_xlfn.STDEV.S( tabConsumo[[#This Row],[QTD.PENDENTE]]:tabConsumo[[#This Row],[07_23]] ) * 1)</f>
        <v>28185.86943601074</v>
      </c>
      <c r="V815" s="255">
        <f xml:space="preserve"> tabConsumo[[#This Row],[Média.A]] + (_xlfn.STDEV.S( tabConsumo[[#This Row],[QTD.PENDENTE]]:tabConsumo[[#This Row],[07_23]] ) * 2)</f>
        <v>43084.655538688145</v>
      </c>
      <c r="W815" s="255">
        <f xml:space="preserve"> tabConsumo[[#This Row],[Média.A]] + (_xlfn.STDEV.S( tabConsumo[[#This Row],[QTD.PENDENTE]]:tabConsumo[[#This Row],[07_23]] ) * 3)</f>
        <v>57983.441641365549</v>
      </c>
      <c r="X815" s="5">
        <f t="shared" si="29"/>
        <v>2</v>
      </c>
      <c r="Y815">
        <v>13287.083333333334</v>
      </c>
      <c r="Z815" s="257">
        <f>SUM( tabConsumo[[#This Row],[QTD.PENDENTE]]:tabConsumo[[#This Row],[07_23]] )</f>
        <v>159445</v>
      </c>
      <c r="AA815" s="257">
        <f>LARGE(tabConsumo[[#This Row],[08_22]:[07_23]],1)</f>
        <v>39614</v>
      </c>
      <c r="AB815" s="175" t="s">
        <v>2211</v>
      </c>
      <c r="AC815" s="3" t="s">
        <v>2064</v>
      </c>
    </row>
    <row r="816" spans="1:29" x14ac:dyDescent="0.3">
      <c r="A816" s="4" t="s">
        <v>1849</v>
      </c>
      <c r="B816" s="3" t="s">
        <v>31</v>
      </c>
      <c r="C816" s="2">
        <v>133791</v>
      </c>
      <c r="D816" s="2">
        <v>1640</v>
      </c>
      <c r="F816" s="2">
        <v>26</v>
      </c>
      <c r="G816" s="2">
        <v>36</v>
      </c>
      <c r="H816" s="2">
        <v>17</v>
      </c>
      <c r="I816" s="2">
        <v>34</v>
      </c>
      <c r="J816" s="2">
        <v>59</v>
      </c>
      <c r="K816" s="2">
        <v>12</v>
      </c>
      <c r="L816" s="2">
        <v>35</v>
      </c>
      <c r="M816" s="2">
        <v>162</v>
      </c>
      <c r="N816" s="2">
        <v>135</v>
      </c>
      <c r="O816" s="2">
        <v>75</v>
      </c>
      <c r="P816" s="2">
        <v>69</v>
      </c>
      <c r="Q816" s="2">
        <v>50</v>
      </c>
      <c r="R816" s="274">
        <v>43038</v>
      </c>
      <c r="S816" s="253">
        <v>12</v>
      </c>
      <c r="T816" s="254">
        <f>SUM( tabConsumo[[#This Row],[QTD.PENDENTE]]:tabConsumo[[#This Row],[07_23]] ) / tabConsumo[[#This Row],[Div]]</f>
        <v>59.166666666666664</v>
      </c>
      <c r="U816" s="255">
        <f xml:space="preserve"> tabConsumo[[#This Row],[Média.A]] + (_xlfn.STDEV.S( tabConsumo[[#This Row],[QTD.PENDENTE]]:tabConsumo[[#This Row],[07_23]] ) * 1)</f>
        <v>105.49912796214468</v>
      </c>
      <c r="V816" s="255">
        <f xml:space="preserve"> tabConsumo[[#This Row],[Média.A]] + (_xlfn.STDEV.S( tabConsumo[[#This Row],[QTD.PENDENTE]]:tabConsumo[[#This Row],[07_23]] ) * 2)</f>
        <v>151.83158925762271</v>
      </c>
      <c r="W816" s="255">
        <f xml:space="preserve"> tabConsumo[[#This Row],[Média.A]] + (_xlfn.STDEV.S( tabConsumo[[#This Row],[QTD.PENDENTE]]:tabConsumo[[#This Row],[07_23]] ) * 3)</f>
        <v>198.16405055310074</v>
      </c>
      <c r="X816" s="5">
        <f t="shared" si="29"/>
        <v>2</v>
      </c>
      <c r="Y816">
        <v>58.25</v>
      </c>
      <c r="Z816" s="257">
        <f>SUM( tabConsumo[[#This Row],[QTD.PENDENTE]]:tabConsumo[[#This Row],[07_23]] )</f>
        <v>710</v>
      </c>
      <c r="AA816" s="257">
        <f>LARGE(tabConsumo[[#This Row],[08_22]:[07_23]],1)</f>
        <v>162</v>
      </c>
      <c r="AB816" s="175" t="s">
        <v>2211</v>
      </c>
      <c r="AC816" s="3" t="s">
        <v>2064</v>
      </c>
    </row>
    <row r="817" spans="1:29" x14ac:dyDescent="0.3">
      <c r="A817" s="4" t="s">
        <v>1229</v>
      </c>
      <c r="B817" s="3" t="s">
        <v>256</v>
      </c>
      <c r="C817" s="2">
        <v>28093</v>
      </c>
      <c r="D817" s="2">
        <v>178</v>
      </c>
      <c r="F817" s="2">
        <v>0</v>
      </c>
      <c r="G817" s="2">
        <v>0</v>
      </c>
      <c r="H817" s="2">
        <v>3</v>
      </c>
      <c r="I817" s="2">
        <v>0</v>
      </c>
      <c r="J817" s="2">
        <v>0</v>
      </c>
      <c r="K817" s="2">
        <v>0</v>
      </c>
      <c r="L817" s="2">
        <v>0</v>
      </c>
      <c r="M817" s="2">
        <v>0</v>
      </c>
      <c r="N817" s="2">
        <v>0</v>
      </c>
      <c r="O817" s="2">
        <v>0</v>
      </c>
      <c r="P817" s="2">
        <v>0</v>
      </c>
      <c r="Q817" s="2">
        <v>0</v>
      </c>
      <c r="R817" s="274">
        <v>367</v>
      </c>
      <c r="S817" s="253">
        <f xml:space="preserve"> 12</f>
        <v>12</v>
      </c>
      <c r="T817" s="254">
        <f>SUM( tabConsumo[[#This Row],[QTD.PENDENTE]]:tabConsumo[[#This Row],[07_23]] ) / tabConsumo[[#This Row],[Div]]</f>
        <v>0.25</v>
      </c>
      <c r="U817" s="255">
        <f xml:space="preserve"> tabConsumo[[#This Row],[Média.A]] + (_xlfn.STDEV.S( tabConsumo[[#This Row],[QTD.PENDENTE]]:tabConsumo[[#This Row],[07_23]] ) * 1)</f>
        <v>1.1160254037844386</v>
      </c>
      <c r="V817" s="255">
        <f xml:space="preserve"> tabConsumo[[#This Row],[Média.A]] + (_xlfn.STDEV.S( tabConsumo[[#This Row],[QTD.PENDENTE]]:tabConsumo[[#This Row],[07_23]] ) * 2)</f>
        <v>1.9820508075688772</v>
      </c>
      <c r="W817" s="255">
        <f xml:space="preserve"> tabConsumo[[#This Row],[Média.A]] + (_xlfn.STDEV.S( tabConsumo[[#This Row],[QTD.PENDENTE]]:tabConsumo[[#This Row],[07_23]] ) * 3)</f>
        <v>2.848076211353316</v>
      </c>
      <c r="X817" s="5">
        <f t="shared" si="29"/>
        <v>2</v>
      </c>
      <c r="Y817">
        <v>8.3333333333333329E-2</v>
      </c>
      <c r="Z817" s="257">
        <f>SUM( tabConsumo[[#This Row],[QTD.PENDENTE]]:tabConsumo[[#This Row],[07_23]] )</f>
        <v>3</v>
      </c>
      <c r="AA817" s="257">
        <f>LARGE(tabConsumo[[#This Row],[08_22]:[07_23]],1)</f>
        <v>3</v>
      </c>
      <c r="AB817" s="175" t="s">
        <v>2215</v>
      </c>
      <c r="AC817" s="3" t="s">
        <v>2064</v>
      </c>
    </row>
    <row r="818" spans="1:29" x14ac:dyDescent="0.3">
      <c r="A818" s="4" t="s">
        <v>1584</v>
      </c>
      <c r="B818" s="3" t="s">
        <v>256</v>
      </c>
      <c r="C818" s="2">
        <v>102822</v>
      </c>
      <c r="D818" s="2">
        <v>60</v>
      </c>
      <c r="F818" s="2">
        <v>0</v>
      </c>
      <c r="G818" s="2">
        <v>0</v>
      </c>
      <c r="H818" s="2">
        <v>1</v>
      </c>
      <c r="I818" s="2">
        <v>0</v>
      </c>
      <c r="J818" s="2">
        <v>3</v>
      </c>
      <c r="K818" s="2">
        <v>2</v>
      </c>
      <c r="L818" s="2">
        <v>1</v>
      </c>
      <c r="M818" s="2">
        <v>0</v>
      </c>
      <c r="N818" s="2">
        <v>0</v>
      </c>
      <c r="O818" s="2">
        <v>0</v>
      </c>
      <c r="P818" s="2">
        <v>0</v>
      </c>
      <c r="Q818" s="2">
        <v>0</v>
      </c>
      <c r="R818" s="274">
        <v>39374</v>
      </c>
      <c r="S818" s="253">
        <v>12</v>
      </c>
      <c r="T818" s="254">
        <f>SUM( tabConsumo[[#This Row],[QTD.PENDENTE]]:tabConsumo[[#This Row],[07_23]] ) / tabConsumo[[#This Row],[Div]]</f>
        <v>0.58333333333333337</v>
      </c>
      <c r="U818" s="255">
        <f xml:space="preserve"> tabConsumo[[#This Row],[Média.A]] + (_xlfn.STDEV.S( tabConsumo[[#This Row],[QTD.PENDENTE]]:tabConsumo[[#This Row],[07_23]] ) * 1)</f>
        <v>1.5795382532289555</v>
      </c>
      <c r="V818" s="255">
        <f xml:space="preserve"> tabConsumo[[#This Row],[Média.A]] + (_xlfn.STDEV.S( tabConsumo[[#This Row],[QTD.PENDENTE]]:tabConsumo[[#This Row],[07_23]] ) * 2)</f>
        <v>2.5757431731245775</v>
      </c>
      <c r="W818" s="255">
        <f xml:space="preserve"> tabConsumo[[#This Row],[Média.A]] + (_xlfn.STDEV.S( tabConsumo[[#This Row],[QTD.PENDENTE]]:tabConsumo[[#This Row],[07_23]] ) * 3)</f>
        <v>3.5719480930201994</v>
      </c>
      <c r="X818" s="5">
        <f t="shared" si="29"/>
        <v>2</v>
      </c>
      <c r="Y818">
        <v>0.5</v>
      </c>
      <c r="Z818" s="257">
        <f>SUM( tabConsumo[[#This Row],[QTD.PENDENTE]]:tabConsumo[[#This Row],[07_23]] )</f>
        <v>7</v>
      </c>
      <c r="AA818" s="257">
        <f>LARGE(tabConsumo[[#This Row],[08_22]:[07_23]],1)</f>
        <v>3</v>
      </c>
      <c r="AB818" s="175" t="s">
        <v>2221</v>
      </c>
      <c r="AC818" s="3" t="s">
        <v>2064</v>
      </c>
    </row>
    <row r="819" spans="1:29" x14ac:dyDescent="0.3">
      <c r="A819" s="4" t="s">
        <v>873</v>
      </c>
      <c r="B819" s="3" t="s">
        <v>256</v>
      </c>
      <c r="C819" s="2">
        <v>12853</v>
      </c>
      <c r="D819" s="2">
        <v>0</v>
      </c>
      <c r="E819" s="2">
        <v>5</v>
      </c>
      <c r="F819" s="2">
        <v>22</v>
      </c>
      <c r="G819" s="2">
        <v>0</v>
      </c>
      <c r="H819" s="2">
        <v>0</v>
      </c>
      <c r="I819" s="2">
        <v>0</v>
      </c>
      <c r="J819" s="2">
        <v>0</v>
      </c>
      <c r="K819" s="2">
        <v>0</v>
      </c>
      <c r="L819" s="2">
        <v>0</v>
      </c>
      <c r="M819" s="2">
        <v>0</v>
      </c>
      <c r="N819" s="2">
        <v>0</v>
      </c>
      <c r="O819" s="2">
        <v>0</v>
      </c>
      <c r="P819" s="2">
        <v>0</v>
      </c>
      <c r="Q819" s="2">
        <v>0</v>
      </c>
      <c r="R819" s="274">
        <v>367</v>
      </c>
      <c r="S819" s="253">
        <f xml:space="preserve"> 12</f>
        <v>12</v>
      </c>
      <c r="T819" s="254">
        <f>SUM( tabConsumo[[#This Row],[QTD.PENDENTE]]:tabConsumo[[#This Row],[07_23]] ) / tabConsumo[[#This Row],[Div]]</f>
        <v>2.25</v>
      </c>
      <c r="U819" s="255">
        <f xml:space="preserve"> tabConsumo[[#This Row],[Média.A]] + (_xlfn.STDEV.S( tabConsumo[[#This Row],[QTD.PENDENTE]]:tabConsumo[[#This Row],[07_23]] ) * 1)</f>
        <v>8.3935811823064359</v>
      </c>
      <c r="V819" s="255">
        <f xml:space="preserve"> tabConsumo[[#This Row],[Média.A]] + (_xlfn.STDEV.S( tabConsumo[[#This Row],[QTD.PENDENTE]]:tabConsumo[[#This Row],[07_23]] ) * 2)</f>
        <v>14.537162364612872</v>
      </c>
      <c r="W819" s="255">
        <f xml:space="preserve"> tabConsumo[[#This Row],[Média.A]] + (_xlfn.STDEV.S( tabConsumo[[#This Row],[QTD.PENDENTE]]:tabConsumo[[#This Row],[07_23]] ) * 3)</f>
        <v>20.680743546919309</v>
      </c>
      <c r="X819" s="5">
        <f t="shared" si="29"/>
        <v>2</v>
      </c>
      <c r="Y819">
        <v>1.5833333333333333</v>
      </c>
      <c r="Z819" s="257">
        <f>SUM( tabConsumo[[#This Row],[QTD.PENDENTE]]:tabConsumo[[#This Row],[07_23]] )</f>
        <v>27</v>
      </c>
      <c r="AA819" s="257">
        <f>LARGE(tabConsumo[[#This Row],[08_22]:[07_23]],1)</f>
        <v>22</v>
      </c>
      <c r="AB819" s="175" t="s">
        <v>2218</v>
      </c>
      <c r="AC819" s="3" t="s">
        <v>2064</v>
      </c>
    </row>
    <row r="820" spans="1:29" x14ac:dyDescent="0.3">
      <c r="A820" s="4" t="s">
        <v>970</v>
      </c>
      <c r="B820" s="3" t="s">
        <v>256</v>
      </c>
      <c r="C820" s="2">
        <v>12856</v>
      </c>
      <c r="D820" s="2">
        <v>5644</v>
      </c>
      <c r="F820" s="2">
        <v>155</v>
      </c>
      <c r="G820" s="2">
        <v>130</v>
      </c>
      <c r="H820" s="2">
        <v>153</v>
      </c>
      <c r="I820" s="2">
        <v>146</v>
      </c>
      <c r="J820" s="2">
        <v>119</v>
      </c>
      <c r="K820" s="2">
        <v>93</v>
      </c>
      <c r="L820" s="2">
        <v>145</v>
      </c>
      <c r="M820" s="2">
        <v>1716</v>
      </c>
      <c r="N820" s="2">
        <v>125</v>
      </c>
      <c r="O820" s="2">
        <v>77</v>
      </c>
      <c r="P820" s="2">
        <v>141</v>
      </c>
      <c r="Q820" s="2">
        <v>146</v>
      </c>
      <c r="R820" s="274">
        <v>367</v>
      </c>
      <c r="S820" s="253">
        <f xml:space="preserve"> 12</f>
        <v>12</v>
      </c>
      <c r="T820" s="254">
        <f>SUM( tabConsumo[[#This Row],[QTD.PENDENTE]]:tabConsumo[[#This Row],[07_23]] ) / tabConsumo[[#This Row],[Div]]</f>
        <v>262.16666666666669</v>
      </c>
      <c r="U820" s="255">
        <f xml:space="preserve"> tabConsumo[[#This Row],[Média.A]] + (_xlfn.STDEV.S( tabConsumo[[#This Row],[QTD.PENDENTE]]:tabConsumo[[#This Row],[07_23]] ) * 1)</f>
        <v>720.63404100570654</v>
      </c>
      <c r="V820" s="255">
        <f xml:space="preserve"> tabConsumo[[#This Row],[Média.A]] + (_xlfn.STDEV.S( tabConsumo[[#This Row],[QTD.PENDENTE]]:tabConsumo[[#This Row],[07_23]] ) * 2)</f>
        <v>1179.1014153447463</v>
      </c>
      <c r="W820" s="255">
        <f xml:space="preserve"> tabConsumo[[#This Row],[Média.A]] + (_xlfn.STDEV.S( tabConsumo[[#This Row],[QTD.PENDENTE]]:tabConsumo[[#This Row],[07_23]] ) * 3)</f>
        <v>1637.5687896837862</v>
      </c>
      <c r="X820" s="5">
        <f t="shared" si="29"/>
        <v>2</v>
      </c>
      <c r="Y820">
        <v>217.41666666666666</v>
      </c>
      <c r="Z820" s="257">
        <f>SUM( tabConsumo[[#This Row],[QTD.PENDENTE]]:tabConsumo[[#This Row],[07_23]] )</f>
        <v>3146</v>
      </c>
      <c r="AA820" s="257">
        <f>LARGE(tabConsumo[[#This Row],[08_22]:[07_23]],1)</f>
        <v>1716</v>
      </c>
      <c r="AB820" s="175" t="s">
        <v>2211</v>
      </c>
      <c r="AC820" s="3" t="s">
        <v>2064</v>
      </c>
    </row>
    <row r="821" spans="1:29" x14ac:dyDescent="0.3">
      <c r="A821" s="4" t="s">
        <v>1571</v>
      </c>
      <c r="B821" s="3" t="s">
        <v>294</v>
      </c>
      <c r="C821" s="2">
        <v>102276</v>
      </c>
      <c r="D821" s="2">
        <v>156</v>
      </c>
      <c r="F821" s="2">
        <v>15</v>
      </c>
      <c r="G821" s="2">
        <v>0</v>
      </c>
      <c r="H821" s="2">
        <v>25</v>
      </c>
      <c r="I821" s="2">
        <v>0</v>
      </c>
      <c r="J821" s="2">
        <v>0</v>
      </c>
      <c r="K821" s="2">
        <v>0</v>
      </c>
      <c r="L821" s="2">
        <v>0</v>
      </c>
      <c r="M821" s="2">
        <v>0</v>
      </c>
      <c r="N821" s="2">
        <v>0</v>
      </c>
      <c r="O821" s="2">
        <v>0</v>
      </c>
      <c r="P821" s="2">
        <v>0</v>
      </c>
      <c r="Q821" s="2">
        <v>2</v>
      </c>
      <c r="R821" s="274">
        <v>39352</v>
      </c>
      <c r="S821" s="253">
        <v>12</v>
      </c>
      <c r="T821" s="254">
        <f>SUM( tabConsumo[[#This Row],[QTD.PENDENTE]]:tabConsumo[[#This Row],[07_23]] ) / tabConsumo[[#This Row],[Div]]</f>
        <v>3.5</v>
      </c>
      <c r="U821" s="255">
        <f xml:space="preserve"> tabConsumo[[#This Row],[Média.A]] + (_xlfn.STDEV.S( tabConsumo[[#This Row],[QTD.PENDENTE]]:tabConsumo[[#This Row],[07_23]] ) * 1)</f>
        <v>11.517027333914189</v>
      </c>
      <c r="V821" s="255">
        <f xml:space="preserve"> tabConsumo[[#This Row],[Média.A]] + (_xlfn.STDEV.S( tabConsumo[[#This Row],[QTD.PENDENTE]]:tabConsumo[[#This Row],[07_23]] ) * 2)</f>
        <v>19.534054667828379</v>
      </c>
      <c r="W821" s="255">
        <f xml:space="preserve"> tabConsumo[[#This Row],[Média.A]] + (_xlfn.STDEV.S( tabConsumo[[#This Row],[QTD.PENDENTE]]:tabConsumo[[#This Row],[07_23]] ) * 3)</f>
        <v>27.551082001742568</v>
      </c>
      <c r="X821" s="5">
        <f t="shared" si="29"/>
        <v>2</v>
      </c>
      <c r="Y821">
        <v>3</v>
      </c>
      <c r="Z821" s="257">
        <f>SUM( tabConsumo[[#This Row],[QTD.PENDENTE]]:tabConsumo[[#This Row],[07_23]] )</f>
        <v>42</v>
      </c>
      <c r="AA821" s="257">
        <f>LARGE(tabConsumo[[#This Row],[08_22]:[07_23]],1)</f>
        <v>25</v>
      </c>
      <c r="AB821" s="175" t="s">
        <v>2211</v>
      </c>
      <c r="AC821" s="3" t="s">
        <v>2064</v>
      </c>
    </row>
    <row r="822" spans="1:29" x14ac:dyDescent="0.3">
      <c r="A822" s="4" t="s">
        <v>1574</v>
      </c>
      <c r="B822" s="3" t="s">
        <v>294</v>
      </c>
      <c r="C822" s="2">
        <v>102279</v>
      </c>
      <c r="D822" s="2">
        <v>280</v>
      </c>
      <c r="E822" s="2">
        <v>20</v>
      </c>
      <c r="F822" s="2">
        <v>15</v>
      </c>
      <c r="G822" s="2">
        <v>10</v>
      </c>
      <c r="H822" s="2">
        <v>5</v>
      </c>
      <c r="I822" s="2">
        <v>0</v>
      </c>
      <c r="J822" s="2">
        <v>0</v>
      </c>
      <c r="K822" s="2">
        <v>0</v>
      </c>
      <c r="L822" s="2">
        <v>0</v>
      </c>
      <c r="M822" s="2">
        <v>10</v>
      </c>
      <c r="N822" s="2">
        <v>0</v>
      </c>
      <c r="O822" s="2">
        <v>10</v>
      </c>
      <c r="P822" s="2">
        <v>0</v>
      </c>
      <c r="Q822" s="2">
        <v>0</v>
      </c>
      <c r="R822" s="274">
        <v>39352</v>
      </c>
      <c r="S822" s="253">
        <v>12</v>
      </c>
      <c r="T822" s="254">
        <f>SUM( tabConsumo[[#This Row],[QTD.PENDENTE]]:tabConsumo[[#This Row],[07_23]] ) / tabConsumo[[#This Row],[Div]]</f>
        <v>5.833333333333333</v>
      </c>
      <c r="U822" s="255">
        <f xml:space="preserve"> tabConsumo[[#This Row],[Média.A]] + (_xlfn.STDEV.S( tabConsumo[[#This Row],[QTD.PENDENTE]]:tabConsumo[[#This Row],[07_23]] ) * 1)</f>
        <v>12.743934628185341</v>
      </c>
      <c r="V822" s="255">
        <f xml:space="preserve"> tabConsumo[[#This Row],[Média.A]] + (_xlfn.STDEV.S( tabConsumo[[#This Row],[QTD.PENDENTE]]:tabConsumo[[#This Row],[07_23]] ) * 2)</f>
        <v>19.654535923037351</v>
      </c>
      <c r="W822" s="255">
        <f xml:space="preserve"> tabConsumo[[#This Row],[Média.A]] + (_xlfn.STDEV.S( tabConsumo[[#This Row],[QTD.PENDENTE]]:tabConsumo[[#This Row],[07_23]] ) * 3)</f>
        <v>26.565137217889358</v>
      </c>
      <c r="X822" s="5">
        <f t="shared" si="29"/>
        <v>2</v>
      </c>
      <c r="Y822">
        <v>5.833333333333333</v>
      </c>
      <c r="Z822" s="257">
        <f>SUM( tabConsumo[[#This Row],[QTD.PENDENTE]]:tabConsumo[[#This Row],[07_23]] )</f>
        <v>70</v>
      </c>
      <c r="AA822" s="257">
        <f>LARGE(tabConsumo[[#This Row],[08_22]:[07_23]],1)</f>
        <v>15</v>
      </c>
      <c r="AB822" s="175" t="s">
        <v>2214</v>
      </c>
      <c r="AC822" s="3" t="s">
        <v>2064</v>
      </c>
    </row>
    <row r="823" spans="1:29" x14ac:dyDescent="0.3">
      <c r="A823" s="4" t="s">
        <v>1573</v>
      </c>
      <c r="B823" s="3" t="s">
        <v>256</v>
      </c>
      <c r="C823" s="2">
        <v>102278</v>
      </c>
      <c r="D823" s="2">
        <v>144</v>
      </c>
      <c r="F823" s="2">
        <v>5</v>
      </c>
      <c r="G823" s="2">
        <v>3</v>
      </c>
      <c r="H823" s="2">
        <v>0</v>
      </c>
      <c r="I823" s="2">
        <v>0</v>
      </c>
      <c r="J823" s="2">
        <v>0</v>
      </c>
      <c r="K823" s="2">
        <v>0</v>
      </c>
      <c r="L823" s="2">
        <v>0</v>
      </c>
      <c r="M823" s="2">
        <v>0</v>
      </c>
      <c r="N823" s="2">
        <v>0</v>
      </c>
      <c r="O823" s="2">
        <v>0</v>
      </c>
      <c r="P823" s="2">
        <v>0</v>
      </c>
      <c r="Q823" s="2">
        <v>0</v>
      </c>
      <c r="R823" s="274">
        <v>39352</v>
      </c>
      <c r="S823" s="253">
        <v>12</v>
      </c>
      <c r="T823" s="254">
        <f>SUM( tabConsumo[[#This Row],[QTD.PENDENTE]]:tabConsumo[[#This Row],[07_23]] ) / tabConsumo[[#This Row],[Div]]</f>
        <v>0.66666666666666663</v>
      </c>
      <c r="U823" s="255">
        <f xml:space="preserve"> tabConsumo[[#This Row],[Média.A]] + (_xlfn.STDEV.S( tabConsumo[[#This Row],[QTD.PENDENTE]]:tabConsumo[[#This Row],[07_23]] ) * 1)</f>
        <v>2.2809964365899638</v>
      </c>
      <c r="V823" s="255">
        <f xml:space="preserve"> tabConsumo[[#This Row],[Média.A]] + (_xlfn.STDEV.S( tabConsumo[[#This Row],[QTD.PENDENTE]]:tabConsumo[[#This Row],[07_23]] ) * 2)</f>
        <v>3.895326206513261</v>
      </c>
      <c r="W823" s="255">
        <f xml:space="preserve"> tabConsumo[[#This Row],[Média.A]] + (_xlfn.STDEV.S( tabConsumo[[#This Row],[QTD.PENDENTE]]:tabConsumo[[#This Row],[07_23]] ) * 3)</f>
        <v>5.5096559764365587</v>
      </c>
      <c r="X823" s="5">
        <f t="shared" si="29"/>
        <v>2</v>
      </c>
      <c r="Y823">
        <v>0.5</v>
      </c>
      <c r="Z823" s="257">
        <f>SUM( tabConsumo[[#This Row],[QTD.PENDENTE]]:tabConsumo[[#This Row],[07_23]] )</f>
        <v>8</v>
      </c>
      <c r="AA823" s="257">
        <f>LARGE(tabConsumo[[#This Row],[08_22]:[07_23]],1)</f>
        <v>5</v>
      </c>
      <c r="AB823" s="175" t="s">
        <v>2219</v>
      </c>
      <c r="AC823" s="3" t="s">
        <v>2064</v>
      </c>
    </row>
    <row r="824" spans="1:29" x14ac:dyDescent="0.3">
      <c r="A824" s="4" t="s">
        <v>1566</v>
      </c>
      <c r="B824" s="3" t="s">
        <v>294</v>
      </c>
      <c r="C824" s="2">
        <v>101867</v>
      </c>
      <c r="D824" s="2">
        <v>81</v>
      </c>
      <c r="F824" s="2">
        <v>9</v>
      </c>
      <c r="G824" s="2">
        <v>0</v>
      </c>
      <c r="H824" s="2">
        <v>0</v>
      </c>
      <c r="I824" s="2">
        <v>0</v>
      </c>
      <c r="J824" s="2">
        <v>0</v>
      </c>
      <c r="K824" s="2">
        <v>0</v>
      </c>
      <c r="L824" s="2">
        <v>1</v>
      </c>
      <c r="M824" s="2">
        <v>20</v>
      </c>
      <c r="N824" s="2">
        <v>0</v>
      </c>
      <c r="O824" s="2">
        <v>0</v>
      </c>
      <c r="P824" s="2">
        <v>0</v>
      </c>
      <c r="Q824" s="2">
        <v>0</v>
      </c>
      <c r="R824" s="274">
        <v>39328</v>
      </c>
      <c r="S824" s="253">
        <v>12</v>
      </c>
      <c r="T824" s="254">
        <f>SUM( tabConsumo[[#This Row],[QTD.PENDENTE]]:tabConsumo[[#This Row],[07_23]] ) / tabConsumo[[#This Row],[Div]]</f>
        <v>2.5</v>
      </c>
      <c r="U824" s="255">
        <f xml:space="preserve"> tabConsumo[[#This Row],[Média.A]] + (_xlfn.STDEV.S( tabConsumo[[#This Row],[QTD.PENDENTE]]:tabConsumo[[#This Row],[07_23]] ) * 1)</f>
        <v>8.5827625302982185</v>
      </c>
      <c r="V824" s="255">
        <f xml:space="preserve"> tabConsumo[[#This Row],[Média.A]] + (_xlfn.STDEV.S( tabConsumo[[#This Row],[QTD.PENDENTE]]:tabConsumo[[#This Row],[07_23]] ) * 2)</f>
        <v>14.665525060596439</v>
      </c>
      <c r="W824" s="255">
        <f xml:space="preserve"> tabConsumo[[#This Row],[Média.A]] + (_xlfn.STDEV.S( tabConsumo[[#This Row],[QTD.PENDENTE]]:tabConsumo[[#This Row],[07_23]] ) * 3)</f>
        <v>20.748287590894659</v>
      </c>
      <c r="X824" s="5">
        <f t="shared" si="29"/>
        <v>2</v>
      </c>
      <c r="Y824">
        <v>2</v>
      </c>
      <c r="Z824" s="257">
        <f>SUM( tabConsumo[[#This Row],[QTD.PENDENTE]]:tabConsumo[[#This Row],[07_23]] )</f>
        <v>30</v>
      </c>
      <c r="AA824" s="257">
        <f>LARGE(tabConsumo[[#This Row],[08_22]:[07_23]],1)</f>
        <v>20</v>
      </c>
      <c r="AB824" s="175" t="s">
        <v>2217</v>
      </c>
      <c r="AC824" s="3" t="s">
        <v>2064</v>
      </c>
    </row>
    <row r="825" spans="1:29" x14ac:dyDescent="0.3">
      <c r="A825" s="4" t="s">
        <v>1738</v>
      </c>
      <c r="B825" s="3" t="s">
        <v>294</v>
      </c>
      <c r="C825" s="2">
        <v>121054</v>
      </c>
      <c r="D825" s="2">
        <v>93</v>
      </c>
      <c r="F825" s="2">
        <v>1</v>
      </c>
      <c r="G825" s="2">
        <v>0</v>
      </c>
      <c r="H825" s="2">
        <v>0</v>
      </c>
      <c r="I825" s="2">
        <v>0</v>
      </c>
      <c r="J825" s="2">
        <v>0</v>
      </c>
      <c r="K825" s="2">
        <v>0</v>
      </c>
      <c r="L825" s="2">
        <v>0</v>
      </c>
      <c r="M825" s="2">
        <v>0</v>
      </c>
      <c r="N825" s="2">
        <v>0</v>
      </c>
      <c r="O825" s="2">
        <v>0</v>
      </c>
      <c r="P825" s="2">
        <v>0</v>
      </c>
      <c r="Q825" s="2">
        <v>1</v>
      </c>
      <c r="R825" s="274">
        <v>40805</v>
      </c>
      <c r="S825" s="253">
        <v>12</v>
      </c>
      <c r="T825" s="254">
        <f>SUM( tabConsumo[[#This Row],[QTD.PENDENTE]]:tabConsumo[[#This Row],[07_23]] ) / tabConsumo[[#This Row],[Div]]</f>
        <v>0.16666666666666666</v>
      </c>
      <c r="U825" s="255">
        <f xml:space="preserve"> tabConsumo[[#This Row],[Média.A]] + (_xlfn.STDEV.S( tabConsumo[[#This Row],[QTD.PENDENTE]]:tabConsumo[[#This Row],[07_23]] ) * 1)</f>
        <v>0.55591613874742818</v>
      </c>
      <c r="V825" s="255">
        <f xml:space="preserve"> tabConsumo[[#This Row],[Média.A]] + (_xlfn.STDEV.S( tabConsumo[[#This Row],[QTD.PENDENTE]]:tabConsumo[[#This Row],[07_23]] ) * 2)</f>
        <v>0.94516561082818962</v>
      </c>
      <c r="W825" s="255">
        <f xml:space="preserve"> tabConsumo[[#This Row],[Média.A]] + (_xlfn.STDEV.S( tabConsumo[[#This Row],[QTD.PENDENTE]]:tabConsumo[[#This Row],[07_23]] ) * 3)</f>
        <v>1.3344150829089512</v>
      </c>
      <c r="X825" s="5">
        <f t="shared" si="29"/>
        <v>2</v>
      </c>
      <c r="Y825">
        <v>0</v>
      </c>
      <c r="Z825" s="257">
        <f>SUM( tabConsumo[[#This Row],[QTD.PENDENTE]]:tabConsumo[[#This Row],[07_23]] )</f>
        <v>2</v>
      </c>
      <c r="AA825" s="257">
        <f>LARGE(tabConsumo[[#This Row],[08_22]:[07_23]],1)</f>
        <v>1</v>
      </c>
      <c r="AB825" s="175" t="s">
        <v>2211</v>
      </c>
      <c r="AC825" s="3" t="s">
        <v>2064</v>
      </c>
    </row>
    <row r="826" spans="1:29" x14ac:dyDescent="0.3">
      <c r="A826" s="4" t="s">
        <v>1567</v>
      </c>
      <c r="B826" s="3" t="s">
        <v>294</v>
      </c>
      <c r="C826" s="2">
        <v>101868</v>
      </c>
      <c r="D826" s="2">
        <v>1239</v>
      </c>
      <c r="F826" s="2">
        <v>30</v>
      </c>
      <c r="G826" s="2">
        <v>0</v>
      </c>
      <c r="H826" s="2">
        <v>8</v>
      </c>
      <c r="I826" s="2">
        <v>0</v>
      </c>
      <c r="J826" s="2">
        <v>1</v>
      </c>
      <c r="K826" s="2">
        <v>0</v>
      </c>
      <c r="L826" s="2">
        <v>3</v>
      </c>
      <c r="M826" s="2">
        <v>6</v>
      </c>
      <c r="N826" s="2">
        <v>0</v>
      </c>
      <c r="O826" s="2">
        <v>0</v>
      </c>
      <c r="P826" s="2">
        <v>15</v>
      </c>
      <c r="Q826" s="2">
        <v>0</v>
      </c>
      <c r="R826" s="274">
        <v>39328</v>
      </c>
      <c r="S826" s="253">
        <v>12</v>
      </c>
      <c r="T826" s="254">
        <f>SUM( tabConsumo[[#This Row],[QTD.PENDENTE]]:tabConsumo[[#This Row],[07_23]] ) / tabConsumo[[#This Row],[Div]]</f>
        <v>5.25</v>
      </c>
      <c r="U826" s="255">
        <f xml:space="preserve"> tabConsumo[[#This Row],[Média.A]] + (_xlfn.STDEV.S( tabConsumo[[#This Row],[QTD.PENDENTE]]:tabConsumo[[#This Row],[07_23]] ) * 1)</f>
        <v>14.316672237074938</v>
      </c>
      <c r="V826" s="255">
        <f xml:space="preserve"> tabConsumo[[#This Row],[Média.A]] + (_xlfn.STDEV.S( tabConsumo[[#This Row],[QTD.PENDENTE]]:tabConsumo[[#This Row],[07_23]] ) * 2)</f>
        <v>23.383344474149876</v>
      </c>
      <c r="W826" s="255">
        <f xml:space="preserve"> tabConsumo[[#This Row],[Média.A]] + (_xlfn.STDEV.S( tabConsumo[[#This Row],[QTD.PENDENTE]]:tabConsumo[[#This Row],[07_23]] ) * 3)</f>
        <v>32.450016711224812</v>
      </c>
      <c r="X826" s="5">
        <f t="shared" si="29"/>
        <v>2</v>
      </c>
      <c r="Y826">
        <v>4.666666666666667</v>
      </c>
      <c r="Z826" s="257">
        <f>SUM( tabConsumo[[#This Row],[QTD.PENDENTE]]:tabConsumo[[#This Row],[07_23]] )</f>
        <v>63</v>
      </c>
      <c r="AA826" s="257">
        <f>LARGE(tabConsumo[[#This Row],[08_22]:[07_23]],1)</f>
        <v>30</v>
      </c>
      <c r="AB826" s="175" t="s">
        <v>2212</v>
      </c>
      <c r="AC826" s="3" t="s">
        <v>2064</v>
      </c>
    </row>
    <row r="827" spans="1:29" x14ac:dyDescent="0.3">
      <c r="A827" s="4" t="s">
        <v>1317</v>
      </c>
      <c r="B827" s="3" t="s">
        <v>294</v>
      </c>
      <c r="C827" s="2">
        <v>54550</v>
      </c>
      <c r="D827" s="2">
        <v>823</v>
      </c>
      <c r="F827" s="2">
        <v>66</v>
      </c>
      <c r="G827" s="2">
        <v>95</v>
      </c>
      <c r="H827" s="2">
        <v>11</v>
      </c>
      <c r="I827" s="2">
        <v>40</v>
      </c>
      <c r="J827" s="2">
        <v>112</v>
      </c>
      <c r="K827" s="2">
        <v>70</v>
      </c>
      <c r="L827" s="2">
        <v>6</v>
      </c>
      <c r="M827" s="2">
        <v>0</v>
      </c>
      <c r="N827" s="2">
        <v>60</v>
      </c>
      <c r="O827" s="2">
        <v>0</v>
      </c>
      <c r="P827" s="2">
        <v>100</v>
      </c>
      <c r="Q827" s="2">
        <v>0</v>
      </c>
      <c r="R827" s="274">
        <v>367</v>
      </c>
      <c r="S827" s="253">
        <f t="shared" ref="S827:S837" si="30" xml:space="preserve"> 12</f>
        <v>12</v>
      </c>
      <c r="T827" s="254">
        <f>SUM( tabConsumo[[#This Row],[QTD.PENDENTE]]:tabConsumo[[#This Row],[07_23]] ) / tabConsumo[[#This Row],[Div]]</f>
        <v>46.666666666666664</v>
      </c>
      <c r="U827" s="255">
        <f xml:space="preserve"> tabConsumo[[#This Row],[Média.A]] + (_xlfn.STDEV.S( tabConsumo[[#This Row],[QTD.PENDENTE]]:tabConsumo[[#This Row],[07_23]] ) * 1)</f>
        <v>89.358657257479607</v>
      </c>
      <c r="V827" s="255">
        <f xml:space="preserve"> tabConsumo[[#This Row],[Média.A]] + (_xlfn.STDEV.S( tabConsumo[[#This Row],[QTD.PENDENTE]]:tabConsumo[[#This Row],[07_23]] ) * 2)</f>
        <v>132.05064784829256</v>
      </c>
      <c r="W827" s="255">
        <f xml:space="preserve"> tabConsumo[[#This Row],[Média.A]] + (_xlfn.STDEV.S( tabConsumo[[#This Row],[QTD.PENDENTE]]:tabConsumo[[#This Row],[07_23]] ) * 3)</f>
        <v>174.74263843910549</v>
      </c>
      <c r="X827" s="5">
        <f t="shared" si="29"/>
        <v>2</v>
      </c>
      <c r="Y827">
        <v>46.666666666666664</v>
      </c>
      <c r="Z827" s="257">
        <f>SUM( tabConsumo[[#This Row],[QTD.PENDENTE]]:tabConsumo[[#This Row],[07_23]] )</f>
        <v>560</v>
      </c>
      <c r="AA827" s="257">
        <f>LARGE(tabConsumo[[#This Row],[08_22]:[07_23]],1)</f>
        <v>112</v>
      </c>
      <c r="AB827" s="175" t="s">
        <v>2212</v>
      </c>
      <c r="AC827" s="3" t="s">
        <v>2064</v>
      </c>
    </row>
    <row r="828" spans="1:29" x14ac:dyDescent="0.3">
      <c r="A828" s="4" t="s">
        <v>1318</v>
      </c>
      <c r="B828" s="3" t="s">
        <v>294</v>
      </c>
      <c r="C828" s="2">
        <v>54552</v>
      </c>
      <c r="D828" s="2">
        <v>5</v>
      </c>
      <c r="E828" s="2">
        <v>26</v>
      </c>
      <c r="F828" s="2">
        <v>100</v>
      </c>
      <c r="G828" s="2">
        <v>0</v>
      </c>
      <c r="H828" s="2">
        <v>0</v>
      </c>
      <c r="I828" s="2">
        <v>0</v>
      </c>
      <c r="J828" s="2">
        <v>144</v>
      </c>
      <c r="K828" s="2">
        <v>40</v>
      </c>
      <c r="L828" s="2">
        <v>5</v>
      </c>
      <c r="M828" s="2">
        <v>0</v>
      </c>
      <c r="N828" s="2">
        <v>80</v>
      </c>
      <c r="O828" s="2">
        <v>0</v>
      </c>
      <c r="P828" s="2">
        <v>0</v>
      </c>
      <c r="Q828" s="2">
        <v>0</v>
      </c>
      <c r="R828" s="274">
        <v>367</v>
      </c>
      <c r="S828" s="253">
        <f t="shared" si="30"/>
        <v>12</v>
      </c>
      <c r="T828" s="254">
        <f>SUM( tabConsumo[[#This Row],[QTD.PENDENTE]]:tabConsumo[[#This Row],[07_23]] ) / tabConsumo[[#This Row],[Div]]</f>
        <v>32.916666666666664</v>
      </c>
      <c r="U828" s="255">
        <f xml:space="preserve"> tabConsumo[[#This Row],[Média.A]] + (_xlfn.STDEV.S( tabConsumo[[#This Row],[QTD.PENDENTE]]:tabConsumo[[#This Row],[07_23]] ) * 1)</f>
        <v>80.731480378072149</v>
      </c>
      <c r="V828" s="255">
        <f xml:space="preserve"> tabConsumo[[#This Row],[Média.A]] + (_xlfn.STDEV.S( tabConsumo[[#This Row],[QTD.PENDENTE]]:tabConsumo[[#This Row],[07_23]] ) * 2)</f>
        <v>128.54629408947764</v>
      </c>
      <c r="W828" s="255">
        <f xml:space="preserve"> tabConsumo[[#This Row],[Média.A]] + (_xlfn.STDEV.S( tabConsumo[[#This Row],[QTD.PENDENTE]]:tabConsumo[[#This Row],[07_23]] ) * 3)</f>
        <v>176.3611078008831</v>
      </c>
      <c r="X828" s="5">
        <f t="shared" si="29"/>
        <v>2</v>
      </c>
      <c r="Y828">
        <v>31.583333333333332</v>
      </c>
      <c r="Z828" s="257">
        <f>SUM( tabConsumo[[#This Row],[QTD.PENDENTE]]:tabConsumo[[#This Row],[07_23]] )</f>
        <v>395</v>
      </c>
      <c r="AA828" s="257">
        <f>LARGE(tabConsumo[[#This Row],[08_22]:[07_23]],1)</f>
        <v>144</v>
      </c>
      <c r="AB828" s="175" t="s">
        <v>2213</v>
      </c>
      <c r="AC828" s="3" t="s">
        <v>2064</v>
      </c>
    </row>
    <row r="829" spans="1:29" x14ac:dyDescent="0.3">
      <c r="A829" s="4" t="s">
        <v>1281</v>
      </c>
      <c r="B829" s="3" t="s">
        <v>294</v>
      </c>
      <c r="C829" s="2">
        <v>44398</v>
      </c>
      <c r="D829" s="2">
        <v>1454</v>
      </c>
      <c r="F829" s="2">
        <v>124</v>
      </c>
      <c r="G829" s="2">
        <v>0</v>
      </c>
      <c r="H829" s="2">
        <v>0</v>
      </c>
      <c r="I829" s="2">
        <v>0</v>
      </c>
      <c r="J829" s="2">
        <v>0</v>
      </c>
      <c r="K829" s="2">
        <v>0</v>
      </c>
      <c r="L829" s="2">
        <v>0</v>
      </c>
      <c r="M829" s="2">
        <v>0</v>
      </c>
      <c r="N829" s="2">
        <v>0</v>
      </c>
      <c r="O829" s="2">
        <v>190</v>
      </c>
      <c r="P829" s="2">
        <v>212</v>
      </c>
      <c r="Q829" s="2">
        <v>0</v>
      </c>
      <c r="R829" s="274">
        <v>367</v>
      </c>
      <c r="S829" s="253">
        <f t="shared" si="30"/>
        <v>12</v>
      </c>
      <c r="T829" s="254">
        <f>SUM( tabConsumo[[#This Row],[QTD.PENDENTE]]:tabConsumo[[#This Row],[07_23]] ) / tabConsumo[[#This Row],[Div]]</f>
        <v>43.833333333333336</v>
      </c>
      <c r="U829" s="255">
        <f xml:space="preserve"> tabConsumo[[#This Row],[Média.A]] + (_xlfn.STDEV.S( tabConsumo[[#This Row],[QTD.PENDENTE]]:tabConsumo[[#This Row],[07_23]] ) * 1)</f>
        <v>125.49987631406836</v>
      </c>
      <c r="V829" s="255">
        <f xml:space="preserve"> tabConsumo[[#This Row],[Média.A]] + (_xlfn.STDEV.S( tabConsumo[[#This Row],[QTD.PENDENTE]]:tabConsumo[[#This Row],[07_23]] ) * 2)</f>
        <v>207.1664192948034</v>
      </c>
      <c r="W829" s="255">
        <f xml:space="preserve"> tabConsumo[[#This Row],[Média.A]] + (_xlfn.STDEV.S( tabConsumo[[#This Row],[QTD.PENDENTE]]:tabConsumo[[#This Row],[07_23]] ) * 3)</f>
        <v>288.83296227553842</v>
      </c>
      <c r="X829" s="5">
        <f t="shared" si="29"/>
        <v>2</v>
      </c>
      <c r="Y829">
        <v>43.416666666666664</v>
      </c>
      <c r="Z829" s="257">
        <f>SUM( tabConsumo[[#This Row],[QTD.PENDENTE]]:tabConsumo[[#This Row],[07_23]] )</f>
        <v>526</v>
      </c>
      <c r="AA829" s="257">
        <f>LARGE(tabConsumo[[#This Row],[08_22]:[07_23]],1)</f>
        <v>212</v>
      </c>
      <c r="AB829" s="175" t="s">
        <v>2212</v>
      </c>
      <c r="AC829" s="3" t="s">
        <v>2064</v>
      </c>
    </row>
    <row r="830" spans="1:29" x14ac:dyDescent="0.3">
      <c r="A830" s="4" t="s">
        <v>1235</v>
      </c>
      <c r="B830" s="3" t="s">
        <v>331</v>
      </c>
      <c r="C830" s="2">
        <v>28512</v>
      </c>
      <c r="D830" s="2">
        <v>104</v>
      </c>
      <c r="F830" s="2">
        <v>50</v>
      </c>
      <c r="G830" s="2">
        <v>0</v>
      </c>
      <c r="H830" s="2">
        <v>0</v>
      </c>
      <c r="I830" s="2">
        <v>0</v>
      </c>
      <c r="J830" s="2">
        <v>0</v>
      </c>
      <c r="K830" s="2">
        <v>0</v>
      </c>
      <c r="L830" s="2">
        <v>0</v>
      </c>
      <c r="M830" s="2">
        <v>0</v>
      </c>
      <c r="N830" s="2">
        <v>0</v>
      </c>
      <c r="O830" s="2">
        <v>0</v>
      </c>
      <c r="P830" s="2">
        <v>0</v>
      </c>
      <c r="Q830" s="2">
        <v>0</v>
      </c>
      <c r="R830" s="274">
        <v>367</v>
      </c>
      <c r="S830" s="253">
        <f t="shared" si="30"/>
        <v>12</v>
      </c>
      <c r="T830" s="254">
        <f>SUM( tabConsumo[[#This Row],[QTD.PENDENTE]]:tabConsumo[[#This Row],[07_23]] ) / tabConsumo[[#This Row],[Div]]</f>
        <v>4.166666666666667</v>
      </c>
      <c r="U830" s="255">
        <f xml:space="preserve"> tabConsumo[[#This Row],[Média.A]] + (_xlfn.STDEV.S( tabConsumo[[#This Row],[QTD.PENDENTE]]:tabConsumo[[#This Row],[07_23]] ) * 1)</f>
        <v>18.600423396407312</v>
      </c>
      <c r="V830" s="255">
        <f xml:space="preserve"> tabConsumo[[#This Row],[Média.A]] + (_xlfn.STDEV.S( tabConsumo[[#This Row],[QTD.PENDENTE]]:tabConsumo[[#This Row],[07_23]] ) * 2)</f>
        <v>33.034180126147952</v>
      </c>
      <c r="W830" s="255">
        <f xml:space="preserve"> tabConsumo[[#This Row],[Média.A]] + (_xlfn.STDEV.S( tabConsumo[[#This Row],[QTD.PENDENTE]]:tabConsumo[[#This Row],[07_23]] ) * 3)</f>
        <v>47.467936855888595</v>
      </c>
      <c r="X830" s="5">
        <f t="shared" si="29"/>
        <v>2</v>
      </c>
      <c r="Y830">
        <v>2.75</v>
      </c>
      <c r="Z830" s="257">
        <f>SUM( tabConsumo[[#This Row],[QTD.PENDENTE]]:tabConsumo[[#This Row],[07_23]] )</f>
        <v>50</v>
      </c>
      <c r="AA830" s="257">
        <f>LARGE(tabConsumo[[#This Row],[08_22]:[07_23]],1)</f>
        <v>50</v>
      </c>
      <c r="AB830" s="175" t="s">
        <v>2218</v>
      </c>
      <c r="AC830" s="3" t="s">
        <v>2064</v>
      </c>
    </row>
    <row r="831" spans="1:29" x14ac:dyDescent="0.3">
      <c r="A831" s="4" t="s">
        <v>1339</v>
      </c>
      <c r="B831" s="3" t="s">
        <v>294</v>
      </c>
      <c r="C831" s="2">
        <v>59097</v>
      </c>
      <c r="D831" s="2">
        <v>0</v>
      </c>
      <c r="E831" s="2">
        <v>5</v>
      </c>
      <c r="F831" s="2">
        <v>7</v>
      </c>
      <c r="G831" s="2">
        <v>0</v>
      </c>
      <c r="H831" s="2">
        <v>7</v>
      </c>
      <c r="I831" s="2">
        <v>24</v>
      </c>
      <c r="J831" s="2">
        <v>2</v>
      </c>
      <c r="K831" s="2">
        <v>16</v>
      </c>
      <c r="L831" s="2">
        <v>6</v>
      </c>
      <c r="M831" s="2">
        <v>6</v>
      </c>
      <c r="N831" s="2">
        <v>0</v>
      </c>
      <c r="O831" s="2">
        <v>2</v>
      </c>
      <c r="P831" s="2">
        <v>0</v>
      </c>
      <c r="Q831" s="2">
        <v>0</v>
      </c>
      <c r="R831" s="274">
        <v>367</v>
      </c>
      <c r="S831" s="253">
        <f t="shared" si="30"/>
        <v>12</v>
      </c>
      <c r="T831" s="254">
        <f>SUM( tabConsumo[[#This Row],[QTD.PENDENTE]]:tabConsumo[[#This Row],[07_23]] ) / tabConsumo[[#This Row],[Div]]</f>
        <v>6.25</v>
      </c>
      <c r="U831" s="255">
        <f xml:space="preserve"> tabConsumo[[#This Row],[Média.A]] + (_xlfn.STDEV.S( tabConsumo[[#This Row],[QTD.PENDENTE]]:tabConsumo[[#This Row],[07_23]] ) * 1)</f>
        <v>13.334652969080963</v>
      </c>
      <c r="V831" s="255">
        <f xml:space="preserve"> tabConsumo[[#This Row],[Média.A]] + (_xlfn.STDEV.S( tabConsumo[[#This Row],[QTD.PENDENTE]]:tabConsumo[[#This Row],[07_23]] ) * 2)</f>
        <v>20.419305938161926</v>
      </c>
      <c r="W831" s="255">
        <f xml:space="preserve"> tabConsumo[[#This Row],[Média.A]] + (_xlfn.STDEV.S( tabConsumo[[#This Row],[QTD.PENDENTE]]:tabConsumo[[#This Row],[07_23]] ) * 3)</f>
        <v>27.503958907242886</v>
      </c>
      <c r="X831" s="5">
        <f t="shared" si="29"/>
        <v>2</v>
      </c>
      <c r="Y831">
        <v>5.916666666666667</v>
      </c>
      <c r="Z831" s="257">
        <f>SUM( tabConsumo[[#This Row],[QTD.PENDENTE]]:tabConsumo[[#This Row],[07_23]] )</f>
        <v>75</v>
      </c>
      <c r="AA831" s="257">
        <f>LARGE(tabConsumo[[#This Row],[08_22]:[07_23]],1)</f>
        <v>24</v>
      </c>
      <c r="AB831" s="175" t="s">
        <v>2214</v>
      </c>
      <c r="AC831" s="3" t="s">
        <v>2064</v>
      </c>
    </row>
    <row r="832" spans="1:29" x14ac:dyDescent="0.3">
      <c r="A832" s="4" t="s">
        <v>1227</v>
      </c>
      <c r="B832" s="3" t="s">
        <v>294</v>
      </c>
      <c r="C832" s="2">
        <v>27761</v>
      </c>
      <c r="D832" s="2">
        <v>52</v>
      </c>
      <c r="F832" s="2">
        <v>1</v>
      </c>
      <c r="G832" s="2">
        <v>0</v>
      </c>
      <c r="H832" s="2">
        <v>0</v>
      </c>
      <c r="I832" s="2">
        <v>0</v>
      </c>
      <c r="J832" s="2">
        <v>0</v>
      </c>
      <c r="K832" s="2">
        <v>0</v>
      </c>
      <c r="L832" s="2">
        <v>0</v>
      </c>
      <c r="M832" s="2">
        <v>0</v>
      </c>
      <c r="N832" s="2">
        <v>0</v>
      </c>
      <c r="O832" s="2">
        <v>0</v>
      </c>
      <c r="P832" s="2">
        <v>2</v>
      </c>
      <c r="Q832" s="2">
        <v>0</v>
      </c>
      <c r="R832" s="274">
        <v>367</v>
      </c>
      <c r="S832" s="253">
        <f t="shared" si="30"/>
        <v>12</v>
      </c>
      <c r="T832" s="254">
        <f>SUM( tabConsumo[[#This Row],[QTD.PENDENTE]]:tabConsumo[[#This Row],[07_23]] ) / tabConsumo[[#This Row],[Div]]</f>
        <v>0.25</v>
      </c>
      <c r="U832" s="255">
        <f xml:space="preserve"> tabConsumo[[#This Row],[Média.A]] + (_xlfn.STDEV.S( tabConsumo[[#This Row],[QTD.PENDENTE]]:tabConsumo[[#This Row],[07_23]] ) * 1)</f>
        <v>0.87158156050806102</v>
      </c>
      <c r="V832" s="255">
        <f xml:space="preserve"> tabConsumo[[#This Row],[Média.A]] + (_xlfn.STDEV.S( tabConsumo[[#This Row],[QTD.PENDENTE]]:tabConsumo[[#This Row],[07_23]] ) * 2)</f>
        <v>1.493163121016122</v>
      </c>
      <c r="W832" s="255">
        <f xml:space="preserve"> tabConsumo[[#This Row],[Média.A]] + (_xlfn.STDEV.S( tabConsumo[[#This Row],[QTD.PENDENTE]]:tabConsumo[[#This Row],[07_23]] ) * 3)</f>
        <v>2.1147446815241828</v>
      </c>
      <c r="X832" s="5">
        <f t="shared" si="29"/>
        <v>2</v>
      </c>
      <c r="Y832">
        <v>0.16666666666666666</v>
      </c>
      <c r="Z832" s="257">
        <f>SUM( tabConsumo[[#This Row],[QTD.PENDENTE]]:tabConsumo[[#This Row],[07_23]] )</f>
        <v>3</v>
      </c>
      <c r="AA832" s="257">
        <f>LARGE(tabConsumo[[#This Row],[08_22]:[07_23]],1)</f>
        <v>2</v>
      </c>
      <c r="AB832" s="175" t="s">
        <v>2212</v>
      </c>
      <c r="AC832" s="3" t="s">
        <v>2064</v>
      </c>
    </row>
    <row r="833" spans="1:29" x14ac:dyDescent="0.3">
      <c r="A833" s="4" t="s">
        <v>1040</v>
      </c>
      <c r="B833" s="3" t="s">
        <v>294</v>
      </c>
      <c r="C833" s="2">
        <v>13559</v>
      </c>
      <c r="D833" s="2">
        <v>0</v>
      </c>
      <c r="E833" s="2">
        <v>29</v>
      </c>
      <c r="F833" s="2">
        <v>11</v>
      </c>
      <c r="G833" s="2">
        <v>26</v>
      </c>
      <c r="H833" s="2">
        <v>27</v>
      </c>
      <c r="I833" s="2">
        <v>18</v>
      </c>
      <c r="J833" s="2">
        <v>12</v>
      </c>
      <c r="K833" s="2">
        <v>15</v>
      </c>
      <c r="L833" s="2">
        <v>17</v>
      </c>
      <c r="M833" s="2">
        <v>54</v>
      </c>
      <c r="N833" s="2">
        <v>9</v>
      </c>
      <c r="O833" s="2">
        <v>0</v>
      </c>
      <c r="P833" s="2">
        <v>0</v>
      </c>
      <c r="Q833" s="2">
        <v>0</v>
      </c>
      <c r="R833" s="274">
        <v>367</v>
      </c>
      <c r="S833" s="253">
        <f t="shared" si="30"/>
        <v>12</v>
      </c>
      <c r="T833" s="254">
        <f>SUM( tabConsumo[[#This Row],[QTD.PENDENTE]]:tabConsumo[[#This Row],[07_23]] ) / tabConsumo[[#This Row],[Div]]</f>
        <v>18.166666666666668</v>
      </c>
      <c r="U833" s="255">
        <f xml:space="preserve"> tabConsumo[[#This Row],[Média.A]] + (_xlfn.STDEV.S( tabConsumo[[#This Row],[QTD.PENDENTE]]:tabConsumo[[#This Row],[07_23]] ) * 1)</f>
        <v>33.139719384543127</v>
      </c>
      <c r="V833" s="255">
        <f xml:space="preserve"> tabConsumo[[#This Row],[Média.A]] + (_xlfn.STDEV.S( tabConsumo[[#This Row],[QTD.PENDENTE]]:tabConsumo[[#This Row],[07_23]] ) * 2)</f>
        <v>48.112772102419591</v>
      </c>
      <c r="W833" s="255">
        <f xml:space="preserve"> tabConsumo[[#This Row],[Média.A]] + (_xlfn.STDEV.S( tabConsumo[[#This Row],[QTD.PENDENTE]]:tabConsumo[[#This Row],[07_23]] ) * 3)</f>
        <v>63.085824820296054</v>
      </c>
      <c r="X833" s="5">
        <f t="shared" si="29"/>
        <v>2</v>
      </c>
      <c r="Y833">
        <v>17.666666666666668</v>
      </c>
      <c r="Z833" s="257">
        <f>SUM( tabConsumo[[#This Row],[QTD.PENDENTE]]:tabConsumo[[#This Row],[07_23]] )</f>
        <v>218</v>
      </c>
      <c r="AA833" s="257">
        <f>LARGE(tabConsumo[[#This Row],[08_22]:[07_23]],1)</f>
        <v>54</v>
      </c>
      <c r="AB833" s="175" t="s">
        <v>2213</v>
      </c>
      <c r="AC833" s="3" t="s">
        <v>2064</v>
      </c>
    </row>
    <row r="834" spans="1:29" x14ac:dyDescent="0.3">
      <c r="A834" s="4" t="s">
        <v>1043</v>
      </c>
      <c r="B834" s="3" t="s">
        <v>294</v>
      </c>
      <c r="C834" s="2">
        <v>13562</v>
      </c>
      <c r="D834" s="2">
        <v>412</v>
      </c>
      <c r="F834" s="2">
        <v>70</v>
      </c>
      <c r="G834" s="2">
        <v>16</v>
      </c>
      <c r="H834" s="2">
        <v>22</v>
      </c>
      <c r="I834" s="2">
        <v>30</v>
      </c>
      <c r="J834" s="2">
        <v>53</v>
      </c>
      <c r="K834" s="2">
        <v>25</v>
      </c>
      <c r="L834" s="2">
        <v>42</v>
      </c>
      <c r="M834" s="2">
        <v>59</v>
      </c>
      <c r="N834" s="2">
        <v>61</v>
      </c>
      <c r="O834" s="2">
        <v>30</v>
      </c>
      <c r="P834" s="2">
        <v>25</v>
      </c>
      <c r="Q834" s="2">
        <v>22</v>
      </c>
      <c r="R834" s="274">
        <v>367</v>
      </c>
      <c r="S834" s="253">
        <f t="shared" si="30"/>
        <v>12</v>
      </c>
      <c r="T834" s="254">
        <f>SUM( tabConsumo[[#This Row],[QTD.PENDENTE]]:tabConsumo[[#This Row],[07_23]] ) / tabConsumo[[#This Row],[Div]]</f>
        <v>37.916666666666664</v>
      </c>
      <c r="U834" s="255">
        <f xml:space="preserve"> tabConsumo[[#This Row],[Média.A]] + (_xlfn.STDEV.S( tabConsumo[[#This Row],[QTD.PENDENTE]]:tabConsumo[[#This Row],[07_23]] ) * 1)</f>
        <v>56.249242408589382</v>
      </c>
      <c r="V834" s="255">
        <f xml:space="preserve"> tabConsumo[[#This Row],[Média.A]] + (_xlfn.STDEV.S( tabConsumo[[#This Row],[QTD.PENDENTE]]:tabConsumo[[#This Row],[07_23]] ) * 2)</f>
        <v>74.581818150512106</v>
      </c>
      <c r="W834" s="255">
        <f xml:space="preserve"> tabConsumo[[#This Row],[Média.A]] + (_xlfn.STDEV.S( tabConsumo[[#This Row],[QTD.PENDENTE]]:tabConsumo[[#This Row],[07_23]] ) * 3)</f>
        <v>92.914393892434816</v>
      </c>
      <c r="X834" s="5">
        <f t="shared" si="29"/>
        <v>2</v>
      </c>
      <c r="Y834">
        <v>37.916666666666664</v>
      </c>
      <c r="Z834" s="257">
        <f>SUM( tabConsumo[[#This Row],[QTD.PENDENTE]]:tabConsumo[[#This Row],[07_23]] )</f>
        <v>455</v>
      </c>
      <c r="AA834" s="257">
        <f>LARGE(tabConsumo[[#This Row],[08_22]:[07_23]],1)</f>
        <v>70</v>
      </c>
      <c r="AB834" s="175" t="s">
        <v>2211</v>
      </c>
      <c r="AC834" s="3" t="s">
        <v>2064</v>
      </c>
    </row>
    <row r="835" spans="1:29" x14ac:dyDescent="0.3">
      <c r="A835" s="4" t="s">
        <v>1041</v>
      </c>
      <c r="B835" s="3" t="s">
        <v>294</v>
      </c>
      <c r="C835" s="2">
        <v>13560</v>
      </c>
      <c r="D835" s="2">
        <v>42</v>
      </c>
      <c r="F835" s="2">
        <v>13</v>
      </c>
      <c r="G835" s="2">
        <v>0</v>
      </c>
      <c r="H835" s="2">
        <v>4</v>
      </c>
      <c r="I835" s="2">
        <v>0</v>
      </c>
      <c r="J835" s="2">
        <v>2</v>
      </c>
      <c r="K835" s="2">
        <v>4</v>
      </c>
      <c r="L835" s="2">
        <v>2</v>
      </c>
      <c r="M835" s="2">
        <v>2</v>
      </c>
      <c r="N835" s="2">
        <v>6</v>
      </c>
      <c r="O835" s="2">
        <v>0</v>
      </c>
      <c r="P835" s="2">
        <v>0</v>
      </c>
      <c r="Q835" s="2">
        <v>0</v>
      </c>
      <c r="R835" s="274">
        <v>367</v>
      </c>
      <c r="S835" s="253">
        <f t="shared" si="30"/>
        <v>12</v>
      </c>
      <c r="T835" s="254">
        <f>SUM( tabConsumo[[#This Row],[QTD.PENDENTE]]:tabConsumo[[#This Row],[07_23]] ) / tabConsumo[[#This Row],[Div]]</f>
        <v>2.75</v>
      </c>
      <c r="U835" s="255">
        <f xml:space="preserve"> tabConsumo[[#This Row],[Média.A]] + (_xlfn.STDEV.S( tabConsumo[[#This Row],[QTD.PENDENTE]]:tabConsumo[[#This Row],[07_23]] ) * 1)</f>
        <v>6.5429360179633456</v>
      </c>
      <c r="V835" s="255">
        <f xml:space="preserve"> tabConsumo[[#This Row],[Média.A]] + (_xlfn.STDEV.S( tabConsumo[[#This Row],[QTD.PENDENTE]]:tabConsumo[[#This Row],[07_23]] ) * 2)</f>
        <v>10.335872035926691</v>
      </c>
      <c r="W835" s="255">
        <f xml:space="preserve"> tabConsumo[[#This Row],[Média.A]] + (_xlfn.STDEV.S( tabConsumo[[#This Row],[QTD.PENDENTE]]:tabConsumo[[#This Row],[07_23]] ) * 3)</f>
        <v>14.128808053890035</v>
      </c>
      <c r="X835" s="5">
        <f t="shared" ref="X835:X869" si="31" xml:space="preserve"> 2</f>
        <v>2</v>
      </c>
      <c r="Y835">
        <v>2.5</v>
      </c>
      <c r="Z835" s="257">
        <f>SUM( tabConsumo[[#This Row],[QTD.PENDENTE]]:tabConsumo[[#This Row],[07_23]] )</f>
        <v>33</v>
      </c>
      <c r="AA835" s="257">
        <f>LARGE(tabConsumo[[#This Row],[08_22]:[07_23]],1)</f>
        <v>13</v>
      </c>
      <c r="AB835" s="175" t="s">
        <v>2213</v>
      </c>
      <c r="AC835" s="3" t="s">
        <v>2064</v>
      </c>
    </row>
    <row r="836" spans="1:29" x14ac:dyDescent="0.3">
      <c r="A836" s="4" t="s">
        <v>1042</v>
      </c>
      <c r="B836" s="3" t="s">
        <v>294</v>
      </c>
      <c r="C836" s="2">
        <v>13561</v>
      </c>
      <c r="D836" s="2">
        <v>76</v>
      </c>
      <c r="E836" s="2">
        <v>4</v>
      </c>
      <c r="F836" s="2">
        <v>35</v>
      </c>
      <c r="G836" s="2">
        <v>35</v>
      </c>
      <c r="H836" s="2">
        <v>12</v>
      </c>
      <c r="I836" s="2">
        <v>17</v>
      </c>
      <c r="J836" s="2">
        <v>14</v>
      </c>
      <c r="K836" s="2">
        <v>2</v>
      </c>
      <c r="L836" s="2">
        <v>3</v>
      </c>
      <c r="M836" s="2">
        <v>16</v>
      </c>
      <c r="N836" s="2">
        <v>9</v>
      </c>
      <c r="O836" s="2">
        <v>10</v>
      </c>
      <c r="P836" s="2">
        <v>0</v>
      </c>
      <c r="Q836" s="2">
        <v>0</v>
      </c>
      <c r="R836" s="274">
        <v>367</v>
      </c>
      <c r="S836" s="253">
        <f t="shared" si="30"/>
        <v>12</v>
      </c>
      <c r="T836" s="254">
        <f>SUM( tabConsumo[[#This Row],[QTD.PENDENTE]]:tabConsumo[[#This Row],[07_23]] ) / tabConsumo[[#This Row],[Div]]</f>
        <v>13.083333333333334</v>
      </c>
      <c r="U836" s="255">
        <f xml:space="preserve"> tabConsumo[[#This Row],[Média.A]] + (_xlfn.STDEV.S( tabConsumo[[#This Row],[QTD.PENDENTE]]:tabConsumo[[#This Row],[07_23]] ) * 1)</f>
        <v>24.805545428763804</v>
      </c>
      <c r="V836" s="255">
        <f xml:space="preserve"> tabConsumo[[#This Row],[Média.A]] + (_xlfn.STDEV.S( tabConsumo[[#This Row],[QTD.PENDENTE]]:tabConsumo[[#This Row],[07_23]] ) * 2)</f>
        <v>36.527757524194271</v>
      </c>
      <c r="W836" s="255">
        <f xml:space="preserve"> tabConsumo[[#This Row],[Média.A]] + (_xlfn.STDEV.S( tabConsumo[[#This Row],[QTD.PENDENTE]]:tabConsumo[[#This Row],[07_23]] ) * 3)</f>
        <v>48.249969619624743</v>
      </c>
      <c r="X836" s="5">
        <f t="shared" si="31"/>
        <v>2</v>
      </c>
      <c r="Y836">
        <v>13.083333333333334</v>
      </c>
      <c r="Z836" s="257">
        <f>SUM( tabConsumo[[#This Row],[QTD.PENDENTE]]:tabConsumo[[#This Row],[07_23]] )</f>
        <v>157</v>
      </c>
      <c r="AA836" s="257">
        <f>LARGE(tabConsumo[[#This Row],[08_22]:[07_23]],1)</f>
        <v>35</v>
      </c>
      <c r="AB836" s="175" t="s">
        <v>2214</v>
      </c>
      <c r="AC836" s="3" t="s">
        <v>2064</v>
      </c>
    </row>
    <row r="837" spans="1:29" x14ac:dyDescent="0.3">
      <c r="A837" s="4" t="s">
        <v>1038</v>
      </c>
      <c r="B837" s="3" t="s">
        <v>294</v>
      </c>
      <c r="C837" s="2">
        <v>13558</v>
      </c>
      <c r="D837" s="2">
        <v>112</v>
      </c>
      <c r="F837" s="2">
        <v>12</v>
      </c>
      <c r="G837" s="2">
        <v>7</v>
      </c>
      <c r="H837" s="2">
        <v>2</v>
      </c>
      <c r="I837" s="2">
        <v>2</v>
      </c>
      <c r="J837" s="2">
        <v>6</v>
      </c>
      <c r="K837" s="2">
        <v>3</v>
      </c>
      <c r="L837" s="2">
        <v>0</v>
      </c>
      <c r="M837" s="2">
        <v>15</v>
      </c>
      <c r="N837" s="2">
        <v>6</v>
      </c>
      <c r="O837" s="2">
        <v>12</v>
      </c>
      <c r="P837" s="2">
        <v>0</v>
      </c>
      <c r="Q837" s="2">
        <v>3</v>
      </c>
      <c r="R837" s="274">
        <v>367</v>
      </c>
      <c r="S837" s="253">
        <f t="shared" si="30"/>
        <v>12</v>
      </c>
      <c r="T837" s="254">
        <f>SUM( tabConsumo[[#This Row],[QTD.PENDENTE]]:tabConsumo[[#This Row],[07_23]] ) / tabConsumo[[#This Row],[Div]]</f>
        <v>5.666666666666667</v>
      </c>
      <c r="U837" s="255">
        <f xml:space="preserve"> tabConsumo[[#This Row],[Média.A]] + (_xlfn.STDEV.S( tabConsumo[[#This Row],[QTD.PENDENTE]]:tabConsumo[[#This Row],[07_23]] ) * 1)</f>
        <v>10.663635444805767</v>
      </c>
      <c r="V837" s="255">
        <f xml:space="preserve"> tabConsumo[[#This Row],[Média.A]] + (_xlfn.STDEV.S( tabConsumo[[#This Row],[QTD.PENDENTE]]:tabConsumo[[#This Row],[07_23]] ) * 2)</f>
        <v>15.660604222944869</v>
      </c>
      <c r="W837" s="255">
        <f xml:space="preserve"> tabConsumo[[#This Row],[Média.A]] + (_xlfn.STDEV.S( tabConsumo[[#This Row],[QTD.PENDENTE]]:tabConsumo[[#This Row],[07_23]] ) * 3)</f>
        <v>20.657573001083968</v>
      </c>
      <c r="X837" s="5">
        <f t="shared" si="31"/>
        <v>2</v>
      </c>
      <c r="Y837">
        <v>5.666666666666667</v>
      </c>
      <c r="Z837" s="257">
        <f>SUM( tabConsumo[[#This Row],[QTD.PENDENTE]]:tabConsumo[[#This Row],[07_23]] )</f>
        <v>68</v>
      </c>
      <c r="AA837" s="257">
        <f>LARGE(tabConsumo[[#This Row],[08_22]:[07_23]],1)</f>
        <v>15</v>
      </c>
      <c r="AB837" s="175" t="s">
        <v>2211</v>
      </c>
      <c r="AC837" s="3" t="s">
        <v>2064</v>
      </c>
    </row>
    <row r="838" spans="1:29" x14ac:dyDescent="0.3">
      <c r="A838" s="4" t="s">
        <v>1698</v>
      </c>
      <c r="B838" s="3" t="s">
        <v>31</v>
      </c>
      <c r="C838" s="2">
        <v>114822</v>
      </c>
      <c r="D838" s="2">
        <v>42</v>
      </c>
      <c r="F838" s="2">
        <v>0</v>
      </c>
      <c r="G838" s="2">
        <v>0</v>
      </c>
      <c r="H838" s="2">
        <v>3</v>
      </c>
      <c r="I838" s="2">
        <v>0</v>
      </c>
      <c r="J838" s="2">
        <v>0</v>
      </c>
      <c r="K838" s="2">
        <v>0</v>
      </c>
      <c r="L838" s="2">
        <v>0</v>
      </c>
      <c r="M838" s="2">
        <v>10</v>
      </c>
      <c r="N838" s="2">
        <v>8</v>
      </c>
      <c r="O838" s="2">
        <v>0</v>
      </c>
      <c r="P838" s="2">
        <v>0</v>
      </c>
      <c r="Q838" s="2">
        <v>0</v>
      </c>
      <c r="R838" s="274">
        <v>40277</v>
      </c>
      <c r="S838" s="253">
        <v>12</v>
      </c>
      <c r="T838" s="254">
        <f>SUM( tabConsumo[[#This Row],[QTD.PENDENTE]]:tabConsumo[[#This Row],[07_23]] ) / tabConsumo[[#This Row],[Div]]</f>
        <v>1.75</v>
      </c>
      <c r="U838" s="255">
        <f xml:space="preserve"> tabConsumo[[#This Row],[Média.A]] + (_xlfn.STDEV.S( tabConsumo[[#This Row],[QTD.PENDENTE]]:tabConsumo[[#This Row],[07_23]] ) * 1)</f>
        <v>5.269426606190792</v>
      </c>
      <c r="V838" s="255">
        <f xml:space="preserve"> tabConsumo[[#This Row],[Média.A]] + (_xlfn.STDEV.S( tabConsumo[[#This Row],[QTD.PENDENTE]]:tabConsumo[[#This Row],[07_23]] ) * 2)</f>
        <v>8.7888532123815839</v>
      </c>
      <c r="W838" s="255">
        <f xml:space="preserve"> tabConsumo[[#This Row],[Média.A]] + (_xlfn.STDEV.S( tabConsumo[[#This Row],[QTD.PENDENTE]]:tabConsumo[[#This Row],[07_23]] ) * 3)</f>
        <v>12.308279818572377</v>
      </c>
      <c r="X838" s="5">
        <f t="shared" si="31"/>
        <v>2</v>
      </c>
      <c r="Y838">
        <v>1.5833333333333333</v>
      </c>
      <c r="Z838" s="257">
        <f>SUM( tabConsumo[[#This Row],[QTD.PENDENTE]]:tabConsumo[[#This Row],[07_23]] )</f>
        <v>21</v>
      </c>
      <c r="AA838" s="257">
        <f>LARGE(tabConsumo[[#This Row],[08_22]:[07_23]],1)</f>
        <v>10</v>
      </c>
      <c r="AB838" s="175" t="s">
        <v>2213</v>
      </c>
      <c r="AC838" s="3" t="s">
        <v>2064</v>
      </c>
    </row>
    <row r="839" spans="1:29" x14ac:dyDescent="0.3">
      <c r="A839" s="4" t="s">
        <v>1344</v>
      </c>
      <c r="B839" s="3" t="s">
        <v>256</v>
      </c>
      <c r="C839" s="2">
        <v>60116</v>
      </c>
      <c r="D839" s="2">
        <v>121</v>
      </c>
      <c r="F839" s="2">
        <v>2</v>
      </c>
      <c r="G839" s="2">
        <v>2</v>
      </c>
      <c r="H839" s="2">
        <v>7</v>
      </c>
      <c r="I839" s="2">
        <v>2</v>
      </c>
      <c r="J839" s="2">
        <v>12</v>
      </c>
      <c r="K839" s="2">
        <v>9</v>
      </c>
      <c r="L839" s="2">
        <v>4</v>
      </c>
      <c r="M839" s="2">
        <v>14</v>
      </c>
      <c r="N839" s="2">
        <v>12</v>
      </c>
      <c r="O839" s="2">
        <v>0</v>
      </c>
      <c r="P839" s="2">
        <v>10</v>
      </c>
      <c r="Q839" s="2">
        <v>10</v>
      </c>
      <c r="R839" s="274">
        <v>367</v>
      </c>
      <c r="S839" s="253">
        <f xml:space="preserve"> 12</f>
        <v>12</v>
      </c>
      <c r="T839" s="254">
        <f>SUM( tabConsumo[[#This Row],[QTD.PENDENTE]]:tabConsumo[[#This Row],[07_23]] ) / tabConsumo[[#This Row],[Div]]</f>
        <v>7</v>
      </c>
      <c r="U839" s="255">
        <f xml:space="preserve"> tabConsumo[[#This Row],[Média.A]] + (_xlfn.STDEV.S( tabConsumo[[#This Row],[QTD.PENDENTE]]:tabConsumo[[#This Row],[07_23]] ) * 1)</f>
        <v>11.805300104146369</v>
      </c>
      <c r="V839" s="255">
        <f xml:space="preserve"> tabConsumo[[#This Row],[Média.A]] + (_xlfn.STDEV.S( tabConsumo[[#This Row],[QTD.PENDENTE]]:tabConsumo[[#This Row],[07_23]] ) * 2)</f>
        <v>16.610600208292738</v>
      </c>
      <c r="W839" s="255">
        <f xml:space="preserve"> tabConsumo[[#This Row],[Média.A]] + (_xlfn.STDEV.S( tabConsumo[[#This Row],[QTD.PENDENTE]]:tabConsumo[[#This Row],[07_23]] ) * 3)</f>
        <v>21.415900312439103</v>
      </c>
      <c r="X839" s="5">
        <f t="shared" si="31"/>
        <v>2</v>
      </c>
      <c r="Y839">
        <v>7</v>
      </c>
      <c r="Z839" s="257">
        <f>SUM( tabConsumo[[#This Row],[QTD.PENDENTE]]:tabConsumo[[#This Row],[07_23]] )</f>
        <v>84</v>
      </c>
      <c r="AA839" s="257">
        <f>LARGE(tabConsumo[[#This Row],[08_22]:[07_23]],1)</f>
        <v>14</v>
      </c>
      <c r="AB839" s="175" t="s">
        <v>2211</v>
      </c>
      <c r="AC839" s="3" t="s">
        <v>2064</v>
      </c>
    </row>
    <row r="840" spans="1:29" x14ac:dyDescent="0.3">
      <c r="A840" s="4" t="s">
        <v>1365</v>
      </c>
      <c r="B840" s="3" t="s">
        <v>294</v>
      </c>
      <c r="C840" s="2">
        <v>64253</v>
      </c>
      <c r="D840" s="2">
        <v>2118</v>
      </c>
      <c r="F840" s="2">
        <v>0</v>
      </c>
      <c r="G840" s="2">
        <v>180</v>
      </c>
      <c r="H840" s="2">
        <v>94</v>
      </c>
      <c r="I840" s="2">
        <v>0</v>
      </c>
      <c r="J840" s="2">
        <v>0</v>
      </c>
      <c r="K840" s="2">
        <v>0</v>
      </c>
      <c r="L840" s="2">
        <v>0</v>
      </c>
      <c r="M840" s="2">
        <v>352</v>
      </c>
      <c r="N840" s="2">
        <v>176</v>
      </c>
      <c r="O840" s="2">
        <v>176</v>
      </c>
      <c r="P840" s="2">
        <v>170</v>
      </c>
      <c r="Q840" s="2">
        <v>0</v>
      </c>
      <c r="R840" s="274">
        <v>367</v>
      </c>
      <c r="S840" s="253">
        <f xml:space="preserve"> 12</f>
        <v>12</v>
      </c>
      <c r="T840" s="254">
        <f>SUM( tabConsumo[[#This Row],[QTD.PENDENTE]]:tabConsumo[[#This Row],[07_23]] ) / tabConsumo[[#This Row],[Div]]</f>
        <v>95.666666666666671</v>
      </c>
      <c r="U840" s="255">
        <f xml:space="preserve"> tabConsumo[[#This Row],[Média.A]] + (_xlfn.STDEV.S( tabConsumo[[#This Row],[QTD.PENDENTE]]:tabConsumo[[#This Row],[07_23]] ) * 1)</f>
        <v>210.93972851495278</v>
      </c>
      <c r="V840" s="255">
        <f xml:space="preserve"> tabConsumo[[#This Row],[Média.A]] + (_xlfn.STDEV.S( tabConsumo[[#This Row],[QTD.PENDENTE]]:tabConsumo[[#This Row],[07_23]] ) * 2)</f>
        <v>326.21279036323887</v>
      </c>
      <c r="W840" s="255">
        <f xml:space="preserve"> tabConsumo[[#This Row],[Média.A]] + (_xlfn.STDEV.S( tabConsumo[[#This Row],[QTD.PENDENTE]]:tabConsumo[[#This Row],[07_23]] ) * 3)</f>
        <v>441.48585221152496</v>
      </c>
      <c r="X840" s="5">
        <f t="shared" si="31"/>
        <v>2</v>
      </c>
      <c r="Y840">
        <v>93.5</v>
      </c>
      <c r="Z840" s="257">
        <f>SUM( tabConsumo[[#This Row],[QTD.PENDENTE]]:tabConsumo[[#This Row],[07_23]] )</f>
        <v>1148</v>
      </c>
      <c r="AA840" s="257">
        <f>LARGE(tabConsumo[[#This Row],[08_22]:[07_23]],1)</f>
        <v>352</v>
      </c>
      <c r="AB840" s="175" t="s">
        <v>2212</v>
      </c>
      <c r="AC840" s="3" t="s">
        <v>2064</v>
      </c>
    </row>
    <row r="841" spans="1:29" x14ac:dyDescent="0.3">
      <c r="A841" s="4" t="s">
        <v>1671</v>
      </c>
      <c r="B841" s="3" t="s">
        <v>294</v>
      </c>
      <c r="C841" s="2">
        <v>111336</v>
      </c>
      <c r="D841" s="2">
        <v>362</v>
      </c>
      <c r="F841" s="2">
        <v>100</v>
      </c>
      <c r="G841" s="2">
        <v>0</v>
      </c>
      <c r="H841" s="2">
        <v>6</v>
      </c>
      <c r="I841" s="2">
        <v>80</v>
      </c>
      <c r="J841" s="2">
        <v>15</v>
      </c>
      <c r="K841" s="2">
        <v>0</v>
      </c>
      <c r="L841" s="2">
        <v>35</v>
      </c>
      <c r="M841" s="2">
        <v>30</v>
      </c>
      <c r="N841" s="2">
        <v>120</v>
      </c>
      <c r="O841" s="2">
        <v>90</v>
      </c>
      <c r="P841" s="2">
        <v>91</v>
      </c>
      <c r="Q841" s="2">
        <v>0</v>
      </c>
      <c r="R841" s="274">
        <v>39981</v>
      </c>
      <c r="S841" s="253">
        <v>12</v>
      </c>
      <c r="T841" s="254">
        <f>SUM( tabConsumo[[#This Row],[QTD.PENDENTE]]:tabConsumo[[#This Row],[07_23]] ) / tabConsumo[[#This Row],[Div]]</f>
        <v>47.25</v>
      </c>
      <c r="U841" s="255">
        <f xml:space="preserve"> tabConsumo[[#This Row],[Média.A]] + (_xlfn.STDEV.S( tabConsumo[[#This Row],[QTD.PENDENTE]]:tabConsumo[[#This Row],[07_23]] ) * 1)</f>
        <v>92.753496369160274</v>
      </c>
      <c r="V841" s="255">
        <f xml:space="preserve"> tabConsumo[[#This Row],[Média.A]] + (_xlfn.STDEV.S( tabConsumo[[#This Row],[QTD.PENDENTE]]:tabConsumo[[#This Row],[07_23]] ) * 2)</f>
        <v>138.25699273832055</v>
      </c>
      <c r="W841" s="255">
        <f xml:space="preserve"> tabConsumo[[#This Row],[Média.A]] + (_xlfn.STDEV.S( tabConsumo[[#This Row],[QTD.PENDENTE]]:tabConsumo[[#This Row],[07_23]] ) * 3)</f>
        <v>183.76048910748082</v>
      </c>
      <c r="X841" s="5">
        <f t="shared" si="31"/>
        <v>2</v>
      </c>
      <c r="Y841">
        <v>47.25</v>
      </c>
      <c r="Z841" s="257">
        <f>SUM( tabConsumo[[#This Row],[QTD.PENDENTE]]:tabConsumo[[#This Row],[07_23]] )</f>
        <v>567</v>
      </c>
      <c r="AA841" s="257">
        <f>LARGE(tabConsumo[[#This Row],[08_22]:[07_23]],1)</f>
        <v>120</v>
      </c>
      <c r="AB841" s="175" t="s">
        <v>2212</v>
      </c>
      <c r="AC841" s="3" t="s">
        <v>2064</v>
      </c>
    </row>
    <row r="842" spans="1:29" x14ac:dyDescent="0.3">
      <c r="A842" s="4" t="s">
        <v>1390</v>
      </c>
      <c r="B842" s="3" t="s">
        <v>294</v>
      </c>
      <c r="C842" s="2">
        <v>66168</v>
      </c>
      <c r="D842" s="2">
        <v>392</v>
      </c>
      <c r="F842" s="2">
        <v>0</v>
      </c>
      <c r="G842" s="2">
        <v>207</v>
      </c>
      <c r="H842" s="2">
        <v>20</v>
      </c>
      <c r="I842" s="2">
        <v>189</v>
      </c>
      <c r="J842" s="2">
        <v>0</v>
      </c>
      <c r="K842" s="2">
        <v>15</v>
      </c>
      <c r="L842" s="2">
        <v>10</v>
      </c>
      <c r="M842" s="2">
        <v>0</v>
      </c>
      <c r="N842" s="2">
        <v>0</v>
      </c>
      <c r="O842" s="2">
        <v>200</v>
      </c>
      <c r="P842" s="2">
        <v>0</v>
      </c>
      <c r="Q842" s="2">
        <v>0</v>
      </c>
      <c r="R842" s="274">
        <v>367</v>
      </c>
      <c r="S842" s="253">
        <f t="shared" ref="S842:S847" si="32" xml:space="preserve"> 12</f>
        <v>12</v>
      </c>
      <c r="T842" s="254">
        <f>SUM( tabConsumo[[#This Row],[QTD.PENDENTE]]:tabConsumo[[#This Row],[07_23]] ) / tabConsumo[[#This Row],[Div]]</f>
        <v>53.416666666666664</v>
      </c>
      <c r="U842" s="255">
        <f xml:space="preserve"> tabConsumo[[#This Row],[Média.A]] + (_xlfn.STDEV.S( tabConsumo[[#This Row],[QTD.PENDENTE]]:tabConsumo[[#This Row],[07_23]] ) * 1)</f>
        <v>141.34996611298081</v>
      </c>
      <c r="V842" s="255">
        <f xml:space="preserve"> tabConsumo[[#This Row],[Média.A]] + (_xlfn.STDEV.S( tabConsumo[[#This Row],[QTD.PENDENTE]]:tabConsumo[[#This Row],[07_23]] ) * 2)</f>
        <v>229.28326555929493</v>
      </c>
      <c r="W842" s="255">
        <f xml:space="preserve"> tabConsumo[[#This Row],[Média.A]] + (_xlfn.STDEV.S( tabConsumo[[#This Row],[QTD.PENDENTE]]:tabConsumo[[#This Row],[07_23]] ) * 3)</f>
        <v>317.21656500560908</v>
      </c>
      <c r="X842" s="5">
        <f t="shared" si="31"/>
        <v>2</v>
      </c>
      <c r="Y842">
        <v>53.416666666666664</v>
      </c>
      <c r="Z842" s="257">
        <f>SUM( tabConsumo[[#This Row],[QTD.PENDENTE]]:tabConsumo[[#This Row],[07_23]] )</f>
        <v>641</v>
      </c>
      <c r="AA842" s="257">
        <f>LARGE(tabConsumo[[#This Row],[08_22]:[07_23]],1)</f>
        <v>207</v>
      </c>
      <c r="AB842" s="175" t="s">
        <v>2214</v>
      </c>
      <c r="AC842" s="3" t="s">
        <v>2064</v>
      </c>
    </row>
    <row r="843" spans="1:29" x14ac:dyDescent="0.3">
      <c r="A843" s="4" t="s">
        <v>1283</v>
      </c>
      <c r="B843" s="3" t="s">
        <v>256</v>
      </c>
      <c r="C843" s="2">
        <v>45607</v>
      </c>
      <c r="D843" s="2">
        <v>662</v>
      </c>
      <c r="F843" s="2">
        <v>85</v>
      </c>
      <c r="G843" s="2">
        <v>18</v>
      </c>
      <c r="H843" s="2">
        <v>56</v>
      </c>
      <c r="I843" s="2">
        <v>30</v>
      </c>
      <c r="J843" s="2">
        <v>44</v>
      </c>
      <c r="K843" s="2">
        <v>33</v>
      </c>
      <c r="L843" s="2">
        <v>43</v>
      </c>
      <c r="M843" s="2">
        <v>89</v>
      </c>
      <c r="N843" s="2">
        <v>30</v>
      </c>
      <c r="O843" s="2">
        <v>0</v>
      </c>
      <c r="P843" s="2">
        <v>0</v>
      </c>
      <c r="Q843" s="2">
        <v>20</v>
      </c>
      <c r="R843" s="274">
        <v>367</v>
      </c>
      <c r="S843" s="253">
        <f t="shared" si="32"/>
        <v>12</v>
      </c>
      <c r="T843" s="254">
        <f>SUM( tabConsumo[[#This Row],[QTD.PENDENTE]]:tabConsumo[[#This Row],[07_23]] ) / tabConsumo[[#This Row],[Div]]</f>
        <v>37.333333333333336</v>
      </c>
      <c r="U843" s="255">
        <f xml:space="preserve"> tabConsumo[[#This Row],[Média.A]] + (_xlfn.STDEV.S( tabConsumo[[#This Row],[QTD.PENDENTE]]:tabConsumo[[#This Row],[07_23]] ) * 1)</f>
        <v>65.865080669600815</v>
      </c>
      <c r="V843" s="255">
        <f xml:space="preserve"> tabConsumo[[#This Row],[Média.A]] + (_xlfn.STDEV.S( tabConsumo[[#This Row],[QTD.PENDENTE]]:tabConsumo[[#This Row],[07_23]] ) * 2)</f>
        <v>94.396828005868286</v>
      </c>
      <c r="W843" s="255">
        <f xml:space="preserve"> tabConsumo[[#This Row],[Média.A]] + (_xlfn.STDEV.S( tabConsumo[[#This Row],[QTD.PENDENTE]]:tabConsumo[[#This Row],[07_23]] ) * 3)</f>
        <v>122.92857534213576</v>
      </c>
      <c r="X843" s="5">
        <f t="shared" si="31"/>
        <v>2</v>
      </c>
      <c r="Y843">
        <v>37.333333333333336</v>
      </c>
      <c r="Z843" s="257">
        <f>SUM( tabConsumo[[#This Row],[QTD.PENDENTE]]:tabConsumo[[#This Row],[07_23]] )</f>
        <v>448</v>
      </c>
      <c r="AA843" s="257">
        <f>LARGE(tabConsumo[[#This Row],[08_22]:[07_23]],1)</f>
        <v>89</v>
      </c>
      <c r="AB843" s="175" t="s">
        <v>2211</v>
      </c>
      <c r="AC843" s="3" t="s">
        <v>2064</v>
      </c>
    </row>
    <row r="844" spans="1:29" x14ac:dyDescent="0.3">
      <c r="A844" s="4" t="s">
        <v>1347</v>
      </c>
      <c r="B844" s="3" t="s">
        <v>256</v>
      </c>
      <c r="C844" s="2">
        <v>60830</v>
      </c>
      <c r="D844" s="2">
        <v>78</v>
      </c>
      <c r="F844" s="2">
        <v>10</v>
      </c>
      <c r="G844" s="2">
        <v>0</v>
      </c>
      <c r="H844" s="2">
        <v>0</v>
      </c>
      <c r="I844" s="2">
        <v>0</v>
      </c>
      <c r="J844" s="2">
        <v>0</v>
      </c>
      <c r="K844" s="2">
        <v>0</v>
      </c>
      <c r="L844" s="2">
        <v>0</v>
      </c>
      <c r="M844" s="2">
        <v>0</v>
      </c>
      <c r="N844" s="2">
        <v>0</v>
      </c>
      <c r="O844" s="2">
        <v>0</v>
      </c>
      <c r="P844" s="2">
        <v>0</v>
      </c>
      <c r="Q844" s="2">
        <v>0</v>
      </c>
      <c r="R844" s="274">
        <v>367</v>
      </c>
      <c r="S844" s="253">
        <f t="shared" si="32"/>
        <v>12</v>
      </c>
      <c r="T844" s="254">
        <f>SUM( tabConsumo[[#This Row],[QTD.PENDENTE]]:tabConsumo[[#This Row],[07_23]] ) / tabConsumo[[#This Row],[Div]]</f>
        <v>0.83333333333333337</v>
      </c>
      <c r="U844" s="255">
        <f xml:space="preserve"> tabConsumo[[#This Row],[Média.A]] + (_xlfn.STDEV.S( tabConsumo[[#This Row],[QTD.PENDENTE]]:tabConsumo[[#This Row],[07_23]] ) * 1)</f>
        <v>3.7200846792814626</v>
      </c>
      <c r="V844" s="255">
        <f xml:space="preserve"> tabConsumo[[#This Row],[Média.A]] + (_xlfn.STDEV.S( tabConsumo[[#This Row],[QTD.PENDENTE]]:tabConsumo[[#This Row],[07_23]] ) * 2)</f>
        <v>6.6068360252295912</v>
      </c>
      <c r="W844" s="255">
        <f xml:space="preserve"> tabConsumo[[#This Row],[Média.A]] + (_xlfn.STDEV.S( tabConsumo[[#This Row],[QTD.PENDENTE]]:tabConsumo[[#This Row],[07_23]] ) * 3)</f>
        <v>9.4935873711777212</v>
      </c>
      <c r="X844" s="5">
        <f t="shared" si="31"/>
        <v>2</v>
      </c>
      <c r="Y844">
        <v>0.5</v>
      </c>
      <c r="Z844" s="257">
        <f>SUM( tabConsumo[[#This Row],[QTD.PENDENTE]]:tabConsumo[[#This Row],[07_23]] )</f>
        <v>10</v>
      </c>
      <c r="AA844" s="257">
        <f>LARGE(tabConsumo[[#This Row],[08_22]:[07_23]],1)</f>
        <v>10</v>
      </c>
      <c r="AB844" s="175" t="s">
        <v>2218</v>
      </c>
      <c r="AC844" s="3" t="s">
        <v>2064</v>
      </c>
    </row>
    <row r="845" spans="1:29" x14ac:dyDescent="0.3">
      <c r="A845" s="4" t="s">
        <v>1234</v>
      </c>
      <c r="B845" s="3" t="s">
        <v>256</v>
      </c>
      <c r="C845" s="2">
        <v>28308</v>
      </c>
      <c r="D845" s="2">
        <v>94</v>
      </c>
      <c r="F845" s="2">
        <v>0</v>
      </c>
      <c r="G845" s="2">
        <v>2</v>
      </c>
      <c r="H845" s="2">
        <v>2</v>
      </c>
      <c r="I845" s="2">
        <v>0</v>
      </c>
      <c r="J845" s="2">
        <v>9</v>
      </c>
      <c r="K845" s="2">
        <v>0</v>
      </c>
      <c r="L845" s="2">
        <v>4</v>
      </c>
      <c r="M845" s="2">
        <v>10</v>
      </c>
      <c r="N845" s="2">
        <v>34</v>
      </c>
      <c r="O845" s="2">
        <v>0</v>
      </c>
      <c r="P845" s="2">
        <v>0</v>
      </c>
      <c r="Q845" s="2">
        <v>0</v>
      </c>
      <c r="R845" s="274">
        <v>367</v>
      </c>
      <c r="S845" s="253">
        <f t="shared" si="32"/>
        <v>12</v>
      </c>
      <c r="T845" s="254">
        <f>SUM( tabConsumo[[#This Row],[QTD.PENDENTE]]:tabConsumo[[#This Row],[07_23]] ) / tabConsumo[[#This Row],[Div]]</f>
        <v>5.083333333333333</v>
      </c>
      <c r="U845" s="255">
        <f xml:space="preserve"> tabConsumo[[#This Row],[Média.A]] + (_xlfn.STDEV.S( tabConsumo[[#This Row],[QTD.PENDENTE]]:tabConsumo[[#This Row],[07_23]] ) * 1)</f>
        <v>14.857681331429102</v>
      </c>
      <c r="V845" s="255">
        <f xml:space="preserve"> tabConsumo[[#This Row],[Média.A]] + (_xlfn.STDEV.S( tabConsumo[[#This Row],[QTD.PENDENTE]]:tabConsumo[[#This Row],[07_23]] ) * 2)</f>
        <v>24.632029329524872</v>
      </c>
      <c r="W845" s="255">
        <f xml:space="preserve"> tabConsumo[[#This Row],[Média.A]] + (_xlfn.STDEV.S( tabConsumo[[#This Row],[QTD.PENDENTE]]:tabConsumo[[#This Row],[07_23]] ) * 3)</f>
        <v>34.406377327620646</v>
      </c>
      <c r="X845" s="5">
        <f t="shared" si="31"/>
        <v>2</v>
      </c>
      <c r="Y845">
        <v>4.25</v>
      </c>
      <c r="Z845" s="257">
        <f>SUM( tabConsumo[[#This Row],[QTD.PENDENTE]]:tabConsumo[[#This Row],[07_23]] )</f>
        <v>61</v>
      </c>
      <c r="AA845" s="257">
        <f>LARGE(tabConsumo[[#This Row],[08_22]:[07_23]],1)</f>
        <v>34</v>
      </c>
      <c r="AB845" s="175" t="s">
        <v>2213</v>
      </c>
      <c r="AC845" s="3" t="s">
        <v>2064</v>
      </c>
    </row>
    <row r="846" spans="1:29" x14ac:dyDescent="0.3">
      <c r="A846" s="4" t="s">
        <v>1232</v>
      </c>
      <c r="B846" s="3" t="s">
        <v>256</v>
      </c>
      <c r="C846" s="2">
        <v>28306</v>
      </c>
      <c r="D846" s="2">
        <v>153</v>
      </c>
      <c r="F846" s="2">
        <v>0</v>
      </c>
      <c r="G846" s="2">
        <v>3</v>
      </c>
      <c r="H846" s="2">
        <v>4</v>
      </c>
      <c r="I846" s="2">
        <v>0</v>
      </c>
      <c r="J846" s="2">
        <v>5</v>
      </c>
      <c r="K846" s="2">
        <v>4</v>
      </c>
      <c r="L846" s="2">
        <v>0</v>
      </c>
      <c r="M846" s="2">
        <v>2</v>
      </c>
      <c r="N846" s="2">
        <v>5</v>
      </c>
      <c r="O846" s="2">
        <v>0</v>
      </c>
      <c r="P846" s="2">
        <v>0</v>
      </c>
      <c r="Q846" s="2">
        <v>0</v>
      </c>
      <c r="R846" s="274">
        <v>367</v>
      </c>
      <c r="S846" s="253">
        <f t="shared" si="32"/>
        <v>12</v>
      </c>
      <c r="T846" s="254">
        <f>SUM( tabConsumo[[#This Row],[QTD.PENDENTE]]:tabConsumo[[#This Row],[07_23]] ) / tabConsumo[[#This Row],[Div]]</f>
        <v>1.9166666666666667</v>
      </c>
      <c r="U846" s="255">
        <f xml:space="preserve"> tabConsumo[[#This Row],[Média.A]] + (_xlfn.STDEV.S( tabConsumo[[#This Row],[QTD.PENDENTE]]:tabConsumo[[#This Row],[07_23]] ) * 1)</f>
        <v>4.0681284671148825</v>
      </c>
      <c r="V846" s="255">
        <f xml:space="preserve"> tabConsumo[[#This Row],[Média.A]] + (_xlfn.STDEV.S( tabConsumo[[#This Row],[QTD.PENDENTE]]:tabConsumo[[#This Row],[07_23]] ) * 2)</f>
        <v>6.219590267563099</v>
      </c>
      <c r="W846" s="255">
        <f xml:space="preserve"> tabConsumo[[#This Row],[Média.A]] + (_xlfn.STDEV.S( tabConsumo[[#This Row],[QTD.PENDENTE]]:tabConsumo[[#This Row],[07_23]] ) * 3)</f>
        <v>8.3710520680113145</v>
      </c>
      <c r="X846" s="5">
        <f t="shared" si="31"/>
        <v>2</v>
      </c>
      <c r="Y846">
        <v>1.9166666666666667</v>
      </c>
      <c r="Z846" s="257">
        <f>SUM( tabConsumo[[#This Row],[QTD.PENDENTE]]:tabConsumo[[#This Row],[07_23]] )</f>
        <v>23</v>
      </c>
      <c r="AA846" s="257">
        <f>LARGE(tabConsumo[[#This Row],[08_22]:[07_23]],1)</f>
        <v>5</v>
      </c>
      <c r="AB846" s="175" t="s">
        <v>2213</v>
      </c>
      <c r="AC846" s="3" t="s">
        <v>2064</v>
      </c>
    </row>
    <row r="847" spans="1:29" x14ac:dyDescent="0.3">
      <c r="A847" s="4" t="s">
        <v>1233</v>
      </c>
      <c r="B847" s="3" t="s">
        <v>256</v>
      </c>
      <c r="C847" s="2">
        <v>28307</v>
      </c>
      <c r="D847" s="2">
        <v>22</v>
      </c>
      <c r="F847" s="2">
        <v>0</v>
      </c>
      <c r="G847" s="2">
        <v>0</v>
      </c>
      <c r="H847" s="2">
        <v>0</v>
      </c>
      <c r="I847" s="2">
        <v>0</v>
      </c>
      <c r="J847" s="2">
        <v>0</v>
      </c>
      <c r="K847" s="2">
        <v>0</v>
      </c>
      <c r="L847" s="2">
        <v>0</v>
      </c>
      <c r="M847" s="2">
        <v>0</v>
      </c>
      <c r="N847" s="2">
        <v>8</v>
      </c>
      <c r="O847" s="2">
        <v>0</v>
      </c>
      <c r="P847" s="2">
        <v>0</v>
      </c>
      <c r="Q847" s="2">
        <v>0</v>
      </c>
      <c r="R847" s="274">
        <v>367</v>
      </c>
      <c r="S847" s="253">
        <f t="shared" si="32"/>
        <v>12</v>
      </c>
      <c r="T847" s="254">
        <f>SUM( tabConsumo[[#This Row],[QTD.PENDENTE]]:tabConsumo[[#This Row],[07_23]] ) / tabConsumo[[#This Row],[Div]]</f>
        <v>0.66666666666666663</v>
      </c>
      <c r="U847" s="255">
        <f xml:space="preserve"> tabConsumo[[#This Row],[Média.A]] + (_xlfn.STDEV.S( tabConsumo[[#This Row],[QTD.PENDENTE]]:tabConsumo[[#This Row],[07_23]] ) * 1)</f>
        <v>2.9760677434251694</v>
      </c>
      <c r="V847" s="255">
        <f xml:space="preserve"> tabConsumo[[#This Row],[Média.A]] + (_xlfn.STDEV.S( tabConsumo[[#This Row],[QTD.PENDENTE]]:tabConsumo[[#This Row],[07_23]] ) * 2)</f>
        <v>5.2854688201836728</v>
      </c>
      <c r="W847" s="255">
        <f xml:space="preserve"> tabConsumo[[#This Row],[Média.A]] + (_xlfn.STDEV.S( tabConsumo[[#This Row],[QTD.PENDENTE]]:tabConsumo[[#This Row],[07_23]] ) * 3)</f>
        <v>7.5948698969421757</v>
      </c>
      <c r="X847" s="5">
        <f t="shared" si="31"/>
        <v>2</v>
      </c>
      <c r="Y847">
        <v>0.41666666666666669</v>
      </c>
      <c r="Z847" s="257">
        <f>SUM( tabConsumo[[#This Row],[QTD.PENDENTE]]:tabConsumo[[#This Row],[07_23]] )</f>
        <v>8</v>
      </c>
      <c r="AA847" s="257">
        <f>LARGE(tabConsumo[[#This Row],[08_22]:[07_23]],1)</f>
        <v>8</v>
      </c>
      <c r="AB847" s="175" t="s">
        <v>2213</v>
      </c>
      <c r="AC847" s="3" t="s">
        <v>2064</v>
      </c>
    </row>
    <row r="848" spans="1:29" x14ac:dyDescent="0.3">
      <c r="A848" s="4" t="s">
        <v>1456</v>
      </c>
      <c r="B848" s="3" t="s">
        <v>256</v>
      </c>
      <c r="C848" s="2">
        <v>80390</v>
      </c>
      <c r="D848" s="2">
        <v>75</v>
      </c>
      <c r="F848" s="2">
        <v>5</v>
      </c>
      <c r="G848" s="2">
        <v>22</v>
      </c>
      <c r="H848" s="2">
        <v>0</v>
      </c>
      <c r="I848" s="2">
        <v>3</v>
      </c>
      <c r="J848" s="2">
        <v>7</v>
      </c>
      <c r="K848" s="2">
        <v>0</v>
      </c>
      <c r="L848" s="2">
        <v>10</v>
      </c>
      <c r="M848" s="2">
        <v>9</v>
      </c>
      <c r="N848" s="2">
        <v>11</v>
      </c>
      <c r="O848" s="2">
        <v>50</v>
      </c>
      <c r="P848" s="2">
        <v>0</v>
      </c>
      <c r="Q848" s="2">
        <v>0</v>
      </c>
      <c r="R848" s="274">
        <v>38169</v>
      </c>
      <c r="S848" s="253">
        <v>12</v>
      </c>
      <c r="T848" s="254">
        <f>SUM( tabConsumo[[#This Row],[QTD.PENDENTE]]:tabConsumo[[#This Row],[07_23]] ) / tabConsumo[[#This Row],[Div]]</f>
        <v>9.75</v>
      </c>
      <c r="U848" s="255">
        <f xml:space="preserve"> tabConsumo[[#This Row],[Média.A]] + (_xlfn.STDEV.S( tabConsumo[[#This Row],[QTD.PENDENTE]]:tabConsumo[[#This Row],[07_23]] ) * 1)</f>
        <v>23.982644934030422</v>
      </c>
      <c r="V848" s="255">
        <f xml:space="preserve"> tabConsumo[[#This Row],[Média.A]] + (_xlfn.STDEV.S( tabConsumo[[#This Row],[QTD.PENDENTE]]:tabConsumo[[#This Row],[07_23]] ) * 2)</f>
        <v>38.215289868060843</v>
      </c>
      <c r="W848" s="255">
        <f xml:space="preserve"> tabConsumo[[#This Row],[Média.A]] + (_xlfn.STDEV.S( tabConsumo[[#This Row],[QTD.PENDENTE]]:tabConsumo[[#This Row],[07_23]] ) * 3)</f>
        <v>52.447934802091268</v>
      </c>
      <c r="X848" s="5">
        <f t="shared" si="31"/>
        <v>2</v>
      </c>
      <c r="Y848">
        <v>8.75</v>
      </c>
      <c r="Z848" s="257">
        <f>SUM( tabConsumo[[#This Row],[QTD.PENDENTE]]:tabConsumo[[#This Row],[07_23]] )</f>
        <v>117</v>
      </c>
      <c r="AA848" s="257">
        <f>LARGE(tabConsumo[[#This Row],[08_22]:[07_23]],1)</f>
        <v>50</v>
      </c>
      <c r="AB848" s="175" t="s">
        <v>2214</v>
      </c>
      <c r="AC848" s="3" t="s">
        <v>2064</v>
      </c>
    </row>
    <row r="849" spans="1:29" x14ac:dyDescent="0.3">
      <c r="A849" s="4" t="s">
        <v>1596</v>
      </c>
      <c r="B849" s="3" t="s">
        <v>256</v>
      </c>
      <c r="C849" s="2">
        <v>104667</v>
      </c>
      <c r="D849" s="2">
        <v>110</v>
      </c>
      <c r="F849" s="2">
        <v>0</v>
      </c>
      <c r="G849" s="2">
        <v>0</v>
      </c>
      <c r="H849" s="2">
        <v>5</v>
      </c>
      <c r="I849" s="2">
        <v>11</v>
      </c>
      <c r="J849" s="2">
        <v>2</v>
      </c>
      <c r="K849" s="2">
        <v>3</v>
      </c>
      <c r="L849" s="2">
        <v>3</v>
      </c>
      <c r="M849" s="2">
        <v>8</v>
      </c>
      <c r="N849" s="2">
        <v>8</v>
      </c>
      <c r="O849" s="2">
        <v>9</v>
      </c>
      <c r="P849" s="2">
        <v>25</v>
      </c>
      <c r="Q849" s="2">
        <v>0</v>
      </c>
      <c r="R849" s="274">
        <v>39472</v>
      </c>
      <c r="S849" s="253">
        <v>12</v>
      </c>
      <c r="T849" s="254">
        <f>SUM( tabConsumo[[#This Row],[QTD.PENDENTE]]:tabConsumo[[#This Row],[07_23]] ) / tabConsumo[[#This Row],[Div]]</f>
        <v>6.166666666666667</v>
      </c>
      <c r="U849" s="255">
        <f xml:space="preserve"> tabConsumo[[#This Row],[Média.A]] + (_xlfn.STDEV.S( tabConsumo[[#This Row],[QTD.PENDENTE]]:tabConsumo[[#This Row],[07_23]] ) * 1)</f>
        <v>13.209823672304168</v>
      </c>
      <c r="V849" s="255">
        <f xml:space="preserve"> tabConsumo[[#This Row],[Média.A]] + (_xlfn.STDEV.S( tabConsumo[[#This Row],[QTD.PENDENTE]]:tabConsumo[[#This Row],[07_23]] ) * 2)</f>
        <v>20.252980677941672</v>
      </c>
      <c r="W849" s="255">
        <f xml:space="preserve"> tabConsumo[[#This Row],[Média.A]] + (_xlfn.STDEV.S( tabConsumo[[#This Row],[QTD.PENDENTE]]:tabConsumo[[#This Row],[07_23]] ) * 3)</f>
        <v>27.296137683579172</v>
      </c>
      <c r="X849" s="5">
        <f t="shared" si="31"/>
        <v>2</v>
      </c>
      <c r="Y849">
        <v>5.75</v>
      </c>
      <c r="Z849" s="257">
        <f>SUM( tabConsumo[[#This Row],[QTD.PENDENTE]]:tabConsumo[[#This Row],[07_23]] )</f>
        <v>74</v>
      </c>
      <c r="AA849" s="257">
        <f>LARGE(tabConsumo[[#This Row],[08_22]:[07_23]],1)</f>
        <v>25</v>
      </c>
      <c r="AB849" s="175" t="s">
        <v>2212</v>
      </c>
      <c r="AC849" s="3" t="s">
        <v>2064</v>
      </c>
    </row>
    <row r="850" spans="1:29" x14ac:dyDescent="0.3">
      <c r="A850" s="4" t="s">
        <v>1543</v>
      </c>
      <c r="B850" s="3" t="s">
        <v>256</v>
      </c>
      <c r="C850" s="2">
        <v>95209</v>
      </c>
      <c r="D850" s="2">
        <v>13</v>
      </c>
      <c r="E850" s="2">
        <v>41</v>
      </c>
      <c r="F850" s="2">
        <v>40</v>
      </c>
      <c r="G850" s="2">
        <v>28</v>
      </c>
      <c r="H850" s="2">
        <v>10</v>
      </c>
      <c r="I850" s="2">
        <v>37</v>
      </c>
      <c r="J850" s="2">
        <v>19</v>
      </c>
      <c r="K850" s="2">
        <v>8</v>
      </c>
      <c r="L850" s="2">
        <v>21</v>
      </c>
      <c r="M850" s="2">
        <v>46</v>
      </c>
      <c r="N850" s="2">
        <v>73</v>
      </c>
      <c r="O850" s="2">
        <v>9</v>
      </c>
      <c r="P850" s="2">
        <v>0</v>
      </c>
      <c r="Q850" s="2">
        <v>0</v>
      </c>
      <c r="R850" s="274">
        <v>39007</v>
      </c>
      <c r="S850" s="253">
        <v>12</v>
      </c>
      <c r="T850" s="254">
        <f>SUM( tabConsumo[[#This Row],[QTD.PENDENTE]]:tabConsumo[[#This Row],[07_23]] ) / tabConsumo[[#This Row],[Div]]</f>
        <v>27.666666666666668</v>
      </c>
      <c r="U850" s="255">
        <f xml:space="preserve"> tabConsumo[[#This Row],[Média.A]] + (_xlfn.STDEV.S( tabConsumo[[#This Row],[QTD.PENDENTE]]:tabConsumo[[#This Row],[07_23]] ) * 1)</f>
        <v>48.972438125027367</v>
      </c>
      <c r="V850" s="255">
        <f xml:space="preserve"> tabConsumo[[#This Row],[Média.A]] + (_xlfn.STDEV.S( tabConsumo[[#This Row],[QTD.PENDENTE]]:tabConsumo[[#This Row],[07_23]] ) * 2)</f>
        <v>70.278209583388076</v>
      </c>
      <c r="W850" s="255">
        <f xml:space="preserve"> tabConsumo[[#This Row],[Média.A]] + (_xlfn.STDEV.S( tabConsumo[[#This Row],[QTD.PENDENTE]]:tabConsumo[[#This Row],[07_23]] ) * 3)</f>
        <v>91.583981041748771</v>
      </c>
      <c r="X850" s="5">
        <f t="shared" si="31"/>
        <v>2</v>
      </c>
      <c r="Y850">
        <v>27.416666666666668</v>
      </c>
      <c r="Z850" s="257">
        <f>SUM( tabConsumo[[#This Row],[QTD.PENDENTE]]:tabConsumo[[#This Row],[07_23]] )</f>
        <v>332</v>
      </c>
      <c r="AA850" s="257">
        <f>LARGE(tabConsumo[[#This Row],[08_22]:[07_23]],1)</f>
        <v>73</v>
      </c>
      <c r="AB850" s="175" t="s">
        <v>2214</v>
      </c>
      <c r="AC850" s="3" t="s">
        <v>2064</v>
      </c>
    </row>
    <row r="851" spans="1:29" x14ac:dyDescent="0.3">
      <c r="A851" s="4" t="s">
        <v>1826</v>
      </c>
      <c r="B851" s="3" t="s">
        <v>31</v>
      </c>
      <c r="C851" s="2">
        <v>132623</v>
      </c>
      <c r="D851" s="2">
        <v>67</v>
      </c>
      <c r="F851" s="2">
        <v>1</v>
      </c>
      <c r="G851" s="2">
        <v>1</v>
      </c>
      <c r="H851" s="2">
        <v>1</v>
      </c>
      <c r="I851" s="2">
        <v>1</v>
      </c>
      <c r="J851" s="2">
        <v>1</v>
      </c>
      <c r="K851" s="2">
        <v>6</v>
      </c>
      <c r="L851" s="2">
        <v>0</v>
      </c>
      <c r="M851" s="2">
        <v>1</v>
      </c>
      <c r="N851" s="2">
        <v>3</v>
      </c>
      <c r="O851" s="2">
        <v>0</v>
      </c>
      <c r="P851" s="2">
        <v>0</v>
      </c>
      <c r="Q851" s="2">
        <v>0</v>
      </c>
      <c r="R851" s="274">
        <v>42850</v>
      </c>
      <c r="S851" s="253">
        <v>12</v>
      </c>
      <c r="T851" s="254">
        <f>SUM( tabConsumo[[#This Row],[QTD.PENDENTE]]:tabConsumo[[#This Row],[07_23]] ) / tabConsumo[[#This Row],[Div]]</f>
        <v>1.25</v>
      </c>
      <c r="U851" s="255">
        <f xml:space="preserve"> tabConsumo[[#This Row],[Média.A]] + (_xlfn.STDEV.S( tabConsumo[[#This Row],[QTD.PENDENTE]]:tabConsumo[[#This Row],[07_23]] ) * 1)</f>
        <v>2.962255291076124</v>
      </c>
      <c r="V851" s="255">
        <f xml:space="preserve"> tabConsumo[[#This Row],[Média.A]] + (_xlfn.STDEV.S( tabConsumo[[#This Row],[QTD.PENDENTE]]:tabConsumo[[#This Row],[07_23]] ) * 2)</f>
        <v>4.6745105821522479</v>
      </c>
      <c r="W851" s="255">
        <f xml:space="preserve"> tabConsumo[[#This Row],[Média.A]] + (_xlfn.STDEV.S( tabConsumo[[#This Row],[QTD.PENDENTE]]:tabConsumo[[#This Row],[07_23]] ) * 3)</f>
        <v>6.3867658732283719</v>
      </c>
      <c r="X851" s="5">
        <f t="shared" si="31"/>
        <v>2</v>
      </c>
      <c r="Y851">
        <v>1.0833333333333333</v>
      </c>
      <c r="Z851" s="257">
        <f>SUM( tabConsumo[[#This Row],[QTD.PENDENTE]]:tabConsumo[[#This Row],[07_23]] )</f>
        <v>15</v>
      </c>
      <c r="AA851" s="257">
        <f>LARGE(tabConsumo[[#This Row],[08_22]:[07_23]],1)</f>
        <v>6</v>
      </c>
      <c r="AB851" s="175" t="s">
        <v>2213</v>
      </c>
      <c r="AC851" s="3" t="s">
        <v>2064</v>
      </c>
    </row>
    <row r="852" spans="1:29" x14ac:dyDescent="0.3">
      <c r="A852" s="4" t="s">
        <v>1023</v>
      </c>
      <c r="B852" s="3" t="s">
        <v>256</v>
      </c>
      <c r="C852" s="2">
        <v>13192</v>
      </c>
      <c r="D852" s="2">
        <v>0</v>
      </c>
      <c r="E852" s="2">
        <v>5</v>
      </c>
      <c r="F852" s="2">
        <v>9</v>
      </c>
      <c r="G852" s="2">
        <v>4</v>
      </c>
      <c r="H852" s="2">
        <v>3</v>
      </c>
      <c r="I852" s="2">
        <v>2</v>
      </c>
      <c r="J852" s="2">
        <v>24</v>
      </c>
      <c r="K852" s="2">
        <v>7</v>
      </c>
      <c r="L852" s="2">
        <v>5</v>
      </c>
      <c r="M852" s="2">
        <v>1</v>
      </c>
      <c r="N852" s="2">
        <v>0</v>
      </c>
      <c r="O852" s="2">
        <v>0</v>
      </c>
      <c r="P852" s="2">
        <v>0</v>
      </c>
      <c r="Q852" s="2">
        <v>0</v>
      </c>
      <c r="R852" s="274">
        <v>367</v>
      </c>
      <c r="S852" s="253">
        <f xml:space="preserve"> 12</f>
        <v>12</v>
      </c>
      <c r="T852" s="254">
        <f>SUM( tabConsumo[[#This Row],[QTD.PENDENTE]]:tabConsumo[[#This Row],[07_23]] ) / tabConsumo[[#This Row],[Div]]</f>
        <v>5</v>
      </c>
      <c r="U852" s="255">
        <f xml:space="preserve"> tabConsumo[[#This Row],[Média.A]] + (_xlfn.STDEV.S( tabConsumo[[#This Row],[QTD.PENDENTE]]:tabConsumo[[#This Row],[07_23]] ) * 1)</f>
        <v>11.513300002539182</v>
      </c>
      <c r="V852" s="255">
        <f xml:space="preserve"> tabConsumo[[#This Row],[Média.A]] + (_xlfn.STDEV.S( tabConsumo[[#This Row],[QTD.PENDENTE]]:tabConsumo[[#This Row],[07_23]] ) * 2)</f>
        <v>18.026600005078365</v>
      </c>
      <c r="W852" s="255">
        <f xml:space="preserve"> tabConsumo[[#This Row],[Média.A]] + (_xlfn.STDEV.S( tabConsumo[[#This Row],[QTD.PENDENTE]]:tabConsumo[[#This Row],[07_23]] ) * 3)</f>
        <v>24.53990000761755</v>
      </c>
      <c r="X852" s="5">
        <f t="shared" si="31"/>
        <v>2</v>
      </c>
      <c r="Y852">
        <v>4.5</v>
      </c>
      <c r="Z852" s="257">
        <f>SUM( tabConsumo[[#This Row],[QTD.PENDENTE]]:tabConsumo[[#This Row],[07_23]] )</f>
        <v>60</v>
      </c>
      <c r="AA852" s="257">
        <f>LARGE(tabConsumo[[#This Row],[08_22]:[07_23]],1)</f>
        <v>24</v>
      </c>
      <c r="AB852" s="175" t="s">
        <v>2217</v>
      </c>
      <c r="AC852" s="3" t="s">
        <v>2064</v>
      </c>
    </row>
    <row r="853" spans="1:29" x14ac:dyDescent="0.3">
      <c r="A853" s="4" t="s">
        <v>880</v>
      </c>
      <c r="B853" s="3" t="s">
        <v>256</v>
      </c>
      <c r="C853" s="2">
        <v>12673</v>
      </c>
      <c r="D853" s="2">
        <v>0</v>
      </c>
      <c r="E853" s="2">
        <v>25</v>
      </c>
      <c r="F853" s="2">
        <v>8</v>
      </c>
      <c r="G853" s="2">
        <v>0</v>
      </c>
      <c r="H853" s="2">
        <v>0</v>
      </c>
      <c r="I853" s="2">
        <v>0</v>
      </c>
      <c r="J853" s="2">
        <v>0</v>
      </c>
      <c r="K853" s="2">
        <v>0</v>
      </c>
      <c r="L853" s="2">
        <v>0</v>
      </c>
      <c r="M853" s="2">
        <v>0</v>
      </c>
      <c r="N853" s="2">
        <v>0</v>
      </c>
      <c r="O853" s="2">
        <v>0</v>
      </c>
      <c r="P853" s="2">
        <v>0</v>
      </c>
      <c r="Q853" s="2">
        <v>0</v>
      </c>
      <c r="R853" s="274">
        <v>367</v>
      </c>
      <c r="S853" s="253">
        <f xml:space="preserve"> 12</f>
        <v>12</v>
      </c>
      <c r="T853" s="254">
        <f>SUM( tabConsumo[[#This Row],[QTD.PENDENTE]]:tabConsumo[[#This Row],[07_23]] ) / tabConsumo[[#This Row],[Div]]</f>
        <v>2.75</v>
      </c>
      <c r="U853" s="255">
        <f xml:space="preserve"> tabConsumo[[#This Row],[Média.A]] + (_xlfn.STDEV.S( tabConsumo[[#This Row],[QTD.PENDENTE]]:tabConsumo[[#This Row],[07_23]] ) * 1)</f>
        <v>9.8518235289182901</v>
      </c>
      <c r="V853" s="255">
        <f xml:space="preserve"> tabConsumo[[#This Row],[Média.A]] + (_xlfn.STDEV.S( tabConsumo[[#This Row],[QTD.PENDENTE]]:tabConsumo[[#This Row],[07_23]] ) * 2)</f>
        <v>16.95364705783658</v>
      </c>
      <c r="W853" s="255">
        <f xml:space="preserve"> tabConsumo[[#This Row],[Média.A]] + (_xlfn.STDEV.S( tabConsumo[[#This Row],[QTD.PENDENTE]]:tabConsumo[[#This Row],[07_23]] ) * 3)</f>
        <v>24.055470586754872</v>
      </c>
      <c r="X853" s="5">
        <f t="shared" si="31"/>
        <v>2</v>
      </c>
      <c r="Y853">
        <v>2.75</v>
      </c>
      <c r="Z853" s="257">
        <f>SUM( tabConsumo[[#This Row],[QTD.PENDENTE]]:tabConsumo[[#This Row],[07_23]] )</f>
        <v>33</v>
      </c>
      <c r="AA853" s="257">
        <f>LARGE(tabConsumo[[#This Row],[08_22]:[07_23]],1)</f>
        <v>8</v>
      </c>
      <c r="AB853" s="175" t="s">
        <v>2218</v>
      </c>
      <c r="AC853" s="3" t="s">
        <v>2064</v>
      </c>
    </row>
    <row r="854" spans="1:29" x14ac:dyDescent="0.3">
      <c r="A854" s="4" t="s">
        <v>881</v>
      </c>
      <c r="B854" s="3" t="s">
        <v>256</v>
      </c>
      <c r="C854" s="2">
        <v>91868</v>
      </c>
      <c r="D854" s="2">
        <v>0</v>
      </c>
      <c r="E854" s="2">
        <v>4</v>
      </c>
      <c r="F854" s="2">
        <v>0</v>
      </c>
      <c r="G854" s="2">
        <v>0</v>
      </c>
      <c r="H854" s="2">
        <v>0</v>
      </c>
      <c r="I854" s="2">
        <v>0</v>
      </c>
      <c r="J854" s="2">
        <v>0</v>
      </c>
      <c r="K854" s="2">
        <v>0</v>
      </c>
      <c r="L854" s="2">
        <v>0</v>
      </c>
      <c r="M854" s="2">
        <v>0</v>
      </c>
      <c r="N854" s="2">
        <v>0</v>
      </c>
      <c r="O854" s="2">
        <v>0</v>
      </c>
      <c r="P854" s="2">
        <v>0</v>
      </c>
      <c r="Q854" s="2">
        <v>0</v>
      </c>
      <c r="R854" s="274">
        <v>367</v>
      </c>
      <c r="S854" s="253">
        <f xml:space="preserve"> 12</f>
        <v>12</v>
      </c>
      <c r="T854" s="254">
        <f>SUM( tabConsumo[[#This Row],[QTD.PENDENTE]]:tabConsumo[[#This Row],[07_23]] ) / tabConsumo[[#This Row],[Div]]</f>
        <v>0.33333333333333331</v>
      </c>
      <c r="U854" s="255">
        <f xml:space="preserve"> tabConsumo[[#This Row],[Média.A]] + (_xlfn.STDEV.S( tabConsumo[[#This Row],[QTD.PENDENTE]]:tabConsumo[[#This Row],[07_23]] ) * 1)</f>
        <v>1.4427337257837916</v>
      </c>
      <c r="V854" s="255">
        <f xml:space="preserve"> tabConsumo[[#This Row],[Média.A]] + (_xlfn.STDEV.S( tabConsumo[[#This Row],[QTD.PENDENTE]]:tabConsumo[[#This Row],[07_23]] ) * 2)</f>
        <v>2.5521341182342501</v>
      </c>
      <c r="W854" s="255">
        <f xml:space="preserve"> tabConsumo[[#This Row],[Média.A]] + (_xlfn.STDEV.S( tabConsumo[[#This Row],[QTD.PENDENTE]]:tabConsumo[[#This Row],[07_23]] ) * 3)</f>
        <v>3.6615345106847084</v>
      </c>
      <c r="X854" s="5">
        <f t="shared" si="31"/>
        <v>2</v>
      </c>
      <c r="Y854">
        <v>0.33333333333333331</v>
      </c>
      <c r="Z854" s="257">
        <f>SUM( tabConsumo[[#This Row],[QTD.PENDENTE]]:tabConsumo[[#This Row],[07_23]] )</f>
        <v>4</v>
      </c>
      <c r="AA854" s="257">
        <f>LARGE(tabConsumo[[#This Row],[08_22]:[07_23]],1)</f>
        <v>0</v>
      </c>
      <c r="AB854" s="175" t="s">
        <v>2218</v>
      </c>
      <c r="AC854" s="3" t="s">
        <v>2064</v>
      </c>
    </row>
    <row r="855" spans="1:29" x14ac:dyDescent="0.3">
      <c r="A855" s="4" t="s">
        <v>1279</v>
      </c>
      <c r="B855" s="3" t="s">
        <v>256</v>
      </c>
      <c r="C855" s="2">
        <v>42854</v>
      </c>
      <c r="D855" s="2">
        <v>675</v>
      </c>
      <c r="F855" s="2">
        <v>106</v>
      </c>
      <c r="G855" s="2">
        <v>142</v>
      </c>
      <c r="H855" s="2">
        <v>81</v>
      </c>
      <c r="I855" s="2">
        <v>76</v>
      </c>
      <c r="J855" s="2">
        <v>60</v>
      </c>
      <c r="K855" s="2">
        <v>95</v>
      </c>
      <c r="L855" s="2">
        <v>115</v>
      </c>
      <c r="M855" s="2">
        <v>106</v>
      </c>
      <c r="N855" s="2">
        <v>76</v>
      </c>
      <c r="O855" s="2">
        <v>101</v>
      </c>
      <c r="P855" s="2">
        <v>110</v>
      </c>
      <c r="Q855" s="2">
        <v>0</v>
      </c>
      <c r="R855" s="274">
        <v>367</v>
      </c>
      <c r="S855" s="253">
        <f xml:space="preserve"> 12</f>
        <v>12</v>
      </c>
      <c r="T855" s="254">
        <f>SUM( tabConsumo[[#This Row],[QTD.PENDENTE]]:tabConsumo[[#This Row],[07_23]] ) / tabConsumo[[#This Row],[Div]]</f>
        <v>89</v>
      </c>
      <c r="U855" s="255">
        <f xml:space="preserve"> tabConsumo[[#This Row],[Média.A]] + (_xlfn.STDEV.S( tabConsumo[[#This Row],[QTD.PENDENTE]]:tabConsumo[[#This Row],[07_23]] ) * 1)</f>
        <v>124.48110893009252</v>
      </c>
      <c r="V855" s="255">
        <f xml:space="preserve"> tabConsumo[[#This Row],[Média.A]] + (_xlfn.STDEV.S( tabConsumo[[#This Row],[QTD.PENDENTE]]:tabConsumo[[#This Row],[07_23]] ) * 2)</f>
        <v>159.96221786018504</v>
      </c>
      <c r="W855" s="255">
        <f xml:space="preserve"> tabConsumo[[#This Row],[Média.A]] + (_xlfn.STDEV.S( tabConsumo[[#This Row],[QTD.PENDENTE]]:tabConsumo[[#This Row],[07_23]] ) * 3)</f>
        <v>195.44332679027755</v>
      </c>
      <c r="X855" s="5">
        <f t="shared" si="31"/>
        <v>2</v>
      </c>
      <c r="Y855">
        <v>89</v>
      </c>
      <c r="Z855" s="257">
        <f>SUM( tabConsumo[[#This Row],[QTD.PENDENTE]]:tabConsumo[[#This Row],[07_23]] )</f>
        <v>1068</v>
      </c>
      <c r="AA855" s="257">
        <f>LARGE(tabConsumo[[#This Row],[08_22]:[07_23]],1)</f>
        <v>142</v>
      </c>
      <c r="AB855" s="175" t="s">
        <v>2212</v>
      </c>
      <c r="AC855" s="3" t="s">
        <v>2064</v>
      </c>
    </row>
    <row r="856" spans="1:29" x14ac:dyDescent="0.3">
      <c r="A856" s="4" t="s">
        <v>1313</v>
      </c>
      <c r="B856" s="3" t="s">
        <v>294</v>
      </c>
      <c r="C856" s="2">
        <v>54026</v>
      </c>
      <c r="D856" s="2">
        <v>125</v>
      </c>
      <c r="F856" s="2">
        <v>0</v>
      </c>
      <c r="G856" s="2">
        <v>1</v>
      </c>
      <c r="H856" s="2">
        <v>12</v>
      </c>
      <c r="I856" s="2">
        <v>0</v>
      </c>
      <c r="J856" s="2">
        <v>9</v>
      </c>
      <c r="K856" s="2">
        <v>10</v>
      </c>
      <c r="L856" s="2">
        <v>6</v>
      </c>
      <c r="M856" s="2">
        <v>3</v>
      </c>
      <c r="N856" s="2">
        <v>8</v>
      </c>
      <c r="O856" s="2">
        <v>10</v>
      </c>
      <c r="P856" s="2">
        <v>0</v>
      </c>
      <c r="Q856" s="2">
        <v>0</v>
      </c>
      <c r="R856" s="274">
        <v>367</v>
      </c>
      <c r="S856" s="253">
        <f xml:space="preserve"> 12</f>
        <v>12</v>
      </c>
      <c r="T856" s="254">
        <f>SUM( tabConsumo[[#This Row],[QTD.PENDENTE]]:tabConsumo[[#This Row],[07_23]] ) / tabConsumo[[#This Row],[Div]]</f>
        <v>4.916666666666667</v>
      </c>
      <c r="U856" s="255">
        <f xml:space="preserve"> tabConsumo[[#This Row],[Média.A]] + (_xlfn.STDEV.S( tabConsumo[[#This Row],[QTD.PENDENTE]]:tabConsumo[[#This Row],[07_23]] ) * 1)</f>
        <v>9.635263016763961</v>
      </c>
      <c r="V856" s="255">
        <f xml:space="preserve"> tabConsumo[[#This Row],[Média.A]] + (_xlfn.STDEV.S( tabConsumo[[#This Row],[QTD.PENDENTE]]:tabConsumo[[#This Row],[07_23]] ) * 2)</f>
        <v>14.353859366861258</v>
      </c>
      <c r="W856" s="255">
        <f xml:space="preserve"> tabConsumo[[#This Row],[Média.A]] + (_xlfn.STDEV.S( tabConsumo[[#This Row],[QTD.PENDENTE]]:tabConsumo[[#This Row],[07_23]] ) * 3)</f>
        <v>19.072455716958551</v>
      </c>
      <c r="X856" s="5">
        <f t="shared" si="31"/>
        <v>2</v>
      </c>
      <c r="Y856">
        <v>4.916666666666667</v>
      </c>
      <c r="Z856" s="257">
        <f>SUM( tabConsumo[[#This Row],[QTD.PENDENTE]]:tabConsumo[[#This Row],[07_23]] )</f>
        <v>59</v>
      </c>
      <c r="AA856" s="257">
        <f>LARGE(tabConsumo[[#This Row],[08_22]:[07_23]],1)</f>
        <v>12</v>
      </c>
      <c r="AB856" s="175" t="s">
        <v>2214</v>
      </c>
      <c r="AC856" s="3" t="s">
        <v>2064</v>
      </c>
    </row>
    <row r="857" spans="1:29" x14ac:dyDescent="0.3">
      <c r="A857" s="4" t="s">
        <v>2019</v>
      </c>
      <c r="B857" s="3" t="s">
        <v>596</v>
      </c>
      <c r="C857" s="2">
        <v>141270</v>
      </c>
      <c r="D857" s="2">
        <v>0</v>
      </c>
      <c r="F857" s="2">
        <v>0</v>
      </c>
      <c r="G857" s="2">
        <v>0</v>
      </c>
      <c r="H857" s="2">
        <v>2</v>
      </c>
      <c r="I857" s="2">
        <v>0</v>
      </c>
      <c r="J857" s="2">
        <v>0</v>
      </c>
      <c r="K857" s="2">
        <v>0</v>
      </c>
      <c r="L857" s="2">
        <v>38</v>
      </c>
      <c r="M857" s="2">
        <v>0</v>
      </c>
      <c r="N857" s="2">
        <v>0</v>
      </c>
      <c r="O857" s="2">
        <v>0</v>
      </c>
      <c r="P857" s="2">
        <v>0</v>
      </c>
      <c r="Q857" s="2">
        <v>0</v>
      </c>
      <c r="R857" s="274">
        <v>44355</v>
      </c>
      <c r="S857" s="253">
        <v>12</v>
      </c>
      <c r="T857" s="254">
        <f>SUM( tabConsumo[[#This Row],[QTD.PENDENTE]]:tabConsumo[[#This Row],[07_23]] ) / tabConsumo[[#This Row],[Div]]</f>
        <v>3.3333333333333335</v>
      </c>
      <c r="U857" s="255">
        <f xml:space="preserve"> tabConsumo[[#This Row],[Média.A]] + (_xlfn.STDEV.S( tabConsumo[[#This Row],[QTD.PENDENTE]]:tabConsumo[[#This Row],[07_23]] ) * 1)</f>
        <v>14.265631880077816</v>
      </c>
      <c r="V857" s="255">
        <f xml:space="preserve"> tabConsumo[[#This Row],[Média.A]] + (_xlfn.STDEV.S( tabConsumo[[#This Row],[QTD.PENDENTE]]:tabConsumo[[#This Row],[07_23]] ) * 2)</f>
        <v>25.197930426822296</v>
      </c>
      <c r="W857" s="255">
        <f xml:space="preserve"> tabConsumo[[#This Row],[Média.A]] + (_xlfn.STDEV.S( tabConsumo[[#This Row],[QTD.PENDENTE]]:tabConsumo[[#This Row],[07_23]] ) * 3)</f>
        <v>36.13022897356678</v>
      </c>
      <c r="X857" s="5">
        <f t="shared" si="31"/>
        <v>2</v>
      </c>
      <c r="Y857">
        <v>2.25</v>
      </c>
      <c r="Z857" s="257">
        <f>SUM( tabConsumo[[#This Row],[QTD.PENDENTE]]:tabConsumo[[#This Row],[07_23]] )</f>
        <v>40</v>
      </c>
      <c r="AA857" s="257">
        <f>LARGE(tabConsumo[[#This Row],[08_22]:[07_23]],1)</f>
        <v>38</v>
      </c>
      <c r="AB857" s="175" t="s">
        <v>2221</v>
      </c>
      <c r="AC857" s="3" t="s">
        <v>2064</v>
      </c>
    </row>
    <row r="858" spans="1:29" x14ac:dyDescent="0.3">
      <c r="A858" s="4" t="s">
        <v>1404</v>
      </c>
      <c r="B858" s="3" t="s">
        <v>256</v>
      </c>
      <c r="C858" s="2">
        <v>74908</v>
      </c>
      <c r="D858" s="2">
        <v>350</v>
      </c>
      <c r="F858" s="2">
        <v>6</v>
      </c>
      <c r="G858" s="2">
        <v>1</v>
      </c>
      <c r="H858" s="2">
        <v>0</v>
      </c>
      <c r="I858" s="2">
        <v>1</v>
      </c>
      <c r="J858" s="2">
        <v>0</v>
      </c>
      <c r="K858" s="2">
        <v>12</v>
      </c>
      <c r="L858" s="2">
        <v>0</v>
      </c>
      <c r="M858" s="2">
        <v>0</v>
      </c>
      <c r="N858" s="2">
        <v>0</v>
      </c>
      <c r="O858" s="2">
        <v>6</v>
      </c>
      <c r="P858" s="2">
        <v>34</v>
      </c>
      <c r="Q858" s="2">
        <v>0</v>
      </c>
      <c r="R858" s="274">
        <v>37845</v>
      </c>
      <c r="S858" s="253">
        <v>12</v>
      </c>
      <c r="T858" s="254">
        <f>SUM( tabConsumo[[#This Row],[QTD.PENDENTE]]:tabConsumo[[#This Row],[07_23]] ) / tabConsumo[[#This Row],[Div]]</f>
        <v>5</v>
      </c>
      <c r="U858" s="255">
        <f xml:space="preserve"> tabConsumo[[#This Row],[Média.A]] + (_xlfn.STDEV.S( tabConsumo[[#This Row],[QTD.PENDENTE]]:tabConsumo[[#This Row],[07_23]] ) * 1)</f>
        <v>14.88111145754179</v>
      </c>
      <c r="V858" s="255">
        <f xml:space="preserve"> tabConsumo[[#This Row],[Média.A]] + (_xlfn.STDEV.S( tabConsumo[[#This Row],[QTD.PENDENTE]]:tabConsumo[[#This Row],[07_23]] ) * 2)</f>
        <v>24.76222291508358</v>
      </c>
      <c r="W858" s="255">
        <f xml:space="preserve"> tabConsumo[[#This Row],[Média.A]] + (_xlfn.STDEV.S( tabConsumo[[#This Row],[QTD.PENDENTE]]:tabConsumo[[#This Row],[07_23]] ) * 3)</f>
        <v>34.643334372625368</v>
      </c>
      <c r="X858" s="5">
        <f t="shared" si="31"/>
        <v>2</v>
      </c>
      <c r="Y858">
        <v>4.166666666666667</v>
      </c>
      <c r="Z858" s="257">
        <f>SUM( tabConsumo[[#This Row],[QTD.PENDENTE]]:tabConsumo[[#This Row],[07_23]] )</f>
        <v>60</v>
      </c>
      <c r="AA858" s="257">
        <f>LARGE(tabConsumo[[#This Row],[08_22]:[07_23]],1)</f>
        <v>34</v>
      </c>
      <c r="AB858" s="175" t="s">
        <v>2212</v>
      </c>
      <c r="AC858" s="3" t="s">
        <v>2064</v>
      </c>
    </row>
    <row r="859" spans="1:29" x14ac:dyDescent="0.3">
      <c r="A859" s="4" t="s">
        <v>1419</v>
      </c>
      <c r="B859" s="3" t="s">
        <v>256</v>
      </c>
      <c r="C859" s="2">
        <v>77556</v>
      </c>
      <c r="D859" s="2">
        <v>87</v>
      </c>
      <c r="F859" s="2">
        <v>0</v>
      </c>
      <c r="G859" s="2">
        <v>0</v>
      </c>
      <c r="H859" s="2">
        <v>0</v>
      </c>
      <c r="I859" s="2">
        <v>0</v>
      </c>
      <c r="J859" s="2">
        <v>0</v>
      </c>
      <c r="K859" s="2">
        <v>0</v>
      </c>
      <c r="L859" s="2">
        <v>0</v>
      </c>
      <c r="M859" s="2">
        <v>0</v>
      </c>
      <c r="N859" s="2">
        <v>50</v>
      </c>
      <c r="O859" s="2">
        <v>0</v>
      </c>
      <c r="P859" s="2">
        <v>15</v>
      </c>
      <c r="Q859" s="2">
        <v>0</v>
      </c>
      <c r="R859" s="274">
        <v>38056</v>
      </c>
      <c r="S859" s="253">
        <v>12</v>
      </c>
      <c r="T859" s="254">
        <f>SUM( tabConsumo[[#This Row],[QTD.PENDENTE]]:tabConsumo[[#This Row],[07_23]] ) / tabConsumo[[#This Row],[Div]]</f>
        <v>5.416666666666667</v>
      </c>
      <c r="U859" s="255">
        <f xml:space="preserve"> tabConsumo[[#This Row],[Média.A]] + (_xlfn.STDEV.S( tabConsumo[[#This Row],[QTD.PENDENTE]]:tabConsumo[[#This Row],[07_23]] ) * 1)</f>
        <v>20.104065924864049</v>
      </c>
      <c r="V859" s="255">
        <f xml:space="preserve"> tabConsumo[[#This Row],[Média.A]] + (_xlfn.STDEV.S( tabConsumo[[#This Row],[QTD.PENDENTE]]:tabConsumo[[#This Row],[07_23]] ) * 2)</f>
        <v>34.791465183061426</v>
      </c>
      <c r="W859" s="255">
        <f xml:space="preserve"> tabConsumo[[#This Row],[Média.A]] + (_xlfn.STDEV.S( tabConsumo[[#This Row],[QTD.PENDENTE]]:tabConsumo[[#This Row],[07_23]] ) * 3)</f>
        <v>49.478864441258807</v>
      </c>
      <c r="X859" s="5">
        <f t="shared" si="31"/>
        <v>2</v>
      </c>
      <c r="Y859">
        <v>4.083333333333333</v>
      </c>
      <c r="Z859" s="257">
        <f>SUM( tabConsumo[[#This Row],[QTD.PENDENTE]]:tabConsumo[[#This Row],[07_23]] )</f>
        <v>65</v>
      </c>
      <c r="AA859" s="257">
        <f>LARGE(tabConsumo[[#This Row],[08_22]:[07_23]],1)</f>
        <v>50</v>
      </c>
      <c r="AB859" s="175" t="s">
        <v>2212</v>
      </c>
      <c r="AC859" s="3" t="s">
        <v>2064</v>
      </c>
    </row>
    <row r="860" spans="1:29" x14ac:dyDescent="0.3">
      <c r="A860" s="4" t="s">
        <v>1403</v>
      </c>
      <c r="B860" s="3" t="s">
        <v>256</v>
      </c>
      <c r="C860" s="2">
        <v>74907</v>
      </c>
      <c r="D860" s="2">
        <v>11</v>
      </c>
      <c r="F860" s="2">
        <v>0</v>
      </c>
      <c r="G860" s="2">
        <v>0</v>
      </c>
      <c r="H860" s="2">
        <v>0</v>
      </c>
      <c r="I860" s="2">
        <v>0</v>
      </c>
      <c r="J860" s="2">
        <v>23</v>
      </c>
      <c r="K860" s="2">
        <v>0</v>
      </c>
      <c r="L860" s="2">
        <v>0</v>
      </c>
      <c r="M860" s="2">
        <v>0</v>
      </c>
      <c r="N860" s="2">
        <v>0</v>
      </c>
      <c r="O860" s="2">
        <v>50</v>
      </c>
      <c r="P860" s="2">
        <v>10</v>
      </c>
      <c r="Q860" s="2">
        <v>4</v>
      </c>
      <c r="R860" s="274">
        <v>37845</v>
      </c>
      <c r="S860" s="253">
        <v>12</v>
      </c>
      <c r="T860" s="254">
        <f>SUM( tabConsumo[[#This Row],[QTD.PENDENTE]]:tabConsumo[[#This Row],[07_23]] ) / tabConsumo[[#This Row],[Div]]</f>
        <v>7.25</v>
      </c>
      <c r="U860" s="255">
        <f xml:space="preserve"> tabConsumo[[#This Row],[Média.A]] + (_xlfn.STDEV.S( tabConsumo[[#This Row],[QTD.PENDENTE]]:tabConsumo[[#This Row],[07_23]] ) * 1)</f>
        <v>22.368471543717035</v>
      </c>
      <c r="V860" s="255">
        <f xml:space="preserve"> tabConsumo[[#This Row],[Média.A]] + (_xlfn.STDEV.S( tabConsumo[[#This Row],[QTD.PENDENTE]]:tabConsumo[[#This Row],[07_23]] ) * 2)</f>
        <v>37.486943087434071</v>
      </c>
      <c r="W860" s="255">
        <f xml:space="preserve"> tabConsumo[[#This Row],[Média.A]] + (_xlfn.STDEV.S( tabConsumo[[#This Row],[QTD.PENDENTE]]:tabConsumo[[#This Row],[07_23]] ) * 3)</f>
        <v>52.605414631151113</v>
      </c>
      <c r="X860" s="5">
        <f t="shared" si="31"/>
        <v>2</v>
      </c>
      <c r="Y860">
        <v>6.166666666666667</v>
      </c>
      <c r="Z860" s="257">
        <f>SUM( tabConsumo[[#This Row],[QTD.PENDENTE]]:tabConsumo[[#This Row],[07_23]] )</f>
        <v>87</v>
      </c>
      <c r="AA860" s="257">
        <f>LARGE(tabConsumo[[#This Row],[08_22]:[07_23]],1)</f>
        <v>50</v>
      </c>
      <c r="AB860" s="175" t="s">
        <v>2211</v>
      </c>
      <c r="AC860" s="3" t="s">
        <v>2064</v>
      </c>
    </row>
    <row r="861" spans="1:29" x14ac:dyDescent="0.3">
      <c r="A861" s="4" t="s">
        <v>1420</v>
      </c>
      <c r="B861" s="3" t="s">
        <v>256</v>
      </c>
      <c r="C861" s="2">
        <v>77557</v>
      </c>
      <c r="D861" s="2">
        <v>186</v>
      </c>
      <c r="F861" s="2">
        <v>0</v>
      </c>
      <c r="G861" s="2">
        <v>0</v>
      </c>
      <c r="H861" s="2">
        <v>0</v>
      </c>
      <c r="I861" s="2">
        <v>0</v>
      </c>
      <c r="J861" s="2">
        <v>6</v>
      </c>
      <c r="K861" s="2">
        <v>0</v>
      </c>
      <c r="L861" s="2">
        <v>0</v>
      </c>
      <c r="M861" s="2">
        <v>0</v>
      </c>
      <c r="N861" s="2">
        <v>0</v>
      </c>
      <c r="O861" s="2">
        <v>3</v>
      </c>
      <c r="P861" s="2">
        <v>34</v>
      </c>
      <c r="Q861" s="2">
        <v>0</v>
      </c>
      <c r="R861" s="274">
        <v>38056</v>
      </c>
      <c r="S861" s="253">
        <v>12</v>
      </c>
      <c r="T861" s="254">
        <f>SUM( tabConsumo[[#This Row],[QTD.PENDENTE]]:tabConsumo[[#This Row],[07_23]] ) / tabConsumo[[#This Row],[Div]]</f>
        <v>3.5833333333333335</v>
      </c>
      <c r="U861" s="255">
        <f xml:space="preserve"> tabConsumo[[#This Row],[Média.A]] + (_xlfn.STDEV.S( tabConsumo[[#This Row],[QTD.PENDENTE]]:tabConsumo[[#This Row],[07_23]] ) * 1)</f>
        <v>13.339062031090485</v>
      </c>
      <c r="V861" s="255">
        <f xml:space="preserve"> tabConsumo[[#This Row],[Média.A]] + (_xlfn.STDEV.S( tabConsumo[[#This Row],[QTD.PENDENTE]]:tabConsumo[[#This Row],[07_23]] ) * 2)</f>
        <v>23.094790728847634</v>
      </c>
      <c r="W861" s="255">
        <f xml:space="preserve"> tabConsumo[[#This Row],[Média.A]] + (_xlfn.STDEV.S( tabConsumo[[#This Row],[QTD.PENDENTE]]:tabConsumo[[#This Row],[07_23]] ) * 3)</f>
        <v>32.850519426604791</v>
      </c>
      <c r="X861" s="5">
        <f t="shared" si="31"/>
        <v>2</v>
      </c>
      <c r="Y861">
        <v>2.6666666666666665</v>
      </c>
      <c r="Z861" s="257">
        <f>SUM( tabConsumo[[#This Row],[QTD.PENDENTE]]:tabConsumo[[#This Row],[07_23]] )</f>
        <v>43</v>
      </c>
      <c r="AA861" s="257">
        <f>LARGE(tabConsumo[[#This Row],[08_22]:[07_23]],1)</f>
        <v>34</v>
      </c>
      <c r="AB861" s="175" t="s">
        <v>2212</v>
      </c>
      <c r="AC861" s="3" t="s">
        <v>2064</v>
      </c>
    </row>
    <row r="862" spans="1:29" x14ac:dyDescent="0.3">
      <c r="A862" s="4" t="s">
        <v>1405</v>
      </c>
      <c r="B862" s="3" t="s">
        <v>256</v>
      </c>
      <c r="C862" s="2">
        <v>74909</v>
      </c>
      <c r="D862" s="2">
        <v>0</v>
      </c>
      <c r="E862" s="2">
        <v>23</v>
      </c>
      <c r="F862" s="2">
        <v>0</v>
      </c>
      <c r="G862" s="2">
        <v>2</v>
      </c>
      <c r="H862" s="2">
        <v>7</v>
      </c>
      <c r="I862" s="2">
        <v>70</v>
      </c>
      <c r="J862" s="2">
        <v>47</v>
      </c>
      <c r="K862" s="2">
        <v>0</v>
      </c>
      <c r="L862" s="2">
        <v>0</v>
      </c>
      <c r="M862" s="2">
        <v>0</v>
      </c>
      <c r="N862" s="2">
        <v>0</v>
      </c>
      <c r="O862" s="2">
        <v>0</v>
      </c>
      <c r="P862" s="2">
        <v>0</v>
      </c>
      <c r="Q862" s="2">
        <v>0</v>
      </c>
      <c r="R862" s="274">
        <v>37845</v>
      </c>
      <c r="S862" s="253">
        <v>12</v>
      </c>
      <c r="T862" s="254">
        <f>SUM( tabConsumo[[#This Row],[QTD.PENDENTE]]:tabConsumo[[#This Row],[07_23]] ) / tabConsumo[[#This Row],[Div]]</f>
        <v>12.416666666666666</v>
      </c>
      <c r="U862" s="255">
        <f xml:space="preserve"> tabConsumo[[#This Row],[Média.A]] + (_xlfn.STDEV.S( tabConsumo[[#This Row],[QTD.PENDENTE]]:tabConsumo[[#This Row],[07_23]] ) * 1)</f>
        <v>34.746076961221341</v>
      </c>
      <c r="V862" s="255">
        <f xml:space="preserve"> tabConsumo[[#This Row],[Média.A]] + (_xlfn.STDEV.S( tabConsumo[[#This Row],[QTD.PENDENTE]]:tabConsumo[[#This Row],[07_23]] ) * 2)</f>
        <v>57.075487255776011</v>
      </c>
      <c r="W862" s="255">
        <f xml:space="preserve"> tabConsumo[[#This Row],[Média.A]] + (_xlfn.STDEV.S( tabConsumo[[#This Row],[QTD.PENDENTE]]:tabConsumo[[#This Row],[07_23]] ) * 3)</f>
        <v>79.404897550330688</v>
      </c>
      <c r="X862" s="5">
        <f t="shared" si="31"/>
        <v>2</v>
      </c>
      <c r="Y862">
        <v>11.333333333333334</v>
      </c>
      <c r="Z862" s="257">
        <f>SUM( tabConsumo[[#This Row],[QTD.PENDENTE]]:tabConsumo[[#This Row],[07_23]] )</f>
        <v>149</v>
      </c>
      <c r="AA862" s="257">
        <f>LARGE(tabConsumo[[#This Row],[08_22]:[07_23]],1)</f>
        <v>70</v>
      </c>
      <c r="AB862" s="175" t="s">
        <v>2222</v>
      </c>
      <c r="AC862" s="3" t="s">
        <v>2064</v>
      </c>
    </row>
    <row r="863" spans="1:29" x14ac:dyDescent="0.3">
      <c r="A863" s="4" t="s">
        <v>1418</v>
      </c>
      <c r="B863" s="3" t="s">
        <v>256</v>
      </c>
      <c r="C863" s="2">
        <v>77554</v>
      </c>
      <c r="D863" s="2">
        <v>74</v>
      </c>
      <c r="F863" s="2">
        <v>0</v>
      </c>
      <c r="G863" s="2">
        <v>0</v>
      </c>
      <c r="H863" s="2">
        <v>24</v>
      </c>
      <c r="I863" s="2">
        <v>70</v>
      </c>
      <c r="J863" s="2">
        <v>0</v>
      </c>
      <c r="K863" s="2">
        <v>0</v>
      </c>
      <c r="L863" s="2">
        <v>0</v>
      </c>
      <c r="M863" s="2">
        <v>50</v>
      </c>
      <c r="N863" s="2">
        <v>6</v>
      </c>
      <c r="O863" s="2">
        <v>20</v>
      </c>
      <c r="P863" s="2">
        <v>5</v>
      </c>
      <c r="Q863" s="2">
        <v>0</v>
      </c>
      <c r="R863" s="274">
        <v>38056</v>
      </c>
      <c r="S863" s="253">
        <v>12</v>
      </c>
      <c r="T863" s="254">
        <f>SUM( tabConsumo[[#This Row],[QTD.PENDENTE]]:tabConsumo[[#This Row],[07_23]] ) / tabConsumo[[#This Row],[Div]]</f>
        <v>14.583333333333334</v>
      </c>
      <c r="U863" s="255">
        <f xml:space="preserve"> tabConsumo[[#This Row],[Média.A]] + (_xlfn.STDEV.S( tabConsumo[[#This Row],[QTD.PENDENTE]]:tabConsumo[[#This Row],[07_23]] ) * 1)</f>
        <v>37.713236580913602</v>
      </c>
      <c r="V863" s="255">
        <f xml:space="preserve"> tabConsumo[[#This Row],[Média.A]] + (_xlfn.STDEV.S( tabConsumo[[#This Row],[QTD.PENDENTE]]:tabConsumo[[#This Row],[07_23]] ) * 2)</f>
        <v>60.843139828493868</v>
      </c>
      <c r="W863" s="255">
        <f xml:space="preserve"> tabConsumo[[#This Row],[Média.A]] + (_xlfn.STDEV.S( tabConsumo[[#This Row],[QTD.PENDENTE]]:tabConsumo[[#This Row],[07_23]] ) * 3)</f>
        <v>83.97304307607412</v>
      </c>
      <c r="X863" s="5">
        <f t="shared" si="31"/>
        <v>2</v>
      </c>
      <c r="Y863">
        <v>13.75</v>
      </c>
      <c r="Z863" s="257">
        <f>SUM( tabConsumo[[#This Row],[QTD.PENDENTE]]:tabConsumo[[#This Row],[07_23]] )</f>
        <v>175</v>
      </c>
      <c r="AA863" s="257">
        <f>LARGE(tabConsumo[[#This Row],[08_22]:[07_23]],1)</f>
        <v>70</v>
      </c>
      <c r="AB863" s="175" t="s">
        <v>2212</v>
      </c>
      <c r="AC863" s="3" t="s">
        <v>2064</v>
      </c>
    </row>
    <row r="864" spans="1:29" x14ac:dyDescent="0.3">
      <c r="A864" s="4" t="s">
        <v>1406</v>
      </c>
      <c r="B864" s="3" t="s">
        <v>256</v>
      </c>
      <c r="C864" s="2">
        <v>74911</v>
      </c>
      <c r="D864" s="2">
        <v>35</v>
      </c>
      <c r="F864" s="2">
        <v>0</v>
      </c>
      <c r="G864" s="2">
        <v>0</v>
      </c>
      <c r="H864" s="2">
        <v>0</v>
      </c>
      <c r="I864" s="2">
        <v>0</v>
      </c>
      <c r="J864" s="2">
        <v>0</v>
      </c>
      <c r="K864" s="2">
        <v>0</v>
      </c>
      <c r="L864" s="2">
        <v>0</v>
      </c>
      <c r="M864" s="2">
        <v>50</v>
      </c>
      <c r="N864" s="2">
        <v>65</v>
      </c>
      <c r="O864" s="2">
        <v>0</v>
      </c>
      <c r="P864" s="2">
        <v>0</v>
      </c>
      <c r="Q864" s="2">
        <v>0</v>
      </c>
      <c r="R864" s="274">
        <v>37845</v>
      </c>
      <c r="S864" s="253">
        <v>12</v>
      </c>
      <c r="T864" s="254">
        <f>SUM( tabConsumo[[#This Row],[QTD.PENDENTE]]:tabConsumo[[#This Row],[07_23]] ) / tabConsumo[[#This Row],[Div]]</f>
        <v>9.5833333333333339</v>
      </c>
      <c r="U864" s="255">
        <f xml:space="preserve"> tabConsumo[[#This Row],[Média.A]] + (_xlfn.STDEV.S( tabConsumo[[#This Row],[QTD.PENDENTE]]:tabConsumo[[#This Row],[07_23]] ) * 1)</f>
        <v>32.19249613128413</v>
      </c>
      <c r="V864" s="255">
        <f xml:space="preserve"> tabConsumo[[#This Row],[Média.A]] + (_xlfn.STDEV.S( tabConsumo[[#This Row],[QTD.PENDENTE]]:tabConsumo[[#This Row],[07_23]] ) * 2)</f>
        <v>54.801658929234932</v>
      </c>
      <c r="W864" s="255">
        <f xml:space="preserve"> tabConsumo[[#This Row],[Média.A]] + (_xlfn.STDEV.S( tabConsumo[[#This Row],[QTD.PENDENTE]]:tabConsumo[[#This Row],[07_23]] ) * 3)</f>
        <v>77.41082172718572</v>
      </c>
      <c r="X864" s="5">
        <f t="shared" si="31"/>
        <v>2</v>
      </c>
      <c r="Y864">
        <v>8.6666666666666661</v>
      </c>
      <c r="Z864" s="257">
        <f>SUM( tabConsumo[[#This Row],[QTD.PENDENTE]]:tabConsumo[[#This Row],[07_23]] )</f>
        <v>115</v>
      </c>
      <c r="AA864" s="257">
        <f>LARGE(tabConsumo[[#This Row],[08_22]:[07_23]],1)</f>
        <v>65</v>
      </c>
      <c r="AB864" s="175" t="s">
        <v>2213</v>
      </c>
      <c r="AC864" s="3" t="s">
        <v>2064</v>
      </c>
    </row>
    <row r="865" spans="1:29" x14ac:dyDescent="0.3">
      <c r="A865" s="4" t="s">
        <v>1475</v>
      </c>
      <c r="B865" s="3" t="s">
        <v>256</v>
      </c>
      <c r="C865" s="2">
        <v>82185</v>
      </c>
      <c r="D865" s="2">
        <v>159</v>
      </c>
      <c r="F865" s="2">
        <v>30</v>
      </c>
      <c r="G865" s="2">
        <v>8</v>
      </c>
      <c r="H865" s="2">
        <v>0</v>
      </c>
      <c r="I865" s="2">
        <v>0</v>
      </c>
      <c r="J865" s="2">
        <v>0</v>
      </c>
      <c r="K865" s="2">
        <v>0</v>
      </c>
      <c r="L865" s="2">
        <v>0</v>
      </c>
      <c r="M865" s="2">
        <v>0</v>
      </c>
      <c r="N865" s="2">
        <v>10</v>
      </c>
      <c r="O865" s="2">
        <v>32</v>
      </c>
      <c r="P865" s="2">
        <v>17</v>
      </c>
      <c r="Q865" s="2">
        <v>15</v>
      </c>
      <c r="R865" s="274">
        <v>38273</v>
      </c>
      <c r="S865" s="253">
        <v>12</v>
      </c>
      <c r="T865" s="254">
        <f>SUM( tabConsumo[[#This Row],[QTD.PENDENTE]]:tabConsumo[[#This Row],[07_23]] ) / tabConsumo[[#This Row],[Div]]</f>
        <v>9.3333333333333339</v>
      </c>
      <c r="U865" s="255">
        <f xml:space="preserve"> tabConsumo[[#This Row],[Média.A]] + (_xlfn.STDEV.S( tabConsumo[[#This Row],[QTD.PENDENTE]]:tabConsumo[[#This Row],[07_23]] ) * 1)</f>
        <v>21.229347435340422</v>
      </c>
      <c r="V865" s="255">
        <f xml:space="preserve"> tabConsumo[[#This Row],[Média.A]] + (_xlfn.STDEV.S( tabConsumo[[#This Row],[QTD.PENDENTE]]:tabConsumo[[#This Row],[07_23]] ) * 2)</f>
        <v>33.125361537347509</v>
      </c>
      <c r="W865" s="255">
        <f xml:space="preserve"> tabConsumo[[#This Row],[Média.A]] + (_xlfn.STDEV.S( tabConsumo[[#This Row],[QTD.PENDENTE]]:tabConsumo[[#This Row],[07_23]] ) * 3)</f>
        <v>45.021375639354602</v>
      </c>
      <c r="X865" s="5">
        <f t="shared" si="31"/>
        <v>2</v>
      </c>
      <c r="Y865">
        <v>9.3333333333333339</v>
      </c>
      <c r="Z865" s="257">
        <f>SUM( tabConsumo[[#This Row],[QTD.PENDENTE]]:tabConsumo[[#This Row],[07_23]] )</f>
        <v>112</v>
      </c>
      <c r="AA865" s="257">
        <f>LARGE(tabConsumo[[#This Row],[08_22]:[07_23]],1)</f>
        <v>32</v>
      </c>
      <c r="AB865" s="175" t="s">
        <v>2211</v>
      </c>
      <c r="AC865" s="3" t="s">
        <v>2064</v>
      </c>
    </row>
    <row r="866" spans="1:29" x14ac:dyDescent="0.3">
      <c r="A866" s="4" t="s">
        <v>1699</v>
      </c>
      <c r="B866" s="3" t="s">
        <v>256</v>
      </c>
      <c r="C866" s="2">
        <v>114852</v>
      </c>
      <c r="D866" s="2">
        <v>133</v>
      </c>
      <c r="F866" s="2">
        <v>0</v>
      </c>
      <c r="G866" s="2">
        <v>0</v>
      </c>
      <c r="H866" s="2">
        <v>0</v>
      </c>
      <c r="I866" s="2">
        <v>25</v>
      </c>
      <c r="J866" s="2">
        <v>0</v>
      </c>
      <c r="K866" s="2">
        <v>0</v>
      </c>
      <c r="L866" s="2">
        <v>0</v>
      </c>
      <c r="M866" s="2">
        <v>0</v>
      </c>
      <c r="N866" s="2">
        <v>0</v>
      </c>
      <c r="O866" s="2">
        <v>30</v>
      </c>
      <c r="P866" s="2">
        <v>14</v>
      </c>
      <c r="Q866" s="2">
        <v>0</v>
      </c>
      <c r="R866" s="274">
        <v>40280</v>
      </c>
      <c r="S866" s="253">
        <v>12</v>
      </c>
      <c r="T866" s="254">
        <f>SUM( tabConsumo[[#This Row],[QTD.PENDENTE]]:tabConsumo[[#This Row],[07_23]] ) / tabConsumo[[#This Row],[Div]]</f>
        <v>5.75</v>
      </c>
      <c r="U866" s="255">
        <f xml:space="preserve"> tabConsumo[[#This Row],[Média.A]] + (_xlfn.STDEV.S( tabConsumo[[#This Row],[QTD.PENDENTE]]:tabConsumo[[#This Row],[07_23]] ) * 1)</f>
        <v>16.722071984651016</v>
      </c>
      <c r="V866" s="255">
        <f xml:space="preserve"> tabConsumo[[#This Row],[Média.A]] + (_xlfn.STDEV.S( tabConsumo[[#This Row],[QTD.PENDENTE]]:tabConsumo[[#This Row],[07_23]] ) * 2)</f>
        <v>27.694143969302029</v>
      </c>
      <c r="W866" s="255">
        <f xml:space="preserve"> tabConsumo[[#This Row],[Média.A]] + (_xlfn.STDEV.S( tabConsumo[[#This Row],[QTD.PENDENTE]]:tabConsumo[[#This Row],[07_23]] ) * 3)</f>
        <v>38.666215953953042</v>
      </c>
      <c r="X866" s="5">
        <f t="shared" si="31"/>
        <v>2</v>
      </c>
      <c r="Y866">
        <v>5.5</v>
      </c>
      <c r="Z866" s="257">
        <f>SUM( tabConsumo[[#This Row],[QTD.PENDENTE]]:tabConsumo[[#This Row],[07_23]] )</f>
        <v>69</v>
      </c>
      <c r="AA866" s="257">
        <f>LARGE(tabConsumo[[#This Row],[08_22]:[07_23]],1)</f>
        <v>30</v>
      </c>
      <c r="AB866" s="175" t="s">
        <v>2212</v>
      </c>
      <c r="AC866" s="3" t="s">
        <v>2064</v>
      </c>
    </row>
    <row r="867" spans="1:29" x14ac:dyDescent="0.3">
      <c r="A867" s="4" t="s">
        <v>1700</v>
      </c>
      <c r="B867" s="3" t="s">
        <v>256</v>
      </c>
      <c r="C867" s="2">
        <v>114853</v>
      </c>
      <c r="D867" s="2">
        <v>161</v>
      </c>
      <c r="F867" s="2">
        <v>0</v>
      </c>
      <c r="G867" s="2">
        <v>40</v>
      </c>
      <c r="H867" s="2">
        <v>1</v>
      </c>
      <c r="I867" s="2">
        <v>0</v>
      </c>
      <c r="J867" s="2">
        <v>7</v>
      </c>
      <c r="K867" s="2">
        <v>0</v>
      </c>
      <c r="L867" s="2">
        <v>0</v>
      </c>
      <c r="M867" s="2">
        <v>6</v>
      </c>
      <c r="N867" s="2">
        <v>0</v>
      </c>
      <c r="O867" s="2">
        <v>16</v>
      </c>
      <c r="P867" s="2">
        <v>15</v>
      </c>
      <c r="Q867" s="2">
        <v>2</v>
      </c>
      <c r="R867" s="274">
        <v>40280</v>
      </c>
      <c r="S867" s="253">
        <v>12</v>
      </c>
      <c r="T867" s="254">
        <f>SUM( tabConsumo[[#This Row],[QTD.PENDENTE]]:tabConsumo[[#This Row],[07_23]] ) / tabConsumo[[#This Row],[Div]]</f>
        <v>7.25</v>
      </c>
      <c r="U867" s="255">
        <f xml:space="preserve"> tabConsumo[[#This Row],[Média.A]] + (_xlfn.STDEV.S( tabConsumo[[#This Row],[QTD.PENDENTE]]:tabConsumo[[#This Row],[07_23]] ) * 1)</f>
        <v>19.083119929787209</v>
      </c>
      <c r="V867" s="255">
        <f xml:space="preserve"> tabConsumo[[#This Row],[Média.A]] + (_xlfn.STDEV.S( tabConsumo[[#This Row],[QTD.PENDENTE]]:tabConsumo[[#This Row],[07_23]] ) * 2)</f>
        <v>30.916239859574421</v>
      </c>
      <c r="W867" s="255">
        <f xml:space="preserve"> tabConsumo[[#This Row],[Média.A]] + (_xlfn.STDEV.S( tabConsumo[[#This Row],[QTD.PENDENTE]]:tabConsumo[[#This Row],[07_23]] ) * 3)</f>
        <v>42.749359789361634</v>
      </c>
      <c r="X867" s="5">
        <f t="shared" si="31"/>
        <v>2</v>
      </c>
      <c r="Y867">
        <v>6.416666666666667</v>
      </c>
      <c r="Z867" s="257">
        <f>SUM( tabConsumo[[#This Row],[QTD.PENDENTE]]:tabConsumo[[#This Row],[07_23]] )</f>
        <v>87</v>
      </c>
      <c r="AA867" s="257">
        <f>LARGE(tabConsumo[[#This Row],[08_22]:[07_23]],1)</f>
        <v>40</v>
      </c>
      <c r="AB867" s="175" t="s">
        <v>2211</v>
      </c>
      <c r="AC867" s="3" t="s">
        <v>2064</v>
      </c>
    </row>
    <row r="868" spans="1:29" x14ac:dyDescent="0.3">
      <c r="A868" s="4" t="s">
        <v>1711</v>
      </c>
      <c r="B868" s="3" t="s">
        <v>31</v>
      </c>
      <c r="C868" s="2">
        <v>115840</v>
      </c>
      <c r="D868" s="2">
        <v>25</v>
      </c>
      <c r="F868" s="2">
        <v>0</v>
      </c>
      <c r="G868" s="2">
        <v>0</v>
      </c>
      <c r="H868" s="2">
        <v>0</v>
      </c>
      <c r="I868" s="2">
        <v>0</v>
      </c>
      <c r="J868" s="2">
        <v>0</v>
      </c>
      <c r="K868" s="2">
        <v>0</v>
      </c>
      <c r="L868" s="2">
        <v>0</v>
      </c>
      <c r="M868" s="2">
        <v>0</v>
      </c>
      <c r="N868" s="2">
        <v>0</v>
      </c>
      <c r="O868" s="2">
        <v>0</v>
      </c>
      <c r="P868" s="2">
        <v>6</v>
      </c>
      <c r="Q868" s="2">
        <v>1</v>
      </c>
      <c r="R868" s="274">
        <v>40357</v>
      </c>
      <c r="S868" s="253">
        <v>12</v>
      </c>
      <c r="T868" s="254">
        <f>SUM( tabConsumo[[#This Row],[QTD.PENDENTE]]:tabConsumo[[#This Row],[07_23]] ) / tabConsumo[[#This Row],[Div]]</f>
        <v>0.58333333333333337</v>
      </c>
      <c r="U868" s="255">
        <f xml:space="preserve"> tabConsumo[[#This Row],[Média.A]] + (_xlfn.STDEV.S( tabConsumo[[#This Row],[QTD.PENDENTE]]:tabConsumo[[#This Row],[07_23]] ) * 1)</f>
        <v>2.3131958256789655</v>
      </c>
      <c r="V868" s="255">
        <f xml:space="preserve"> tabConsumo[[#This Row],[Média.A]] + (_xlfn.STDEV.S( tabConsumo[[#This Row],[QTD.PENDENTE]]:tabConsumo[[#This Row],[07_23]] ) * 2)</f>
        <v>4.0430583180245971</v>
      </c>
      <c r="W868" s="255">
        <f xml:space="preserve"> tabConsumo[[#This Row],[Média.A]] + (_xlfn.STDEV.S( tabConsumo[[#This Row],[QTD.PENDENTE]]:tabConsumo[[#This Row],[07_23]] ) * 3)</f>
        <v>5.7729208103702296</v>
      </c>
      <c r="X868" s="5">
        <f t="shared" si="31"/>
        <v>2</v>
      </c>
      <c r="Y868">
        <v>0.41666666666666669</v>
      </c>
      <c r="Z868" s="257">
        <f>SUM( tabConsumo[[#This Row],[QTD.PENDENTE]]:tabConsumo[[#This Row],[07_23]] )</f>
        <v>7</v>
      </c>
      <c r="AA868" s="257">
        <f>LARGE(tabConsumo[[#This Row],[08_22]:[07_23]],1)</f>
        <v>6</v>
      </c>
      <c r="AB868" s="175" t="s">
        <v>2211</v>
      </c>
      <c r="AC868" s="3" t="s">
        <v>2064</v>
      </c>
    </row>
    <row r="869" spans="1:29" x14ac:dyDescent="0.3">
      <c r="A869" s="4" t="s">
        <v>1142</v>
      </c>
      <c r="B869" s="3" t="s">
        <v>256</v>
      </c>
      <c r="C869" s="2">
        <v>17946</v>
      </c>
      <c r="D869" s="2">
        <v>2316</v>
      </c>
      <c r="F869" s="2">
        <v>0</v>
      </c>
      <c r="G869" s="2">
        <v>0</v>
      </c>
      <c r="H869" s="2">
        <v>0</v>
      </c>
      <c r="I869" s="2">
        <v>0</v>
      </c>
      <c r="J869" s="2">
        <v>0</v>
      </c>
      <c r="K869" s="2">
        <v>0</v>
      </c>
      <c r="L869" s="2">
        <v>0</v>
      </c>
      <c r="M869" s="2">
        <v>0</v>
      </c>
      <c r="N869" s="2">
        <v>0</v>
      </c>
      <c r="O869" s="2">
        <v>20</v>
      </c>
      <c r="P869" s="2">
        <v>0</v>
      </c>
      <c r="Q869" s="2">
        <v>0</v>
      </c>
      <c r="R869" s="274">
        <v>367</v>
      </c>
      <c r="S869" s="253">
        <f xml:space="preserve"> 12</f>
        <v>12</v>
      </c>
      <c r="T869" s="254">
        <f>SUM( tabConsumo[[#This Row],[QTD.PENDENTE]]:tabConsumo[[#This Row],[07_23]] ) / tabConsumo[[#This Row],[Div]]</f>
        <v>1.6666666666666667</v>
      </c>
      <c r="U869" s="255">
        <f xml:space="preserve"> tabConsumo[[#This Row],[Média.A]] + (_xlfn.STDEV.S( tabConsumo[[#This Row],[QTD.PENDENTE]]:tabConsumo[[#This Row],[07_23]] ) * 1)</f>
        <v>7.4401693585629252</v>
      </c>
      <c r="V869" s="255">
        <f xml:space="preserve"> tabConsumo[[#This Row],[Média.A]] + (_xlfn.STDEV.S( tabConsumo[[#This Row],[QTD.PENDENTE]]:tabConsumo[[#This Row],[07_23]] ) * 2)</f>
        <v>13.213672050459182</v>
      </c>
      <c r="W869" s="255">
        <f xml:space="preserve"> tabConsumo[[#This Row],[Média.A]] + (_xlfn.STDEV.S( tabConsumo[[#This Row],[QTD.PENDENTE]]:tabConsumo[[#This Row],[07_23]] ) * 3)</f>
        <v>18.987174742355442</v>
      </c>
      <c r="X869" s="5">
        <f t="shared" si="31"/>
        <v>2</v>
      </c>
      <c r="Y869">
        <v>1.0833333333333333</v>
      </c>
      <c r="Z869" s="257">
        <f>SUM( tabConsumo[[#This Row],[QTD.PENDENTE]]:tabConsumo[[#This Row],[07_23]] )</f>
        <v>20</v>
      </c>
      <c r="AA869" s="257">
        <f>LARGE(tabConsumo[[#This Row],[08_22]:[07_23]],1)</f>
        <v>20</v>
      </c>
      <c r="AB869" s="175" t="s">
        <v>2214</v>
      </c>
      <c r="AC869" s="3" t="s">
        <v>2064</v>
      </c>
    </row>
  </sheetData>
  <dataConsolidate/>
  <conditionalFormatting sqref="A2:XFD2">
    <cfRule type="cellIs" dxfId="78" priority="679" operator="greaterThan">
      <formula>""""""</formula>
    </cfRule>
  </conditionalFormatting>
  <conditionalFormatting sqref="AC1:AC2">
    <cfRule type="cellIs" dxfId="77"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1173480</xdr:colOff>
                <xdr:row>0</xdr:row>
                <xdr:rowOff>68580</xdr:rowOff>
              </from>
              <to>
                <xdr:col>0</xdr:col>
                <xdr:colOff>2247900</xdr:colOff>
                <xdr:row>0</xdr:row>
                <xdr:rowOff>640080</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45720</xdr:colOff>
                <xdr:row>0</xdr:row>
                <xdr:rowOff>68580</xdr:rowOff>
              </from>
              <to>
                <xdr:col>0</xdr:col>
                <xdr:colOff>1120140</xdr:colOff>
                <xdr:row>0</xdr:row>
                <xdr:rowOff>640080</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68580</xdr:rowOff>
              </from>
              <to>
                <xdr:col>0</xdr:col>
                <xdr:colOff>3360420</xdr:colOff>
                <xdr:row>0</xdr:row>
                <xdr:rowOff>640080</xdr:rowOff>
              </to>
            </anchor>
          </controlPr>
        </control>
      </mc:Choice>
      <mc:Fallback>
        <control shapeId="1890667" r:id="rId8" name="btn_Consumo_AtalPPed"/>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7"/>
  <sheetViews>
    <sheetView workbookViewId="0">
      <pane xSplit="8" ySplit="3" topLeftCell="I290" activePane="bottomRight" state="frozen"/>
      <selection pane="topRight" activeCell="G1" sqref="G1"/>
      <selection pane="bottomLeft" activeCell="A4" sqref="A4"/>
      <selection pane="bottomRight" activeCell="B307" sqref="B307"/>
    </sheetView>
  </sheetViews>
  <sheetFormatPr defaultRowHeight="14.4" x14ac:dyDescent="0.3"/>
  <cols>
    <col min="1" max="1" width="9.5546875" style="24" bestFit="1" customWidth="1"/>
    <col min="2" max="2" width="150.6640625" style="23" customWidth="1"/>
    <col min="3" max="3" width="4.6640625" style="25" customWidth="1"/>
    <col min="4" max="4" width="8.88671875" style="26" customWidth="1"/>
    <col min="5" max="5" width="8.44140625" style="26" customWidth="1"/>
    <col min="6" max="6" width="14.6640625" style="26" hidden="1" customWidth="1"/>
    <col min="7" max="7" width="17.44140625" style="26" hidden="1" customWidth="1"/>
    <col min="8" max="8" width="9.6640625" style="24" customWidth="1"/>
    <col min="9" max="10" width="3.88671875" customWidth="1"/>
    <col min="11" max="11" width="4.88671875" customWidth="1"/>
    <col min="12" max="24" width="26.44140625" customWidth="1"/>
  </cols>
  <sheetData>
    <row r="1" spans="1:8" ht="29.25" customHeight="1" x14ac:dyDescent="0.3">
      <c r="A1" s="391" t="s">
        <v>115</v>
      </c>
      <c r="B1" s="392"/>
      <c r="C1" s="392"/>
      <c r="D1" s="392"/>
      <c r="E1" s="392"/>
      <c r="F1" s="392"/>
      <c r="G1" s="392"/>
      <c r="H1" s="392"/>
    </row>
    <row r="2" spans="1:8" ht="32.25" customHeight="1" x14ac:dyDescent="0.3">
      <c r="A2" s="393"/>
      <c r="B2" s="393"/>
      <c r="C2" s="393"/>
      <c r="D2" s="393"/>
      <c r="E2" s="393"/>
      <c r="F2" s="393"/>
      <c r="G2" s="393"/>
      <c r="H2" s="393"/>
    </row>
    <row r="3" spans="1:8" x14ac:dyDescent="0.3">
      <c r="A3" s="68" t="s">
        <v>0</v>
      </c>
      <c r="B3" s="69" t="s">
        <v>1</v>
      </c>
      <c r="C3" s="70" t="s">
        <v>31</v>
      </c>
      <c r="D3" s="71" t="s">
        <v>20</v>
      </c>
      <c r="E3" s="71" t="s">
        <v>34</v>
      </c>
      <c r="F3" s="106" t="s">
        <v>94</v>
      </c>
      <c r="G3" s="106" t="s">
        <v>95</v>
      </c>
      <c r="H3" s="77" t="s">
        <v>62</v>
      </c>
    </row>
    <row r="4" spans="1:8" x14ac:dyDescent="0.3">
      <c r="A4" s="2">
        <v>2278</v>
      </c>
      <c r="B4" s="4" t="s">
        <v>875</v>
      </c>
      <c r="C4" s="3" t="s">
        <v>281</v>
      </c>
      <c r="D4" s="233">
        <v>70</v>
      </c>
      <c r="E4" s="233">
        <v>17</v>
      </c>
      <c r="F4" s="234" t="s">
        <v>857</v>
      </c>
      <c r="G4" s="235">
        <v>44463.593159722222</v>
      </c>
      <c r="H4" s="2"/>
    </row>
    <row r="5" spans="1:8" x14ac:dyDescent="0.3">
      <c r="A5" s="2">
        <v>4689</v>
      </c>
      <c r="B5" s="4" t="s">
        <v>586</v>
      </c>
      <c r="C5" s="3" t="s">
        <v>256</v>
      </c>
      <c r="D5" s="233">
        <v>20</v>
      </c>
      <c r="E5" s="233">
        <v>3</v>
      </c>
      <c r="F5" s="234" t="s">
        <v>271</v>
      </c>
      <c r="G5" s="235">
        <v>44313.495532407411</v>
      </c>
      <c r="H5" s="2"/>
    </row>
    <row r="6" spans="1:8" x14ac:dyDescent="0.3">
      <c r="A6" s="2">
        <v>4690</v>
      </c>
      <c r="B6" s="4" t="s">
        <v>585</v>
      </c>
      <c r="C6" s="3" t="s">
        <v>256</v>
      </c>
      <c r="D6" s="233">
        <v>20</v>
      </c>
      <c r="E6" s="233">
        <v>3</v>
      </c>
      <c r="F6" s="234" t="s">
        <v>271</v>
      </c>
      <c r="G6" s="235">
        <v>44313.495532407411</v>
      </c>
      <c r="H6" s="2"/>
    </row>
    <row r="7" spans="1:8" x14ac:dyDescent="0.3">
      <c r="A7" s="2">
        <v>10870</v>
      </c>
      <c r="B7" s="4" t="s">
        <v>267</v>
      </c>
      <c r="C7" s="3" t="s">
        <v>268</v>
      </c>
      <c r="D7" s="233"/>
      <c r="E7" s="233"/>
      <c r="F7" s="234"/>
      <c r="G7" s="235"/>
      <c r="H7" s="2"/>
    </row>
    <row r="8" spans="1:8" x14ac:dyDescent="0.3">
      <c r="A8" s="2">
        <v>11287</v>
      </c>
      <c r="B8" s="4" t="s">
        <v>412</v>
      </c>
      <c r="C8" s="3" t="s">
        <v>413</v>
      </c>
      <c r="D8" s="233">
        <v>45</v>
      </c>
      <c r="E8" s="233">
        <v>12</v>
      </c>
      <c r="F8" s="234" t="s">
        <v>257</v>
      </c>
      <c r="G8" s="235">
        <v>43882.488356481481</v>
      </c>
      <c r="H8" s="2"/>
    </row>
    <row r="9" spans="1:8" x14ac:dyDescent="0.3">
      <c r="A9" s="2">
        <v>11882</v>
      </c>
      <c r="B9" s="4" t="s">
        <v>330</v>
      </c>
      <c r="C9" s="3" t="s">
        <v>331</v>
      </c>
      <c r="D9" s="233">
        <v>80</v>
      </c>
      <c r="E9" s="233">
        <v>1</v>
      </c>
      <c r="F9" s="234"/>
      <c r="G9" s="235"/>
      <c r="H9" s="2"/>
    </row>
    <row r="10" spans="1:8" x14ac:dyDescent="0.3">
      <c r="A10" s="2">
        <v>11956</v>
      </c>
      <c r="B10" s="4" t="s">
        <v>332</v>
      </c>
      <c r="C10" s="3" t="s">
        <v>331</v>
      </c>
      <c r="D10" s="233">
        <v>80</v>
      </c>
      <c r="E10" s="233">
        <v>1</v>
      </c>
      <c r="F10" s="234"/>
      <c r="G10" s="235"/>
      <c r="H10" s="2"/>
    </row>
    <row r="11" spans="1:8" x14ac:dyDescent="0.3">
      <c r="A11" s="2">
        <v>11980</v>
      </c>
      <c r="B11" s="4" t="s">
        <v>488</v>
      </c>
      <c r="C11" s="3"/>
      <c r="D11" s="233"/>
      <c r="E11" s="233"/>
      <c r="F11" s="234"/>
      <c r="G11" s="235"/>
      <c r="H11" s="2"/>
    </row>
    <row r="12" spans="1:8" x14ac:dyDescent="0.3">
      <c r="A12" s="2">
        <v>12020</v>
      </c>
      <c r="B12" s="4" t="s">
        <v>524</v>
      </c>
      <c r="C12" s="3" t="s">
        <v>256</v>
      </c>
      <c r="D12" s="233">
        <v>80</v>
      </c>
      <c r="E12" s="233">
        <v>1</v>
      </c>
      <c r="F12" s="234"/>
      <c r="G12" s="235"/>
      <c r="H12" s="2"/>
    </row>
    <row r="13" spans="1:8" x14ac:dyDescent="0.3">
      <c r="A13" s="2">
        <v>12610</v>
      </c>
      <c r="B13" s="4" t="s">
        <v>489</v>
      </c>
      <c r="C13" s="3" t="s">
        <v>31</v>
      </c>
      <c r="D13" s="233">
        <v>45</v>
      </c>
      <c r="E13" s="233">
        <v>11</v>
      </c>
      <c r="F13" s="234" t="s">
        <v>271</v>
      </c>
      <c r="G13" s="235" t="s">
        <v>490</v>
      </c>
      <c r="H13" s="2"/>
    </row>
    <row r="14" spans="1:8" x14ac:dyDescent="0.3">
      <c r="A14" s="2">
        <v>12615</v>
      </c>
      <c r="B14" s="4" t="s">
        <v>749</v>
      </c>
      <c r="C14" s="3" t="s">
        <v>748</v>
      </c>
      <c r="D14" s="233">
        <v>72</v>
      </c>
      <c r="E14" s="233">
        <v>9</v>
      </c>
      <c r="F14" s="234" t="s">
        <v>257</v>
      </c>
      <c r="G14" s="235">
        <v>43732.432951388888</v>
      </c>
      <c r="H14" s="2"/>
    </row>
    <row r="15" spans="1:8" x14ac:dyDescent="0.3">
      <c r="A15" s="2">
        <v>12657</v>
      </c>
      <c r="B15" s="4" t="s">
        <v>511</v>
      </c>
      <c r="C15" s="3" t="s">
        <v>268</v>
      </c>
      <c r="D15" s="233">
        <v>81</v>
      </c>
      <c r="E15" s="233">
        <v>9</v>
      </c>
      <c r="F15" s="234"/>
      <c r="G15" s="235"/>
      <c r="H15" s="2"/>
    </row>
    <row r="16" spans="1:8" x14ac:dyDescent="0.3">
      <c r="A16" s="2">
        <v>12673</v>
      </c>
      <c r="B16" s="4" t="s">
        <v>880</v>
      </c>
      <c r="C16" s="3" t="s">
        <v>256</v>
      </c>
      <c r="D16" s="233">
        <v>72</v>
      </c>
      <c r="E16" s="233">
        <v>5</v>
      </c>
      <c r="F16" s="234" t="s">
        <v>857</v>
      </c>
      <c r="G16" s="235">
        <v>44873.378078703703</v>
      </c>
      <c r="H16" s="2"/>
    </row>
    <row r="17" spans="1:8" x14ac:dyDescent="0.3">
      <c r="A17" s="2">
        <v>12675</v>
      </c>
      <c r="B17" s="4" t="s">
        <v>558</v>
      </c>
      <c r="C17" s="3" t="s">
        <v>256</v>
      </c>
      <c r="D17" s="233">
        <v>72</v>
      </c>
      <c r="E17" s="233">
        <v>5</v>
      </c>
      <c r="F17" s="234"/>
      <c r="G17" s="235"/>
      <c r="H17" s="2"/>
    </row>
    <row r="18" spans="1:8" x14ac:dyDescent="0.3">
      <c r="A18" s="2">
        <v>12708</v>
      </c>
      <c r="B18" s="4" t="s">
        <v>750</v>
      </c>
      <c r="C18" s="3"/>
      <c r="D18" s="233"/>
      <c r="E18" s="233"/>
      <c r="F18" s="234"/>
      <c r="G18" s="235"/>
      <c r="H18" s="2"/>
    </row>
    <row r="19" spans="1:8" x14ac:dyDescent="0.3">
      <c r="A19" s="2">
        <v>12712</v>
      </c>
      <c r="B19" s="4" t="s">
        <v>757</v>
      </c>
      <c r="C19" s="3" t="s">
        <v>256</v>
      </c>
      <c r="D19" s="233">
        <v>72</v>
      </c>
      <c r="E19" s="233">
        <v>9</v>
      </c>
      <c r="F19" s="234" t="s">
        <v>257</v>
      </c>
      <c r="G19" s="235">
        <v>43732.432951388888</v>
      </c>
      <c r="H19" s="2"/>
    </row>
    <row r="20" spans="1:8" x14ac:dyDescent="0.3">
      <c r="A20" s="2">
        <v>12720</v>
      </c>
      <c r="B20" s="4" t="s">
        <v>327</v>
      </c>
      <c r="C20" s="3" t="s">
        <v>256</v>
      </c>
      <c r="D20" s="233">
        <v>72</v>
      </c>
      <c r="E20" s="233">
        <v>6</v>
      </c>
      <c r="F20" s="234"/>
      <c r="G20" s="235"/>
      <c r="H20" s="2"/>
    </row>
    <row r="21" spans="1:8" x14ac:dyDescent="0.3">
      <c r="A21" s="2">
        <v>12806</v>
      </c>
      <c r="B21" s="4" t="s">
        <v>272</v>
      </c>
      <c r="C21" s="3" t="s">
        <v>273</v>
      </c>
      <c r="D21" s="233">
        <v>76</v>
      </c>
      <c r="E21" s="233">
        <v>16</v>
      </c>
      <c r="F21" s="234" t="s">
        <v>257</v>
      </c>
      <c r="G21" s="235">
        <v>44008.450694444444</v>
      </c>
      <c r="H21" s="2"/>
    </row>
    <row r="22" spans="1:8" x14ac:dyDescent="0.3">
      <c r="A22" s="2">
        <v>12812</v>
      </c>
      <c r="B22" s="4" t="s">
        <v>870</v>
      </c>
      <c r="C22" s="3" t="s">
        <v>256</v>
      </c>
      <c r="D22" s="233">
        <v>76</v>
      </c>
      <c r="E22" s="233">
        <v>11</v>
      </c>
      <c r="F22" s="234" t="s">
        <v>857</v>
      </c>
      <c r="G22" s="235">
        <v>44463.593159722222</v>
      </c>
      <c r="H22" s="2"/>
    </row>
    <row r="23" spans="1:8" x14ac:dyDescent="0.3">
      <c r="A23" s="2">
        <v>12818</v>
      </c>
      <c r="B23" s="4" t="s">
        <v>436</v>
      </c>
      <c r="C23" s="3" t="s">
        <v>270</v>
      </c>
      <c r="D23" s="233">
        <v>76</v>
      </c>
      <c r="E23" s="233">
        <v>6</v>
      </c>
      <c r="F23" s="234" t="s">
        <v>257</v>
      </c>
      <c r="G23" s="235">
        <v>43896.298993055556</v>
      </c>
      <c r="H23" s="2"/>
    </row>
    <row r="24" spans="1:8" x14ac:dyDescent="0.3">
      <c r="A24" s="2">
        <v>12820</v>
      </c>
      <c r="B24" s="4" t="s">
        <v>431</v>
      </c>
      <c r="C24" s="3" t="s">
        <v>270</v>
      </c>
      <c r="D24" s="233">
        <v>76</v>
      </c>
      <c r="E24" s="233">
        <v>6</v>
      </c>
      <c r="F24" s="234" t="s">
        <v>257</v>
      </c>
      <c r="G24" s="235">
        <v>43896.298993055556</v>
      </c>
      <c r="H24" s="2"/>
    </row>
    <row r="25" spans="1:8" x14ac:dyDescent="0.3">
      <c r="A25" s="2">
        <v>12829</v>
      </c>
      <c r="B25" s="4" t="s">
        <v>432</v>
      </c>
      <c r="C25" s="3" t="s">
        <v>270</v>
      </c>
      <c r="D25" s="233">
        <v>76</v>
      </c>
      <c r="E25" s="233">
        <v>6</v>
      </c>
      <c r="F25" s="234" t="s">
        <v>257</v>
      </c>
      <c r="G25" s="235">
        <v>43896.298993055556</v>
      </c>
      <c r="H25" s="2"/>
    </row>
    <row r="26" spans="1:8" x14ac:dyDescent="0.3">
      <c r="A26" s="2">
        <v>12831</v>
      </c>
      <c r="B26" s="4" t="s">
        <v>435</v>
      </c>
      <c r="C26" s="3" t="s">
        <v>270</v>
      </c>
      <c r="D26" s="233">
        <v>76</v>
      </c>
      <c r="E26" s="233">
        <v>6</v>
      </c>
      <c r="F26" s="234" t="s">
        <v>257</v>
      </c>
      <c r="G26" s="235">
        <v>43896.298993055556</v>
      </c>
      <c r="H26" s="2"/>
    </row>
    <row r="27" spans="1:8" x14ac:dyDescent="0.3">
      <c r="A27" s="2">
        <v>12838</v>
      </c>
      <c r="B27" s="4" t="s">
        <v>437</v>
      </c>
      <c r="C27" s="3" t="s">
        <v>270</v>
      </c>
      <c r="D27" s="233">
        <v>76</v>
      </c>
      <c r="E27" s="233">
        <v>6</v>
      </c>
      <c r="F27" s="234" t="s">
        <v>257</v>
      </c>
      <c r="G27" s="235">
        <v>43896.298993055556</v>
      </c>
      <c r="H27" s="2"/>
    </row>
    <row r="28" spans="1:8" x14ac:dyDescent="0.3">
      <c r="A28" s="2">
        <v>12851</v>
      </c>
      <c r="B28" s="4" t="s">
        <v>684</v>
      </c>
      <c r="C28" s="3" t="s">
        <v>256</v>
      </c>
      <c r="D28" s="233">
        <v>51</v>
      </c>
      <c r="E28" s="233">
        <v>12</v>
      </c>
      <c r="F28" s="234"/>
      <c r="G28" s="235"/>
      <c r="H28" s="2"/>
    </row>
    <row r="29" spans="1:8" x14ac:dyDescent="0.3">
      <c r="A29" s="2">
        <v>12853</v>
      </c>
      <c r="B29" s="4" t="s">
        <v>873</v>
      </c>
      <c r="C29" s="3" t="s">
        <v>256</v>
      </c>
      <c r="D29" s="233">
        <v>76</v>
      </c>
      <c r="E29" s="233">
        <v>11</v>
      </c>
      <c r="F29" s="234" t="s">
        <v>857</v>
      </c>
      <c r="G29" s="235">
        <v>44463.593159722222</v>
      </c>
      <c r="H29" s="2"/>
    </row>
    <row r="30" spans="1:8" x14ac:dyDescent="0.3">
      <c r="A30" s="2">
        <v>12857</v>
      </c>
      <c r="B30" s="4" t="s">
        <v>874</v>
      </c>
      <c r="C30" s="3" t="s">
        <v>256</v>
      </c>
      <c r="D30" s="233">
        <v>76</v>
      </c>
      <c r="E30" s="233">
        <v>11</v>
      </c>
      <c r="F30" s="234" t="s">
        <v>857</v>
      </c>
      <c r="G30" s="235">
        <v>44463.593159722222</v>
      </c>
      <c r="H30" s="2"/>
    </row>
    <row r="31" spans="1:8" x14ac:dyDescent="0.3">
      <c r="A31" s="2">
        <v>12869</v>
      </c>
      <c r="B31" s="4" t="s">
        <v>446</v>
      </c>
      <c r="C31" s="3" t="s">
        <v>256</v>
      </c>
      <c r="D31" s="233">
        <v>61</v>
      </c>
      <c r="E31" s="233">
        <v>8</v>
      </c>
      <c r="F31" s="234" t="s">
        <v>257</v>
      </c>
      <c r="G31" s="235">
        <v>43875.455243055556</v>
      </c>
      <c r="H31" s="2"/>
    </row>
    <row r="32" spans="1:8" x14ac:dyDescent="0.3">
      <c r="A32" s="2">
        <v>12888</v>
      </c>
      <c r="B32" s="4" t="s">
        <v>444</v>
      </c>
      <c r="C32" s="3" t="s">
        <v>256</v>
      </c>
      <c r="D32" s="233">
        <v>61</v>
      </c>
      <c r="E32" s="233">
        <v>8</v>
      </c>
      <c r="F32" s="234"/>
      <c r="G32" s="235"/>
      <c r="H32" s="2"/>
    </row>
    <row r="33" spans="1:8" x14ac:dyDescent="0.3">
      <c r="A33" s="2">
        <v>12915</v>
      </c>
      <c r="B33" s="4" t="s">
        <v>851</v>
      </c>
      <c r="C33" s="3" t="s">
        <v>596</v>
      </c>
      <c r="D33" s="233">
        <v>76</v>
      </c>
      <c r="E33" s="233">
        <v>5</v>
      </c>
      <c r="F33" s="234"/>
      <c r="G33" s="235"/>
      <c r="H33" s="2"/>
    </row>
    <row r="34" spans="1:8" x14ac:dyDescent="0.3">
      <c r="A34" s="2">
        <v>12925</v>
      </c>
      <c r="B34" s="4" t="s">
        <v>495</v>
      </c>
      <c r="C34" s="3" t="s">
        <v>256</v>
      </c>
      <c r="D34" s="233">
        <v>70</v>
      </c>
      <c r="E34" s="233">
        <v>17</v>
      </c>
      <c r="F34" s="234" t="s">
        <v>257</v>
      </c>
      <c r="G34" s="235" t="s">
        <v>496</v>
      </c>
      <c r="H34" s="2"/>
    </row>
    <row r="35" spans="1:8" x14ac:dyDescent="0.3">
      <c r="A35" s="2">
        <v>12934</v>
      </c>
      <c r="B35" s="4" t="s">
        <v>538</v>
      </c>
      <c r="C35" s="3" t="s">
        <v>256</v>
      </c>
      <c r="D35" s="233">
        <v>70</v>
      </c>
      <c r="E35" s="233">
        <v>30</v>
      </c>
      <c r="F35" s="234"/>
      <c r="G35" s="235"/>
      <c r="H35" s="2"/>
    </row>
    <row r="36" spans="1:8" x14ac:dyDescent="0.3">
      <c r="A36" s="2">
        <v>12937</v>
      </c>
      <c r="B36" s="4" t="s">
        <v>477</v>
      </c>
      <c r="C36" s="3" t="s">
        <v>256</v>
      </c>
      <c r="D36" s="233">
        <v>55</v>
      </c>
      <c r="E36" s="233">
        <v>26</v>
      </c>
      <c r="F36" s="234"/>
      <c r="G36" s="235"/>
      <c r="H36" s="2"/>
    </row>
    <row r="37" spans="1:8" x14ac:dyDescent="0.3">
      <c r="A37" s="2">
        <v>12944</v>
      </c>
      <c r="B37" s="4" t="s">
        <v>592</v>
      </c>
      <c r="C37" s="3" t="s">
        <v>256</v>
      </c>
      <c r="D37" s="233">
        <v>61</v>
      </c>
      <c r="E37" s="233">
        <v>8</v>
      </c>
      <c r="F37" s="234"/>
      <c r="G37" s="235"/>
      <c r="H37" s="2"/>
    </row>
    <row r="38" spans="1:8" x14ac:dyDescent="0.3">
      <c r="A38" s="2">
        <v>12953</v>
      </c>
      <c r="B38" s="4" t="s">
        <v>588</v>
      </c>
      <c r="C38" s="3" t="s">
        <v>256</v>
      </c>
      <c r="D38" s="233">
        <v>61</v>
      </c>
      <c r="E38" s="233">
        <v>8</v>
      </c>
      <c r="F38" s="234"/>
      <c r="G38" s="235"/>
      <c r="H38" s="2"/>
    </row>
    <row r="39" spans="1:8" x14ac:dyDescent="0.3">
      <c r="A39" s="2">
        <v>12961</v>
      </c>
      <c r="B39" s="4" t="s">
        <v>602</v>
      </c>
      <c r="C39" s="3" t="s">
        <v>256</v>
      </c>
      <c r="D39" s="233">
        <v>61</v>
      </c>
      <c r="E39" s="233">
        <v>8</v>
      </c>
      <c r="F39" s="234"/>
      <c r="G39" s="235"/>
      <c r="H39" s="2"/>
    </row>
    <row r="40" spans="1:8" x14ac:dyDescent="0.3">
      <c r="A40" s="2">
        <v>12964</v>
      </c>
      <c r="B40" s="4" t="s">
        <v>604</v>
      </c>
      <c r="C40" s="3" t="s">
        <v>256</v>
      </c>
      <c r="D40" s="233">
        <v>61</v>
      </c>
      <c r="E40" s="233">
        <v>8</v>
      </c>
      <c r="F40" s="234"/>
      <c r="G40" s="235"/>
      <c r="H40" s="2"/>
    </row>
    <row r="41" spans="1:8" x14ac:dyDescent="0.3">
      <c r="A41" s="2">
        <v>13007</v>
      </c>
      <c r="B41" s="4" t="s">
        <v>485</v>
      </c>
      <c r="C41" s="3" t="s">
        <v>331</v>
      </c>
      <c r="D41" s="233">
        <v>55</v>
      </c>
      <c r="E41" s="233">
        <v>32</v>
      </c>
      <c r="F41" s="234"/>
      <c r="G41" s="235"/>
      <c r="H41" s="2"/>
    </row>
    <row r="42" spans="1:8" x14ac:dyDescent="0.3">
      <c r="A42" s="2">
        <v>13013</v>
      </c>
      <c r="B42" s="4" t="s">
        <v>582</v>
      </c>
      <c r="C42" s="3" t="s">
        <v>256</v>
      </c>
      <c r="D42" s="233">
        <v>55</v>
      </c>
      <c r="E42" s="233">
        <v>49</v>
      </c>
      <c r="F42" s="234"/>
      <c r="G42" s="235"/>
      <c r="H42" s="2"/>
    </row>
    <row r="43" spans="1:8" x14ac:dyDescent="0.3">
      <c r="A43" s="2">
        <v>13019</v>
      </c>
      <c r="B43" s="4" t="s">
        <v>348</v>
      </c>
      <c r="C43" s="3"/>
      <c r="D43" s="233"/>
      <c r="E43" s="233"/>
      <c r="F43" s="234"/>
      <c r="G43" s="235"/>
      <c r="H43" s="2"/>
    </row>
    <row r="44" spans="1:8" x14ac:dyDescent="0.3">
      <c r="A44" s="2">
        <v>13021</v>
      </c>
      <c r="B44" s="4" t="s">
        <v>864</v>
      </c>
      <c r="C44" s="3" t="s">
        <v>413</v>
      </c>
      <c r="D44" s="233">
        <v>67</v>
      </c>
      <c r="E44" s="233">
        <v>6</v>
      </c>
      <c r="F44" s="234" t="s">
        <v>857</v>
      </c>
      <c r="G44" s="235">
        <v>44460.646018518521</v>
      </c>
      <c r="H44" s="2"/>
    </row>
    <row r="45" spans="1:8" x14ac:dyDescent="0.3">
      <c r="A45" s="2">
        <v>13033</v>
      </c>
      <c r="B45" s="4" t="s">
        <v>377</v>
      </c>
      <c r="C45" s="3" t="s">
        <v>256</v>
      </c>
      <c r="D45" s="233">
        <v>51</v>
      </c>
      <c r="E45" s="233">
        <v>26</v>
      </c>
      <c r="F45" s="234"/>
      <c r="G45" s="235"/>
      <c r="H45" s="2"/>
    </row>
    <row r="46" spans="1:8" x14ac:dyDescent="0.3">
      <c r="A46" s="2">
        <v>13053</v>
      </c>
      <c r="B46" s="4" t="s">
        <v>545</v>
      </c>
      <c r="C46" s="3" t="s">
        <v>256</v>
      </c>
      <c r="D46" s="233">
        <v>55</v>
      </c>
      <c r="E46" s="233">
        <v>57</v>
      </c>
      <c r="F46" s="234" t="s">
        <v>257</v>
      </c>
      <c r="G46" s="235">
        <v>43719.388321759259</v>
      </c>
      <c r="H46" s="2"/>
    </row>
    <row r="47" spans="1:8" x14ac:dyDescent="0.3">
      <c r="A47" s="2">
        <v>13059</v>
      </c>
      <c r="B47" s="4" t="s">
        <v>553</v>
      </c>
      <c r="C47" s="3" t="s">
        <v>256</v>
      </c>
      <c r="D47" s="233">
        <v>55</v>
      </c>
      <c r="E47" s="233">
        <v>52</v>
      </c>
      <c r="F47" s="234" t="s">
        <v>257</v>
      </c>
      <c r="G47" s="235">
        <v>43901.63380787037</v>
      </c>
      <c r="H47" s="2"/>
    </row>
    <row r="48" spans="1:8" x14ac:dyDescent="0.3">
      <c r="A48" s="2">
        <v>13060</v>
      </c>
      <c r="B48" s="4" t="s">
        <v>554</v>
      </c>
      <c r="C48" s="3" t="s">
        <v>256</v>
      </c>
      <c r="D48" s="233">
        <v>55</v>
      </c>
      <c r="E48" s="233">
        <v>52</v>
      </c>
      <c r="F48" s="234" t="s">
        <v>257</v>
      </c>
      <c r="G48" s="235">
        <v>43901.63380787037</v>
      </c>
      <c r="H48" s="2"/>
    </row>
    <row r="49" spans="1:8" x14ac:dyDescent="0.3">
      <c r="A49" s="2">
        <v>13070</v>
      </c>
      <c r="B49" s="4" t="s">
        <v>298</v>
      </c>
      <c r="C49" s="3" t="s">
        <v>256</v>
      </c>
      <c r="D49" s="233">
        <v>61</v>
      </c>
      <c r="E49" s="233">
        <v>8</v>
      </c>
      <c r="F49" s="234"/>
      <c r="G49" s="235"/>
      <c r="H49" s="2"/>
    </row>
    <row r="50" spans="1:8" x14ac:dyDescent="0.3">
      <c r="A50" s="2">
        <v>13076</v>
      </c>
      <c r="B50" s="4" t="s">
        <v>702</v>
      </c>
      <c r="C50" s="3" t="s">
        <v>400</v>
      </c>
      <c r="D50" s="233">
        <v>67</v>
      </c>
      <c r="E50" s="233">
        <v>6</v>
      </c>
      <c r="F50" s="234"/>
      <c r="G50" s="235"/>
      <c r="H50" s="2"/>
    </row>
    <row r="51" spans="1:8" x14ac:dyDescent="0.3">
      <c r="A51" s="2">
        <v>13077</v>
      </c>
      <c r="B51" s="4" t="s">
        <v>697</v>
      </c>
      <c r="C51" s="3" t="s">
        <v>400</v>
      </c>
      <c r="D51" s="233">
        <v>67</v>
      </c>
      <c r="E51" s="233">
        <v>6</v>
      </c>
      <c r="F51" s="234"/>
      <c r="G51" s="235"/>
      <c r="H51" s="2"/>
    </row>
    <row r="52" spans="1:8" x14ac:dyDescent="0.3">
      <c r="A52" s="2">
        <v>13078</v>
      </c>
      <c r="B52" s="4" t="s">
        <v>783</v>
      </c>
      <c r="C52" s="3" t="s">
        <v>256</v>
      </c>
      <c r="D52" s="233">
        <v>61</v>
      </c>
      <c r="E52" s="233">
        <v>8</v>
      </c>
      <c r="F52" s="234"/>
      <c r="G52" s="235"/>
      <c r="H52" s="2"/>
    </row>
    <row r="53" spans="1:8" x14ac:dyDescent="0.3">
      <c r="A53" s="2">
        <v>13096</v>
      </c>
      <c r="B53" s="4" t="s">
        <v>560</v>
      </c>
      <c r="C53" s="3" t="s">
        <v>256</v>
      </c>
      <c r="D53" s="233">
        <v>51</v>
      </c>
      <c r="E53" s="233">
        <v>36</v>
      </c>
      <c r="F53" s="234"/>
      <c r="G53" s="235"/>
      <c r="H53" s="2"/>
    </row>
    <row r="54" spans="1:8" x14ac:dyDescent="0.3">
      <c r="A54" s="2">
        <v>13100</v>
      </c>
      <c r="B54" s="4" t="s">
        <v>785</v>
      </c>
      <c r="C54" s="3" t="s">
        <v>256</v>
      </c>
      <c r="D54" s="233">
        <v>61</v>
      </c>
      <c r="E54" s="233">
        <v>8</v>
      </c>
      <c r="F54" s="234"/>
      <c r="G54" s="235"/>
      <c r="H54" s="2"/>
    </row>
    <row r="55" spans="1:8" x14ac:dyDescent="0.3">
      <c r="A55" s="2">
        <v>13123</v>
      </c>
      <c r="B55" s="4" t="s">
        <v>725</v>
      </c>
      <c r="C55" s="3" t="s">
        <v>256</v>
      </c>
      <c r="D55" s="233">
        <v>61</v>
      </c>
      <c r="E55" s="233">
        <v>15</v>
      </c>
      <c r="F55" s="234"/>
      <c r="G55" s="235"/>
      <c r="H55" s="2"/>
    </row>
    <row r="56" spans="1:8" x14ac:dyDescent="0.3">
      <c r="A56" s="2">
        <v>13125</v>
      </c>
      <c r="B56" s="4" t="s">
        <v>726</v>
      </c>
      <c r="C56" s="3" t="s">
        <v>256</v>
      </c>
      <c r="D56" s="233">
        <v>61</v>
      </c>
      <c r="E56" s="233">
        <v>15</v>
      </c>
      <c r="F56" s="234"/>
      <c r="G56" s="235"/>
      <c r="H56" s="2"/>
    </row>
    <row r="57" spans="1:8" x14ac:dyDescent="0.3">
      <c r="A57" s="2">
        <v>13130</v>
      </c>
      <c r="B57" s="4" t="s">
        <v>763</v>
      </c>
      <c r="C57" s="3"/>
      <c r="D57" s="233"/>
      <c r="E57" s="233"/>
      <c r="F57" s="234" t="s">
        <v>271</v>
      </c>
      <c r="G57" s="235" t="s">
        <v>764</v>
      </c>
      <c r="H57" s="2"/>
    </row>
    <row r="58" spans="1:8" x14ac:dyDescent="0.3">
      <c r="A58" s="2">
        <v>13152</v>
      </c>
      <c r="B58" s="4" t="s">
        <v>842</v>
      </c>
      <c r="C58" s="3" t="s">
        <v>256</v>
      </c>
      <c r="D58" s="233">
        <v>61</v>
      </c>
      <c r="E58" s="233">
        <v>14</v>
      </c>
      <c r="F58" s="234"/>
      <c r="G58" s="235"/>
      <c r="H58" s="2"/>
    </row>
    <row r="59" spans="1:8" x14ac:dyDescent="0.3">
      <c r="A59" s="2">
        <v>13175</v>
      </c>
      <c r="B59" s="4" t="s">
        <v>843</v>
      </c>
      <c r="C59" s="3" t="s">
        <v>256</v>
      </c>
      <c r="D59" s="233">
        <v>61</v>
      </c>
      <c r="E59" s="233">
        <v>14</v>
      </c>
      <c r="F59" s="234" t="s">
        <v>271</v>
      </c>
      <c r="G59" s="235">
        <v>44370.551851851851</v>
      </c>
      <c r="H59" s="2">
        <v>141429</v>
      </c>
    </row>
    <row r="60" spans="1:8" x14ac:dyDescent="0.3">
      <c r="A60" s="2">
        <v>13202</v>
      </c>
      <c r="B60" s="4" t="s">
        <v>479</v>
      </c>
      <c r="C60" s="3"/>
      <c r="D60" s="233"/>
      <c r="E60" s="233"/>
      <c r="F60" s="234"/>
      <c r="G60" s="235"/>
      <c r="H60" s="2">
        <v>136556</v>
      </c>
    </row>
    <row r="61" spans="1:8" x14ac:dyDescent="0.3">
      <c r="A61" s="2">
        <v>13225</v>
      </c>
      <c r="B61" s="4" t="s">
        <v>844</v>
      </c>
      <c r="C61" s="3" t="s">
        <v>256</v>
      </c>
      <c r="D61" s="233">
        <v>51</v>
      </c>
      <c r="E61" s="233">
        <v>11</v>
      </c>
      <c r="F61" s="234" t="s">
        <v>257</v>
      </c>
      <c r="G61" s="235" t="s">
        <v>845</v>
      </c>
      <c r="H61" s="2"/>
    </row>
    <row r="62" spans="1:8" x14ac:dyDescent="0.3">
      <c r="A62" s="2">
        <v>13905</v>
      </c>
      <c r="B62" s="4" t="s">
        <v>855</v>
      </c>
      <c r="C62" s="3" t="s">
        <v>275</v>
      </c>
      <c r="D62" s="233">
        <v>72</v>
      </c>
      <c r="E62" s="233">
        <v>10</v>
      </c>
      <c r="F62" s="234" t="s">
        <v>271</v>
      </c>
      <c r="G62" s="235">
        <v>44427.365474537037</v>
      </c>
      <c r="H62" s="2"/>
    </row>
    <row r="63" spans="1:8" x14ac:dyDescent="0.3">
      <c r="A63" s="2">
        <v>13975</v>
      </c>
      <c r="B63" s="4" t="s">
        <v>292</v>
      </c>
      <c r="C63" s="3" t="s">
        <v>256</v>
      </c>
      <c r="D63" s="233">
        <v>72</v>
      </c>
      <c r="E63" s="233">
        <v>6</v>
      </c>
      <c r="F63" s="234" t="s">
        <v>257</v>
      </c>
      <c r="G63" s="235">
        <v>43651.669050925928</v>
      </c>
      <c r="H63" s="2"/>
    </row>
    <row r="64" spans="1:8" x14ac:dyDescent="0.3">
      <c r="A64" s="2">
        <v>14009</v>
      </c>
      <c r="B64" s="4" t="s">
        <v>260</v>
      </c>
      <c r="C64" s="3" t="s">
        <v>256</v>
      </c>
      <c r="D64" s="233">
        <v>55</v>
      </c>
      <c r="E64" s="233">
        <v>46</v>
      </c>
      <c r="F64" s="234"/>
      <c r="G64" s="235"/>
      <c r="H64" s="2"/>
    </row>
    <row r="65" spans="1:8" x14ac:dyDescent="0.3">
      <c r="A65" s="2">
        <v>14010</v>
      </c>
      <c r="B65" s="4" t="s">
        <v>261</v>
      </c>
      <c r="C65" s="3" t="s">
        <v>256</v>
      </c>
      <c r="D65" s="233">
        <v>55</v>
      </c>
      <c r="E65" s="233">
        <v>46</v>
      </c>
      <c r="F65" s="234"/>
      <c r="G65" s="235"/>
      <c r="H65" s="2"/>
    </row>
    <row r="66" spans="1:8" x14ac:dyDescent="0.3">
      <c r="A66" s="2">
        <v>14014</v>
      </c>
      <c r="B66" s="4" t="s">
        <v>264</v>
      </c>
      <c r="C66" s="3" t="s">
        <v>256</v>
      </c>
      <c r="D66" s="233">
        <v>55</v>
      </c>
      <c r="E66" s="233">
        <v>46</v>
      </c>
      <c r="F66" s="234" t="s">
        <v>257</v>
      </c>
      <c r="G66" s="235" t="s">
        <v>265</v>
      </c>
      <c r="H66" s="2"/>
    </row>
    <row r="67" spans="1:8" x14ac:dyDescent="0.3">
      <c r="A67" s="2">
        <v>14199</v>
      </c>
      <c r="B67" s="4" t="s">
        <v>747</v>
      </c>
      <c r="C67" s="3" t="s">
        <v>748</v>
      </c>
      <c r="D67" s="233">
        <v>72</v>
      </c>
      <c r="E67" s="233">
        <v>9</v>
      </c>
      <c r="F67" s="234" t="s">
        <v>257</v>
      </c>
      <c r="G67" s="235">
        <v>43732.432951388888</v>
      </c>
      <c r="H67" s="2"/>
    </row>
    <row r="68" spans="1:8" x14ac:dyDescent="0.3">
      <c r="A68" s="2">
        <v>14895</v>
      </c>
      <c r="B68" s="4" t="s">
        <v>767</v>
      </c>
      <c r="C68" s="3" t="s">
        <v>256</v>
      </c>
      <c r="D68" s="233">
        <v>55</v>
      </c>
      <c r="E68" s="233">
        <v>27</v>
      </c>
      <c r="F68" s="234"/>
      <c r="G68" s="235"/>
      <c r="H68" s="2"/>
    </row>
    <row r="69" spans="1:8" x14ac:dyDescent="0.3">
      <c r="A69" s="2">
        <v>15029</v>
      </c>
      <c r="B69" s="4" t="s">
        <v>487</v>
      </c>
      <c r="C69" s="3" t="s">
        <v>256</v>
      </c>
      <c r="D69" s="233">
        <v>61</v>
      </c>
      <c r="E69" s="233">
        <v>10</v>
      </c>
      <c r="F69" s="234" t="s">
        <v>271</v>
      </c>
      <c r="G69" s="235">
        <v>43682.372615740744</v>
      </c>
      <c r="H69" s="2">
        <v>138055</v>
      </c>
    </row>
    <row r="70" spans="1:8" x14ac:dyDescent="0.3">
      <c r="A70" s="2">
        <v>15128</v>
      </c>
      <c r="B70" s="4" t="s">
        <v>847</v>
      </c>
      <c r="C70" s="3" t="s">
        <v>294</v>
      </c>
      <c r="D70" s="233">
        <v>61</v>
      </c>
      <c r="E70" s="233">
        <v>2</v>
      </c>
      <c r="F70" s="234"/>
      <c r="G70" s="235"/>
      <c r="H70" s="2"/>
    </row>
    <row r="71" spans="1:8" x14ac:dyDescent="0.3">
      <c r="A71" s="2">
        <v>15438</v>
      </c>
      <c r="B71" s="4" t="s">
        <v>502</v>
      </c>
      <c r="C71" s="3" t="s">
        <v>256</v>
      </c>
      <c r="D71" s="233">
        <v>51</v>
      </c>
      <c r="E71" s="233">
        <v>9</v>
      </c>
      <c r="F71" s="234"/>
      <c r="G71" s="235"/>
      <c r="H71" s="2"/>
    </row>
    <row r="72" spans="1:8" x14ac:dyDescent="0.3">
      <c r="A72" s="2">
        <v>15761</v>
      </c>
      <c r="B72" s="4" t="s">
        <v>860</v>
      </c>
      <c r="C72" s="3" t="s">
        <v>256</v>
      </c>
      <c r="D72" s="233">
        <v>61</v>
      </c>
      <c r="E72" s="233">
        <v>8</v>
      </c>
      <c r="F72" s="234" t="s">
        <v>857</v>
      </c>
      <c r="G72" s="235">
        <v>44433.653020833335</v>
      </c>
      <c r="H72" s="2">
        <v>63277</v>
      </c>
    </row>
    <row r="73" spans="1:8" x14ac:dyDescent="0.3">
      <c r="A73" s="2">
        <v>15804</v>
      </c>
      <c r="B73" s="4" t="s">
        <v>791</v>
      </c>
      <c r="C73" s="3" t="s">
        <v>256</v>
      </c>
      <c r="D73" s="233">
        <v>51</v>
      </c>
      <c r="E73" s="233">
        <v>17</v>
      </c>
      <c r="F73" s="234"/>
      <c r="G73" s="235"/>
      <c r="H73" s="2"/>
    </row>
    <row r="74" spans="1:8" x14ac:dyDescent="0.3">
      <c r="A74" s="2">
        <v>15840</v>
      </c>
      <c r="B74" s="4" t="s">
        <v>808</v>
      </c>
      <c r="C74" s="3" t="s">
        <v>596</v>
      </c>
      <c r="D74" s="233">
        <v>76</v>
      </c>
      <c r="E74" s="233">
        <v>3</v>
      </c>
      <c r="F74" s="234"/>
      <c r="G74" s="235"/>
      <c r="H74" s="2">
        <v>136037</v>
      </c>
    </row>
    <row r="75" spans="1:8" x14ac:dyDescent="0.3">
      <c r="A75" s="2">
        <v>15843</v>
      </c>
      <c r="B75" s="4" t="s">
        <v>837</v>
      </c>
      <c r="C75" s="3" t="s">
        <v>596</v>
      </c>
      <c r="D75" s="233">
        <v>76</v>
      </c>
      <c r="E75" s="233">
        <v>3</v>
      </c>
      <c r="F75" s="234" t="s">
        <v>257</v>
      </c>
      <c r="G75" s="235" t="s">
        <v>838</v>
      </c>
      <c r="H75" s="2">
        <v>135238</v>
      </c>
    </row>
    <row r="76" spans="1:8" x14ac:dyDescent="0.3">
      <c r="A76" s="2">
        <v>15845</v>
      </c>
      <c r="B76" s="4" t="s">
        <v>810</v>
      </c>
      <c r="C76" s="3" t="s">
        <v>596</v>
      </c>
      <c r="D76" s="233">
        <v>76</v>
      </c>
      <c r="E76" s="233">
        <v>3</v>
      </c>
      <c r="F76" s="234"/>
      <c r="G76" s="235"/>
      <c r="H76" s="2">
        <v>136038</v>
      </c>
    </row>
    <row r="77" spans="1:8" x14ac:dyDescent="0.3">
      <c r="A77" s="2">
        <v>15847</v>
      </c>
      <c r="B77" s="4" t="s">
        <v>812</v>
      </c>
      <c r="C77" s="3" t="s">
        <v>596</v>
      </c>
      <c r="D77" s="233">
        <v>76</v>
      </c>
      <c r="E77" s="233">
        <v>3</v>
      </c>
      <c r="F77" s="234"/>
      <c r="G77" s="235"/>
      <c r="H77" s="2">
        <v>136039</v>
      </c>
    </row>
    <row r="78" spans="1:8" x14ac:dyDescent="0.3">
      <c r="A78" s="2">
        <v>15900</v>
      </c>
      <c r="B78" s="4" t="s">
        <v>809</v>
      </c>
      <c r="C78" s="3" t="s">
        <v>596</v>
      </c>
      <c r="D78" s="233"/>
      <c r="E78" s="233"/>
      <c r="F78" s="234"/>
      <c r="G78" s="235"/>
      <c r="H78" s="2">
        <v>135239</v>
      </c>
    </row>
    <row r="79" spans="1:8" x14ac:dyDescent="0.3">
      <c r="A79" s="2">
        <v>16300</v>
      </c>
      <c r="B79" s="4" t="s">
        <v>403</v>
      </c>
      <c r="C79" s="3" t="s">
        <v>256</v>
      </c>
      <c r="D79" s="233">
        <v>74</v>
      </c>
      <c r="E79" s="233">
        <v>9</v>
      </c>
      <c r="F79" s="234"/>
      <c r="G79" s="235"/>
      <c r="H79" s="2"/>
    </row>
    <row r="80" spans="1:8" x14ac:dyDescent="0.3">
      <c r="A80" s="2">
        <v>16427</v>
      </c>
      <c r="B80" s="4" t="s">
        <v>512</v>
      </c>
      <c r="C80" s="3" t="s">
        <v>256</v>
      </c>
      <c r="D80" s="233">
        <v>52</v>
      </c>
      <c r="E80" s="233">
        <v>7</v>
      </c>
      <c r="F80" s="234"/>
      <c r="G80" s="235"/>
      <c r="H80" s="2"/>
    </row>
    <row r="81" spans="1:8" x14ac:dyDescent="0.3">
      <c r="A81" s="2">
        <v>16528</v>
      </c>
      <c r="B81" s="4" t="s">
        <v>878</v>
      </c>
      <c r="C81" s="3" t="s">
        <v>256</v>
      </c>
      <c r="D81" s="233">
        <v>73</v>
      </c>
      <c r="E81" s="233">
        <v>4</v>
      </c>
      <c r="F81" s="234" t="s">
        <v>857</v>
      </c>
      <c r="G81" s="235">
        <v>44804.517951388887</v>
      </c>
      <c r="H81" s="2">
        <v>89194</v>
      </c>
    </row>
    <row r="82" spans="1:8" x14ac:dyDescent="0.3">
      <c r="A82" s="2">
        <v>16532</v>
      </c>
      <c r="B82" s="4" t="s">
        <v>518</v>
      </c>
      <c r="C82" s="3" t="s">
        <v>256</v>
      </c>
      <c r="D82" s="233">
        <v>73</v>
      </c>
      <c r="E82" s="233">
        <v>4</v>
      </c>
      <c r="F82" s="234"/>
      <c r="G82" s="235"/>
      <c r="H82" s="2"/>
    </row>
    <row r="83" spans="1:8" x14ac:dyDescent="0.3">
      <c r="A83" s="2">
        <v>16590</v>
      </c>
      <c r="B83" s="4" t="s">
        <v>640</v>
      </c>
      <c r="C83" s="3" t="s">
        <v>31</v>
      </c>
      <c r="D83" s="233">
        <v>51</v>
      </c>
      <c r="E83" s="233">
        <v>49</v>
      </c>
      <c r="F83" s="234"/>
      <c r="G83" s="235"/>
      <c r="H83" s="2"/>
    </row>
    <row r="84" spans="1:8" x14ac:dyDescent="0.3">
      <c r="A84" s="2">
        <v>16688</v>
      </c>
      <c r="B84" s="4" t="s">
        <v>608</v>
      </c>
      <c r="C84" s="3" t="s">
        <v>256</v>
      </c>
      <c r="D84" s="233">
        <v>52</v>
      </c>
      <c r="E84" s="233">
        <v>7</v>
      </c>
      <c r="F84" s="234"/>
      <c r="G84" s="235"/>
      <c r="H84" s="2"/>
    </row>
    <row r="85" spans="1:8" x14ac:dyDescent="0.3">
      <c r="A85" s="2">
        <v>16691</v>
      </c>
      <c r="B85" s="4" t="s">
        <v>609</v>
      </c>
      <c r="C85" s="3" t="s">
        <v>256</v>
      </c>
      <c r="D85" s="233">
        <v>52</v>
      </c>
      <c r="E85" s="233">
        <v>7</v>
      </c>
      <c r="F85" s="234"/>
      <c r="G85" s="235"/>
      <c r="H85" s="2"/>
    </row>
    <row r="86" spans="1:8" x14ac:dyDescent="0.3">
      <c r="A86" s="2">
        <v>16692</v>
      </c>
      <c r="B86" s="4" t="s">
        <v>610</v>
      </c>
      <c r="C86" s="3" t="s">
        <v>256</v>
      </c>
      <c r="D86" s="233">
        <v>52</v>
      </c>
      <c r="E86" s="233">
        <v>7</v>
      </c>
      <c r="F86" s="234"/>
      <c r="G86" s="235"/>
      <c r="H86" s="2"/>
    </row>
    <row r="87" spans="1:8" x14ac:dyDescent="0.3">
      <c r="A87" s="2">
        <v>16729</v>
      </c>
      <c r="B87" s="4" t="s">
        <v>414</v>
      </c>
      <c r="C87" s="3" t="s">
        <v>31</v>
      </c>
      <c r="D87" s="233">
        <v>52</v>
      </c>
      <c r="E87" s="233">
        <v>13</v>
      </c>
      <c r="F87" s="234"/>
      <c r="G87" s="235"/>
      <c r="H87" s="2"/>
    </row>
    <row r="88" spans="1:8" x14ac:dyDescent="0.3">
      <c r="A88" s="2">
        <v>16736</v>
      </c>
      <c r="B88" s="4" t="s">
        <v>494</v>
      </c>
      <c r="C88" s="3" t="s">
        <v>256</v>
      </c>
      <c r="D88" s="233">
        <v>52</v>
      </c>
      <c r="E88" s="233">
        <v>13</v>
      </c>
      <c r="F88" s="234"/>
      <c r="G88" s="235"/>
      <c r="H88" s="2"/>
    </row>
    <row r="89" spans="1:8" x14ac:dyDescent="0.3">
      <c r="A89" s="2">
        <v>16737</v>
      </c>
      <c r="B89" s="4" t="s">
        <v>493</v>
      </c>
      <c r="C89" s="3" t="s">
        <v>256</v>
      </c>
      <c r="D89" s="233">
        <v>52</v>
      </c>
      <c r="E89" s="233">
        <v>13</v>
      </c>
      <c r="F89" s="234"/>
      <c r="G89" s="235"/>
      <c r="H89" s="2"/>
    </row>
    <row r="90" spans="1:8" x14ac:dyDescent="0.3">
      <c r="A90" s="2">
        <v>16757</v>
      </c>
      <c r="B90" s="4" t="s">
        <v>408</v>
      </c>
      <c r="C90" s="3" t="s">
        <v>256</v>
      </c>
      <c r="D90" s="233">
        <v>52</v>
      </c>
      <c r="E90" s="233">
        <v>8</v>
      </c>
      <c r="F90" s="234"/>
      <c r="G90" s="235"/>
      <c r="H90" s="2"/>
    </row>
    <row r="91" spans="1:8" x14ac:dyDescent="0.3">
      <c r="A91" s="2">
        <v>16763</v>
      </c>
      <c r="B91" s="4" t="s">
        <v>329</v>
      </c>
      <c r="C91" s="3" t="s">
        <v>256</v>
      </c>
      <c r="D91" s="233">
        <v>52</v>
      </c>
      <c r="E91" s="233">
        <v>7</v>
      </c>
      <c r="F91" s="234"/>
      <c r="G91" s="235"/>
      <c r="H91" s="2"/>
    </row>
    <row r="92" spans="1:8" x14ac:dyDescent="0.3">
      <c r="A92" s="2">
        <v>16808</v>
      </c>
      <c r="B92" s="4" t="s">
        <v>516</v>
      </c>
      <c r="C92" s="3" t="s">
        <v>256</v>
      </c>
      <c r="D92" s="233">
        <v>52</v>
      </c>
      <c r="E92" s="233">
        <v>13</v>
      </c>
      <c r="F92" s="234"/>
      <c r="G92" s="235"/>
      <c r="H92" s="2"/>
    </row>
    <row r="93" spans="1:8" x14ac:dyDescent="0.3">
      <c r="A93" s="2">
        <v>16813</v>
      </c>
      <c r="B93" s="4" t="s">
        <v>517</v>
      </c>
      <c r="C93" s="3" t="s">
        <v>256</v>
      </c>
      <c r="D93" s="233">
        <v>52</v>
      </c>
      <c r="E93" s="233">
        <v>13</v>
      </c>
      <c r="F93" s="234"/>
      <c r="G93" s="235"/>
      <c r="H93" s="2"/>
    </row>
    <row r="94" spans="1:8" x14ac:dyDescent="0.3">
      <c r="A94" s="2">
        <v>16827</v>
      </c>
      <c r="B94" s="4" t="s">
        <v>499</v>
      </c>
      <c r="C94" s="3" t="s">
        <v>256</v>
      </c>
      <c r="D94" s="233">
        <v>52</v>
      </c>
      <c r="E94" s="233">
        <v>13</v>
      </c>
      <c r="F94" s="234"/>
      <c r="G94" s="235"/>
      <c r="H94" s="2"/>
    </row>
    <row r="95" spans="1:8" x14ac:dyDescent="0.3">
      <c r="A95" s="2">
        <v>16835</v>
      </c>
      <c r="B95" s="4" t="s">
        <v>500</v>
      </c>
      <c r="C95" s="3" t="s">
        <v>256</v>
      </c>
      <c r="D95" s="233">
        <v>52</v>
      </c>
      <c r="E95" s="233">
        <v>13</v>
      </c>
      <c r="F95" s="234"/>
      <c r="G95" s="235"/>
      <c r="H95" s="2"/>
    </row>
    <row r="96" spans="1:8" x14ac:dyDescent="0.3">
      <c r="A96" s="2">
        <v>16846</v>
      </c>
      <c r="B96" s="4" t="s">
        <v>501</v>
      </c>
      <c r="C96" s="3" t="s">
        <v>256</v>
      </c>
      <c r="D96" s="233">
        <v>52</v>
      </c>
      <c r="E96" s="233">
        <v>13</v>
      </c>
      <c r="F96" s="234"/>
      <c r="G96" s="235"/>
      <c r="H96" s="2"/>
    </row>
    <row r="97" spans="1:8" x14ac:dyDescent="0.3">
      <c r="A97" s="2">
        <v>17026</v>
      </c>
      <c r="B97" s="4" t="s">
        <v>398</v>
      </c>
      <c r="C97" s="3" t="s">
        <v>256</v>
      </c>
      <c r="D97" s="233">
        <v>52</v>
      </c>
      <c r="E97" s="233">
        <v>7</v>
      </c>
      <c r="F97" s="234"/>
      <c r="G97" s="235"/>
      <c r="H97" s="2"/>
    </row>
    <row r="98" spans="1:8" x14ac:dyDescent="0.3">
      <c r="A98" s="2">
        <v>17033</v>
      </c>
      <c r="B98" s="4" t="s">
        <v>415</v>
      </c>
      <c r="C98" s="3" t="s">
        <v>256</v>
      </c>
      <c r="D98" s="233">
        <v>52</v>
      </c>
      <c r="E98" s="233">
        <v>13</v>
      </c>
      <c r="F98" s="234"/>
      <c r="G98" s="235"/>
      <c r="H98" s="2"/>
    </row>
    <row r="99" spans="1:8" x14ac:dyDescent="0.3">
      <c r="A99" s="2">
        <v>17064</v>
      </c>
      <c r="B99" s="4" t="s">
        <v>418</v>
      </c>
      <c r="C99" s="3" t="s">
        <v>256</v>
      </c>
      <c r="D99" s="233">
        <v>52</v>
      </c>
      <c r="E99" s="233">
        <v>13</v>
      </c>
      <c r="F99" s="234"/>
      <c r="G99" s="235"/>
      <c r="H99" s="2"/>
    </row>
    <row r="100" spans="1:8" x14ac:dyDescent="0.3">
      <c r="A100" s="2">
        <v>17105</v>
      </c>
      <c r="B100" s="4" t="s">
        <v>283</v>
      </c>
      <c r="C100" s="3" t="s">
        <v>256</v>
      </c>
      <c r="D100" s="233">
        <v>52</v>
      </c>
      <c r="E100" s="233">
        <v>5</v>
      </c>
      <c r="F100" s="234"/>
      <c r="G100" s="235"/>
      <c r="H100" s="2"/>
    </row>
    <row r="101" spans="1:8" x14ac:dyDescent="0.3">
      <c r="A101" s="2">
        <v>17537</v>
      </c>
      <c r="B101" s="4" t="s">
        <v>777</v>
      </c>
      <c r="C101" s="3" t="s">
        <v>256</v>
      </c>
      <c r="D101" s="233">
        <v>70</v>
      </c>
      <c r="E101" s="233">
        <v>17</v>
      </c>
      <c r="F101" s="234"/>
      <c r="G101" s="235"/>
      <c r="H101" s="2"/>
    </row>
    <row r="102" spans="1:8" x14ac:dyDescent="0.3">
      <c r="A102" s="2">
        <v>17659</v>
      </c>
      <c r="B102" s="4" t="s">
        <v>563</v>
      </c>
      <c r="C102" s="3" t="s">
        <v>256</v>
      </c>
      <c r="D102" s="233">
        <v>83</v>
      </c>
      <c r="E102" s="233">
        <v>3</v>
      </c>
      <c r="F102" s="234" t="s">
        <v>257</v>
      </c>
      <c r="G102" s="235">
        <v>43815.400833333333</v>
      </c>
      <c r="H102" s="2"/>
    </row>
    <row r="103" spans="1:8" x14ac:dyDescent="0.3">
      <c r="A103" s="2">
        <v>17663</v>
      </c>
      <c r="B103" s="4" t="s">
        <v>568</v>
      </c>
      <c r="C103" s="3" t="s">
        <v>569</v>
      </c>
      <c r="D103" s="233">
        <v>83</v>
      </c>
      <c r="E103" s="233">
        <v>2</v>
      </c>
      <c r="F103" s="234" t="s">
        <v>257</v>
      </c>
      <c r="G103" s="235">
        <v>43962.459189814814</v>
      </c>
      <c r="H103" s="2"/>
    </row>
    <row r="104" spans="1:8" x14ac:dyDescent="0.3">
      <c r="A104" s="2">
        <v>17670</v>
      </c>
      <c r="B104" s="4" t="s">
        <v>694</v>
      </c>
      <c r="C104" s="3" t="s">
        <v>400</v>
      </c>
      <c r="D104" s="233">
        <v>67</v>
      </c>
      <c r="E104" s="233">
        <v>6</v>
      </c>
      <c r="F104" s="234"/>
      <c r="G104" s="235"/>
      <c r="H104" s="2"/>
    </row>
    <row r="105" spans="1:8" x14ac:dyDescent="0.3">
      <c r="A105" s="2">
        <v>18342</v>
      </c>
      <c r="B105" s="4" t="s">
        <v>689</v>
      </c>
      <c r="C105" s="3" t="s">
        <v>400</v>
      </c>
      <c r="D105" s="233">
        <v>67</v>
      </c>
      <c r="E105" s="233">
        <v>6</v>
      </c>
      <c r="F105" s="234"/>
      <c r="G105" s="235"/>
      <c r="H105" s="2"/>
    </row>
    <row r="106" spans="1:8" x14ac:dyDescent="0.3">
      <c r="A106" s="2">
        <v>18351</v>
      </c>
      <c r="B106" s="4" t="s">
        <v>690</v>
      </c>
      <c r="C106" s="3" t="s">
        <v>400</v>
      </c>
      <c r="D106" s="233">
        <v>67</v>
      </c>
      <c r="E106" s="233">
        <v>6</v>
      </c>
      <c r="F106" s="234"/>
      <c r="G106" s="235"/>
      <c r="H106" s="2"/>
    </row>
    <row r="107" spans="1:8" x14ac:dyDescent="0.3">
      <c r="A107" s="2">
        <v>19872</v>
      </c>
      <c r="B107" s="4" t="s">
        <v>324</v>
      </c>
      <c r="C107" s="3" t="s">
        <v>256</v>
      </c>
      <c r="D107" s="233">
        <v>70</v>
      </c>
      <c r="E107" s="233">
        <v>31</v>
      </c>
      <c r="F107" s="234"/>
      <c r="G107" s="235"/>
      <c r="H107" s="2"/>
    </row>
    <row r="108" spans="1:8" x14ac:dyDescent="0.3">
      <c r="A108" s="2">
        <v>19881</v>
      </c>
      <c r="B108" s="4" t="s">
        <v>325</v>
      </c>
      <c r="C108" s="3" t="s">
        <v>256</v>
      </c>
      <c r="D108" s="233">
        <v>70</v>
      </c>
      <c r="E108" s="233">
        <v>31</v>
      </c>
      <c r="F108" s="234"/>
      <c r="G108" s="235"/>
      <c r="H108" s="2"/>
    </row>
    <row r="109" spans="1:8" x14ac:dyDescent="0.3">
      <c r="A109" s="2">
        <v>19884</v>
      </c>
      <c r="B109" s="4" t="s">
        <v>326</v>
      </c>
      <c r="C109" s="3" t="s">
        <v>256</v>
      </c>
      <c r="D109" s="233">
        <v>70</v>
      </c>
      <c r="E109" s="233">
        <v>31</v>
      </c>
      <c r="F109" s="234"/>
      <c r="G109" s="235"/>
      <c r="H109" s="2"/>
    </row>
    <row r="110" spans="1:8" x14ac:dyDescent="0.3">
      <c r="A110" s="2">
        <v>20169</v>
      </c>
      <c r="B110" s="4" t="s">
        <v>430</v>
      </c>
      <c r="C110" s="3" t="s">
        <v>256</v>
      </c>
      <c r="D110" s="233">
        <v>52</v>
      </c>
      <c r="E110" s="233">
        <v>6</v>
      </c>
      <c r="F110" s="234"/>
      <c r="G110" s="235"/>
      <c r="H110" s="2"/>
    </row>
    <row r="111" spans="1:8" x14ac:dyDescent="0.3">
      <c r="A111" s="2">
        <v>20431</v>
      </c>
      <c r="B111" s="4" t="s">
        <v>713</v>
      </c>
      <c r="C111" s="3" t="s">
        <v>256</v>
      </c>
      <c r="D111" s="233">
        <v>70</v>
      </c>
      <c r="E111" s="233">
        <v>15</v>
      </c>
      <c r="F111" s="234"/>
      <c r="G111" s="235"/>
      <c r="H111" s="2"/>
    </row>
    <row r="112" spans="1:8" x14ac:dyDescent="0.3">
      <c r="A112" s="2">
        <v>20539</v>
      </c>
      <c r="B112" s="4" t="s">
        <v>692</v>
      </c>
      <c r="C112" s="3" t="s">
        <v>400</v>
      </c>
      <c r="D112" s="233">
        <v>67</v>
      </c>
      <c r="E112" s="233">
        <v>6</v>
      </c>
      <c r="F112" s="234"/>
      <c r="G112" s="235"/>
      <c r="H112" s="2"/>
    </row>
    <row r="113" spans="1:8" x14ac:dyDescent="0.3">
      <c r="A113" s="2">
        <v>20540</v>
      </c>
      <c r="B113" s="4" t="s">
        <v>693</v>
      </c>
      <c r="C113" s="3" t="s">
        <v>400</v>
      </c>
      <c r="D113" s="233">
        <v>67</v>
      </c>
      <c r="E113" s="233">
        <v>6</v>
      </c>
      <c r="F113" s="234"/>
      <c r="G113" s="235"/>
      <c r="H113" s="2"/>
    </row>
    <row r="114" spans="1:8" x14ac:dyDescent="0.3">
      <c r="A114" s="2">
        <v>20585</v>
      </c>
      <c r="B114" s="4" t="s">
        <v>722</v>
      </c>
      <c r="C114" s="3" t="s">
        <v>256</v>
      </c>
      <c r="D114" s="233">
        <v>67</v>
      </c>
      <c r="E114" s="233">
        <v>7</v>
      </c>
      <c r="F114" s="234"/>
      <c r="G114" s="235"/>
      <c r="H114" s="2"/>
    </row>
    <row r="115" spans="1:8" x14ac:dyDescent="0.3">
      <c r="A115" s="2">
        <v>23424</v>
      </c>
      <c r="B115" s="4" t="s">
        <v>620</v>
      </c>
      <c r="C115" s="3" t="s">
        <v>616</v>
      </c>
      <c r="D115" s="233">
        <v>57</v>
      </c>
      <c r="E115" s="233">
        <v>19</v>
      </c>
      <c r="F115" s="234"/>
      <c r="G115" s="235"/>
      <c r="H115" s="2"/>
    </row>
    <row r="116" spans="1:8" x14ac:dyDescent="0.3">
      <c r="A116" s="2">
        <v>23992</v>
      </c>
      <c r="B116" s="4" t="s">
        <v>612</v>
      </c>
      <c r="C116" s="3" t="s">
        <v>281</v>
      </c>
      <c r="D116" s="233">
        <v>57</v>
      </c>
      <c r="E116" s="233">
        <v>2</v>
      </c>
      <c r="F116" s="234"/>
      <c r="G116" s="235"/>
      <c r="H116" s="2"/>
    </row>
    <row r="117" spans="1:8" x14ac:dyDescent="0.3">
      <c r="A117" s="2">
        <v>24031</v>
      </c>
      <c r="B117" s="4" t="s">
        <v>460</v>
      </c>
      <c r="C117" s="3" t="s">
        <v>256</v>
      </c>
      <c r="D117" s="233">
        <v>70</v>
      </c>
      <c r="E117" s="233">
        <v>24</v>
      </c>
      <c r="F117" s="234"/>
      <c r="G117" s="235"/>
      <c r="H117" s="2"/>
    </row>
    <row r="118" spans="1:8" x14ac:dyDescent="0.3">
      <c r="A118" s="2">
        <v>24205</v>
      </c>
      <c r="B118" s="4" t="s">
        <v>745</v>
      </c>
      <c r="C118" s="3" t="s">
        <v>256</v>
      </c>
      <c r="D118" s="233">
        <v>76</v>
      </c>
      <c r="E118" s="233">
        <v>11</v>
      </c>
      <c r="F118" s="234" t="s">
        <v>271</v>
      </c>
      <c r="G118" s="235">
        <v>44175.664502314816</v>
      </c>
      <c r="H118" s="2">
        <v>140315</v>
      </c>
    </row>
    <row r="119" spans="1:8" x14ac:dyDescent="0.3">
      <c r="A119" s="2">
        <v>24542</v>
      </c>
      <c r="B119" s="4" t="s">
        <v>515</v>
      </c>
      <c r="C119" s="3" t="s">
        <v>256</v>
      </c>
      <c r="D119" s="233">
        <v>52</v>
      </c>
      <c r="E119" s="233">
        <v>13</v>
      </c>
      <c r="F119" s="234"/>
      <c r="G119" s="235"/>
      <c r="H119" s="2"/>
    </row>
    <row r="120" spans="1:8" x14ac:dyDescent="0.3">
      <c r="A120" s="2">
        <v>24890</v>
      </c>
      <c r="B120" s="4" t="s">
        <v>688</v>
      </c>
      <c r="C120" s="3" t="s">
        <v>400</v>
      </c>
      <c r="D120" s="233">
        <v>67</v>
      </c>
      <c r="E120" s="233">
        <v>6</v>
      </c>
      <c r="F120" s="234"/>
      <c r="G120" s="235"/>
      <c r="H120" s="2"/>
    </row>
    <row r="121" spans="1:8" x14ac:dyDescent="0.3">
      <c r="A121" s="2">
        <v>25489</v>
      </c>
      <c r="B121" s="4" t="s">
        <v>695</v>
      </c>
      <c r="C121" s="3" t="s">
        <v>400</v>
      </c>
      <c r="D121" s="233">
        <v>67</v>
      </c>
      <c r="E121" s="233">
        <v>6</v>
      </c>
      <c r="F121" s="234"/>
      <c r="G121" s="235"/>
      <c r="H121" s="2"/>
    </row>
    <row r="122" spans="1:8" x14ac:dyDescent="0.3">
      <c r="A122" s="2">
        <v>25519</v>
      </c>
      <c r="B122" s="4" t="s">
        <v>416</v>
      </c>
      <c r="C122" s="3" t="s">
        <v>256</v>
      </c>
      <c r="D122" s="233">
        <v>52</v>
      </c>
      <c r="E122" s="233">
        <v>13</v>
      </c>
      <c r="F122" s="234"/>
      <c r="G122" s="235"/>
      <c r="H122" s="2"/>
    </row>
    <row r="123" spans="1:8" x14ac:dyDescent="0.3">
      <c r="A123" s="2">
        <v>25536</v>
      </c>
      <c r="B123" s="4" t="s">
        <v>259</v>
      </c>
      <c r="C123" s="3" t="s">
        <v>256</v>
      </c>
      <c r="D123" s="233">
        <v>55</v>
      </c>
      <c r="E123" s="233">
        <v>46</v>
      </c>
      <c r="F123" s="234"/>
      <c r="G123" s="235"/>
      <c r="H123" s="2"/>
    </row>
    <row r="124" spans="1:8" x14ac:dyDescent="0.3">
      <c r="A124" s="2">
        <v>26368</v>
      </c>
      <c r="B124" s="4" t="s">
        <v>378</v>
      </c>
      <c r="C124" s="3" t="s">
        <v>256</v>
      </c>
      <c r="D124" s="233">
        <v>51</v>
      </c>
      <c r="E124" s="233">
        <v>26</v>
      </c>
      <c r="F124" s="234"/>
      <c r="G124" s="235"/>
      <c r="H124" s="2"/>
    </row>
    <row r="125" spans="1:8" x14ac:dyDescent="0.3">
      <c r="A125" s="2">
        <v>26503</v>
      </c>
      <c r="B125" s="4" t="s">
        <v>486</v>
      </c>
      <c r="C125" s="3"/>
      <c r="D125" s="233">
        <v>78</v>
      </c>
      <c r="E125" s="233">
        <v>6</v>
      </c>
      <c r="F125" s="234"/>
      <c r="G125" s="235"/>
      <c r="H125" s="2"/>
    </row>
    <row r="126" spans="1:8" x14ac:dyDescent="0.3">
      <c r="A126" s="2">
        <v>26508</v>
      </c>
      <c r="B126" s="4" t="s">
        <v>284</v>
      </c>
      <c r="C126" s="3"/>
      <c r="D126" s="233">
        <v>78</v>
      </c>
      <c r="E126" s="233">
        <v>6</v>
      </c>
      <c r="F126" s="234"/>
      <c r="G126" s="235"/>
      <c r="H126" s="2"/>
    </row>
    <row r="127" spans="1:8" x14ac:dyDescent="0.3">
      <c r="A127" s="2">
        <v>27479</v>
      </c>
      <c r="B127" s="4" t="s">
        <v>703</v>
      </c>
      <c r="C127" s="3" t="s">
        <v>596</v>
      </c>
      <c r="D127" s="233">
        <v>76</v>
      </c>
      <c r="E127" s="233">
        <v>5</v>
      </c>
      <c r="F127" s="234" t="s">
        <v>271</v>
      </c>
      <c r="G127" s="235">
        <v>44376.356828703705</v>
      </c>
      <c r="H127" s="2">
        <v>141253</v>
      </c>
    </row>
    <row r="128" spans="1:8" x14ac:dyDescent="0.3">
      <c r="A128" s="2">
        <v>27759</v>
      </c>
      <c r="B128" s="4" t="s">
        <v>724</v>
      </c>
      <c r="C128" s="3" t="s">
        <v>256</v>
      </c>
      <c r="D128" s="233">
        <v>61</v>
      </c>
      <c r="E128" s="233">
        <v>15</v>
      </c>
      <c r="F128" s="234" t="s">
        <v>257</v>
      </c>
      <c r="G128" s="235">
        <v>43875.458043981482</v>
      </c>
      <c r="H128" s="2"/>
    </row>
    <row r="129" spans="1:8" x14ac:dyDescent="0.3">
      <c r="A129" s="2">
        <v>28040</v>
      </c>
      <c r="B129" s="4" t="s">
        <v>696</v>
      </c>
      <c r="C129" s="3" t="s">
        <v>400</v>
      </c>
      <c r="D129" s="233">
        <v>67</v>
      </c>
      <c r="E129" s="233">
        <v>6</v>
      </c>
      <c r="F129" s="234"/>
      <c r="G129" s="235"/>
      <c r="H129" s="2"/>
    </row>
    <row r="130" spans="1:8" x14ac:dyDescent="0.3">
      <c r="A130" s="2">
        <v>28781</v>
      </c>
      <c r="B130" s="4" t="s">
        <v>262</v>
      </c>
      <c r="C130" s="3" t="s">
        <v>256</v>
      </c>
      <c r="D130" s="233">
        <v>55</v>
      </c>
      <c r="E130" s="233">
        <v>46</v>
      </c>
      <c r="F130" s="234"/>
      <c r="G130" s="235"/>
      <c r="H130" s="2"/>
    </row>
    <row r="131" spans="1:8" x14ac:dyDescent="0.3">
      <c r="A131" s="2">
        <v>28782</v>
      </c>
      <c r="B131" s="4" t="s">
        <v>263</v>
      </c>
      <c r="C131" s="3" t="s">
        <v>256</v>
      </c>
      <c r="D131" s="233">
        <v>55</v>
      </c>
      <c r="E131" s="233">
        <v>46</v>
      </c>
      <c r="F131" s="234"/>
      <c r="G131" s="235"/>
      <c r="H131" s="2"/>
    </row>
    <row r="132" spans="1:8" x14ac:dyDescent="0.3">
      <c r="A132" s="2">
        <v>29288</v>
      </c>
      <c r="B132" s="4" t="s">
        <v>467</v>
      </c>
      <c r="C132" s="3"/>
      <c r="D132" s="233"/>
      <c r="E132" s="233"/>
      <c r="F132" s="234"/>
      <c r="G132" s="235"/>
      <c r="H132" s="2"/>
    </row>
    <row r="133" spans="1:8" x14ac:dyDescent="0.3">
      <c r="A133" s="2">
        <v>29294</v>
      </c>
      <c r="B133" s="4" t="s">
        <v>328</v>
      </c>
      <c r="C133" s="3" t="s">
        <v>256</v>
      </c>
      <c r="D133" s="233">
        <v>67</v>
      </c>
      <c r="E133" s="233">
        <v>9</v>
      </c>
      <c r="F133" s="234"/>
      <c r="G133" s="235"/>
      <c r="H133" s="2"/>
    </row>
    <row r="134" spans="1:8" x14ac:dyDescent="0.3">
      <c r="A134" s="2">
        <v>29435</v>
      </c>
      <c r="B134" s="4" t="s">
        <v>559</v>
      </c>
      <c r="C134" s="3" t="s">
        <v>31</v>
      </c>
      <c r="D134" s="233">
        <v>51</v>
      </c>
      <c r="E134" s="233">
        <v>36</v>
      </c>
      <c r="F134" s="234" t="s">
        <v>271</v>
      </c>
      <c r="G134" s="235">
        <v>44172.356412037036</v>
      </c>
      <c r="H134" s="2">
        <v>140283</v>
      </c>
    </row>
    <row r="135" spans="1:8" x14ac:dyDescent="0.3">
      <c r="A135" s="2">
        <v>29437</v>
      </c>
      <c r="B135" s="4" t="s">
        <v>447</v>
      </c>
      <c r="C135" s="3" t="s">
        <v>256</v>
      </c>
      <c r="D135" s="233">
        <v>61</v>
      </c>
      <c r="E135" s="233">
        <v>8</v>
      </c>
      <c r="F135" s="234" t="s">
        <v>257</v>
      </c>
      <c r="G135" s="235">
        <v>43875.455578703702</v>
      </c>
      <c r="H135" s="2"/>
    </row>
    <row r="136" spans="1:8" x14ac:dyDescent="0.3">
      <c r="A136" s="2">
        <v>29524</v>
      </c>
      <c r="B136" s="4" t="s">
        <v>829</v>
      </c>
      <c r="C136" s="3" t="s">
        <v>596</v>
      </c>
      <c r="D136" s="233">
        <v>76</v>
      </c>
      <c r="E136" s="233">
        <v>9</v>
      </c>
      <c r="F136" s="234"/>
      <c r="G136" s="235"/>
      <c r="H136" s="2"/>
    </row>
    <row r="137" spans="1:8" x14ac:dyDescent="0.3">
      <c r="A137" s="2">
        <v>29526</v>
      </c>
      <c r="B137" s="4" t="s">
        <v>833</v>
      </c>
      <c r="C137" s="3" t="s">
        <v>596</v>
      </c>
      <c r="D137" s="233">
        <v>76</v>
      </c>
      <c r="E137" s="233">
        <v>9</v>
      </c>
      <c r="F137" s="234"/>
      <c r="G137" s="235"/>
      <c r="H137" s="2"/>
    </row>
    <row r="138" spans="1:8" x14ac:dyDescent="0.3">
      <c r="A138" s="2">
        <v>29537</v>
      </c>
      <c r="B138" s="4" t="s">
        <v>445</v>
      </c>
      <c r="C138" s="3" t="s">
        <v>256</v>
      </c>
      <c r="D138" s="233">
        <v>61</v>
      </c>
      <c r="E138" s="233">
        <v>8</v>
      </c>
      <c r="F138" s="234"/>
      <c r="G138" s="235"/>
      <c r="H138" s="2"/>
    </row>
    <row r="139" spans="1:8" x14ac:dyDescent="0.3">
      <c r="A139" s="2">
        <v>29829</v>
      </c>
      <c r="B139" s="4" t="s">
        <v>723</v>
      </c>
      <c r="C139" s="3" t="s">
        <v>256</v>
      </c>
      <c r="D139" s="233">
        <v>61</v>
      </c>
      <c r="E139" s="233">
        <v>15</v>
      </c>
      <c r="F139" s="234"/>
      <c r="G139" s="235"/>
      <c r="H139" s="2"/>
    </row>
    <row r="140" spans="1:8" x14ac:dyDescent="0.3">
      <c r="A140" s="2">
        <v>29935</v>
      </c>
      <c r="B140" s="4" t="s">
        <v>743</v>
      </c>
      <c r="C140" s="3" t="s">
        <v>256</v>
      </c>
      <c r="D140" s="233">
        <v>76</v>
      </c>
      <c r="E140" s="233">
        <v>11</v>
      </c>
      <c r="F140" s="234" t="s">
        <v>257</v>
      </c>
      <c r="G140" s="235">
        <v>43899.571921296294</v>
      </c>
      <c r="H140" s="2"/>
    </row>
    <row r="141" spans="1:8" x14ac:dyDescent="0.3">
      <c r="A141" s="2">
        <v>29936</v>
      </c>
      <c r="B141" s="4" t="s">
        <v>742</v>
      </c>
      <c r="C141" s="3" t="s">
        <v>256</v>
      </c>
      <c r="D141" s="233">
        <v>76</v>
      </c>
      <c r="E141" s="233">
        <v>11</v>
      </c>
      <c r="F141" s="234"/>
      <c r="G141" s="235"/>
      <c r="H141" s="2"/>
    </row>
    <row r="142" spans="1:8" x14ac:dyDescent="0.3">
      <c r="A142" s="2">
        <v>29960</v>
      </c>
      <c r="B142" s="4" t="s">
        <v>611</v>
      </c>
      <c r="C142" s="3" t="s">
        <v>569</v>
      </c>
      <c r="D142" s="233">
        <v>57</v>
      </c>
      <c r="E142" s="233">
        <v>15</v>
      </c>
      <c r="F142" s="234"/>
      <c r="G142" s="235"/>
      <c r="H142" s="2"/>
    </row>
    <row r="143" spans="1:8" x14ac:dyDescent="0.3">
      <c r="A143" s="2">
        <v>30171</v>
      </c>
      <c r="B143" s="4" t="s">
        <v>835</v>
      </c>
      <c r="C143" s="3" t="s">
        <v>273</v>
      </c>
      <c r="D143" s="233">
        <v>76</v>
      </c>
      <c r="E143" s="233">
        <v>9</v>
      </c>
      <c r="F143" s="234" t="s">
        <v>257</v>
      </c>
      <c r="G143" s="235">
        <v>43896.301296296297</v>
      </c>
      <c r="H143" s="2"/>
    </row>
    <row r="144" spans="1:8" x14ac:dyDescent="0.3">
      <c r="A144" s="2">
        <v>30658</v>
      </c>
      <c r="B144" s="4" t="s">
        <v>848</v>
      </c>
      <c r="C144" s="3" t="s">
        <v>256</v>
      </c>
      <c r="D144" s="233">
        <v>61</v>
      </c>
      <c r="E144" s="233">
        <v>15</v>
      </c>
      <c r="F144" s="234" t="s">
        <v>257</v>
      </c>
      <c r="G144" s="235">
        <v>43671.424050925925</v>
      </c>
      <c r="H144" s="2"/>
    </row>
    <row r="145" spans="1:8" x14ac:dyDescent="0.3">
      <c r="A145" s="2">
        <v>30772</v>
      </c>
      <c r="B145" s="4" t="s">
        <v>461</v>
      </c>
      <c r="C145" s="3" t="s">
        <v>256</v>
      </c>
      <c r="D145" s="233">
        <v>72</v>
      </c>
      <c r="E145" s="233">
        <v>5</v>
      </c>
      <c r="F145" s="234"/>
      <c r="G145" s="235"/>
      <c r="H145" s="2"/>
    </row>
    <row r="146" spans="1:8" x14ac:dyDescent="0.3">
      <c r="A146" s="2">
        <v>31321</v>
      </c>
      <c r="B146" s="4" t="s">
        <v>352</v>
      </c>
      <c r="C146" s="3" t="s">
        <v>331</v>
      </c>
      <c r="D146" s="233">
        <v>55</v>
      </c>
      <c r="E146" s="233">
        <v>19</v>
      </c>
      <c r="F146" s="234" t="s">
        <v>271</v>
      </c>
      <c r="G146" s="235">
        <v>44104.394143518519</v>
      </c>
      <c r="H146" s="2">
        <v>140032</v>
      </c>
    </row>
    <row r="147" spans="1:8" x14ac:dyDescent="0.3">
      <c r="A147" s="2">
        <v>31427</v>
      </c>
      <c r="B147" s="4" t="s">
        <v>561</v>
      </c>
      <c r="C147" s="3" t="s">
        <v>256</v>
      </c>
      <c r="D147" s="233">
        <v>52</v>
      </c>
      <c r="E147" s="233">
        <v>7</v>
      </c>
      <c r="F147" s="234"/>
      <c r="G147" s="235"/>
      <c r="H147" s="2"/>
    </row>
    <row r="148" spans="1:8" x14ac:dyDescent="0.3">
      <c r="A148" s="2">
        <v>31428</v>
      </c>
      <c r="B148" s="4" t="s">
        <v>562</v>
      </c>
      <c r="C148" s="3" t="s">
        <v>256</v>
      </c>
      <c r="D148" s="233">
        <v>52</v>
      </c>
      <c r="E148" s="233">
        <v>7</v>
      </c>
      <c r="F148" s="234"/>
      <c r="G148" s="235"/>
      <c r="H148" s="2"/>
    </row>
    <row r="149" spans="1:8" x14ac:dyDescent="0.3">
      <c r="A149" s="2">
        <v>32487</v>
      </c>
      <c r="B149" s="4" t="s">
        <v>834</v>
      </c>
      <c r="C149" s="3" t="s">
        <v>596</v>
      </c>
      <c r="D149" s="233">
        <v>76</v>
      </c>
      <c r="E149" s="233">
        <v>9</v>
      </c>
      <c r="F149" s="234" t="s">
        <v>257</v>
      </c>
      <c r="G149" s="235">
        <v>43896.301296296297</v>
      </c>
      <c r="H149" s="2"/>
    </row>
    <row r="150" spans="1:8" x14ac:dyDescent="0.3">
      <c r="A150" s="2">
        <v>32648</v>
      </c>
      <c r="B150" s="4" t="s">
        <v>280</v>
      </c>
      <c r="C150" s="3" t="s">
        <v>281</v>
      </c>
      <c r="D150" s="233">
        <v>67</v>
      </c>
      <c r="E150" s="233">
        <v>14</v>
      </c>
      <c r="F150" s="234"/>
      <c r="G150" s="235"/>
      <c r="H150" s="2"/>
    </row>
    <row r="151" spans="1:8" x14ac:dyDescent="0.3">
      <c r="A151" s="2">
        <v>32752</v>
      </c>
      <c r="B151" s="4" t="s">
        <v>700</v>
      </c>
      <c r="C151" s="3" t="s">
        <v>400</v>
      </c>
      <c r="D151" s="233">
        <v>67</v>
      </c>
      <c r="E151" s="233">
        <v>6</v>
      </c>
      <c r="F151" s="234"/>
      <c r="G151" s="235"/>
      <c r="H151" s="2"/>
    </row>
    <row r="152" spans="1:8" x14ac:dyDescent="0.3">
      <c r="A152" s="2">
        <v>32759</v>
      </c>
      <c r="B152" s="4" t="s">
        <v>698</v>
      </c>
      <c r="C152" s="3" t="s">
        <v>400</v>
      </c>
      <c r="D152" s="233">
        <v>67</v>
      </c>
      <c r="E152" s="233">
        <v>6</v>
      </c>
      <c r="F152" s="234"/>
      <c r="G152" s="235"/>
      <c r="H152" s="2"/>
    </row>
    <row r="153" spans="1:8" x14ac:dyDescent="0.3">
      <c r="A153" s="2">
        <v>32761</v>
      </c>
      <c r="B153" s="4" t="s">
        <v>699</v>
      </c>
      <c r="C153" s="3" t="s">
        <v>400</v>
      </c>
      <c r="D153" s="233">
        <v>67</v>
      </c>
      <c r="E153" s="233">
        <v>6</v>
      </c>
      <c r="F153" s="234"/>
      <c r="G153" s="235"/>
      <c r="H153" s="2"/>
    </row>
    <row r="154" spans="1:8" x14ac:dyDescent="0.3">
      <c r="A154" s="2">
        <v>34405</v>
      </c>
      <c r="B154" s="4" t="s">
        <v>670</v>
      </c>
      <c r="C154" s="3" t="s">
        <v>256</v>
      </c>
      <c r="D154" s="233">
        <v>84</v>
      </c>
      <c r="E154" s="233">
        <v>1</v>
      </c>
      <c r="F154" s="234"/>
      <c r="G154" s="235"/>
      <c r="H154" s="2"/>
    </row>
    <row r="155" spans="1:8" x14ac:dyDescent="0.3">
      <c r="A155" s="2">
        <v>35227</v>
      </c>
      <c r="B155" s="4" t="s">
        <v>861</v>
      </c>
      <c r="C155" s="3" t="s">
        <v>256</v>
      </c>
      <c r="D155" s="233">
        <v>61</v>
      </c>
      <c r="E155" s="233">
        <v>8</v>
      </c>
      <c r="F155" s="234" t="s">
        <v>857</v>
      </c>
      <c r="G155" s="235">
        <v>44433.653020833335</v>
      </c>
      <c r="H155" s="2">
        <v>59400</v>
      </c>
    </row>
    <row r="156" spans="1:8" x14ac:dyDescent="0.3">
      <c r="A156" s="2">
        <v>35238</v>
      </c>
      <c r="B156" s="4" t="s">
        <v>507</v>
      </c>
      <c r="C156" s="3" t="s">
        <v>256</v>
      </c>
      <c r="D156" s="233">
        <v>54</v>
      </c>
      <c r="E156" s="233">
        <v>4</v>
      </c>
      <c r="F156" s="234" t="s">
        <v>257</v>
      </c>
      <c r="G156" s="235">
        <v>43875.456620370373</v>
      </c>
      <c r="H156" s="2"/>
    </row>
    <row r="157" spans="1:8" x14ac:dyDescent="0.3">
      <c r="A157" s="2">
        <v>35331</v>
      </c>
      <c r="B157" s="4" t="s">
        <v>589</v>
      </c>
      <c r="C157" s="3" t="s">
        <v>301</v>
      </c>
      <c r="D157" s="233">
        <v>54</v>
      </c>
      <c r="E157" s="233">
        <v>4</v>
      </c>
      <c r="F157" s="234" t="s">
        <v>257</v>
      </c>
      <c r="G157" s="235">
        <v>43999.45821759259</v>
      </c>
      <c r="H157" s="2"/>
    </row>
    <row r="158" spans="1:8" x14ac:dyDescent="0.3">
      <c r="A158" s="2">
        <v>35359</v>
      </c>
      <c r="B158" s="4" t="s">
        <v>643</v>
      </c>
      <c r="C158" s="3" t="s">
        <v>301</v>
      </c>
      <c r="D158" s="233">
        <v>54</v>
      </c>
      <c r="E158" s="233">
        <v>4</v>
      </c>
      <c r="F158" s="234" t="s">
        <v>257</v>
      </c>
      <c r="G158" s="235">
        <v>43720.378981481481</v>
      </c>
      <c r="H158" s="2">
        <v>137799</v>
      </c>
    </row>
    <row r="159" spans="1:8" x14ac:dyDescent="0.3">
      <c r="A159" s="2">
        <v>36011</v>
      </c>
      <c r="B159" s="4" t="s">
        <v>836</v>
      </c>
      <c r="C159" s="3" t="s">
        <v>273</v>
      </c>
      <c r="D159" s="233">
        <v>76</v>
      </c>
      <c r="E159" s="233">
        <v>9</v>
      </c>
      <c r="F159" s="234" t="s">
        <v>257</v>
      </c>
      <c r="G159" s="235">
        <v>43896.301296296297</v>
      </c>
      <c r="H159" s="2"/>
    </row>
    <row r="160" spans="1:8" x14ac:dyDescent="0.3">
      <c r="A160" s="2">
        <v>36033</v>
      </c>
      <c r="B160" s="4" t="s">
        <v>439</v>
      </c>
      <c r="C160" s="3" t="s">
        <v>331</v>
      </c>
      <c r="D160" s="233">
        <v>55</v>
      </c>
      <c r="E160" s="233">
        <v>19</v>
      </c>
      <c r="F160" s="234"/>
      <c r="G160" s="235"/>
      <c r="H160" s="2"/>
    </row>
    <row r="161" spans="1:8" x14ac:dyDescent="0.3">
      <c r="A161" s="2">
        <v>36107</v>
      </c>
      <c r="B161" s="4" t="s">
        <v>404</v>
      </c>
      <c r="C161" s="3" t="s">
        <v>256</v>
      </c>
      <c r="D161" s="233">
        <v>74</v>
      </c>
      <c r="E161" s="233">
        <v>9</v>
      </c>
      <c r="F161" s="234"/>
      <c r="G161" s="235"/>
      <c r="H161" s="2"/>
    </row>
    <row r="162" spans="1:8" x14ac:dyDescent="0.3">
      <c r="A162" s="2">
        <v>36400</v>
      </c>
      <c r="B162" s="4" t="s">
        <v>739</v>
      </c>
      <c r="C162" s="3" t="s">
        <v>256</v>
      </c>
      <c r="D162" s="233">
        <v>89</v>
      </c>
      <c r="E162" s="233">
        <v>12</v>
      </c>
      <c r="F162" s="234" t="s">
        <v>257</v>
      </c>
      <c r="G162" s="235">
        <v>43875.379710648151</v>
      </c>
      <c r="H162" s="2"/>
    </row>
    <row r="163" spans="1:8" x14ac:dyDescent="0.3">
      <c r="A163" s="2">
        <v>37847</v>
      </c>
      <c r="B163" s="4" t="s">
        <v>466</v>
      </c>
      <c r="C163" s="3"/>
      <c r="D163" s="233"/>
      <c r="E163" s="233"/>
      <c r="F163" s="234"/>
      <c r="G163" s="235"/>
      <c r="H163" s="2"/>
    </row>
    <row r="164" spans="1:8" x14ac:dyDescent="0.3">
      <c r="A164" s="2">
        <v>38079</v>
      </c>
      <c r="B164" s="4" t="s">
        <v>266</v>
      </c>
      <c r="C164" s="3" t="s">
        <v>256</v>
      </c>
      <c r="D164" s="233">
        <v>55</v>
      </c>
      <c r="E164" s="233">
        <v>46</v>
      </c>
      <c r="F164" s="234"/>
      <c r="G164" s="235"/>
      <c r="H164" s="2"/>
    </row>
    <row r="165" spans="1:8" x14ac:dyDescent="0.3">
      <c r="A165" s="2">
        <v>38648</v>
      </c>
      <c r="B165" s="4" t="s">
        <v>865</v>
      </c>
      <c r="C165" s="3" t="s">
        <v>331</v>
      </c>
      <c r="D165" s="233">
        <v>59</v>
      </c>
      <c r="E165" s="233">
        <v>18</v>
      </c>
      <c r="F165" s="234" t="s">
        <v>857</v>
      </c>
      <c r="G165" s="235">
        <v>44461.377997685187</v>
      </c>
      <c r="H165" s="2"/>
    </row>
    <row r="166" spans="1:8" x14ac:dyDescent="0.3">
      <c r="A166" s="2">
        <v>39982</v>
      </c>
      <c r="B166" s="4" t="s">
        <v>668</v>
      </c>
      <c r="C166" s="3" t="s">
        <v>256</v>
      </c>
      <c r="D166" s="233">
        <v>84</v>
      </c>
      <c r="E166" s="233">
        <v>1</v>
      </c>
      <c r="F166" s="234"/>
      <c r="G166" s="235"/>
      <c r="H166" s="2"/>
    </row>
    <row r="167" spans="1:8" x14ac:dyDescent="0.3">
      <c r="A167" s="2">
        <v>40685</v>
      </c>
      <c r="B167" s="4" t="s">
        <v>355</v>
      </c>
      <c r="C167" s="3" t="s">
        <v>331</v>
      </c>
      <c r="D167" s="233">
        <v>55</v>
      </c>
      <c r="E167" s="233">
        <v>19</v>
      </c>
      <c r="F167" s="234" t="s">
        <v>271</v>
      </c>
      <c r="G167" s="235">
        <v>44104.394143518519</v>
      </c>
      <c r="H167" s="2">
        <v>140038</v>
      </c>
    </row>
    <row r="168" spans="1:8" x14ac:dyDescent="0.3">
      <c r="A168" s="2">
        <v>40688</v>
      </c>
      <c r="B168" s="4" t="s">
        <v>622</v>
      </c>
      <c r="C168" s="3" t="s">
        <v>256</v>
      </c>
      <c r="D168" s="233">
        <v>67</v>
      </c>
      <c r="E168" s="233">
        <v>18</v>
      </c>
      <c r="F168" s="234"/>
      <c r="G168" s="235"/>
      <c r="H168" s="2"/>
    </row>
    <row r="169" spans="1:8" x14ac:dyDescent="0.3">
      <c r="A169" s="2">
        <v>40689</v>
      </c>
      <c r="B169" s="4" t="s">
        <v>621</v>
      </c>
      <c r="C169" s="3" t="s">
        <v>256</v>
      </c>
      <c r="D169" s="233">
        <v>67</v>
      </c>
      <c r="E169" s="233">
        <v>18</v>
      </c>
      <c r="F169" s="234"/>
      <c r="G169" s="235"/>
      <c r="H169" s="2"/>
    </row>
    <row r="170" spans="1:8" x14ac:dyDescent="0.3">
      <c r="A170" s="2">
        <v>42681</v>
      </c>
      <c r="B170" s="4" t="s">
        <v>506</v>
      </c>
      <c r="C170" s="3" t="s">
        <v>256</v>
      </c>
      <c r="D170" s="233">
        <v>54</v>
      </c>
      <c r="E170" s="233">
        <v>4</v>
      </c>
      <c r="F170" s="234" t="s">
        <v>257</v>
      </c>
      <c r="G170" s="235">
        <v>43875.456400462965</v>
      </c>
      <c r="H170" s="2"/>
    </row>
    <row r="171" spans="1:8" x14ac:dyDescent="0.3">
      <c r="A171" s="2">
        <v>43648</v>
      </c>
      <c r="B171" s="4" t="s">
        <v>282</v>
      </c>
      <c r="C171" s="3" t="s">
        <v>256</v>
      </c>
      <c r="D171" s="233">
        <v>55</v>
      </c>
      <c r="E171" s="233">
        <v>32</v>
      </c>
      <c r="F171" s="234"/>
      <c r="G171" s="235"/>
      <c r="H171" s="2"/>
    </row>
    <row r="172" spans="1:8" x14ac:dyDescent="0.3">
      <c r="A172" s="2">
        <v>43794</v>
      </c>
      <c r="B172" s="4" t="s">
        <v>402</v>
      </c>
      <c r="C172" s="3" t="s">
        <v>256</v>
      </c>
      <c r="D172" s="233">
        <v>74</v>
      </c>
      <c r="E172" s="233">
        <v>8</v>
      </c>
      <c r="F172" s="234"/>
      <c r="G172" s="235"/>
      <c r="H172" s="2"/>
    </row>
    <row r="173" spans="1:8" x14ac:dyDescent="0.3">
      <c r="A173" s="2">
        <v>45067</v>
      </c>
      <c r="B173" s="4" t="s">
        <v>440</v>
      </c>
      <c r="C173" s="3" t="s">
        <v>331</v>
      </c>
      <c r="D173" s="233">
        <v>55</v>
      </c>
      <c r="E173" s="233">
        <v>19</v>
      </c>
      <c r="F173" s="234"/>
      <c r="G173" s="235"/>
      <c r="H173" s="2"/>
    </row>
    <row r="174" spans="1:8" x14ac:dyDescent="0.3">
      <c r="A174" s="2">
        <v>45111</v>
      </c>
      <c r="B174" s="4" t="s">
        <v>669</v>
      </c>
      <c r="C174" s="3" t="s">
        <v>256</v>
      </c>
      <c r="D174" s="233">
        <v>84</v>
      </c>
      <c r="E174" s="233">
        <v>1</v>
      </c>
      <c r="F174" s="234"/>
      <c r="G174" s="235"/>
      <c r="H174" s="2"/>
    </row>
    <row r="175" spans="1:8" x14ac:dyDescent="0.3">
      <c r="A175" s="2">
        <v>45195</v>
      </c>
      <c r="B175" s="4" t="s">
        <v>731</v>
      </c>
      <c r="C175" s="3" t="s">
        <v>31</v>
      </c>
      <c r="D175" s="233">
        <v>51</v>
      </c>
      <c r="E175" s="233">
        <v>11</v>
      </c>
      <c r="F175" s="234"/>
      <c r="G175" s="235"/>
      <c r="H175" s="2"/>
    </row>
    <row r="176" spans="1:8" x14ac:dyDescent="0.3">
      <c r="A176" s="2">
        <v>45651</v>
      </c>
      <c r="B176" s="4" t="s">
        <v>530</v>
      </c>
      <c r="C176" s="3" t="s">
        <v>256</v>
      </c>
      <c r="D176" s="233">
        <v>67</v>
      </c>
      <c r="E176" s="233">
        <v>1</v>
      </c>
      <c r="F176" s="234"/>
      <c r="G176" s="235"/>
      <c r="H176" s="2"/>
    </row>
    <row r="177" spans="1:8" x14ac:dyDescent="0.3">
      <c r="A177" s="2">
        <v>48178</v>
      </c>
      <c r="B177" s="4" t="s">
        <v>401</v>
      </c>
      <c r="C177" s="3" t="s">
        <v>256</v>
      </c>
      <c r="D177" s="233">
        <v>74</v>
      </c>
      <c r="E177" s="233">
        <v>8</v>
      </c>
      <c r="F177" s="234"/>
      <c r="G177" s="235"/>
      <c r="H177" s="2"/>
    </row>
    <row r="178" spans="1:8" x14ac:dyDescent="0.3">
      <c r="A178" s="2">
        <v>48714</v>
      </c>
      <c r="B178" s="4" t="s">
        <v>472</v>
      </c>
      <c r="C178" s="3" t="s">
        <v>256</v>
      </c>
      <c r="D178" s="233">
        <v>83</v>
      </c>
      <c r="E178" s="233">
        <v>10</v>
      </c>
      <c r="F178" s="234"/>
      <c r="G178" s="235"/>
      <c r="H178" s="2"/>
    </row>
    <row r="179" spans="1:8" x14ac:dyDescent="0.3">
      <c r="A179" s="2">
        <v>49099</v>
      </c>
      <c r="B179" s="4" t="s">
        <v>691</v>
      </c>
      <c r="C179" s="3" t="s">
        <v>400</v>
      </c>
      <c r="D179" s="233">
        <v>67</v>
      </c>
      <c r="E179" s="233">
        <v>6</v>
      </c>
      <c r="F179" s="234"/>
      <c r="G179" s="235"/>
      <c r="H179" s="2"/>
    </row>
    <row r="180" spans="1:8" x14ac:dyDescent="0.3">
      <c r="A180" s="2">
        <v>49184</v>
      </c>
      <c r="B180" s="4" t="s">
        <v>492</v>
      </c>
      <c r="C180" s="3" t="s">
        <v>256</v>
      </c>
      <c r="D180" s="233">
        <v>52</v>
      </c>
      <c r="E180" s="233">
        <v>8</v>
      </c>
      <c r="F180" s="234"/>
      <c r="G180" s="235"/>
      <c r="H180" s="2"/>
    </row>
    <row r="181" spans="1:8" x14ac:dyDescent="0.3">
      <c r="A181" s="2">
        <v>49188</v>
      </c>
      <c r="B181" s="4" t="s">
        <v>370</v>
      </c>
      <c r="C181" s="3" t="s">
        <v>256</v>
      </c>
      <c r="D181" s="233">
        <v>52</v>
      </c>
      <c r="E181" s="233">
        <v>7</v>
      </c>
      <c r="F181" s="234"/>
      <c r="G181" s="235"/>
      <c r="H181" s="2"/>
    </row>
    <row r="182" spans="1:8" x14ac:dyDescent="0.3">
      <c r="A182" s="2">
        <v>49864</v>
      </c>
      <c r="B182" s="4" t="s">
        <v>519</v>
      </c>
      <c r="C182" s="3" t="s">
        <v>256</v>
      </c>
      <c r="D182" s="233">
        <v>73</v>
      </c>
      <c r="E182" s="233">
        <v>4</v>
      </c>
      <c r="F182" s="234"/>
      <c r="G182" s="235"/>
      <c r="H182" s="2"/>
    </row>
    <row r="183" spans="1:8" x14ac:dyDescent="0.3">
      <c r="A183" s="2">
        <v>49866</v>
      </c>
      <c r="B183" s="4" t="s">
        <v>543</v>
      </c>
      <c r="C183" s="3" t="s">
        <v>256</v>
      </c>
      <c r="D183" s="233">
        <v>55</v>
      </c>
      <c r="E183" s="233">
        <v>57</v>
      </c>
      <c r="F183" s="234"/>
      <c r="G183" s="235"/>
      <c r="H183" s="2"/>
    </row>
    <row r="184" spans="1:8" x14ac:dyDescent="0.3">
      <c r="A184" s="2">
        <v>49867</v>
      </c>
      <c r="B184" s="4" t="s">
        <v>718</v>
      </c>
      <c r="C184" s="3" t="s">
        <v>256</v>
      </c>
      <c r="D184" s="233">
        <v>55</v>
      </c>
      <c r="E184" s="233">
        <v>55</v>
      </c>
      <c r="F184" s="234"/>
      <c r="G184" s="235"/>
      <c r="H184" s="2"/>
    </row>
    <row r="185" spans="1:8" x14ac:dyDescent="0.3">
      <c r="A185" s="2">
        <v>49984</v>
      </c>
      <c r="B185" s="4" t="s">
        <v>369</v>
      </c>
      <c r="C185" s="3" t="s">
        <v>256</v>
      </c>
      <c r="D185" s="233">
        <v>52</v>
      </c>
      <c r="E185" s="233">
        <v>7</v>
      </c>
      <c r="F185" s="234"/>
      <c r="G185" s="235"/>
      <c r="H185" s="2"/>
    </row>
    <row r="186" spans="1:8" x14ac:dyDescent="0.3">
      <c r="A186" s="2">
        <v>49988</v>
      </c>
      <c r="B186" s="4" t="s">
        <v>369</v>
      </c>
      <c r="C186" s="3" t="s">
        <v>256</v>
      </c>
      <c r="D186" s="233">
        <v>52</v>
      </c>
      <c r="E186" s="233">
        <v>7</v>
      </c>
      <c r="F186" s="234"/>
      <c r="G186" s="235"/>
      <c r="H186" s="2"/>
    </row>
    <row r="187" spans="1:8" x14ac:dyDescent="0.3">
      <c r="A187" s="2">
        <v>50294</v>
      </c>
      <c r="B187" s="4" t="s">
        <v>603</v>
      </c>
      <c r="C187" s="3" t="s">
        <v>256</v>
      </c>
      <c r="D187" s="233">
        <v>61</v>
      </c>
      <c r="E187" s="233">
        <v>8</v>
      </c>
      <c r="F187" s="234"/>
      <c r="G187" s="235"/>
      <c r="H187" s="2"/>
    </row>
    <row r="188" spans="1:8" x14ac:dyDescent="0.3">
      <c r="A188" s="2">
        <v>50476</v>
      </c>
      <c r="B188" s="4" t="s">
        <v>792</v>
      </c>
      <c r="C188" s="3" t="s">
        <v>256</v>
      </c>
      <c r="D188" s="233">
        <v>51</v>
      </c>
      <c r="E188" s="233">
        <v>17</v>
      </c>
      <c r="F188" s="234"/>
      <c r="G188" s="235"/>
      <c r="H188" s="2"/>
    </row>
    <row r="189" spans="1:8" x14ac:dyDescent="0.3">
      <c r="A189" s="2">
        <v>51013</v>
      </c>
      <c r="B189" s="4" t="s">
        <v>823</v>
      </c>
      <c r="C189" s="3" t="s">
        <v>273</v>
      </c>
      <c r="D189" s="233">
        <v>76</v>
      </c>
      <c r="E189" s="233">
        <v>10</v>
      </c>
      <c r="F189" s="234" t="s">
        <v>257</v>
      </c>
      <c r="G189" s="235" t="s">
        <v>824</v>
      </c>
      <c r="H189" s="2"/>
    </row>
    <row r="190" spans="1:8" x14ac:dyDescent="0.3">
      <c r="A190" s="2">
        <v>51223</v>
      </c>
      <c r="B190" s="4" t="s">
        <v>581</v>
      </c>
      <c r="C190" s="3" t="s">
        <v>256</v>
      </c>
      <c r="D190" s="233">
        <v>55</v>
      </c>
      <c r="E190" s="233">
        <v>49</v>
      </c>
      <c r="F190" s="234"/>
      <c r="G190" s="235"/>
      <c r="H190" s="2"/>
    </row>
    <row r="191" spans="1:8" x14ac:dyDescent="0.3">
      <c r="A191" s="2">
        <v>51337</v>
      </c>
      <c r="B191" s="4" t="s">
        <v>295</v>
      </c>
      <c r="C191" s="3" t="s">
        <v>256</v>
      </c>
      <c r="D191" s="233">
        <v>74</v>
      </c>
      <c r="E191" s="233">
        <v>10</v>
      </c>
      <c r="F191" s="234"/>
      <c r="G191" s="235"/>
      <c r="H191" s="2"/>
    </row>
    <row r="192" spans="1:8" x14ac:dyDescent="0.3">
      <c r="A192" s="2">
        <v>52995</v>
      </c>
      <c r="B192" s="4" t="s">
        <v>786</v>
      </c>
      <c r="C192" s="3" t="s">
        <v>256</v>
      </c>
      <c r="D192" s="233">
        <v>61</v>
      </c>
      <c r="E192" s="233">
        <v>8</v>
      </c>
      <c r="F192" s="234"/>
      <c r="G192" s="235"/>
      <c r="H192" s="2"/>
    </row>
    <row r="193" spans="1:8" x14ac:dyDescent="0.3">
      <c r="A193" s="2">
        <v>53016</v>
      </c>
      <c r="B193" s="4" t="s">
        <v>296</v>
      </c>
      <c r="C193" s="3" t="s">
        <v>297</v>
      </c>
      <c r="D193" s="233">
        <v>74</v>
      </c>
      <c r="E193" s="233">
        <v>10</v>
      </c>
      <c r="F193" s="234"/>
      <c r="G193" s="235"/>
      <c r="H193" s="2"/>
    </row>
    <row r="194" spans="1:8" x14ac:dyDescent="0.3">
      <c r="A194" s="2">
        <v>53810</v>
      </c>
      <c r="B194" s="4" t="s">
        <v>701</v>
      </c>
      <c r="C194" s="3" t="s">
        <v>400</v>
      </c>
      <c r="D194" s="233">
        <v>67</v>
      </c>
      <c r="E194" s="233">
        <v>6</v>
      </c>
      <c r="F194" s="234"/>
      <c r="G194" s="235"/>
      <c r="H194" s="2"/>
    </row>
    <row r="195" spans="1:8" x14ac:dyDescent="0.3">
      <c r="A195" s="2">
        <v>53928</v>
      </c>
      <c r="B195" s="4" t="s">
        <v>600</v>
      </c>
      <c r="C195" s="3" t="s">
        <v>256</v>
      </c>
      <c r="D195" s="233">
        <v>51</v>
      </c>
      <c r="E195" s="233">
        <v>30</v>
      </c>
      <c r="F195" s="234"/>
      <c r="G195" s="235"/>
      <c r="H195" s="2"/>
    </row>
    <row r="196" spans="1:8" x14ac:dyDescent="0.3">
      <c r="A196" s="2">
        <v>54668</v>
      </c>
      <c r="B196" s="4" t="s">
        <v>831</v>
      </c>
      <c r="C196" s="3" t="s">
        <v>273</v>
      </c>
      <c r="D196" s="233">
        <v>76</v>
      </c>
      <c r="E196" s="233">
        <v>9</v>
      </c>
      <c r="F196" s="234" t="s">
        <v>257</v>
      </c>
      <c r="G196" s="235">
        <v>43896.300358796296</v>
      </c>
      <c r="H196" s="2"/>
    </row>
    <row r="197" spans="1:8" x14ac:dyDescent="0.3">
      <c r="A197" s="2">
        <v>54969</v>
      </c>
      <c r="B197" s="4" t="s">
        <v>784</v>
      </c>
      <c r="C197" s="3" t="s">
        <v>256</v>
      </c>
      <c r="D197" s="233">
        <v>61</v>
      </c>
      <c r="E197" s="233">
        <v>8</v>
      </c>
      <c r="F197" s="234"/>
      <c r="G197" s="235"/>
      <c r="H197" s="2"/>
    </row>
    <row r="198" spans="1:8" x14ac:dyDescent="0.3">
      <c r="A198" s="2">
        <v>57444</v>
      </c>
      <c r="B198" s="4" t="s">
        <v>433</v>
      </c>
      <c r="C198" s="3" t="s">
        <v>270</v>
      </c>
      <c r="D198" s="233">
        <v>76</v>
      </c>
      <c r="E198" s="233">
        <v>6</v>
      </c>
      <c r="F198" s="234" t="s">
        <v>257</v>
      </c>
      <c r="G198" s="235" t="s">
        <v>434</v>
      </c>
      <c r="H198" s="2"/>
    </row>
    <row r="199" spans="1:8" x14ac:dyDescent="0.3">
      <c r="A199" s="2">
        <v>57895</v>
      </c>
      <c r="B199" s="4" t="s">
        <v>709</v>
      </c>
      <c r="C199" s="3" t="s">
        <v>256</v>
      </c>
      <c r="D199" s="233">
        <v>51</v>
      </c>
      <c r="E199" s="233">
        <v>11</v>
      </c>
      <c r="F199" s="234"/>
      <c r="G199" s="235"/>
      <c r="H199" s="2"/>
    </row>
    <row r="200" spans="1:8" x14ac:dyDescent="0.3">
      <c r="A200" s="2">
        <v>58116</v>
      </c>
      <c r="B200" s="4" t="s">
        <v>872</v>
      </c>
      <c r="C200" s="3" t="s">
        <v>256</v>
      </c>
      <c r="D200" s="233">
        <v>70</v>
      </c>
      <c r="E200" s="233">
        <v>38</v>
      </c>
      <c r="F200" s="234" t="s">
        <v>857</v>
      </c>
      <c r="G200" s="235">
        <v>44463.593159722222</v>
      </c>
      <c r="H200" s="2"/>
    </row>
    <row r="201" spans="1:8" x14ac:dyDescent="0.3">
      <c r="A201" s="2">
        <v>58117</v>
      </c>
      <c r="B201" s="4" t="s">
        <v>388</v>
      </c>
      <c r="C201" s="3" t="s">
        <v>256</v>
      </c>
      <c r="D201" s="233">
        <v>70</v>
      </c>
      <c r="E201" s="233">
        <v>38</v>
      </c>
      <c r="F201" s="234" t="s">
        <v>271</v>
      </c>
      <c r="G201" s="235">
        <v>44313.495532407411</v>
      </c>
      <c r="H201" s="2"/>
    </row>
    <row r="202" spans="1:8" x14ac:dyDescent="0.3">
      <c r="A202" s="2">
        <v>58647</v>
      </c>
      <c r="B202" s="4" t="s">
        <v>788</v>
      </c>
      <c r="C202" s="3" t="s">
        <v>331</v>
      </c>
      <c r="D202" s="233">
        <v>51</v>
      </c>
      <c r="E202" s="233">
        <v>30</v>
      </c>
      <c r="F202" s="234" t="s">
        <v>257</v>
      </c>
      <c r="G202" s="235">
        <v>43720.441446759258</v>
      </c>
      <c r="H202" s="2">
        <v>64044</v>
      </c>
    </row>
    <row r="203" spans="1:8" x14ac:dyDescent="0.3">
      <c r="A203" s="2">
        <v>58792</v>
      </c>
      <c r="B203" s="4" t="s">
        <v>574</v>
      </c>
      <c r="C203" s="3" t="s">
        <v>31</v>
      </c>
      <c r="D203" s="233">
        <v>72</v>
      </c>
      <c r="E203" s="233">
        <v>6</v>
      </c>
      <c r="F203" s="234" t="s">
        <v>271</v>
      </c>
      <c r="G203" s="235">
        <v>44267.707777777781</v>
      </c>
      <c r="H203" s="2"/>
    </row>
    <row r="204" spans="1:8" x14ac:dyDescent="0.3">
      <c r="A204" s="2">
        <v>58977</v>
      </c>
      <c r="B204" s="4" t="s">
        <v>685</v>
      </c>
      <c r="C204" s="3" t="s">
        <v>256</v>
      </c>
      <c r="D204" s="233">
        <v>51</v>
      </c>
      <c r="E204" s="233">
        <v>37</v>
      </c>
      <c r="F204" s="234" t="s">
        <v>257</v>
      </c>
      <c r="G204" s="235">
        <v>43656.484259259261</v>
      </c>
      <c r="H204" s="2"/>
    </row>
    <row r="205" spans="1:8" x14ac:dyDescent="0.3">
      <c r="A205" s="2">
        <v>58989</v>
      </c>
      <c r="B205" s="4" t="s">
        <v>598</v>
      </c>
      <c r="C205" s="3"/>
      <c r="D205" s="233"/>
      <c r="E205" s="233"/>
      <c r="F205" s="234" t="s">
        <v>271</v>
      </c>
      <c r="G205" s="235">
        <v>43732.617048611108</v>
      </c>
      <c r="H205" s="2"/>
    </row>
    <row r="206" spans="1:8" x14ac:dyDescent="0.3">
      <c r="A206" s="2">
        <v>60108</v>
      </c>
      <c r="B206" s="4" t="s">
        <v>498</v>
      </c>
      <c r="C206" s="3" t="s">
        <v>31</v>
      </c>
      <c r="D206" s="233">
        <v>52</v>
      </c>
      <c r="E206" s="233">
        <v>13</v>
      </c>
      <c r="F206" s="234"/>
      <c r="G206" s="235"/>
      <c r="H206" s="2"/>
    </row>
    <row r="207" spans="1:8" x14ac:dyDescent="0.3">
      <c r="A207" s="2">
        <v>60110</v>
      </c>
      <c r="B207" s="4" t="s">
        <v>712</v>
      </c>
      <c r="C207" s="3" t="s">
        <v>31</v>
      </c>
      <c r="D207" s="233">
        <v>52</v>
      </c>
      <c r="E207" s="233">
        <v>10</v>
      </c>
      <c r="F207" s="234"/>
      <c r="G207" s="235"/>
      <c r="H207" s="2"/>
    </row>
    <row r="208" spans="1:8" x14ac:dyDescent="0.3">
      <c r="A208" s="2">
        <v>60854</v>
      </c>
      <c r="B208" s="4" t="s">
        <v>419</v>
      </c>
      <c r="C208" s="3" t="s">
        <v>256</v>
      </c>
      <c r="D208" s="233">
        <v>55</v>
      </c>
      <c r="E208" s="233">
        <v>32</v>
      </c>
      <c r="F208" s="234"/>
      <c r="G208" s="235"/>
      <c r="H208" s="2"/>
    </row>
    <row r="209" spans="1:8" x14ac:dyDescent="0.3">
      <c r="A209" s="2">
        <v>61167</v>
      </c>
      <c r="B209" s="4" t="s">
        <v>811</v>
      </c>
      <c r="C209" s="3" t="s">
        <v>596</v>
      </c>
      <c r="D209" s="233">
        <v>76</v>
      </c>
      <c r="E209" s="233">
        <v>3</v>
      </c>
      <c r="F209" s="234"/>
      <c r="G209" s="235"/>
      <c r="H209" s="2"/>
    </row>
    <row r="210" spans="1:8" x14ac:dyDescent="0.3">
      <c r="A210" s="2">
        <v>62365</v>
      </c>
      <c r="B210" s="4" t="s">
        <v>291</v>
      </c>
      <c r="C210" s="3" t="s">
        <v>256</v>
      </c>
      <c r="D210" s="233">
        <v>52</v>
      </c>
      <c r="E210" s="233">
        <v>8</v>
      </c>
      <c r="F210" s="234"/>
      <c r="G210" s="235"/>
      <c r="H210" s="2"/>
    </row>
    <row r="211" spans="1:8" x14ac:dyDescent="0.3">
      <c r="A211" s="2">
        <v>62625</v>
      </c>
      <c r="B211" s="4" t="s">
        <v>719</v>
      </c>
      <c r="C211" s="3"/>
      <c r="D211" s="233"/>
      <c r="E211" s="233"/>
      <c r="F211" s="234"/>
      <c r="G211" s="235"/>
      <c r="H211" s="2"/>
    </row>
    <row r="212" spans="1:8" x14ac:dyDescent="0.3">
      <c r="A212" s="2">
        <v>63383</v>
      </c>
      <c r="B212" s="4" t="s">
        <v>686</v>
      </c>
      <c r="C212" s="3" t="s">
        <v>31</v>
      </c>
      <c r="D212" s="233">
        <v>52</v>
      </c>
      <c r="E212" s="233">
        <v>9</v>
      </c>
      <c r="F212" s="234"/>
      <c r="G212" s="235"/>
      <c r="H212" s="2"/>
    </row>
    <row r="213" spans="1:8" x14ac:dyDescent="0.3">
      <c r="A213" s="2">
        <v>63384</v>
      </c>
      <c r="B213" s="4" t="s">
        <v>800</v>
      </c>
      <c r="C213" s="3" t="s">
        <v>256</v>
      </c>
      <c r="D213" s="233">
        <v>52</v>
      </c>
      <c r="E213" s="233">
        <v>5</v>
      </c>
      <c r="F213" s="234"/>
      <c r="G213" s="235"/>
      <c r="H213" s="2"/>
    </row>
    <row r="214" spans="1:8" x14ac:dyDescent="0.3">
      <c r="A214" s="2">
        <v>64302</v>
      </c>
      <c r="B214" s="4" t="s">
        <v>354</v>
      </c>
      <c r="C214" s="3" t="s">
        <v>331</v>
      </c>
      <c r="D214" s="233">
        <v>55</v>
      </c>
      <c r="E214" s="233">
        <v>19</v>
      </c>
      <c r="F214" s="234" t="s">
        <v>271</v>
      </c>
      <c r="G214" s="235">
        <v>44104.394143518519</v>
      </c>
      <c r="H214" s="2">
        <v>140036</v>
      </c>
    </row>
    <row r="215" spans="1:8" x14ac:dyDescent="0.3">
      <c r="A215" s="2">
        <v>64460</v>
      </c>
      <c r="B215" s="4" t="s">
        <v>681</v>
      </c>
      <c r="C215" s="3" t="s">
        <v>256</v>
      </c>
      <c r="D215" s="233">
        <v>67</v>
      </c>
      <c r="E215" s="233">
        <v>4</v>
      </c>
      <c r="F215" s="234"/>
      <c r="G215" s="235"/>
      <c r="H215" s="2"/>
    </row>
    <row r="216" spans="1:8" x14ac:dyDescent="0.3">
      <c r="A216" s="2">
        <v>64461</v>
      </c>
      <c r="B216" s="4" t="s">
        <v>680</v>
      </c>
      <c r="C216" s="3" t="s">
        <v>256</v>
      </c>
      <c r="D216" s="233">
        <v>67</v>
      </c>
      <c r="E216" s="233">
        <v>4</v>
      </c>
      <c r="F216" s="234"/>
      <c r="G216" s="235"/>
      <c r="H216" s="2"/>
    </row>
    <row r="217" spans="1:8" x14ac:dyDescent="0.3">
      <c r="A217" s="2">
        <v>64463</v>
      </c>
      <c r="B217" s="4" t="s">
        <v>679</v>
      </c>
      <c r="C217" s="3" t="s">
        <v>256</v>
      </c>
      <c r="D217" s="233">
        <v>67</v>
      </c>
      <c r="E217" s="233">
        <v>4</v>
      </c>
      <c r="F217" s="234"/>
      <c r="G217" s="235"/>
      <c r="H217" s="2"/>
    </row>
    <row r="218" spans="1:8" x14ac:dyDescent="0.3">
      <c r="A218" s="2">
        <v>64606</v>
      </c>
      <c r="B218" s="4" t="s">
        <v>293</v>
      </c>
      <c r="C218" s="3" t="s">
        <v>294</v>
      </c>
      <c r="D218" s="233">
        <v>69</v>
      </c>
      <c r="E218" s="233">
        <v>8</v>
      </c>
      <c r="F218" s="234"/>
      <c r="G218" s="235"/>
      <c r="H218" s="2"/>
    </row>
    <row r="219" spans="1:8" x14ac:dyDescent="0.3">
      <c r="A219" s="2">
        <v>64608</v>
      </c>
      <c r="B219" s="4" t="s">
        <v>396</v>
      </c>
      <c r="C219" s="3" t="s">
        <v>294</v>
      </c>
      <c r="D219" s="233">
        <v>69</v>
      </c>
      <c r="E219" s="233">
        <v>3</v>
      </c>
      <c r="F219" s="234"/>
      <c r="G219" s="235"/>
      <c r="H219" s="2"/>
    </row>
    <row r="220" spans="1:8" x14ac:dyDescent="0.3">
      <c r="A220" s="2">
        <v>64630</v>
      </c>
      <c r="B220" s="4" t="s">
        <v>566</v>
      </c>
      <c r="C220" s="3" t="s">
        <v>256</v>
      </c>
      <c r="D220" s="233">
        <v>83</v>
      </c>
      <c r="E220" s="233">
        <v>5</v>
      </c>
      <c r="F220" s="234" t="s">
        <v>271</v>
      </c>
      <c r="G220" s="235">
        <v>44113.417395833334</v>
      </c>
      <c r="H220" s="2"/>
    </row>
    <row r="221" spans="1:8" x14ac:dyDescent="0.3">
      <c r="A221" s="2">
        <v>64631</v>
      </c>
      <c r="B221" s="4" t="s">
        <v>567</v>
      </c>
      <c r="C221" s="3" t="s">
        <v>256</v>
      </c>
      <c r="D221" s="233">
        <v>83</v>
      </c>
      <c r="E221" s="233">
        <v>5</v>
      </c>
      <c r="F221" s="234"/>
      <c r="G221" s="235"/>
      <c r="H221" s="2"/>
    </row>
    <row r="222" spans="1:8" x14ac:dyDescent="0.3">
      <c r="A222" s="2">
        <v>64633</v>
      </c>
      <c r="B222" s="4" t="s">
        <v>471</v>
      </c>
      <c r="C222" s="3" t="s">
        <v>256</v>
      </c>
      <c r="D222" s="233">
        <v>83</v>
      </c>
      <c r="E222" s="233">
        <v>10</v>
      </c>
      <c r="F222" s="234"/>
      <c r="G222" s="235"/>
      <c r="H222" s="2"/>
    </row>
    <row r="223" spans="1:8" x14ac:dyDescent="0.3">
      <c r="A223" s="2">
        <v>64818</v>
      </c>
      <c r="B223" s="4" t="s">
        <v>762</v>
      </c>
      <c r="C223" s="3" t="s">
        <v>256</v>
      </c>
      <c r="D223" s="233">
        <v>61</v>
      </c>
      <c r="E223" s="233">
        <v>11</v>
      </c>
      <c r="F223" s="234"/>
      <c r="G223" s="235"/>
      <c r="H223" s="2"/>
    </row>
    <row r="224" spans="1:8" x14ac:dyDescent="0.3">
      <c r="A224" s="2">
        <v>64819</v>
      </c>
      <c r="B224" s="4" t="s">
        <v>789</v>
      </c>
      <c r="C224" s="3" t="s">
        <v>331</v>
      </c>
      <c r="D224" s="233">
        <v>51</v>
      </c>
      <c r="E224" s="233">
        <v>30</v>
      </c>
      <c r="F224" s="234" t="s">
        <v>257</v>
      </c>
      <c r="G224" s="235">
        <v>43720.454328703701</v>
      </c>
      <c r="H224" s="2">
        <v>54680</v>
      </c>
    </row>
    <row r="225" spans="1:8" x14ac:dyDescent="0.3">
      <c r="A225" s="2">
        <v>64820</v>
      </c>
      <c r="B225" s="4" t="s">
        <v>793</v>
      </c>
      <c r="C225" s="3" t="s">
        <v>256</v>
      </c>
      <c r="D225" s="233">
        <v>51</v>
      </c>
      <c r="E225" s="233">
        <v>17</v>
      </c>
      <c r="F225" s="234"/>
      <c r="G225" s="235"/>
      <c r="H225" s="2"/>
    </row>
    <row r="226" spans="1:8" x14ac:dyDescent="0.3">
      <c r="A226" s="2">
        <v>64821</v>
      </c>
      <c r="B226" s="4" t="s">
        <v>830</v>
      </c>
      <c r="C226" s="3" t="s">
        <v>273</v>
      </c>
      <c r="D226" s="233">
        <v>76</v>
      </c>
      <c r="E226" s="233">
        <v>9</v>
      </c>
      <c r="F226" s="234" t="s">
        <v>257</v>
      </c>
      <c r="G226" s="235">
        <v>43896.298993055556</v>
      </c>
      <c r="H226" s="2"/>
    </row>
    <row r="227" spans="1:8" x14ac:dyDescent="0.3">
      <c r="A227" s="2">
        <v>64822</v>
      </c>
      <c r="B227" s="4" t="s">
        <v>832</v>
      </c>
      <c r="C227" s="3" t="s">
        <v>273</v>
      </c>
      <c r="D227" s="233">
        <v>76</v>
      </c>
      <c r="E227" s="233">
        <v>9</v>
      </c>
      <c r="F227" s="234" t="s">
        <v>271</v>
      </c>
      <c r="G227" s="235">
        <v>44376.365567129629</v>
      </c>
      <c r="H227" s="2">
        <v>141608</v>
      </c>
    </row>
    <row r="228" spans="1:8" x14ac:dyDescent="0.3">
      <c r="A228" s="2">
        <v>65609</v>
      </c>
      <c r="B228" s="4" t="s">
        <v>454</v>
      </c>
      <c r="C228" s="3" t="s">
        <v>256</v>
      </c>
      <c r="D228" s="233">
        <v>51</v>
      </c>
      <c r="E228" s="233">
        <v>17</v>
      </c>
      <c r="F228" s="234"/>
      <c r="G228" s="235"/>
      <c r="H228" s="2"/>
    </row>
    <row r="229" spans="1:8" x14ac:dyDescent="0.3">
      <c r="A229" s="2">
        <v>65610</v>
      </c>
      <c r="B229" s="4" t="s">
        <v>453</v>
      </c>
      <c r="C229" s="3" t="s">
        <v>256</v>
      </c>
      <c r="D229" s="233">
        <v>51</v>
      </c>
      <c r="E229" s="233">
        <v>17</v>
      </c>
      <c r="F229" s="234"/>
      <c r="G229" s="235"/>
      <c r="H229" s="2"/>
    </row>
    <row r="230" spans="1:8" x14ac:dyDescent="0.3">
      <c r="A230" s="2">
        <v>65748</v>
      </c>
      <c r="B230" s="4" t="s">
        <v>353</v>
      </c>
      <c r="C230" s="3" t="s">
        <v>331</v>
      </c>
      <c r="D230" s="233">
        <v>55</v>
      </c>
      <c r="E230" s="233">
        <v>19</v>
      </c>
      <c r="F230" s="234" t="s">
        <v>271</v>
      </c>
      <c r="G230" s="235">
        <v>44104.394143518519</v>
      </c>
      <c r="H230" s="2">
        <v>140030</v>
      </c>
    </row>
    <row r="231" spans="1:8" x14ac:dyDescent="0.3">
      <c r="A231" s="2">
        <v>66786</v>
      </c>
      <c r="B231" s="4" t="s">
        <v>751</v>
      </c>
      <c r="C231" s="3" t="s">
        <v>752</v>
      </c>
      <c r="D231" s="233">
        <v>72</v>
      </c>
      <c r="E231" s="233">
        <v>9</v>
      </c>
      <c r="F231" s="234"/>
      <c r="G231" s="235"/>
      <c r="H231" s="2"/>
    </row>
    <row r="232" spans="1:8" x14ac:dyDescent="0.3">
      <c r="A232" s="2">
        <v>67862</v>
      </c>
      <c r="B232" s="4" t="s">
        <v>782</v>
      </c>
      <c r="C232" s="3" t="s">
        <v>256</v>
      </c>
      <c r="D232" s="233">
        <v>78</v>
      </c>
      <c r="E232" s="233">
        <v>6</v>
      </c>
      <c r="F232" s="234"/>
      <c r="G232" s="235"/>
      <c r="H232" s="2"/>
    </row>
    <row r="233" spans="1:8" x14ac:dyDescent="0.3">
      <c r="A233" s="2">
        <v>67892</v>
      </c>
      <c r="B233" s="4" t="s">
        <v>852</v>
      </c>
      <c r="C233" s="3" t="s">
        <v>256</v>
      </c>
      <c r="D233" s="233">
        <v>69</v>
      </c>
      <c r="E233" s="233">
        <v>5</v>
      </c>
      <c r="F233" s="234"/>
      <c r="G233" s="235"/>
      <c r="H233" s="2"/>
    </row>
    <row r="234" spans="1:8" x14ac:dyDescent="0.3">
      <c r="A234" s="2">
        <v>68351</v>
      </c>
      <c r="B234" s="4" t="s">
        <v>758</v>
      </c>
      <c r="C234" s="3" t="s">
        <v>256</v>
      </c>
      <c r="D234" s="233">
        <v>55</v>
      </c>
      <c r="E234" s="233">
        <v>5</v>
      </c>
      <c r="F234" s="234" t="s">
        <v>257</v>
      </c>
      <c r="G234" s="235" t="s">
        <v>759</v>
      </c>
      <c r="H234" s="2"/>
    </row>
    <row r="235" spans="1:8" x14ac:dyDescent="0.3">
      <c r="A235" s="2">
        <v>69339</v>
      </c>
      <c r="B235" s="4" t="s">
        <v>706</v>
      </c>
      <c r="C235" s="3" t="s">
        <v>256</v>
      </c>
      <c r="D235" s="233">
        <v>54</v>
      </c>
      <c r="E235" s="233">
        <v>16</v>
      </c>
      <c r="F235" s="234" t="s">
        <v>257</v>
      </c>
      <c r="G235" s="235" t="s">
        <v>705</v>
      </c>
      <c r="H235" s="2"/>
    </row>
    <row r="236" spans="1:8" x14ac:dyDescent="0.3">
      <c r="A236" s="2">
        <v>71053</v>
      </c>
      <c r="B236" s="4" t="s">
        <v>730</v>
      </c>
      <c r="C236" s="3" t="s">
        <v>256</v>
      </c>
      <c r="D236" s="233">
        <v>54</v>
      </c>
      <c r="E236" s="233">
        <v>4</v>
      </c>
      <c r="F236" s="234" t="s">
        <v>257</v>
      </c>
      <c r="G236" s="235">
        <v>43875.37903935185</v>
      </c>
      <c r="H236" s="2"/>
    </row>
    <row r="237" spans="1:8" x14ac:dyDescent="0.3">
      <c r="A237" s="2">
        <v>71189</v>
      </c>
      <c r="B237" s="4" t="s">
        <v>480</v>
      </c>
      <c r="C237" s="3" t="s">
        <v>31</v>
      </c>
      <c r="D237" s="233">
        <v>51</v>
      </c>
      <c r="E237" s="233">
        <v>10</v>
      </c>
      <c r="F237" s="234" t="s">
        <v>271</v>
      </c>
      <c r="G237" s="235">
        <v>43815.590601851851</v>
      </c>
      <c r="H237" s="2"/>
    </row>
    <row r="238" spans="1:8" x14ac:dyDescent="0.3">
      <c r="A238" s="2">
        <v>71190</v>
      </c>
      <c r="B238" s="4" t="s">
        <v>480</v>
      </c>
      <c r="C238" s="3" t="s">
        <v>256</v>
      </c>
      <c r="D238" s="233">
        <v>51</v>
      </c>
      <c r="E238" s="233">
        <v>10</v>
      </c>
      <c r="F238" s="234" t="s">
        <v>257</v>
      </c>
      <c r="G238" s="235" t="s">
        <v>481</v>
      </c>
      <c r="H238" s="2">
        <v>136553</v>
      </c>
    </row>
    <row r="239" spans="1:8" x14ac:dyDescent="0.3">
      <c r="A239" s="2">
        <v>72052</v>
      </c>
      <c r="B239" s="4" t="s">
        <v>850</v>
      </c>
      <c r="C239" s="3" t="s">
        <v>596</v>
      </c>
      <c r="D239" s="233">
        <v>76</v>
      </c>
      <c r="E239" s="233">
        <v>5</v>
      </c>
      <c r="F239" s="234" t="s">
        <v>271</v>
      </c>
      <c r="G239" s="235">
        <v>44376.404398148145</v>
      </c>
      <c r="H239" s="2">
        <v>141270</v>
      </c>
    </row>
    <row r="240" spans="1:8" x14ac:dyDescent="0.3">
      <c r="A240" s="2">
        <v>72174</v>
      </c>
      <c r="B240" s="4" t="s">
        <v>576</v>
      </c>
      <c r="C240" s="3" t="s">
        <v>31</v>
      </c>
      <c r="D240" s="233">
        <v>72</v>
      </c>
      <c r="E240" s="233">
        <v>6</v>
      </c>
      <c r="F240" s="234" t="s">
        <v>271</v>
      </c>
      <c r="G240" s="235">
        <v>44267.707777777781</v>
      </c>
      <c r="H240" s="2"/>
    </row>
    <row r="241" spans="1:8" x14ac:dyDescent="0.3">
      <c r="A241" s="2">
        <v>73020</v>
      </c>
      <c r="B241" s="4" t="s">
        <v>744</v>
      </c>
      <c r="C241" s="3" t="s">
        <v>256</v>
      </c>
      <c r="D241" s="233">
        <v>76</v>
      </c>
      <c r="E241" s="233">
        <v>11</v>
      </c>
      <c r="F241" s="234"/>
      <c r="G241" s="235"/>
      <c r="H241" s="2"/>
    </row>
    <row r="242" spans="1:8" x14ac:dyDescent="0.3">
      <c r="A242" s="2">
        <v>74081</v>
      </c>
      <c r="B242" s="4" t="s">
        <v>575</v>
      </c>
      <c r="C242" s="3" t="s">
        <v>256</v>
      </c>
      <c r="D242" s="233">
        <v>72</v>
      </c>
      <c r="E242" s="233">
        <v>6</v>
      </c>
      <c r="F242" s="234" t="s">
        <v>271</v>
      </c>
      <c r="G242" s="235">
        <v>44267.707777777781</v>
      </c>
      <c r="H242" s="2"/>
    </row>
    <row r="243" spans="1:8" x14ac:dyDescent="0.3">
      <c r="A243" s="2">
        <v>74124</v>
      </c>
      <c r="B243" s="4" t="s">
        <v>351</v>
      </c>
      <c r="C243" s="3" t="s">
        <v>331</v>
      </c>
      <c r="D243" s="233">
        <v>55</v>
      </c>
      <c r="E243" s="233">
        <v>19</v>
      </c>
      <c r="F243" s="234" t="s">
        <v>271</v>
      </c>
      <c r="G243" s="235">
        <v>44104.394143518519</v>
      </c>
      <c r="H243" s="2">
        <v>140028</v>
      </c>
    </row>
    <row r="244" spans="1:8" x14ac:dyDescent="0.3">
      <c r="A244" s="2">
        <v>74491</v>
      </c>
      <c r="B244" s="4" t="s">
        <v>442</v>
      </c>
      <c r="C244" s="3" t="s">
        <v>301</v>
      </c>
      <c r="D244" s="233">
        <v>78</v>
      </c>
      <c r="E244" s="233">
        <v>2</v>
      </c>
      <c r="F244" s="234"/>
      <c r="G244" s="235"/>
      <c r="H244" s="2"/>
    </row>
    <row r="245" spans="1:8" x14ac:dyDescent="0.3">
      <c r="A245" s="2">
        <v>74492</v>
      </c>
      <c r="B245" s="4" t="s">
        <v>441</v>
      </c>
      <c r="C245" s="3" t="s">
        <v>301</v>
      </c>
      <c r="D245" s="233">
        <v>78</v>
      </c>
      <c r="E245" s="233">
        <v>2</v>
      </c>
      <c r="F245" s="234"/>
      <c r="G245" s="235"/>
      <c r="H245" s="2"/>
    </row>
    <row r="246" spans="1:8" x14ac:dyDescent="0.3">
      <c r="A246" s="2">
        <v>75027</v>
      </c>
      <c r="B246" s="4" t="s">
        <v>276</v>
      </c>
      <c r="C246" s="3" t="s">
        <v>268</v>
      </c>
      <c r="D246" s="233">
        <v>65</v>
      </c>
      <c r="E246" s="233">
        <v>26</v>
      </c>
      <c r="F246" s="234"/>
      <c r="G246" s="235"/>
      <c r="H246" s="2"/>
    </row>
    <row r="247" spans="1:8" x14ac:dyDescent="0.3">
      <c r="A247" s="2">
        <v>75915</v>
      </c>
      <c r="B247" s="4" t="s">
        <v>728</v>
      </c>
      <c r="C247" s="3" t="s">
        <v>256</v>
      </c>
      <c r="D247" s="233">
        <v>51</v>
      </c>
      <c r="E247" s="233">
        <v>37</v>
      </c>
      <c r="F247" s="234"/>
      <c r="G247" s="235"/>
      <c r="H247" s="2"/>
    </row>
    <row r="248" spans="1:8" x14ac:dyDescent="0.3">
      <c r="A248" s="2">
        <v>76217</v>
      </c>
      <c r="B248" s="4" t="s">
        <v>399</v>
      </c>
      <c r="C248" s="3" t="s">
        <v>400</v>
      </c>
      <c r="D248" s="233">
        <v>69</v>
      </c>
      <c r="E248" s="233">
        <v>1</v>
      </c>
      <c r="F248" s="234" t="s">
        <v>257</v>
      </c>
      <c r="G248" s="235">
        <v>43685.445659722223</v>
      </c>
      <c r="H248" s="2"/>
    </row>
    <row r="249" spans="1:8" x14ac:dyDescent="0.3">
      <c r="A249" s="2">
        <v>76776</v>
      </c>
      <c r="B249" s="4" t="s">
        <v>360</v>
      </c>
      <c r="C249" s="3" t="s">
        <v>331</v>
      </c>
      <c r="D249" s="233">
        <v>55</v>
      </c>
      <c r="E249" s="233">
        <v>19</v>
      </c>
      <c r="F249" s="234" t="s">
        <v>271</v>
      </c>
      <c r="G249" s="235">
        <v>44104.394143518519</v>
      </c>
      <c r="H249" s="2">
        <v>140033</v>
      </c>
    </row>
    <row r="250" spans="1:8" x14ac:dyDescent="0.3">
      <c r="A250" s="2">
        <v>76777</v>
      </c>
      <c r="B250" s="4" t="s">
        <v>358</v>
      </c>
      <c r="C250" s="3" t="s">
        <v>331</v>
      </c>
      <c r="D250" s="233">
        <v>55</v>
      </c>
      <c r="E250" s="233">
        <v>19</v>
      </c>
      <c r="F250" s="234" t="s">
        <v>271</v>
      </c>
      <c r="G250" s="235">
        <v>44104.394143518519</v>
      </c>
      <c r="H250" s="2">
        <v>140042</v>
      </c>
    </row>
    <row r="251" spans="1:8" x14ac:dyDescent="0.3">
      <c r="A251" s="2">
        <v>76780</v>
      </c>
      <c r="B251" s="4" t="s">
        <v>361</v>
      </c>
      <c r="C251" s="3" t="s">
        <v>331</v>
      </c>
      <c r="D251" s="233">
        <v>55</v>
      </c>
      <c r="E251" s="233">
        <v>19</v>
      </c>
      <c r="F251" s="234" t="s">
        <v>271</v>
      </c>
      <c r="G251" s="235">
        <v>44104.394143518519</v>
      </c>
      <c r="H251" s="2">
        <v>140035</v>
      </c>
    </row>
    <row r="252" spans="1:8" x14ac:dyDescent="0.3">
      <c r="A252" s="2">
        <v>76781</v>
      </c>
      <c r="B252" s="4" t="s">
        <v>359</v>
      </c>
      <c r="C252" s="3" t="s">
        <v>331</v>
      </c>
      <c r="D252" s="233">
        <v>55</v>
      </c>
      <c r="E252" s="233">
        <v>19</v>
      </c>
      <c r="F252" s="234" t="s">
        <v>271</v>
      </c>
      <c r="G252" s="235">
        <v>44104.394143518519</v>
      </c>
      <c r="H252" s="2">
        <v>140043</v>
      </c>
    </row>
    <row r="253" spans="1:8" x14ac:dyDescent="0.3">
      <c r="A253" s="2">
        <v>77380</v>
      </c>
      <c r="B253" s="4" t="s">
        <v>577</v>
      </c>
      <c r="C253" s="3" t="s">
        <v>256</v>
      </c>
      <c r="D253" s="233">
        <v>72</v>
      </c>
      <c r="E253" s="233">
        <v>6</v>
      </c>
      <c r="F253" s="234" t="s">
        <v>271</v>
      </c>
      <c r="G253" s="235">
        <v>44267.707777777781</v>
      </c>
      <c r="H253" s="2"/>
    </row>
    <row r="254" spans="1:8" x14ac:dyDescent="0.3">
      <c r="A254" s="2">
        <v>77553</v>
      </c>
      <c r="B254" s="4" t="s">
        <v>853</v>
      </c>
      <c r="C254" s="3" t="s">
        <v>256</v>
      </c>
      <c r="D254" s="233">
        <v>74</v>
      </c>
      <c r="E254" s="233">
        <v>3</v>
      </c>
      <c r="F254" s="234"/>
      <c r="G254" s="235"/>
      <c r="H254" s="2"/>
    </row>
    <row r="255" spans="1:8" x14ac:dyDescent="0.3">
      <c r="A255" s="2">
        <v>77555</v>
      </c>
      <c r="B255" s="4" t="s">
        <v>854</v>
      </c>
      <c r="C255" s="3" t="s">
        <v>256</v>
      </c>
      <c r="D255" s="233">
        <v>74</v>
      </c>
      <c r="E255" s="233">
        <v>3</v>
      </c>
      <c r="F255" s="234"/>
      <c r="G255" s="235"/>
      <c r="H255" s="2"/>
    </row>
    <row r="256" spans="1:8" x14ac:dyDescent="0.3">
      <c r="A256" s="2">
        <v>77822</v>
      </c>
      <c r="B256" s="4" t="s">
        <v>879</v>
      </c>
      <c r="C256" s="3" t="s">
        <v>256</v>
      </c>
      <c r="D256" s="233">
        <v>72</v>
      </c>
      <c r="E256" s="233">
        <v>5</v>
      </c>
      <c r="F256" s="234" t="s">
        <v>857</v>
      </c>
      <c r="G256" s="235">
        <v>44873.378078703703</v>
      </c>
      <c r="H256" s="2"/>
    </row>
    <row r="257" spans="1:8" x14ac:dyDescent="0.3">
      <c r="A257" s="2">
        <v>77992</v>
      </c>
      <c r="B257" s="4" t="s">
        <v>614</v>
      </c>
      <c r="C257" s="3" t="s">
        <v>268</v>
      </c>
      <c r="D257" s="233">
        <v>52</v>
      </c>
      <c r="E257" s="233">
        <v>15</v>
      </c>
      <c r="F257" s="234" t="s">
        <v>271</v>
      </c>
      <c r="G257" s="235">
        <v>43649.450671296298</v>
      </c>
      <c r="H257" s="2"/>
    </row>
    <row r="258" spans="1:8" x14ac:dyDescent="0.3">
      <c r="A258" s="2">
        <v>78025</v>
      </c>
      <c r="B258" s="4" t="s">
        <v>572</v>
      </c>
      <c r="C258" s="3" t="s">
        <v>256</v>
      </c>
      <c r="D258" s="233">
        <v>72</v>
      </c>
      <c r="E258" s="233">
        <v>6</v>
      </c>
      <c r="F258" s="234" t="s">
        <v>257</v>
      </c>
      <c r="G258" s="235" t="s">
        <v>573</v>
      </c>
      <c r="H258" s="2">
        <v>74081</v>
      </c>
    </row>
    <row r="259" spans="1:8" x14ac:dyDescent="0.3">
      <c r="A259" s="2">
        <v>78027</v>
      </c>
      <c r="B259" s="4" t="s">
        <v>417</v>
      </c>
      <c r="C259" s="3" t="s">
        <v>256</v>
      </c>
      <c r="D259" s="233">
        <v>52</v>
      </c>
      <c r="E259" s="233">
        <v>13</v>
      </c>
      <c r="F259" s="234"/>
      <c r="G259" s="235"/>
      <c r="H259" s="2"/>
    </row>
    <row r="260" spans="1:8" x14ac:dyDescent="0.3">
      <c r="A260" s="2">
        <v>78043</v>
      </c>
      <c r="B260" s="4" t="s">
        <v>525</v>
      </c>
      <c r="C260" s="3" t="s">
        <v>256</v>
      </c>
      <c r="D260" s="233">
        <v>45</v>
      </c>
      <c r="E260" s="233">
        <v>12</v>
      </c>
      <c r="F260" s="234"/>
      <c r="G260" s="235"/>
      <c r="H260" s="2"/>
    </row>
    <row r="261" spans="1:8" x14ac:dyDescent="0.3">
      <c r="A261" s="2">
        <v>78304</v>
      </c>
      <c r="B261" s="4" t="s">
        <v>644</v>
      </c>
      <c r="C261" s="3" t="s">
        <v>256</v>
      </c>
      <c r="D261" s="233">
        <v>51</v>
      </c>
      <c r="E261" s="233">
        <v>36</v>
      </c>
      <c r="F261" s="234"/>
      <c r="G261" s="235"/>
      <c r="H261" s="2"/>
    </row>
    <row r="262" spans="1:8" x14ac:dyDescent="0.3">
      <c r="A262" s="2">
        <v>78398</v>
      </c>
      <c r="B262" s="4" t="s">
        <v>508</v>
      </c>
      <c r="C262" s="3" t="s">
        <v>256</v>
      </c>
      <c r="D262" s="233">
        <v>54</v>
      </c>
      <c r="E262" s="233">
        <v>9</v>
      </c>
      <c r="F262" s="234" t="s">
        <v>257</v>
      </c>
      <c r="G262" s="235">
        <v>43875.379710648151</v>
      </c>
      <c r="H262" s="2"/>
    </row>
    <row r="263" spans="1:8" x14ac:dyDescent="0.3">
      <c r="A263" s="2">
        <v>79118</v>
      </c>
      <c r="B263" s="4" t="s">
        <v>607</v>
      </c>
      <c r="C263" s="3" t="s">
        <v>256</v>
      </c>
      <c r="D263" s="233">
        <v>52</v>
      </c>
      <c r="E263" s="233">
        <v>13</v>
      </c>
      <c r="F263" s="234"/>
      <c r="G263" s="235"/>
      <c r="H263" s="2"/>
    </row>
    <row r="264" spans="1:8" x14ac:dyDescent="0.3">
      <c r="A264" s="2">
        <v>79635</v>
      </c>
      <c r="B264" s="4" t="s">
        <v>546</v>
      </c>
      <c r="C264" s="3" t="s">
        <v>256</v>
      </c>
      <c r="D264" s="233">
        <v>55</v>
      </c>
      <c r="E264" s="233">
        <v>57</v>
      </c>
      <c r="F264" s="234" t="s">
        <v>257</v>
      </c>
      <c r="G264" s="235" t="s">
        <v>265</v>
      </c>
      <c r="H264" s="2"/>
    </row>
    <row r="265" spans="1:8" x14ac:dyDescent="0.3">
      <c r="A265" s="2">
        <v>80297</v>
      </c>
      <c r="B265" s="4" t="s">
        <v>790</v>
      </c>
      <c r="C265" s="3" t="s">
        <v>256</v>
      </c>
      <c r="D265" s="233">
        <v>51</v>
      </c>
      <c r="E265" s="233">
        <v>30</v>
      </c>
      <c r="F265" s="234"/>
      <c r="G265" s="235"/>
      <c r="H265" s="2"/>
    </row>
    <row r="266" spans="1:8" x14ac:dyDescent="0.3">
      <c r="A266" s="2">
        <v>80349</v>
      </c>
      <c r="B266" s="4" t="s">
        <v>674</v>
      </c>
      <c r="C266" s="3" t="s">
        <v>256</v>
      </c>
      <c r="D266" s="233">
        <v>84</v>
      </c>
      <c r="E266" s="233">
        <v>1</v>
      </c>
      <c r="F266" s="234"/>
      <c r="G266" s="235"/>
      <c r="H266" s="2"/>
    </row>
    <row r="267" spans="1:8" x14ac:dyDescent="0.3">
      <c r="A267" s="2">
        <v>80384</v>
      </c>
      <c r="B267" s="4" t="s">
        <v>526</v>
      </c>
      <c r="C267" s="3"/>
      <c r="D267" s="233"/>
      <c r="E267" s="233"/>
      <c r="F267" s="234"/>
      <c r="G267" s="235"/>
      <c r="H267" s="2"/>
    </row>
    <row r="268" spans="1:8" x14ac:dyDescent="0.3">
      <c r="A268" s="2">
        <v>80388</v>
      </c>
      <c r="B268" s="4" t="s">
        <v>443</v>
      </c>
      <c r="C268" s="3" t="s">
        <v>301</v>
      </c>
      <c r="D268" s="233">
        <v>78</v>
      </c>
      <c r="E268" s="233">
        <v>2</v>
      </c>
      <c r="F268" s="234"/>
      <c r="G268" s="235"/>
      <c r="H268" s="2"/>
    </row>
    <row r="269" spans="1:8" x14ac:dyDescent="0.3">
      <c r="A269" s="2">
        <v>80391</v>
      </c>
      <c r="B269" s="4" t="s">
        <v>765</v>
      </c>
      <c r="C269" s="3" t="s">
        <v>256</v>
      </c>
      <c r="D269" s="233">
        <v>61</v>
      </c>
      <c r="E269" s="233">
        <v>11</v>
      </c>
      <c r="F269" s="234"/>
      <c r="G269" s="235"/>
      <c r="H269" s="2"/>
    </row>
    <row r="270" spans="1:8" x14ac:dyDescent="0.3">
      <c r="A270" s="2">
        <v>80575</v>
      </c>
      <c r="B270" s="4" t="s">
        <v>776</v>
      </c>
      <c r="C270" s="3" t="s">
        <v>256</v>
      </c>
      <c r="D270" s="233">
        <v>52</v>
      </c>
      <c r="E270" s="233">
        <v>10</v>
      </c>
      <c r="F270" s="234"/>
      <c r="G270" s="235"/>
      <c r="H270" s="2"/>
    </row>
    <row r="271" spans="1:8" x14ac:dyDescent="0.3">
      <c r="A271" s="2">
        <v>80650</v>
      </c>
      <c r="B271" s="4" t="s">
        <v>255</v>
      </c>
      <c r="C271" s="3" t="s">
        <v>256</v>
      </c>
      <c r="D271" s="233">
        <v>55</v>
      </c>
      <c r="E271" s="233">
        <v>46</v>
      </c>
      <c r="F271" s="234" t="s">
        <v>257</v>
      </c>
      <c r="G271" s="235" t="s">
        <v>258</v>
      </c>
      <c r="H271" s="2"/>
    </row>
    <row r="272" spans="1:8" x14ac:dyDescent="0.3">
      <c r="A272" s="2">
        <v>80749</v>
      </c>
      <c r="B272" s="4" t="s">
        <v>657</v>
      </c>
      <c r="C272" s="3" t="s">
        <v>256</v>
      </c>
      <c r="D272" s="233">
        <v>55</v>
      </c>
      <c r="E272" s="233">
        <v>37</v>
      </c>
      <c r="F272" s="234"/>
      <c r="G272" s="235"/>
      <c r="H272" s="2"/>
    </row>
    <row r="273" spans="1:8" x14ac:dyDescent="0.3">
      <c r="A273" s="2">
        <v>81509</v>
      </c>
      <c r="B273" s="4" t="s">
        <v>660</v>
      </c>
      <c r="C273" s="3" t="s">
        <v>629</v>
      </c>
      <c r="D273" s="233">
        <v>51</v>
      </c>
      <c r="E273" s="233">
        <v>21</v>
      </c>
      <c r="F273" s="234"/>
      <c r="G273" s="235"/>
      <c r="H273" s="2"/>
    </row>
    <row r="274" spans="1:8" x14ac:dyDescent="0.3">
      <c r="A274" s="2">
        <v>81566</v>
      </c>
      <c r="B274" s="4" t="s">
        <v>862</v>
      </c>
      <c r="C274" s="3" t="s">
        <v>297</v>
      </c>
      <c r="D274" s="233">
        <v>61</v>
      </c>
      <c r="E274" s="233">
        <v>15</v>
      </c>
      <c r="F274" s="234" t="s">
        <v>857</v>
      </c>
      <c r="G274" s="235">
        <v>44433.653020833335</v>
      </c>
      <c r="H274" s="2">
        <v>115805</v>
      </c>
    </row>
    <row r="275" spans="1:8" x14ac:dyDescent="0.3">
      <c r="A275" s="2">
        <v>82732</v>
      </c>
      <c r="B275" s="4" t="s">
        <v>714</v>
      </c>
      <c r="C275" s="3" t="s">
        <v>256</v>
      </c>
      <c r="D275" s="233">
        <v>55</v>
      </c>
      <c r="E275" s="233">
        <v>54</v>
      </c>
      <c r="F275" s="234" t="s">
        <v>257</v>
      </c>
      <c r="G275" s="235">
        <v>43901.63380787037</v>
      </c>
      <c r="H275" s="2"/>
    </row>
    <row r="276" spans="1:8" x14ac:dyDescent="0.3">
      <c r="A276" s="2">
        <v>82829</v>
      </c>
      <c r="B276" s="4" t="s">
        <v>638</v>
      </c>
      <c r="C276" s="3" t="s">
        <v>256</v>
      </c>
      <c r="D276" s="233">
        <v>52</v>
      </c>
      <c r="E276" s="233">
        <v>13</v>
      </c>
      <c r="F276" s="234"/>
      <c r="G276" s="235"/>
      <c r="H276" s="2"/>
    </row>
    <row r="277" spans="1:8" x14ac:dyDescent="0.3">
      <c r="A277" s="2">
        <v>82916</v>
      </c>
      <c r="B277" s="4" t="s">
        <v>438</v>
      </c>
      <c r="C277" s="3" t="s">
        <v>270</v>
      </c>
      <c r="D277" s="233">
        <v>76</v>
      </c>
      <c r="E277" s="233">
        <v>6</v>
      </c>
      <c r="F277" s="234" t="s">
        <v>257</v>
      </c>
      <c r="G277" s="235" t="s">
        <v>434</v>
      </c>
      <c r="H277" s="2"/>
    </row>
    <row r="278" spans="1:8" x14ac:dyDescent="0.3">
      <c r="A278" s="2">
        <v>83788</v>
      </c>
      <c r="B278" s="4" t="s">
        <v>779</v>
      </c>
      <c r="C278" s="3" t="s">
        <v>256</v>
      </c>
      <c r="D278" s="233">
        <v>55</v>
      </c>
      <c r="E278" s="233">
        <v>32</v>
      </c>
      <c r="F278" s="234"/>
      <c r="G278" s="235"/>
      <c r="H278" s="2"/>
    </row>
    <row r="279" spans="1:8" x14ac:dyDescent="0.3">
      <c r="A279" s="2">
        <v>85798</v>
      </c>
      <c r="B279" s="4" t="s">
        <v>468</v>
      </c>
      <c r="C279" s="3" t="s">
        <v>256</v>
      </c>
      <c r="D279" s="233">
        <v>83</v>
      </c>
      <c r="E279" s="233">
        <v>4</v>
      </c>
      <c r="F279" s="234" t="s">
        <v>257</v>
      </c>
      <c r="G279" s="235">
        <v>43998.568171296298</v>
      </c>
      <c r="H279" s="2">
        <v>139545</v>
      </c>
    </row>
    <row r="280" spans="1:8" x14ac:dyDescent="0.3">
      <c r="A280" s="2">
        <v>86030</v>
      </c>
      <c r="B280" s="4" t="s">
        <v>533</v>
      </c>
      <c r="C280" s="3" t="s">
        <v>256</v>
      </c>
      <c r="D280" s="233">
        <v>55</v>
      </c>
      <c r="E280" s="233">
        <v>49</v>
      </c>
      <c r="F280" s="234" t="s">
        <v>257</v>
      </c>
      <c r="G280" s="235">
        <v>43900.625949074078</v>
      </c>
      <c r="H280" s="2"/>
    </row>
    <row r="281" spans="1:8" x14ac:dyDescent="0.3">
      <c r="A281" s="2">
        <v>86118</v>
      </c>
      <c r="B281" s="4" t="s">
        <v>715</v>
      </c>
      <c r="C281" s="3" t="s">
        <v>256</v>
      </c>
      <c r="D281" s="233">
        <v>55</v>
      </c>
      <c r="E281" s="233">
        <v>55</v>
      </c>
      <c r="F281" s="234" t="s">
        <v>257</v>
      </c>
      <c r="G281" s="235">
        <v>43901.635428240741</v>
      </c>
      <c r="H281" s="2"/>
    </row>
    <row r="282" spans="1:8" x14ac:dyDescent="0.3">
      <c r="A282" s="2">
        <v>86891</v>
      </c>
      <c r="B282" s="4" t="s">
        <v>678</v>
      </c>
      <c r="C282" s="3" t="s">
        <v>256</v>
      </c>
      <c r="D282" s="233">
        <v>78</v>
      </c>
      <c r="E282" s="233">
        <v>2</v>
      </c>
      <c r="F282" s="234"/>
      <c r="G282" s="235"/>
      <c r="H282" s="2"/>
    </row>
    <row r="283" spans="1:8" x14ac:dyDescent="0.3">
      <c r="A283" s="2">
        <v>87157</v>
      </c>
      <c r="B283" s="4" t="s">
        <v>632</v>
      </c>
      <c r="C283" s="3" t="s">
        <v>629</v>
      </c>
      <c r="D283" s="233">
        <v>51</v>
      </c>
      <c r="E283" s="233">
        <v>19</v>
      </c>
      <c r="F283" s="234"/>
      <c r="G283" s="235"/>
      <c r="H283" s="2"/>
    </row>
    <row r="284" spans="1:8" x14ac:dyDescent="0.3">
      <c r="A284" s="2">
        <v>87160</v>
      </c>
      <c r="B284" s="4" t="s">
        <v>628</v>
      </c>
      <c r="C284" s="3" t="s">
        <v>629</v>
      </c>
      <c r="D284" s="233">
        <v>51</v>
      </c>
      <c r="E284" s="233">
        <v>19</v>
      </c>
      <c r="F284" s="234"/>
      <c r="G284" s="235"/>
      <c r="H284" s="2"/>
    </row>
    <row r="285" spans="1:8" x14ac:dyDescent="0.3">
      <c r="A285" s="2">
        <v>87465</v>
      </c>
      <c r="B285" s="4" t="s">
        <v>858</v>
      </c>
      <c r="C285" s="3" t="s">
        <v>31</v>
      </c>
      <c r="D285" s="233">
        <v>72</v>
      </c>
      <c r="E285" s="233">
        <v>7</v>
      </c>
      <c r="F285" s="234" t="s">
        <v>857</v>
      </c>
      <c r="G285" s="235">
        <v>44432.669953703706</v>
      </c>
      <c r="H285" s="2"/>
    </row>
    <row r="286" spans="1:8" x14ac:dyDescent="0.3">
      <c r="A286" s="2">
        <v>88083</v>
      </c>
      <c r="B286" s="4" t="s">
        <v>673</v>
      </c>
      <c r="C286" s="3" t="s">
        <v>256</v>
      </c>
      <c r="D286" s="233">
        <v>84</v>
      </c>
      <c r="E286" s="233">
        <v>1</v>
      </c>
      <c r="F286" s="234"/>
      <c r="G286" s="235"/>
      <c r="H286" s="2"/>
    </row>
    <row r="287" spans="1:8" x14ac:dyDescent="0.3">
      <c r="A287" s="2">
        <v>88084</v>
      </c>
      <c r="B287" s="4" t="s">
        <v>672</v>
      </c>
      <c r="C287" s="3" t="s">
        <v>256</v>
      </c>
      <c r="D287" s="233">
        <v>84</v>
      </c>
      <c r="E287" s="233">
        <v>2</v>
      </c>
      <c r="F287" s="234"/>
      <c r="G287" s="235"/>
      <c r="H287" s="2"/>
    </row>
    <row r="288" spans="1:8" x14ac:dyDescent="0.3">
      <c r="A288" s="2">
        <v>88718</v>
      </c>
      <c r="B288" s="4" t="s">
        <v>473</v>
      </c>
      <c r="C288" s="3" t="s">
        <v>256</v>
      </c>
      <c r="D288" s="233">
        <v>55</v>
      </c>
      <c r="E288" s="233">
        <v>26</v>
      </c>
      <c r="F288" s="234" t="s">
        <v>271</v>
      </c>
      <c r="G288" s="235">
        <v>44146.427777777775</v>
      </c>
      <c r="H288" s="2"/>
    </row>
    <row r="289" spans="1:8" x14ac:dyDescent="0.3">
      <c r="A289" s="2">
        <v>88719</v>
      </c>
      <c r="B289" s="4" t="s">
        <v>474</v>
      </c>
      <c r="C289" s="3" t="s">
        <v>256</v>
      </c>
      <c r="D289" s="233">
        <v>55</v>
      </c>
      <c r="E289" s="233">
        <v>26</v>
      </c>
      <c r="F289" s="234" t="s">
        <v>271</v>
      </c>
      <c r="G289" s="235">
        <v>44146.427777777775</v>
      </c>
      <c r="H289" s="2"/>
    </row>
    <row r="290" spans="1:8" x14ac:dyDescent="0.3">
      <c r="A290" s="2">
        <v>88741</v>
      </c>
      <c r="B290" s="4" t="s">
        <v>476</v>
      </c>
      <c r="C290" s="3" t="s">
        <v>256</v>
      </c>
      <c r="D290" s="233">
        <v>55</v>
      </c>
      <c r="E290" s="233">
        <v>26</v>
      </c>
      <c r="F290" s="234"/>
      <c r="G290" s="235"/>
      <c r="H290" s="2"/>
    </row>
    <row r="291" spans="1:8" x14ac:dyDescent="0.3">
      <c r="A291" s="2">
        <v>88742</v>
      </c>
      <c r="B291" s="4" t="s">
        <v>475</v>
      </c>
      <c r="C291" s="3" t="s">
        <v>256</v>
      </c>
      <c r="D291" s="233">
        <v>55</v>
      </c>
      <c r="E291" s="233">
        <v>26</v>
      </c>
      <c r="F291" s="234"/>
      <c r="G291" s="235"/>
      <c r="H291" s="2"/>
    </row>
    <row r="292" spans="1:8" x14ac:dyDescent="0.3">
      <c r="A292" s="2">
        <v>88989</v>
      </c>
      <c r="B292" s="4" t="s">
        <v>318</v>
      </c>
      <c r="C292" s="3" t="s">
        <v>301</v>
      </c>
      <c r="D292" s="233">
        <v>54</v>
      </c>
      <c r="E292" s="233">
        <v>4</v>
      </c>
      <c r="F292" s="234" t="s">
        <v>257</v>
      </c>
      <c r="G292" s="235">
        <v>43713.472581018519</v>
      </c>
      <c r="H292" s="2"/>
    </row>
    <row r="293" spans="1:8" x14ac:dyDescent="0.3">
      <c r="A293" s="2">
        <v>88992</v>
      </c>
      <c r="B293" s="4" t="s">
        <v>319</v>
      </c>
      <c r="C293" s="3" t="s">
        <v>301</v>
      </c>
      <c r="D293" s="233">
        <v>54</v>
      </c>
      <c r="E293" s="233">
        <v>4</v>
      </c>
      <c r="F293" s="234" t="s">
        <v>257</v>
      </c>
      <c r="G293" s="235">
        <v>43713.472581018519</v>
      </c>
      <c r="H293" s="2"/>
    </row>
    <row r="294" spans="1:8" x14ac:dyDescent="0.3">
      <c r="A294" s="2">
        <v>88993</v>
      </c>
      <c r="B294" s="4" t="s">
        <v>320</v>
      </c>
      <c r="C294" s="3" t="s">
        <v>301</v>
      </c>
      <c r="D294" s="233">
        <v>54</v>
      </c>
      <c r="E294" s="233">
        <v>4</v>
      </c>
      <c r="F294" s="234" t="s">
        <v>257</v>
      </c>
      <c r="G294" s="235">
        <v>43713.472581018519</v>
      </c>
      <c r="H294" s="2"/>
    </row>
    <row r="295" spans="1:8" x14ac:dyDescent="0.3">
      <c r="A295" s="2">
        <v>89818</v>
      </c>
      <c r="B295" s="4" t="s">
        <v>587</v>
      </c>
      <c r="C295" s="3" t="s">
        <v>301</v>
      </c>
      <c r="D295" s="233">
        <v>54</v>
      </c>
      <c r="E295" s="233">
        <v>4</v>
      </c>
      <c r="F295" s="234"/>
      <c r="G295" s="235"/>
      <c r="H295" s="2"/>
    </row>
    <row r="296" spans="1:8" x14ac:dyDescent="0.3">
      <c r="A296" s="2">
        <v>89855</v>
      </c>
      <c r="B296" s="4" t="s">
        <v>564</v>
      </c>
      <c r="C296" s="3" t="s">
        <v>256</v>
      </c>
      <c r="D296" s="233">
        <v>83</v>
      </c>
      <c r="E296" s="233">
        <v>3</v>
      </c>
      <c r="F296" s="234" t="s">
        <v>257</v>
      </c>
      <c r="G296" s="235">
        <v>43875.457060185188</v>
      </c>
      <c r="H296" s="2"/>
    </row>
    <row r="297" spans="1:8" x14ac:dyDescent="0.3">
      <c r="A297" s="2">
        <v>89860</v>
      </c>
      <c r="B297" s="4" t="s">
        <v>565</v>
      </c>
      <c r="C297" s="3" t="s">
        <v>256</v>
      </c>
      <c r="D297" s="233">
        <v>83</v>
      </c>
      <c r="E297" s="233">
        <v>3</v>
      </c>
      <c r="F297" s="234"/>
      <c r="G297" s="235"/>
      <c r="H297" s="2"/>
    </row>
    <row r="298" spans="1:8" x14ac:dyDescent="0.3">
      <c r="A298" s="2">
        <v>89866</v>
      </c>
      <c r="B298" s="4" t="s">
        <v>623</v>
      </c>
      <c r="C298" s="3" t="s">
        <v>413</v>
      </c>
      <c r="D298" s="233">
        <v>67</v>
      </c>
      <c r="E298" s="233">
        <v>3</v>
      </c>
      <c r="F298" s="234"/>
      <c r="G298" s="235"/>
      <c r="H298" s="2"/>
    </row>
    <row r="299" spans="1:8" x14ac:dyDescent="0.3">
      <c r="A299" s="2">
        <v>90232</v>
      </c>
      <c r="B299" s="4" t="s">
        <v>828</v>
      </c>
      <c r="C299" s="3" t="s">
        <v>273</v>
      </c>
      <c r="D299" s="233">
        <v>76</v>
      </c>
      <c r="E299" s="233">
        <v>10</v>
      </c>
      <c r="F299" s="234"/>
      <c r="G299" s="235"/>
      <c r="H299" s="2"/>
    </row>
    <row r="300" spans="1:8" x14ac:dyDescent="0.3">
      <c r="A300" s="2">
        <v>90469</v>
      </c>
      <c r="B300" s="4" t="s">
        <v>813</v>
      </c>
      <c r="C300" s="3" t="s">
        <v>596</v>
      </c>
      <c r="D300" s="233">
        <v>76</v>
      </c>
      <c r="E300" s="233">
        <v>3</v>
      </c>
      <c r="F300" s="234"/>
      <c r="G300" s="235"/>
      <c r="H300" s="2">
        <v>136040</v>
      </c>
    </row>
    <row r="301" spans="1:8" x14ac:dyDescent="0.3">
      <c r="A301" s="2">
        <v>90470</v>
      </c>
      <c r="B301" s="4" t="s">
        <v>814</v>
      </c>
      <c r="C301" s="3" t="s">
        <v>596</v>
      </c>
      <c r="D301" s="233">
        <v>76</v>
      </c>
      <c r="E301" s="233">
        <v>3</v>
      </c>
      <c r="F301" s="234"/>
      <c r="G301" s="235"/>
      <c r="H301" s="2"/>
    </row>
    <row r="302" spans="1:8" x14ac:dyDescent="0.3">
      <c r="A302" s="2">
        <v>90500</v>
      </c>
      <c r="B302" s="4" t="s">
        <v>349</v>
      </c>
      <c r="C302" s="3" t="s">
        <v>331</v>
      </c>
      <c r="D302" s="233">
        <v>55</v>
      </c>
      <c r="E302" s="233">
        <v>19</v>
      </c>
      <c r="F302" s="234" t="s">
        <v>271</v>
      </c>
      <c r="G302" s="235">
        <v>43648.569641203707</v>
      </c>
      <c r="H302" s="2">
        <v>136910</v>
      </c>
    </row>
    <row r="303" spans="1:8" x14ac:dyDescent="0.3">
      <c r="A303" s="2">
        <v>90502</v>
      </c>
      <c r="B303" s="4" t="s">
        <v>350</v>
      </c>
      <c r="C303" s="3" t="s">
        <v>331</v>
      </c>
      <c r="D303" s="233">
        <v>55</v>
      </c>
      <c r="E303" s="233">
        <v>19</v>
      </c>
      <c r="F303" s="234" t="s">
        <v>271</v>
      </c>
      <c r="G303" s="235">
        <v>43648.569641203707</v>
      </c>
      <c r="H303" s="2">
        <v>136911</v>
      </c>
    </row>
    <row r="304" spans="1:8" x14ac:dyDescent="0.3">
      <c r="A304" s="2">
        <v>90827</v>
      </c>
      <c r="B304" s="4" t="s">
        <v>595</v>
      </c>
      <c r="C304" s="3" t="s">
        <v>596</v>
      </c>
      <c r="D304" s="233">
        <v>51</v>
      </c>
      <c r="E304" s="233">
        <v>3</v>
      </c>
      <c r="F304" s="234"/>
      <c r="G304" s="235"/>
      <c r="H304" s="2"/>
    </row>
    <row r="305" spans="1:8" x14ac:dyDescent="0.3">
      <c r="A305" s="2">
        <v>90884</v>
      </c>
      <c r="B305" s="4" t="s">
        <v>822</v>
      </c>
      <c r="C305" s="3" t="s">
        <v>273</v>
      </c>
      <c r="D305" s="233">
        <v>76</v>
      </c>
      <c r="E305" s="233">
        <v>10</v>
      </c>
      <c r="F305" s="234"/>
      <c r="G305" s="235"/>
      <c r="H305" s="2"/>
    </row>
    <row r="306" spans="1:8" x14ac:dyDescent="0.3">
      <c r="A306" s="2">
        <v>91811</v>
      </c>
      <c r="B306" s="4" t="s">
        <v>856</v>
      </c>
      <c r="C306" s="3" t="s">
        <v>256</v>
      </c>
      <c r="D306" s="233">
        <v>72</v>
      </c>
      <c r="E306" s="233">
        <v>5</v>
      </c>
      <c r="F306" s="234" t="s">
        <v>857</v>
      </c>
      <c r="G306" s="235">
        <v>44432.669953703706</v>
      </c>
      <c r="H306" s="2"/>
    </row>
    <row r="307" spans="1:8" x14ac:dyDescent="0.3">
      <c r="A307" s="2">
        <v>91868</v>
      </c>
      <c r="B307" s="4" t="s">
        <v>881</v>
      </c>
      <c r="C307" s="3" t="s">
        <v>256</v>
      </c>
      <c r="D307" s="233">
        <v>72</v>
      </c>
      <c r="E307" s="233">
        <v>5</v>
      </c>
      <c r="F307" s="234" t="s">
        <v>857</v>
      </c>
      <c r="G307" s="235">
        <v>44873.378078703703</v>
      </c>
      <c r="H307" s="2"/>
    </row>
    <row r="308" spans="1:8" x14ac:dyDescent="0.3">
      <c r="A308" s="2">
        <v>92111</v>
      </c>
      <c r="B308" s="4" t="s">
        <v>356</v>
      </c>
      <c r="C308" s="3" t="s">
        <v>331</v>
      </c>
      <c r="D308" s="233">
        <v>55</v>
      </c>
      <c r="E308" s="233">
        <v>19</v>
      </c>
      <c r="F308" s="234" t="s">
        <v>271</v>
      </c>
      <c r="G308" s="235">
        <v>44104.394143518519</v>
      </c>
      <c r="H308" s="2">
        <v>140052</v>
      </c>
    </row>
    <row r="309" spans="1:8" x14ac:dyDescent="0.3">
      <c r="A309" s="2">
        <v>92906</v>
      </c>
      <c r="B309" s="4" t="s">
        <v>619</v>
      </c>
      <c r="C309" s="3" t="s">
        <v>268</v>
      </c>
      <c r="D309" s="233">
        <v>57</v>
      </c>
      <c r="E309" s="233">
        <v>17</v>
      </c>
      <c r="F309" s="234" t="s">
        <v>257</v>
      </c>
      <c r="G309" s="235">
        <v>43644.587048611109</v>
      </c>
      <c r="H309" s="2"/>
    </row>
    <row r="310" spans="1:8" x14ac:dyDescent="0.3">
      <c r="A310" s="2">
        <v>93333</v>
      </c>
      <c r="B310" s="4" t="s">
        <v>613</v>
      </c>
      <c r="C310" s="3" t="s">
        <v>569</v>
      </c>
      <c r="D310" s="233">
        <v>57</v>
      </c>
      <c r="E310" s="233">
        <v>2</v>
      </c>
      <c r="F310" s="234"/>
      <c r="G310" s="235"/>
      <c r="H310" s="2"/>
    </row>
    <row r="311" spans="1:8" x14ac:dyDescent="0.3">
      <c r="A311" s="2">
        <v>93344</v>
      </c>
      <c r="B311" s="4" t="s">
        <v>594</v>
      </c>
      <c r="C311" s="3" t="s">
        <v>301</v>
      </c>
      <c r="D311" s="233">
        <v>54</v>
      </c>
      <c r="E311" s="233">
        <v>4</v>
      </c>
      <c r="F311" s="234" t="s">
        <v>257</v>
      </c>
      <c r="G311" s="235">
        <v>43825.339375000003</v>
      </c>
      <c r="H311" s="2"/>
    </row>
    <row r="312" spans="1:8" x14ac:dyDescent="0.3">
      <c r="A312" s="2">
        <v>93346</v>
      </c>
      <c r="B312" s="4" t="s">
        <v>642</v>
      </c>
      <c r="C312" s="3" t="s">
        <v>301</v>
      </c>
      <c r="D312" s="233">
        <v>54</v>
      </c>
      <c r="E312" s="233">
        <v>4</v>
      </c>
      <c r="F312" s="234" t="s">
        <v>257</v>
      </c>
      <c r="G312" s="235">
        <v>43713.466284722221</v>
      </c>
      <c r="H312" s="2">
        <v>137799</v>
      </c>
    </row>
    <row r="313" spans="1:8" x14ac:dyDescent="0.3">
      <c r="A313" s="2">
        <v>94013</v>
      </c>
      <c r="B313" s="4" t="s">
        <v>290</v>
      </c>
      <c r="C313" s="3" t="s">
        <v>256</v>
      </c>
      <c r="D313" s="233">
        <v>54</v>
      </c>
      <c r="E313" s="233">
        <v>19</v>
      </c>
      <c r="F313" s="234" t="s">
        <v>257</v>
      </c>
      <c r="G313" s="235">
        <v>43713.472581018519</v>
      </c>
      <c r="H313" s="2"/>
    </row>
    <row r="314" spans="1:8" x14ac:dyDescent="0.3">
      <c r="A314" s="2">
        <v>94615</v>
      </c>
      <c r="B314" s="4" t="s">
        <v>289</v>
      </c>
      <c r="C314" s="3" t="s">
        <v>256</v>
      </c>
      <c r="D314" s="233">
        <v>62</v>
      </c>
      <c r="E314" s="233">
        <v>4</v>
      </c>
      <c r="F314" s="234" t="s">
        <v>257</v>
      </c>
      <c r="G314" s="235" t="s">
        <v>286</v>
      </c>
      <c r="H314" s="2"/>
    </row>
    <row r="315" spans="1:8" x14ac:dyDescent="0.3">
      <c r="A315" s="2">
        <v>94616</v>
      </c>
      <c r="B315" s="4" t="s">
        <v>288</v>
      </c>
      <c r="C315" s="3" t="s">
        <v>256</v>
      </c>
      <c r="D315" s="233">
        <v>62</v>
      </c>
      <c r="E315" s="233">
        <v>4</v>
      </c>
      <c r="F315" s="234" t="s">
        <v>257</v>
      </c>
      <c r="G315" s="235" t="s">
        <v>286</v>
      </c>
      <c r="H315" s="2"/>
    </row>
    <row r="316" spans="1:8" x14ac:dyDescent="0.3">
      <c r="A316" s="2">
        <v>94617</v>
      </c>
      <c r="B316" s="4" t="s">
        <v>285</v>
      </c>
      <c r="C316" s="3" t="s">
        <v>256</v>
      </c>
      <c r="D316" s="233">
        <v>62</v>
      </c>
      <c r="E316" s="233">
        <v>4</v>
      </c>
      <c r="F316" s="234" t="s">
        <v>257</v>
      </c>
      <c r="G316" s="235" t="s">
        <v>286</v>
      </c>
      <c r="H316" s="2"/>
    </row>
    <row r="317" spans="1:8" x14ac:dyDescent="0.3">
      <c r="A317" s="2">
        <v>94618</v>
      </c>
      <c r="B317" s="4" t="s">
        <v>287</v>
      </c>
      <c r="C317" s="3" t="s">
        <v>256</v>
      </c>
      <c r="D317" s="233">
        <v>62</v>
      </c>
      <c r="E317" s="233">
        <v>4</v>
      </c>
      <c r="F317" s="234"/>
      <c r="G317" s="235"/>
      <c r="H317" s="2"/>
    </row>
    <row r="318" spans="1:8" x14ac:dyDescent="0.3">
      <c r="A318" s="2">
        <v>94627</v>
      </c>
      <c r="B318" s="4" t="s">
        <v>571</v>
      </c>
      <c r="C318" s="3" t="s">
        <v>569</v>
      </c>
      <c r="D318" s="233">
        <v>83</v>
      </c>
      <c r="E318" s="233">
        <v>2</v>
      </c>
      <c r="F318" s="234" t="s">
        <v>257</v>
      </c>
      <c r="G318" s="235">
        <v>43962.459189814814</v>
      </c>
      <c r="H318" s="2"/>
    </row>
    <row r="319" spans="1:8" x14ac:dyDescent="0.3">
      <c r="A319" s="2">
        <v>94787</v>
      </c>
      <c r="B319" s="4" t="s">
        <v>531</v>
      </c>
      <c r="C319" s="3" t="s">
        <v>256</v>
      </c>
      <c r="D319" s="233">
        <v>67</v>
      </c>
      <c r="E319" s="233">
        <v>1</v>
      </c>
      <c r="F319" s="234"/>
      <c r="G319" s="235"/>
      <c r="H319" s="2"/>
    </row>
    <row r="320" spans="1:8" x14ac:dyDescent="0.3">
      <c r="A320" s="2">
        <v>95513</v>
      </c>
      <c r="B320" s="4" t="s">
        <v>362</v>
      </c>
      <c r="C320" s="3" t="s">
        <v>331</v>
      </c>
      <c r="D320" s="233">
        <v>55</v>
      </c>
      <c r="E320" s="233">
        <v>19</v>
      </c>
      <c r="F320" s="234" t="s">
        <v>271</v>
      </c>
      <c r="G320" s="235">
        <v>44104.394143518519</v>
      </c>
      <c r="H320" s="2">
        <v>140057</v>
      </c>
    </row>
    <row r="321" spans="1:8" x14ac:dyDescent="0.3">
      <c r="A321" s="2">
        <v>95970</v>
      </c>
      <c r="B321" s="4" t="s">
        <v>740</v>
      </c>
      <c r="C321" s="3" t="s">
        <v>256</v>
      </c>
      <c r="D321" s="233">
        <v>67</v>
      </c>
      <c r="E321" s="233">
        <v>13</v>
      </c>
      <c r="F321" s="234"/>
      <c r="G321" s="235"/>
      <c r="H321" s="2"/>
    </row>
    <row r="322" spans="1:8" x14ac:dyDescent="0.3">
      <c r="A322" s="2">
        <v>97965</v>
      </c>
      <c r="B322" s="4" t="s">
        <v>410</v>
      </c>
      <c r="C322" s="3" t="s">
        <v>411</v>
      </c>
      <c r="D322" s="233">
        <v>74</v>
      </c>
      <c r="E322" s="233">
        <v>4</v>
      </c>
      <c r="F322" s="234" t="s">
        <v>257</v>
      </c>
      <c r="G322" s="235">
        <v>43875.455000000002</v>
      </c>
      <c r="H322" s="2"/>
    </row>
    <row r="323" spans="1:8" x14ac:dyDescent="0.3">
      <c r="A323" s="2">
        <v>98360</v>
      </c>
      <c r="B323" s="4" t="s">
        <v>509</v>
      </c>
      <c r="C323" s="3" t="s">
        <v>281</v>
      </c>
      <c r="D323" s="233">
        <v>70</v>
      </c>
      <c r="E323" s="233">
        <v>47</v>
      </c>
      <c r="F323" s="234"/>
      <c r="G323" s="235"/>
      <c r="H323" s="2"/>
    </row>
    <row r="324" spans="1:8" x14ac:dyDescent="0.3">
      <c r="A324" s="2">
        <v>98747</v>
      </c>
      <c r="B324" s="4" t="s">
        <v>305</v>
      </c>
      <c r="C324" s="3" t="s">
        <v>301</v>
      </c>
      <c r="D324" s="233">
        <v>54</v>
      </c>
      <c r="E324" s="233">
        <v>19</v>
      </c>
      <c r="F324" s="234" t="s">
        <v>257</v>
      </c>
      <c r="G324" s="235">
        <v>43825.339375000003</v>
      </c>
      <c r="H324" s="2"/>
    </row>
    <row r="325" spans="1:8" x14ac:dyDescent="0.3">
      <c r="A325" s="2">
        <v>98748</v>
      </c>
      <c r="B325" s="4" t="s">
        <v>306</v>
      </c>
      <c r="C325" s="3" t="s">
        <v>301</v>
      </c>
      <c r="D325" s="233">
        <v>54</v>
      </c>
      <c r="E325" s="233">
        <v>19</v>
      </c>
      <c r="F325" s="234" t="s">
        <v>257</v>
      </c>
      <c r="G325" s="235">
        <v>43713.472581018519</v>
      </c>
      <c r="H325" s="2"/>
    </row>
    <row r="326" spans="1:8" x14ac:dyDescent="0.3">
      <c r="A326" s="2">
        <v>98749</v>
      </c>
      <c r="B326" s="4" t="s">
        <v>307</v>
      </c>
      <c r="C326" s="3" t="s">
        <v>301</v>
      </c>
      <c r="D326" s="233">
        <v>54</v>
      </c>
      <c r="E326" s="233">
        <v>19</v>
      </c>
      <c r="F326" s="234" t="s">
        <v>257</v>
      </c>
      <c r="G326" s="235">
        <v>43825.339375000003</v>
      </c>
      <c r="H326" s="2"/>
    </row>
    <row r="327" spans="1:8" x14ac:dyDescent="0.3">
      <c r="A327" s="2">
        <v>98750</v>
      </c>
      <c r="B327" s="4" t="s">
        <v>308</v>
      </c>
      <c r="C327" s="3" t="s">
        <v>301</v>
      </c>
      <c r="D327" s="233">
        <v>54</v>
      </c>
      <c r="E327" s="233">
        <v>19</v>
      </c>
      <c r="F327" s="234" t="s">
        <v>257</v>
      </c>
      <c r="G327" s="235">
        <v>43825.339375000003</v>
      </c>
      <c r="H327" s="2"/>
    </row>
    <row r="328" spans="1:8" x14ac:dyDescent="0.3">
      <c r="A328" s="2">
        <v>98751</v>
      </c>
      <c r="B328" s="4" t="s">
        <v>309</v>
      </c>
      <c r="C328" s="3" t="s">
        <v>301</v>
      </c>
      <c r="D328" s="233">
        <v>54</v>
      </c>
      <c r="E328" s="233">
        <v>19</v>
      </c>
      <c r="F328" s="234" t="s">
        <v>257</v>
      </c>
      <c r="G328" s="235">
        <v>43825.339375000003</v>
      </c>
      <c r="H328" s="2"/>
    </row>
    <row r="329" spans="1:8" x14ac:dyDescent="0.3">
      <c r="A329" s="2">
        <v>98819</v>
      </c>
      <c r="B329" s="4" t="s">
        <v>639</v>
      </c>
      <c r="C329" s="3" t="s">
        <v>256</v>
      </c>
      <c r="D329" s="233">
        <v>51</v>
      </c>
      <c r="E329" s="233">
        <v>49</v>
      </c>
      <c r="F329" s="234"/>
      <c r="G329" s="235"/>
      <c r="H329" s="2"/>
    </row>
    <row r="330" spans="1:8" x14ac:dyDescent="0.3">
      <c r="A330" s="2">
        <v>99790</v>
      </c>
      <c r="B330" s="4" t="s">
        <v>423</v>
      </c>
      <c r="C330" s="3" t="s">
        <v>256</v>
      </c>
      <c r="D330" s="233">
        <v>55</v>
      </c>
      <c r="E330" s="233">
        <v>32</v>
      </c>
      <c r="F330" s="234"/>
      <c r="G330" s="235"/>
      <c r="H330" s="2"/>
    </row>
    <row r="331" spans="1:8" x14ac:dyDescent="0.3">
      <c r="A331" s="2">
        <v>99796</v>
      </c>
      <c r="B331" s="4" t="s">
        <v>458</v>
      </c>
      <c r="C331" s="3" t="s">
        <v>256</v>
      </c>
      <c r="D331" s="233">
        <v>61</v>
      </c>
      <c r="E331" s="233">
        <v>8</v>
      </c>
      <c r="F331" s="234" t="s">
        <v>257</v>
      </c>
      <c r="G331" s="235" t="s">
        <v>459</v>
      </c>
      <c r="H331" s="2"/>
    </row>
    <row r="332" spans="1:8" x14ac:dyDescent="0.3">
      <c r="A332" s="2">
        <v>99810</v>
      </c>
      <c r="B332" s="4" t="s">
        <v>344</v>
      </c>
      <c r="C332" s="3" t="s">
        <v>331</v>
      </c>
      <c r="D332" s="233">
        <v>55</v>
      </c>
      <c r="E332" s="233">
        <v>19</v>
      </c>
      <c r="F332" s="234" t="s">
        <v>271</v>
      </c>
      <c r="G332" s="235">
        <v>44104.394143518519</v>
      </c>
      <c r="H332" s="2">
        <v>140048</v>
      </c>
    </row>
    <row r="333" spans="1:8" x14ac:dyDescent="0.3">
      <c r="A333" s="2">
        <v>100383</v>
      </c>
      <c r="B333" s="4" t="s">
        <v>871</v>
      </c>
      <c r="C333" s="3" t="s">
        <v>281</v>
      </c>
      <c r="D333" s="233">
        <v>80</v>
      </c>
      <c r="E333" s="233">
        <v>7</v>
      </c>
      <c r="F333" s="234" t="s">
        <v>857</v>
      </c>
      <c r="G333" s="235">
        <v>44463.593159722222</v>
      </c>
      <c r="H333" s="2"/>
    </row>
    <row r="334" spans="1:8" x14ac:dyDescent="0.3">
      <c r="A334" s="2">
        <v>101917</v>
      </c>
      <c r="B334" s="4" t="s">
        <v>343</v>
      </c>
      <c r="C334" s="3" t="s">
        <v>331</v>
      </c>
      <c r="D334" s="233">
        <v>55</v>
      </c>
      <c r="E334" s="233">
        <v>19</v>
      </c>
      <c r="F334" s="234" t="s">
        <v>271</v>
      </c>
      <c r="G334" s="235">
        <v>44104.394143518519</v>
      </c>
      <c r="H334" s="2">
        <v>140049</v>
      </c>
    </row>
    <row r="335" spans="1:8" x14ac:dyDescent="0.3">
      <c r="A335" s="2">
        <v>101938</v>
      </c>
      <c r="B335" s="4" t="s">
        <v>593</v>
      </c>
      <c r="C335" s="3" t="s">
        <v>301</v>
      </c>
      <c r="D335" s="233">
        <v>54</v>
      </c>
      <c r="E335" s="233">
        <v>4</v>
      </c>
      <c r="F335" s="234" t="s">
        <v>257</v>
      </c>
      <c r="G335" s="235">
        <v>43713.472581018519</v>
      </c>
      <c r="H335" s="2"/>
    </row>
    <row r="336" spans="1:8" x14ac:dyDescent="0.3">
      <c r="A336" s="2">
        <v>102234</v>
      </c>
      <c r="B336" s="4" t="s">
        <v>601</v>
      </c>
      <c r="C336" s="3" t="s">
        <v>256</v>
      </c>
      <c r="D336" s="233">
        <v>61</v>
      </c>
      <c r="E336" s="233">
        <v>8</v>
      </c>
      <c r="F336" s="234" t="s">
        <v>271</v>
      </c>
      <c r="G336" s="235">
        <v>43682.464849537035</v>
      </c>
      <c r="H336" s="2">
        <v>135304</v>
      </c>
    </row>
    <row r="337" spans="1:8" x14ac:dyDescent="0.3">
      <c r="A337" s="2">
        <v>102443</v>
      </c>
      <c r="B337" s="4" t="s">
        <v>780</v>
      </c>
      <c r="C337" s="3" t="s">
        <v>256</v>
      </c>
      <c r="D337" s="233">
        <v>78</v>
      </c>
      <c r="E337" s="233">
        <v>6</v>
      </c>
      <c r="F337" s="234"/>
      <c r="G337" s="235"/>
      <c r="H337" s="2"/>
    </row>
    <row r="338" spans="1:8" x14ac:dyDescent="0.3">
      <c r="A338" s="2">
        <v>102634</v>
      </c>
      <c r="B338" s="4" t="s">
        <v>773</v>
      </c>
      <c r="C338" s="3" t="s">
        <v>256</v>
      </c>
      <c r="D338" s="233">
        <v>69</v>
      </c>
      <c r="E338" s="233">
        <v>5</v>
      </c>
      <c r="F338" s="234"/>
      <c r="G338" s="235"/>
      <c r="H338" s="2"/>
    </row>
    <row r="339" spans="1:8" x14ac:dyDescent="0.3">
      <c r="A339" s="2">
        <v>102684</v>
      </c>
      <c r="B339" s="4" t="s">
        <v>797</v>
      </c>
      <c r="C339" s="3" t="s">
        <v>256</v>
      </c>
      <c r="D339" s="233">
        <v>69</v>
      </c>
      <c r="E339" s="233">
        <v>5</v>
      </c>
      <c r="F339" s="234"/>
      <c r="G339" s="235"/>
      <c r="H339" s="2"/>
    </row>
    <row r="340" spans="1:8" x14ac:dyDescent="0.3">
      <c r="A340" s="2">
        <v>102685</v>
      </c>
      <c r="B340" s="4" t="s">
        <v>523</v>
      </c>
      <c r="C340" s="3" t="s">
        <v>256</v>
      </c>
      <c r="D340" s="233">
        <v>69</v>
      </c>
      <c r="E340" s="233">
        <v>5</v>
      </c>
      <c r="F340" s="234"/>
      <c r="G340" s="235"/>
      <c r="H340" s="2"/>
    </row>
    <row r="341" spans="1:8" x14ac:dyDescent="0.3">
      <c r="A341" s="2">
        <v>102686</v>
      </c>
      <c r="B341" s="4" t="s">
        <v>462</v>
      </c>
      <c r="C341" s="3" t="s">
        <v>256</v>
      </c>
      <c r="D341" s="233">
        <v>69</v>
      </c>
      <c r="E341" s="233">
        <v>5</v>
      </c>
      <c r="F341" s="234"/>
      <c r="G341" s="235"/>
      <c r="H341" s="2"/>
    </row>
    <row r="342" spans="1:8" x14ac:dyDescent="0.3">
      <c r="A342" s="2">
        <v>102687</v>
      </c>
      <c r="B342" s="4" t="s">
        <v>464</v>
      </c>
      <c r="C342" s="3" t="s">
        <v>256</v>
      </c>
      <c r="D342" s="233">
        <v>69</v>
      </c>
      <c r="E342" s="233">
        <v>5</v>
      </c>
      <c r="F342" s="234"/>
      <c r="G342" s="235"/>
      <c r="H342" s="2"/>
    </row>
    <row r="343" spans="1:8" x14ac:dyDescent="0.3">
      <c r="A343" s="2">
        <v>102688</v>
      </c>
      <c r="B343" s="4" t="s">
        <v>457</v>
      </c>
      <c r="C343" s="3" t="s">
        <v>256</v>
      </c>
      <c r="D343" s="233">
        <v>69</v>
      </c>
      <c r="E343" s="233">
        <v>5</v>
      </c>
      <c r="F343" s="234"/>
      <c r="G343" s="235"/>
      <c r="H343" s="2"/>
    </row>
    <row r="344" spans="1:8" x14ac:dyDescent="0.3">
      <c r="A344" s="2">
        <v>102691</v>
      </c>
      <c r="B344" s="4" t="s">
        <v>448</v>
      </c>
      <c r="C344" s="3" t="s">
        <v>256</v>
      </c>
      <c r="D344" s="233">
        <v>69</v>
      </c>
      <c r="E344" s="233">
        <v>5</v>
      </c>
      <c r="F344" s="234" t="s">
        <v>257</v>
      </c>
      <c r="G344" s="235">
        <v>43875.455914351849</v>
      </c>
      <c r="H344" s="2"/>
    </row>
    <row r="345" spans="1:8" x14ac:dyDescent="0.3">
      <c r="A345" s="2">
        <v>102692</v>
      </c>
      <c r="B345" s="4" t="s">
        <v>449</v>
      </c>
      <c r="C345" s="3" t="s">
        <v>256</v>
      </c>
      <c r="D345" s="233">
        <v>69</v>
      </c>
      <c r="E345" s="233">
        <v>5</v>
      </c>
      <c r="F345" s="234"/>
      <c r="G345" s="235"/>
      <c r="H345" s="2"/>
    </row>
    <row r="346" spans="1:8" x14ac:dyDescent="0.3">
      <c r="A346" s="2">
        <v>102693</v>
      </c>
      <c r="B346" s="4" t="s">
        <v>774</v>
      </c>
      <c r="C346" s="3" t="s">
        <v>256</v>
      </c>
      <c r="D346" s="233">
        <v>69</v>
      </c>
      <c r="E346" s="233">
        <v>8</v>
      </c>
      <c r="F346" s="234"/>
      <c r="G346" s="235"/>
      <c r="H346" s="2"/>
    </row>
    <row r="347" spans="1:8" x14ac:dyDescent="0.3">
      <c r="A347" s="2">
        <v>102695</v>
      </c>
      <c r="B347" s="4" t="s">
        <v>463</v>
      </c>
      <c r="C347" s="3" t="s">
        <v>256</v>
      </c>
      <c r="D347" s="233">
        <v>69</v>
      </c>
      <c r="E347" s="233">
        <v>5</v>
      </c>
      <c r="F347" s="234"/>
      <c r="G347" s="235"/>
      <c r="H347" s="2"/>
    </row>
    <row r="348" spans="1:8" x14ac:dyDescent="0.3">
      <c r="A348" s="2">
        <v>102696</v>
      </c>
      <c r="B348" s="4" t="s">
        <v>465</v>
      </c>
      <c r="C348" s="3" t="s">
        <v>256</v>
      </c>
      <c r="D348" s="233">
        <v>69</v>
      </c>
      <c r="E348" s="233">
        <v>5</v>
      </c>
      <c r="F348" s="234"/>
      <c r="G348" s="235"/>
      <c r="H348" s="2"/>
    </row>
    <row r="349" spans="1:8" x14ac:dyDescent="0.3">
      <c r="A349" s="2">
        <v>102697</v>
      </c>
      <c r="B349" s="4" t="s">
        <v>513</v>
      </c>
      <c r="C349" s="3" t="s">
        <v>256</v>
      </c>
      <c r="D349" s="233">
        <v>69</v>
      </c>
      <c r="E349" s="233">
        <v>8</v>
      </c>
      <c r="F349" s="234"/>
      <c r="G349" s="235"/>
      <c r="H349" s="2"/>
    </row>
    <row r="350" spans="1:8" x14ac:dyDescent="0.3">
      <c r="A350" s="2">
        <v>102698</v>
      </c>
      <c r="B350" s="4" t="s">
        <v>768</v>
      </c>
      <c r="C350" s="3" t="s">
        <v>256</v>
      </c>
      <c r="D350" s="233">
        <v>69</v>
      </c>
      <c r="E350" s="233">
        <v>5</v>
      </c>
      <c r="F350" s="234"/>
      <c r="G350" s="235"/>
      <c r="H350" s="2"/>
    </row>
    <row r="351" spans="1:8" x14ac:dyDescent="0.3">
      <c r="A351" s="2">
        <v>102699</v>
      </c>
      <c r="B351" s="4" t="s">
        <v>514</v>
      </c>
      <c r="C351" s="3" t="s">
        <v>256</v>
      </c>
      <c r="D351" s="233">
        <v>69</v>
      </c>
      <c r="E351" s="233">
        <v>18</v>
      </c>
      <c r="F351" s="234"/>
      <c r="G351" s="235"/>
      <c r="H351" s="2"/>
    </row>
    <row r="352" spans="1:8" x14ac:dyDescent="0.3">
      <c r="A352" s="2">
        <v>102702</v>
      </c>
      <c r="B352" s="4" t="s">
        <v>367</v>
      </c>
      <c r="C352" s="3" t="s">
        <v>331</v>
      </c>
      <c r="D352" s="233">
        <v>60</v>
      </c>
      <c r="E352" s="233">
        <v>21</v>
      </c>
      <c r="F352" s="234" t="s">
        <v>257</v>
      </c>
      <c r="G352" s="235" t="s">
        <v>368</v>
      </c>
      <c r="H352" s="2">
        <v>136564</v>
      </c>
    </row>
    <row r="353" spans="1:8" x14ac:dyDescent="0.3">
      <c r="A353" s="2">
        <v>102726</v>
      </c>
      <c r="B353" s="4" t="s">
        <v>796</v>
      </c>
      <c r="C353" s="3" t="s">
        <v>256</v>
      </c>
      <c r="D353" s="233">
        <v>69</v>
      </c>
      <c r="E353" s="233">
        <v>5</v>
      </c>
      <c r="F353" s="234"/>
      <c r="G353" s="235"/>
      <c r="H353" s="2"/>
    </row>
    <row r="354" spans="1:8" x14ac:dyDescent="0.3">
      <c r="A354" s="2">
        <v>102775</v>
      </c>
      <c r="B354" s="4" t="s">
        <v>772</v>
      </c>
      <c r="C354" s="3" t="s">
        <v>256</v>
      </c>
      <c r="D354" s="233">
        <v>69</v>
      </c>
      <c r="E354" s="233">
        <v>8</v>
      </c>
      <c r="F354" s="234" t="s">
        <v>257</v>
      </c>
      <c r="G354" s="235">
        <v>43875.458738425928</v>
      </c>
      <c r="H354" s="2"/>
    </row>
    <row r="355" spans="1:8" x14ac:dyDescent="0.3">
      <c r="A355" s="2">
        <v>102777</v>
      </c>
      <c r="B355" s="4" t="s">
        <v>427</v>
      </c>
      <c r="C355" s="3" t="s">
        <v>256</v>
      </c>
      <c r="D355" s="233">
        <v>55</v>
      </c>
      <c r="E355" s="233">
        <v>32</v>
      </c>
      <c r="F355" s="234"/>
      <c r="G355" s="235"/>
      <c r="H355" s="2"/>
    </row>
    <row r="356" spans="1:8" x14ac:dyDescent="0.3">
      <c r="A356" s="2">
        <v>102782</v>
      </c>
      <c r="B356" s="4" t="s">
        <v>522</v>
      </c>
      <c r="C356" s="3" t="s">
        <v>256</v>
      </c>
      <c r="D356" s="233">
        <v>69</v>
      </c>
      <c r="E356" s="233">
        <v>5</v>
      </c>
      <c r="F356" s="234"/>
      <c r="G356" s="235"/>
      <c r="H356" s="2"/>
    </row>
    <row r="357" spans="1:8" x14ac:dyDescent="0.3">
      <c r="A357" s="2">
        <v>102791</v>
      </c>
      <c r="B357" s="4" t="s">
        <v>346</v>
      </c>
      <c r="C357" s="3" t="s">
        <v>331</v>
      </c>
      <c r="D357" s="233">
        <v>55</v>
      </c>
      <c r="E357" s="233">
        <v>19</v>
      </c>
      <c r="F357" s="234" t="s">
        <v>271</v>
      </c>
      <c r="G357" s="235">
        <v>44104.394143518519</v>
      </c>
      <c r="H357" s="2">
        <v>140054</v>
      </c>
    </row>
    <row r="358" spans="1:8" x14ac:dyDescent="0.3">
      <c r="A358" s="2">
        <v>103251</v>
      </c>
      <c r="B358" s="4" t="s">
        <v>357</v>
      </c>
      <c r="C358" s="3" t="s">
        <v>331</v>
      </c>
      <c r="D358" s="233">
        <v>55</v>
      </c>
      <c r="E358" s="233">
        <v>19</v>
      </c>
      <c r="F358" s="234" t="s">
        <v>271</v>
      </c>
      <c r="G358" s="235">
        <v>44104.394143518519</v>
      </c>
      <c r="H358" s="2">
        <v>140051</v>
      </c>
    </row>
    <row r="359" spans="1:8" x14ac:dyDescent="0.3">
      <c r="A359" s="2">
        <v>103298</v>
      </c>
      <c r="B359" s="4" t="s">
        <v>579</v>
      </c>
      <c r="C359" s="3" t="s">
        <v>256</v>
      </c>
      <c r="D359" s="233">
        <v>55</v>
      </c>
      <c r="E359" s="233">
        <v>49</v>
      </c>
      <c r="F359" s="234"/>
      <c r="G359" s="235"/>
      <c r="H359" s="2"/>
    </row>
    <row r="360" spans="1:8" x14ac:dyDescent="0.3">
      <c r="A360" s="2">
        <v>103299</v>
      </c>
      <c r="B360" s="4" t="s">
        <v>580</v>
      </c>
      <c r="C360" s="3" t="s">
        <v>256</v>
      </c>
      <c r="D360" s="233">
        <v>55</v>
      </c>
      <c r="E360" s="233">
        <v>49</v>
      </c>
      <c r="F360" s="234"/>
      <c r="G360" s="235"/>
      <c r="H360" s="2"/>
    </row>
    <row r="361" spans="1:8" x14ac:dyDescent="0.3">
      <c r="A361" s="2">
        <v>103405</v>
      </c>
      <c r="B361" s="4" t="s">
        <v>624</v>
      </c>
      <c r="C361" s="3" t="s">
        <v>625</v>
      </c>
      <c r="D361" s="233">
        <v>72</v>
      </c>
      <c r="E361" s="233">
        <v>8</v>
      </c>
      <c r="F361" s="234" t="s">
        <v>271</v>
      </c>
      <c r="G361" s="235">
        <v>43696.583043981482</v>
      </c>
      <c r="H361" s="2">
        <v>138352</v>
      </c>
    </row>
    <row r="362" spans="1:8" x14ac:dyDescent="0.3">
      <c r="A362" s="2">
        <v>103444</v>
      </c>
      <c r="B362" s="4" t="s">
        <v>656</v>
      </c>
      <c r="C362" s="3" t="s">
        <v>413</v>
      </c>
      <c r="D362" s="233">
        <v>70</v>
      </c>
      <c r="E362" s="233">
        <v>13</v>
      </c>
      <c r="F362" s="234"/>
      <c r="G362" s="235"/>
      <c r="H362" s="2"/>
    </row>
    <row r="363" spans="1:8" x14ac:dyDescent="0.3">
      <c r="A363" s="2">
        <v>103490</v>
      </c>
      <c r="B363" s="4" t="s">
        <v>866</v>
      </c>
      <c r="C363" s="3" t="s">
        <v>281</v>
      </c>
      <c r="D363" s="233">
        <v>59</v>
      </c>
      <c r="E363" s="233">
        <v>18</v>
      </c>
      <c r="F363" s="234" t="s">
        <v>857</v>
      </c>
      <c r="G363" s="235">
        <v>44461.404930555553</v>
      </c>
      <c r="H363" s="2"/>
    </row>
    <row r="364" spans="1:8" x14ac:dyDescent="0.3">
      <c r="A364" s="2">
        <v>104625</v>
      </c>
      <c r="B364" s="4" t="s">
        <v>382</v>
      </c>
      <c r="C364" s="3" t="s">
        <v>301</v>
      </c>
      <c r="D364" s="233">
        <v>54</v>
      </c>
      <c r="E364" s="233">
        <v>19</v>
      </c>
      <c r="F364" s="234" t="s">
        <v>257</v>
      </c>
      <c r="G364" s="235">
        <v>43713.472581018519</v>
      </c>
      <c r="H364" s="2"/>
    </row>
    <row r="365" spans="1:8" x14ac:dyDescent="0.3">
      <c r="A365" s="2">
        <v>104626</v>
      </c>
      <c r="B365" s="4" t="s">
        <v>383</v>
      </c>
      <c r="C365" s="3" t="s">
        <v>301</v>
      </c>
      <c r="D365" s="233">
        <v>54</v>
      </c>
      <c r="E365" s="233">
        <v>19</v>
      </c>
      <c r="F365" s="234" t="s">
        <v>257</v>
      </c>
      <c r="G365" s="235">
        <v>43713.472581018519</v>
      </c>
      <c r="H365" s="2"/>
    </row>
    <row r="366" spans="1:8" x14ac:dyDescent="0.3">
      <c r="A366" s="2">
        <v>104627</v>
      </c>
      <c r="B366" s="4" t="s">
        <v>384</v>
      </c>
      <c r="C366" s="3" t="s">
        <v>301</v>
      </c>
      <c r="D366" s="233">
        <v>54</v>
      </c>
      <c r="E366" s="233">
        <v>19</v>
      </c>
      <c r="F366" s="234" t="s">
        <v>257</v>
      </c>
      <c r="G366" s="235">
        <v>43713.472581018519</v>
      </c>
      <c r="H366" s="2"/>
    </row>
    <row r="367" spans="1:8" x14ac:dyDescent="0.3">
      <c r="A367" s="2">
        <v>104639</v>
      </c>
      <c r="B367" s="4" t="s">
        <v>385</v>
      </c>
      <c r="C367" s="3" t="s">
        <v>301</v>
      </c>
      <c r="D367" s="233">
        <v>54</v>
      </c>
      <c r="E367" s="233">
        <v>19</v>
      </c>
      <c r="F367" s="234" t="s">
        <v>257</v>
      </c>
      <c r="G367" s="235">
        <v>43846.380925925929</v>
      </c>
      <c r="H367" s="2"/>
    </row>
    <row r="368" spans="1:8" x14ac:dyDescent="0.3">
      <c r="A368" s="2">
        <v>104640</v>
      </c>
      <c r="B368" s="4" t="s">
        <v>386</v>
      </c>
      <c r="C368" s="3" t="s">
        <v>301</v>
      </c>
      <c r="D368" s="233">
        <v>54</v>
      </c>
      <c r="E368" s="233">
        <v>19</v>
      </c>
      <c r="F368" s="234" t="s">
        <v>257</v>
      </c>
      <c r="G368" s="235">
        <v>43846.380925925929</v>
      </c>
      <c r="H368" s="2"/>
    </row>
    <row r="369" spans="1:8" x14ac:dyDescent="0.3">
      <c r="A369" s="2">
        <v>104641</v>
      </c>
      <c r="B369" s="4" t="s">
        <v>387</v>
      </c>
      <c r="C369" s="3" t="s">
        <v>301</v>
      </c>
      <c r="D369" s="233">
        <v>54</v>
      </c>
      <c r="E369" s="233">
        <v>19</v>
      </c>
      <c r="F369" s="234" t="s">
        <v>257</v>
      </c>
      <c r="G369" s="235">
        <v>43713.472581018519</v>
      </c>
      <c r="H369" s="2"/>
    </row>
    <row r="370" spans="1:8" x14ac:dyDescent="0.3">
      <c r="A370" s="2">
        <v>104642</v>
      </c>
      <c r="B370" s="4" t="s">
        <v>755</v>
      </c>
      <c r="C370" s="3" t="s">
        <v>301</v>
      </c>
      <c r="D370" s="233">
        <v>54</v>
      </c>
      <c r="E370" s="233">
        <v>19</v>
      </c>
      <c r="F370" s="234" t="s">
        <v>257</v>
      </c>
      <c r="G370" s="235">
        <v>43713.472581018519</v>
      </c>
      <c r="H370" s="2"/>
    </row>
    <row r="371" spans="1:8" x14ac:dyDescent="0.3">
      <c r="A371" s="2">
        <v>104755</v>
      </c>
      <c r="B371" s="4" t="s">
        <v>781</v>
      </c>
      <c r="C371" s="3"/>
      <c r="D371" s="233">
        <v>78</v>
      </c>
      <c r="E371" s="233">
        <v>6</v>
      </c>
      <c r="F371" s="234"/>
      <c r="G371" s="235"/>
      <c r="H371" s="2"/>
    </row>
    <row r="372" spans="1:8" x14ac:dyDescent="0.3">
      <c r="A372" s="2">
        <v>104832</v>
      </c>
      <c r="B372" s="4" t="s">
        <v>478</v>
      </c>
      <c r="C372" s="3" t="s">
        <v>31</v>
      </c>
      <c r="D372" s="233">
        <v>51</v>
      </c>
      <c r="E372" s="233">
        <v>37</v>
      </c>
      <c r="F372" s="234" t="s">
        <v>257</v>
      </c>
      <c r="G372" s="235">
        <v>43656.484259259261</v>
      </c>
      <c r="H372" s="2"/>
    </row>
    <row r="373" spans="1:8" x14ac:dyDescent="0.3">
      <c r="A373" s="2">
        <v>105109</v>
      </c>
      <c r="B373" s="4" t="s">
        <v>877</v>
      </c>
      <c r="C373" s="3" t="s">
        <v>256</v>
      </c>
      <c r="D373" s="233">
        <v>62</v>
      </c>
      <c r="E373" s="233">
        <v>12</v>
      </c>
      <c r="F373" s="234" t="s">
        <v>857</v>
      </c>
      <c r="G373" s="235">
        <v>44662.643240740741</v>
      </c>
      <c r="H373" s="2"/>
    </row>
    <row r="374" spans="1:8" x14ac:dyDescent="0.3">
      <c r="A374" s="2">
        <v>105116</v>
      </c>
      <c r="B374" s="4" t="s">
        <v>390</v>
      </c>
      <c r="C374" s="3" t="s">
        <v>256</v>
      </c>
      <c r="D374" s="233">
        <v>62</v>
      </c>
      <c r="E374" s="233">
        <v>1</v>
      </c>
      <c r="F374" s="234" t="s">
        <v>271</v>
      </c>
      <c r="G374" s="235">
        <v>44314.377430555556</v>
      </c>
      <c r="H374" s="2"/>
    </row>
    <row r="375" spans="1:8" x14ac:dyDescent="0.3">
      <c r="A375" s="2">
        <v>105117</v>
      </c>
      <c r="B375" s="4" t="s">
        <v>876</v>
      </c>
      <c r="C375" s="3" t="s">
        <v>256</v>
      </c>
      <c r="D375" s="233">
        <v>62</v>
      </c>
      <c r="E375" s="233">
        <v>1</v>
      </c>
      <c r="F375" s="234" t="s">
        <v>857</v>
      </c>
      <c r="G375" s="235">
        <v>44662.643240740741</v>
      </c>
      <c r="H375" s="2"/>
    </row>
    <row r="376" spans="1:8" x14ac:dyDescent="0.3">
      <c r="A376" s="2">
        <v>105128</v>
      </c>
      <c r="B376" s="4" t="s">
        <v>801</v>
      </c>
      <c r="C376" s="3"/>
      <c r="D376" s="233"/>
      <c r="E376" s="233"/>
      <c r="F376" s="234"/>
      <c r="G376" s="235"/>
      <c r="H376" s="2">
        <v>135227</v>
      </c>
    </row>
    <row r="377" spans="1:8" x14ac:dyDescent="0.3">
      <c r="A377" s="2">
        <v>105180</v>
      </c>
      <c r="B377" s="4" t="s">
        <v>734</v>
      </c>
      <c r="C377" s="3" t="s">
        <v>629</v>
      </c>
      <c r="D377" s="233">
        <v>51</v>
      </c>
      <c r="E377" s="233">
        <v>21</v>
      </c>
      <c r="F377" s="234"/>
      <c r="G377" s="235"/>
      <c r="H377" s="2"/>
    </row>
    <row r="378" spans="1:8" x14ac:dyDescent="0.3">
      <c r="A378" s="2">
        <v>105419</v>
      </c>
      <c r="B378" s="4" t="s">
        <v>771</v>
      </c>
      <c r="C378" s="3" t="s">
        <v>256</v>
      </c>
      <c r="D378" s="233">
        <v>55</v>
      </c>
      <c r="E378" s="233">
        <v>32</v>
      </c>
      <c r="F378" s="234"/>
      <c r="G378" s="235"/>
      <c r="H378" s="2"/>
    </row>
    <row r="379" spans="1:8" x14ac:dyDescent="0.3">
      <c r="A379" s="2">
        <v>105489</v>
      </c>
      <c r="B379" s="4" t="s">
        <v>802</v>
      </c>
      <c r="C379" s="3" t="s">
        <v>273</v>
      </c>
      <c r="D379" s="233">
        <v>76</v>
      </c>
      <c r="E379" s="233">
        <v>9</v>
      </c>
      <c r="F379" s="234" t="s">
        <v>257</v>
      </c>
      <c r="G379" s="235" t="s">
        <v>803</v>
      </c>
      <c r="H379" s="2"/>
    </row>
    <row r="380" spans="1:8" x14ac:dyDescent="0.3">
      <c r="A380" s="2">
        <v>105491</v>
      </c>
      <c r="B380" s="4" t="s">
        <v>806</v>
      </c>
      <c r="C380" s="3" t="s">
        <v>273</v>
      </c>
      <c r="D380" s="233">
        <v>76</v>
      </c>
      <c r="E380" s="233">
        <v>9</v>
      </c>
      <c r="F380" s="234" t="s">
        <v>271</v>
      </c>
      <c r="G380" s="235" t="s">
        <v>807</v>
      </c>
      <c r="H380" s="2"/>
    </row>
    <row r="381" spans="1:8" x14ac:dyDescent="0.3">
      <c r="A381" s="2">
        <v>105492</v>
      </c>
      <c r="B381" s="4" t="s">
        <v>805</v>
      </c>
      <c r="C381" s="3" t="s">
        <v>273</v>
      </c>
      <c r="D381" s="233">
        <v>76</v>
      </c>
      <c r="E381" s="233">
        <v>9</v>
      </c>
      <c r="F381" s="234"/>
      <c r="G381" s="235"/>
      <c r="H381" s="2"/>
    </row>
    <row r="382" spans="1:8" x14ac:dyDescent="0.3">
      <c r="A382" s="2">
        <v>105493</v>
      </c>
      <c r="B382" s="4" t="s">
        <v>804</v>
      </c>
      <c r="C382" s="3" t="s">
        <v>273</v>
      </c>
      <c r="D382" s="233">
        <v>76</v>
      </c>
      <c r="E382" s="233">
        <v>9</v>
      </c>
      <c r="F382" s="234"/>
      <c r="G382" s="235"/>
      <c r="H382" s="2"/>
    </row>
    <row r="383" spans="1:8" x14ac:dyDescent="0.3">
      <c r="A383" s="2">
        <v>105810</v>
      </c>
      <c r="B383" s="4" t="s">
        <v>379</v>
      </c>
      <c r="C383" s="3" t="s">
        <v>301</v>
      </c>
      <c r="D383" s="233">
        <v>54</v>
      </c>
      <c r="E383" s="233">
        <v>4</v>
      </c>
      <c r="F383" s="234" t="s">
        <v>257</v>
      </c>
      <c r="G383" s="235">
        <v>43713.472581018519</v>
      </c>
      <c r="H383" s="2"/>
    </row>
    <row r="384" spans="1:8" x14ac:dyDescent="0.3">
      <c r="A384" s="2">
        <v>105993</v>
      </c>
      <c r="B384" s="4" t="s">
        <v>756</v>
      </c>
      <c r="C384" s="3" t="s">
        <v>301</v>
      </c>
      <c r="D384" s="233">
        <v>54</v>
      </c>
      <c r="E384" s="233">
        <v>4</v>
      </c>
      <c r="F384" s="234" t="s">
        <v>257</v>
      </c>
      <c r="G384" s="235">
        <v>44018.627002314817</v>
      </c>
      <c r="H384" s="2"/>
    </row>
    <row r="385" spans="1:8" x14ac:dyDescent="0.3">
      <c r="A385" s="2">
        <v>105994</v>
      </c>
      <c r="B385" s="4" t="s">
        <v>754</v>
      </c>
      <c r="C385" s="3" t="s">
        <v>301</v>
      </c>
      <c r="D385" s="233">
        <v>54</v>
      </c>
      <c r="E385" s="233">
        <v>4</v>
      </c>
      <c r="F385" s="234" t="s">
        <v>257</v>
      </c>
      <c r="G385" s="235">
        <v>44018.628750000003</v>
      </c>
      <c r="H385" s="2"/>
    </row>
    <row r="386" spans="1:8" x14ac:dyDescent="0.3">
      <c r="A386" s="2">
        <v>106027</v>
      </c>
      <c r="B386" s="4" t="s">
        <v>590</v>
      </c>
      <c r="C386" s="3" t="s">
        <v>301</v>
      </c>
      <c r="D386" s="233">
        <v>54</v>
      </c>
      <c r="E386" s="233">
        <v>4</v>
      </c>
      <c r="F386" s="234" t="s">
        <v>257</v>
      </c>
      <c r="G386" s="235" t="s">
        <v>591</v>
      </c>
      <c r="H386" s="2">
        <v>136858</v>
      </c>
    </row>
    <row r="387" spans="1:8" x14ac:dyDescent="0.3">
      <c r="A387" s="2">
        <v>106039</v>
      </c>
      <c r="B387" s="4" t="s">
        <v>491</v>
      </c>
      <c r="C387" s="3" t="s">
        <v>256</v>
      </c>
      <c r="D387" s="233">
        <v>52</v>
      </c>
      <c r="E387" s="233">
        <v>8</v>
      </c>
      <c r="F387" s="234"/>
      <c r="G387" s="235"/>
      <c r="H387" s="2"/>
    </row>
    <row r="388" spans="1:8" x14ac:dyDescent="0.3">
      <c r="A388" s="2">
        <v>106128</v>
      </c>
      <c r="B388" s="4" t="s">
        <v>859</v>
      </c>
      <c r="C388" s="3" t="s">
        <v>256</v>
      </c>
      <c r="D388" s="233">
        <v>50</v>
      </c>
      <c r="E388" s="233">
        <v>2</v>
      </c>
      <c r="F388" s="234" t="s">
        <v>857</v>
      </c>
      <c r="G388" s="235">
        <v>44432.679375</v>
      </c>
      <c r="H388" s="2">
        <v>142982</v>
      </c>
    </row>
    <row r="389" spans="1:8" x14ac:dyDescent="0.3">
      <c r="A389" s="2">
        <v>106631</v>
      </c>
      <c r="B389" s="4" t="s">
        <v>753</v>
      </c>
      <c r="C389" s="3" t="s">
        <v>31</v>
      </c>
      <c r="D389" s="233">
        <v>51</v>
      </c>
      <c r="E389" s="233">
        <v>37</v>
      </c>
      <c r="F389" s="234" t="s">
        <v>257</v>
      </c>
      <c r="G389" s="235">
        <v>43656.491157407407</v>
      </c>
      <c r="H389" s="2"/>
    </row>
    <row r="390" spans="1:8" x14ac:dyDescent="0.3">
      <c r="A390" s="2">
        <v>106765</v>
      </c>
      <c r="B390" s="4" t="s">
        <v>570</v>
      </c>
      <c r="C390" s="3" t="s">
        <v>256</v>
      </c>
      <c r="D390" s="233">
        <v>83</v>
      </c>
      <c r="E390" s="233">
        <v>3</v>
      </c>
      <c r="F390" s="234"/>
      <c r="G390" s="235"/>
      <c r="H390" s="2"/>
    </row>
    <row r="391" spans="1:8" x14ac:dyDescent="0.3">
      <c r="A391" s="2">
        <v>107736</v>
      </c>
      <c r="B391" s="4" t="s">
        <v>769</v>
      </c>
      <c r="C391" s="3" t="s">
        <v>31</v>
      </c>
      <c r="D391" s="233">
        <v>52</v>
      </c>
      <c r="E391" s="233">
        <v>10</v>
      </c>
      <c r="F391" s="234"/>
      <c r="G391" s="235"/>
      <c r="H391" s="2"/>
    </row>
    <row r="392" spans="1:8" x14ac:dyDescent="0.3">
      <c r="A392" s="2">
        <v>107737</v>
      </c>
      <c r="B392" s="4" t="s">
        <v>770</v>
      </c>
      <c r="C392" s="3" t="s">
        <v>31</v>
      </c>
      <c r="D392" s="233">
        <v>52</v>
      </c>
      <c r="E392" s="233">
        <v>10</v>
      </c>
      <c r="F392" s="234"/>
      <c r="G392" s="235"/>
      <c r="H392" s="2"/>
    </row>
    <row r="393" spans="1:8" x14ac:dyDescent="0.3">
      <c r="A393" s="2">
        <v>107909</v>
      </c>
      <c r="B393" s="4" t="s">
        <v>710</v>
      </c>
      <c r="C393" s="3" t="s">
        <v>711</v>
      </c>
      <c r="D393" s="233">
        <v>72</v>
      </c>
      <c r="E393" s="233">
        <v>14</v>
      </c>
      <c r="F393" s="234"/>
      <c r="G393" s="235"/>
      <c r="H393" s="2"/>
    </row>
    <row r="394" spans="1:8" x14ac:dyDescent="0.3">
      <c r="A394" s="2">
        <v>107925</v>
      </c>
      <c r="B394" s="4" t="s">
        <v>708</v>
      </c>
      <c r="C394" s="3" t="s">
        <v>31</v>
      </c>
      <c r="D394" s="233">
        <v>51</v>
      </c>
      <c r="E394" s="233">
        <v>11</v>
      </c>
      <c r="F394" s="234"/>
      <c r="G394" s="235"/>
      <c r="H394" s="2"/>
    </row>
    <row r="395" spans="1:8" x14ac:dyDescent="0.3">
      <c r="A395" s="2">
        <v>108046</v>
      </c>
      <c r="B395" s="4" t="s">
        <v>849</v>
      </c>
      <c r="C395" s="3" t="s">
        <v>256</v>
      </c>
      <c r="D395" s="233">
        <v>70</v>
      </c>
      <c r="E395" s="233">
        <v>15</v>
      </c>
      <c r="F395" s="234"/>
      <c r="G395" s="235"/>
      <c r="H395" s="2"/>
    </row>
    <row r="396" spans="1:8" x14ac:dyDescent="0.3">
      <c r="A396" s="2">
        <v>108440</v>
      </c>
      <c r="B396" s="4" t="s">
        <v>532</v>
      </c>
      <c r="C396" s="3" t="s">
        <v>31</v>
      </c>
      <c r="D396" s="233">
        <v>55</v>
      </c>
      <c r="E396" s="233">
        <v>49</v>
      </c>
      <c r="F396" s="234" t="s">
        <v>257</v>
      </c>
      <c r="G396" s="235">
        <v>43900.625949074078</v>
      </c>
      <c r="H396" s="2"/>
    </row>
    <row r="397" spans="1:8" x14ac:dyDescent="0.3">
      <c r="A397" s="2">
        <v>108441</v>
      </c>
      <c r="B397" s="4" t="s">
        <v>721</v>
      </c>
      <c r="C397" s="3" t="s">
        <v>256</v>
      </c>
      <c r="D397" s="233">
        <v>55</v>
      </c>
      <c r="E397" s="233">
        <v>65</v>
      </c>
      <c r="F397" s="234" t="s">
        <v>257</v>
      </c>
      <c r="G397" s="235">
        <v>43901.63380787037</v>
      </c>
      <c r="H397" s="2"/>
    </row>
    <row r="398" spans="1:8" x14ac:dyDescent="0.3">
      <c r="A398" s="2">
        <v>108463</v>
      </c>
      <c r="B398" s="4" t="s">
        <v>339</v>
      </c>
      <c r="C398" s="3" t="s">
        <v>331</v>
      </c>
      <c r="D398" s="233">
        <v>55</v>
      </c>
      <c r="E398" s="233">
        <v>19</v>
      </c>
      <c r="F398" s="234" t="s">
        <v>271</v>
      </c>
      <c r="G398" s="235">
        <v>44104.394143518519</v>
      </c>
      <c r="H398" s="2">
        <v>140055</v>
      </c>
    </row>
    <row r="399" spans="1:8" x14ac:dyDescent="0.3">
      <c r="A399" s="2">
        <v>108732</v>
      </c>
      <c r="B399" s="4" t="s">
        <v>300</v>
      </c>
      <c r="C399" s="3" t="s">
        <v>301</v>
      </c>
      <c r="D399" s="233">
        <v>54</v>
      </c>
      <c r="E399" s="233">
        <v>4</v>
      </c>
      <c r="F399" s="234"/>
      <c r="G399" s="235"/>
      <c r="H399" s="2">
        <v>98747</v>
      </c>
    </row>
    <row r="400" spans="1:8" x14ac:dyDescent="0.3">
      <c r="A400" s="2">
        <v>108734</v>
      </c>
      <c r="B400" s="4" t="s">
        <v>302</v>
      </c>
      <c r="C400" s="3" t="s">
        <v>301</v>
      </c>
      <c r="D400" s="233">
        <v>54</v>
      </c>
      <c r="E400" s="233">
        <v>4</v>
      </c>
      <c r="F400" s="234"/>
      <c r="G400" s="235"/>
      <c r="H400" s="2">
        <v>98749</v>
      </c>
    </row>
    <row r="401" spans="1:8" x14ac:dyDescent="0.3">
      <c r="A401" s="2">
        <v>108735</v>
      </c>
      <c r="B401" s="4" t="s">
        <v>303</v>
      </c>
      <c r="C401" s="3" t="s">
        <v>301</v>
      </c>
      <c r="D401" s="233">
        <v>54</v>
      </c>
      <c r="E401" s="233">
        <v>4</v>
      </c>
      <c r="F401" s="234"/>
      <c r="G401" s="235"/>
      <c r="H401" s="2">
        <v>98750</v>
      </c>
    </row>
    <row r="402" spans="1:8" x14ac:dyDescent="0.3">
      <c r="A402" s="2">
        <v>108736</v>
      </c>
      <c r="B402" s="4" t="s">
        <v>304</v>
      </c>
      <c r="C402" s="3" t="s">
        <v>301</v>
      </c>
      <c r="D402" s="233">
        <v>54</v>
      </c>
      <c r="E402" s="233">
        <v>4</v>
      </c>
      <c r="F402" s="234"/>
      <c r="G402" s="235"/>
      <c r="H402" s="2">
        <v>98751</v>
      </c>
    </row>
    <row r="403" spans="1:8" x14ac:dyDescent="0.3">
      <c r="A403" s="2">
        <v>109163</v>
      </c>
      <c r="B403" s="4" t="s">
        <v>627</v>
      </c>
      <c r="C403" s="3" t="s">
        <v>31</v>
      </c>
      <c r="D403" s="233">
        <v>45</v>
      </c>
      <c r="E403" s="233">
        <v>11</v>
      </c>
      <c r="F403" s="234" t="s">
        <v>271</v>
      </c>
      <c r="G403" s="235">
        <v>44041.380925925929</v>
      </c>
      <c r="H403" s="2">
        <v>139767</v>
      </c>
    </row>
    <row r="404" spans="1:8" x14ac:dyDescent="0.3">
      <c r="A404" s="2">
        <v>110216</v>
      </c>
      <c r="B404" s="4" t="s">
        <v>529</v>
      </c>
      <c r="C404" s="3" t="s">
        <v>331</v>
      </c>
      <c r="D404" s="233">
        <v>51</v>
      </c>
      <c r="E404" s="233">
        <v>4</v>
      </c>
      <c r="F404" s="234"/>
      <c r="G404" s="235"/>
      <c r="H404" s="2"/>
    </row>
    <row r="405" spans="1:8" x14ac:dyDescent="0.3">
      <c r="A405" s="2">
        <v>110503</v>
      </c>
      <c r="B405" s="4" t="s">
        <v>391</v>
      </c>
      <c r="C405" s="3" t="s">
        <v>256</v>
      </c>
      <c r="D405" s="233">
        <v>52</v>
      </c>
      <c r="E405" s="233">
        <v>6</v>
      </c>
      <c r="F405" s="234" t="s">
        <v>257</v>
      </c>
      <c r="G405" s="235">
        <v>43700.590555555558</v>
      </c>
      <c r="H405" s="2"/>
    </row>
    <row r="406" spans="1:8" x14ac:dyDescent="0.3">
      <c r="A406" s="2">
        <v>110890</v>
      </c>
      <c r="B406" s="4" t="s">
        <v>333</v>
      </c>
      <c r="C406" s="3" t="s">
        <v>331</v>
      </c>
      <c r="D406" s="233">
        <v>55</v>
      </c>
      <c r="E406" s="233">
        <v>19</v>
      </c>
      <c r="F406" s="234" t="s">
        <v>271</v>
      </c>
      <c r="G406" s="235">
        <v>44113.390856481485</v>
      </c>
      <c r="H406" s="2">
        <v>140125</v>
      </c>
    </row>
    <row r="407" spans="1:8" x14ac:dyDescent="0.3">
      <c r="A407" s="2">
        <v>110891</v>
      </c>
      <c r="B407" s="4" t="s">
        <v>341</v>
      </c>
      <c r="C407" s="3" t="s">
        <v>331</v>
      </c>
      <c r="D407" s="233">
        <v>55</v>
      </c>
      <c r="E407" s="233">
        <v>19</v>
      </c>
      <c r="F407" s="234" t="s">
        <v>271</v>
      </c>
      <c r="G407" s="235">
        <v>44104.394143518519</v>
      </c>
      <c r="H407" s="2">
        <v>140058</v>
      </c>
    </row>
    <row r="408" spans="1:8" x14ac:dyDescent="0.3">
      <c r="A408" s="2">
        <v>111756</v>
      </c>
      <c r="B408" s="4" t="s">
        <v>738</v>
      </c>
      <c r="C408" s="3" t="s">
        <v>31</v>
      </c>
      <c r="D408" s="233">
        <v>67</v>
      </c>
      <c r="E408" s="233">
        <v>13</v>
      </c>
      <c r="F408" s="234"/>
      <c r="G408" s="235"/>
      <c r="H408" s="2"/>
    </row>
    <row r="409" spans="1:8" x14ac:dyDescent="0.3">
      <c r="A409" s="2">
        <v>112064</v>
      </c>
      <c r="B409" s="4" t="s">
        <v>868</v>
      </c>
      <c r="C409" s="3" t="s">
        <v>31</v>
      </c>
      <c r="D409" s="233">
        <v>70</v>
      </c>
      <c r="E409" s="233">
        <v>38</v>
      </c>
      <c r="F409" s="234" t="s">
        <v>857</v>
      </c>
      <c r="G409" s="235">
        <v>44461.457592592589</v>
      </c>
      <c r="H409" s="2"/>
    </row>
    <row r="410" spans="1:8" x14ac:dyDescent="0.3">
      <c r="A410" s="2">
        <v>112160</v>
      </c>
      <c r="B410" s="4" t="s">
        <v>667</v>
      </c>
      <c r="C410" s="3" t="s">
        <v>31</v>
      </c>
      <c r="D410" s="233">
        <v>55</v>
      </c>
      <c r="E410" s="233">
        <v>7</v>
      </c>
      <c r="F410" s="234" t="s">
        <v>257</v>
      </c>
      <c r="G410" s="235">
        <v>43808.459768518522</v>
      </c>
      <c r="H410" s="2"/>
    </row>
    <row r="411" spans="1:8" x14ac:dyDescent="0.3">
      <c r="A411" s="2">
        <v>112164</v>
      </c>
      <c r="B411" s="4" t="s">
        <v>649</v>
      </c>
      <c r="C411" s="3" t="s">
        <v>31</v>
      </c>
      <c r="D411" s="233">
        <v>55</v>
      </c>
      <c r="E411" s="233">
        <v>37</v>
      </c>
      <c r="F411" s="234"/>
      <c r="G411" s="235"/>
      <c r="H411" s="2"/>
    </row>
    <row r="412" spans="1:8" x14ac:dyDescent="0.3">
      <c r="A412" s="2">
        <v>112330</v>
      </c>
      <c r="B412" s="4" t="s">
        <v>483</v>
      </c>
      <c r="C412" s="3" t="s">
        <v>400</v>
      </c>
      <c r="D412" s="233">
        <v>70</v>
      </c>
      <c r="E412" s="233">
        <v>33</v>
      </c>
      <c r="F412" s="234" t="s">
        <v>257</v>
      </c>
      <c r="G412" s="235" t="s">
        <v>484</v>
      </c>
      <c r="H412" s="2">
        <v>133371</v>
      </c>
    </row>
    <row r="413" spans="1:8" x14ac:dyDescent="0.3">
      <c r="A413" s="2">
        <v>112965</v>
      </c>
      <c r="B413" s="4" t="s">
        <v>340</v>
      </c>
      <c r="C413" s="3" t="s">
        <v>331</v>
      </c>
      <c r="D413" s="233">
        <v>55</v>
      </c>
      <c r="E413" s="233">
        <v>19</v>
      </c>
      <c r="F413" s="234" t="s">
        <v>271</v>
      </c>
      <c r="G413" s="235">
        <v>44104.394143518519</v>
      </c>
      <c r="H413" s="2">
        <v>140059</v>
      </c>
    </row>
    <row r="414" spans="1:8" x14ac:dyDescent="0.3">
      <c r="A414" s="2">
        <v>113097</v>
      </c>
      <c r="B414" s="4" t="s">
        <v>775</v>
      </c>
      <c r="C414" s="3" t="s">
        <v>256</v>
      </c>
      <c r="D414" s="233">
        <v>74</v>
      </c>
      <c r="E414" s="233">
        <v>2</v>
      </c>
      <c r="F414" s="234"/>
      <c r="G414" s="235"/>
      <c r="H414" s="2"/>
    </row>
    <row r="415" spans="1:8" x14ac:dyDescent="0.3">
      <c r="A415" s="2">
        <v>113180</v>
      </c>
      <c r="B415" s="4" t="s">
        <v>841</v>
      </c>
      <c r="C415" s="3"/>
      <c r="D415" s="233"/>
      <c r="E415" s="233"/>
      <c r="F415" s="234"/>
      <c r="G415" s="235"/>
      <c r="H415" s="2"/>
    </row>
    <row r="416" spans="1:8" x14ac:dyDescent="0.3">
      <c r="A416" s="2">
        <v>113207</v>
      </c>
      <c r="B416" s="4" t="s">
        <v>658</v>
      </c>
      <c r="C416" s="3" t="s">
        <v>629</v>
      </c>
      <c r="D416" s="233">
        <v>51</v>
      </c>
      <c r="E416" s="233">
        <v>21</v>
      </c>
      <c r="F416" s="234"/>
      <c r="G416" s="235"/>
      <c r="H416" s="2"/>
    </row>
    <row r="417" spans="1:8" x14ac:dyDescent="0.3">
      <c r="A417" s="2">
        <v>114255</v>
      </c>
      <c r="B417" s="4" t="s">
        <v>662</v>
      </c>
      <c r="C417" s="3" t="s">
        <v>629</v>
      </c>
      <c r="D417" s="233">
        <v>51</v>
      </c>
      <c r="E417" s="233">
        <v>21</v>
      </c>
      <c r="F417" s="234"/>
      <c r="G417" s="235"/>
      <c r="H417" s="2"/>
    </row>
    <row r="418" spans="1:8" x14ac:dyDescent="0.3">
      <c r="A418" s="2">
        <v>115135</v>
      </c>
      <c r="B418" s="4" t="s">
        <v>455</v>
      </c>
      <c r="C418" s="3" t="s">
        <v>256</v>
      </c>
      <c r="D418" s="233">
        <v>51</v>
      </c>
      <c r="E418" s="233">
        <v>17</v>
      </c>
      <c r="F418" s="234"/>
      <c r="G418" s="235"/>
      <c r="H418" s="2"/>
    </row>
    <row r="419" spans="1:8" x14ac:dyDescent="0.3">
      <c r="A419" s="2">
        <v>115146</v>
      </c>
      <c r="B419" s="4" t="s">
        <v>424</v>
      </c>
      <c r="C419" s="3" t="s">
        <v>256</v>
      </c>
      <c r="D419" s="233">
        <v>55</v>
      </c>
      <c r="E419" s="233">
        <v>32</v>
      </c>
      <c r="F419" s="234"/>
      <c r="G419" s="235"/>
      <c r="H419" s="2"/>
    </row>
    <row r="420" spans="1:8" x14ac:dyDescent="0.3">
      <c r="A420" s="2">
        <v>115149</v>
      </c>
      <c r="B420" s="4" t="s">
        <v>421</v>
      </c>
      <c r="C420" s="3" t="s">
        <v>256</v>
      </c>
      <c r="D420" s="233">
        <v>55</v>
      </c>
      <c r="E420" s="233">
        <v>32</v>
      </c>
      <c r="F420" s="234"/>
      <c r="G420" s="235"/>
      <c r="H420" s="2"/>
    </row>
    <row r="421" spans="1:8" x14ac:dyDescent="0.3">
      <c r="A421" s="2">
        <v>115151</v>
      </c>
      <c r="B421" s="4" t="s">
        <v>422</v>
      </c>
      <c r="C421" s="3" t="s">
        <v>256</v>
      </c>
      <c r="D421" s="233">
        <v>55</v>
      </c>
      <c r="E421" s="233">
        <v>32</v>
      </c>
      <c r="F421" s="234"/>
      <c r="G421" s="235"/>
      <c r="H421" s="2"/>
    </row>
    <row r="422" spans="1:8" x14ac:dyDescent="0.3">
      <c r="A422" s="2">
        <v>115152</v>
      </c>
      <c r="B422" s="4" t="s">
        <v>425</v>
      </c>
      <c r="C422" s="3" t="s">
        <v>256</v>
      </c>
      <c r="D422" s="233">
        <v>55</v>
      </c>
      <c r="E422" s="233">
        <v>32</v>
      </c>
      <c r="F422" s="234"/>
      <c r="G422" s="235"/>
      <c r="H422" s="2"/>
    </row>
    <row r="423" spans="1:8" x14ac:dyDescent="0.3">
      <c r="A423" s="2">
        <v>115154</v>
      </c>
      <c r="B423" s="4" t="s">
        <v>426</v>
      </c>
      <c r="C423" s="3" t="s">
        <v>256</v>
      </c>
      <c r="D423" s="233">
        <v>55</v>
      </c>
      <c r="E423" s="233">
        <v>32</v>
      </c>
      <c r="F423" s="234"/>
      <c r="G423" s="235"/>
      <c r="H423" s="2"/>
    </row>
    <row r="424" spans="1:8" x14ac:dyDescent="0.3">
      <c r="A424" s="2">
        <v>115214</v>
      </c>
      <c r="B424" s="4" t="s">
        <v>794</v>
      </c>
      <c r="C424" s="3" t="s">
        <v>256</v>
      </c>
      <c r="D424" s="233">
        <v>51</v>
      </c>
      <c r="E424" s="233">
        <v>17</v>
      </c>
      <c r="F424" s="234"/>
      <c r="G424" s="235"/>
      <c r="H424" s="2"/>
    </row>
    <row r="425" spans="1:8" x14ac:dyDescent="0.3">
      <c r="A425" s="2">
        <v>115737</v>
      </c>
      <c r="B425" s="4" t="s">
        <v>637</v>
      </c>
      <c r="C425" s="3" t="s">
        <v>629</v>
      </c>
      <c r="D425" s="233">
        <v>51</v>
      </c>
      <c r="E425" s="233">
        <v>20</v>
      </c>
      <c r="F425" s="234"/>
      <c r="G425" s="235"/>
      <c r="H425" s="2"/>
    </row>
    <row r="426" spans="1:8" x14ac:dyDescent="0.3">
      <c r="A426" s="2">
        <v>115781</v>
      </c>
      <c r="B426" s="4" t="s">
        <v>720</v>
      </c>
      <c r="C426" s="3" t="s">
        <v>31</v>
      </c>
      <c r="D426" s="233">
        <v>55</v>
      </c>
      <c r="E426" s="233">
        <v>64</v>
      </c>
      <c r="F426" s="234" t="s">
        <v>257</v>
      </c>
      <c r="G426" s="235">
        <v>43901.63380787037</v>
      </c>
      <c r="H426" s="2"/>
    </row>
    <row r="427" spans="1:8" x14ac:dyDescent="0.3">
      <c r="A427" s="2">
        <v>116771</v>
      </c>
      <c r="B427" s="4" t="s">
        <v>407</v>
      </c>
      <c r="C427" s="3" t="s">
        <v>406</v>
      </c>
      <c r="D427" s="233">
        <v>69</v>
      </c>
      <c r="E427" s="233">
        <v>1</v>
      </c>
      <c r="F427" s="234"/>
      <c r="G427" s="235"/>
      <c r="H427" s="2"/>
    </row>
    <row r="428" spans="1:8" x14ac:dyDescent="0.3">
      <c r="A428" s="2">
        <v>118243</v>
      </c>
      <c r="B428" s="4" t="s">
        <v>741</v>
      </c>
      <c r="C428" s="3" t="s">
        <v>256</v>
      </c>
      <c r="D428" s="233">
        <v>89</v>
      </c>
      <c r="E428" s="233">
        <v>12</v>
      </c>
      <c r="F428" s="234" t="s">
        <v>257</v>
      </c>
      <c r="G428" s="235">
        <v>43875.379710648151</v>
      </c>
      <c r="H428" s="2"/>
    </row>
    <row r="429" spans="1:8" x14ac:dyDescent="0.3">
      <c r="A429" s="2">
        <v>118248</v>
      </c>
      <c r="B429" s="4" t="s">
        <v>659</v>
      </c>
      <c r="C429" s="3" t="s">
        <v>629</v>
      </c>
      <c r="D429" s="233">
        <v>51</v>
      </c>
      <c r="E429" s="233">
        <v>21</v>
      </c>
      <c r="F429" s="234"/>
      <c r="G429" s="235"/>
      <c r="H429" s="2"/>
    </row>
    <row r="430" spans="1:8" x14ac:dyDescent="0.3">
      <c r="A430" s="2">
        <v>118578</v>
      </c>
      <c r="B430" s="4" t="s">
        <v>663</v>
      </c>
      <c r="C430" s="3" t="s">
        <v>629</v>
      </c>
      <c r="D430" s="233">
        <v>51</v>
      </c>
      <c r="E430" s="233">
        <v>21</v>
      </c>
      <c r="F430" s="234"/>
      <c r="G430" s="235"/>
      <c r="H430" s="2"/>
    </row>
    <row r="431" spans="1:8" x14ac:dyDescent="0.3">
      <c r="A431" s="2">
        <v>118580</v>
      </c>
      <c r="B431" s="4" t="s">
        <v>664</v>
      </c>
      <c r="C431" s="3" t="s">
        <v>629</v>
      </c>
      <c r="D431" s="233">
        <v>51</v>
      </c>
      <c r="E431" s="233">
        <v>21</v>
      </c>
      <c r="F431" s="234"/>
      <c r="G431" s="235"/>
      <c r="H431" s="2"/>
    </row>
    <row r="432" spans="1:8" x14ac:dyDescent="0.3">
      <c r="A432" s="2">
        <v>118660</v>
      </c>
      <c r="B432" s="4" t="s">
        <v>666</v>
      </c>
      <c r="C432" s="3"/>
      <c r="D432" s="233"/>
      <c r="E432" s="233"/>
      <c r="F432" s="234" t="s">
        <v>257</v>
      </c>
      <c r="G432" s="235">
        <v>43808.444606481484</v>
      </c>
      <c r="H432" s="2"/>
    </row>
    <row r="433" spans="1:8" x14ac:dyDescent="0.3">
      <c r="A433" s="2">
        <v>118779</v>
      </c>
      <c r="B433" s="4" t="s">
        <v>420</v>
      </c>
      <c r="C433" s="3" t="s">
        <v>256</v>
      </c>
      <c r="D433" s="233">
        <v>55</v>
      </c>
      <c r="E433" s="233">
        <v>32</v>
      </c>
      <c r="F433" s="234"/>
      <c r="G433" s="235"/>
      <c r="H433" s="2"/>
    </row>
    <row r="434" spans="1:8" x14ac:dyDescent="0.3">
      <c r="A434" s="2">
        <v>118843</v>
      </c>
      <c r="B434" s="4" t="s">
        <v>687</v>
      </c>
      <c r="C434" s="3" t="s">
        <v>256</v>
      </c>
      <c r="D434" s="233">
        <v>52</v>
      </c>
      <c r="E434" s="233">
        <v>9</v>
      </c>
      <c r="F434" s="234"/>
      <c r="G434" s="235"/>
      <c r="H434" s="2"/>
    </row>
    <row r="435" spans="1:8" x14ac:dyDescent="0.3">
      <c r="A435" s="2">
        <v>118864</v>
      </c>
      <c r="B435" s="4" t="s">
        <v>503</v>
      </c>
      <c r="C435" s="3" t="s">
        <v>256</v>
      </c>
      <c r="D435" s="233">
        <v>51</v>
      </c>
      <c r="E435" s="233">
        <v>9</v>
      </c>
      <c r="F435" s="234" t="s">
        <v>257</v>
      </c>
      <c r="G435" s="235" t="s">
        <v>481</v>
      </c>
      <c r="H435" s="2">
        <v>136554</v>
      </c>
    </row>
    <row r="436" spans="1:8" x14ac:dyDescent="0.3">
      <c r="A436" s="2">
        <v>118865</v>
      </c>
      <c r="B436" s="4" t="s">
        <v>504</v>
      </c>
      <c r="C436" s="3" t="s">
        <v>256</v>
      </c>
      <c r="D436" s="233">
        <v>51</v>
      </c>
      <c r="E436" s="233">
        <v>9</v>
      </c>
      <c r="F436" s="234" t="s">
        <v>257</v>
      </c>
      <c r="G436" s="235" t="s">
        <v>505</v>
      </c>
      <c r="H436" s="2">
        <v>136555</v>
      </c>
    </row>
    <row r="437" spans="1:8" x14ac:dyDescent="0.3">
      <c r="A437" s="2">
        <v>118993</v>
      </c>
      <c r="B437" s="4" t="s">
        <v>732</v>
      </c>
      <c r="C437" s="3" t="s">
        <v>629</v>
      </c>
      <c r="D437" s="233">
        <v>51</v>
      </c>
      <c r="E437" s="233">
        <v>21</v>
      </c>
      <c r="F437" s="234"/>
      <c r="G437" s="235"/>
      <c r="H437" s="2"/>
    </row>
    <row r="438" spans="1:8" x14ac:dyDescent="0.3">
      <c r="A438" s="2">
        <v>118994</v>
      </c>
      <c r="B438" s="4" t="s">
        <v>733</v>
      </c>
      <c r="C438" s="3" t="s">
        <v>629</v>
      </c>
      <c r="D438" s="233">
        <v>51</v>
      </c>
      <c r="E438" s="233">
        <v>21</v>
      </c>
      <c r="F438" s="234"/>
      <c r="G438" s="235"/>
      <c r="H438" s="2"/>
    </row>
    <row r="439" spans="1:8" x14ac:dyDescent="0.3">
      <c r="A439" s="2">
        <v>119008</v>
      </c>
      <c r="B439" s="4" t="s">
        <v>599</v>
      </c>
      <c r="C439" s="3" t="s">
        <v>31</v>
      </c>
      <c r="D439" s="233">
        <v>55</v>
      </c>
      <c r="E439" s="233">
        <v>62</v>
      </c>
      <c r="F439" s="234" t="s">
        <v>257</v>
      </c>
      <c r="G439" s="235">
        <v>43875.457731481481</v>
      </c>
      <c r="H439" s="2"/>
    </row>
    <row r="440" spans="1:8" x14ac:dyDescent="0.3">
      <c r="A440" s="2">
        <v>119087</v>
      </c>
      <c r="B440" s="4" t="s">
        <v>867</v>
      </c>
      <c r="C440" s="3" t="s">
        <v>256</v>
      </c>
      <c r="D440" s="233">
        <v>59</v>
      </c>
      <c r="E440" s="233">
        <v>18</v>
      </c>
      <c r="F440" s="234" t="s">
        <v>857</v>
      </c>
      <c r="G440" s="235">
        <v>44461.442743055559</v>
      </c>
      <c r="H440" s="2"/>
    </row>
    <row r="441" spans="1:8" x14ac:dyDescent="0.3">
      <c r="A441" s="2">
        <v>119182</v>
      </c>
      <c r="B441" s="4" t="s">
        <v>840</v>
      </c>
      <c r="C441" s="3" t="s">
        <v>31</v>
      </c>
      <c r="D441" s="233">
        <v>55</v>
      </c>
      <c r="E441" s="233">
        <v>37</v>
      </c>
      <c r="F441" s="234"/>
      <c r="G441" s="235"/>
      <c r="H441" s="2">
        <v>136083</v>
      </c>
    </row>
    <row r="442" spans="1:8" x14ac:dyDescent="0.3">
      <c r="A442" s="2">
        <v>119183</v>
      </c>
      <c r="B442" s="4" t="s">
        <v>650</v>
      </c>
      <c r="C442" s="3" t="s">
        <v>31</v>
      </c>
      <c r="D442" s="233">
        <v>55</v>
      </c>
      <c r="E442" s="233">
        <v>37</v>
      </c>
      <c r="F442" s="234"/>
      <c r="G442" s="235"/>
      <c r="H442" s="2"/>
    </row>
    <row r="443" spans="1:8" x14ac:dyDescent="0.3">
      <c r="A443" s="2">
        <v>119514</v>
      </c>
      <c r="B443" s="4" t="s">
        <v>527</v>
      </c>
      <c r="C443" s="3" t="s">
        <v>331</v>
      </c>
      <c r="D443" s="233">
        <v>51</v>
      </c>
      <c r="E443" s="233">
        <v>28</v>
      </c>
      <c r="F443" s="234" t="s">
        <v>257</v>
      </c>
      <c r="G443" s="235" t="s">
        <v>528</v>
      </c>
      <c r="H443" s="2"/>
    </row>
    <row r="444" spans="1:8" x14ac:dyDescent="0.3">
      <c r="A444" s="2">
        <v>119626</v>
      </c>
      <c r="B444" s="4" t="s">
        <v>630</v>
      </c>
      <c r="C444" s="3" t="s">
        <v>629</v>
      </c>
      <c r="D444" s="233">
        <v>51</v>
      </c>
      <c r="E444" s="233">
        <v>19</v>
      </c>
      <c r="F444" s="234"/>
      <c r="G444" s="235"/>
      <c r="H444" s="2"/>
    </row>
    <row r="445" spans="1:8" x14ac:dyDescent="0.3">
      <c r="A445" s="2">
        <v>119627</v>
      </c>
      <c r="B445" s="4" t="s">
        <v>334</v>
      </c>
      <c r="C445" s="3" t="s">
        <v>331</v>
      </c>
      <c r="D445" s="233">
        <v>55</v>
      </c>
      <c r="E445" s="233">
        <v>19</v>
      </c>
      <c r="F445" s="234" t="s">
        <v>271</v>
      </c>
      <c r="G445" s="235">
        <v>44104.394143518519</v>
      </c>
      <c r="H445" s="2">
        <v>140050</v>
      </c>
    </row>
    <row r="446" spans="1:8" x14ac:dyDescent="0.3">
      <c r="A446" s="2">
        <v>119628</v>
      </c>
      <c r="B446" s="4" t="s">
        <v>338</v>
      </c>
      <c r="C446" s="3" t="s">
        <v>331</v>
      </c>
      <c r="D446" s="233">
        <v>55</v>
      </c>
      <c r="E446" s="233">
        <v>19</v>
      </c>
      <c r="F446" s="234" t="s">
        <v>271</v>
      </c>
      <c r="G446" s="235">
        <v>44104.394143518519</v>
      </c>
      <c r="H446" s="2">
        <v>140053</v>
      </c>
    </row>
    <row r="447" spans="1:8" x14ac:dyDescent="0.3">
      <c r="A447" s="2">
        <v>119793</v>
      </c>
      <c r="B447" s="4" t="s">
        <v>633</v>
      </c>
      <c r="C447" s="3" t="s">
        <v>629</v>
      </c>
      <c r="D447" s="233">
        <v>51</v>
      </c>
      <c r="E447" s="233">
        <v>19</v>
      </c>
      <c r="F447" s="234"/>
      <c r="G447" s="235"/>
      <c r="H447" s="2"/>
    </row>
    <row r="448" spans="1:8" x14ac:dyDescent="0.3">
      <c r="A448" s="2">
        <v>119794</v>
      </c>
      <c r="B448" s="4" t="s">
        <v>635</v>
      </c>
      <c r="C448" s="3" t="s">
        <v>629</v>
      </c>
      <c r="D448" s="233">
        <v>51</v>
      </c>
      <c r="E448" s="233">
        <v>19</v>
      </c>
      <c r="F448" s="234"/>
      <c r="G448" s="235"/>
      <c r="H448" s="2"/>
    </row>
    <row r="449" spans="1:8" x14ac:dyDescent="0.3">
      <c r="A449" s="2">
        <v>119795</v>
      </c>
      <c r="B449" s="4" t="s">
        <v>634</v>
      </c>
      <c r="C449" s="3" t="s">
        <v>629</v>
      </c>
      <c r="D449" s="233">
        <v>51</v>
      </c>
      <c r="E449" s="233">
        <v>19</v>
      </c>
      <c r="F449" s="234"/>
      <c r="G449" s="235"/>
      <c r="H449" s="2"/>
    </row>
    <row r="450" spans="1:8" x14ac:dyDescent="0.3">
      <c r="A450" s="2">
        <v>119796</v>
      </c>
      <c r="B450" s="4" t="s">
        <v>631</v>
      </c>
      <c r="C450" s="3" t="s">
        <v>629</v>
      </c>
      <c r="D450" s="233">
        <v>51</v>
      </c>
      <c r="E450" s="233">
        <v>19</v>
      </c>
      <c r="F450" s="234"/>
      <c r="G450" s="235"/>
      <c r="H450" s="2"/>
    </row>
    <row r="451" spans="1:8" x14ac:dyDescent="0.3">
      <c r="A451" s="2">
        <v>119798</v>
      </c>
      <c r="B451" s="4" t="s">
        <v>636</v>
      </c>
      <c r="C451" s="3" t="s">
        <v>629</v>
      </c>
      <c r="D451" s="233">
        <v>51</v>
      </c>
      <c r="E451" s="233">
        <v>19</v>
      </c>
      <c r="F451" s="234"/>
      <c r="G451" s="235"/>
      <c r="H451" s="2"/>
    </row>
    <row r="452" spans="1:8" x14ac:dyDescent="0.3">
      <c r="A452" s="2">
        <v>119810</v>
      </c>
      <c r="B452" s="4" t="s">
        <v>540</v>
      </c>
      <c r="C452" s="3" t="s">
        <v>256</v>
      </c>
      <c r="D452" s="233">
        <v>55</v>
      </c>
      <c r="E452" s="233">
        <v>52</v>
      </c>
      <c r="F452" s="234" t="s">
        <v>257</v>
      </c>
      <c r="G452" s="235">
        <v>43901.63380787037</v>
      </c>
      <c r="H452" s="2"/>
    </row>
    <row r="453" spans="1:8" x14ac:dyDescent="0.3">
      <c r="A453" s="2">
        <v>119811</v>
      </c>
      <c r="B453" s="4" t="s">
        <v>541</v>
      </c>
      <c r="C453" s="3" t="s">
        <v>256</v>
      </c>
      <c r="D453" s="233">
        <v>55</v>
      </c>
      <c r="E453" s="233">
        <v>52</v>
      </c>
      <c r="F453" s="234" t="s">
        <v>257</v>
      </c>
      <c r="G453" s="235">
        <v>43901.63380787037</v>
      </c>
      <c r="H453" s="2"/>
    </row>
    <row r="454" spans="1:8" x14ac:dyDescent="0.3">
      <c r="A454" s="2">
        <v>120217</v>
      </c>
      <c r="B454" s="4" t="s">
        <v>671</v>
      </c>
      <c r="C454" s="3" t="s">
        <v>256</v>
      </c>
      <c r="D454" s="233">
        <v>84</v>
      </c>
      <c r="E454" s="233">
        <v>1</v>
      </c>
      <c r="F454" s="234"/>
      <c r="G454" s="235"/>
      <c r="H454" s="2"/>
    </row>
    <row r="455" spans="1:8" x14ac:dyDescent="0.3">
      <c r="A455" s="2">
        <v>120477</v>
      </c>
      <c r="B455" s="4" t="s">
        <v>542</v>
      </c>
      <c r="C455" s="3" t="s">
        <v>256</v>
      </c>
      <c r="D455" s="233">
        <v>55</v>
      </c>
      <c r="E455" s="233">
        <v>63</v>
      </c>
      <c r="F455" s="234" t="s">
        <v>257</v>
      </c>
      <c r="G455" s="235">
        <v>43901.63380787037</v>
      </c>
      <c r="H455" s="2"/>
    </row>
    <row r="456" spans="1:8" x14ac:dyDescent="0.3">
      <c r="A456" s="2">
        <v>121214</v>
      </c>
      <c r="B456" s="4" t="s">
        <v>469</v>
      </c>
      <c r="C456" s="3" t="s">
        <v>31</v>
      </c>
      <c r="D456" s="233">
        <v>83</v>
      </c>
      <c r="E456" s="233">
        <v>8</v>
      </c>
      <c r="F456" s="234" t="s">
        <v>257</v>
      </c>
      <c r="G456" s="235" t="s">
        <v>470</v>
      </c>
      <c r="H456" s="2"/>
    </row>
    <row r="457" spans="1:8" x14ac:dyDescent="0.3">
      <c r="A457" s="2">
        <v>121292</v>
      </c>
      <c r="B457" s="4" t="s">
        <v>578</v>
      </c>
      <c r="C457" s="3" t="s">
        <v>31</v>
      </c>
      <c r="D457" s="233">
        <v>55</v>
      </c>
      <c r="E457" s="233">
        <v>49</v>
      </c>
      <c r="F457" s="234" t="s">
        <v>257</v>
      </c>
      <c r="G457" s="235">
        <v>43808.481793981482</v>
      </c>
      <c r="H457" s="2">
        <v>136898</v>
      </c>
    </row>
    <row r="458" spans="1:8" x14ac:dyDescent="0.3">
      <c r="A458" s="2">
        <v>122153</v>
      </c>
      <c r="B458" s="4" t="s">
        <v>450</v>
      </c>
      <c r="C458" s="3" t="s">
        <v>256</v>
      </c>
      <c r="D458" s="233">
        <v>55</v>
      </c>
      <c r="E458" s="233">
        <v>46</v>
      </c>
      <c r="F458" s="234"/>
      <c r="G458" s="235"/>
      <c r="H458" s="2"/>
    </row>
    <row r="459" spans="1:8" x14ac:dyDescent="0.3">
      <c r="A459" s="2">
        <v>122154</v>
      </c>
      <c r="B459" s="4" t="s">
        <v>539</v>
      </c>
      <c r="C459" s="3" t="s">
        <v>31</v>
      </c>
      <c r="D459" s="233">
        <v>55</v>
      </c>
      <c r="E459" s="233">
        <v>63</v>
      </c>
      <c r="F459" s="234"/>
      <c r="G459" s="235"/>
      <c r="H459" s="2"/>
    </row>
    <row r="460" spans="1:8" x14ac:dyDescent="0.3">
      <c r="A460" s="2">
        <v>122545</v>
      </c>
      <c r="B460" s="4" t="s">
        <v>675</v>
      </c>
      <c r="C460" s="3" t="s">
        <v>256</v>
      </c>
      <c r="D460" s="233">
        <v>84</v>
      </c>
      <c r="E460" s="233">
        <v>2</v>
      </c>
      <c r="F460" s="234"/>
      <c r="G460" s="235"/>
      <c r="H460" s="2"/>
    </row>
    <row r="461" spans="1:8" x14ac:dyDescent="0.3">
      <c r="A461" s="2">
        <v>123146</v>
      </c>
      <c r="B461" s="4" t="s">
        <v>863</v>
      </c>
      <c r="C461" s="3" t="s">
        <v>411</v>
      </c>
      <c r="D461" s="233">
        <v>51</v>
      </c>
      <c r="E461" s="233">
        <v>4</v>
      </c>
      <c r="F461" s="234" t="s">
        <v>857</v>
      </c>
      <c r="G461" s="235">
        <v>44454.452928240738</v>
      </c>
      <c r="H461" s="2"/>
    </row>
    <row r="462" spans="1:8" x14ac:dyDescent="0.3">
      <c r="A462" s="2">
        <v>123241</v>
      </c>
      <c r="B462" s="4" t="s">
        <v>641</v>
      </c>
      <c r="C462" s="3" t="s">
        <v>294</v>
      </c>
      <c r="D462" s="233">
        <v>69</v>
      </c>
      <c r="E462" s="233">
        <v>2</v>
      </c>
      <c r="F462" s="234" t="s">
        <v>271</v>
      </c>
      <c r="G462" s="235">
        <v>44237.476643518516</v>
      </c>
      <c r="H462" s="2"/>
    </row>
    <row r="463" spans="1:8" x14ac:dyDescent="0.3">
      <c r="A463" s="2">
        <v>123347</v>
      </c>
      <c r="B463" s="4" t="s">
        <v>651</v>
      </c>
      <c r="C463" s="3" t="s">
        <v>413</v>
      </c>
      <c r="D463" s="233">
        <v>67</v>
      </c>
      <c r="E463" s="233">
        <v>7</v>
      </c>
      <c r="F463" s="234"/>
      <c r="G463" s="235"/>
      <c r="H463" s="2"/>
    </row>
    <row r="464" spans="1:8" x14ac:dyDescent="0.3">
      <c r="A464" s="2">
        <v>123348</v>
      </c>
      <c r="B464" s="4" t="s">
        <v>652</v>
      </c>
      <c r="C464" s="3" t="s">
        <v>413</v>
      </c>
      <c r="D464" s="233">
        <v>67</v>
      </c>
      <c r="E464" s="233">
        <v>7</v>
      </c>
      <c r="F464" s="234"/>
      <c r="G464" s="235"/>
      <c r="H464" s="2"/>
    </row>
    <row r="465" spans="1:8" x14ac:dyDescent="0.3">
      <c r="A465" s="2">
        <v>123351</v>
      </c>
      <c r="B465" s="4" t="s">
        <v>653</v>
      </c>
      <c r="C465" s="3" t="s">
        <v>413</v>
      </c>
      <c r="D465" s="233">
        <v>67</v>
      </c>
      <c r="E465" s="233">
        <v>7</v>
      </c>
      <c r="F465" s="234"/>
      <c r="G465" s="235"/>
      <c r="H465" s="2"/>
    </row>
    <row r="466" spans="1:8" x14ac:dyDescent="0.3">
      <c r="A466" s="2">
        <v>123352</v>
      </c>
      <c r="B466" s="4" t="s">
        <v>654</v>
      </c>
      <c r="C466" s="3" t="s">
        <v>413</v>
      </c>
      <c r="D466" s="233">
        <v>67</v>
      </c>
      <c r="E466" s="233">
        <v>7</v>
      </c>
      <c r="F466" s="234"/>
      <c r="G466" s="235"/>
      <c r="H466" s="2"/>
    </row>
    <row r="467" spans="1:8" x14ac:dyDescent="0.3">
      <c r="A467" s="2">
        <v>123353</v>
      </c>
      <c r="B467" s="4" t="s">
        <v>655</v>
      </c>
      <c r="C467" s="3" t="s">
        <v>413</v>
      </c>
      <c r="D467" s="233">
        <v>67</v>
      </c>
      <c r="E467" s="233">
        <v>7</v>
      </c>
      <c r="F467" s="234"/>
      <c r="G467" s="235"/>
      <c r="H467" s="2"/>
    </row>
    <row r="468" spans="1:8" x14ac:dyDescent="0.3">
      <c r="A468" s="2">
        <v>123371</v>
      </c>
      <c r="B468" s="4" t="s">
        <v>335</v>
      </c>
      <c r="C468" s="3" t="s">
        <v>331</v>
      </c>
      <c r="D468" s="233">
        <v>55</v>
      </c>
      <c r="E468" s="233">
        <v>19</v>
      </c>
      <c r="F468" s="234" t="s">
        <v>271</v>
      </c>
      <c r="G468" s="235">
        <v>44104.394143518519</v>
      </c>
      <c r="H468" s="2">
        <v>140061</v>
      </c>
    </row>
    <row r="469" spans="1:8" x14ac:dyDescent="0.3">
      <c r="A469" s="2">
        <v>123373</v>
      </c>
      <c r="B469" s="4" t="s">
        <v>342</v>
      </c>
      <c r="C469" s="3" t="s">
        <v>331</v>
      </c>
      <c r="D469" s="233">
        <v>55</v>
      </c>
      <c r="E469" s="233">
        <v>19</v>
      </c>
      <c r="F469" s="234" t="s">
        <v>271</v>
      </c>
      <c r="G469" s="235">
        <v>44104.394143518519</v>
      </c>
      <c r="H469" s="2">
        <v>140060</v>
      </c>
    </row>
    <row r="470" spans="1:8" x14ac:dyDescent="0.3">
      <c r="A470" s="2">
        <v>124241</v>
      </c>
      <c r="B470" s="4" t="s">
        <v>277</v>
      </c>
      <c r="C470" s="3" t="s">
        <v>31</v>
      </c>
      <c r="D470" s="233">
        <v>61</v>
      </c>
      <c r="E470" s="233">
        <v>10</v>
      </c>
      <c r="F470" s="234" t="s">
        <v>271</v>
      </c>
      <c r="G470" s="235">
        <v>43682.372615740744</v>
      </c>
      <c r="H470" s="2">
        <v>138054</v>
      </c>
    </row>
    <row r="471" spans="1:8" x14ac:dyDescent="0.3">
      <c r="A471" s="2">
        <v>124335</v>
      </c>
      <c r="B471" s="4" t="s">
        <v>584</v>
      </c>
      <c r="C471" s="3" t="s">
        <v>256</v>
      </c>
      <c r="D471" s="233">
        <v>55</v>
      </c>
      <c r="E471" s="233">
        <v>49</v>
      </c>
      <c r="F471" s="234" t="s">
        <v>257</v>
      </c>
      <c r="G471" s="235">
        <v>43734.501006944447</v>
      </c>
      <c r="H471" s="2">
        <v>138547</v>
      </c>
    </row>
    <row r="472" spans="1:8" x14ac:dyDescent="0.3">
      <c r="A472" s="2">
        <v>124980</v>
      </c>
      <c r="B472" s="4" t="s">
        <v>345</v>
      </c>
      <c r="C472" s="3" t="s">
        <v>331</v>
      </c>
      <c r="D472" s="233">
        <v>55</v>
      </c>
      <c r="E472" s="233">
        <v>19</v>
      </c>
      <c r="F472" s="234" t="s">
        <v>271</v>
      </c>
      <c r="G472" s="235">
        <v>44104.394143518519</v>
      </c>
      <c r="H472" s="2">
        <v>140056</v>
      </c>
    </row>
    <row r="473" spans="1:8" x14ac:dyDescent="0.3">
      <c r="A473" s="2">
        <v>125260</v>
      </c>
      <c r="B473" s="4" t="s">
        <v>661</v>
      </c>
      <c r="C473" s="3" t="s">
        <v>629</v>
      </c>
      <c r="D473" s="233">
        <v>51</v>
      </c>
      <c r="E473" s="233">
        <v>21</v>
      </c>
      <c r="F473" s="234"/>
      <c r="G473" s="235"/>
      <c r="H473" s="2"/>
    </row>
    <row r="474" spans="1:8" x14ac:dyDescent="0.3">
      <c r="A474" s="2">
        <v>125443</v>
      </c>
      <c r="B474" s="4" t="s">
        <v>555</v>
      </c>
      <c r="C474" s="3" t="s">
        <v>31</v>
      </c>
      <c r="D474" s="233">
        <v>55</v>
      </c>
      <c r="E474" s="233">
        <v>63</v>
      </c>
      <c r="F474" s="234"/>
      <c r="G474" s="235"/>
      <c r="H474" s="2"/>
    </row>
    <row r="475" spans="1:8" x14ac:dyDescent="0.3">
      <c r="A475" s="2">
        <v>125576</v>
      </c>
      <c r="B475" s="4" t="s">
        <v>677</v>
      </c>
      <c r="C475" s="3" t="s">
        <v>31</v>
      </c>
      <c r="D475" s="233">
        <v>84</v>
      </c>
      <c r="E475" s="233">
        <v>7</v>
      </c>
      <c r="F475" s="234"/>
      <c r="G475" s="235"/>
      <c r="H475" s="2"/>
    </row>
    <row r="476" spans="1:8" x14ac:dyDescent="0.3">
      <c r="A476" s="2">
        <v>126076</v>
      </c>
      <c r="B476" s="4" t="s">
        <v>544</v>
      </c>
      <c r="C476" s="3" t="s">
        <v>31</v>
      </c>
      <c r="D476" s="233">
        <v>55</v>
      </c>
      <c r="E476" s="233">
        <v>57</v>
      </c>
      <c r="F476" s="234" t="s">
        <v>257</v>
      </c>
      <c r="G476" s="235">
        <v>43901.63380787037</v>
      </c>
      <c r="H476" s="2"/>
    </row>
    <row r="477" spans="1:8" x14ac:dyDescent="0.3">
      <c r="A477" s="2">
        <v>126078</v>
      </c>
      <c r="B477" s="4" t="s">
        <v>839</v>
      </c>
      <c r="C477" s="3" t="s">
        <v>31</v>
      </c>
      <c r="D477" s="233">
        <v>55</v>
      </c>
      <c r="E477" s="233">
        <v>37</v>
      </c>
      <c r="F477" s="234"/>
      <c r="G477" s="235"/>
      <c r="H477" s="2"/>
    </row>
    <row r="478" spans="1:8" x14ac:dyDescent="0.3">
      <c r="A478" s="2">
        <v>126079</v>
      </c>
      <c r="B478" s="4" t="s">
        <v>537</v>
      </c>
      <c r="C478" s="3" t="s">
        <v>31</v>
      </c>
      <c r="D478" s="233">
        <v>55</v>
      </c>
      <c r="E478" s="233">
        <v>26</v>
      </c>
      <c r="F478" s="234"/>
      <c r="G478" s="235"/>
      <c r="H478" s="2"/>
    </row>
    <row r="479" spans="1:8" x14ac:dyDescent="0.3">
      <c r="A479" s="2">
        <v>126080</v>
      </c>
      <c r="B479" s="4" t="s">
        <v>536</v>
      </c>
      <c r="C479" s="3" t="s">
        <v>31</v>
      </c>
      <c r="D479" s="233">
        <v>55</v>
      </c>
      <c r="E479" s="233">
        <v>26</v>
      </c>
      <c r="F479" s="234"/>
      <c r="G479" s="235"/>
      <c r="H479" s="2"/>
    </row>
    <row r="480" spans="1:8" x14ac:dyDescent="0.3">
      <c r="A480" s="2">
        <v>126081</v>
      </c>
      <c r="B480" s="4" t="s">
        <v>535</v>
      </c>
      <c r="C480" s="3" t="s">
        <v>31</v>
      </c>
      <c r="D480" s="233">
        <v>55</v>
      </c>
      <c r="E480" s="233">
        <v>26</v>
      </c>
      <c r="F480" s="234"/>
      <c r="G480" s="235"/>
      <c r="H480" s="2"/>
    </row>
    <row r="481" spans="1:8" x14ac:dyDescent="0.3">
      <c r="A481" s="2">
        <v>126127</v>
      </c>
      <c r="B481" s="4" t="s">
        <v>534</v>
      </c>
      <c r="C481" s="3" t="s">
        <v>31</v>
      </c>
      <c r="D481" s="233">
        <v>55</v>
      </c>
      <c r="E481" s="233">
        <v>26</v>
      </c>
      <c r="F481" s="234"/>
      <c r="G481" s="235"/>
      <c r="H481" s="2"/>
    </row>
    <row r="482" spans="1:8" x14ac:dyDescent="0.3">
      <c r="A482" s="2">
        <v>126343</v>
      </c>
      <c r="B482" s="4" t="s">
        <v>736</v>
      </c>
      <c r="C482" s="3" t="s">
        <v>629</v>
      </c>
      <c r="D482" s="233">
        <v>51</v>
      </c>
      <c r="E482" s="233">
        <v>21</v>
      </c>
      <c r="F482" s="234"/>
      <c r="G482" s="235"/>
      <c r="H482" s="2"/>
    </row>
    <row r="483" spans="1:8" x14ac:dyDescent="0.3">
      <c r="A483" s="2">
        <v>126344</v>
      </c>
      <c r="B483" s="4" t="s">
        <v>735</v>
      </c>
      <c r="C483" s="3" t="s">
        <v>629</v>
      </c>
      <c r="D483" s="233">
        <v>51</v>
      </c>
      <c r="E483" s="233">
        <v>21</v>
      </c>
      <c r="F483" s="234"/>
      <c r="G483" s="235"/>
      <c r="H483" s="2"/>
    </row>
    <row r="484" spans="1:8" x14ac:dyDescent="0.3">
      <c r="A484" s="2">
        <v>127331</v>
      </c>
      <c r="B484" s="4" t="s">
        <v>274</v>
      </c>
      <c r="C484" s="3" t="s">
        <v>275</v>
      </c>
      <c r="D484" s="233">
        <v>72</v>
      </c>
      <c r="E484" s="233">
        <v>8</v>
      </c>
      <c r="F484" s="234" t="s">
        <v>271</v>
      </c>
      <c r="G484" s="235">
        <v>44258.722500000003</v>
      </c>
      <c r="H484" s="2"/>
    </row>
    <row r="485" spans="1:8" x14ac:dyDescent="0.3">
      <c r="A485" s="2">
        <v>127963</v>
      </c>
      <c r="B485" s="4" t="s">
        <v>376</v>
      </c>
      <c r="C485" s="3" t="s">
        <v>256</v>
      </c>
      <c r="D485" s="233">
        <v>55</v>
      </c>
      <c r="E485" s="233">
        <v>34</v>
      </c>
      <c r="F485" s="234" t="s">
        <v>257</v>
      </c>
      <c r="G485" s="235">
        <v>43875.454641203702</v>
      </c>
      <c r="H485" s="2"/>
    </row>
    <row r="486" spans="1:8" x14ac:dyDescent="0.3">
      <c r="A486" s="2">
        <v>128301</v>
      </c>
      <c r="B486" s="4" t="s">
        <v>665</v>
      </c>
      <c r="C486" s="3" t="s">
        <v>256</v>
      </c>
      <c r="D486" s="233">
        <v>55</v>
      </c>
      <c r="E486" s="233">
        <v>62</v>
      </c>
      <c r="F486" s="234"/>
      <c r="G486" s="235"/>
      <c r="H486" s="2"/>
    </row>
    <row r="487" spans="1:8" x14ac:dyDescent="0.3">
      <c r="A487" s="2">
        <v>128302</v>
      </c>
      <c r="B487" s="4" t="s">
        <v>787</v>
      </c>
      <c r="C487" s="3" t="s">
        <v>256</v>
      </c>
      <c r="D487" s="233">
        <v>54</v>
      </c>
      <c r="E487" s="233">
        <v>16</v>
      </c>
      <c r="F487" s="234" t="s">
        <v>257</v>
      </c>
      <c r="G487" s="235" t="s">
        <v>705</v>
      </c>
      <c r="H487" s="2"/>
    </row>
    <row r="488" spans="1:8" x14ac:dyDescent="0.3">
      <c r="A488" s="2">
        <v>128306</v>
      </c>
      <c r="B488" s="4" t="s">
        <v>766</v>
      </c>
      <c r="C488" s="3" t="s">
        <v>256</v>
      </c>
      <c r="D488" s="233">
        <v>54</v>
      </c>
      <c r="E488" s="233">
        <v>16</v>
      </c>
      <c r="F488" s="234" t="s">
        <v>257</v>
      </c>
      <c r="G488" s="235" t="s">
        <v>705</v>
      </c>
      <c r="H488" s="2"/>
    </row>
    <row r="489" spans="1:8" x14ac:dyDescent="0.3">
      <c r="A489" s="2">
        <v>128307</v>
      </c>
      <c r="B489" s="4" t="s">
        <v>317</v>
      </c>
      <c r="C489" s="3" t="s">
        <v>256</v>
      </c>
      <c r="D489" s="233">
        <v>54</v>
      </c>
      <c r="E489" s="233">
        <v>16</v>
      </c>
      <c r="F489" s="234" t="s">
        <v>257</v>
      </c>
      <c r="G489" s="235">
        <v>44018.628750000003</v>
      </c>
      <c r="H489" s="2"/>
    </row>
    <row r="490" spans="1:8" x14ac:dyDescent="0.3">
      <c r="A490" s="2">
        <v>128308</v>
      </c>
      <c r="B490" s="4" t="s">
        <v>760</v>
      </c>
      <c r="C490" s="3" t="s">
        <v>256</v>
      </c>
      <c r="D490" s="233">
        <v>56</v>
      </c>
      <c r="E490" s="233">
        <v>1</v>
      </c>
      <c r="F490" s="234" t="s">
        <v>257</v>
      </c>
      <c r="G490" s="235" t="s">
        <v>364</v>
      </c>
      <c r="H490" s="2"/>
    </row>
    <row r="491" spans="1:8" x14ac:dyDescent="0.3">
      <c r="A491" s="2">
        <v>128309</v>
      </c>
      <c r="B491" s="4" t="s">
        <v>761</v>
      </c>
      <c r="C491" s="3" t="s">
        <v>256</v>
      </c>
      <c r="D491" s="233">
        <v>56</v>
      </c>
      <c r="E491" s="233">
        <v>1</v>
      </c>
      <c r="F491" s="234" t="s">
        <v>257</v>
      </c>
      <c r="G491" s="235" t="s">
        <v>364</v>
      </c>
      <c r="H491" s="2"/>
    </row>
    <row r="492" spans="1:8" x14ac:dyDescent="0.3">
      <c r="A492" s="2">
        <v>128389</v>
      </c>
      <c r="B492" s="4" t="s">
        <v>707</v>
      </c>
      <c r="C492" s="3" t="s">
        <v>256</v>
      </c>
      <c r="D492" s="233">
        <v>55</v>
      </c>
      <c r="E492" s="233">
        <v>5</v>
      </c>
      <c r="F492" s="234" t="s">
        <v>271</v>
      </c>
      <c r="G492" s="235">
        <v>44069.495046296295</v>
      </c>
      <c r="H492" s="2"/>
    </row>
    <row r="493" spans="1:8" x14ac:dyDescent="0.3">
      <c r="A493" s="2">
        <v>128392</v>
      </c>
      <c r="B493" s="4" t="s">
        <v>510</v>
      </c>
      <c r="C493" s="3" t="s">
        <v>281</v>
      </c>
      <c r="D493" s="233">
        <v>70</v>
      </c>
      <c r="E493" s="233">
        <v>47</v>
      </c>
      <c r="F493" s="234"/>
      <c r="G493" s="235"/>
      <c r="H493" s="2"/>
    </row>
    <row r="494" spans="1:8" x14ac:dyDescent="0.3">
      <c r="A494" s="2">
        <v>128458</v>
      </c>
      <c r="B494" s="4" t="s">
        <v>704</v>
      </c>
      <c r="C494" s="3" t="s">
        <v>31</v>
      </c>
      <c r="D494" s="233">
        <v>54</v>
      </c>
      <c r="E494" s="233">
        <v>16</v>
      </c>
      <c r="F494" s="234" t="s">
        <v>257</v>
      </c>
      <c r="G494" s="235" t="s">
        <v>705</v>
      </c>
      <c r="H494" s="2"/>
    </row>
    <row r="495" spans="1:8" x14ac:dyDescent="0.3">
      <c r="A495" s="2">
        <v>128817</v>
      </c>
      <c r="B495" s="4" t="s">
        <v>778</v>
      </c>
      <c r="C495" s="3" t="s">
        <v>31</v>
      </c>
      <c r="D495" s="233">
        <v>55</v>
      </c>
      <c r="E495" s="233">
        <v>32</v>
      </c>
      <c r="F495" s="234" t="s">
        <v>271</v>
      </c>
      <c r="G495" s="235">
        <v>44237.606608796297</v>
      </c>
      <c r="H495" s="2"/>
    </row>
    <row r="496" spans="1:8" x14ac:dyDescent="0.3">
      <c r="A496" s="2">
        <v>128832</v>
      </c>
      <c r="B496" s="4" t="s">
        <v>676</v>
      </c>
      <c r="C496" s="3" t="s">
        <v>31</v>
      </c>
      <c r="D496" s="233">
        <v>84</v>
      </c>
      <c r="E496" s="233">
        <v>5</v>
      </c>
      <c r="F496" s="234"/>
      <c r="G496" s="235"/>
      <c r="H496" s="2"/>
    </row>
    <row r="497" spans="1:8" x14ac:dyDescent="0.3">
      <c r="A497" s="2">
        <v>129959</v>
      </c>
      <c r="B497" s="4" t="s">
        <v>336</v>
      </c>
      <c r="C497" s="3" t="s">
        <v>331</v>
      </c>
      <c r="D497" s="233">
        <v>55</v>
      </c>
      <c r="E497" s="233">
        <v>19</v>
      </c>
      <c r="F497" s="234" t="s">
        <v>271</v>
      </c>
      <c r="G497" s="235">
        <v>44104.394143518519</v>
      </c>
      <c r="H497" s="2">
        <v>140047</v>
      </c>
    </row>
    <row r="498" spans="1:8" x14ac:dyDescent="0.3">
      <c r="A498" s="2">
        <v>129979</v>
      </c>
      <c r="B498" s="4" t="s">
        <v>428</v>
      </c>
      <c r="C498" s="3" t="s">
        <v>31</v>
      </c>
      <c r="D498" s="233">
        <v>61</v>
      </c>
      <c r="E498" s="233">
        <v>8</v>
      </c>
      <c r="F498" s="234" t="s">
        <v>257</v>
      </c>
      <c r="G498" s="235" t="s">
        <v>429</v>
      </c>
      <c r="H498" s="2"/>
    </row>
    <row r="499" spans="1:8" x14ac:dyDescent="0.3">
      <c r="A499" s="2">
        <v>130157</v>
      </c>
      <c r="B499" s="4" t="s">
        <v>363</v>
      </c>
      <c r="C499" s="3" t="s">
        <v>331</v>
      </c>
      <c r="D499" s="233">
        <v>56</v>
      </c>
      <c r="E499" s="233">
        <v>9</v>
      </c>
      <c r="F499" s="234" t="s">
        <v>257</v>
      </c>
      <c r="G499" s="235" t="s">
        <v>364</v>
      </c>
      <c r="H499" s="2"/>
    </row>
    <row r="500" spans="1:8" x14ac:dyDescent="0.3">
      <c r="A500" s="2">
        <v>130564</v>
      </c>
      <c r="B500" s="4" t="s">
        <v>397</v>
      </c>
      <c r="C500" s="3" t="s">
        <v>31</v>
      </c>
      <c r="D500" s="233">
        <v>54</v>
      </c>
      <c r="E500" s="233">
        <v>4</v>
      </c>
      <c r="F500" s="234" t="s">
        <v>257</v>
      </c>
      <c r="G500" s="235">
        <v>43825.339375000003</v>
      </c>
      <c r="H500" s="2"/>
    </row>
    <row r="501" spans="1:8" x14ac:dyDescent="0.3">
      <c r="A501" s="2">
        <v>130614</v>
      </c>
      <c r="B501" s="4" t="s">
        <v>869</v>
      </c>
      <c r="C501" s="3" t="s">
        <v>275</v>
      </c>
      <c r="D501" s="233">
        <v>75</v>
      </c>
      <c r="E501" s="233">
        <v>5</v>
      </c>
      <c r="F501" s="234" t="s">
        <v>857</v>
      </c>
      <c r="G501" s="235">
        <v>44463.593159722222</v>
      </c>
      <c r="H501" s="2"/>
    </row>
    <row r="502" spans="1:8" x14ac:dyDescent="0.3">
      <c r="A502" s="2">
        <v>130740</v>
      </c>
      <c r="B502" s="4" t="s">
        <v>729</v>
      </c>
      <c r="C502" s="3" t="s">
        <v>256</v>
      </c>
      <c r="D502" s="233">
        <v>54</v>
      </c>
      <c r="E502" s="233">
        <v>4</v>
      </c>
      <c r="F502" s="234" t="s">
        <v>257</v>
      </c>
      <c r="G502" s="235">
        <v>43846.392233796294</v>
      </c>
      <c r="H502" s="2"/>
    </row>
    <row r="503" spans="1:8" x14ac:dyDescent="0.3">
      <c r="A503" s="2">
        <v>131195</v>
      </c>
      <c r="B503" s="4" t="s">
        <v>846</v>
      </c>
      <c r="C503" s="3" t="s">
        <v>294</v>
      </c>
      <c r="D503" s="233">
        <v>61</v>
      </c>
      <c r="E503" s="233">
        <v>3</v>
      </c>
      <c r="F503" s="234"/>
      <c r="G503" s="235"/>
      <c r="H503" s="2"/>
    </row>
    <row r="504" spans="1:8" x14ac:dyDescent="0.3">
      <c r="A504" s="2">
        <v>131221</v>
      </c>
      <c r="B504" s="4" t="s">
        <v>405</v>
      </c>
      <c r="C504" s="3" t="s">
        <v>406</v>
      </c>
      <c r="D504" s="233">
        <v>59</v>
      </c>
      <c r="E504" s="233">
        <v>35</v>
      </c>
      <c r="F504" s="234" t="s">
        <v>257</v>
      </c>
      <c r="G504" s="235">
        <v>43808.459768518522</v>
      </c>
      <c r="H504" s="2"/>
    </row>
    <row r="505" spans="1:8" x14ac:dyDescent="0.3">
      <c r="A505" s="2">
        <v>131579</v>
      </c>
      <c r="B505" s="4" t="s">
        <v>606</v>
      </c>
      <c r="C505" s="3" t="s">
        <v>31</v>
      </c>
      <c r="D505" s="233">
        <v>54</v>
      </c>
      <c r="E505" s="233">
        <v>4</v>
      </c>
      <c r="F505" s="234" t="s">
        <v>257</v>
      </c>
      <c r="G505" s="235">
        <v>43713.472581018519</v>
      </c>
      <c r="H505" s="2"/>
    </row>
    <row r="506" spans="1:8" x14ac:dyDescent="0.3">
      <c r="A506" s="2">
        <v>131931</v>
      </c>
      <c r="B506" s="4" t="s">
        <v>521</v>
      </c>
      <c r="C506" s="3" t="s">
        <v>31</v>
      </c>
      <c r="D506" s="233">
        <v>45</v>
      </c>
      <c r="E506" s="233">
        <v>9</v>
      </c>
      <c r="F506" s="234" t="s">
        <v>271</v>
      </c>
      <c r="G506" s="235">
        <v>44313.495532407411</v>
      </c>
      <c r="H506" s="2">
        <v>132299</v>
      </c>
    </row>
    <row r="507" spans="1:8" x14ac:dyDescent="0.3">
      <c r="A507" s="2">
        <v>131933</v>
      </c>
      <c r="B507" s="4" t="s">
        <v>626</v>
      </c>
      <c r="C507" s="3" t="s">
        <v>31</v>
      </c>
      <c r="D507" s="233">
        <v>45</v>
      </c>
      <c r="E507" s="233">
        <v>9</v>
      </c>
      <c r="F507" s="234" t="s">
        <v>271</v>
      </c>
      <c r="G507" s="235">
        <v>43727.555393518516</v>
      </c>
      <c r="H507" s="2">
        <v>138465</v>
      </c>
    </row>
    <row r="508" spans="1:8" x14ac:dyDescent="0.3">
      <c r="A508" s="2">
        <v>131938</v>
      </c>
      <c r="B508" s="4" t="s">
        <v>645</v>
      </c>
      <c r="C508" s="3" t="s">
        <v>31</v>
      </c>
      <c r="D508" s="233">
        <v>45</v>
      </c>
      <c r="E508" s="233">
        <v>9</v>
      </c>
      <c r="F508" s="234" t="s">
        <v>271</v>
      </c>
      <c r="G508" s="235">
        <v>43881.673472222225</v>
      </c>
      <c r="H508" s="2">
        <v>139141</v>
      </c>
    </row>
    <row r="509" spans="1:8" x14ac:dyDescent="0.3">
      <c r="A509" s="2">
        <v>131939</v>
      </c>
      <c r="B509" s="4" t="s">
        <v>646</v>
      </c>
      <c r="C509" s="3" t="s">
        <v>31</v>
      </c>
      <c r="D509" s="233">
        <v>45</v>
      </c>
      <c r="E509" s="233">
        <v>9</v>
      </c>
      <c r="F509" s="234" t="s">
        <v>271</v>
      </c>
      <c r="G509" s="235">
        <v>43881.673472222225</v>
      </c>
      <c r="H509" s="2">
        <v>139142</v>
      </c>
    </row>
    <row r="510" spans="1:8" x14ac:dyDescent="0.3">
      <c r="A510" s="2">
        <v>131940</v>
      </c>
      <c r="B510" s="4" t="s">
        <v>648</v>
      </c>
      <c r="C510" s="3" t="s">
        <v>31</v>
      </c>
      <c r="D510" s="233">
        <v>45</v>
      </c>
      <c r="E510" s="233">
        <v>9</v>
      </c>
      <c r="F510" s="234" t="s">
        <v>271</v>
      </c>
      <c r="G510" s="235">
        <v>43881.673472222225</v>
      </c>
      <c r="H510" s="2">
        <v>139144</v>
      </c>
    </row>
    <row r="511" spans="1:8" x14ac:dyDescent="0.3">
      <c r="A511" s="2">
        <v>131942</v>
      </c>
      <c r="B511" s="4" t="s">
        <v>597</v>
      </c>
      <c r="C511" s="3"/>
      <c r="D511" s="233"/>
      <c r="E511" s="233"/>
      <c r="F511" s="234"/>
      <c r="G511" s="235"/>
      <c r="H511" s="2">
        <v>135701</v>
      </c>
    </row>
    <row r="512" spans="1:8" x14ac:dyDescent="0.3">
      <c r="A512" s="2">
        <v>132230</v>
      </c>
      <c r="B512" s="4" t="s">
        <v>347</v>
      </c>
      <c r="C512" s="3" t="s">
        <v>331</v>
      </c>
      <c r="D512" s="233">
        <v>55</v>
      </c>
      <c r="E512" s="233">
        <v>19</v>
      </c>
      <c r="F512" s="234" t="s">
        <v>271</v>
      </c>
      <c r="G512" s="235">
        <v>44113.390856481485</v>
      </c>
      <c r="H512" s="2">
        <v>140126</v>
      </c>
    </row>
    <row r="513" spans="1:8" x14ac:dyDescent="0.3">
      <c r="A513" s="2">
        <v>132231</v>
      </c>
      <c r="B513" s="4" t="s">
        <v>337</v>
      </c>
      <c r="C513" s="3" t="s">
        <v>331</v>
      </c>
      <c r="D513" s="233">
        <v>55</v>
      </c>
      <c r="E513" s="233">
        <v>19</v>
      </c>
      <c r="F513" s="234" t="s">
        <v>271</v>
      </c>
      <c r="G513" s="235">
        <v>44132.463969907411</v>
      </c>
      <c r="H513" s="2">
        <v>140242</v>
      </c>
    </row>
    <row r="514" spans="1:8" x14ac:dyDescent="0.3">
      <c r="A514" s="2">
        <v>132305</v>
      </c>
      <c r="B514" s="4" t="s">
        <v>647</v>
      </c>
      <c r="C514" s="3" t="s">
        <v>31</v>
      </c>
      <c r="D514" s="233">
        <v>45</v>
      </c>
      <c r="E514" s="233">
        <v>9</v>
      </c>
      <c r="F514" s="234" t="s">
        <v>271</v>
      </c>
      <c r="G514" s="235">
        <v>43881.673472222225</v>
      </c>
      <c r="H514" s="2">
        <v>139143</v>
      </c>
    </row>
    <row r="515" spans="1:8" x14ac:dyDescent="0.3">
      <c r="A515" s="2">
        <v>132447</v>
      </c>
      <c r="B515" s="4" t="s">
        <v>737</v>
      </c>
      <c r="C515" s="3" t="s">
        <v>629</v>
      </c>
      <c r="D515" s="233">
        <v>51</v>
      </c>
      <c r="E515" s="233">
        <v>21</v>
      </c>
      <c r="F515" s="234"/>
      <c r="G515" s="235"/>
      <c r="H515" s="2"/>
    </row>
    <row r="516" spans="1:8" x14ac:dyDescent="0.3">
      <c r="A516" s="2">
        <v>132612</v>
      </c>
      <c r="B516" s="4" t="s">
        <v>547</v>
      </c>
      <c r="C516" s="3" t="s">
        <v>31</v>
      </c>
      <c r="D516" s="233">
        <v>55</v>
      </c>
      <c r="E516" s="233">
        <v>66</v>
      </c>
      <c r="F516" s="234" t="s">
        <v>257</v>
      </c>
      <c r="G516" s="235" t="s">
        <v>548</v>
      </c>
      <c r="H516" s="2">
        <v>136895</v>
      </c>
    </row>
    <row r="517" spans="1:8" x14ac:dyDescent="0.3">
      <c r="A517" s="2">
        <v>132613</v>
      </c>
      <c r="B517" s="4" t="s">
        <v>549</v>
      </c>
      <c r="C517" s="3" t="s">
        <v>31</v>
      </c>
      <c r="D517" s="233">
        <v>55</v>
      </c>
      <c r="E517" s="233">
        <v>66</v>
      </c>
      <c r="F517" s="234" t="s">
        <v>257</v>
      </c>
      <c r="G517" s="235" t="s">
        <v>550</v>
      </c>
      <c r="H517" s="2">
        <v>136896</v>
      </c>
    </row>
    <row r="518" spans="1:8" x14ac:dyDescent="0.3">
      <c r="A518" s="2">
        <v>132713</v>
      </c>
      <c r="B518" s="4" t="s">
        <v>497</v>
      </c>
      <c r="C518" s="3" t="s">
        <v>256</v>
      </c>
      <c r="D518" s="233">
        <v>80</v>
      </c>
      <c r="E518" s="233">
        <v>12</v>
      </c>
      <c r="F518" s="234"/>
      <c r="G518" s="235"/>
      <c r="H518" s="2"/>
    </row>
    <row r="519" spans="1:8" x14ac:dyDescent="0.3">
      <c r="A519" s="2">
        <v>132714</v>
      </c>
      <c r="B519" s="4" t="s">
        <v>452</v>
      </c>
      <c r="C519" s="3" t="s">
        <v>256</v>
      </c>
      <c r="D519" s="233">
        <v>51</v>
      </c>
      <c r="E519" s="233">
        <v>17</v>
      </c>
      <c r="F519" s="234" t="s">
        <v>257</v>
      </c>
      <c r="G519" s="235">
        <v>43738.410543981481</v>
      </c>
      <c r="H519" s="2"/>
    </row>
    <row r="520" spans="1:8" x14ac:dyDescent="0.3">
      <c r="A520" s="2">
        <v>132715</v>
      </c>
      <c r="B520" s="4" t="s">
        <v>451</v>
      </c>
      <c r="C520" s="3" t="s">
        <v>256</v>
      </c>
      <c r="D520" s="233">
        <v>51</v>
      </c>
      <c r="E520" s="233">
        <v>17</v>
      </c>
      <c r="F520" s="234" t="s">
        <v>257</v>
      </c>
      <c r="G520" s="235">
        <v>43738.410856481481</v>
      </c>
      <c r="H520" s="2"/>
    </row>
    <row r="521" spans="1:8" x14ac:dyDescent="0.3">
      <c r="A521" s="2">
        <v>132769</v>
      </c>
      <c r="B521" s="4" t="s">
        <v>269</v>
      </c>
      <c r="C521" s="3" t="s">
        <v>270</v>
      </c>
      <c r="D521" s="233">
        <v>51</v>
      </c>
      <c r="E521" s="233">
        <v>33</v>
      </c>
      <c r="F521" s="234" t="s">
        <v>271</v>
      </c>
      <c r="G521" s="235">
        <v>44181.387789351851</v>
      </c>
      <c r="H521" s="2">
        <v>140326</v>
      </c>
    </row>
    <row r="522" spans="1:8" x14ac:dyDescent="0.3">
      <c r="A522" s="2">
        <v>133042</v>
      </c>
      <c r="B522" s="4" t="s">
        <v>795</v>
      </c>
      <c r="C522" s="3" t="s">
        <v>31</v>
      </c>
      <c r="D522" s="233">
        <v>51</v>
      </c>
      <c r="E522" s="233">
        <v>17</v>
      </c>
      <c r="F522" s="234"/>
      <c r="G522" s="235"/>
      <c r="H522" s="2"/>
    </row>
    <row r="523" spans="1:8" x14ac:dyDescent="0.3">
      <c r="A523" s="2">
        <v>133043</v>
      </c>
      <c r="B523" s="4" t="s">
        <v>456</v>
      </c>
      <c r="C523" s="3" t="s">
        <v>31</v>
      </c>
      <c r="D523" s="233">
        <v>51</v>
      </c>
      <c r="E523" s="233">
        <v>17</v>
      </c>
      <c r="F523" s="234"/>
      <c r="G523" s="235"/>
      <c r="H523" s="2"/>
    </row>
    <row r="524" spans="1:8" x14ac:dyDescent="0.3">
      <c r="A524" s="2">
        <v>133452</v>
      </c>
      <c r="B524" s="4" t="s">
        <v>618</v>
      </c>
      <c r="C524" s="3" t="s">
        <v>616</v>
      </c>
      <c r="D524" s="233">
        <v>57</v>
      </c>
      <c r="E524" s="233">
        <v>15</v>
      </c>
      <c r="F524" s="234" t="s">
        <v>271</v>
      </c>
      <c r="G524" s="235">
        <v>43881.67491898148</v>
      </c>
      <c r="H524" s="2"/>
    </row>
    <row r="525" spans="1:8" x14ac:dyDescent="0.3">
      <c r="A525" s="2">
        <v>133777</v>
      </c>
      <c r="B525" s="4" t="s">
        <v>279</v>
      </c>
      <c r="C525" s="3"/>
      <c r="D525" s="233"/>
      <c r="E525" s="233"/>
      <c r="F525" s="234"/>
      <c r="G525" s="235"/>
      <c r="H525" s="2">
        <v>135699</v>
      </c>
    </row>
    <row r="526" spans="1:8" x14ac:dyDescent="0.3">
      <c r="A526" s="2">
        <v>133778</v>
      </c>
      <c r="B526" s="4" t="s">
        <v>299</v>
      </c>
      <c r="C526" s="3" t="s">
        <v>31</v>
      </c>
      <c r="D526" s="233">
        <v>45</v>
      </c>
      <c r="E526" s="233">
        <v>9</v>
      </c>
      <c r="F526" s="234" t="s">
        <v>271</v>
      </c>
      <c r="G526" s="235">
        <v>43727.555393518516</v>
      </c>
      <c r="H526" s="2">
        <v>138451</v>
      </c>
    </row>
    <row r="527" spans="1:8" x14ac:dyDescent="0.3">
      <c r="A527" s="2">
        <v>133779</v>
      </c>
      <c r="B527" s="4" t="s">
        <v>371</v>
      </c>
      <c r="C527" s="3" t="s">
        <v>31</v>
      </c>
      <c r="D527" s="233">
        <v>45</v>
      </c>
      <c r="E527" s="233">
        <v>11</v>
      </c>
      <c r="F527" s="234" t="s">
        <v>271</v>
      </c>
      <c r="G527" s="235">
        <v>43727.555393518516</v>
      </c>
      <c r="H527" s="2">
        <v>138453</v>
      </c>
    </row>
    <row r="528" spans="1:8" x14ac:dyDescent="0.3">
      <c r="A528" s="2">
        <v>133781</v>
      </c>
      <c r="B528" s="4" t="s">
        <v>373</v>
      </c>
      <c r="C528" s="3" t="s">
        <v>31</v>
      </c>
      <c r="D528" s="233">
        <v>45</v>
      </c>
      <c r="E528" s="233">
        <v>11</v>
      </c>
      <c r="F528" s="234" t="s">
        <v>271</v>
      </c>
      <c r="G528" s="235">
        <v>43727.555393518516</v>
      </c>
      <c r="H528" s="2">
        <v>138456</v>
      </c>
    </row>
    <row r="529" spans="1:8" x14ac:dyDescent="0.3">
      <c r="A529" s="2">
        <v>133782</v>
      </c>
      <c r="B529" s="4" t="s">
        <v>374</v>
      </c>
      <c r="C529" s="3" t="s">
        <v>31</v>
      </c>
      <c r="D529" s="233">
        <v>45</v>
      </c>
      <c r="E529" s="233">
        <v>11</v>
      </c>
      <c r="F529" s="234" t="s">
        <v>271</v>
      </c>
      <c r="G529" s="235">
        <v>43727.555393518516</v>
      </c>
      <c r="H529" s="2">
        <v>138457</v>
      </c>
    </row>
    <row r="530" spans="1:8" x14ac:dyDescent="0.3">
      <c r="A530" s="2">
        <v>133783</v>
      </c>
      <c r="B530" s="4" t="s">
        <v>375</v>
      </c>
      <c r="C530" s="3" t="s">
        <v>31</v>
      </c>
      <c r="D530" s="233">
        <v>45</v>
      </c>
      <c r="E530" s="233">
        <v>11</v>
      </c>
      <c r="F530" s="234" t="s">
        <v>257</v>
      </c>
      <c r="G530" s="235">
        <v>43882.591736111113</v>
      </c>
      <c r="H530" s="2">
        <v>138458</v>
      </c>
    </row>
    <row r="531" spans="1:8" x14ac:dyDescent="0.3">
      <c r="A531" s="2">
        <v>133787</v>
      </c>
      <c r="B531" s="4" t="s">
        <v>409</v>
      </c>
      <c r="C531" s="3"/>
      <c r="D531" s="233"/>
      <c r="E531" s="233"/>
      <c r="F531" s="234"/>
      <c r="G531" s="235"/>
      <c r="H531" s="2">
        <v>136408</v>
      </c>
    </row>
    <row r="532" spans="1:8" x14ac:dyDescent="0.3">
      <c r="A532" s="2">
        <v>133793</v>
      </c>
      <c r="B532" s="4" t="s">
        <v>727</v>
      </c>
      <c r="C532" s="3" t="s">
        <v>31</v>
      </c>
      <c r="D532" s="233">
        <v>45</v>
      </c>
      <c r="E532" s="233">
        <v>9</v>
      </c>
      <c r="F532" s="234" t="s">
        <v>271</v>
      </c>
      <c r="G532" s="235">
        <v>43727.555393518516</v>
      </c>
      <c r="H532" s="2">
        <v>135703</v>
      </c>
    </row>
    <row r="533" spans="1:8" x14ac:dyDescent="0.3">
      <c r="A533" s="2">
        <v>133794</v>
      </c>
      <c r="B533" s="4" t="s">
        <v>798</v>
      </c>
      <c r="C533" s="3"/>
      <c r="D533" s="233"/>
      <c r="E533" s="233"/>
      <c r="F533" s="234"/>
      <c r="G533" s="235"/>
      <c r="H533" s="2">
        <v>135704</v>
      </c>
    </row>
    <row r="534" spans="1:8" x14ac:dyDescent="0.3">
      <c r="A534" s="2">
        <v>133812</v>
      </c>
      <c r="B534" s="4" t="s">
        <v>716</v>
      </c>
      <c r="C534" s="3" t="s">
        <v>31</v>
      </c>
      <c r="D534" s="233">
        <v>55</v>
      </c>
      <c r="E534" s="233">
        <v>55</v>
      </c>
      <c r="F534" s="234" t="s">
        <v>257</v>
      </c>
      <c r="G534" s="235">
        <v>43901.63380787037</v>
      </c>
      <c r="H534" s="2"/>
    </row>
    <row r="535" spans="1:8" x14ac:dyDescent="0.3">
      <c r="A535" s="2">
        <v>133813</v>
      </c>
      <c r="B535" s="4" t="s">
        <v>717</v>
      </c>
      <c r="C535" s="3" t="s">
        <v>31</v>
      </c>
      <c r="D535" s="233">
        <v>55</v>
      </c>
      <c r="E535" s="233">
        <v>55</v>
      </c>
      <c r="F535" s="234" t="s">
        <v>257</v>
      </c>
      <c r="G535" s="235" t="s">
        <v>265</v>
      </c>
      <c r="H535" s="2"/>
    </row>
    <row r="536" spans="1:8" x14ac:dyDescent="0.3">
      <c r="A536" s="2">
        <v>133851</v>
      </c>
      <c r="B536" s="4" t="s">
        <v>615</v>
      </c>
      <c r="C536" s="3" t="s">
        <v>616</v>
      </c>
      <c r="D536" s="233">
        <v>57</v>
      </c>
      <c r="E536" s="233">
        <v>2</v>
      </c>
      <c r="F536" s="234" t="s">
        <v>257</v>
      </c>
      <c r="G536" s="235" t="s">
        <v>617</v>
      </c>
      <c r="H536" s="2">
        <v>136941</v>
      </c>
    </row>
    <row r="537" spans="1:8" x14ac:dyDescent="0.3">
      <c r="A537" s="2">
        <v>133950</v>
      </c>
      <c r="B537" s="4" t="s">
        <v>372</v>
      </c>
      <c r="C537" s="3" t="s">
        <v>31</v>
      </c>
      <c r="D537" s="233">
        <v>45</v>
      </c>
      <c r="E537" s="233">
        <v>11</v>
      </c>
      <c r="F537" s="234" t="s">
        <v>271</v>
      </c>
      <c r="G537" s="235">
        <v>43727.555393518516</v>
      </c>
      <c r="H537" s="2">
        <v>138454</v>
      </c>
    </row>
    <row r="538" spans="1:8" x14ac:dyDescent="0.3">
      <c r="A538" s="2">
        <v>133953</v>
      </c>
      <c r="B538" s="4" t="s">
        <v>394</v>
      </c>
      <c r="C538" s="3" t="s">
        <v>395</v>
      </c>
      <c r="D538" s="233">
        <v>45</v>
      </c>
      <c r="E538" s="233">
        <v>9</v>
      </c>
      <c r="F538" s="234" t="s">
        <v>271</v>
      </c>
      <c r="G538" s="235">
        <v>43727.555393518516</v>
      </c>
      <c r="H538" s="2">
        <v>138461</v>
      </c>
    </row>
    <row r="539" spans="1:8" x14ac:dyDescent="0.3">
      <c r="A539" s="2">
        <v>133954</v>
      </c>
      <c r="B539" s="4" t="s">
        <v>520</v>
      </c>
      <c r="C539" s="3" t="s">
        <v>413</v>
      </c>
      <c r="D539" s="233">
        <v>45</v>
      </c>
      <c r="E539" s="233">
        <v>16</v>
      </c>
      <c r="F539" s="234" t="s">
        <v>271</v>
      </c>
      <c r="G539" s="235">
        <v>43727.555393518516</v>
      </c>
      <c r="H539" s="2">
        <v>138462</v>
      </c>
    </row>
    <row r="540" spans="1:8" x14ac:dyDescent="0.3">
      <c r="A540" s="2">
        <v>133955</v>
      </c>
      <c r="B540" s="4" t="s">
        <v>556</v>
      </c>
      <c r="C540" s="3" t="s">
        <v>413</v>
      </c>
      <c r="D540" s="233">
        <v>45</v>
      </c>
      <c r="E540" s="233">
        <v>9</v>
      </c>
      <c r="F540" s="234" t="s">
        <v>271</v>
      </c>
      <c r="G540" s="235">
        <v>43727.555393518516</v>
      </c>
      <c r="H540" s="2">
        <v>138463</v>
      </c>
    </row>
    <row r="541" spans="1:8" x14ac:dyDescent="0.3">
      <c r="A541" s="2">
        <v>133956</v>
      </c>
      <c r="B541" s="4" t="s">
        <v>392</v>
      </c>
      <c r="C541" s="3" t="s">
        <v>31</v>
      </c>
      <c r="D541" s="233">
        <v>45</v>
      </c>
      <c r="E541" s="233">
        <v>10</v>
      </c>
      <c r="F541" s="234" t="s">
        <v>271</v>
      </c>
      <c r="G541" s="235">
        <v>43727.555393518516</v>
      </c>
      <c r="H541" s="2">
        <v>138459</v>
      </c>
    </row>
    <row r="542" spans="1:8" x14ac:dyDescent="0.3">
      <c r="A542" s="2">
        <v>133957</v>
      </c>
      <c r="B542" s="4" t="s">
        <v>393</v>
      </c>
      <c r="C542" s="3" t="s">
        <v>31</v>
      </c>
      <c r="D542" s="233">
        <v>45</v>
      </c>
      <c r="E542" s="233">
        <v>10</v>
      </c>
      <c r="F542" s="234" t="s">
        <v>271</v>
      </c>
      <c r="G542" s="235">
        <v>43727.555393518516</v>
      </c>
      <c r="H542" s="2">
        <v>138460</v>
      </c>
    </row>
    <row r="543" spans="1:8" x14ac:dyDescent="0.3">
      <c r="A543" s="2">
        <v>134045</v>
      </c>
      <c r="B543" s="4" t="s">
        <v>482</v>
      </c>
      <c r="C543" s="3" t="s">
        <v>31</v>
      </c>
      <c r="D543" s="233">
        <v>61</v>
      </c>
      <c r="E543" s="233">
        <v>16</v>
      </c>
      <c r="F543" s="234" t="s">
        <v>271</v>
      </c>
      <c r="G543" s="235">
        <v>44370.556041666663</v>
      </c>
      <c r="H543" s="2">
        <v>141430</v>
      </c>
    </row>
    <row r="544" spans="1:8" x14ac:dyDescent="0.3">
      <c r="A544" s="2">
        <v>134542</v>
      </c>
      <c r="B544" s="4" t="s">
        <v>682</v>
      </c>
      <c r="C544" s="3" t="s">
        <v>629</v>
      </c>
      <c r="D544" s="233">
        <v>51</v>
      </c>
      <c r="E544" s="233">
        <v>21</v>
      </c>
      <c r="F544" s="234" t="s">
        <v>271</v>
      </c>
      <c r="G544" s="235">
        <v>44082.568240740744</v>
      </c>
      <c r="H544" s="2">
        <v>139957</v>
      </c>
    </row>
    <row r="545" spans="1:8" x14ac:dyDescent="0.3">
      <c r="A545" s="2">
        <v>134543</v>
      </c>
      <c r="B545" s="4" t="s">
        <v>683</v>
      </c>
      <c r="C545" s="3" t="s">
        <v>629</v>
      </c>
      <c r="D545" s="233">
        <v>51</v>
      </c>
      <c r="E545" s="233">
        <v>21</v>
      </c>
      <c r="F545" s="234" t="s">
        <v>271</v>
      </c>
      <c r="G545" s="235">
        <v>44082.568240740744</v>
      </c>
      <c r="H545" s="2">
        <v>139958</v>
      </c>
    </row>
    <row r="546" spans="1:8" x14ac:dyDescent="0.3">
      <c r="A546" s="2">
        <v>135012</v>
      </c>
      <c r="B546" s="4" t="s">
        <v>380</v>
      </c>
      <c r="C546" s="3" t="s">
        <v>301</v>
      </c>
      <c r="D546" s="233">
        <v>54</v>
      </c>
      <c r="E546" s="233">
        <v>4</v>
      </c>
      <c r="F546" s="234" t="s">
        <v>271</v>
      </c>
      <c r="G546" s="235">
        <v>44313.495532407411</v>
      </c>
      <c r="H546" s="2"/>
    </row>
    <row r="547" spans="1:8" x14ac:dyDescent="0.3">
      <c r="A547" s="2">
        <v>135016</v>
      </c>
      <c r="B547" s="4" t="s">
        <v>381</v>
      </c>
      <c r="C547" s="3" t="s">
        <v>301</v>
      </c>
      <c r="D547" s="233">
        <v>54</v>
      </c>
      <c r="E547" s="233">
        <v>4</v>
      </c>
      <c r="F547" s="234" t="s">
        <v>271</v>
      </c>
      <c r="G547" s="235">
        <v>44313.495532407411</v>
      </c>
      <c r="H547" s="2"/>
    </row>
    <row r="548" spans="1:8" x14ac:dyDescent="0.3">
      <c r="A548" s="2">
        <v>135023</v>
      </c>
      <c r="B548" s="4" t="s">
        <v>605</v>
      </c>
      <c r="C548" s="3" t="s">
        <v>31</v>
      </c>
      <c r="D548" s="233">
        <v>54</v>
      </c>
      <c r="E548" s="233">
        <v>4</v>
      </c>
      <c r="F548" s="234" t="s">
        <v>271</v>
      </c>
      <c r="G548" s="235">
        <v>44313.495532407411</v>
      </c>
      <c r="H548" s="2"/>
    </row>
    <row r="549" spans="1:8" x14ac:dyDescent="0.3">
      <c r="A549" s="2">
        <v>135224</v>
      </c>
      <c r="B549" s="4" t="s">
        <v>817</v>
      </c>
      <c r="C549" s="3" t="s">
        <v>596</v>
      </c>
      <c r="D549" s="233">
        <v>76</v>
      </c>
      <c r="E549" s="233">
        <v>3</v>
      </c>
      <c r="F549" s="234" t="s">
        <v>271</v>
      </c>
      <c r="G549" s="235">
        <v>44376.373101851852</v>
      </c>
      <c r="H549" s="2">
        <v>141680</v>
      </c>
    </row>
    <row r="550" spans="1:8" x14ac:dyDescent="0.3">
      <c r="A550" s="2">
        <v>135225</v>
      </c>
      <c r="B550" s="4" t="s">
        <v>825</v>
      </c>
      <c r="C550" s="3" t="s">
        <v>273</v>
      </c>
      <c r="D550" s="233">
        <v>76</v>
      </c>
      <c r="E550" s="233">
        <v>10</v>
      </c>
      <c r="F550" s="234" t="s">
        <v>271</v>
      </c>
      <c r="G550" s="235">
        <v>44376.377187500002</v>
      </c>
      <c r="H550" s="2">
        <v>141786</v>
      </c>
    </row>
    <row r="551" spans="1:8" x14ac:dyDescent="0.3">
      <c r="A551" s="2">
        <v>135226</v>
      </c>
      <c r="B551" s="4" t="s">
        <v>826</v>
      </c>
      <c r="C551" s="3" t="s">
        <v>273</v>
      </c>
      <c r="D551" s="233">
        <v>76</v>
      </c>
      <c r="E551" s="233">
        <v>10</v>
      </c>
      <c r="F551" s="234" t="s">
        <v>271</v>
      </c>
      <c r="G551" s="235">
        <v>44376.404398148145</v>
      </c>
      <c r="H551" s="2">
        <v>141787</v>
      </c>
    </row>
    <row r="552" spans="1:8" x14ac:dyDescent="0.3">
      <c r="A552" s="2">
        <v>135227</v>
      </c>
      <c r="B552" s="4" t="s">
        <v>827</v>
      </c>
      <c r="C552" s="3" t="s">
        <v>273</v>
      </c>
      <c r="D552" s="233">
        <v>76</v>
      </c>
      <c r="E552" s="233">
        <v>10</v>
      </c>
      <c r="F552" s="234" t="s">
        <v>271</v>
      </c>
      <c r="G552" s="235">
        <v>44376.404398148145</v>
      </c>
      <c r="H552" s="2">
        <v>141615</v>
      </c>
    </row>
    <row r="553" spans="1:8" x14ac:dyDescent="0.3">
      <c r="A553" s="2">
        <v>135238</v>
      </c>
      <c r="B553" s="4" t="s">
        <v>818</v>
      </c>
      <c r="C553" s="3" t="s">
        <v>596</v>
      </c>
      <c r="D553" s="233">
        <v>76</v>
      </c>
      <c r="E553" s="233">
        <v>3</v>
      </c>
      <c r="F553" s="234" t="s">
        <v>271</v>
      </c>
      <c r="G553" s="235">
        <v>44376.374710648146</v>
      </c>
      <c r="H553" s="2">
        <v>141268</v>
      </c>
    </row>
    <row r="554" spans="1:8" x14ac:dyDescent="0.3">
      <c r="A554" s="2">
        <v>135239</v>
      </c>
      <c r="B554" s="4" t="s">
        <v>816</v>
      </c>
      <c r="C554" s="3" t="s">
        <v>596</v>
      </c>
      <c r="D554" s="233">
        <v>76</v>
      </c>
      <c r="E554" s="233">
        <v>3</v>
      </c>
      <c r="F554" s="234"/>
      <c r="G554" s="235"/>
      <c r="H554" s="2"/>
    </row>
    <row r="555" spans="1:8" x14ac:dyDescent="0.3">
      <c r="A555" s="2">
        <v>135699</v>
      </c>
      <c r="B555" s="4" t="s">
        <v>278</v>
      </c>
      <c r="C555" s="3" t="s">
        <v>31</v>
      </c>
      <c r="D555" s="233">
        <v>45</v>
      </c>
      <c r="E555" s="233">
        <v>9</v>
      </c>
      <c r="F555" s="234" t="s">
        <v>271</v>
      </c>
      <c r="G555" s="235">
        <v>43727.555393518516</v>
      </c>
      <c r="H555" s="2">
        <v>138450</v>
      </c>
    </row>
    <row r="556" spans="1:8" x14ac:dyDescent="0.3">
      <c r="A556" s="2">
        <v>135700</v>
      </c>
      <c r="B556" s="4" t="s">
        <v>557</v>
      </c>
      <c r="C556" s="3" t="s">
        <v>31</v>
      </c>
      <c r="D556" s="233">
        <v>45</v>
      </c>
      <c r="E556" s="233">
        <v>9</v>
      </c>
      <c r="F556" s="234" t="s">
        <v>271</v>
      </c>
      <c r="G556" s="235">
        <v>43727.555393518516</v>
      </c>
      <c r="H556" s="2">
        <v>138464</v>
      </c>
    </row>
    <row r="557" spans="1:8" x14ac:dyDescent="0.3">
      <c r="A557" s="2">
        <v>135704</v>
      </c>
      <c r="B557" s="4" t="s">
        <v>799</v>
      </c>
      <c r="C557" s="3" t="s">
        <v>31</v>
      </c>
      <c r="D557" s="233">
        <v>45</v>
      </c>
      <c r="E557" s="233">
        <v>12</v>
      </c>
      <c r="F557" s="234" t="s">
        <v>271</v>
      </c>
      <c r="G557" s="235">
        <v>43727.555393518516</v>
      </c>
      <c r="H557" s="2">
        <v>138471</v>
      </c>
    </row>
    <row r="558" spans="1:8" x14ac:dyDescent="0.3">
      <c r="A558" s="2">
        <v>135734</v>
      </c>
      <c r="B558" s="4" t="s">
        <v>551</v>
      </c>
      <c r="C558" s="3" t="s">
        <v>31</v>
      </c>
      <c r="D558" s="233">
        <v>55</v>
      </c>
      <c r="E558" s="233">
        <v>66</v>
      </c>
      <c r="F558" s="234" t="s">
        <v>257</v>
      </c>
      <c r="G558" s="235" t="s">
        <v>552</v>
      </c>
      <c r="H558" s="2">
        <v>135088</v>
      </c>
    </row>
    <row r="559" spans="1:8" x14ac:dyDescent="0.3">
      <c r="A559" s="2">
        <v>136037</v>
      </c>
      <c r="B559" s="4" t="s">
        <v>815</v>
      </c>
      <c r="C559" s="3" t="s">
        <v>596</v>
      </c>
      <c r="D559" s="233">
        <v>76</v>
      </c>
      <c r="E559" s="233">
        <v>3</v>
      </c>
      <c r="F559" s="234" t="s">
        <v>271</v>
      </c>
      <c r="G559" s="235">
        <v>44376.373101851852</v>
      </c>
      <c r="H559" s="2">
        <v>141679</v>
      </c>
    </row>
    <row r="560" spans="1:8" x14ac:dyDescent="0.3">
      <c r="A560" s="2">
        <v>136038</v>
      </c>
      <c r="B560" s="4" t="s">
        <v>819</v>
      </c>
      <c r="C560" s="3" t="s">
        <v>596</v>
      </c>
      <c r="D560" s="233">
        <v>76</v>
      </c>
      <c r="E560" s="233">
        <v>3</v>
      </c>
      <c r="F560" s="234" t="s">
        <v>271</v>
      </c>
      <c r="G560" s="235">
        <v>44376.375381944446</v>
      </c>
      <c r="H560" s="2">
        <v>141265</v>
      </c>
    </row>
    <row r="561" spans="1:8" x14ac:dyDescent="0.3">
      <c r="A561" s="2">
        <v>136039</v>
      </c>
      <c r="B561" s="4" t="s">
        <v>821</v>
      </c>
      <c r="C561" s="3" t="s">
        <v>596</v>
      </c>
      <c r="D561" s="233">
        <v>76</v>
      </c>
      <c r="E561" s="233">
        <v>3</v>
      </c>
      <c r="F561" s="234" t="s">
        <v>271</v>
      </c>
      <c r="G561" s="235">
        <v>44376.373912037037</v>
      </c>
      <c r="H561" s="2">
        <v>141681</v>
      </c>
    </row>
    <row r="562" spans="1:8" x14ac:dyDescent="0.3">
      <c r="A562" s="2">
        <v>136040</v>
      </c>
      <c r="B562" s="4" t="s">
        <v>820</v>
      </c>
      <c r="C562" s="3" t="s">
        <v>596</v>
      </c>
      <c r="D562" s="233">
        <v>76</v>
      </c>
      <c r="E562" s="233">
        <v>3</v>
      </c>
      <c r="F562" s="234" t="s">
        <v>271</v>
      </c>
      <c r="G562" s="235">
        <v>44376.377187500002</v>
      </c>
      <c r="H562" s="2">
        <v>141266</v>
      </c>
    </row>
    <row r="563" spans="1:8" x14ac:dyDescent="0.3">
      <c r="A563" s="2">
        <v>136676</v>
      </c>
      <c r="B563" s="4" t="s">
        <v>389</v>
      </c>
      <c r="C563" s="3" t="s">
        <v>256</v>
      </c>
      <c r="D563" s="233">
        <v>62</v>
      </c>
      <c r="E563" s="233">
        <v>1</v>
      </c>
      <c r="F563" s="234" t="s">
        <v>271</v>
      </c>
      <c r="G563" s="235">
        <v>44313.495532407411</v>
      </c>
      <c r="H563" s="2"/>
    </row>
    <row r="564" spans="1:8" x14ac:dyDescent="0.3">
      <c r="A564" s="2">
        <v>136820</v>
      </c>
      <c r="B564" s="4" t="s">
        <v>321</v>
      </c>
      <c r="C564" s="3" t="s">
        <v>301</v>
      </c>
      <c r="D564" s="233">
        <v>54</v>
      </c>
      <c r="E564" s="233">
        <v>4</v>
      </c>
      <c r="F564" s="234" t="s">
        <v>271</v>
      </c>
      <c r="G564" s="235">
        <v>44315.660057870373</v>
      </c>
      <c r="H564" s="2"/>
    </row>
    <row r="565" spans="1:8" x14ac:dyDescent="0.3">
      <c r="A565" s="2">
        <v>136821</v>
      </c>
      <c r="B565" s="4" t="s">
        <v>322</v>
      </c>
      <c r="C565" s="3" t="s">
        <v>301</v>
      </c>
      <c r="D565" s="233">
        <v>54</v>
      </c>
      <c r="E565" s="233">
        <v>4</v>
      </c>
      <c r="F565" s="234" t="s">
        <v>271</v>
      </c>
      <c r="G565" s="235">
        <v>44315.660057870373</v>
      </c>
      <c r="H565" s="2"/>
    </row>
    <row r="566" spans="1:8" x14ac:dyDescent="0.3">
      <c r="A566" s="2">
        <v>136822</v>
      </c>
      <c r="B566" s="4" t="s">
        <v>323</v>
      </c>
      <c r="C566" s="3" t="s">
        <v>301</v>
      </c>
      <c r="D566" s="233">
        <v>54</v>
      </c>
      <c r="E566" s="233">
        <v>4</v>
      </c>
      <c r="F566" s="234" t="s">
        <v>271</v>
      </c>
      <c r="G566" s="235">
        <v>44315.660057870373</v>
      </c>
      <c r="H566" s="2"/>
    </row>
    <row r="567" spans="1:8" x14ac:dyDescent="0.3">
      <c r="A567" s="2">
        <v>136837</v>
      </c>
      <c r="B567" s="4" t="s">
        <v>310</v>
      </c>
      <c r="C567" s="3" t="s">
        <v>301</v>
      </c>
      <c r="D567" s="233">
        <v>54</v>
      </c>
      <c r="E567" s="233">
        <v>4</v>
      </c>
      <c r="F567" s="234" t="s">
        <v>271</v>
      </c>
      <c r="G567" s="235">
        <v>44315.660057870373</v>
      </c>
      <c r="H567" s="2"/>
    </row>
    <row r="568" spans="1:8" x14ac:dyDescent="0.3">
      <c r="A568" s="2">
        <v>136838</v>
      </c>
      <c r="B568" s="4" t="s">
        <v>311</v>
      </c>
      <c r="C568" s="3" t="s">
        <v>301</v>
      </c>
      <c r="D568" s="233">
        <v>54</v>
      </c>
      <c r="E568" s="233">
        <v>4</v>
      </c>
      <c r="F568" s="234" t="s">
        <v>271</v>
      </c>
      <c r="G568" s="235">
        <v>44315.660057870373</v>
      </c>
      <c r="H568" s="2"/>
    </row>
    <row r="569" spans="1:8" x14ac:dyDescent="0.3">
      <c r="A569" s="2">
        <v>136839</v>
      </c>
      <c r="B569" s="4" t="s">
        <v>312</v>
      </c>
      <c r="C569" s="3" t="s">
        <v>301</v>
      </c>
      <c r="D569" s="233">
        <v>54</v>
      </c>
      <c r="E569" s="233">
        <v>4</v>
      </c>
      <c r="F569" s="234" t="s">
        <v>271</v>
      </c>
      <c r="G569" s="235">
        <v>44315.660057870373</v>
      </c>
      <c r="H569" s="2"/>
    </row>
    <row r="570" spans="1:8" x14ac:dyDescent="0.3">
      <c r="A570" s="2">
        <v>136840</v>
      </c>
      <c r="B570" s="4" t="s">
        <v>313</v>
      </c>
      <c r="C570" s="3" t="s">
        <v>301</v>
      </c>
      <c r="D570" s="233">
        <v>54</v>
      </c>
      <c r="E570" s="233">
        <v>4</v>
      </c>
      <c r="F570" s="234" t="s">
        <v>271</v>
      </c>
      <c r="G570" s="235">
        <v>44315.660057870373</v>
      </c>
      <c r="H570" s="2"/>
    </row>
    <row r="571" spans="1:8" x14ac:dyDescent="0.3">
      <c r="A571" s="2">
        <v>136841</v>
      </c>
      <c r="B571" s="4" t="s">
        <v>314</v>
      </c>
      <c r="C571" s="3" t="s">
        <v>301</v>
      </c>
      <c r="D571" s="233">
        <v>54</v>
      </c>
      <c r="E571" s="233">
        <v>4</v>
      </c>
      <c r="F571" s="234" t="s">
        <v>271</v>
      </c>
      <c r="G571" s="235">
        <v>44315.660057870373</v>
      </c>
      <c r="H571" s="2"/>
    </row>
    <row r="572" spans="1:8" x14ac:dyDescent="0.3">
      <c r="A572" s="2">
        <v>136842</v>
      </c>
      <c r="B572" s="4" t="s">
        <v>315</v>
      </c>
      <c r="C572" s="3" t="s">
        <v>301</v>
      </c>
      <c r="D572" s="233">
        <v>54</v>
      </c>
      <c r="E572" s="233">
        <v>4</v>
      </c>
      <c r="F572" s="234" t="s">
        <v>271</v>
      </c>
      <c r="G572" s="235">
        <v>44315.660057870373</v>
      </c>
      <c r="H572" s="2"/>
    </row>
    <row r="573" spans="1:8" x14ac:dyDescent="0.3">
      <c r="A573" s="2">
        <v>136843</v>
      </c>
      <c r="B573" s="4" t="s">
        <v>316</v>
      </c>
      <c r="C573" s="3" t="s">
        <v>301</v>
      </c>
      <c r="D573" s="233">
        <v>54</v>
      </c>
      <c r="E573" s="233">
        <v>4</v>
      </c>
      <c r="F573" s="234" t="s">
        <v>271</v>
      </c>
      <c r="G573" s="235">
        <v>44315.660057870373</v>
      </c>
      <c r="H573" s="2"/>
    </row>
    <row r="574" spans="1:8" x14ac:dyDescent="0.3">
      <c r="A574" s="2">
        <v>136910</v>
      </c>
      <c r="B574" s="4" t="s">
        <v>365</v>
      </c>
      <c r="C574" s="3" t="s">
        <v>331</v>
      </c>
      <c r="D574" s="233">
        <v>55</v>
      </c>
      <c r="E574" s="233">
        <v>19</v>
      </c>
      <c r="F574" s="234" t="s">
        <v>271</v>
      </c>
      <c r="G574" s="235">
        <v>44132.463969907411</v>
      </c>
      <c r="H574" s="2">
        <v>140241</v>
      </c>
    </row>
    <row r="575" spans="1:8" x14ac:dyDescent="0.3">
      <c r="A575" s="2">
        <v>136911</v>
      </c>
      <c r="B575" s="4" t="s">
        <v>366</v>
      </c>
      <c r="C575" s="3" t="s">
        <v>331</v>
      </c>
      <c r="D575" s="233">
        <v>55</v>
      </c>
      <c r="E575" s="233">
        <v>19</v>
      </c>
      <c r="F575" s="234" t="s">
        <v>271</v>
      </c>
      <c r="G575" s="235">
        <v>44132.463969907411</v>
      </c>
      <c r="H575" s="2">
        <v>140063</v>
      </c>
    </row>
    <row r="576" spans="1:8" x14ac:dyDescent="0.3">
      <c r="A576" s="2">
        <v>138547</v>
      </c>
      <c r="B576" s="4" t="s">
        <v>583</v>
      </c>
      <c r="C576" s="3" t="s">
        <v>31</v>
      </c>
      <c r="D576" s="233">
        <v>55</v>
      </c>
      <c r="E576" s="233">
        <v>49</v>
      </c>
      <c r="F576" s="234" t="s">
        <v>271</v>
      </c>
      <c r="G576" s="235">
        <v>44267.707777777781</v>
      </c>
      <c r="H576" s="2">
        <v>140666</v>
      </c>
    </row>
    <row r="577" spans="1:8" x14ac:dyDescent="0.3">
      <c r="A577" s="2">
        <v>140315</v>
      </c>
      <c r="B577" s="4" t="s">
        <v>746</v>
      </c>
      <c r="C577" s="3" t="s">
        <v>31</v>
      </c>
      <c r="D577" s="233">
        <v>76</v>
      </c>
      <c r="E577" s="233">
        <v>11</v>
      </c>
      <c r="F577" s="234" t="s">
        <v>271</v>
      </c>
      <c r="G577" s="235">
        <v>44376.360196759262</v>
      </c>
      <c r="H577" s="2">
        <v>141418</v>
      </c>
    </row>
  </sheetData>
  <sortState xmlns:xlrd2="http://schemas.microsoft.com/office/spreadsheetml/2017/richdata2" ref="A4:H577">
    <sortCondition ref="A3:A577"/>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8542020</xdr:colOff>
                <xdr:row>1</xdr:row>
                <xdr:rowOff>45720</xdr:rowOff>
              </from>
              <to>
                <xdr:col>2</xdr:col>
                <xdr:colOff>259080</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6713220</xdr:colOff>
                <xdr:row>1</xdr:row>
                <xdr:rowOff>45720</xdr:rowOff>
              </from>
              <to>
                <xdr:col>1</xdr:col>
                <xdr:colOff>8481060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45720</xdr:rowOff>
              </from>
              <to>
                <xdr:col>1</xdr:col>
                <xdr:colOff>1165860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1226820</xdr:colOff>
                <xdr:row>1</xdr:row>
                <xdr:rowOff>45720</xdr:rowOff>
              </from>
              <to>
                <xdr:col>1</xdr:col>
                <xdr:colOff>2994660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3</xdr:col>
                <xdr:colOff>7620</xdr:colOff>
                <xdr:row>1</xdr:row>
                <xdr:rowOff>45720</xdr:rowOff>
              </from>
              <to>
                <xdr:col>7</xdr:col>
                <xdr:colOff>617220</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3055620</xdr:colOff>
                <xdr:row>1</xdr:row>
                <xdr:rowOff>45720</xdr:rowOff>
              </from>
              <to>
                <xdr:col>1</xdr:col>
                <xdr:colOff>4823460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4884420</xdr:colOff>
                <xdr:row>1</xdr:row>
                <xdr:rowOff>45720</xdr:rowOff>
              </from>
              <to>
                <xdr:col>1</xdr:col>
                <xdr:colOff>6652260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79"/>
      <c r="B1" s="379"/>
      <c r="C1" s="379"/>
      <c r="D1" s="269" t="s">
        <v>254</v>
      </c>
    </row>
    <row r="2" spans="1:4" ht="21" x14ac:dyDescent="0.3">
      <c r="A2" s="78" t="s">
        <v>57</v>
      </c>
      <c r="B2" s="82" t="s">
        <v>58</v>
      </c>
      <c r="C2" s="78" t="s">
        <v>59</v>
      </c>
      <c r="D2" s="267" t="s">
        <v>129</v>
      </c>
    </row>
    <row r="3" spans="1:4" ht="18" x14ac:dyDescent="0.3">
      <c r="A3" s="237" t="s">
        <v>132</v>
      </c>
      <c r="B3" s="236">
        <v>60</v>
      </c>
      <c r="C3" s="236" t="s">
        <v>133</v>
      </c>
      <c r="D3" s="268"/>
    </row>
    <row r="4" spans="1:4" ht="18" x14ac:dyDescent="0.3">
      <c r="A4" s="237" t="s">
        <v>134</v>
      </c>
      <c r="B4" s="236" t="b">
        <v>0</v>
      </c>
      <c r="C4" s="236" t="s">
        <v>241</v>
      </c>
      <c r="D4" s="268"/>
    </row>
    <row r="5" spans="1:4" ht="18" x14ac:dyDescent="0.3">
      <c r="A5" s="237" t="s">
        <v>135</v>
      </c>
      <c r="B5" s="236" t="s">
        <v>2226</v>
      </c>
      <c r="C5" s="236" t="s">
        <v>242</v>
      </c>
      <c r="D5" s="268"/>
    </row>
    <row r="6" spans="1:4" ht="18" x14ac:dyDescent="0.3">
      <c r="A6" s="237" t="s">
        <v>136</v>
      </c>
      <c r="B6" s="236" t="s">
        <v>137</v>
      </c>
      <c r="C6" s="236" t="s">
        <v>138</v>
      </c>
      <c r="D6" s="268"/>
    </row>
    <row r="7" spans="1:4" ht="18" x14ac:dyDescent="0.3">
      <c r="A7" s="237" t="s">
        <v>139</v>
      </c>
      <c r="B7" s="236">
        <v>3</v>
      </c>
      <c r="C7" s="236" t="s">
        <v>140</v>
      </c>
      <c r="D7" s="268"/>
    </row>
    <row r="8" spans="1:4" ht="18" x14ac:dyDescent="0.3">
      <c r="A8" s="237" t="s">
        <v>141</v>
      </c>
      <c r="B8" s="236" t="b">
        <v>1</v>
      </c>
      <c r="C8" s="236" t="s">
        <v>142</v>
      </c>
      <c r="D8" s="268"/>
    </row>
    <row r="9" spans="1:4" ht="18" x14ac:dyDescent="0.3">
      <c r="A9" s="237" t="s">
        <v>143</v>
      </c>
      <c r="B9" s="236">
        <v>120</v>
      </c>
      <c r="C9" s="236" t="s">
        <v>144</v>
      </c>
      <c r="D9" s="268"/>
    </row>
    <row r="10" spans="1:4" ht="18" x14ac:dyDescent="0.3">
      <c r="A10" s="237" t="s">
        <v>63</v>
      </c>
      <c r="B10" s="236" t="s">
        <v>96</v>
      </c>
      <c r="C10" s="236" t="s">
        <v>64</v>
      </c>
      <c r="D10" s="268" t="s">
        <v>130</v>
      </c>
    </row>
    <row r="11" spans="1:4" ht="18" x14ac:dyDescent="0.3">
      <c r="A11" s="237" t="s">
        <v>145</v>
      </c>
      <c r="B11" s="236" t="s">
        <v>55</v>
      </c>
      <c r="C11" s="236" t="s">
        <v>146</v>
      </c>
      <c r="D11" s="268"/>
    </row>
    <row r="12" spans="1:4" ht="18" x14ac:dyDescent="0.3">
      <c r="A12" s="237" t="s">
        <v>147</v>
      </c>
      <c r="B12" s="236">
        <v>17</v>
      </c>
      <c r="C12" s="236" t="s">
        <v>148</v>
      </c>
      <c r="D12" s="268"/>
    </row>
    <row r="13" spans="1:4" ht="18" x14ac:dyDescent="0.3">
      <c r="A13" s="237" t="s">
        <v>149</v>
      </c>
      <c r="B13" s="236">
        <v>29</v>
      </c>
      <c r="C13" s="236" t="s">
        <v>150</v>
      </c>
      <c r="D13" s="268"/>
    </row>
    <row r="14" spans="1:4" ht="18" x14ac:dyDescent="0.3">
      <c r="A14" s="237" t="s">
        <v>151</v>
      </c>
      <c r="B14" s="236">
        <v>869</v>
      </c>
      <c r="C14" s="236" t="s">
        <v>152</v>
      </c>
      <c r="D14" s="268"/>
    </row>
    <row r="15" spans="1:4" ht="18" x14ac:dyDescent="0.3">
      <c r="A15" s="237" t="s">
        <v>153</v>
      </c>
      <c r="B15" s="236">
        <v>12</v>
      </c>
      <c r="C15" s="236" t="s">
        <v>154</v>
      </c>
      <c r="D15" s="268"/>
    </row>
    <row r="16" spans="1:4" ht="18" x14ac:dyDescent="0.3">
      <c r="A16" s="237" t="s">
        <v>155</v>
      </c>
      <c r="B16" s="236">
        <v>24</v>
      </c>
      <c r="C16" s="236" t="s">
        <v>156</v>
      </c>
      <c r="D16" s="268"/>
    </row>
    <row r="17" spans="1:4" ht="18" x14ac:dyDescent="0.3">
      <c r="A17" s="237" t="s">
        <v>157</v>
      </c>
      <c r="B17" s="236" t="b">
        <v>1</v>
      </c>
      <c r="C17" s="236" t="s">
        <v>158</v>
      </c>
      <c r="D17" s="268"/>
    </row>
    <row r="18" spans="1:4" ht="18" x14ac:dyDescent="0.3">
      <c r="A18" s="237" t="s">
        <v>159</v>
      </c>
      <c r="B18" s="236" t="s">
        <v>160</v>
      </c>
      <c r="C18" s="236" t="s">
        <v>161</v>
      </c>
      <c r="D18" s="268"/>
    </row>
    <row r="19" spans="1:4" ht="18" x14ac:dyDescent="0.3">
      <c r="A19" s="237" t="s">
        <v>162</v>
      </c>
      <c r="B19" s="236">
        <v>50</v>
      </c>
      <c r="C19" s="236" t="s">
        <v>163</v>
      </c>
      <c r="D19" s="268"/>
    </row>
    <row r="20" spans="1:4" ht="18" x14ac:dyDescent="0.3">
      <c r="A20" s="237" t="s">
        <v>164</v>
      </c>
      <c r="B20" s="236" t="s">
        <v>165</v>
      </c>
      <c r="C20" s="236" t="s">
        <v>243</v>
      </c>
      <c r="D20" s="268"/>
    </row>
    <row r="21" spans="1:4" ht="18" x14ac:dyDescent="0.3">
      <c r="A21" s="237" t="s">
        <v>166</v>
      </c>
      <c r="B21" s="236"/>
      <c r="C21" s="236" t="s">
        <v>244</v>
      </c>
      <c r="D21" s="268"/>
    </row>
    <row r="22" spans="1:4" ht="18" x14ac:dyDescent="0.3">
      <c r="A22" s="237" t="s">
        <v>167</v>
      </c>
      <c r="B22" s="236" t="s">
        <v>168</v>
      </c>
      <c r="C22" s="236" t="s">
        <v>245</v>
      </c>
      <c r="D22" s="268"/>
    </row>
    <row r="23" spans="1:4" ht="18" x14ac:dyDescent="0.3">
      <c r="A23" s="237" t="s">
        <v>169</v>
      </c>
      <c r="B23" s="236" t="s">
        <v>170</v>
      </c>
      <c r="C23" s="236" t="s">
        <v>246</v>
      </c>
      <c r="D23" s="268"/>
    </row>
    <row r="24" spans="1:4" ht="18" x14ac:dyDescent="0.3">
      <c r="A24" s="237" t="s">
        <v>171</v>
      </c>
      <c r="B24" s="236" t="s">
        <v>172</v>
      </c>
      <c r="C24" s="236" t="s">
        <v>173</v>
      </c>
      <c r="D24" s="268"/>
    </row>
    <row r="25" spans="1:4" ht="18" x14ac:dyDescent="0.3">
      <c r="A25" s="237" t="s">
        <v>174</v>
      </c>
      <c r="B25" s="236" t="s">
        <v>175</v>
      </c>
      <c r="C25" s="236" t="s">
        <v>176</v>
      </c>
      <c r="D25" s="268"/>
    </row>
    <row r="26" spans="1:4" ht="18" x14ac:dyDescent="0.3">
      <c r="A26" s="237" t="s">
        <v>177</v>
      </c>
      <c r="B26" s="236" t="b">
        <v>0</v>
      </c>
      <c r="C26" s="236" t="s">
        <v>178</v>
      </c>
      <c r="D26" s="268"/>
    </row>
    <row r="27" spans="1:4" ht="18" x14ac:dyDescent="0.3">
      <c r="A27" s="237" t="s">
        <v>179</v>
      </c>
      <c r="B27" s="236"/>
      <c r="C27" s="236" t="s">
        <v>247</v>
      </c>
      <c r="D27" s="268"/>
    </row>
    <row r="28" spans="1:4" ht="18" x14ac:dyDescent="0.3">
      <c r="A28" s="237" t="s">
        <v>180</v>
      </c>
      <c r="B28" s="236" t="s">
        <v>181</v>
      </c>
      <c r="C28" s="236" t="s">
        <v>182</v>
      </c>
      <c r="D28" s="268"/>
    </row>
    <row r="29" spans="1:4" ht="18" x14ac:dyDescent="0.3">
      <c r="A29" s="237" t="s">
        <v>183</v>
      </c>
      <c r="B29" s="236">
        <v>54.62</v>
      </c>
      <c r="C29" s="236" t="s">
        <v>184</v>
      </c>
      <c r="D29" s="268"/>
    </row>
    <row r="30" spans="1:4" ht="18" x14ac:dyDescent="0.3">
      <c r="A30" s="237" t="s">
        <v>185</v>
      </c>
      <c r="B30" s="270">
        <v>5.4166666666666669E-3</v>
      </c>
      <c r="C30" s="236" t="s">
        <v>248</v>
      </c>
      <c r="D30" s="268"/>
    </row>
    <row r="31" spans="1:4" ht="18" x14ac:dyDescent="0.3">
      <c r="A31" s="237" t="s">
        <v>186</v>
      </c>
      <c r="B31" s="236" t="s">
        <v>187</v>
      </c>
      <c r="C31" s="236" t="s">
        <v>188</v>
      </c>
      <c r="D31" s="268"/>
    </row>
    <row r="32" spans="1:4" ht="18" x14ac:dyDescent="0.3">
      <c r="A32" s="237" t="s">
        <v>189</v>
      </c>
      <c r="B32" s="236" t="s">
        <v>12</v>
      </c>
      <c r="C32" s="236" t="s">
        <v>190</v>
      </c>
      <c r="D32" s="268"/>
    </row>
    <row r="33" spans="1:4" ht="18" x14ac:dyDescent="0.3">
      <c r="A33" s="237" t="s">
        <v>191</v>
      </c>
      <c r="B33" s="236" t="b">
        <v>0</v>
      </c>
      <c r="C33" s="236" t="s">
        <v>249</v>
      </c>
      <c r="D33" s="268"/>
    </row>
    <row r="34" spans="1:4" ht="18" x14ac:dyDescent="0.3">
      <c r="A34" s="237" t="s">
        <v>192</v>
      </c>
      <c r="B34" s="236" t="b">
        <v>1</v>
      </c>
      <c r="C34" s="236" t="s">
        <v>250</v>
      </c>
      <c r="D34" s="268"/>
    </row>
    <row r="35" spans="1:4" ht="18" x14ac:dyDescent="0.3">
      <c r="A35" s="237" t="s">
        <v>193</v>
      </c>
      <c r="B35" s="236" t="s">
        <v>194</v>
      </c>
      <c r="C35" s="236" t="s">
        <v>195</v>
      </c>
      <c r="D35" s="268"/>
    </row>
    <row r="36" spans="1:4" ht="18" x14ac:dyDescent="0.3">
      <c r="A36" s="237" t="s">
        <v>196</v>
      </c>
      <c r="B36" s="236" t="b">
        <v>0</v>
      </c>
      <c r="C36" s="236" t="s">
        <v>251</v>
      </c>
      <c r="D36" s="268"/>
    </row>
    <row r="37" spans="1:4" ht="18" x14ac:dyDescent="0.3">
      <c r="A37" s="237" t="s">
        <v>197</v>
      </c>
      <c r="B37" s="236" t="s">
        <v>198</v>
      </c>
      <c r="C37" s="236" t="s">
        <v>199</v>
      </c>
      <c r="D37" s="268"/>
    </row>
    <row r="38" spans="1:4" ht="18" x14ac:dyDescent="0.3">
      <c r="A38" s="237" t="s">
        <v>200</v>
      </c>
      <c r="B38" s="236" t="s">
        <v>201</v>
      </c>
      <c r="C38" s="236" t="s">
        <v>202</v>
      </c>
      <c r="D38" s="268"/>
    </row>
    <row r="39" spans="1:4" ht="18" x14ac:dyDescent="0.3">
      <c r="A39" s="237" t="s">
        <v>203</v>
      </c>
      <c r="B39" s="236" t="s">
        <v>204</v>
      </c>
      <c r="C39" s="236" t="s">
        <v>205</v>
      </c>
      <c r="D39" s="268"/>
    </row>
    <row r="40" spans="1:4" ht="18" x14ac:dyDescent="0.3">
      <c r="A40" s="237" t="s">
        <v>206</v>
      </c>
      <c r="B40" s="236">
        <v>1</v>
      </c>
      <c r="C40" s="236" t="s">
        <v>207</v>
      </c>
      <c r="D40" s="268"/>
    </row>
    <row r="41" spans="1:4" ht="18" x14ac:dyDescent="0.3">
      <c r="A41" s="237" t="s">
        <v>208</v>
      </c>
      <c r="B41" s="236">
        <v>3</v>
      </c>
      <c r="C41" s="236" t="s">
        <v>209</v>
      </c>
      <c r="D41" s="268"/>
    </row>
    <row r="42" spans="1:4" ht="18" x14ac:dyDescent="0.3">
      <c r="A42" s="237" t="s">
        <v>210</v>
      </c>
      <c r="B42" s="236">
        <v>6</v>
      </c>
      <c r="C42" s="236" t="s">
        <v>211</v>
      </c>
      <c r="D42" s="268"/>
    </row>
    <row r="43" spans="1:4" ht="18" x14ac:dyDescent="0.3">
      <c r="A43" s="237" t="s">
        <v>212</v>
      </c>
      <c r="B43" s="236">
        <v>4</v>
      </c>
      <c r="C43" s="236" t="s">
        <v>213</v>
      </c>
      <c r="D43" s="268"/>
    </row>
    <row r="44" spans="1:4" ht="18" x14ac:dyDescent="0.3">
      <c r="A44" s="237" t="s">
        <v>214</v>
      </c>
      <c r="B44" s="236">
        <v>8</v>
      </c>
      <c r="C44" s="236" t="s">
        <v>215</v>
      </c>
      <c r="D44" s="268"/>
    </row>
    <row r="45" spans="1:4" ht="18" x14ac:dyDescent="0.3">
      <c r="A45" s="237" t="s">
        <v>216</v>
      </c>
      <c r="B45" s="236" t="s">
        <v>217</v>
      </c>
      <c r="C45" s="236" t="s">
        <v>218</v>
      </c>
      <c r="D45" s="268"/>
    </row>
    <row r="46" spans="1:4" ht="18" x14ac:dyDescent="0.3">
      <c r="A46" s="237" t="s">
        <v>219</v>
      </c>
      <c r="B46" s="236" t="b">
        <v>0</v>
      </c>
      <c r="C46" s="236" t="s">
        <v>220</v>
      </c>
      <c r="D46" s="268"/>
    </row>
    <row r="47" spans="1:4" ht="18" x14ac:dyDescent="0.3">
      <c r="A47" s="237" t="s">
        <v>221</v>
      </c>
      <c r="B47" s="236" t="s">
        <v>222</v>
      </c>
      <c r="C47" s="236" t="s">
        <v>252</v>
      </c>
      <c r="D47" s="268"/>
    </row>
    <row r="48" spans="1:4" ht="18" x14ac:dyDescent="0.3">
      <c r="A48" s="237" t="s">
        <v>223</v>
      </c>
      <c r="B48" s="236" t="s">
        <v>224</v>
      </c>
      <c r="C48" s="236" t="s">
        <v>225</v>
      </c>
      <c r="D48" s="268"/>
    </row>
    <row r="49" spans="1:4" ht="18" x14ac:dyDescent="0.3">
      <c r="A49" s="237" t="s">
        <v>226</v>
      </c>
      <c r="B49" s="236" t="s">
        <v>227</v>
      </c>
      <c r="C49" s="236" t="s">
        <v>228</v>
      </c>
      <c r="D49" s="268"/>
    </row>
    <row r="50" spans="1:4" ht="18" x14ac:dyDescent="0.3">
      <c r="A50" s="237" t="s">
        <v>229</v>
      </c>
      <c r="B50" s="236">
        <v>942</v>
      </c>
      <c r="C50" s="236" t="s">
        <v>253</v>
      </c>
      <c r="D50" s="268"/>
    </row>
    <row r="51" spans="1:4" ht="18" x14ac:dyDescent="0.3">
      <c r="A51" s="237" t="s">
        <v>230</v>
      </c>
      <c r="B51" s="236" t="s">
        <v>231</v>
      </c>
      <c r="C51" s="236" t="s">
        <v>232</v>
      </c>
      <c r="D51" s="268"/>
    </row>
    <row r="52" spans="1:4" ht="18" x14ac:dyDescent="0.3">
      <c r="A52" s="237" t="s">
        <v>233</v>
      </c>
      <c r="B52" s="236" t="s">
        <v>234</v>
      </c>
      <c r="C52" s="236" t="s">
        <v>235</v>
      </c>
      <c r="D52" s="268"/>
    </row>
    <row r="53" spans="1:4" ht="18" x14ac:dyDescent="0.3">
      <c r="A53" s="237" t="s">
        <v>236</v>
      </c>
      <c r="B53" s="236" t="s">
        <v>237</v>
      </c>
      <c r="C53" s="236" t="s">
        <v>238</v>
      </c>
      <c r="D53" s="268"/>
    </row>
    <row r="54" spans="1:4" ht="18" x14ac:dyDescent="0.3">
      <c r="A54" s="237" t="s">
        <v>239</v>
      </c>
      <c r="B54" s="236">
        <v>2019</v>
      </c>
      <c r="C54" s="236" t="s">
        <v>240</v>
      </c>
      <c r="D54" s="268"/>
    </row>
  </sheetData>
  <sortState xmlns:xlrd2="http://schemas.microsoft.com/office/spreadsheetml/2017/richdata2" ref="A3:D54">
    <sortCondition ref="A2:A54"/>
  </sortState>
  <dataConsolidate/>
  <mergeCells count="1">
    <mergeCell ref="A1:C1"/>
  </mergeCells>
  <conditionalFormatting sqref="A3:A54">
    <cfRule type="duplicateValues" dxfId="37"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68580</xdr:rowOff>
              </from>
              <to>
                <xdr:col>0</xdr:col>
                <xdr:colOff>2979420</xdr:colOff>
                <xdr:row>0</xdr:row>
                <xdr:rowOff>518160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1432560</xdr:colOff>
                <xdr:row>0</xdr:row>
                <xdr:rowOff>68580</xdr:rowOff>
              </from>
              <to>
                <xdr:col>1</xdr:col>
                <xdr:colOff>4221480</xdr:colOff>
                <xdr:row>0</xdr:row>
                <xdr:rowOff>518160</xdr:rowOff>
              </to>
            </anchor>
          </controlPr>
        </control>
      </mc:Choice>
      <mc:Fallback>
        <control shapeId="626744" r:id="rId8" name="btn_Parâmetros_Atua"/>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3" sqref="A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94" t="s">
        <v>121</v>
      </c>
      <c r="B1" s="395"/>
      <c r="C1" s="395"/>
      <c r="D1" s="395"/>
      <c r="E1" s="395"/>
      <c r="F1" s="395"/>
      <c r="G1" s="395"/>
      <c r="H1" s="395"/>
      <c r="I1" s="395"/>
      <c r="J1" s="395"/>
      <c r="K1" s="395"/>
      <c r="L1" s="395"/>
    </row>
    <row r="2" spans="1:12" x14ac:dyDescent="0.3">
      <c r="A2" s="101" t="s">
        <v>25</v>
      </c>
      <c r="B2" s="87" t="s">
        <v>24</v>
      </c>
      <c r="C2" s="87" t="s">
        <v>26</v>
      </c>
      <c r="D2" s="88" t="s">
        <v>27</v>
      </c>
      <c r="E2" s="89" t="s">
        <v>0</v>
      </c>
      <c r="F2" s="90" t="s">
        <v>1</v>
      </c>
      <c r="G2" s="90" t="s">
        <v>86</v>
      </c>
      <c r="H2" s="90" t="s">
        <v>5</v>
      </c>
      <c r="I2" s="100" t="s">
        <v>85</v>
      </c>
      <c r="J2" s="100" t="s">
        <v>83</v>
      </c>
      <c r="K2" s="100" t="s">
        <v>84</v>
      </c>
      <c r="L2" s="100" t="s">
        <v>77</v>
      </c>
    </row>
    <row r="3" spans="1:12" ht="15.6" x14ac:dyDescent="0.3">
      <c r="A3" s="107"/>
      <c r="B3" s="143"/>
      <c r="C3" s="108"/>
      <c r="D3" s="108"/>
      <c r="E3" s="108"/>
      <c r="F3" s="109"/>
      <c r="G3" s="110"/>
      <c r="H3" s="109"/>
      <c r="I3" s="111"/>
      <c r="J3" s="112"/>
      <c r="K3" s="112"/>
      <c r="L3" s="112"/>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1516380</xdr:colOff>
                <xdr:row>0</xdr:row>
                <xdr:rowOff>106680</xdr:rowOff>
              </from>
              <to>
                <xdr:col>11</xdr:col>
                <xdr:colOff>312420</xdr:colOff>
                <xdr:row>0</xdr:row>
                <xdr:rowOff>556260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563880</xdr:colOff>
                <xdr:row>0</xdr:row>
                <xdr:rowOff>106680</xdr:rowOff>
              </from>
              <to>
                <xdr:col>4</xdr:col>
                <xdr:colOff>487680</xdr:colOff>
                <xdr:row>0</xdr:row>
                <xdr:rowOff>556260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G3" sqref="G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94" t="s">
        <v>120</v>
      </c>
      <c r="B1" s="394"/>
      <c r="C1" s="394"/>
      <c r="D1" s="394"/>
      <c r="E1" s="394"/>
      <c r="F1" s="394"/>
      <c r="G1" s="394"/>
      <c r="H1" s="394"/>
      <c r="I1" s="394"/>
      <c r="J1" s="394"/>
      <c r="K1" s="394"/>
      <c r="L1" s="394"/>
      <c r="M1" s="394"/>
      <c r="N1" s="394"/>
      <c r="O1" s="394"/>
      <c r="P1" s="394"/>
    </row>
    <row r="2" spans="1:16" x14ac:dyDescent="0.3">
      <c r="A2" s="102" t="s">
        <v>0</v>
      </c>
      <c r="B2" s="103" t="s">
        <v>1</v>
      </c>
      <c r="C2" s="103" t="s">
        <v>20</v>
      </c>
      <c r="D2" s="103" t="s">
        <v>21</v>
      </c>
      <c r="E2" s="102" t="s">
        <v>73</v>
      </c>
      <c r="F2" s="102" t="s">
        <v>88</v>
      </c>
      <c r="G2" s="87" t="s">
        <v>89</v>
      </c>
      <c r="H2" s="87" t="s">
        <v>90</v>
      </c>
      <c r="I2" s="88" t="s">
        <v>87</v>
      </c>
      <c r="J2" s="90" t="s">
        <v>86</v>
      </c>
      <c r="K2" s="90" t="s">
        <v>5</v>
      </c>
      <c r="L2" s="105" t="s">
        <v>85</v>
      </c>
      <c r="M2" s="105" t="s">
        <v>83</v>
      </c>
      <c r="N2" s="105" t="s">
        <v>84</v>
      </c>
      <c r="O2" s="104" t="s">
        <v>77</v>
      </c>
      <c r="P2" s="100" t="s">
        <v>91</v>
      </c>
    </row>
    <row r="3" spans="1:16" ht="15.6" x14ac:dyDescent="0.3">
      <c r="A3" s="238"/>
      <c r="B3" s="239"/>
      <c r="C3" s="240"/>
      <c r="D3" s="241"/>
      <c r="E3" s="246"/>
      <c r="F3" s="246"/>
      <c r="G3" s="247"/>
      <c r="H3" s="242"/>
      <c r="I3" s="238"/>
      <c r="J3" s="243"/>
      <c r="K3" s="239"/>
      <c r="L3" s="244"/>
      <c r="M3" s="239"/>
      <c r="N3" s="239"/>
      <c r="O3" s="239"/>
      <c r="P3" s="245"/>
    </row>
  </sheetData>
  <sortState xmlns:xlrd2="http://schemas.microsoft.com/office/spreadsheetml/2017/richdata2" ref="A3:P5">
    <sortCondition ref="B2:B5"/>
    <sortCondition ref="A2:A5"/>
    <sortCondition ref="E2:E5"/>
    <sortCondition ref="F2:F5"/>
    <sortCondition ref="G2:G5"/>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1341120</xdr:colOff>
                <xdr:row>0</xdr:row>
                <xdr:rowOff>259080</xdr:rowOff>
              </from>
              <to>
                <xdr:col>4</xdr:col>
                <xdr:colOff>274320</xdr:colOff>
                <xdr:row>0</xdr:row>
                <xdr:rowOff>708660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68580</xdr:colOff>
                <xdr:row>0</xdr:row>
                <xdr:rowOff>259080</xdr:rowOff>
              </from>
              <to>
                <xdr:col>1</xdr:col>
                <xdr:colOff>1196340</xdr:colOff>
                <xdr:row>0</xdr:row>
                <xdr:rowOff>708660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1813560</xdr:colOff>
                <xdr:row>0</xdr:row>
                <xdr:rowOff>259080</xdr:rowOff>
              </from>
              <to>
                <xdr:col>14</xdr:col>
                <xdr:colOff>1729740</xdr:colOff>
                <xdr:row>0</xdr:row>
                <xdr:rowOff>708660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830580</xdr:colOff>
                <xdr:row>0</xdr:row>
                <xdr:rowOff>259080</xdr:rowOff>
              </from>
              <to>
                <xdr:col>13</xdr:col>
                <xdr:colOff>1645920</xdr:colOff>
                <xdr:row>0</xdr:row>
                <xdr:rowOff>708660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Assinaturas</vt:lpstr>
      <vt:lpstr>RCsGeradas</vt:lpstr>
      <vt:lpstr>Itens</vt:lpstr>
      <vt:lpstr>RC_AF</vt:lpstr>
      <vt:lpstr>ConferirCompra</vt:lpstr>
      <vt:lpstr>Filtros</vt:lpstr>
      <vt:lpstr>Consumo</vt:lpstr>
      <vt:lpstr>Excluir_do_Estoque</vt:lpstr>
      <vt:lpstr>Parâmetros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2023-11-26T20:39:56Z</cp:lastPrinted>
  <dcterms:created xsi:type="dcterms:W3CDTF">2018-10-31T11:37:29Z</dcterms:created>
  <dcterms:modified xsi:type="dcterms:W3CDTF">2023-11-26T21:02:22Z</dcterms:modified>
</cp:coreProperties>
</file>